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1.xml" ContentType="application/vnd.openxmlformats-officedocument.spreadsheetml.comments+xml"/>
  <Override PartName="/xl/tables/table10.xml" ContentType="application/vnd.openxmlformats-officedocument.spreadsheetml.table+xml"/>
  <Override PartName="/xl/tables/table11.xml" ContentType="application/vnd.openxmlformats-officedocument.spreadsheetml.table+xml"/>
  <Override PartName="/xl/comments2.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comments3.xml" ContentType="application/vnd.openxmlformats-officedocument.spreadsheetml.comments+xml"/>
  <Override PartName="/xl/tables/table14.xml" ContentType="application/vnd.openxmlformats-officedocument.spreadsheetml.table+xml"/>
  <Override PartName="/xl/comments4.xml" ContentType="application/vnd.openxmlformats-officedocument.spreadsheetml.comments+xml"/>
  <Override PartName="/xl/tables/table15.xml" ContentType="application/vnd.openxmlformats-officedocument.spreadsheetml.table+xml"/>
  <Override PartName="/xl/tables/table16.xml" ContentType="application/vnd.openxmlformats-officedocument.spreadsheetml.table+xml"/>
  <Override PartName="/xl/drawings/drawing2.xml" ContentType="application/vnd.openxmlformats-officedocument.drawing+xml"/>
  <Override PartName="/xl/tables/table17.xml" ContentType="application/vnd.openxmlformats-officedocument.spreadsheetml.table+xml"/>
  <Override PartName="/xl/tables/table18.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D0D63600-6CE2-4A0E-A2EC-7FA723BF4808}" xr6:coauthVersionLast="47" xr6:coauthVersionMax="47" xr10:uidLastSave="{00000000-0000-0000-0000-000000000000}"/>
  <bookViews>
    <workbookView xWindow="-120" yWindow="-120" windowWidth="38640" windowHeight="2112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byss_enforce_bonus">Constants!$C$131</definedName>
    <definedName name="abyss_enforcer_cap">Constants!$F$131</definedName>
    <definedName name="adept_dp_bonus">Constants!$C$125</definedName>
    <definedName name="adept_dp_cap">Constants!$F$125</definedName>
    <definedName name="adept_op_bonus">Constants!$C$124</definedName>
    <definedName name="adept_op_cap">Constants!$F$124</definedName>
    <definedName name="alch_frost_bonus">Constants!$F$91</definedName>
    <definedName name="alch_plat">Constants!$B$4</definedName>
    <definedName name="alchemist_flame_bonus">Constants!$F$87</definedName>
    <definedName name="alchemist_flame_invest">Constants!$F$88</definedName>
    <definedName name="archmage_plat">Overview!$D$29</definedName>
    <definedName name="archspy_plat">Overview!$D$27</definedName>
    <definedName name="ares_call_bonus">Constants!$F$77</definedName>
    <definedName name="barracks_size">Constants!$B$64</definedName>
    <definedName name="blizzard_bonus">Constants!$F$86</definedName>
    <definedName name="boat_size">Constants!$B$97</definedName>
    <definedName name="bone_breaker_bonus">Constants!$C$129</definedName>
    <definedName name="bone_breaker_cap">Constants!$F$129</definedName>
    <definedName name="bonus_jobs_facts">Constants!$B$171</definedName>
    <definedName name="building_employment">Constants!$B$134</definedName>
    <definedName name="dark_elf">Military!$CO$8</definedName>
    <definedName name="days_late">Overview!$B$18</definedName>
    <definedName name="days_late_def_specs">Constants!$E$52</definedName>
    <definedName name="days_late_draftees">Constants!$E$53</definedName>
    <definedName name="days_late_food">Constants!$E$48</definedName>
    <definedName name="days_late_lumber">Constants!$E$49</definedName>
    <definedName name="days_late_mana">Constants!$E$51</definedName>
    <definedName name="days_late_ore">Constants!$E$50</definedName>
    <definedName name="days_late_peasants">Constants!$E$46</definedName>
    <definedName name="days_late_plat">Constants!$E$47</definedName>
    <definedName name="demon">Military!$CO$13</definedName>
    <definedName name="demonic_pact_food_cons">Constants!$F$93</definedName>
    <definedName name="demonic_pact_plat">Constants!$F$92</definedName>
    <definedName name="dm_gems">Constants!$B$8</definedName>
    <definedName name="dock_boats_hr">Constants!$B$10</definedName>
    <definedName name="dock_food">Constants!$D$10</definedName>
    <definedName name="druid_dp_bonus">Constants!$C$121</definedName>
    <definedName name="druid_dp_cap">Constants!$F$121</definedName>
    <definedName name="druid_op_bonus">Constants!$C$120</definedName>
    <definedName name="druid_op_cap">Constants!$F$120</definedName>
    <definedName name="dryad_bonus">Constants!$C$122</definedName>
    <definedName name="dryad_cap">Constants!$F$122</definedName>
    <definedName name="elite1_base_dp">Military!$CO$19</definedName>
    <definedName name="elite1_base_op">Military!$CO$18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Military!$CO$21</definedName>
    <definedName name="elite2_base_op">Military!$CO$20</definedName>
    <definedName name="elite2_dp">Overview!$C$25</definedName>
    <definedName name="elite2_name">Overview!$A$25</definedName>
    <definedName name="elite2_op">Overview!$B$25</definedName>
    <definedName name="elite2_ore">Overview!$E$25</definedName>
    <definedName name="elite2_plat">Overview!$D$25</definedName>
    <definedName name="explore_tech_divisor">Constants!$M$144</definedName>
    <definedName name="facs_constr_factor">Constants!$B$21</definedName>
    <definedName name="facs_constr_max">Constants!$D$21</definedName>
    <definedName name="facs_rezone_factor">Constants!$B$22</definedName>
    <definedName name="facs_rezone_max">Constants!$D$22</definedName>
    <definedName name="farm_food">Constants!$B$5</definedName>
    <definedName name="favorable_terrain_bonus">Constants!$D$90</definedName>
    <definedName name="favorable_terrain_max">Constants!$F$90</definedName>
    <definedName name="fh_lumber">Constants!$B$11</definedName>
    <definedName name="fh_peas_dp">Constants!$B$14</definedName>
    <definedName name="fh_spy_cost_cap">Constants!$D$15</definedName>
    <definedName name="fh_spy_cost_red">Constants!$B$15</definedName>
    <definedName name="food_decay">Constants!$B$56</definedName>
    <definedName name="food_per_person">Constants!$B$60</definedName>
    <definedName name="frenzy_bonus">Constants!$F$82</definedName>
    <definedName name="frost_mage_bonus">Constants!$C$126</definedName>
    <definedName name="frost_mage_cap">Constants!$F$126</definedName>
    <definedName name="gaias_blessing_food">Constants!$F$84</definedName>
    <definedName name="gaias_blessing_lumber">Constants!$H$84</definedName>
    <definedName name="gaias_watch_bonus">Constants!$F$75</definedName>
    <definedName name="gem_invest">Constants!$B$165</definedName>
    <definedName name="global_constr_cap">Constants!$B$168</definedName>
    <definedName name="gn_bonus">Constants!$B$13</definedName>
    <definedName name="gn_bonus_cap">Constants!$D$13</definedName>
    <definedName name="gnome">Military!$CO$7</definedName>
    <definedName name="gt_bonus">Constants!$B$12</definedName>
    <definedName name="gt_bonus_cap">Constants!$D$12</definedName>
    <definedName name="harbor_towers_cap">Constants!$D$110</definedName>
    <definedName name="harbor_towers_param">Constants!$D$115</definedName>
    <definedName name="harmony_bonus">Constants!$F$78</definedName>
    <definedName name="home_land">Overview!$B$73</definedName>
    <definedName name="howling_dp_bonus">Constants!$H$85</definedName>
    <definedName name="howling_op_bonus">Constants!$F$85</definedName>
    <definedName name="ice_elem_bonus">Constants!$C$127</definedName>
    <definedName name="ice_elem_cap">Constants!$F$127</definedName>
    <definedName name="icekin">Military!$CO$10</definedName>
    <definedName name="Imps">Imps!$CE$35:$CE$40</definedName>
    <definedName name="infernal_cmd_op">Constants!$F$94</definedName>
    <definedName name="keep_cap">Constants!$D$107</definedName>
    <definedName name="keep_param">Constants!$D$112</definedName>
    <definedName name="kobold">Military!$CO$9</definedName>
    <definedName name="lumber_invest">Constants!$B$163</definedName>
    <definedName name="lumber_rot">Constants!$B$57</definedName>
    <definedName name="ly_lumber">Constants!$B$6</definedName>
    <definedName name="mana_drain">Constants!$B$58</definedName>
    <definedName name="mason_bonus">Constants!$B$20</definedName>
    <definedName name="mech_genius_bonus">Constants!$F$81</definedName>
    <definedName name="midas_bonus">Constants!$F$79</definedName>
    <definedName name="min_tech_cost">Constants!$M$64</definedName>
    <definedName name="miners_sight_bonus">Constants!$F$80</definedName>
    <definedName name="mining_strength_bonus">Constants!$F$76</definedName>
    <definedName name="mystic_bonus">Constants!$C$119</definedName>
    <definedName name="mystic_cap">Constants!$F$119</definedName>
    <definedName name="nightfall_bonus">Constants!$F$89</definedName>
    <definedName name="nightshade_bonus">Constants!$C$130</definedName>
    <definedName name="nox">Military!$CO$12</definedName>
    <definedName name="nox_nightshade_cap">Constants!$F$130</definedName>
    <definedName name="nox_nightshade_swamp_bonus">Constants!$C$130</definedName>
    <definedName name="om_ore">Constants!$B$7</definedName>
    <definedName name="orc">Military!$CO$11</definedName>
    <definedName name="ore_invest">Constants!$B$164</definedName>
    <definedName name="plat_invest">Constants!$B$162</definedName>
    <definedName name="pop_in_building">Constants!$B$68</definedName>
    <definedName name="pop_in_home">Constants!$B$65</definedName>
    <definedName name="pop_on_barren">Constants!$B$69</definedName>
    <definedName name="prestige_food_bonus">Constants!$B$101</definedName>
    <definedName name="prestige_multiplier">Constants!$B$102</definedName>
    <definedName name="prestige_offense_bonus">Constants!$B$103</definedName>
    <definedName name="prestige_pop_multiplier">Constants!$B$102</definedName>
    <definedName name="race">Overview!$B$14</definedName>
    <definedName name="race_construction_cost">Overview!$I$31</definedName>
    <definedName name="race_defense">Overview!$I$25</definedName>
    <definedName name="race_food_bonus">Overview!$I$19</definedName>
    <definedName name="race_food_consumption">Overview!$I$24</definedName>
    <definedName name="race_gem_bonus">Overview!$I$23</definedName>
    <definedName name="race_invest_bonus">Overview!$I$29</definedName>
    <definedName name="race_lumber_bonus">Overview!$I$20</definedName>
    <definedName name="race_mana_bonus">Overview!$I$21</definedName>
    <definedName name="race_offense">Overview!$I$26</definedName>
    <definedName name="race_ore_bonus">Overview!$I$22</definedName>
    <definedName name="race_platinum_bonus">Overview!$I$18</definedName>
    <definedName name="race_pop_bonus">Overview!$I$16</definedName>
    <definedName name="race_pop_growth">Overview!$I$17</definedName>
    <definedName name="race_rezone_cost">Overview!$I$30</definedName>
    <definedName name="race_spy_strength">Overview!$I$27</definedName>
    <definedName name="race_wizard_strength">Overview!$I$28</definedName>
    <definedName name="races">Races!$A$98:$A$118</definedName>
    <definedName name="raw_drafting">Constants!$B$55</definedName>
    <definedName name="raw_pop_growth">Constants!$B$54</definedName>
    <definedName name="research_bonus">Overview!$I$32</definedName>
    <definedName name="resources">Imps!$CE$30:$CE$33</definedName>
    <definedName name="rocka_bonus">Constants!$C$123</definedName>
    <definedName name="rocka_cap">Constants!$F$123</definedName>
    <definedName name="school_max">Constants!$D$23</definedName>
    <definedName name="school_rp">Constants!$B$23</definedName>
    <definedName name="science_cap">Constants!$D$108</definedName>
    <definedName name="science_param">Constants!$D$113</definedName>
    <definedName name="secondary_resource">Military!$AR$2</definedName>
    <definedName name="smithy_bonus">Constants!$B$19</definedName>
    <definedName name="smithy_bonus_cap">Constants!$D$19</definedName>
    <definedName name="solver_adj" localSheetId="4" hidden="1">Explore!$M$37:$M$50</definedName>
    <definedName name="solver_adj" localSheetId="6" hidden="1">Military!$AJ$64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Military!$AQ$67</definedName>
    <definedName name="solver_lhs2" localSheetId="6" hidden="1">Military!$AJ$64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Military!$AJ$64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cres">Constants!$B$176</definedName>
    <definedName name="start_acres_test">Overview!$M$50</definedName>
    <definedName name="start_alchs">Constants!$B$26</definedName>
    <definedName name="start_ams">Constants!$B$42</definedName>
    <definedName name="start_ass">Constants!$B$40</definedName>
    <definedName name="start_boats">Constants!$B$51</definedName>
    <definedName name="start_caverns">Constants!$F$30</definedName>
    <definedName name="start_dm">Constants!$Q$26</definedName>
    <definedName name="start_docks">Constants!$S$26</definedName>
    <definedName name="start_dp_specs">Constants!$B$36</definedName>
    <definedName name="start_draftees">Constants!$B$34</definedName>
    <definedName name="start_elite1s">Constants!$B$37</definedName>
    <definedName name="start_elite2s">Constants!$B$38</definedName>
    <definedName name="start_facs">Constants!$J$26</definedName>
    <definedName name="start_farms">Constants!$C$26</definedName>
    <definedName name="start_food">Constants!$B$46</definedName>
    <definedName name="start_forest">Constants!$B$30</definedName>
    <definedName name="start_gems">Constants!$B$50</definedName>
    <definedName name="start_gn">Constants!$I$26</definedName>
    <definedName name="start_gt">Constants!$K$26</definedName>
    <definedName name="start_havens">Constants!$G$26</definedName>
    <definedName name="start_hills">Constants!$D$30</definedName>
    <definedName name="start_homes">Constants!$A$26</definedName>
    <definedName name="start_lumber">Constants!$B$47</definedName>
    <definedName name="start_ly">Constants!$F$26</definedName>
    <definedName name="start_mana">Constants!$B$48</definedName>
    <definedName name="start_masons">Constants!$E$26</definedName>
    <definedName name="start_mountains">Constants!$C$30</definedName>
    <definedName name="start_om">Constants!$H$26</definedName>
    <definedName name="start_op_specs">Constants!$B$35</definedName>
    <definedName name="start_ore">Constants!$B$49</definedName>
    <definedName name="start_peasants">Constants!$B$33</definedName>
    <definedName name="start_plains">Constants!$A$30</definedName>
    <definedName name="start_plat">Constants!$B$45</definedName>
    <definedName name="start_prestige">Constants!$B$100</definedName>
    <definedName name="start_rax">Constants!$L$26</definedName>
    <definedName name="start_schools">Constants!$R$26</definedName>
    <definedName name="start_shrines">Constants!$M$26</definedName>
    <definedName name="start_smithies">Constants!$D$26</definedName>
    <definedName name="start_spies">Constants!$B$39</definedName>
    <definedName name="start_swamp">Constants!$E$30</definedName>
    <definedName name="start_temples">Constants!$O$26</definedName>
    <definedName name="start_towers">Constants!$N$26</definedName>
    <definedName name="start_water">Constants!$G$30</definedName>
    <definedName name="start_wg">Constants!$P$26</definedName>
    <definedName name="start_wizards">Constants!$B$41</definedName>
    <definedName name="sylvan">Military!$CO$6</definedName>
    <definedName name="tax">Constants!$B$61</definedName>
    <definedName name="tech_1_1">Constants!$M$67</definedName>
    <definedName name="tech_1_10">Constants!$M$76</definedName>
    <definedName name="tech_1_11">Constants!$M$77</definedName>
    <definedName name="tech_1_2">Constants!$M$68</definedName>
    <definedName name="tech_1_3">Constants!$M$69</definedName>
    <definedName name="tech_1_4">Constants!$M$70</definedName>
    <definedName name="tech_1_5">Constants!$M$71</definedName>
    <definedName name="tech_1_6">Constants!$M$72</definedName>
    <definedName name="tech_1_7">Constants!$M$73</definedName>
    <definedName name="tech_1_8">Constants!$M$74</definedName>
    <definedName name="tech_1_9">Constants!$M$75</definedName>
    <definedName name="tech_1_9_2">Constants!$O$75</definedName>
    <definedName name="tech_10_1">Constants!$M$139</definedName>
    <definedName name="tech_10_2">Constants!$M$140</definedName>
    <definedName name="tech_11_1">Constants!$M$142</definedName>
    <definedName name="tech_2_1">Constants!$M$79</definedName>
    <definedName name="tech_2_10">Constants!$M$88</definedName>
    <definedName name="tech_2_2">Constants!$M$80</definedName>
    <definedName name="tech_2_3">Constants!$M$81</definedName>
    <definedName name="tech_2_4">Constants!$M$82</definedName>
    <definedName name="tech_2_5">Constants!$M$83</definedName>
    <definedName name="tech_2_6">Constants!$M$84</definedName>
    <definedName name="tech_2_6_2">Constants!$O$84</definedName>
    <definedName name="tech_2_7">Constants!$M$85</definedName>
    <definedName name="tech_2_8">Constants!$M$86</definedName>
    <definedName name="tech_2_9">Constants!$M$87</definedName>
    <definedName name="tech_2_9_2">Constants!$O$87</definedName>
    <definedName name="tech_3_1">Constants!$M$90</definedName>
    <definedName name="tech_3_2">Constants!$M$91</definedName>
    <definedName name="tech_3_3">Constants!$M$92</definedName>
    <definedName name="tech_3_3_2">Constants!$O$92</definedName>
    <definedName name="tech_3_4">Constants!$M$93</definedName>
    <definedName name="tech_3_4_2">Constants!$O$93</definedName>
    <definedName name="tech_3_5">Constants!$M$94</definedName>
    <definedName name="tech_3_6">Constants!$M$95</definedName>
    <definedName name="tech_3_7">Constants!$M$96</definedName>
    <definedName name="tech_3_7_2">Constants!$O$96</definedName>
    <definedName name="tech_3_8">Constants!$M$97</definedName>
    <definedName name="tech_3_9">Constants!$M$98</definedName>
    <definedName name="tech_4_1">Constants!$M$100</definedName>
    <definedName name="tech_4_2">Constants!$M$101</definedName>
    <definedName name="tech_4_3">Constants!$M$102</definedName>
    <definedName name="tech_4_3_2">Constants!$O$102</definedName>
    <definedName name="tech_4_4">Constants!$M$103</definedName>
    <definedName name="tech_4_5">Constants!$M$104</definedName>
    <definedName name="tech_4_6">Constants!$M$105</definedName>
    <definedName name="tech_4_7">Constants!$M$106</definedName>
    <definedName name="tech_4_8">Constants!$M$107</definedName>
    <definedName name="tech_5_1">Constants!$M$109</definedName>
    <definedName name="tech_5_2">Constants!$M$110</definedName>
    <definedName name="tech_5_2_3">Constants!$O$110</definedName>
    <definedName name="tech_5_3">Constants!$M$111</definedName>
    <definedName name="tech_5_4">Constants!$M$112</definedName>
    <definedName name="tech_5_4_2">Constants!$O$112</definedName>
    <definedName name="tech_5_5">Constants!$M$113</definedName>
    <definedName name="tech_5_6">Constants!$M$114</definedName>
    <definedName name="tech_5_7">Constants!$M$115</definedName>
    <definedName name="tech_6_1">Constants!$M$117</definedName>
    <definedName name="tech_6_2">Constants!$M$118</definedName>
    <definedName name="tech_6_2_2">Constants!$O$118</definedName>
    <definedName name="tech_6_3">Constants!$M$119</definedName>
    <definedName name="tech_6_3_2">Constants!$O$119</definedName>
    <definedName name="tech_6_3_3">Constants!$Q$119</definedName>
    <definedName name="tech_6_4">Constants!$M$120</definedName>
    <definedName name="tech_6_5">Constants!$M$121</definedName>
    <definedName name="tech_6_5_2">Constants!$O$121</definedName>
    <definedName name="tech_6_6">Constants!$M$122</definedName>
    <definedName name="tech_6_6_2">Constants!$O$122</definedName>
    <definedName name="tech_7__2">Constants!$O$128</definedName>
    <definedName name="tech_7_1">Constants!$M$124</definedName>
    <definedName name="tech_7_2">Constants!$M$125</definedName>
    <definedName name="tech_7_3">Constants!$M$126</definedName>
    <definedName name="tech_7_3_2">Constants!$O$126</definedName>
    <definedName name="tech_7_4">Constants!$M$127</definedName>
    <definedName name="tech_7_5">Constants!$M$128</definedName>
    <definedName name="tech_8_1">Constants!$M$130</definedName>
    <definedName name="tech_8_2">Constants!$M$131</definedName>
    <definedName name="tech_8_3">Constants!$M$132</definedName>
    <definedName name="tech_8_4">Constants!$M$133</definedName>
    <definedName name="tech_9_1">Constants!$M$135</definedName>
    <definedName name="tech_9_1_2">Constants!$O$135</definedName>
    <definedName name="tech_9_2">Constants!$M$136</definedName>
    <definedName name="tech_9_3">Constants!$M$137</definedName>
    <definedName name="tech_conquerors_crafts">Constants!$M$55</definedName>
    <definedName name="tech_construction">Constants!$M$39</definedName>
    <definedName name="tech_construction_pop">Constants!$M$41</definedName>
    <definedName name="tech_construction_rezone">Constants!$M$40</definedName>
    <definedName name="tech_cost_per_acre">Constants!$M$62</definedName>
    <definedName name="tech_enchanted_lands_explore">Constants!$M$56</definedName>
    <definedName name="tech_enchanted_lands_mana">Constants!$O$56</definedName>
    <definedName name="tech_explore_cost">Constants!$M$36</definedName>
    <definedName name="tech_explore_cost2">Constants!$M$38</definedName>
    <definedName name="tech_explore_draft1">Constants!$M$37</definedName>
    <definedName name="tech_explore_draft2">Constants!$O$38</definedName>
    <definedName name="tech_fruits_of_labor_gems">Constants!$O$52</definedName>
    <definedName name="tech_fruits_of_labor1">Constants!$M$52</definedName>
    <definedName name="tech_magical_weaponry_op">Constants!$M$58</definedName>
    <definedName name="tech_magical_weaponry_wiz">Constants!$O$58</definedName>
    <definedName name="tech_master_of_frugality">Constants!$M$51</definedName>
    <definedName name="tech_military_offense">Constants!$M$44</definedName>
    <definedName name="tech_production_food">Constants!$M$33</definedName>
    <definedName name="tech_production_gems">Constants!$M$34</definedName>
    <definedName name="tech_production_plat">Constants!$M$35</definedName>
    <definedName name="tech_spy_cost">Constants!$M$46</definedName>
    <definedName name="tech_treasure_hunt_plat">Constants!$M$54</definedName>
    <definedName name="tech_urban_mastery_pop">Constants!$M$53</definedName>
    <definedName name="tech_wizard_cost">Constants!$M$49</definedName>
    <definedName name="tower_mana">Constants!$B$9</definedName>
    <definedName name="towers_param">Constants!$D$116</definedName>
    <definedName name="voodoo_magi_bonus">Constants!$C$128</definedName>
    <definedName name="voodoo_magi_cap">Constants!$F$128</definedName>
    <definedName name="walls_forges_cap">Constants!$D$109</definedName>
    <definedName name="walls_forges_param">Constants!$D$114</definedName>
    <definedName name="warsong_bonus">Constants!$F$83</definedName>
    <definedName name="waves">Races!$D$99:$D$104</definedName>
    <definedName name="wg_mana_prod">Constants!$B$18</definedName>
    <definedName name="wg_spell_cost_cap">Constants!$D$16</definedName>
    <definedName name="wg_spell_cost_red">Constants!$B$16</definedName>
    <definedName name="wg_wiz_cost_bonus">Constants!$B$17</definedName>
    <definedName name="wg_wiz_cost_cap">Constants!$D$17</definedName>
    <definedName name="wisp_bonus">Constants!$C$174</definedName>
    <definedName name="wisp_cap">Constants!$E$174</definedName>
    <definedName name="wizard_plat">Overview!$D$28</definedName>
    <definedName name="woodie">Military!$CO$5</definedName>
  </definedNames>
  <calcPr calcId="191029"/>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E15" i="4"/>
  <c r="K4" i="8" l="1"/>
  <c r="K5" i="8" s="1"/>
  <c r="K6" i="8" s="1"/>
  <c r="K7" i="8" s="1"/>
  <c r="K8" i="8" s="1"/>
  <c r="K9" i="8" s="1"/>
  <c r="K10" i="8" s="1"/>
  <c r="K11" i="8" s="1"/>
  <c r="K12" i="8" s="1"/>
  <c r="K13" i="8" s="1"/>
  <c r="K14" i="8" s="1"/>
  <c r="K15" i="8" s="1"/>
  <c r="B97" i="6"/>
  <c r="I92" i="3" l="1"/>
  <c r="I91" i="3"/>
  <c r="I88" i="3"/>
  <c r="I87" i="3"/>
  <c r="I84" i="3"/>
  <c r="I83" i="3"/>
  <c r="I80" i="3"/>
  <c r="I79" i="3"/>
  <c r="I76" i="3"/>
  <c r="I75" i="3"/>
  <c r="I72" i="3"/>
  <c r="I71" i="3"/>
  <c r="I68" i="3"/>
  <c r="I67" i="3"/>
  <c r="I64" i="3"/>
  <c r="I63" i="3"/>
  <c r="I60" i="3"/>
  <c r="I59" i="3"/>
  <c r="I56" i="3"/>
  <c r="I55" i="3"/>
  <c r="I52" i="3"/>
  <c r="I51" i="3"/>
  <c r="I48" i="3"/>
  <c r="I47" i="3"/>
  <c r="I44" i="3"/>
  <c r="I43" i="3"/>
  <c r="I40" i="3"/>
  <c r="I39" i="3"/>
  <c r="I36" i="3"/>
  <c r="I35" i="3"/>
  <c r="I32" i="3"/>
  <c r="I31" i="3"/>
  <c r="I28" i="3"/>
  <c r="I27" i="3"/>
  <c r="I24" i="3"/>
  <c r="I23" i="3"/>
  <c r="I20" i="3"/>
  <c r="I19" i="3"/>
  <c r="I16" i="3"/>
  <c r="I15" i="3"/>
  <c r="I12" i="3"/>
  <c r="I11" i="3"/>
  <c r="I8" i="3"/>
  <c r="I7" i="3"/>
  <c r="B69" i="6" l="1"/>
  <c r="D15" i="5"/>
  <c r="D14" i="5"/>
  <c r="D13" i="5"/>
  <c r="D12" i="5"/>
  <c r="D11" i="5"/>
  <c r="D10" i="5"/>
  <c r="D9" i="5"/>
  <c r="D8" i="5"/>
  <c r="D7" i="5"/>
  <c r="D6" i="5"/>
  <c r="D4" i="5"/>
  <c r="D5" i="5"/>
  <c r="S26" i="6" l="1"/>
  <c r="R26" i="6"/>
  <c r="Q26" i="6"/>
  <c r="BO4" i="5" s="1"/>
  <c r="P26" i="6"/>
  <c r="BN4" i="5" s="1"/>
  <c r="O26" i="6"/>
  <c r="BM4" i="5" s="1"/>
  <c r="N26" i="6"/>
  <c r="BL4" i="5" s="1"/>
  <c r="M26" i="6"/>
  <c r="BK4" i="5" s="1"/>
  <c r="L26" i="6"/>
  <c r="BJ4" i="5" s="1"/>
  <c r="K26" i="6"/>
  <c r="BI4" i="5" s="1"/>
  <c r="J26" i="6"/>
  <c r="BH4" i="5" s="1"/>
  <c r="I26" i="6"/>
  <c r="BG4" i="5" s="1"/>
  <c r="H26" i="6"/>
  <c r="BF4" i="5" s="1"/>
  <c r="G26" i="6"/>
  <c r="BE4" i="5" s="1"/>
  <c r="F26" i="6"/>
  <c r="BD4" i="5" s="1"/>
  <c r="E26" i="6"/>
  <c r="BC4" i="5" s="1"/>
  <c r="D26" i="6"/>
  <c r="BB4" i="5" s="1"/>
  <c r="C26" i="6"/>
  <c r="BA4" i="5" s="1"/>
  <c r="B26" i="6"/>
  <c r="A26" i="6"/>
  <c r="AY4" i="5" s="1"/>
  <c r="BQ4" i="5"/>
  <c r="BP4" i="5"/>
  <c r="AZ4" i="5"/>
  <c r="L35" i="4"/>
  <c r="M35" i="4" s="1"/>
  <c r="M69" i="7" l="1"/>
  <c r="M68" i="7"/>
  <c r="M67" i="7"/>
  <c r="M66" i="7"/>
  <c r="M65" i="7"/>
  <c r="M64" i="7"/>
  <c r="M63" i="7"/>
  <c r="M62" i="7"/>
  <c r="M61" i="7"/>
  <c r="M60" i="7"/>
  <c r="M59" i="7"/>
  <c r="M58" i="7"/>
  <c r="M57" i="7"/>
  <c r="M56" i="7"/>
  <c r="M55" i="7"/>
  <c r="Z4" i="8"/>
  <c r="A55" i="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116" i="1" s="1"/>
  <c r="A117" i="1" s="1"/>
  <c r="A118" i="1" s="1"/>
  <c r="A119" i="1" s="1"/>
  <c r="A120" i="1" s="1"/>
  <c r="A121" i="1" s="1"/>
  <c r="A122" i="1" s="1"/>
  <c r="A123" i="1" s="1"/>
  <c r="A124" i="1" s="1"/>
  <c r="A125" i="1" s="1"/>
  <c r="A126" i="1" s="1"/>
  <c r="A127" i="1" s="1"/>
  <c r="A128" i="1" s="1"/>
  <c r="A129" i="1" s="1"/>
  <c r="A130" i="1" s="1"/>
  <c r="A131" i="1" s="1"/>
  <c r="A132" i="1" s="1"/>
  <c r="A133" i="1" s="1"/>
  <c r="A134" i="1" s="1"/>
  <c r="A135" i="1" s="1"/>
  <c r="A136" i="1" s="1"/>
  <c r="A54" i="1"/>
  <c r="L57" i="7"/>
  <c r="L58" i="7" s="1"/>
  <c r="L59" i="7" s="1"/>
  <c r="L60" i="7" s="1"/>
  <c r="L61" i="7" s="1"/>
  <c r="L62" i="7" s="1"/>
  <c r="L63" i="7" s="1"/>
  <c r="L64" i="7" s="1"/>
  <c r="L65" i="7" s="1"/>
  <c r="L66" i="7" s="1"/>
  <c r="L67" i="7" s="1"/>
  <c r="L68" i="7" s="1"/>
  <c r="L69" i="7" s="1"/>
  <c r="L56" i="7"/>
  <c r="E98" i="4" l="1"/>
  <c r="E89" i="4"/>
  <c r="CO13" i="8"/>
  <c r="AQ4" i="9"/>
  <c r="CM4" i="8" s="1"/>
  <c r="AQ5" i="9" l="1"/>
  <c r="CM5" i="8" s="1"/>
  <c r="L144" i="6"/>
  <c r="M144" i="6" s="1"/>
  <c r="AQ6" i="9" l="1"/>
  <c r="CM6" i="8" s="1"/>
  <c r="M96" i="6"/>
  <c r="M87" i="6"/>
  <c r="M84" i="6"/>
  <c r="AQ7" i="9" l="1"/>
  <c r="CM7" i="8" s="1"/>
  <c r="AT76" i="5"/>
  <c r="AT75" i="5"/>
  <c r="AT74" i="5"/>
  <c r="AT73" i="5"/>
  <c r="AT72" i="5"/>
  <c r="AT71" i="5"/>
  <c r="AT70" i="5"/>
  <c r="AT69" i="5"/>
  <c r="AT68" i="5"/>
  <c r="AT67" i="5"/>
  <c r="AT66" i="5"/>
  <c r="AT65" i="5"/>
  <c r="AT64" i="5"/>
  <c r="AT63" i="5"/>
  <c r="AT62" i="5"/>
  <c r="AT61" i="5"/>
  <c r="AT60" i="5"/>
  <c r="AQ8" i="9" l="1"/>
  <c r="CM8" i="8" s="1"/>
  <c r="AI4" i="9"/>
  <c r="AO4" i="8" s="1"/>
  <c r="B27" i="4"/>
  <c r="I4" i="8"/>
  <c r="I5" i="8" s="1"/>
  <c r="I6" i="8" s="1"/>
  <c r="I7" i="8" s="1"/>
  <c r="I8" i="8" s="1"/>
  <c r="I9" i="8" s="1"/>
  <c r="I10" i="8" s="1"/>
  <c r="I11" i="8" s="1"/>
  <c r="I12" i="8" s="1"/>
  <c r="I13" i="8" s="1"/>
  <c r="I14" i="8" s="1"/>
  <c r="J4" i="8"/>
  <c r="J5" i="8" s="1"/>
  <c r="J6" i="8" s="1"/>
  <c r="J7" i="8" s="1"/>
  <c r="J8" i="8" s="1"/>
  <c r="J9" i="8" s="1"/>
  <c r="J10" i="8" s="1"/>
  <c r="J11" i="8" s="1"/>
  <c r="J12" i="8" s="1"/>
  <c r="J13" i="8" s="1"/>
  <c r="J14" i="8" s="1"/>
  <c r="J15" i="8" s="1"/>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J41" i="8" s="1"/>
  <c r="J42" i="8" s="1"/>
  <c r="J43" i="8" s="1"/>
  <c r="J44" i="8" s="1"/>
  <c r="J45" i="8" s="1"/>
  <c r="J46" i="8" s="1"/>
  <c r="J47" i="8" s="1"/>
  <c r="J48" i="8" s="1"/>
  <c r="J49" i="8" s="1"/>
  <c r="J50" i="8" s="1"/>
  <c r="J51" i="8" s="1"/>
  <c r="J52" i="8" s="1"/>
  <c r="E96" i="4"/>
  <c r="E97" i="4"/>
  <c r="E95" i="4"/>
  <c r="E94" i="4"/>
  <c r="D94" i="4"/>
  <c r="A4" i="1"/>
  <c r="AQ9" i="9" l="1"/>
  <c r="CM9" i="8" s="1"/>
  <c r="J53" i="8"/>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J76" i="8" s="1"/>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B49" i="4"/>
  <c r="AI5" i="9"/>
  <c r="AO5" i="8" s="1"/>
  <c r="E27" i="4"/>
  <c r="D27" i="4"/>
  <c r="C27" i="4"/>
  <c r="AP4" i="9"/>
  <c r="AP5" i="9" s="1"/>
  <c r="AP6" i="9" s="1"/>
  <c r="AP7" i="9" s="1"/>
  <c r="AP8" i="9" s="1"/>
  <c r="AP9" i="9" s="1"/>
  <c r="AP10" i="9" s="1"/>
  <c r="AP11" i="9" s="1"/>
  <c r="AP12" i="9" s="1"/>
  <c r="AP13" i="9" s="1"/>
  <c r="AP14" i="9" s="1"/>
  <c r="AP15" i="9" s="1"/>
  <c r="AP16" i="9" s="1"/>
  <c r="AP17" i="9" s="1"/>
  <c r="AP18" i="9" s="1"/>
  <c r="AP19" i="9" s="1"/>
  <c r="AP20" i="9" s="1"/>
  <c r="AP21" i="9" s="1"/>
  <c r="AP22" i="9" s="1"/>
  <c r="AP23" i="9" s="1"/>
  <c r="AP24" i="9" s="1"/>
  <c r="AP25" i="9" s="1"/>
  <c r="AP26" i="9" s="1"/>
  <c r="AP27" i="9" s="1"/>
  <c r="AP28" i="9" s="1"/>
  <c r="AP29" i="9" s="1"/>
  <c r="AP30" i="9" s="1"/>
  <c r="AP31" i="9" s="1"/>
  <c r="AP32" i="9" s="1"/>
  <c r="AP33" i="9" s="1"/>
  <c r="AP34" i="9" s="1"/>
  <c r="AP35" i="9" s="1"/>
  <c r="AP36" i="9" s="1"/>
  <c r="AP37" i="9" s="1"/>
  <c r="AP38" i="9" s="1"/>
  <c r="AP39" i="9" s="1"/>
  <c r="AP40" i="9" s="1"/>
  <c r="AP41" i="9" s="1"/>
  <c r="AP42" i="9" s="1"/>
  <c r="AP43" i="9" s="1"/>
  <c r="AP44" i="9" s="1"/>
  <c r="AP45" i="9" s="1"/>
  <c r="AP46" i="9" s="1"/>
  <c r="AP47" i="9" s="1"/>
  <c r="AP48" i="9" s="1"/>
  <c r="AP49" i="9" s="1"/>
  <c r="AP50" i="9" s="1"/>
  <c r="AP51" i="9" s="1"/>
  <c r="AP52" i="9" s="1"/>
  <c r="AP53" i="9" s="1"/>
  <c r="AP54" i="9" s="1"/>
  <c r="AP55" i="9" s="1"/>
  <c r="AP56" i="9" s="1"/>
  <c r="AP57" i="9" s="1"/>
  <c r="AP58" i="9" s="1"/>
  <c r="AP59" i="9" s="1"/>
  <c r="AP60" i="9" s="1"/>
  <c r="AP61" i="9" s="1"/>
  <c r="AP62" i="9" s="1"/>
  <c r="AP63" i="9" s="1"/>
  <c r="AP64" i="9" s="1"/>
  <c r="AP65" i="9" s="1"/>
  <c r="AP66" i="9" s="1"/>
  <c r="AP67" i="9" s="1"/>
  <c r="AP68" i="9" s="1"/>
  <c r="AP69" i="9" s="1"/>
  <c r="AP70" i="9" s="1"/>
  <c r="AP71" i="9" s="1"/>
  <c r="AP72" i="9" s="1"/>
  <c r="AP73" i="9" s="1"/>
  <c r="AP74" i="9" s="1"/>
  <c r="AP75" i="9" s="1"/>
  <c r="AP76" i="9" s="1"/>
  <c r="AP77" i="9" s="1"/>
  <c r="AP78" i="9" s="1"/>
  <c r="AP79" i="9" s="1"/>
  <c r="AP80" i="9" s="1"/>
  <c r="AP81" i="9" s="1"/>
  <c r="AP82" i="9" s="1"/>
  <c r="AP83" i="9" s="1"/>
  <c r="AP84" i="9" s="1"/>
  <c r="AP85" i="9" s="1"/>
  <c r="AP86" i="9" s="1"/>
  <c r="AP87" i="9" s="1"/>
  <c r="AP88" i="9" s="1"/>
  <c r="AP89" i="9" s="1"/>
  <c r="AP90" i="9" s="1"/>
  <c r="AP91" i="9" s="1"/>
  <c r="AP92" i="9" s="1"/>
  <c r="AP93" i="9" s="1"/>
  <c r="AP94" i="9" s="1"/>
  <c r="AP95" i="9" s="1"/>
  <c r="AP96" i="9" s="1"/>
  <c r="AP97" i="9" s="1"/>
  <c r="AP98" i="9" s="1"/>
  <c r="AP99" i="9" s="1"/>
  <c r="AP100" i="9" s="1"/>
  <c r="AP101" i="9" s="1"/>
  <c r="AP102" i="9" s="1"/>
  <c r="AP103" i="9" s="1"/>
  <c r="AP104" i="9" s="1"/>
  <c r="AP105" i="9" s="1"/>
  <c r="AP106" i="9" s="1"/>
  <c r="AP107" i="9" s="1"/>
  <c r="AP108" i="9" s="1"/>
  <c r="AP109" i="9" s="1"/>
  <c r="AP110" i="9" s="1"/>
  <c r="AP111" i="9" s="1"/>
  <c r="AP112" i="9" s="1"/>
  <c r="AP113" i="9" s="1"/>
  <c r="AP114" i="9" s="1"/>
  <c r="AP115" i="9" s="1"/>
  <c r="AP116" i="9" s="1"/>
  <c r="AP117" i="9" s="1"/>
  <c r="AP118" i="9" s="1"/>
  <c r="AP119" i="9" s="1"/>
  <c r="AP120" i="9" s="1"/>
  <c r="AP121" i="9" s="1"/>
  <c r="AP122" i="9" s="1"/>
  <c r="AP123" i="9" s="1"/>
  <c r="AP124" i="9" s="1"/>
  <c r="AP125" i="9" s="1"/>
  <c r="AP126" i="9" s="1"/>
  <c r="AP127" i="9" s="1"/>
  <c r="AP128" i="9" s="1"/>
  <c r="AP129" i="9" s="1"/>
  <c r="AP130" i="9" s="1"/>
  <c r="AP131" i="9" s="1"/>
  <c r="AP132" i="9" s="1"/>
  <c r="AP133" i="9" s="1"/>
  <c r="AP134" i="9" s="1"/>
  <c r="AP135" i="9" s="1"/>
  <c r="AP136" i="9" s="1"/>
  <c r="AO4" i="9"/>
  <c r="AO5" i="9" s="1"/>
  <c r="AQ10" i="9" l="1"/>
  <c r="CM10" i="8" s="1"/>
  <c r="AI6" i="9"/>
  <c r="AO6" i="8" s="1"/>
  <c r="I16" i="4"/>
  <c r="I17" i="4"/>
  <c r="I18" i="4"/>
  <c r="I19" i="4"/>
  <c r="I20" i="4"/>
  <c r="I21" i="4"/>
  <c r="I22" i="4"/>
  <c r="I23" i="4"/>
  <c r="I24" i="4"/>
  <c r="I25" i="4"/>
  <c r="I26" i="4"/>
  <c r="I27" i="4"/>
  <c r="I28" i="4"/>
  <c r="I29" i="4"/>
  <c r="I30" i="4"/>
  <c r="I31" i="4"/>
  <c r="I32" i="4"/>
  <c r="I33" i="4"/>
  <c r="AQ11" i="9" l="1"/>
  <c r="CM11" i="8" s="1"/>
  <c r="AI7" i="9"/>
  <c r="AO7" i="8" s="1"/>
  <c r="C26" i="4"/>
  <c r="C28" i="4"/>
  <c r="C29" i="4"/>
  <c r="B26" i="4"/>
  <c r="B28" i="4"/>
  <c r="B29" i="4"/>
  <c r="BU4" i="11"/>
  <c r="BT4" i="11"/>
  <c r="BS4" i="11"/>
  <c r="BR4" i="11"/>
  <c r="BP4" i="11"/>
  <c r="BN4" i="11"/>
  <c r="BI4"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4"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4"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U5" i="11"/>
  <c r="BU6" i="11"/>
  <c r="BU7" i="11"/>
  <c r="BU8" i="11"/>
  <c r="BU9" i="11"/>
  <c r="BU10" i="11"/>
  <c r="BU11" i="11"/>
  <c r="BU12" i="11"/>
  <c r="BU13" i="11"/>
  <c r="BU14" i="11"/>
  <c r="BU15" i="11"/>
  <c r="BU16" i="11"/>
  <c r="BU17" i="11"/>
  <c r="BU18" i="11"/>
  <c r="BU19" i="11"/>
  <c r="BU20" i="11"/>
  <c r="BU21" i="11"/>
  <c r="BU22" i="11"/>
  <c r="BU23" i="11"/>
  <c r="BU24" i="11"/>
  <c r="BU25" i="11"/>
  <c r="BU26" i="11"/>
  <c r="BU27" i="11"/>
  <c r="BU28" i="11"/>
  <c r="BU29" i="11"/>
  <c r="BU30" i="11"/>
  <c r="BU31" i="11"/>
  <c r="BU32" i="11"/>
  <c r="BU33" i="11"/>
  <c r="BU34" i="11"/>
  <c r="BU35" i="11"/>
  <c r="BU36" i="11"/>
  <c r="BU37" i="11"/>
  <c r="BU38" i="11"/>
  <c r="BU39" i="11"/>
  <c r="BU40" i="11"/>
  <c r="BU41" i="11"/>
  <c r="BU42" i="11"/>
  <c r="BU43" i="11"/>
  <c r="BU44" i="11"/>
  <c r="BU45" i="11"/>
  <c r="BU46" i="11"/>
  <c r="BU47" i="11"/>
  <c r="BU48" i="11"/>
  <c r="BU49" i="11"/>
  <c r="BU50" i="11"/>
  <c r="BU51" i="11"/>
  <c r="BU52" i="11"/>
  <c r="BU53" i="11"/>
  <c r="BU54" i="11"/>
  <c r="BU55" i="11"/>
  <c r="BU56" i="11"/>
  <c r="BU57" i="11"/>
  <c r="BU58" i="11"/>
  <c r="BU59" i="11"/>
  <c r="BU60" i="11"/>
  <c r="BU61" i="11"/>
  <c r="BU62" i="11"/>
  <c r="BU63" i="11"/>
  <c r="BU64" i="11"/>
  <c r="BU65" i="11"/>
  <c r="BU66" i="11"/>
  <c r="BU67" i="11"/>
  <c r="BU68" i="11"/>
  <c r="BU69" i="11"/>
  <c r="BU70" i="11"/>
  <c r="BU71" i="11"/>
  <c r="BU72" i="11"/>
  <c r="BU73" i="11"/>
  <c r="BU74" i="11"/>
  <c r="BU75" i="11"/>
  <c r="BU76" i="11"/>
  <c r="BU77" i="11"/>
  <c r="BU78" i="11"/>
  <c r="BU79" i="11"/>
  <c r="BU80" i="11"/>
  <c r="BU81" i="11"/>
  <c r="BU82" i="11"/>
  <c r="BU83" i="11"/>
  <c r="BU84" i="11"/>
  <c r="BU85" i="11"/>
  <c r="BU86" i="11"/>
  <c r="BU87" i="11"/>
  <c r="BU88" i="11"/>
  <c r="BU89" i="11"/>
  <c r="BU90" i="11"/>
  <c r="BU91" i="11"/>
  <c r="BU92" i="11"/>
  <c r="BU93" i="11"/>
  <c r="BU94" i="11"/>
  <c r="BU95" i="11"/>
  <c r="BU96" i="11"/>
  <c r="BU97" i="11"/>
  <c r="BU98" i="11"/>
  <c r="BU99" i="11"/>
  <c r="BU100" i="11"/>
  <c r="BU101" i="11"/>
  <c r="BU102" i="11"/>
  <c r="BU103" i="11"/>
  <c r="BU104" i="11"/>
  <c r="BU105" i="11"/>
  <c r="BU106" i="11"/>
  <c r="BU107" i="11"/>
  <c r="BU108" i="11"/>
  <c r="BU109" i="11"/>
  <c r="BU110" i="11"/>
  <c r="BU111" i="11"/>
  <c r="BU112" i="11"/>
  <c r="BU113" i="11"/>
  <c r="BU114" i="11"/>
  <c r="BU115" i="11"/>
  <c r="BU116" i="11"/>
  <c r="BU117" i="11"/>
  <c r="BU118" i="11"/>
  <c r="BU119" i="11"/>
  <c r="BU120" i="11"/>
  <c r="BU121" i="11"/>
  <c r="BU122" i="11"/>
  <c r="BU123" i="11"/>
  <c r="BU124" i="11"/>
  <c r="BU125" i="11"/>
  <c r="BU126" i="11"/>
  <c r="BU127" i="11"/>
  <c r="BU128" i="11"/>
  <c r="BU129" i="11"/>
  <c r="BU130" i="11"/>
  <c r="BU131" i="11"/>
  <c r="BU132" i="11"/>
  <c r="BU133" i="11"/>
  <c r="BU134" i="11"/>
  <c r="BU135" i="11"/>
  <c r="BU136" i="11"/>
  <c r="BP5" i="11"/>
  <c r="BP6" i="11"/>
  <c r="BP7" i="11"/>
  <c r="BP8" i="11"/>
  <c r="BP9" i="11"/>
  <c r="BP10" i="11"/>
  <c r="BP11" i="11"/>
  <c r="BP12" i="11"/>
  <c r="BP13" i="11"/>
  <c r="BP14" i="11"/>
  <c r="BP15" i="11"/>
  <c r="BP16" i="11"/>
  <c r="BP17" i="11"/>
  <c r="BP18" i="11"/>
  <c r="BP19" i="11"/>
  <c r="BP20" i="11"/>
  <c r="BP21" i="11"/>
  <c r="BP22" i="11"/>
  <c r="BP23" i="11"/>
  <c r="BP24" i="11"/>
  <c r="BP25" i="11"/>
  <c r="BP26" i="11"/>
  <c r="BP27" i="11"/>
  <c r="BP28" i="11"/>
  <c r="BP29" i="11"/>
  <c r="BP30" i="11"/>
  <c r="BP31" i="11"/>
  <c r="BP32" i="11"/>
  <c r="BP33" i="11"/>
  <c r="BP34" i="11"/>
  <c r="BP35" i="11"/>
  <c r="BP36" i="11"/>
  <c r="BP37" i="11"/>
  <c r="BP38" i="11"/>
  <c r="BP39" i="11"/>
  <c r="BP40" i="11"/>
  <c r="BP41" i="11"/>
  <c r="BP42" i="11"/>
  <c r="BP43" i="11"/>
  <c r="BP44" i="11"/>
  <c r="BP45" i="11"/>
  <c r="BP46" i="11"/>
  <c r="BP47" i="11"/>
  <c r="BP48" i="11"/>
  <c r="BP49" i="11"/>
  <c r="BP50" i="11"/>
  <c r="BP51" i="11"/>
  <c r="BP52" i="11"/>
  <c r="BP53" i="11"/>
  <c r="BP54" i="11"/>
  <c r="BP55" i="11"/>
  <c r="BP56" i="11"/>
  <c r="BP57" i="11"/>
  <c r="BP58" i="11"/>
  <c r="BP59" i="11"/>
  <c r="BP60" i="11"/>
  <c r="BP61" i="11"/>
  <c r="BP62" i="11"/>
  <c r="BP63" i="11"/>
  <c r="BP64" i="11"/>
  <c r="BP65" i="11"/>
  <c r="BP66" i="11"/>
  <c r="BP67" i="11"/>
  <c r="BP68" i="11"/>
  <c r="BP69" i="11"/>
  <c r="BP70" i="11"/>
  <c r="BP71" i="11"/>
  <c r="BP72" i="11"/>
  <c r="BP73" i="11"/>
  <c r="BP74" i="11"/>
  <c r="BP75" i="11"/>
  <c r="BP76" i="11"/>
  <c r="BP77" i="11"/>
  <c r="BP78" i="11"/>
  <c r="BP79" i="11"/>
  <c r="BP80" i="11"/>
  <c r="BP81" i="11"/>
  <c r="BP82" i="11"/>
  <c r="BP83" i="11"/>
  <c r="BP84" i="11"/>
  <c r="BP85" i="11"/>
  <c r="BP86" i="11"/>
  <c r="BP87" i="11"/>
  <c r="BP88" i="11"/>
  <c r="BP89" i="11"/>
  <c r="BP90" i="11"/>
  <c r="BP91" i="11"/>
  <c r="BP92" i="11"/>
  <c r="BP93" i="11"/>
  <c r="BP94" i="11"/>
  <c r="BP95" i="11"/>
  <c r="BP96" i="11"/>
  <c r="BP97" i="11"/>
  <c r="BP98" i="11"/>
  <c r="BP99" i="11"/>
  <c r="BP100" i="11"/>
  <c r="BP101" i="11"/>
  <c r="BP102" i="11"/>
  <c r="BP103" i="11"/>
  <c r="BP104" i="11"/>
  <c r="BP105" i="11"/>
  <c r="BP106" i="11"/>
  <c r="BP107" i="11"/>
  <c r="BP108" i="11"/>
  <c r="BP109" i="11"/>
  <c r="BP110" i="11"/>
  <c r="BP111" i="11"/>
  <c r="BP112" i="11"/>
  <c r="BP113" i="11"/>
  <c r="BP114" i="11"/>
  <c r="BP115" i="11"/>
  <c r="BP116" i="11"/>
  <c r="BP117" i="11"/>
  <c r="BP118" i="11"/>
  <c r="BP119" i="11"/>
  <c r="BP120" i="11"/>
  <c r="BP121" i="11"/>
  <c r="BP122" i="11"/>
  <c r="BP123" i="11"/>
  <c r="BP124" i="11"/>
  <c r="BP125" i="11"/>
  <c r="BP126" i="11"/>
  <c r="BP127" i="11"/>
  <c r="BP128" i="11"/>
  <c r="BP129" i="11"/>
  <c r="BP130" i="11"/>
  <c r="BP131" i="11"/>
  <c r="BP132" i="11"/>
  <c r="BP133" i="11"/>
  <c r="BP134" i="11"/>
  <c r="BP135" i="11"/>
  <c r="BP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Q12" i="9" l="1"/>
  <c r="CM12" i="8" s="1"/>
  <c r="AI4" i="11"/>
  <c r="I68" i="4"/>
  <c r="AI8" i="9"/>
  <c r="AO8" i="8" s="1"/>
  <c r="AT17" i="5"/>
  <c r="AT18" i="5"/>
  <c r="AT19" i="5"/>
  <c r="AT20" i="5"/>
  <c r="AT21" i="5"/>
  <c r="AT23" i="5"/>
  <c r="AT24" i="5"/>
  <c r="AT25" i="5"/>
  <c r="AT26" i="5"/>
  <c r="AT31" i="5"/>
  <c r="AT32" i="5"/>
  <c r="AT33" i="5"/>
  <c r="AT34" i="5"/>
  <c r="AT35" i="5"/>
  <c r="AT36" i="5"/>
  <c r="AT37" i="5"/>
  <c r="AT38" i="5"/>
  <c r="AT41" i="5"/>
  <c r="AT42" i="5"/>
  <c r="AT44" i="5"/>
  <c r="AT45" i="5"/>
  <c r="AT46" i="5"/>
  <c r="AT47" i="5"/>
  <c r="AT48" i="5"/>
  <c r="AT50" i="5"/>
  <c r="AT53" i="5"/>
  <c r="AT54" i="5"/>
  <c r="AT55" i="5"/>
  <c r="AT56" i="5"/>
  <c r="AT57" i="5"/>
  <c r="AT58" i="5"/>
  <c r="AT59"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9" i="4"/>
  <c r="AS4" i="5"/>
  <c r="N4" i="5"/>
  <c r="A4" i="5"/>
  <c r="E17" i="4"/>
  <c r="A22" i="4"/>
  <c r="AQ13" i="9" l="1"/>
  <c r="CM13" i="8" s="1"/>
  <c r="AI9" i="9"/>
  <c r="C22" i="4"/>
  <c r="B22" i="4"/>
  <c r="D26" i="5"/>
  <c r="AQ14" i="9" l="1"/>
  <c r="CM14" i="8" s="1"/>
  <c r="AI10" i="9"/>
  <c r="S4" i="10"/>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Q15" i="9" l="1"/>
  <c r="CM15" i="8" s="1"/>
  <c r="AI11" i="9"/>
  <c r="AT4" i="5"/>
  <c r="AR2" i="8"/>
  <c r="E21" i="4" s="1"/>
  <c r="CA4" i="11"/>
  <c r="Z7" i="9"/>
  <c r="BW4" i="11"/>
  <c r="BW5" i="11"/>
  <c r="BW6" i="11"/>
  <c r="BW7" i="11"/>
  <c r="BW8" i="11"/>
  <c r="BW9" i="11"/>
  <c r="BW10" i="11"/>
  <c r="BW11" i="11"/>
  <c r="BW12" i="11"/>
  <c r="BW13" i="11"/>
  <c r="BW14" i="11"/>
  <c r="BW15" i="11"/>
  <c r="BW16" i="11"/>
  <c r="BW17" i="11"/>
  <c r="BW18" i="11"/>
  <c r="BW19" i="11"/>
  <c r="BW20" i="11"/>
  <c r="BW21" i="11"/>
  <c r="BW22" i="11"/>
  <c r="BW23" i="11"/>
  <c r="BW24" i="11"/>
  <c r="BW25" i="11"/>
  <c r="BW26" i="11"/>
  <c r="BW27" i="11"/>
  <c r="BW28" i="11"/>
  <c r="BW29" i="11"/>
  <c r="BW30" i="11"/>
  <c r="BW31" i="11"/>
  <c r="BW32" i="11"/>
  <c r="BW33" i="11"/>
  <c r="BW34" i="11"/>
  <c r="BW35" i="11"/>
  <c r="BW36" i="11"/>
  <c r="BW37" i="11"/>
  <c r="BW38" i="11"/>
  <c r="BW39" i="11"/>
  <c r="BW40" i="11"/>
  <c r="BW41" i="11"/>
  <c r="BW42" i="11"/>
  <c r="BW43" i="11"/>
  <c r="BW44" i="11"/>
  <c r="BW45" i="11"/>
  <c r="BW46" i="11"/>
  <c r="BW47" i="11"/>
  <c r="BW48" i="11"/>
  <c r="BW49" i="11"/>
  <c r="BW50" i="11"/>
  <c r="BW51" i="11"/>
  <c r="BW52" i="11"/>
  <c r="BW53" i="11"/>
  <c r="BW54" i="11"/>
  <c r="BW55" i="11"/>
  <c r="BW56" i="11"/>
  <c r="BW57" i="11"/>
  <c r="BW58" i="11"/>
  <c r="BW59" i="11"/>
  <c r="BW60" i="11"/>
  <c r="BW61" i="11"/>
  <c r="BW62" i="11"/>
  <c r="BW63" i="11"/>
  <c r="BW64" i="11"/>
  <c r="BW65" i="11"/>
  <c r="BW66" i="11"/>
  <c r="BW67" i="11"/>
  <c r="BW68" i="11"/>
  <c r="BW69" i="11"/>
  <c r="BW70" i="11"/>
  <c r="BW71" i="11"/>
  <c r="BW72" i="11"/>
  <c r="BW73" i="11"/>
  <c r="BW74" i="11"/>
  <c r="BW75" i="11"/>
  <c r="BW76" i="11"/>
  <c r="BW77" i="11"/>
  <c r="BW78" i="11"/>
  <c r="BW79" i="11"/>
  <c r="BW80" i="11"/>
  <c r="BW81" i="11"/>
  <c r="BW82" i="11"/>
  <c r="BW83" i="11"/>
  <c r="BW84" i="11"/>
  <c r="BW85" i="11"/>
  <c r="BW86" i="11"/>
  <c r="BW87" i="11"/>
  <c r="BW88" i="11"/>
  <c r="BW89" i="11"/>
  <c r="BW90" i="11"/>
  <c r="BW91" i="11"/>
  <c r="BW92" i="11"/>
  <c r="BW93" i="11"/>
  <c r="BW94" i="11"/>
  <c r="BW95" i="11"/>
  <c r="BW96" i="11"/>
  <c r="BW97" i="11"/>
  <c r="BW98" i="11"/>
  <c r="BW99" i="11"/>
  <c r="BW100" i="11"/>
  <c r="BW101" i="11"/>
  <c r="BW102" i="11"/>
  <c r="BW103" i="11"/>
  <c r="BW104" i="11"/>
  <c r="BW105" i="11"/>
  <c r="BW106" i="11"/>
  <c r="BW107" i="11"/>
  <c r="BW108" i="11"/>
  <c r="BW109" i="11"/>
  <c r="BW110" i="11"/>
  <c r="BW111" i="11"/>
  <c r="BW112" i="11"/>
  <c r="BW113" i="11"/>
  <c r="BW114" i="11"/>
  <c r="BW115" i="11"/>
  <c r="BW116" i="11"/>
  <c r="BW117" i="11"/>
  <c r="BW118" i="11"/>
  <c r="BW119" i="11"/>
  <c r="BW120" i="11"/>
  <c r="BW121" i="11"/>
  <c r="BW122" i="11"/>
  <c r="BW123" i="11"/>
  <c r="BW124" i="11"/>
  <c r="BW125" i="11"/>
  <c r="BW126" i="11"/>
  <c r="BW127" i="11"/>
  <c r="BW128" i="11"/>
  <c r="BW129" i="11"/>
  <c r="BW130" i="11"/>
  <c r="BW131" i="11"/>
  <c r="BW132" i="11"/>
  <c r="BW133" i="11"/>
  <c r="BW134" i="11"/>
  <c r="BW135" i="11"/>
  <c r="BW136" i="11"/>
  <c r="AQ16" i="9" l="1"/>
  <c r="CM16" i="8" s="1"/>
  <c r="AI12" i="9"/>
  <c r="J4" i="2"/>
  <c r="AT2" i="8"/>
  <c r="CO25" i="8"/>
  <c r="CO26" i="8"/>
  <c r="CO24" i="8"/>
  <c r="CA5" i="11"/>
  <c r="CA6" i="11" s="1"/>
  <c r="CA7" i="11" s="1"/>
  <c r="CA8" i="11" s="1"/>
  <c r="CA9" i="11" s="1"/>
  <c r="CA10" i="11" s="1"/>
  <c r="CA11" i="11" s="1"/>
  <c r="CA12" i="11" s="1"/>
  <c r="CA13" i="11" s="1"/>
  <c r="CA14" i="11" s="1"/>
  <c r="CA15" i="11" s="1"/>
  <c r="CA16" i="11" s="1"/>
  <c r="CA17" i="11" s="1"/>
  <c r="CA18" i="11" s="1"/>
  <c r="CA19" i="11" s="1"/>
  <c r="CA20" i="11" s="1"/>
  <c r="CA21" i="11" s="1"/>
  <c r="CA22" i="11" s="1"/>
  <c r="CA23" i="11" s="1"/>
  <c r="CA24" i="11" s="1"/>
  <c r="CA25" i="11" s="1"/>
  <c r="CA26" i="11" s="1"/>
  <c r="CA27" i="11" s="1"/>
  <c r="CA28" i="11" s="1"/>
  <c r="CA29" i="11" s="1"/>
  <c r="CA30" i="11" s="1"/>
  <c r="CA31" i="11" s="1"/>
  <c r="CA32" i="11" s="1"/>
  <c r="CA33" i="11" s="1"/>
  <c r="CA34" i="11" s="1"/>
  <c r="CA35" i="11" s="1"/>
  <c r="CA36" i="11" s="1"/>
  <c r="CA37" i="11" s="1"/>
  <c r="CA38" i="11" s="1"/>
  <c r="CA39" i="11" s="1"/>
  <c r="CA40" i="11" s="1"/>
  <c r="CA41" i="11" s="1"/>
  <c r="CA42" i="11" s="1"/>
  <c r="CA43" i="11" s="1"/>
  <c r="CA44" i="11" s="1"/>
  <c r="CA45" i="11" s="1"/>
  <c r="CA46" i="11" s="1"/>
  <c r="CA47" i="11" s="1"/>
  <c r="CA48" i="11" s="1"/>
  <c r="CA49" i="11" s="1"/>
  <c r="CA50" i="11" s="1"/>
  <c r="CA51" i="11" s="1"/>
  <c r="CA52" i="11" s="1"/>
  <c r="CA53" i="11" s="1"/>
  <c r="CA54" i="11" s="1"/>
  <c r="CA55" i="11" s="1"/>
  <c r="CA56" i="11" s="1"/>
  <c r="CA57" i="11" s="1"/>
  <c r="CA58" i="11" s="1"/>
  <c r="CA59" i="11" s="1"/>
  <c r="CA60" i="11" s="1"/>
  <c r="CA61" i="11" s="1"/>
  <c r="CA62" i="11" s="1"/>
  <c r="CA63" i="11" s="1"/>
  <c r="CA64" i="11" s="1"/>
  <c r="CA65" i="11" s="1"/>
  <c r="CA66" i="11" s="1"/>
  <c r="CA67" i="11" s="1"/>
  <c r="CA68" i="11" s="1"/>
  <c r="CA69" i="11" s="1"/>
  <c r="CA70" i="11" s="1"/>
  <c r="CA71" i="11" s="1"/>
  <c r="CA72" i="11" s="1"/>
  <c r="CA73" i="11" s="1"/>
  <c r="CA74" i="11" s="1"/>
  <c r="CA75" i="11" s="1"/>
  <c r="CA76" i="11" s="1"/>
  <c r="CA77" i="11" s="1"/>
  <c r="CA78" i="11" s="1"/>
  <c r="CA79" i="11" s="1"/>
  <c r="CA80" i="11" s="1"/>
  <c r="CA81" i="11" s="1"/>
  <c r="CA82" i="11" s="1"/>
  <c r="CA83" i="11" s="1"/>
  <c r="CA84" i="11" s="1"/>
  <c r="CA85" i="11" s="1"/>
  <c r="CA86" i="11" s="1"/>
  <c r="CA87" i="11" s="1"/>
  <c r="CA88" i="11" s="1"/>
  <c r="CA89" i="11" s="1"/>
  <c r="CA90" i="11" s="1"/>
  <c r="CA91" i="11" s="1"/>
  <c r="CA92" i="11" s="1"/>
  <c r="CA93" i="11" s="1"/>
  <c r="CA94" i="11" s="1"/>
  <c r="CA95" i="11" s="1"/>
  <c r="CA96" i="11" s="1"/>
  <c r="CA97" i="11" s="1"/>
  <c r="CA98" i="11" s="1"/>
  <c r="CA99" i="11" s="1"/>
  <c r="CA100" i="11" s="1"/>
  <c r="CA101" i="11" s="1"/>
  <c r="CA102" i="11" s="1"/>
  <c r="CA103" i="11" s="1"/>
  <c r="CA104" i="11" s="1"/>
  <c r="CA105" i="11" s="1"/>
  <c r="CA106" i="11" s="1"/>
  <c r="CA107" i="11" s="1"/>
  <c r="CA108" i="11" s="1"/>
  <c r="CA109" i="11" s="1"/>
  <c r="CA110" i="11" s="1"/>
  <c r="CA111" i="11" s="1"/>
  <c r="CA112" i="11" s="1"/>
  <c r="CA113" i="11" s="1"/>
  <c r="CA114" i="11" s="1"/>
  <c r="CA115" i="11" s="1"/>
  <c r="CA116" i="11" s="1"/>
  <c r="CA117" i="11" s="1"/>
  <c r="CA118" i="11" s="1"/>
  <c r="CA119" i="11" s="1"/>
  <c r="CA120" i="11" s="1"/>
  <c r="CA121" i="11" s="1"/>
  <c r="CA122" i="11" s="1"/>
  <c r="CA123" i="11" s="1"/>
  <c r="CA124" i="11" s="1"/>
  <c r="CA125" i="11" s="1"/>
  <c r="CA126" i="11" s="1"/>
  <c r="CA127" i="11" s="1"/>
  <c r="CA128" i="11" s="1"/>
  <c r="CA129" i="11" s="1"/>
  <c r="CA130" i="11" s="1"/>
  <c r="CA131" i="11" s="1"/>
  <c r="CA132" i="11" s="1"/>
  <c r="CA133" i="11" s="1"/>
  <c r="CA134" i="11" s="1"/>
  <c r="CA135" i="11" s="1"/>
  <c r="CA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AQ17" i="9" l="1"/>
  <c r="CM17" i="8" s="1"/>
  <c r="AQ18" i="9"/>
  <c r="CM18" i="8" s="1"/>
  <c r="AI13" i="9"/>
  <c r="K4" i="1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AQ19" i="9" l="1"/>
  <c r="CM19" i="8" s="1"/>
  <c r="AI14" i="9"/>
  <c r="A4" i="14"/>
  <c r="CA4" i="14" s="1"/>
  <c r="AQ20" i="9" l="1"/>
  <c r="CM20" i="8" s="1"/>
  <c r="AI15" i="9"/>
  <c r="AV4" i="14" a="1"/>
  <c r="AV4" i="14" s="1"/>
  <c r="BS4" i="14" a="1"/>
  <c r="BS4" i="14" s="1"/>
  <c r="BT4" i="14" a="1"/>
  <c r="BT4" i="14" s="1"/>
  <c r="M4" i="14" a="1"/>
  <c r="M4" i="14" s="1"/>
  <c r="AU4" i="14" a="1"/>
  <c r="AU4" i="14"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Z4" i="9"/>
  <c r="D4" i="9" s="1"/>
  <c r="Z5" i="9"/>
  <c r="Z6" i="9"/>
  <c r="Z8" i="9"/>
  <c r="Z9" i="9"/>
  <c r="Z10" i="9"/>
  <c r="Z11" i="9"/>
  <c r="Z12" i="9"/>
  <c r="Z13" i="9"/>
  <c r="Z14" i="9"/>
  <c r="Z15" i="9"/>
  <c r="Z16" i="9"/>
  <c r="Z17" i="9"/>
  <c r="Z18" i="9"/>
  <c r="Z19" i="9"/>
  <c r="Z20" i="9"/>
  <c r="Z21" i="9"/>
  <c r="Z22" i="9"/>
  <c r="Z23" i="9"/>
  <c r="Z24" i="9"/>
  <c r="Z25" i="9"/>
  <c r="Z26" i="9"/>
  <c r="Z27" i="9"/>
  <c r="Z28" i="9"/>
  <c r="Z29" i="9"/>
  <c r="Z30" i="9"/>
  <c r="Z31" i="9"/>
  <c r="Z32" i="9"/>
  <c r="Z33" i="9"/>
  <c r="Z34" i="9"/>
  <c r="Z35" i="9"/>
  <c r="Z36" i="9"/>
  <c r="Z37" i="9"/>
  <c r="Z38" i="9"/>
  <c r="Z39" i="9"/>
  <c r="Z40" i="9"/>
  <c r="Z41" i="9"/>
  <c r="Z42" i="9"/>
  <c r="Z43" i="9"/>
  <c r="Z44" i="9"/>
  <c r="Z45" i="9"/>
  <c r="Z46" i="9"/>
  <c r="Z47" i="9"/>
  <c r="Z48" i="9"/>
  <c r="Z49" i="9"/>
  <c r="Z50" i="9"/>
  <c r="Z51" i="9"/>
  <c r="Z52" i="9"/>
  <c r="Z53" i="9"/>
  <c r="Z54" i="9"/>
  <c r="Z55" i="9"/>
  <c r="Z56" i="9"/>
  <c r="Z57" i="9"/>
  <c r="Z58" i="9"/>
  <c r="Z59" i="9"/>
  <c r="Z60" i="9"/>
  <c r="Z61" i="9"/>
  <c r="Z62" i="9"/>
  <c r="Z63" i="9"/>
  <c r="Z64" i="9"/>
  <c r="Z65" i="9"/>
  <c r="Z66" i="9"/>
  <c r="Z67" i="9"/>
  <c r="Z68" i="9"/>
  <c r="Z69" i="9"/>
  <c r="Z70" i="9"/>
  <c r="Z71" i="9"/>
  <c r="Z72" i="9"/>
  <c r="Z73" i="9"/>
  <c r="Z74" i="9"/>
  <c r="Z75" i="9"/>
  <c r="Z76" i="9"/>
  <c r="Z77" i="9"/>
  <c r="Z78" i="9"/>
  <c r="Z79" i="9"/>
  <c r="Z80" i="9"/>
  <c r="Z81" i="9"/>
  <c r="Z82" i="9"/>
  <c r="Z83" i="9"/>
  <c r="Z84" i="9"/>
  <c r="Z85" i="9"/>
  <c r="Z86" i="9"/>
  <c r="Z87" i="9"/>
  <c r="Z88" i="9"/>
  <c r="Z89" i="9"/>
  <c r="Z90" i="9"/>
  <c r="Z91" i="9"/>
  <c r="Z92" i="9"/>
  <c r="Z93" i="9"/>
  <c r="Z94" i="9"/>
  <c r="Z95" i="9"/>
  <c r="Z96" i="9"/>
  <c r="Z97" i="9"/>
  <c r="Z98" i="9"/>
  <c r="Z99" i="9"/>
  <c r="Z100" i="9"/>
  <c r="Z101" i="9"/>
  <c r="Z102" i="9"/>
  <c r="Z103" i="9"/>
  <c r="Z104" i="9"/>
  <c r="Z105" i="9"/>
  <c r="Z106" i="9"/>
  <c r="Z107" i="9"/>
  <c r="Z108" i="9"/>
  <c r="Z109" i="9"/>
  <c r="Z110" i="9"/>
  <c r="Z111" i="9"/>
  <c r="Z112" i="9"/>
  <c r="Z113" i="9"/>
  <c r="Z114" i="9"/>
  <c r="Z115" i="9"/>
  <c r="Z116" i="9"/>
  <c r="Z117" i="9"/>
  <c r="Z118" i="9"/>
  <c r="Z119" i="9"/>
  <c r="Z120" i="9"/>
  <c r="Z121" i="9"/>
  <c r="Z122" i="9"/>
  <c r="Z123" i="9"/>
  <c r="Z124" i="9"/>
  <c r="Z125" i="9"/>
  <c r="Z126" i="9"/>
  <c r="Z127" i="9"/>
  <c r="Z128" i="9"/>
  <c r="Z129" i="9"/>
  <c r="Z130" i="9"/>
  <c r="Z131" i="9"/>
  <c r="Z132" i="9"/>
  <c r="Z133" i="9"/>
  <c r="Z134" i="9"/>
  <c r="Z135" i="9"/>
  <c r="Z136" i="9"/>
  <c r="AD4" i="9"/>
  <c r="AD5" i="9" s="1"/>
  <c r="AD6" i="9" s="1"/>
  <c r="AD7" i="9" s="1"/>
  <c r="AD8" i="9" s="1"/>
  <c r="AD9" i="9" s="1"/>
  <c r="AD10" i="9" s="1"/>
  <c r="AD11" i="9" s="1"/>
  <c r="AD12" i="9" s="1"/>
  <c r="AD13" i="9" s="1"/>
  <c r="AD14" i="9" s="1"/>
  <c r="AD15" i="9" s="1"/>
  <c r="AD16" i="9" s="1"/>
  <c r="AD17" i="9" s="1"/>
  <c r="AD18" i="9" s="1"/>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AD81" i="9" s="1"/>
  <c r="AD82" i="9" s="1"/>
  <c r="AD83" i="9" s="1"/>
  <c r="AD84" i="9" s="1"/>
  <c r="AD85" i="9" s="1"/>
  <c r="AD86" i="9" s="1"/>
  <c r="AD87" i="9" s="1"/>
  <c r="AD88" i="9" s="1"/>
  <c r="AD89" i="9" s="1"/>
  <c r="AD90" i="9" s="1"/>
  <c r="AD91" i="9" s="1"/>
  <c r="AD92" i="9" s="1"/>
  <c r="AD93" i="9" s="1"/>
  <c r="AD94" i="9" s="1"/>
  <c r="AD95" i="9" s="1"/>
  <c r="AD96" i="9" s="1"/>
  <c r="AD97" i="9" s="1"/>
  <c r="AD98" i="9" s="1"/>
  <c r="AD99" i="9" s="1"/>
  <c r="AD100" i="9" s="1"/>
  <c r="AD101" i="9" s="1"/>
  <c r="AD102" i="9" s="1"/>
  <c r="AD103" i="9" s="1"/>
  <c r="AD104" i="9" s="1"/>
  <c r="AD105" i="9" s="1"/>
  <c r="AD106" i="9" s="1"/>
  <c r="AD107" i="9" s="1"/>
  <c r="AD108" i="9" s="1"/>
  <c r="AD109" i="9" s="1"/>
  <c r="AD110" i="9" s="1"/>
  <c r="AD111" i="9" s="1"/>
  <c r="AD112" i="9" s="1"/>
  <c r="AD113" i="9" s="1"/>
  <c r="AD114" i="9" s="1"/>
  <c r="AD115" i="9" s="1"/>
  <c r="AD116" i="9" s="1"/>
  <c r="AD117" i="9" s="1"/>
  <c r="AD118" i="9" s="1"/>
  <c r="AD119" i="9" s="1"/>
  <c r="AD120" i="9" s="1"/>
  <c r="AD121" i="9" s="1"/>
  <c r="AD122" i="9" s="1"/>
  <c r="AD123" i="9" s="1"/>
  <c r="AD124" i="9" s="1"/>
  <c r="AD125" i="9" s="1"/>
  <c r="AD126" i="9" s="1"/>
  <c r="AD127" i="9" s="1"/>
  <c r="AD128" i="9" s="1"/>
  <c r="AD129" i="9" s="1"/>
  <c r="AD130" i="9" s="1"/>
  <c r="AD131" i="9" s="1"/>
  <c r="AD132" i="9" s="1"/>
  <c r="AD133" i="9" s="1"/>
  <c r="AD134" i="9" s="1"/>
  <c r="AD135" i="9" s="1"/>
  <c r="AD136" i="9" s="1"/>
  <c r="AE4" i="9"/>
  <c r="AE5" i="9" s="1"/>
  <c r="AF4" i="9"/>
  <c r="AF5" i="9" s="1"/>
  <c r="AF6" i="9" s="1"/>
  <c r="AF7" i="9" s="1"/>
  <c r="AF8" i="9" s="1"/>
  <c r="AF9" i="9" s="1"/>
  <c r="AF10" i="9" s="1"/>
  <c r="AF11" i="9" s="1"/>
  <c r="AF12" i="9" s="1"/>
  <c r="AF13" i="9" s="1"/>
  <c r="AF14" i="9" s="1"/>
  <c r="AF15" i="9" s="1"/>
  <c r="AF16" i="9" s="1"/>
  <c r="AF17" i="9" s="1"/>
  <c r="AF18" i="9" s="1"/>
  <c r="AF19" i="9" s="1"/>
  <c r="AF20" i="9" s="1"/>
  <c r="AF21" i="9" s="1"/>
  <c r="AF22" i="9" s="1"/>
  <c r="AF23" i="9" s="1"/>
  <c r="AF24" i="9" s="1"/>
  <c r="AF25" i="9" s="1"/>
  <c r="AF26" i="9" s="1"/>
  <c r="AF27" i="9" s="1"/>
  <c r="AF28" i="9" s="1"/>
  <c r="AF29" i="9" s="1"/>
  <c r="AF30" i="9" s="1"/>
  <c r="AF31" i="9" s="1"/>
  <c r="AF32" i="9" s="1"/>
  <c r="AF33" i="9" s="1"/>
  <c r="AF34" i="9" s="1"/>
  <c r="AF35" i="9" s="1"/>
  <c r="AF36" i="9" s="1"/>
  <c r="AF37" i="9" s="1"/>
  <c r="AF38" i="9" s="1"/>
  <c r="AF39" i="9" s="1"/>
  <c r="AF40" i="9" s="1"/>
  <c r="AF41" i="9" s="1"/>
  <c r="AF42" i="9" s="1"/>
  <c r="AF43" i="9" s="1"/>
  <c r="AF44" i="9" s="1"/>
  <c r="AF45" i="9" s="1"/>
  <c r="AF46" i="9" s="1"/>
  <c r="AF47" i="9" s="1"/>
  <c r="AF48" i="9" s="1"/>
  <c r="AF49" i="9" s="1"/>
  <c r="AF50" i="9" s="1"/>
  <c r="AF51" i="9" s="1"/>
  <c r="AF52" i="9" s="1"/>
  <c r="AF53" i="9" s="1"/>
  <c r="AF54" i="9" s="1"/>
  <c r="AF55" i="9" s="1"/>
  <c r="AF56" i="9" s="1"/>
  <c r="AF57" i="9" s="1"/>
  <c r="AF58" i="9" s="1"/>
  <c r="AF59" i="9" s="1"/>
  <c r="AF60" i="9" s="1"/>
  <c r="AF61" i="9" s="1"/>
  <c r="AF62" i="9" s="1"/>
  <c r="AF63" i="9" s="1"/>
  <c r="AF64" i="9" s="1"/>
  <c r="AF65" i="9" s="1"/>
  <c r="AF66" i="9" s="1"/>
  <c r="AF67" i="9" s="1"/>
  <c r="AF68" i="9" s="1"/>
  <c r="AF69" i="9" s="1"/>
  <c r="AF70" i="9" s="1"/>
  <c r="AF71" i="9" s="1"/>
  <c r="AF72" i="9" s="1"/>
  <c r="AF73" i="9" s="1"/>
  <c r="AF74" i="9" s="1"/>
  <c r="AF75" i="9" s="1"/>
  <c r="AF76" i="9" s="1"/>
  <c r="AF77" i="9" s="1"/>
  <c r="AF78" i="9" s="1"/>
  <c r="AF79" i="9" s="1"/>
  <c r="AF80" i="9" s="1"/>
  <c r="AF81" i="9" s="1"/>
  <c r="AF82" i="9" s="1"/>
  <c r="AF83" i="9" s="1"/>
  <c r="AF84" i="9" s="1"/>
  <c r="AF85" i="9" s="1"/>
  <c r="AF86" i="9" s="1"/>
  <c r="AF87" i="9" s="1"/>
  <c r="AF88" i="9" s="1"/>
  <c r="AF89" i="9" s="1"/>
  <c r="AF90" i="9" s="1"/>
  <c r="AF91" i="9" s="1"/>
  <c r="AF92" i="9" s="1"/>
  <c r="AF93" i="9" s="1"/>
  <c r="AF94" i="9" s="1"/>
  <c r="AF95" i="9" s="1"/>
  <c r="AF96" i="9" s="1"/>
  <c r="AF97" i="9" s="1"/>
  <c r="AF98" i="9" s="1"/>
  <c r="AF99" i="9" s="1"/>
  <c r="AF100" i="9" s="1"/>
  <c r="AF101" i="9" s="1"/>
  <c r="AF102" i="9" s="1"/>
  <c r="AF103" i="9" s="1"/>
  <c r="AF104" i="9" s="1"/>
  <c r="AF105" i="9" s="1"/>
  <c r="AF106" i="9" s="1"/>
  <c r="AF107" i="9" s="1"/>
  <c r="AF108" i="9" s="1"/>
  <c r="AF109" i="9" s="1"/>
  <c r="AF110" i="9" s="1"/>
  <c r="AF111" i="9" s="1"/>
  <c r="AF112" i="9" s="1"/>
  <c r="AF113" i="9" s="1"/>
  <c r="AF114" i="9" s="1"/>
  <c r="AF115" i="9" s="1"/>
  <c r="AF116" i="9" s="1"/>
  <c r="AF117" i="9" s="1"/>
  <c r="AF118" i="9" s="1"/>
  <c r="AF119" i="9" s="1"/>
  <c r="AF120" i="9" s="1"/>
  <c r="AF121" i="9" s="1"/>
  <c r="AF122" i="9" s="1"/>
  <c r="AF123" i="9" s="1"/>
  <c r="AF124" i="9" s="1"/>
  <c r="AF125" i="9" s="1"/>
  <c r="AF126" i="9" s="1"/>
  <c r="AF127" i="9" s="1"/>
  <c r="AF128" i="9" s="1"/>
  <c r="AF129" i="9" s="1"/>
  <c r="AF130" i="9" s="1"/>
  <c r="AF131" i="9" s="1"/>
  <c r="AF132" i="9" s="1"/>
  <c r="AF133" i="9" s="1"/>
  <c r="AF134" i="9" s="1"/>
  <c r="AF135" i="9" s="1"/>
  <c r="AF136" i="9" s="1"/>
  <c r="AG4" i="9"/>
  <c r="AG5" i="9" s="1"/>
  <c r="AH4" i="9"/>
  <c r="AH5" i="9" s="1"/>
  <c r="AJ4" i="9"/>
  <c r="AJ5" i="9" s="1"/>
  <c r="AJ6" i="9" s="1"/>
  <c r="AJ7" i="9" s="1"/>
  <c r="AJ8" i="9" s="1"/>
  <c r="AJ9" i="9" s="1"/>
  <c r="AJ10" i="9" s="1"/>
  <c r="AJ11" i="9" s="1"/>
  <c r="AJ12" i="9" s="1"/>
  <c r="AJ13" i="9" s="1"/>
  <c r="AJ14" i="9" s="1"/>
  <c r="AJ15" i="9" s="1"/>
  <c r="AJ16" i="9" s="1"/>
  <c r="AJ17" i="9" s="1"/>
  <c r="AJ18" i="9" s="1"/>
  <c r="AJ19" i="9" s="1"/>
  <c r="AJ20" i="9" s="1"/>
  <c r="AJ21" i="9" s="1"/>
  <c r="AJ22" i="9" s="1"/>
  <c r="AJ23" i="9" s="1"/>
  <c r="AJ24" i="9" s="1"/>
  <c r="AJ25" i="9" s="1"/>
  <c r="AJ26" i="9" s="1"/>
  <c r="AJ27" i="9" s="1"/>
  <c r="AJ28" i="9" s="1"/>
  <c r="AJ29" i="9" s="1"/>
  <c r="AJ30" i="9" s="1"/>
  <c r="AJ31" i="9" s="1"/>
  <c r="AJ32" i="9" s="1"/>
  <c r="AJ33" i="9" s="1"/>
  <c r="AJ34" i="9" s="1"/>
  <c r="AJ35" i="9" s="1"/>
  <c r="AJ36" i="9" s="1"/>
  <c r="AJ37" i="9" s="1"/>
  <c r="AJ38" i="9" s="1"/>
  <c r="AJ39" i="9" s="1"/>
  <c r="AJ40" i="9" s="1"/>
  <c r="AJ41" i="9" s="1"/>
  <c r="AJ42" i="9" s="1"/>
  <c r="AJ43" i="9" s="1"/>
  <c r="AJ44" i="9" s="1"/>
  <c r="AJ45" i="9" s="1"/>
  <c r="AJ46" i="9" s="1"/>
  <c r="AJ47" i="9" s="1"/>
  <c r="AJ48" i="9" s="1"/>
  <c r="AJ49" i="9" s="1"/>
  <c r="AJ50" i="9" s="1"/>
  <c r="AJ51" i="9" s="1"/>
  <c r="AJ52" i="9" s="1"/>
  <c r="AJ53" i="9" s="1"/>
  <c r="AJ54" i="9" s="1"/>
  <c r="AJ55" i="9" s="1"/>
  <c r="AJ56" i="9" s="1"/>
  <c r="AJ57" i="9" s="1"/>
  <c r="AJ58" i="9" s="1"/>
  <c r="AJ59" i="9" s="1"/>
  <c r="AJ60" i="9" s="1"/>
  <c r="AJ61" i="9" s="1"/>
  <c r="AJ62" i="9" s="1"/>
  <c r="AJ63" i="9" s="1"/>
  <c r="AJ64" i="9" s="1"/>
  <c r="AJ65" i="9" s="1"/>
  <c r="AJ66" i="9" s="1"/>
  <c r="AJ67" i="9" s="1"/>
  <c r="AJ68" i="9" s="1"/>
  <c r="AJ69" i="9" s="1"/>
  <c r="AJ70" i="9" s="1"/>
  <c r="AJ71" i="9" s="1"/>
  <c r="AJ72" i="9" s="1"/>
  <c r="AJ73" i="9" s="1"/>
  <c r="AJ74" i="9" s="1"/>
  <c r="AJ75" i="9" s="1"/>
  <c r="AJ76" i="9" s="1"/>
  <c r="AJ77" i="9" s="1"/>
  <c r="AJ78" i="9" s="1"/>
  <c r="AJ79" i="9" s="1"/>
  <c r="AJ80" i="9" s="1"/>
  <c r="AJ81" i="9" s="1"/>
  <c r="AJ82" i="9" s="1"/>
  <c r="AJ83" i="9" s="1"/>
  <c r="AJ84" i="9" s="1"/>
  <c r="AJ85" i="9" s="1"/>
  <c r="AJ86" i="9" s="1"/>
  <c r="AJ87" i="9" s="1"/>
  <c r="AJ88" i="9" s="1"/>
  <c r="AJ89" i="9" s="1"/>
  <c r="AJ90" i="9" s="1"/>
  <c r="AJ91" i="9" s="1"/>
  <c r="AJ92" i="9" s="1"/>
  <c r="AJ93" i="9" s="1"/>
  <c r="AJ94" i="9" s="1"/>
  <c r="AJ95" i="9" s="1"/>
  <c r="AJ96" i="9" s="1"/>
  <c r="AJ97" i="9" s="1"/>
  <c r="AJ98" i="9" s="1"/>
  <c r="AJ99" i="9" s="1"/>
  <c r="AJ100" i="9" s="1"/>
  <c r="AJ101" i="9" s="1"/>
  <c r="AJ102" i="9" s="1"/>
  <c r="AJ103" i="9" s="1"/>
  <c r="AJ104" i="9" s="1"/>
  <c r="AJ105" i="9" s="1"/>
  <c r="AJ106" i="9" s="1"/>
  <c r="AJ107" i="9" s="1"/>
  <c r="AJ108" i="9" s="1"/>
  <c r="AJ109" i="9" s="1"/>
  <c r="AJ110" i="9" s="1"/>
  <c r="AJ111" i="9" s="1"/>
  <c r="AJ112" i="9" s="1"/>
  <c r="AJ113" i="9" s="1"/>
  <c r="AJ114" i="9" s="1"/>
  <c r="AJ115" i="9" s="1"/>
  <c r="AJ116" i="9" s="1"/>
  <c r="AJ117" i="9" s="1"/>
  <c r="AJ118" i="9" s="1"/>
  <c r="AJ119" i="9" s="1"/>
  <c r="AJ120" i="9" s="1"/>
  <c r="AJ121" i="9" s="1"/>
  <c r="AJ122" i="9" s="1"/>
  <c r="AJ123" i="9" s="1"/>
  <c r="AJ124" i="9" s="1"/>
  <c r="AJ125" i="9" s="1"/>
  <c r="AJ126" i="9" s="1"/>
  <c r="AJ127" i="9" s="1"/>
  <c r="AJ128" i="9" s="1"/>
  <c r="AJ129" i="9" s="1"/>
  <c r="AJ130" i="9" s="1"/>
  <c r="AJ131" i="9" s="1"/>
  <c r="AJ132" i="9" s="1"/>
  <c r="AJ133" i="9" s="1"/>
  <c r="AJ134" i="9" s="1"/>
  <c r="AJ135" i="9" s="1"/>
  <c r="AJ136" i="9" s="1"/>
  <c r="AK4" i="9"/>
  <c r="AK5" i="9" s="1"/>
  <c r="AL4" i="9"/>
  <c r="AL5" i="9" s="1"/>
  <c r="AL6" i="9" s="1"/>
  <c r="AL7" i="9" s="1"/>
  <c r="AL8" i="9" s="1"/>
  <c r="AL9" i="9" s="1"/>
  <c r="AL10" i="9" s="1"/>
  <c r="AL11" i="9" s="1"/>
  <c r="AL12" i="9" s="1"/>
  <c r="AL13" i="9" s="1"/>
  <c r="AL14" i="9" s="1"/>
  <c r="AL15" i="9" s="1"/>
  <c r="AL16" i="9" s="1"/>
  <c r="AL17" i="9" s="1"/>
  <c r="AL18" i="9" s="1"/>
  <c r="AL19" i="9" s="1"/>
  <c r="AL20" i="9" s="1"/>
  <c r="AL21" i="9" s="1"/>
  <c r="AL22" i="9" s="1"/>
  <c r="AL23" i="9" s="1"/>
  <c r="AL24" i="9" s="1"/>
  <c r="AL25" i="9" s="1"/>
  <c r="AL26" i="9" s="1"/>
  <c r="AL27" i="9" s="1"/>
  <c r="AL28" i="9" s="1"/>
  <c r="AL29" i="9" s="1"/>
  <c r="AL30" i="9" s="1"/>
  <c r="AL31" i="9" s="1"/>
  <c r="AL32" i="9" s="1"/>
  <c r="AL33" i="9" s="1"/>
  <c r="AL34" i="9" s="1"/>
  <c r="AL35" i="9" s="1"/>
  <c r="AL36" i="9" s="1"/>
  <c r="AL37" i="9" s="1"/>
  <c r="AL38" i="9" s="1"/>
  <c r="AL39" i="9" s="1"/>
  <c r="AL40" i="9" s="1"/>
  <c r="AL41" i="9" s="1"/>
  <c r="AL42" i="9" s="1"/>
  <c r="AL43" i="9" s="1"/>
  <c r="AL44" i="9" s="1"/>
  <c r="AL45" i="9" s="1"/>
  <c r="AL46" i="9" s="1"/>
  <c r="AL47" i="9" s="1"/>
  <c r="AL48" i="9" s="1"/>
  <c r="AL49" i="9" s="1"/>
  <c r="AL50" i="9" s="1"/>
  <c r="AL51" i="9" s="1"/>
  <c r="AL52" i="9" s="1"/>
  <c r="AL53" i="9" s="1"/>
  <c r="AL54" i="9" s="1"/>
  <c r="AL55" i="9" s="1"/>
  <c r="AL56" i="9" s="1"/>
  <c r="AL57" i="9" s="1"/>
  <c r="AL58" i="9" s="1"/>
  <c r="AL59" i="9" s="1"/>
  <c r="AL60" i="9" s="1"/>
  <c r="AL61" i="9" s="1"/>
  <c r="AL62" i="9" s="1"/>
  <c r="AL63" i="9" s="1"/>
  <c r="AL64" i="9" s="1"/>
  <c r="AL65" i="9" s="1"/>
  <c r="AL66" i="9" s="1"/>
  <c r="AL67" i="9" s="1"/>
  <c r="AL68" i="9" s="1"/>
  <c r="AL69" i="9" s="1"/>
  <c r="AL70" i="9" s="1"/>
  <c r="AL71" i="9" s="1"/>
  <c r="AL72" i="9" s="1"/>
  <c r="AL73" i="9" s="1"/>
  <c r="AL74" i="9" s="1"/>
  <c r="AL75" i="9" s="1"/>
  <c r="AL76" i="9" s="1"/>
  <c r="AL77" i="9" s="1"/>
  <c r="AL78" i="9" s="1"/>
  <c r="AL79" i="9" s="1"/>
  <c r="AL80" i="9" s="1"/>
  <c r="AL81" i="9" s="1"/>
  <c r="AL82" i="9" s="1"/>
  <c r="AL83" i="9" s="1"/>
  <c r="AL84" i="9" s="1"/>
  <c r="AL85" i="9" s="1"/>
  <c r="AL86" i="9" s="1"/>
  <c r="AL87" i="9" s="1"/>
  <c r="AL88" i="9" s="1"/>
  <c r="AL89" i="9" s="1"/>
  <c r="AL90" i="9" s="1"/>
  <c r="AL91" i="9" s="1"/>
  <c r="AL92" i="9" s="1"/>
  <c r="AL93" i="9" s="1"/>
  <c r="AL94" i="9" s="1"/>
  <c r="AL95" i="9" s="1"/>
  <c r="AL96" i="9" s="1"/>
  <c r="AL97" i="9" s="1"/>
  <c r="AL98" i="9" s="1"/>
  <c r="AL99" i="9" s="1"/>
  <c r="AL100" i="9" s="1"/>
  <c r="AL101" i="9" s="1"/>
  <c r="AL102" i="9" s="1"/>
  <c r="AL103" i="9" s="1"/>
  <c r="AL104" i="9" s="1"/>
  <c r="AL105" i="9" s="1"/>
  <c r="AL106" i="9" s="1"/>
  <c r="AL107" i="9" s="1"/>
  <c r="AL108" i="9" s="1"/>
  <c r="AL109" i="9" s="1"/>
  <c r="AL110" i="9" s="1"/>
  <c r="AL111" i="9" s="1"/>
  <c r="AL112" i="9" s="1"/>
  <c r="AL113" i="9" s="1"/>
  <c r="AL114" i="9" s="1"/>
  <c r="AL115" i="9" s="1"/>
  <c r="AL116" i="9" s="1"/>
  <c r="AL117" i="9" s="1"/>
  <c r="AL118" i="9" s="1"/>
  <c r="AL119" i="9" s="1"/>
  <c r="AL120" i="9" s="1"/>
  <c r="AL121" i="9" s="1"/>
  <c r="AL122" i="9" s="1"/>
  <c r="AL123" i="9" s="1"/>
  <c r="AL124" i="9" s="1"/>
  <c r="AL125" i="9" s="1"/>
  <c r="AL126" i="9" s="1"/>
  <c r="AL127" i="9" s="1"/>
  <c r="AL128" i="9" s="1"/>
  <c r="AL129" i="9" s="1"/>
  <c r="AL130" i="9" s="1"/>
  <c r="AL131" i="9" s="1"/>
  <c r="AL132" i="9" s="1"/>
  <c r="AL133" i="9" s="1"/>
  <c r="AL134" i="9" s="1"/>
  <c r="AL135" i="9" s="1"/>
  <c r="AL136" i="9" s="1"/>
  <c r="AM4" i="9"/>
  <c r="AM5" i="9" s="1"/>
  <c r="AN4" i="9"/>
  <c r="AO6" i="9"/>
  <c r="AO7" i="9" s="1"/>
  <c r="AO8" i="9" s="1"/>
  <c r="AO9" i="9" s="1"/>
  <c r="AO10" i="9" s="1"/>
  <c r="AO11" i="9" s="1"/>
  <c r="AO12" i="9" s="1"/>
  <c r="AO13" i="9" s="1"/>
  <c r="AO14" i="9" s="1"/>
  <c r="AO15" i="9" s="1"/>
  <c r="AO16" i="9" s="1"/>
  <c r="AO17" i="9" s="1"/>
  <c r="AO18" i="9" s="1"/>
  <c r="AO19" i="9" s="1"/>
  <c r="AO20" i="9" s="1"/>
  <c r="AO21" i="9" s="1"/>
  <c r="AO22" i="9" s="1"/>
  <c r="AO23" i="9" s="1"/>
  <c r="AO24" i="9" s="1"/>
  <c r="AO25" i="9" s="1"/>
  <c r="AO26" i="9" s="1"/>
  <c r="AO27" i="9" s="1"/>
  <c r="AO28" i="9" s="1"/>
  <c r="AO29" i="9" s="1"/>
  <c r="AO30" i="9" s="1"/>
  <c r="AO31" i="9" s="1"/>
  <c r="AO32" i="9" s="1"/>
  <c r="AO33" i="9" s="1"/>
  <c r="AO34" i="9" s="1"/>
  <c r="AO35" i="9" s="1"/>
  <c r="AO36" i="9" s="1"/>
  <c r="AO37" i="9" s="1"/>
  <c r="AO38" i="9" s="1"/>
  <c r="AO39" i="9" s="1"/>
  <c r="AO40" i="9" s="1"/>
  <c r="AO41" i="9" s="1"/>
  <c r="AO42" i="9" s="1"/>
  <c r="AO43" i="9" s="1"/>
  <c r="AO44" i="9" s="1"/>
  <c r="AO45" i="9" s="1"/>
  <c r="AO46" i="9" s="1"/>
  <c r="AO47" i="9" s="1"/>
  <c r="AO48" i="9" s="1"/>
  <c r="AO49" i="9" s="1"/>
  <c r="AO50" i="9" s="1"/>
  <c r="AO51" i="9" s="1"/>
  <c r="AO52" i="9" s="1"/>
  <c r="AO53" i="9" s="1"/>
  <c r="AO54" i="9" s="1"/>
  <c r="AO55" i="9" s="1"/>
  <c r="AO56" i="9" s="1"/>
  <c r="AO57" i="9" s="1"/>
  <c r="AO58" i="9" s="1"/>
  <c r="AO59" i="9" s="1"/>
  <c r="AO60" i="9" s="1"/>
  <c r="AO61" i="9" s="1"/>
  <c r="AO62" i="9" s="1"/>
  <c r="AO63" i="9" s="1"/>
  <c r="AO64" i="9" s="1"/>
  <c r="AO65" i="9" s="1"/>
  <c r="AO66" i="9" s="1"/>
  <c r="AO67" i="9" s="1"/>
  <c r="AO68" i="9" s="1"/>
  <c r="AO69" i="9" s="1"/>
  <c r="AO70" i="9" s="1"/>
  <c r="AO71" i="9" s="1"/>
  <c r="AO72" i="9" s="1"/>
  <c r="AO73" i="9" s="1"/>
  <c r="AO74" i="9" s="1"/>
  <c r="AO75" i="9" s="1"/>
  <c r="AO76" i="9" s="1"/>
  <c r="AO77" i="9" s="1"/>
  <c r="AO78" i="9" s="1"/>
  <c r="AO79" i="9" s="1"/>
  <c r="AO80" i="9" s="1"/>
  <c r="AO81" i="9" s="1"/>
  <c r="AO82" i="9" s="1"/>
  <c r="AO83" i="9" s="1"/>
  <c r="AO84" i="9" s="1"/>
  <c r="AO85" i="9" s="1"/>
  <c r="AO86" i="9" s="1"/>
  <c r="AO87" i="9" s="1"/>
  <c r="AO88" i="9" s="1"/>
  <c r="AO89" i="9" s="1"/>
  <c r="AO90" i="9" s="1"/>
  <c r="AO91" i="9" s="1"/>
  <c r="AO92" i="9" s="1"/>
  <c r="AO93" i="9" s="1"/>
  <c r="AO94" i="9" s="1"/>
  <c r="AO95" i="9" s="1"/>
  <c r="AO96" i="9" s="1"/>
  <c r="AO97" i="9" s="1"/>
  <c r="AO98" i="9" s="1"/>
  <c r="AO99" i="9" s="1"/>
  <c r="AO100" i="9" s="1"/>
  <c r="AO101" i="9" s="1"/>
  <c r="AO102" i="9" s="1"/>
  <c r="AO103" i="9" s="1"/>
  <c r="AO104" i="9" s="1"/>
  <c r="AO105" i="9" s="1"/>
  <c r="AO106" i="9" s="1"/>
  <c r="AO107" i="9" s="1"/>
  <c r="AO108" i="9" s="1"/>
  <c r="AO109" i="9" s="1"/>
  <c r="AO110" i="9" s="1"/>
  <c r="AO111" i="9" s="1"/>
  <c r="AO112" i="9" s="1"/>
  <c r="AO113" i="9" s="1"/>
  <c r="AO114" i="9" s="1"/>
  <c r="AO115" i="9" s="1"/>
  <c r="AO116" i="9" s="1"/>
  <c r="AO117" i="9" s="1"/>
  <c r="AO118" i="9" s="1"/>
  <c r="AO119" i="9" s="1"/>
  <c r="AO120" i="9" s="1"/>
  <c r="AO121" i="9" s="1"/>
  <c r="AO122" i="9" s="1"/>
  <c r="AO123" i="9" s="1"/>
  <c r="AO124" i="9" s="1"/>
  <c r="AO125" i="9" s="1"/>
  <c r="AO126" i="9" s="1"/>
  <c r="AO127" i="9" s="1"/>
  <c r="AO128" i="9" s="1"/>
  <c r="AO129" i="9" s="1"/>
  <c r="AO130" i="9" s="1"/>
  <c r="AO131" i="9" s="1"/>
  <c r="AO132" i="9" s="1"/>
  <c r="AO133" i="9" s="1"/>
  <c r="AO134" i="9" s="1"/>
  <c r="AO135" i="9" s="1"/>
  <c r="AO136" i="9" s="1"/>
  <c r="AC4" i="9"/>
  <c r="AC5" i="9" s="1"/>
  <c r="AC6" i="9" s="1"/>
  <c r="AC7" i="9" s="1"/>
  <c r="AC8" i="9" s="1"/>
  <c r="AC9" i="9" s="1"/>
  <c r="AC10" i="9" s="1"/>
  <c r="AC11" i="9" s="1"/>
  <c r="AC12" i="9" s="1"/>
  <c r="AC13" i="9" s="1"/>
  <c r="AC14" i="9" s="1"/>
  <c r="AC15" i="9" s="1"/>
  <c r="AC16" i="9" s="1"/>
  <c r="AC17" i="9" s="1"/>
  <c r="AC18" i="9" s="1"/>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C81" i="9" s="1"/>
  <c r="AC82" i="9" s="1"/>
  <c r="AC83" i="9" s="1"/>
  <c r="AC84" i="9" s="1"/>
  <c r="AC85" i="9" s="1"/>
  <c r="AC86" i="9" s="1"/>
  <c r="AC87" i="9" s="1"/>
  <c r="AC88" i="9" s="1"/>
  <c r="AC89" i="9" s="1"/>
  <c r="AC90" i="9" s="1"/>
  <c r="AC91" i="9" s="1"/>
  <c r="AC92" i="9" s="1"/>
  <c r="AC93" i="9" s="1"/>
  <c r="AC94" i="9" s="1"/>
  <c r="AC95" i="9" s="1"/>
  <c r="AC96" i="9" s="1"/>
  <c r="AC97" i="9" s="1"/>
  <c r="AC98" i="9" s="1"/>
  <c r="AC99" i="9" s="1"/>
  <c r="AC100" i="9" s="1"/>
  <c r="AC101" i="9" s="1"/>
  <c r="AC102" i="9" s="1"/>
  <c r="AC103" i="9" s="1"/>
  <c r="AC104" i="9" s="1"/>
  <c r="AC105" i="9" s="1"/>
  <c r="AC106" i="9" s="1"/>
  <c r="AC107" i="9" s="1"/>
  <c r="AC108" i="9" s="1"/>
  <c r="AC109" i="9" s="1"/>
  <c r="AC110" i="9" s="1"/>
  <c r="AC111" i="9" s="1"/>
  <c r="AC112" i="9" s="1"/>
  <c r="AC113" i="9" s="1"/>
  <c r="AC114" i="9" s="1"/>
  <c r="AC115" i="9" s="1"/>
  <c r="AC116" i="9" s="1"/>
  <c r="AC117" i="9" s="1"/>
  <c r="AC118" i="9" s="1"/>
  <c r="AC119" i="9" s="1"/>
  <c r="AC120" i="9" s="1"/>
  <c r="AC121" i="9" s="1"/>
  <c r="AC122" i="9" s="1"/>
  <c r="AC123" i="9" s="1"/>
  <c r="AC124" i="9" s="1"/>
  <c r="AC125" i="9" s="1"/>
  <c r="AC126" i="9" s="1"/>
  <c r="AC127" i="9" s="1"/>
  <c r="AC128" i="9" s="1"/>
  <c r="AC129" i="9" s="1"/>
  <c r="AC130" i="9" s="1"/>
  <c r="AC131" i="9" s="1"/>
  <c r="AC132" i="9" s="1"/>
  <c r="AC133" i="9" s="1"/>
  <c r="AC134" i="9" s="1"/>
  <c r="AC135" i="9" s="1"/>
  <c r="AC136" i="9" s="1"/>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4" i="9"/>
  <c r="A4" i="8"/>
  <c r="A4" i="7"/>
  <c r="R4" i="7" s="1"/>
  <c r="A4" i="2"/>
  <c r="AN5" i="9" l="1"/>
  <c r="BK6" i="11" s="1"/>
  <c r="BK5" i="11"/>
  <c r="AI5" i="11" s="1"/>
  <c r="AQ21" i="9"/>
  <c r="CM21" i="8" s="1"/>
  <c r="AI16" i="9"/>
  <c r="AH6" i="9"/>
  <c r="AG6" i="9"/>
  <c r="AK6" i="9"/>
  <c r="AE6" i="9"/>
  <c r="AM6" i="9"/>
  <c r="AN6" i="9" l="1"/>
  <c r="AN7" i="9" s="1"/>
  <c r="AI6" i="11"/>
  <c r="AQ22" i="9"/>
  <c r="CM22" i="8" s="1"/>
  <c r="AI17" i="9"/>
  <c r="AM7" i="9"/>
  <c r="AH7" i="9"/>
  <c r="AG7" i="9"/>
  <c r="AK7" i="9"/>
  <c r="AE7" i="9"/>
  <c r="AN8" i="9" l="1"/>
  <c r="AQ23" i="9"/>
  <c r="CM23" i="8" s="1"/>
  <c r="AI18" i="9"/>
  <c r="AO18" i="8" s="1"/>
  <c r="AM8" i="9"/>
  <c r="AH8" i="9"/>
  <c r="AG8" i="9"/>
  <c r="AK8" i="9"/>
  <c r="AE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22"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AN9" i="9" l="1"/>
  <c r="AQ24" i="9"/>
  <c r="CM24" i="8" s="1"/>
  <c r="AI19" i="9"/>
  <c r="AO19" i="8" s="1"/>
  <c r="AM9" i="9"/>
  <c r="O6" i="1"/>
  <c r="AH9" i="9"/>
  <c r="AG9" i="9"/>
  <c r="AK9" i="9"/>
  <c r="AE9" i="9"/>
  <c r="AB4" i="1"/>
  <c r="AN10" i="9" l="1"/>
  <c r="AQ25" i="9"/>
  <c r="CM25" i="8" s="1"/>
  <c r="AI20" i="9"/>
  <c r="AO20" i="8" s="1"/>
  <c r="AM10" i="9"/>
  <c r="O7" i="1"/>
  <c r="AH10" i="9"/>
  <c r="AG10" i="9"/>
  <c r="AK10" i="9"/>
  <c r="AE10" i="9"/>
  <c r="AE4" i="8"/>
  <c r="AU4" i="8"/>
  <c r="Z5" i="8"/>
  <c r="Z6" i="8" s="1"/>
  <c r="Z7" i="8" s="1"/>
  <c r="Z8" i="8" s="1"/>
  <c r="Z9" i="8" s="1"/>
  <c r="Z10" i="8" s="1"/>
  <c r="Z11" i="8" s="1"/>
  <c r="Z12" i="8" s="1"/>
  <c r="Z13" i="8" s="1"/>
  <c r="Z14" i="8" s="1"/>
  <c r="Z15" i="8" s="1"/>
  <c r="Z16" i="8" s="1"/>
  <c r="Z17" i="8" s="1"/>
  <c r="Z18" i="8" s="1"/>
  <c r="Z19" i="8" s="1"/>
  <c r="Z20" i="8" s="1"/>
  <c r="Z21" i="8" s="1"/>
  <c r="Z22" i="8" s="1"/>
  <c r="Z23" i="8" s="1"/>
  <c r="Z24" i="8" s="1"/>
  <c r="Z25" i="8" s="1"/>
  <c r="Z26" i="8" s="1"/>
  <c r="Z27" i="8" s="1"/>
  <c r="Z28" i="8" s="1"/>
  <c r="Z29" i="8" s="1"/>
  <c r="Z30" i="8" s="1"/>
  <c r="Z31" i="8" s="1"/>
  <c r="Z32" i="8" s="1"/>
  <c r="Z33" i="8" s="1"/>
  <c r="Z34" i="8" s="1"/>
  <c r="Z35" i="8" s="1"/>
  <c r="Z36" i="8" s="1"/>
  <c r="Z37" i="8" s="1"/>
  <c r="Z38" i="8" s="1"/>
  <c r="Z39" i="8" s="1"/>
  <c r="Z40" i="8" s="1"/>
  <c r="Z41" i="8" s="1"/>
  <c r="Z42" i="8" s="1"/>
  <c r="Z43" i="8" s="1"/>
  <c r="Z44" i="8" s="1"/>
  <c r="Z45" i="8" s="1"/>
  <c r="Z46" i="8" s="1"/>
  <c r="Z47" i="8" s="1"/>
  <c r="Z48" i="8" s="1"/>
  <c r="Z49" i="8" s="1"/>
  <c r="Z50" i="8" s="1"/>
  <c r="Z51" i="8" s="1"/>
  <c r="Z52" i="8" s="1"/>
  <c r="Z53" i="8" s="1"/>
  <c r="Z54" i="8" s="1"/>
  <c r="Z55" i="8" s="1"/>
  <c r="Z56" i="8" s="1"/>
  <c r="Z57" i="8" s="1"/>
  <c r="Z58" i="8" s="1"/>
  <c r="Z59" i="8" s="1"/>
  <c r="Z60" i="8" s="1"/>
  <c r="Z61" i="8" s="1"/>
  <c r="Z62" i="8" s="1"/>
  <c r="Z63" i="8" s="1"/>
  <c r="Z64" i="8" s="1"/>
  <c r="Z65" i="8" s="1"/>
  <c r="Z66" i="8" s="1"/>
  <c r="Z67" i="8" s="1"/>
  <c r="Z68" i="8" s="1"/>
  <c r="Z69" i="8" s="1"/>
  <c r="Z70" i="8" s="1"/>
  <c r="Z71" i="8" s="1"/>
  <c r="Z72" i="8" s="1"/>
  <c r="Z73" i="8" s="1"/>
  <c r="Z74" i="8" s="1"/>
  <c r="Z75" i="8" s="1"/>
  <c r="Z76" i="8" s="1"/>
  <c r="Z77" i="8" s="1"/>
  <c r="Z78" i="8" s="1"/>
  <c r="Z79" i="8" s="1"/>
  <c r="Z80" i="8" s="1"/>
  <c r="Z81" i="8" s="1"/>
  <c r="Z82" i="8" s="1"/>
  <c r="Z83" i="8" s="1"/>
  <c r="Z84" i="8" s="1"/>
  <c r="Z85" i="8" s="1"/>
  <c r="Z86" i="8" s="1"/>
  <c r="Z87" i="8" s="1"/>
  <c r="Z88" i="8" s="1"/>
  <c r="Z89" i="8" s="1"/>
  <c r="Z90" i="8" s="1"/>
  <c r="Z91" i="8" s="1"/>
  <c r="Z92" i="8" s="1"/>
  <c r="Z93" i="8" s="1"/>
  <c r="Z94" i="8" s="1"/>
  <c r="Z95" i="8" s="1"/>
  <c r="Z96" i="8" s="1"/>
  <c r="Z97" i="8" s="1"/>
  <c r="Z98" i="8" s="1"/>
  <c r="Z99" i="8" s="1"/>
  <c r="Z100" i="8" s="1"/>
  <c r="Z101" i="8" s="1"/>
  <c r="Z102" i="8" s="1"/>
  <c r="Z103" i="8" s="1"/>
  <c r="Z104" i="8" s="1"/>
  <c r="Z105" i="8" s="1"/>
  <c r="Z106" i="8" s="1"/>
  <c r="Z107" i="8" s="1"/>
  <c r="Z108" i="8" s="1"/>
  <c r="Z109" i="8" s="1"/>
  <c r="Z110" i="8" s="1"/>
  <c r="Z111" i="8" s="1"/>
  <c r="Z112" i="8" s="1"/>
  <c r="Z113" i="8" s="1"/>
  <c r="Z114" i="8" s="1"/>
  <c r="Z115" i="8" s="1"/>
  <c r="Z116" i="8" s="1"/>
  <c r="Z117" i="8" s="1"/>
  <c r="Z118" i="8" s="1"/>
  <c r="Z119" i="8" s="1"/>
  <c r="Z120" i="8" s="1"/>
  <c r="Z121" i="8" s="1"/>
  <c r="Z122" i="8" s="1"/>
  <c r="Z123" i="8" s="1"/>
  <c r="Z124" i="8" s="1"/>
  <c r="Z125" i="8" s="1"/>
  <c r="Z126" i="8" s="1"/>
  <c r="Z127" i="8" s="1"/>
  <c r="Z128" i="8" s="1"/>
  <c r="Z129" i="8" s="1"/>
  <c r="Z130" i="8" s="1"/>
  <c r="Z131" i="8" s="1"/>
  <c r="Z132" i="8" s="1"/>
  <c r="Z133" i="8" s="1"/>
  <c r="Z134" i="8" s="1"/>
  <c r="Z135" i="8" s="1"/>
  <c r="Z136" i="8" s="1"/>
  <c r="L4" i="8"/>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G4" i="8"/>
  <c r="E4" i="8"/>
  <c r="E5" i="8" s="1"/>
  <c r="F4" i="8"/>
  <c r="F5" i="8" s="1"/>
  <c r="E26" i="4"/>
  <c r="E28" i="4"/>
  <c r="E29" i="4"/>
  <c r="D26" i="4"/>
  <c r="D29" i="4"/>
  <c r="D28" i="4"/>
  <c r="A25" i="4"/>
  <c r="A24" i="4"/>
  <c r="A23" i="4"/>
  <c r="AN11" i="9" l="1"/>
  <c r="AQ26" i="9"/>
  <c r="CM26" i="8" s="1"/>
  <c r="H53" i="8"/>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H76" i="8" s="1"/>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B42" i="4"/>
  <c r="AI21" i="9"/>
  <c r="AO21" i="8" s="1"/>
  <c r="CF4" i="8"/>
  <c r="AM11" i="9"/>
  <c r="L5" i="8"/>
  <c r="L6" i="8" s="1"/>
  <c r="L7" i="8" s="1"/>
  <c r="L8" i="8" s="1"/>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I15" i="8"/>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O8" i="1"/>
  <c r="C23" i="4"/>
  <c r="B23" i="4"/>
  <c r="D22" i="4"/>
  <c r="AG2" i="8"/>
  <c r="AY2" i="8"/>
  <c r="E2" i="8"/>
  <c r="AM4" i="1"/>
  <c r="AJ4" i="1"/>
  <c r="D24" i="4"/>
  <c r="BA2" i="8"/>
  <c r="G2" i="8"/>
  <c r="AI2" i="8"/>
  <c r="BB2" i="8"/>
  <c r="H2" i="8"/>
  <c r="AJ2" i="8"/>
  <c r="AL4" i="1"/>
  <c r="D23" i="4"/>
  <c r="AZ2" i="8"/>
  <c r="F2" i="8"/>
  <c r="AH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G4" i="8"/>
  <c r="S4" i="2"/>
  <c r="G5" i="8"/>
  <c r="E6" i="8"/>
  <c r="AH11" i="9"/>
  <c r="AG11" i="9"/>
  <c r="AK11" i="9"/>
  <c r="AE11" i="9"/>
  <c r="A41" i="4"/>
  <c r="A42" i="4"/>
  <c r="P2" i="2"/>
  <c r="O2" i="2"/>
  <c r="N2" i="2"/>
  <c r="M2" i="2"/>
  <c r="A39" i="4"/>
  <c r="A40" i="4"/>
  <c r="CG5" i="8"/>
  <c r="O4" i="2"/>
  <c r="Q4" i="2"/>
  <c r="R4" i="2"/>
  <c r="M4" i="2"/>
  <c r="N4" i="2"/>
  <c r="R5" i="2"/>
  <c r="P4" i="2"/>
  <c r="E22" i="4"/>
  <c r="F22" i="4"/>
  <c r="E23" i="4"/>
  <c r="E25" i="4"/>
  <c r="E24" i="4"/>
  <c r="F23" i="4"/>
  <c r="D25" i="4"/>
  <c r="A50" i="4"/>
  <c r="A51" i="4"/>
  <c r="A48" i="4"/>
  <c r="CJ136" i="8"/>
  <c r="CJ135" i="8"/>
  <c r="CJ134" i="8"/>
  <c r="CJ133" i="8"/>
  <c r="CJ132" i="8"/>
  <c r="CJ131" i="8"/>
  <c r="CJ130" i="8"/>
  <c r="CJ129" i="8"/>
  <c r="CJ128" i="8"/>
  <c r="CJ127" i="8"/>
  <c r="CJ126" i="8"/>
  <c r="CJ125" i="8"/>
  <c r="CJ124" i="8"/>
  <c r="CJ123" i="8"/>
  <c r="CJ122" i="8"/>
  <c r="CJ121" i="8"/>
  <c r="CJ120" i="8"/>
  <c r="CJ119" i="8"/>
  <c r="CJ118" i="8"/>
  <c r="CJ117" i="8"/>
  <c r="CJ116" i="8"/>
  <c r="CJ115" i="8"/>
  <c r="CJ114" i="8"/>
  <c r="CJ113" i="8"/>
  <c r="CJ112" i="8"/>
  <c r="CJ111" i="8"/>
  <c r="CJ110" i="8"/>
  <c r="CJ109" i="8"/>
  <c r="CJ108" i="8"/>
  <c r="CJ107" i="8"/>
  <c r="CJ106" i="8"/>
  <c r="CJ105" i="8"/>
  <c r="CJ104" i="8"/>
  <c r="CJ103" i="8"/>
  <c r="CJ102" i="8"/>
  <c r="CJ101" i="8"/>
  <c r="CJ100" i="8"/>
  <c r="CJ99" i="8"/>
  <c r="CJ98" i="8"/>
  <c r="CJ97" i="8"/>
  <c r="CJ96" i="8"/>
  <c r="CJ95" i="8"/>
  <c r="CJ94" i="8"/>
  <c r="CJ93" i="8"/>
  <c r="CJ92" i="8"/>
  <c r="CJ91" i="8"/>
  <c r="CJ90" i="8"/>
  <c r="CJ89" i="8"/>
  <c r="CJ88" i="8"/>
  <c r="CJ87" i="8"/>
  <c r="CJ86" i="8"/>
  <c r="CJ85" i="8"/>
  <c r="CJ84" i="8"/>
  <c r="CJ83" i="8"/>
  <c r="CJ82" i="8"/>
  <c r="CJ81" i="8"/>
  <c r="CJ80" i="8"/>
  <c r="CJ79" i="8"/>
  <c r="CJ78" i="8"/>
  <c r="CJ77" i="8"/>
  <c r="CJ76" i="8"/>
  <c r="CJ75" i="8"/>
  <c r="CJ74" i="8"/>
  <c r="CJ73" i="8"/>
  <c r="CJ72" i="8"/>
  <c r="CJ71" i="8"/>
  <c r="CJ70" i="8"/>
  <c r="CJ69" i="8"/>
  <c r="CJ68" i="8"/>
  <c r="CJ67" i="8"/>
  <c r="CJ66" i="8"/>
  <c r="CJ65" i="8"/>
  <c r="CJ64" i="8"/>
  <c r="CJ63" i="8"/>
  <c r="CJ62" i="8"/>
  <c r="CJ61" i="8"/>
  <c r="CJ60" i="8"/>
  <c r="CJ59" i="8"/>
  <c r="CJ58" i="8"/>
  <c r="CJ57" i="8"/>
  <c r="CJ56" i="8"/>
  <c r="CJ55" i="8"/>
  <c r="CJ54" i="8"/>
  <c r="CJ53" i="8"/>
  <c r="CJ52" i="8"/>
  <c r="CJ51" i="8"/>
  <c r="CJ50" i="8"/>
  <c r="CJ49" i="8"/>
  <c r="CJ48" i="8"/>
  <c r="CJ47" i="8"/>
  <c r="CJ46" i="8"/>
  <c r="CJ45" i="8"/>
  <c r="CJ44" i="8"/>
  <c r="CJ43" i="8"/>
  <c r="CJ42" i="8"/>
  <c r="CJ41" i="8"/>
  <c r="CJ40" i="8"/>
  <c r="CJ39" i="8"/>
  <c r="CJ38" i="8"/>
  <c r="CJ37" i="8"/>
  <c r="CJ36" i="8"/>
  <c r="CJ35" i="8"/>
  <c r="CJ34" i="8"/>
  <c r="CJ33" i="8"/>
  <c r="CJ32" i="8"/>
  <c r="CJ31" i="8"/>
  <c r="CJ30" i="8"/>
  <c r="CJ29" i="8"/>
  <c r="CJ28" i="8"/>
  <c r="CJ27" i="8"/>
  <c r="CJ26" i="8"/>
  <c r="CJ25" i="8"/>
  <c r="CJ24" i="8"/>
  <c r="CJ23" i="8"/>
  <c r="CJ22" i="8"/>
  <c r="CJ21" i="8"/>
  <c r="CJ20" i="8"/>
  <c r="CJ19" i="8"/>
  <c r="CJ18" i="8"/>
  <c r="CJ17" i="8"/>
  <c r="CJ16" i="8"/>
  <c r="CJ15" i="8"/>
  <c r="CJ14" i="8"/>
  <c r="CJ13" i="8"/>
  <c r="CJ12" i="8"/>
  <c r="CJ11" i="8"/>
  <c r="CJ10" i="8"/>
  <c r="CJ9" i="8"/>
  <c r="CJ8" i="8"/>
  <c r="CJ7" i="8"/>
  <c r="CJ6" i="8"/>
  <c r="CJ5" i="8"/>
  <c r="CJ4" i="8"/>
  <c r="C87" i="4"/>
  <c r="D86" i="4"/>
  <c r="E87" i="4"/>
  <c r="BZ4" i="11"/>
  <c r="CO12" i="8"/>
  <c r="CO11" i="8"/>
  <c r="CO10" i="8"/>
  <c r="CO9" i="8"/>
  <c r="CO8" i="8"/>
  <c r="CO7" i="8"/>
  <c r="CO6" i="8"/>
  <c r="CO5" i="8"/>
  <c r="N5" i="2"/>
  <c r="DH4" i="5"/>
  <c r="B47" i="6"/>
  <c r="B46" i="6"/>
  <c r="I4" i="1" s="1"/>
  <c r="AO4" i="1" s="1"/>
  <c r="F3" i="12"/>
  <c r="E3" i="12" s="1"/>
  <c r="J3" i="12"/>
  <c r="C4" i="12"/>
  <c r="C5" i="12" s="1"/>
  <c r="C6" i="12" s="1"/>
  <c r="C7" i="12" s="1"/>
  <c r="C8" i="12" s="1"/>
  <c r="C9" i="12" s="1"/>
  <c r="C10" i="12" s="1"/>
  <c r="C11" i="12" s="1"/>
  <c r="C12" i="12" s="1"/>
  <c r="C13" i="12" s="1"/>
  <c r="C14" i="12" s="1"/>
  <c r="C15" i="12" s="1"/>
  <c r="C16" i="12" s="1"/>
  <c r="C17" i="12" s="1"/>
  <c r="D4" i="12"/>
  <c r="I4" i="12"/>
  <c r="I5" i="12" s="1"/>
  <c r="J5" i="12" s="1"/>
  <c r="B9" i="12"/>
  <c r="B13" i="12"/>
  <c r="M22" i="12"/>
  <c r="C23" i="12"/>
  <c r="C26" i="12" s="1"/>
  <c r="E24" i="12"/>
  <c r="F24" i="12"/>
  <c r="I25" i="12"/>
  <c r="M25" i="12"/>
  <c r="M26" i="12"/>
  <c r="K27" i="12"/>
  <c r="K28" i="12"/>
  <c r="C34" i="12"/>
  <c r="I35" i="12"/>
  <c r="I36" i="12"/>
  <c r="M37" i="12"/>
  <c r="K38" i="12"/>
  <c r="K39" i="12"/>
  <c r="K36" i="12" s="1"/>
  <c r="F52" i="12"/>
  <c r="E52" i="12" s="1"/>
  <c r="F53" i="12"/>
  <c r="E53" i="12" s="1"/>
  <c r="F54" i="12"/>
  <c r="E54" i="12" s="1"/>
  <c r="F55" i="12"/>
  <c r="E55" i="12" s="1"/>
  <c r="C68" i="6"/>
  <c r="A72" i="6"/>
  <c r="B82" i="6"/>
  <c r="C82" i="6"/>
  <c r="B83" i="6"/>
  <c r="C83" i="6"/>
  <c r="C84" i="6" s="1"/>
  <c r="C85" i="6" s="1"/>
  <c r="C86" i="6" s="1"/>
  <c r="C87" i="6" s="1"/>
  <c r="C89" i="6" s="1"/>
  <c r="C90" i="6" s="1"/>
  <c r="C91" i="6" s="1"/>
  <c r="C92" i="6" s="1"/>
  <c r="B85" i="6"/>
  <c r="B86" i="6" s="1"/>
  <c r="D16" i="5"/>
  <c r="D17" i="5"/>
  <c r="D18" i="5"/>
  <c r="D19" i="5"/>
  <c r="D20" i="5"/>
  <c r="D21" i="5"/>
  <c r="D22" i="5"/>
  <c r="D23" i="5"/>
  <c r="D24" i="5"/>
  <c r="D25" i="5"/>
  <c r="D27" i="5"/>
  <c r="D28" i="5"/>
  <c r="D29" i="5"/>
  <c r="D30" i="5"/>
  <c r="D31" i="5"/>
  <c r="D32" i="5"/>
  <c r="D33" i="5"/>
  <c r="D34" i="5"/>
  <c r="D35" i="5"/>
  <c r="D36" i="5"/>
  <c r="D37" i="5"/>
  <c r="D38" i="5"/>
  <c r="D39" i="5"/>
  <c r="D40" i="5"/>
  <c r="D41" i="5"/>
  <c r="D42" i="5"/>
  <c r="D43" i="5"/>
  <c r="D44" i="5"/>
  <c r="D45" i="5"/>
  <c r="D46" i="5"/>
  <c r="D47" i="5"/>
  <c r="D48" i="5"/>
  <c r="D49" i="5"/>
  <c r="D50" i="5"/>
  <c r="D51" i="5"/>
  <c r="D52" i="5"/>
  <c r="B71" i="4" s="1"/>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M5" i="11"/>
  <c r="BX5" i="11" s="1"/>
  <c r="M6" i="11"/>
  <c r="BX6" i="11" s="1"/>
  <c r="M7" i="11"/>
  <c r="BX7" i="11" s="1"/>
  <c r="M8" i="11"/>
  <c r="BX8" i="11" s="1"/>
  <c r="M9" i="11"/>
  <c r="BX9" i="11" s="1"/>
  <c r="M10" i="11"/>
  <c r="BX10" i="11" s="1"/>
  <c r="M11" i="11"/>
  <c r="BX11" i="11" s="1"/>
  <c r="M12" i="11"/>
  <c r="BX12" i="11" s="1"/>
  <c r="M13" i="11"/>
  <c r="BX13" i="11" s="1"/>
  <c r="M14" i="11"/>
  <c r="BX14" i="11" s="1"/>
  <c r="M15" i="11"/>
  <c r="BX15" i="11" s="1"/>
  <c r="M16" i="11"/>
  <c r="BX16" i="11" s="1"/>
  <c r="M17" i="11"/>
  <c r="BX17" i="11" s="1"/>
  <c r="M18" i="11"/>
  <c r="BX18" i="11" s="1"/>
  <c r="M19" i="11"/>
  <c r="BX19" i="11" s="1"/>
  <c r="M20" i="11"/>
  <c r="BX20" i="11" s="1"/>
  <c r="M21" i="11"/>
  <c r="BX21" i="11" s="1"/>
  <c r="M22" i="11"/>
  <c r="BX22" i="11" s="1"/>
  <c r="M23" i="11"/>
  <c r="BX23" i="11" s="1"/>
  <c r="M24" i="11"/>
  <c r="BX24" i="11" s="1"/>
  <c r="M25" i="11"/>
  <c r="BX25" i="11" s="1"/>
  <c r="M26" i="11"/>
  <c r="BX26" i="11" s="1"/>
  <c r="M27" i="11"/>
  <c r="BX27" i="11" s="1"/>
  <c r="M28" i="11"/>
  <c r="BX28" i="11" s="1"/>
  <c r="M29" i="11"/>
  <c r="BX29" i="11" s="1"/>
  <c r="M30" i="11"/>
  <c r="BX30" i="11" s="1"/>
  <c r="M31" i="11"/>
  <c r="BX31" i="11" s="1"/>
  <c r="M32" i="11"/>
  <c r="BX32" i="11" s="1"/>
  <c r="M33" i="11"/>
  <c r="BX33" i="11" s="1"/>
  <c r="M34" i="11"/>
  <c r="BX34" i="11" s="1"/>
  <c r="M35" i="11"/>
  <c r="BX35" i="11" s="1"/>
  <c r="M36" i="11"/>
  <c r="BX36" i="11" s="1"/>
  <c r="M37" i="11"/>
  <c r="BX37" i="11" s="1"/>
  <c r="M38" i="11"/>
  <c r="BX38" i="11" s="1"/>
  <c r="M39" i="11"/>
  <c r="BX39" i="11" s="1"/>
  <c r="M40" i="11"/>
  <c r="BX40" i="11" s="1"/>
  <c r="M41" i="11"/>
  <c r="BX41" i="11" s="1"/>
  <c r="M42" i="11"/>
  <c r="BX42" i="11" s="1"/>
  <c r="M43" i="11"/>
  <c r="BX43" i="11" s="1"/>
  <c r="M44" i="11"/>
  <c r="BX44" i="11" s="1"/>
  <c r="M45" i="11"/>
  <c r="BX45" i="11" s="1"/>
  <c r="M46" i="11"/>
  <c r="BX46" i="11" s="1"/>
  <c r="M47" i="11"/>
  <c r="BX47" i="11" s="1"/>
  <c r="M48" i="11"/>
  <c r="BX48" i="11" s="1"/>
  <c r="M49" i="11"/>
  <c r="BX49" i="11" s="1"/>
  <c r="M50" i="11"/>
  <c r="BX50" i="11" s="1"/>
  <c r="M51" i="11"/>
  <c r="BX51" i="11" s="1"/>
  <c r="M52" i="11"/>
  <c r="BX52" i="11" s="1"/>
  <c r="M53" i="11"/>
  <c r="BX53" i="11" s="1"/>
  <c r="M54" i="11"/>
  <c r="BX54" i="11" s="1"/>
  <c r="M55" i="11"/>
  <c r="BX55" i="11" s="1"/>
  <c r="M56" i="11"/>
  <c r="BX56" i="11" s="1"/>
  <c r="M57" i="11"/>
  <c r="BX57" i="11" s="1"/>
  <c r="M58" i="11"/>
  <c r="BX58" i="11" s="1"/>
  <c r="M59" i="11"/>
  <c r="BX59" i="11" s="1"/>
  <c r="M60" i="11"/>
  <c r="BX60" i="11" s="1"/>
  <c r="M61" i="11"/>
  <c r="BX61" i="11" s="1"/>
  <c r="M62" i="11"/>
  <c r="BX62" i="11" s="1"/>
  <c r="M63" i="11"/>
  <c r="BX63" i="11" s="1"/>
  <c r="M64" i="11"/>
  <c r="BX64" i="11" s="1"/>
  <c r="M65" i="11"/>
  <c r="BX65" i="11" s="1"/>
  <c r="M66" i="11"/>
  <c r="BX66" i="11" s="1"/>
  <c r="M67" i="11"/>
  <c r="BX67" i="11" s="1"/>
  <c r="M68" i="11"/>
  <c r="BX68" i="11" s="1"/>
  <c r="M69" i="11"/>
  <c r="BX69" i="11" s="1"/>
  <c r="M70" i="11"/>
  <c r="BX70" i="11" s="1"/>
  <c r="M71" i="11"/>
  <c r="BX71" i="11" s="1"/>
  <c r="M72" i="11"/>
  <c r="BX72" i="11" s="1"/>
  <c r="M73" i="11"/>
  <c r="BX73" i="11" s="1"/>
  <c r="M74" i="11"/>
  <c r="BX74" i="11" s="1"/>
  <c r="M75" i="11"/>
  <c r="BX75" i="11" s="1"/>
  <c r="M76" i="11"/>
  <c r="BX76" i="11" s="1"/>
  <c r="M77" i="11"/>
  <c r="BX77" i="11" s="1"/>
  <c r="M78" i="11"/>
  <c r="BX78" i="11" s="1"/>
  <c r="M79" i="11"/>
  <c r="BX79" i="11" s="1"/>
  <c r="M80" i="11"/>
  <c r="BX80" i="11" s="1"/>
  <c r="M81" i="11"/>
  <c r="BX81" i="11" s="1"/>
  <c r="M82" i="11"/>
  <c r="BX82" i="11" s="1"/>
  <c r="M83" i="11"/>
  <c r="BX83" i="11" s="1"/>
  <c r="M84" i="11"/>
  <c r="BX84" i="11" s="1"/>
  <c r="M85" i="11"/>
  <c r="BX85" i="11" s="1"/>
  <c r="M86" i="11"/>
  <c r="BX86" i="11" s="1"/>
  <c r="M87" i="11"/>
  <c r="BX87" i="11" s="1"/>
  <c r="M88" i="11"/>
  <c r="BX88" i="11" s="1"/>
  <c r="M89" i="11"/>
  <c r="BX89" i="11" s="1"/>
  <c r="M90" i="11"/>
  <c r="BX90" i="11" s="1"/>
  <c r="M91" i="11"/>
  <c r="BX91" i="11" s="1"/>
  <c r="M92" i="11"/>
  <c r="BX92" i="11" s="1"/>
  <c r="M93" i="11"/>
  <c r="BX93" i="11" s="1"/>
  <c r="M94" i="11"/>
  <c r="BX94" i="11" s="1"/>
  <c r="M95" i="11"/>
  <c r="BX95" i="11" s="1"/>
  <c r="M96" i="11"/>
  <c r="BX96" i="11" s="1"/>
  <c r="M97" i="11"/>
  <c r="BX97" i="11" s="1"/>
  <c r="M98" i="11"/>
  <c r="BX98" i="11" s="1"/>
  <c r="M99" i="11"/>
  <c r="BX99" i="11" s="1"/>
  <c r="M100" i="11"/>
  <c r="BX100" i="11" s="1"/>
  <c r="M101" i="11"/>
  <c r="BX101" i="11" s="1"/>
  <c r="M102" i="11"/>
  <c r="BX102" i="11" s="1"/>
  <c r="M103" i="11"/>
  <c r="BX103" i="11" s="1"/>
  <c r="M104" i="11"/>
  <c r="BX104" i="11" s="1"/>
  <c r="M105" i="11"/>
  <c r="BX105" i="11" s="1"/>
  <c r="M106" i="11"/>
  <c r="BX106" i="11" s="1"/>
  <c r="M107" i="11"/>
  <c r="BX107" i="11" s="1"/>
  <c r="M108" i="11"/>
  <c r="BX108" i="11" s="1"/>
  <c r="M109" i="11"/>
  <c r="BX109" i="11" s="1"/>
  <c r="M110" i="11"/>
  <c r="BX110" i="11" s="1"/>
  <c r="M111" i="11"/>
  <c r="BX111" i="11" s="1"/>
  <c r="M112" i="11"/>
  <c r="BX112" i="11" s="1"/>
  <c r="M113" i="11"/>
  <c r="BX113" i="11" s="1"/>
  <c r="M114" i="11"/>
  <c r="BX114" i="11" s="1"/>
  <c r="M115" i="11"/>
  <c r="BX115" i="11" s="1"/>
  <c r="M116" i="11"/>
  <c r="BX116" i="11" s="1"/>
  <c r="M117" i="11"/>
  <c r="BX117" i="11" s="1"/>
  <c r="M118" i="11"/>
  <c r="BX118" i="11" s="1"/>
  <c r="M119" i="11"/>
  <c r="BX119" i="11" s="1"/>
  <c r="M120" i="11"/>
  <c r="BX120" i="11" s="1"/>
  <c r="M121" i="11"/>
  <c r="BX121" i="11" s="1"/>
  <c r="M122" i="11"/>
  <c r="BX122" i="11" s="1"/>
  <c r="M123" i="11"/>
  <c r="BX123" i="11" s="1"/>
  <c r="M124" i="11"/>
  <c r="BX124" i="11" s="1"/>
  <c r="M125" i="11"/>
  <c r="BX125" i="11" s="1"/>
  <c r="M126" i="11"/>
  <c r="BX126" i="11" s="1"/>
  <c r="M127" i="11"/>
  <c r="BX127" i="11" s="1"/>
  <c r="M128" i="11"/>
  <c r="BX128" i="11" s="1"/>
  <c r="M129" i="11"/>
  <c r="BX129" i="11" s="1"/>
  <c r="M130" i="11"/>
  <c r="BX130" i="11" s="1"/>
  <c r="M131" i="11"/>
  <c r="BX131" i="11" s="1"/>
  <c r="M132" i="11"/>
  <c r="BX132" i="11" s="1"/>
  <c r="M133" i="11"/>
  <c r="BX133" i="11" s="1"/>
  <c r="M134" i="11"/>
  <c r="BX134" i="11" s="1"/>
  <c r="M135" i="11"/>
  <c r="BX135" i="11" s="1"/>
  <c r="M136" i="11"/>
  <c r="BX136" i="11" s="1"/>
  <c r="E16" i="4"/>
  <c r="B17" i="4"/>
  <c r="D51" i="4"/>
  <c r="D52" i="4"/>
  <c r="D53" i="4"/>
  <c r="D54" i="4"/>
  <c r="D55" i="4"/>
  <c r="D56" i="4"/>
  <c r="D57" i="4"/>
  <c r="D58" i="4"/>
  <c r="D59" i="4"/>
  <c r="D60" i="4"/>
  <c r="D61" i="4"/>
  <c r="D62" i="4"/>
  <c r="D63" i="4"/>
  <c r="D64" i="4"/>
  <c r="D65" i="4"/>
  <c r="D66" i="4"/>
  <c r="D67" i="4"/>
  <c r="D68" i="4"/>
  <c r="B70" i="4"/>
  <c r="D69" i="4"/>
  <c r="B72" i="4"/>
  <c r="B73" i="4"/>
  <c r="E79" i="4"/>
  <c r="E81" i="4"/>
  <c r="E82" i="4"/>
  <c r="E83" i="4"/>
  <c r="E84" i="4"/>
  <c r="E86" i="4"/>
  <c r="E88" i="4"/>
  <c r="E92" i="4"/>
  <c r="F24" i="4"/>
  <c r="F25" i="4"/>
  <c r="J5" i="10"/>
  <c r="N5" i="5" s="1"/>
  <c r="C1270" i="1"/>
  <c r="B1270" i="11"/>
  <c r="C1270" i="2"/>
  <c r="A1270" i="10"/>
  <c r="B1270" i="7"/>
  <c r="A1270" i="5"/>
  <c r="B1270" i="8"/>
  <c r="P5" i="2"/>
  <c r="AN12" i="9" l="1"/>
  <c r="AQ27" i="9"/>
  <c r="CM27" i="8" s="1"/>
  <c r="E72" i="4"/>
  <c r="BX4" i="11"/>
  <c r="B54" i="4"/>
  <c r="L53" i="8"/>
  <c r="L54" i="8" s="1"/>
  <c r="L55" i="8" s="1"/>
  <c r="L56" i="8" s="1"/>
  <c r="L57" i="8" s="1"/>
  <c r="L58" i="8" s="1"/>
  <c r="L59" i="8" s="1"/>
  <c r="L60" i="8" s="1"/>
  <c r="L61" i="8" s="1"/>
  <c r="L62" i="8" s="1"/>
  <c r="L63" i="8" s="1"/>
  <c r="L64" i="8" s="1"/>
  <c r="L65" i="8" s="1"/>
  <c r="L66" i="8" s="1"/>
  <c r="L67" i="8" s="1"/>
  <c r="L68" i="8" s="1"/>
  <c r="L69" i="8" s="1"/>
  <c r="L70" i="8" s="1"/>
  <c r="L71" i="8" s="1"/>
  <c r="L72" i="8" s="1"/>
  <c r="L73" i="8" s="1"/>
  <c r="L74" i="8" s="1"/>
  <c r="L75" i="8" s="1"/>
  <c r="L76" i="8" s="1"/>
  <c r="L77" i="8" s="1"/>
  <c r="L78" i="8" s="1"/>
  <c r="L79" i="8" s="1"/>
  <c r="L80" i="8" s="1"/>
  <c r="L81" i="8" s="1"/>
  <c r="L82" i="8" s="1"/>
  <c r="L83" i="8" s="1"/>
  <c r="L84" i="8" s="1"/>
  <c r="L85" i="8" s="1"/>
  <c r="L86" i="8" s="1"/>
  <c r="L87" i="8" s="1"/>
  <c r="L88" i="8" s="1"/>
  <c r="L89" i="8" s="1"/>
  <c r="L90" i="8" s="1"/>
  <c r="L91" i="8" s="1"/>
  <c r="L92" i="8" s="1"/>
  <c r="L93" i="8" s="1"/>
  <c r="L94" i="8" s="1"/>
  <c r="L95" i="8" s="1"/>
  <c r="L96" i="8" s="1"/>
  <c r="L97" i="8" s="1"/>
  <c r="L98" i="8" s="1"/>
  <c r="L99" i="8" s="1"/>
  <c r="L100" i="8" s="1"/>
  <c r="L101" i="8" s="1"/>
  <c r="L102" i="8" s="1"/>
  <c r="L103" i="8" s="1"/>
  <c r="L104" i="8" s="1"/>
  <c r="L105" i="8" s="1"/>
  <c r="L106" i="8" s="1"/>
  <c r="L107" i="8" s="1"/>
  <c r="L108" i="8" s="1"/>
  <c r="L109" i="8" s="1"/>
  <c r="L110" i="8" s="1"/>
  <c r="L111" i="8" s="1"/>
  <c r="L112" i="8" s="1"/>
  <c r="L113" i="8" s="1"/>
  <c r="L114" i="8" s="1"/>
  <c r="L115" i="8" s="1"/>
  <c r="L116" i="8" s="1"/>
  <c r="L117" i="8" s="1"/>
  <c r="L118" i="8" s="1"/>
  <c r="L119" i="8" s="1"/>
  <c r="L120" i="8" s="1"/>
  <c r="L121" i="8" s="1"/>
  <c r="L122" i="8" s="1"/>
  <c r="L123" i="8" s="1"/>
  <c r="L124" i="8" s="1"/>
  <c r="L125" i="8" s="1"/>
  <c r="L126" i="8" s="1"/>
  <c r="L127" i="8" s="1"/>
  <c r="L128" i="8" s="1"/>
  <c r="L129" i="8" s="1"/>
  <c r="L130" i="8" s="1"/>
  <c r="L131" i="8" s="1"/>
  <c r="L132" i="8" s="1"/>
  <c r="L133" i="8" s="1"/>
  <c r="L134" i="8" s="1"/>
  <c r="L135" i="8" s="1"/>
  <c r="L136" i="8" s="1"/>
  <c r="B51" i="4"/>
  <c r="I53" i="8"/>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I76" i="8" s="1"/>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B48" i="4"/>
  <c r="AI22" i="9"/>
  <c r="AO22" i="8" s="1"/>
  <c r="I6" i="12"/>
  <c r="I7" i="12" s="1"/>
  <c r="K35" i="12"/>
  <c r="J36" i="12"/>
  <c r="N36" i="12" s="1"/>
  <c r="N39" i="12" s="1"/>
  <c r="J6" i="12"/>
  <c r="K24" i="12"/>
  <c r="G6" i="8"/>
  <c r="O6" i="2" s="1"/>
  <c r="CF5" i="8"/>
  <c r="S5" i="2"/>
  <c r="K23" i="12"/>
  <c r="J23" i="12" s="1"/>
  <c r="M23" i="12" s="1"/>
  <c r="I24" i="12"/>
  <c r="J24" i="12" s="1"/>
  <c r="M24" i="12" s="1"/>
  <c r="M27" i="12" s="1"/>
  <c r="K34" i="12"/>
  <c r="J34" i="12" s="1"/>
  <c r="M34" i="12" s="1"/>
  <c r="M39" i="12" s="1"/>
  <c r="AM12" i="9"/>
  <c r="J35" i="12"/>
  <c r="O9" i="1"/>
  <c r="BJ4" i="1"/>
  <c r="CQ4" i="5"/>
  <c r="G4" i="5" s="1"/>
  <c r="CT4" i="5"/>
  <c r="J4" i="5" s="1"/>
  <c r="CW4" i="5"/>
  <c r="M4" i="5" s="1"/>
  <c r="DF4" i="5" s="1"/>
  <c r="CS4" i="5"/>
  <c r="I4" i="5" s="1"/>
  <c r="CV4" i="5"/>
  <c r="L4" i="5" s="1"/>
  <c r="CR4" i="5"/>
  <c r="H4" i="5" s="1"/>
  <c r="CU4" i="5"/>
  <c r="K4" i="5" s="1"/>
  <c r="CG6" i="8"/>
  <c r="K5" i="11"/>
  <c r="A5" i="14"/>
  <c r="CA5" i="14" s="1"/>
  <c r="A5" i="9"/>
  <c r="A5" i="7"/>
  <c r="R5" i="7" s="1"/>
  <c r="A5" i="2"/>
  <c r="A5" i="5"/>
  <c r="CQ5" i="5" s="1"/>
  <c r="A5" i="8"/>
  <c r="J6" i="10"/>
  <c r="N6" i="5" s="1"/>
  <c r="BZ5" i="11"/>
  <c r="K4" i="10"/>
  <c r="AA4" i="7"/>
  <c r="AF4" i="8" s="1"/>
  <c r="AV4" i="8" s="1"/>
  <c r="L4" i="11"/>
  <c r="F7" i="8"/>
  <c r="R7" i="2"/>
  <c r="E7" i="8"/>
  <c r="AH12" i="9"/>
  <c r="AG12" i="9"/>
  <c r="AK12" i="9"/>
  <c r="AE12" i="9"/>
  <c r="C1270" i="9"/>
  <c r="R6" i="2"/>
  <c r="Q5" i="2"/>
  <c r="P6" i="2"/>
  <c r="O5" i="2"/>
  <c r="N6" i="2"/>
  <c r="M5" i="2"/>
  <c r="M6" i="2"/>
  <c r="D5" i="12"/>
  <c r="F4" i="12"/>
  <c r="E4" i="12" s="1"/>
  <c r="K22" i="12"/>
  <c r="K25" i="12"/>
  <c r="K33" i="12"/>
  <c r="J4" i="12"/>
  <c r="D70" i="4"/>
  <c r="A35" i="6"/>
  <c r="I39" i="4"/>
  <c r="I40" i="4"/>
  <c r="A36" i="6"/>
  <c r="I8" i="12"/>
  <c r="J7" i="12"/>
  <c r="F1" i="14"/>
  <c r="AN13" i="9" l="1"/>
  <c r="AQ28" i="9"/>
  <c r="CM28" i="8" s="1"/>
  <c r="V4" i="2"/>
  <c r="AI23" i="9"/>
  <c r="AO23" i="8" s="1"/>
  <c r="CV5" i="5"/>
  <c r="L5" i="5" s="1"/>
  <c r="G7" i="8"/>
  <c r="CF6" i="8"/>
  <c r="CR5" i="5"/>
  <c r="H5" i="5" s="1"/>
  <c r="CS5" i="5"/>
  <c r="I5" i="5" s="1"/>
  <c r="AM13" i="9"/>
  <c r="CT5" i="5"/>
  <c r="J5" i="5" s="1"/>
  <c r="CU5" i="5"/>
  <c r="K5" i="5" s="1"/>
  <c r="CW5" i="5"/>
  <c r="M5" i="5" s="1"/>
  <c r="J7" i="10"/>
  <c r="N7" i="5" s="1"/>
  <c r="BK5" i="5" a="1"/>
  <c r="BK5" i="5" s="1"/>
  <c r="BN5" i="5" a="1"/>
  <c r="BN5" i="5" s="1"/>
  <c r="BJ5" i="5" a="1"/>
  <c r="BJ5" i="5" s="1"/>
  <c r="BM5" i="5" a="1"/>
  <c r="BM5" i="5" s="1"/>
  <c r="BH5" i="5" a="1"/>
  <c r="BH5" i="5" s="1"/>
  <c r="BG5" i="5" a="1"/>
  <c r="BG5" i="5" s="1"/>
  <c r="BF5" i="5" a="1"/>
  <c r="BF5" i="5" s="1"/>
  <c r="AE4" i="1" s="1"/>
  <c r="AY5" i="5" a="1"/>
  <c r="AY5" i="5" s="1"/>
  <c r="BI5" i="5" a="1"/>
  <c r="BI5" i="5" s="1"/>
  <c r="BE5" i="5" a="1"/>
  <c r="BE5" i="5" s="1"/>
  <c r="BD5" i="5" a="1"/>
  <c r="BD5" i="5" s="1"/>
  <c r="BL5" i="5" a="1"/>
  <c r="BL5" i="5" s="1"/>
  <c r="BC5" i="5" a="1"/>
  <c r="BC5" i="5" s="1"/>
  <c r="BB5" i="5" a="1"/>
  <c r="BB5" i="5" s="1"/>
  <c r="BQ5" i="5" a="1"/>
  <c r="BQ5" i="5" s="1"/>
  <c r="BA5" i="5" a="1"/>
  <c r="BA5" i="5" s="1"/>
  <c r="AZ5" i="5" a="1"/>
  <c r="AZ5" i="5" s="1"/>
  <c r="BO5" i="5" a="1"/>
  <c r="BO5" i="5" s="1"/>
  <c r="N7" i="2"/>
  <c r="O10" i="1"/>
  <c r="AS5" i="5"/>
  <c r="AE5" i="8"/>
  <c r="AU5" i="8"/>
  <c r="BP5" i="5" a="1"/>
  <c r="BP5" i="5" s="1"/>
  <c r="A7" i="14"/>
  <c r="CA7" i="14" s="1"/>
  <c r="A7" i="5"/>
  <c r="A7" i="9"/>
  <c r="A7" i="2"/>
  <c r="A7" i="8"/>
  <c r="A7" i="7"/>
  <c r="R7" i="7" s="1"/>
  <c r="K6" i="11"/>
  <c r="A6" i="14"/>
  <c r="CA6" i="14" s="1"/>
  <c r="A6" i="5"/>
  <c r="A6" i="9"/>
  <c r="A6" i="7"/>
  <c r="R6" i="7" s="1"/>
  <c r="A6" i="2"/>
  <c r="A6" i="8"/>
  <c r="AU5" i="14" a="1"/>
  <c r="AU5" i="14"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Z6" i="11"/>
  <c r="K5" i="10"/>
  <c r="AA5" i="7"/>
  <c r="AF5" i="8" s="1"/>
  <c r="AV5" i="8" s="1"/>
  <c r="L5" i="11"/>
  <c r="DD4" i="5"/>
  <c r="H4" i="7"/>
  <c r="F4" i="10"/>
  <c r="I4" i="7"/>
  <c r="G4" i="10"/>
  <c r="H4" i="10"/>
  <c r="J4" i="7"/>
  <c r="CZ4" i="5"/>
  <c r="B4" i="10"/>
  <c r="D4" i="7"/>
  <c r="G5" i="5"/>
  <c r="B4" i="5"/>
  <c r="G4" i="7"/>
  <c r="DC4" i="5"/>
  <c r="E4" i="10"/>
  <c r="DB4" i="5"/>
  <c r="F4" i="7"/>
  <c r="D4" i="10"/>
  <c r="DA4" i="5"/>
  <c r="C4" i="10"/>
  <c r="E4" i="7"/>
  <c r="F8" i="8"/>
  <c r="E8" i="8"/>
  <c r="CG7" i="8"/>
  <c r="AH13" i="9"/>
  <c r="AG13" i="9"/>
  <c r="AK13" i="9"/>
  <c r="AE13" i="9"/>
  <c r="S6" i="2"/>
  <c r="P7" i="2"/>
  <c r="Q6" i="2"/>
  <c r="M7" i="2"/>
  <c r="J8" i="10"/>
  <c r="N8" i="5" s="1"/>
  <c r="D6" i="12"/>
  <c r="F5" i="12"/>
  <c r="E5" i="12" s="1"/>
  <c r="DE4" i="5"/>
  <c r="A37" i="6"/>
  <c r="I41" i="4"/>
  <c r="CO18" i="8"/>
  <c r="CO19" i="8"/>
  <c r="J8" i="12"/>
  <c r="I9" i="12"/>
  <c r="AN14" i="9" l="1"/>
  <c r="AQ29" i="9"/>
  <c r="CM29" i="8" s="1"/>
  <c r="AI24" i="9"/>
  <c r="AO24" i="8" s="1"/>
  <c r="J5" i="2"/>
  <c r="K7" i="11"/>
  <c r="BI6" i="5" a="1"/>
  <c r="BI6" i="5" s="1"/>
  <c r="BI7" i="5" s="1" a="1"/>
  <c r="BI7" i="5" s="1"/>
  <c r="BH6" i="5" a="1"/>
  <c r="BH6" i="5" s="1"/>
  <c r="BH7" i="5" s="1" a="1"/>
  <c r="BH7" i="5" s="1"/>
  <c r="G8" i="8"/>
  <c r="CF7" i="8"/>
  <c r="O7" i="2"/>
  <c r="BD6" i="5" a="1"/>
  <c r="BD6" i="5" s="1"/>
  <c r="BF6" i="5" a="1"/>
  <c r="BF6" i="5" s="1"/>
  <c r="AE5" i="1" s="1"/>
  <c r="BJ6" i="5" a="1"/>
  <c r="BJ6" i="5" s="1"/>
  <c r="BJ7" i="5" s="1" a="1"/>
  <c r="BJ7" i="5" s="1"/>
  <c r="BO6" i="5" a="1"/>
  <c r="BO6" i="5" s="1"/>
  <c r="BO7" i="5" s="1" a="1"/>
  <c r="BO7" i="5" s="1"/>
  <c r="BE6" i="5" a="1"/>
  <c r="BE6" i="5" s="1"/>
  <c r="BE7" i="5" s="1" a="1"/>
  <c r="BE7" i="5" s="1"/>
  <c r="BG6" i="5" a="1"/>
  <c r="BG6" i="5" s="1"/>
  <c r="BG7" i="5" s="1" a="1"/>
  <c r="BG7" i="5" s="1"/>
  <c r="AM14" i="9"/>
  <c r="AD4" i="1"/>
  <c r="CR7" i="5"/>
  <c r="CS7" i="5"/>
  <c r="CU7" i="5"/>
  <c r="CT7" i="5"/>
  <c r="CV7" i="5"/>
  <c r="CQ7" i="5"/>
  <c r="CW7" i="5"/>
  <c r="BM6" i="5" a="1"/>
  <c r="BM6" i="5" s="1"/>
  <c r="BM7" i="5" s="1" a="1"/>
  <c r="BM7" i="5" s="1"/>
  <c r="BN6" i="5" a="1"/>
  <c r="BN6" i="5" s="1"/>
  <c r="BN7" i="5" s="1" a="1"/>
  <c r="BN7" i="5" s="1"/>
  <c r="AY6" i="5" a="1"/>
  <c r="AY6" i="5" s="1"/>
  <c r="AY7" i="5" s="1" a="1"/>
  <c r="AY7" i="5" s="1"/>
  <c r="BL6" i="5" a="1"/>
  <c r="BL6" i="5" s="1"/>
  <c r="CT6" i="5"/>
  <c r="J6" i="5" s="1"/>
  <c r="CR6" i="5"/>
  <c r="H6" i="5" s="1"/>
  <c r="CQ6" i="5"/>
  <c r="G6" i="5" s="1"/>
  <c r="CW6" i="5"/>
  <c r="M6" i="5" s="1"/>
  <c r="CS6" i="5"/>
  <c r="I6" i="5" s="1"/>
  <c r="CU6" i="5"/>
  <c r="K6" i="5" s="1"/>
  <c r="CV6" i="5"/>
  <c r="L6" i="5" s="1"/>
  <c r="AZ6" i="5" a="1"/>
  <c r="AZ6" i="5" s="1"/>
  <c r="BK6" i="5" a="1"/>
  <c r="BK6" i="5" s="1"/>
  <c r="BK7" i="5" s="1" a="1"/>
  <c r="BK7" i="5" s="1"/>
  <c r="BA6" i="5" a="1"/>
  <c r="BA6" i="5" s="1"/>
  <c r="BA7" i="5" s="1" a="1"/>
  <c r="BA7" i="5" s="1"/>
  <c r="BQ6" i="5" a="1"/>
  <c r="BQ6" i="5" s="1"/>
  <c r="BQ7" i="5" s="1" a="1"/>
  <c r="BQ7" i="5" s="1"/>
  <c r="BB6" i="5" a="1"/>
  <c r="BB6" i="5" s="1"/>
  <c r="BB7" i="5" s="1" a="1"/>
  <c r="BB7" i="5" s="1"/>
  <c r="BC6" i="5" a="1"/>
  <c r="BC6" i="5" s="1"/>
  <c r="BC7" i="5" s="1" a="1"/>
  <c r="BC7" i="5" s="1"/>
  <c r="V5" i="2"/>
  <c r="O11" i="1"/>
  <c r="BP6" i="5" a="1"/>
  <c r="BP6" i="5" s="1"/>
  <c r="AS6" i="5"/>
  <c r="DG4" i="5" a="1"/>
  <c r="DG4" i="5" s="1"/>
  <c r="DD5" i="5"/>
  <c r="AE6" i="8"/>
  <c r="AU6" i="8"/>
  <c r="AM5" i="1"/>
  <c r="AE7" i="8"/>
  <c r="AU7" i="8"/>
  <c r="C5" i="5"/>
  <c r="DH5" i="5"/>
  <c r="AF4" i="1"/>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W4" i="1"/>
  <c r="K8" i="11"/>
  <c r="A8" i="14"/>
  <c r="CA8" i="14" s="1"/>
  <c r="A8" i="8"/>
  <c r="A8" i="2"/>
  <c r="A8" i="7"/>
  <c r="R8" i="7" s="1"/>
  <c r="A8" i="9"/>
  <c r="A8" i="5"/>
  <c r="AJ5" i="1"/>
  <c r="AH5" i="11"/>
  <c r="AK5" i="11"/>
  <c r="BU5" i="5"/>
  <c r="B5" i="2"/>
  <c r="B5" i="1"/>
  <c r="BG5" i="1" s="1"/>
  <c r="AH5" i="5"/>
  <c r="BZ7" i="11"/>
  <c r="K6" i="10"/>
  <c r="AA6" i="7"/>
  <c r="AF6" i="8" s="1"/>
  <c r="AV6" i="8" s="1"/>
  <c r="L6" i="11"/>
  <c r="D5" i="10"/>
  <c r="F5" i="7"/>
  <c r="I5" i="7"/>
  <c r="G5" i="10"/>
  <c r="CZ5" i="5"/>
  <c r="D5" i="7"/>
  <c r="B5" i="10"/>
  <c r="B5" i="5"/>
  <c r="E5" i="7"/>
  <c r="C5" i="10"/>
  <c r="G5" i="7"/>
  <c r="E5" i="10"/>
  <c r="F5" i="10"/>
  <c r="H5" i="7"/>
  <c r="F4" i="5"/>
  <c r="AW4" i="5" s="1"/>
  <c r="J5" i="7"/>
  <c r="H5" i="10"/>
  <c r="F9" i="8"/>
  <c r="N8" i="2"/>
  <c r="E9" i="8"/>
  <c r="CG8" i="8"/>
  <c r="AH14" i="9"/>
  <c r="AB5" i="1"/>
  <c r="DI5" i="5"/>
  <c r="AG14" i="9"/>
  <c r="AK14" i="9"/>
  <c r="AE14" i="9"/>
  <c r="S7" i="2"/>
  <c r="P8" i="2"/>
  <c r="R8" i="2"/>
  <c r="Q7" i="2"/>
  <c r="J9" i="10"/>
  <c r="N9" i="5" s="1"/>
  <c r="M8" i="2"/>
  <c r="F6" i="12"/>
  <c r="E6" i="12" s="1"/>
  <c r="D7" i="12"/>
  <c r="DB5" i="5"/>
  <c r="DE5" i="5"/>
  <c r="DF5" i="5"/>
  <c r="DC5" i="5"/>
  <c r="A38" i="6"/>
  <c r="CO20" i="8"/>
  <c r="CO21" i="8"/>
  <c r="I42" i="4"/>
  <c r="I10" i="12"/>
  <c r="J9" i="12"/>
  <c r="AN15" i="9" l="1"/>
  <c r="AQ30" i="9"/>
  <c r="CM30" i="8" s="1"/>
  <c r="AV4" i="5"/>
  <c r="CL4" i="8"/>
  <c r="BL7" i="5" a="1"/>
  <c r="BL7" i="5" s="1"/>
  <c r="BL8" i="5" s="1" a="1"/>
  <c r="BL8" i="5" s="1"/>
  <c r="BD7" i="5" a="1"/>
  <c r="BD7" i="5" s="1"/>
  <c r="BD8" i="5" s="1" a="1"/>
  <c r="BD8" i="5" s="1"/>
  <c r="AI25" i="9"/>
  <c r="AO25" i="8" s="1"/>
  <c r="AZ7" i="5" a="1"/>
  <c r="AZ7" i="5" s="1"/>
  <c r="J6" i="2"/>
  <c r="BF7" i="5" a="1"/>
  <c r="BF7" i="5" s="1"/>
  <c r="AE6" i="1" s="1"/>
  <c r="W5" i="1"/>
  <c r="G9" i="8"/>
  <c r="CF8" i="8"/>
  <c r="O8" i="2"/>
  <c r="BQ8" i="5" a="1"/>
  <c r="BQ8" i="5" s="1"/>
  <c r="BJ8" i="5" a="1"/>
  <c r="BJ8" i="5" s="1"/>
  <c r="BA8" i="5" a="1"/>
  <c r="BA8" i="5" s="1"/>
  <c r="BM8" i="5" a="1"/>
  <c r="BM8" i="5" s="1"/>
  <c r="BK8" i="5" a="1"/>
  <c r="BK8" i="5" s="1"/>
  <c r="BH8" i="5" a="1"/>
  <c r="BH8" i="5" s="1"/>
  <c r="AM15" i="9"/>
  <c r="AD5" i="1"/>
  <c r="AY8" i="5" a="1"/>
  <c r="AY8" i="5" s="1"/>
  <c r="CU8" i="5"/>
  <c r="CT8" i="5"/>
  <c r="CR8" i="5"/>
  <c r="CW8" i="5"/>
  <c r="CQ8" i="5"/>
  <c r="CS8" i="5"/>
  <c r="CV8" i="5"/>
  <c r="BC8" i="5" a="1"/>
  <c r="BC8" i="5" s="1"/>
  <c r="BE8" i="5" a="1"/>
  <c r="BE8" i="5" s="1"/>
  <c r="BN8" i="5" a="1"/>
  <c r="BN8" i="5" s="1"/>
  <c r="BG8" i="5" a="1"/>
  <c r="BG8" i="5" s="1"/>
  <c r="BB8" i="5" a="1"/>
  <c r="BB8" i="5" s="1"/>
  <c r="BO8" i="5" a="1"/>
  <c r="BO8" i="5" s="1"/>
  <c r="BI8" i="5" a="1"/>
  <c r="BI8" i="5" s="1"/>
  <c r="V6" i="2"/>
  <c r="BP7" i="5" a="1"/>
  <c r="BP7" i="5" s="1"/>
  <c r="O12" i="1"/>
  <c r="AK6" i="11"/>
  <c r="AK7" i="11" s="1"/>
  <c r="AH6" i="11"/>
  <c r="AH7" i="11" s="1"/>
  <c r="AS7" i="5"/>
  <c r="DC6" i="5"/>
  <c r="AJ7" i="1"/>
  <c r="AM6" i="1"/>
  <c r="DE6" i="5"/>
  <c r="AJ6" i="1"/>
  <c r="DB6" i="5"/>
  <c r="F5" i="5"/>
  <c r="Y5" i="1"/>
  <c r="DJ6" i="5"/>
  <c r="AU8" i="14" a="1"/>
  <c r="AU8" i="14"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K9" i="11"/>
  <c r="A9" i="14"/>
  <c r="CA9" i="14" s="1"/>
  <c r="A9" i="8"/>
  <c r="A9" i="2"/>
  <c r="A9" i="9"/>
  <c r="A9" i="7"/>
  <c r="R9" i="7" s="1"/>
  <c r="A9" i="5"/>
  <c r="DF6" i="5"/>
  <c r="DH6" i="5"/>
  <c r="AU8" i="8"/>
  <c r="AE8" i="8"/>
  <c r="AM7" i="1"/>
  <c r="AF5" i="1"/>
  <c r="AH6" i="5"/>
  <c r="BU6" i="5"/>
  <c r="B6" i="2"/>
  <c r="B6" i="1"/>
  <c r="BG6" i="1" s="1"/>
  <c r="BZ8" i="11"/>
  <c r="K7" i="10"/>
  <c r="AA7" i="7"/>
  <c r="AF7" i="8" s="1"/>
  <c r="H7" i="5"/>
  <c r="C6" i="10"/>
  <c r="E6" i="7"/>
  <c r="K7" i="5"/>
  <c r="F6" i="10"/>
  <c r="H6" i="7"/>
  <c r="DD6" i="5"/>
  <c r="AC4" i="8"/>
  <c r="X4" i="8"/>
  <c r="DD4" i="8" s="1"/>
  <c r="A4" i="10"/>
  <c r="AA4" i="10" s="1"/>
  <c r="BH4" i="8"/>
  <c r="BU4" i="8" s="1"/>
  <c r="AJ4" i="5"/>
  <c r="AP4" i="5" s="1"/>
  <c r="A4" i="11"/>
  <c r="N4" i="11" s="1"/>
  <c r="BI4" i="8"/>
  <c r="BS4" i="8" s="1"/>
  <c r="AI4" i="5"/>
  <c r="AN4" i="5" s="1"/>
  <c r="B4" i="9"/>
  <c r="Y4" i="9" s="1"/>
  <c r="BT4" i="5"/>
  <c r="DH4" i="8"/>
  <c r="DI4" i="8" s="1"/>
  <c r="B4" i="7"/>
  <c r="Q4" i="7" s="1"/>
  <c r="E4" i="1"/>
  <c r="Q4" i="1" s="1"/>
  <c r="L7" i="5"/>
  <c r="G6" i="10"/>
  <c r="I6" i="7"/>
  <c r="BW4" i="8"/>
  <c r="CK4" i="8"/>
  <c r="M7" i="5"/>
  <c r="H6" i="10"/>
  <c r="J6" i="7"/>
  <c r="J7" i="5"/>
  <c r="E6" i="10"/>
  <c r="G6" i="7"/>
  <c r="G7" i="5"/>
  <c r="D6" i="7"/>
  <c r="B6" i="10"/>
  <c r="I7" i="5"/>
  <c r="D6" i="10"/>
  <c r="F6" i="7"/>
  <c r="N9" i="2"/>
  <c r="F10" i="8"/>
  <c r="E10" i="8"/>
  <c r="CG9" i="8"/>
  <c r="AH15" i="9"/>
  <c r="CZ6" i="5"/>
  <c r="C6" i="5"/>
  <c r="DA5" i="5"/>
  <c r="DG5" i="5" s="1" a="1"/>
  <c r="DG5" i="5" s="1"/>
  <c r="AB6" i="1"/>
  <c r="DI6" i="5"/>
  <c r="AG15" i="9"/>
  <c r="AK15" i="9"/>
  <c r="AE15" i="9"/>
  <c r="B6" i="5"/>
  <c r="S8" i="2"/>
  <c r="P9" i="2"/>
  <c r="R9" i="2"/>
  <c r="Q8" i="2"/>
  <c r="M9" i="2"/>
  <c r="J10" i="10"/>
  <c r="N10" i="5" s="1"/>
  <c r="F7" i="12"/>
  <c r="E7" i="12" s="1"/>
  <c r="D8" i="12"/>
  <c r="J10" i="12"/>
  <c r="I11" i="12"/>
  <c r="AZ8" i="5" l="1" a="1"/>
  <c r="AZ8" i="5" s="1"/>
  <c r="BK8" i="11" s="1"/>
  <c r="BK7" i="11"/>
  <c r="AI7" i="11" s="1"/>
  <c r="AN16" i="9"/>
  <c r="AQ31" i="9"/>
  <c r="CM31" i="8" s="1"/>
  <c r="AO4" i="5"/>
  <c r="AM4" i="5"/>
  <c r="AV5" i="5"/>
  <c r="AW5" i="5"/>
  <c r="CL5" i="8"/>
  <c r="AD6" i="1"/>
  <c r="BF8" i="5" a="1"/>
  <c r="BF8" i="5" s="1"/>
  <c r="AE7" i="1" s="1"/>
  <c r="CC4" i="8"/>
  <c r="CV4" i="8" s="1"/>
  <c r="AC4" i="1"/>
  <c r="AI26" i="9"/>
  <c r="AO26" i="8" s="1"/>
  <c r="J7" i="2"/>
  <c r="BJ9" i="5" a="1"/>
  <c r="BJ9" i="5" s="1"/>
  <c r="G10" i="8"/>
  <c r="CF9" i="8"/>
  <c r="O9" i="2"/>
  <c r="BM9" i="5" a="1"/>
  <c r="BM9" i="5" s="1"/>
  <c r="BQ9" i="5" a="1"/>
  <c r="BQ9" i="5" s="1"/>
  <c r="AM16" i="9"/>
  <c r="K16" i="8" s="1"/>
  <c r="BR4" i="8"/>
  <c r="AD7" i="1"/>
  <c r="BI9" i="5" a="1"/>
  <c r="BI9" i="5" s="1"/>
  <c r="AY9" i="5" a="1"/>
  <c r="AY9" i="5" s="1"/>
  <c r="BL9" i="5" a="1"/>
  <c r="BL9" i="5" s="1"/>
  <c r="CV9" i="5"/>
  <c r="CQ9" i="5"/>
  <c r="CT9" i="5"/>
  <c r="CU9" i="5"/>
  <c r="CS9" i="5"/>
  <c r="CR9" i="5"/>
  <c r="CW9" i="5"/>
  <c r="BO9" i="5" a="1"/>
  <c r="BO9" i="5" s="1"/>
  <c r="BB9" i="5" a="1"/>
  <c r="BB9" i="5" s="1"/>
  <c r="BG9" i="5" a="1"/>
  <c r="BG9" i="5" s="1"/>
  <c r="BN9" i="5" a="1"/>
  <c r="BN9" i="5" s="1"/>
  <c r="BE9" i="5" a="1"/>
  <c r="BE9" i="5" s="1"/>
  <c r="BD9" i="5" a="1"/>
  <c r="BD9" i="5" s="1"/>
  <c r="BA9" i="5" a="1"/>
  <c r="BA9" i="5" s="1"/>
  <c r="BH9" i="5" a="1"/>
  <c r="BH9" i="5" s="1"/>
  <c r="BC9" i="5" a="1"/>
  <c r="BC9" i="5" s="1"/>
  <c r="BK9" i="5" a="1"/>
  <c r="BK9" i="5" s="1"/>
  <c r="V7" i="2"/>
  <c r="BP8" i="5" a="1"/>
  <c r="BP8" i="5" s="1"/>
  <c r="BH5" i="8"/>
  <c r="BU5" i="8" s="1"/>
  <c r="O13" i="1"/>
  <c r="BT4" i="8"/>
  <c r="BP4" i="8"/>
  <c r="BQ4" i="8"/>
  <c r="BN4" i="8"/>
  <c r="BO4" i="8"/>
  <c r="BL4" i="8"/>
  <c r="BM4" i="8"/>
  <c r="BJ4" i="8"/>
  <c r="BK4" i="8"/>
  <c r="BX4" i="8"/>
  <c r="CD4" i="8" s="1"/>
  <c r="AC4" i="10"/>
  <c r="X4" i="10" s="1"/>
  <c r="AR4" i="5"/>
  <c r="AS8" i="5"/>
  <c r="AK8" i="11"/>
  <c r="AH8" i="11"/>
  <c r="B5" i="7"/>
  <c r="AE5" i="7" s="1"/>
  <c r="AF5" i="7" s="1"/>
  <c r="X5" i="8"/>
  <c r="DD5" i="8" s="1"/>
  <c r="AI5" i="5"/>
  <c r="B5" i="9"/>
  <c r="Y5" i="9" s="1"/>
  <c r="AC5" i="8"/>
  <c r="BQ5" i="8" s="1"/>
  <c r="A5" i="10"/>
  <c r="AA5" i="10" s="1"/>
  <c r="A5" i="11"/>
  <c r="N5" i="11" s="1"/>
  <c r="BT5" i="5"/>
  <c r="CK5" i="8"/>
  <c r="AM8" i="1"/>
  <c r="AJ8" i="1"/>
  <c r="DH5" i="8"/>
  <c r="DI5" i="8" s="1"/>
  <c r="AJ5" i="5"/>
  <c r="AP5" i="5" s="1"/>
  <c r="E5" i="1"/>
  <c r="BI5" i="8"/>
  <c r="DE7" i="5"/>
  <c r="DF7" i="5"/>
  <c r="DH7" i="5"/>
  <c r="K10" i="11"/>
  <c r="A10" i="14"/>
  <c r="CA10" i="14" s="1"/>
  <c r="A10" i="5"/>
  <c r="A10" i="8"/>
  <c r="A10" i="7"/>
  <c r="R10" i="7" s="1"/>
  <c r="A10" i="9"/>
  <c r="A10" i="2"/>
  <c r="AF6" i="1"/>
  <c r="Y6" i="1"/>
  <c r="DJ7" i="5"/>
  <c r="AU9" i="8"/>
  <c r="AE9" i="8"/>
  <c r="W6" i="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H4" i="8"/>
  <c r="CZ4" i="8" s="1"/>
  <c r="BZ4" i="8"/>
  <c r="CR4" i="8" s="1"/>
  <c r="BW5" i="8"/>
  <c r="CB4" i="8"/>
  <c r="CT4" i="8" s="1"/>
  <c r="CI4" i="8"/>
  <c r="DA4" i="8" s="1"/>
  <c r="CA4" i="8"/>
  <c r="BY4" i="8"/>
  <c r="CQ4" i="8" s="1"/>
  <c r="AE4" i="7"/>
  <c r="AF4" i="7" s="1"/>
  <c r="BZ9" i="11"/>
  <c r="AA8" i="7"/>
  <c r="AF8" i="8" s="1"/>
  <c r="AV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F11" i="8"/>
  <c r="E11" i="8"/>
  <c r="CG10" i="8"/>
  <c r="AH16" i="9"/>
  <c r="F6" i="5"/>
  <c r="CZ7" i="5"/>
  <c r="AB7" i="1"/>
  <c r="DI7" i="5"/>
  <c r="DA7" i="5"/>
  <c r="DA6" i="5"/>
  <c r="DG6" i="5" s="1" a="1"/>
  <c r="DG6" i="5" s="1"/>
  <c r="AG16" i="9"/>
  <c r="AK16" i="9"/>
  <c r="AE16" i="9"/>
  <c r="B7" i="5"/>
  <c r="S9" i="2"/>
  <c r="P10" i="2"/>
  <c r="N10" i="2"/>
  <c r="R10" i="2"/>
  <c r="Q9" i="2"/>
  <c r="J11" i="10"/>
  <c r="N11" i="5" s="1"/>
  <c r="D9" i="12"/>
  <c r="F8" i="12"/>
  <c r="E8" i="12" s="1"/>
  <c r="M10" i="2"/>
  <c r="M4" i="1"/>
  <c r="F4" i="11" s="1"/>
  <c r="I12" i="12"/>
  <c r="J11" i="12"/>
  <c r="P4" i="8" l="1"/>
  <c r="AZ9" i="5" a="1"/>
  <c r="AZ9" i="5" s="1"/>
  <c r="BK9" i="11" s="1"/>
  <c r="AI8" i="11"/>
  <c r="AN17" i="9"/>
  <c r="CW4" i="8"/>
  <c r="AG4" i="7"/>
  <c r="AI4" i="7" s="1"/>
  <c r="AA4" i="8" s="1"/>
  <c r="AS4" i="8"/>
  <c r="AQ32" i="9"/>
  <c r="CM32" i="8" s="1"/>
  <c r="AO5" i="5"/>
  <c r="AM5" i="5"/>
  <c r="AN5" i="5"/>
  <c r="AR5" i="5" s="1"/>
  <c r="AV6" i="5"/>
  <c r="AW6" i="5"/>
  <c r="AG5" i="7"/>
  <c r="CL6" i="8"/>
  <c r="J8" i="2"/>
  <c r="BF9" i="5" a="1"/>
  <c r="BF9" i="5" s="1"/>
  <c r="AE8" i="1" s="1"/>
  <c r="CA5" i="8"/>
  <c r="AC5" i="1"/>
  <c r="AI27" i="9"/>
  <c r="AO27" i="8" s="1"/>
  <c r="G11" i="8"/>
  <c r="CF10" i="8"/>
  <c r="O10" i="2"/>
  <c r="BB10" i="5" a="1"/>
  <c r="BB10" i="5" s="1"/>
  <c r="BO10" i="5" a="1"/>
  <c r="BO10" i="5" s="1"/>
  <c r="BN10" i="5" a="1"/>
  <c r="BN10" i="5" s="1"/>
  <c r="BG10" i="5" a="1"/>
  <c r="BG10" i="5" s="1"/>
  <c r="AM17" i="9"/>
  <c r="K17" i="8" s="1"/>
  <c r="BR5" i="8"/>
  <c r="BS5" i="8"/>
  <c r="BK10" i="5" a="1"/>
  <c r="BK10" i="5" s="1"/>
  <c r="AY10" i="5" a="1"/>
  <c r="AY10" i="5" s="1"/>
  <c r="BL10" i="5" a="1"/>
  <c r="BL10" i="5" s="1"/>
  <c r="CV10" i="5"/>
  <c r="CU10" i="5"/>
  <c r="CT10" i="5"/>
  <c r="CW10" i="5"/>
  <c r="CS10" i="5"/>
  <c r="CR10" i="5"/>
  <c r="CQ10" i="5"/>
  <c r="BC10" i="5" a="1"/>
  <c r="BC10" i="5" s="1"/>
  <c r="AD8" i="1"/>
  <c r="BH10" i="5" a="1"/>
  <c r="BH10" i="5" s="1"/>
  <c r="BA10" i="5" a="1"/>
  <c r="BA10" i="5" s="1"/>
  <c r="BD10" i="5" a="1"/>
  <c r="BD10" i="5" s="1"/>
  <c r="BJ10" i="5" a="1"/>
  <c r="BJ10" i="5" s="1"/>
  <c r="BQ10" i="5" a="1"/>
  <c r="BQ10" i="5" s="1"/>
  <c r="BI10" i="5" a="1"/>
  <c r="BI10" i="5" s="1"/>
  <c r="BE10" i="5" a="1"/>
  <c r="BE10" i="5" s="1"/>
  <c r="BM10" i="5" a="1"/>
  <c r="BM10" i="5" s="1"/>
  <c r="BX5" i="8"/>
  <c r="CD5" i="8" s="1"/>
  <c r="D6" i="9"/>
  <c r="V8" i="2"/>
  <c r="CU4" i="8"/>
  <c r="BP9" i="5" a="1"/>
  <c r="BP9" i="5" s="1"/>
  <c r="BT5" i="8"/>
  <c r="O14" i="1"/>
  <c r="CE4" i="8"/>
  <c r="CX4" i="8" s="1"/>
  <c r="BO5" i="8"/>
  <c r="BP5" i="8"/>
  <c r="BM5" i="8"/>
  <c r="BN5" i="8"/>
  <c r="BK5" i="8"/>
  <c r="BL5" i="8"/>
  <c r="BJ5" i="8"/>
  <c r="AC5" i="10"/>
  <c r="X5" i="10" s="1"/>
  <c r="AS9" i="5"/>
  <c r="AK9" i="11"/>
  <c r="Q5" i="7"/>
  <c r="DB8" i="5"/>
  <c r="AA4" i="11"/>
  <c r="AK4" i="1" s="1"/>
  <c r="N5" i="7"/>
  <c r="AC4" i="11"/>
  <c r="U4" i="8" s="1"/>
  <c r="AB4" i="11"/>
  <c r="Q4" i="8" s="1"/>
  <c r="Y4" i="11"/>
  <c r="AH4" i="1" s="1"/>
  <c r="AD4" i="11"/>
  <c r="AI4" i="1" s="1"/>
  <c r="Z4" i="11"/>
  <c r="CI5" i="8"/>
  <c r="DA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CA11" i="14" s="1"/>
  <c r="A11" i="7"/>
  <c r="R11" i="7" s="1"/>
  <c r="A11" i="8"/>
  <c r="A11" i="9"/>
  <c r="A11" i="5"/>
  <c r="A11" i="2"/>
  <c r="AU10" i="8"/>
  <c r="AE10" i="8"/>
  <c r="W7" i="1"/>
  <c r="BZ5" i="8"/>
  <c r="CR5" i="8" s="1"/>
  <c r="DB4" i="8"/>
  <c r="AQ4" i="5"/>
  <c r="BY5" i="8"/>
  <c r="CQ5" i="8" s="1"/>
  <c r="CB5" i="8"/>
  <c r="CT5" i="8" s="1"/>
  <c r="CH5" i="8"/>
  <c r="CZ5" i="8" s="1"/>
  <c r="CC5" i="8"/>
  <c r="AH8" i="5"/>
  <c r="BU8" i="5"/>
  <c r="B8" i="1"/>
  <c r="BG8" i="1" s="1"/>
  <c r="B8" i="2"/>
  <c r="BZ10" i="11"/>
  <c r="AA9" i="7"/>
  <c r="AF9" i="8" s="1"/>
  <c r="AV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DH6" i="8"/>
  <c r="DI6" i="8" s="1"/>
  <c r="CK6" i="8"/>
  <c r="E12" i="8"/>
  <c r="CG11" i="8"/>
  <c r="BW6" i="8"/>
  <c r="BI6" i="8"/>
  <c r="BH6" i="8"/>
  <c r="BU6" i="8" s="1"/>
  <c r="AH17" i="9"/>
  <c r="A6" i="10"/>
  <c r="AA6" i="10" s="1"/>
  <c r="BT6" i="5"/>
  <c r="B6" i="7"/>
  <c r="Q6" i="7" s="1"/>
  <c r="AI6" i="5"/>
  <c r="AJ6" i="5"/>
  <c r="AP6" i="5" s="1"/>
  <c r="B6" i="9"/>
  <c r="Y6" i="9" s="1"/>
  <c r="AC6" i="8"/>
  <c r="BQ6" i="8" s="1"/>
  <c r="A6" i="11"/>
  <c r="N6" i="11" s="1"/>
  <c r="CZ8" i="5"/>
  <c r="E6" i="1"/>
  <c r="X6" i="8"/>
  <c r="DD6" i="8" s="1"/>
  <c r="C7" i="5"/>
  <c r="F7" i="5" s="1"/>
  <c r="DI8" i="5"/>
  <c r="AB8" i="1"/>
  <c r="AG17" i="9"/>
  <c r="AK17" i="9"/>
  <c r="AE17" i="9"/>
  <c r="B8" i="5"/>
  <c r="S10" i="2"/>
  <c r="P11" i="2"/>
  <c r="N11" i="2"/>
  <c r="R11" i="2"/>
  <c r="Q10" i="2"/>
  <c r="D10" i="12"/>
  <c r="F9" i="12"/>
  <c r="E9" i="12" s="1"/>
  <c r="J12" i="10"/>
  <c r="N12" i="5" s="1"/>
  <c r="M11" i="2"/>
  <c r="I13" i="12"/>
  <c r="J12" i="12"/>
  <c r="AZ10" i="5" l="1" a="1"/>
  <c r="AZ10" i="5" s="1"/>
  <c r="BK10" i="11" s="1"/>
  <c r="P5" i="8"/>
  <c r="AI9" i="11"/>
  <c r="AN18" i="9"/>
  <c r="CY4" i="8"/>
  <c r="CV5" i="8"/>
  <c r="CW5" i="8" s="1"/>
  <c r="AS5" i="8"/>
  <c r="AQ33" i="9"/>
  <c r="CM33" i="8" s="1"/>
  <c r="AO6" i="5"/>
  <c r="AM6" i="5"/>
  <c r="AN6" i="5"/>
  <c r="AR6" i="5" s="1"/>
  <c r="AV7" i="5"/>
  <c r="AW7" i="5"/>
  <c r="AI5" i="7"/>
  <c r="J9" i="2"/>
  <c r="CL7" i="8"/>
  <c r="BF10" i="5" a="1"/>
  <c r="BF10" i="5" s="1"/>
  <c r="AE9" i="1" s="1"/>
  <c r="CC6" i="8"/>
  <c r="AC6" i="1"/>
  <c r="AI28" i="9"/>
  <c r="AO28" i="8" s="1"/>
  <c r="B4" i="8"/>
  <c r="D4" i="2" s="1"/>
  <c r="G12" i="8"/>
  <c r="CF11" i="8"/>
  <c r="O11" i="2"/>
  <c r="BN11" i="5" a="1"/>
  <c r="BN11" i="5" s="1"/>
  <c r="AW4" i="8"/>
  <c r="AD9" i="1"/>
  <c r="BC11" i="5" a="1"/>
  <c r="BC11" i="5" s="1"/>
  <c r="AM18" i="9"/>
  <c r="K18" i="8" s="1"/>
  <c r="BR6" i="8"/>
  <c r="BS6" i="8"/>
  <c r="CE5" i="8"/>
  <c r="BM11" i="5" a="1"/>
  <c r="BM11" i="5" s="1"/>
  <c r="BE11" i="5" a="1"/>
  <c r="BE11" i="5" s="1"/>
  <c r="BI11" i="5" a="1"/>
  <c r="BI11" i="5" s="1"/>
  <c r="AZ11" i="5" a="1"/>
  <c r="AZ11" i="5" s="1"/>
  <c r="BK11" i="11" s="1"/>
  <c r="BQ11" i="5" a="1"/>
  <c r="BQ11" i="5" s="1"/>
  <c r="BJ11" i="5" a="1"/>
  <c r="BJ11" i="5" s="1"/>
  <c r="BD11" i="5" a="1"/>
  <c r="BD11" i="5" s="1"/>
  <c r="BK11" i="5" a="1"/>
  <c r="BK11" i="5" s="1"/>
  <c r="AY11" i="5" a="1"/>
  <c r="AY11" i="5" s="1"/>
  <c r="BL11" i="5" a="1"/>
  <c r="BL11" i="5" s="1"/>
  <c r="CQ11" i="5"/>
  <c r="CT11" i="5"/>
  <c r="CV11" i="5"/>
  <c r="CW11" i="5"/>
  <c r="CU11" i="5"/>
  <c r="CS11" i="5"/>
  <c r="CR11" i="5"/>
  <c r="BA11" i="5" a="1"/>
  <c r="BA11" i="5" s="1"/>
  <c r="BO11" i="5" a="1"/>
  <c r="BO11" i="5" s="1"/>
  <c r="BB11" i="5" a="1"/>
  <c r="BB11" i="5" s="1"/>
  <c r="BH11" i="5" a="1"/>
  <c r="BH11" i="5" s="1"/>
  <c r="BG11" i="5" a="1"/>
  <c r="BG11" i="5" s="1"/>
  <c r="V9" i="2"/>
  <c r="CS4" i="8"/>
  <c r="F13" i="8"/>
  <c r="CU5" i="8"/>
  <c r="BP10" i="5" a="1"/>
  <c r="BP10" i="5" s="1"/>
  <c r="O15" i="1"/>
  <c r="D7" i="9"/>
  <c r="BT6" i="8"/>
  <c r="BO6" i="8"/>
  <c r="BP6" i="8"/>
  <c r="BM6" i="8"/>
  <c r="BN6" i="8"/>
  <c r="BK6" i="8"/>
  <c r="BL6" i="8"/>
  <c r="BJ6" i="8"/>
  <c r="AC6" i="10"/>
  <c r="X6" i="10" s="1"/>
  <c r="AS10" i="5"/>
  <c r="H4" i="11"/>
  <c r="E13" i="8"/>
  <c r="AK10" i="11"/>
  <c r="DB5" i="8"/>
  <c r="DE9" i="5"/>
  <c r="AH10" i="11"/>
  <c r="AM10" i="1"/>
  <c r="DF9" i="5"/>
  <c r="AU11" i="8"/>
  <c r="AE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CA12" i="14" s="1"/>
  <c r="A12" i="7"/>
  <c r="R12" i="7" s="1"/>
  <c r="A12" i="8"/>
  <c r="A12" i="5"/>
  <c r="A12" i="9"/>
  <c r="A12" i="2"/>
  <c r="W8" i="1"/>
  <c r="AJ10" i="1"/>
  <c r="B9" i="5"/>
  <c r="BU9" i="5"/>
  <c r="AH9" i="5"/>
  <c r="B9" i="2"/>
  <c r="B9" i="1"/>
  <c r="BG9" i="1" s="1"/>
  <c r="BZ11" i="11"/>
  <c r="AA10" i="7"/>
  <c r="AF10" i="8" s="1"/>
  <c r="AV10" i="8" s="1"/>
  <c r="K10" i="10"/>
  <c r="L10" i="11"/>
  <c r="H10" i="5"/>
  <c r="C9" i="10"/>
  <c r="E9" i="7"/>
  <c r="M10" i="5"/>
  <c r="H9" i="10"/>
  <c r="J9" i="7"/>
  <c r="G10" i="5"/>
  <c r="D9" i="7"/>
  <c r="B9" i="10"/>
  <c r="I10" i="5"/>
  <c r="D9" i="10"/>
  <c r="F9" i="7"/>
  <c r="L10" i="5"/>
  <c r="G9" i="10"/>
  <c r="I9" i="7"/>
  <c r="J10" i="5"/>
  <c r="DC10" i="5" s="1"/>
  <c r="E9" i="10"/>
  <c r="G9" i="7"/>
  <c r="K10" i="5"/>
  <c r="F9" i="10"/>
  <c r="H9" i="7"/>
  <c r="DD9" i="5"/>
  <c r="CI6" i="8"/>
  <c r="DA6" i="8" s="1"/>
  <c r="DH7" i="8"/>
  <c r="DI7" i="8" s="1"/>
  <c r="CK7" i="8"/>
  <c r="CG12" i="8"/>
  <c r="BW7" i="8"/>
  <c r="BX6" i="8"/>
  <c r="CD6" i="8" s="1"/>
  <c r="N6" i="7"/>
  <c r="BH7" i="8"/>
  <c r="BU7" i="8" s="1"/>
  <c r="BI7" i="8"/>
  <c r="AH18" i="9"/>
  <c r="Y5" i="11"/>
  <c r="AH5" i="1" s="1"/>
  <c r="CA6" i="8"/>
  <c r="AE6" i="7"/>
  <c r="AF6" i="7" s="1"/>
  <c r="AB5" i="11"/>
  <c r="Q5" i="8" s="1"/>
  <c r="CB6" i="8"/>
  <c r="CT6" i="8" s="1"/>
  <c r="BZ6" i="8"/>
  <c r="CR6" i="8" s="1"/>
  <c r="BY6" i="8"/>
  <c r="CQ6" i="8" s="1"/>
  <c r="CH6" i="8"/>
  <c r="CZ6" i="8" s="1"/>
  <c r="DA8" i="5"/>
  <c r="DG8" i="5" s="1" a="1"/>
  <c r="DG8" i="5" s="1"/>
  <c r="AD5" i="11"/>
  <c r="AI5" i="1" s="1"/>
  <c r="AC5" i="11"/>
  <c r="U5" i="8" s="1"/>
  <c r="Z5" i="11"/>
  <c r="E7" i="1"/>
  <c r="A7" i="11"/>
  <c r="AC6" i="11" s="1"/>
  <c r="U6" i="8" s="1"/>
  <c r="B7" i="7"/>
  <c r="Q7" i="7" s="1"/>
  <c r="BT7" i="5"/>
  <c r="B7" i="9"/>
  <c r="Y7" i="9" s="1"/>
  <c r="X7" i="8"/>
  <c r="DD7" i="8" s="1"/>
  <c r="AJ7" i="5"/>
  <c r="AP7" i="5" s="1"/>
  <c r="AI7" i="5"/>
  <c r="AC7" i="8"/>
  <c r="BQ7" i="8" s="1"/>
  <c r="A7" i="10"/>
  <c r="AA7" i="10" s="1"/>
  <c r="C8" i="5"/>
  <c r="F8" i="5" s="1"/>
  <c r="AA5" i="11"/>
  <c r="AK5" i="1" s="1"/>
  <c r="CZ9" i="5"/>
  <c r="AB9" i="1"/>
  <c r="DI9" i="5"/>
  <c r="AG18" i="9"/>
  <c r="AK18" i="9"/>
  <c r="AE18" i="9"/>
  <c r="AE19" i="9" s="1"/>
  <c r="AE20" i="9" s="1"/>
  <c r="AE21" i="9" s="1"/>
  <c r="AE22" i="9" s="1"/>
  <c r="AE23" i="9" s="1"/>
  <c r="AE24" i="9" s="1"/>
  <c r="AE25" i="9" s="1"/>
  <c r="AE26" i="9" s="1"/>
  <c r="AE27" i="9" s="1"/>
  <c r="AE28" i="9" s="1"/>
  <c r="AE29" i="9" s="1"/>
  <c r="AE30" i="9" s="1"/>
  <c r="AE31" i="9" s="1"/>
  <c r="AE32" i="9" s="1"/>
  <c r="AE33" i="9" s="1"/>
  <c r="AE34" i="9" s="1"/>
  <c r="AE35" i="9" s="1"/>
  <c r="AE36" i="9" s="1"/>
  <c r="AE37" i="9" s="1"/>
  <c r="AE38" i="9" s="1"/>
  <c r="AE39" i="9" s="1"/>
  <c r="AE40" i="9" s="1"/>
  <c r="AE41" i="9" s="1"/>
  <c r="AE42" i="9" s="1"/>
  <c r="AE43" i="9" s="1"/>
  <c r="AE44" i="9" s="1"/>
  <c r="AE45" i="9" s="1"/>
  <c r="AE46" i="9" s="1"/>
  <c r="AE47" i="9" s="1"/>
  <c r="AE48" i="9" s="1"/>
  <c r="AE49" i="9" s="1"/>
  <c r="AE50" i="9" s="1"/>
  <c r="AE51" i="9" s="1"/>
  <c r="AE52" i="9" s="1"/>
  <c r="AE53" i="9" s="1"/>
  <c r="AE54" i="9" s="1"/>
  <c r="AE55" i="9" s="1"/>
  <c r="AE56" i="9" s="1"/>
  <c r="AE57" i="9" s="1"/>
  <c r="AE58" i="9" s="1"/>
  <c r="AE59" i="9" s="1"/>
  <c r="AE60" i="9" s="1"/>
  <c r="AE61" i="9" s="1"/>
  <c r="AE62" i="9" s="1"/>
  <c r="AE63" i="9" s="1"/>
  <c r="AE64" i="9" s="1"/>
  <c r="AE65" i="9" s="1"/>
  <c r="AE66" i="9" s="1"/>
  <c r="AE67" i="9" s="1"/>
  <c r="AE68" i="9" s="1"/>
  <c r="AE69" i="9" s="1"/>
  <c r="AE70" i="9" s="1"/>
  <c r="AE71" i="9" s="1"/>
  <c r="AE72" i="9" s="1"/>
  <c r="AE73" i="9" s="1"/>
  <c r="AE74" i="9" s="1"/>
  <c r="AE75" i="9" s="1"/>
  <c r="AE76" i="9" s="1"/>
  <c r="AE77" i="9" s="1"/>
  <c r="AE78" i="9" s="1"/>
  <c r="AE79" i="9" s="1"/>
  <c r="AE80" i="9" s="1"/>
  <c r="E4" i="2"/>
  <c r="L4" i="2" s="1"/>
  <c r="AB4" i="7"/>
  <c r="S11" i="2"/>
  <c r="P12" i="2"/>
  <c r="N12" i="2"/>
  <c r="R12" i="2"/>
  <c r="Q11" i="2"/>
  <c r="M12" i="2"/>
  <c r="D11" i="12"/>
  <c r="F10" i="12"/>
  <c r="E10" i="12" s="1"/>
  <c r="J13" i="10"/>
  <c r="N13" i="5" s="1"/>
  <c r="I14" i="12"/>
  <c r="J13" i="12"/>
  <c r="AI10" i="11" l="1"/>
  <c r="AI11" i="11" s="1"/>
  <c r="P6" i="8"/>
  <c r="AN19" i="9"/>
  <c r="BK20" i="11" s="1"/>
  <c r="CX5" i="8"/>
  <c r="CY5" i="8" s="1"/>
  <c r="DF4" i="8"/>
  <c r="G4" i="1" s="1"/>
  <c r="N4" i="8" s="1"/>
  <c r="CV6" i="8"/>
  <c r="CW6" i="8" s="1"/>
  <c r="AS6" i="8"/>
  <c r="AQ34" i="9"/>
  <c r="CM34" i="8" s="1"/>
  <c r="AO7" i="5"/>
  <c r="AM7" i="5"/>
  <c r="AN7" i="5"/>
  <c r="AR7" i="5" s="1"/>
  <c r="AV8" i="5"/>
  <c r="AW8" i="5"/>
  <c r="BF11" i="5" a="1"/>
  <c r="BF11" i="5" s="1"/>
  <c r="AE10" i="1" s="1"/>
  <c r="AG6" i="7"/>
  <c r="AI6" i="7" s="1"/>
  <c r="J10" i="2"/>
  <c r="CL8" i="8"/>
  <c r="CC7" i="8"/>
  <c r="AC7" i="1"/>
  <c r="AI29" i="9"/>
  <c r="AO29" i="8" s="1"/>
  <c r="G13" i="8"/>
  <c r="CF12" i="8"/>
  <c r="O12" i="2"/>
  <c r="AD10" i="1"/>
  <c r="AM19" i="9"/>
  <c r="K19" i="8" s="1"/>
  <c r="BR7" i="8"/>
  <c r="BS7" i="8"/>
  <c r="BG12" i="5" a="1"/>
  <c r="BG12" i="5" s="1"/>
  <c r="BD12" i="5" a="1"/>
  <c r="BD12" i="5" s="1"/>
  <c r="BH12" i="5" a="1"/>
  <c r="BH12" i="5" s="1"/>
  <c r="BJ12" i="5" a="1"/>
  <c r="BJ12" i="5" s="1"/>
  <c r="BB12" i="5" a="1"/>
  <c r="BB12" i="5" s="1"/>
  <c r="BQ12" i="5" a="1"/>
  <c r="BQ12" i="5" s="1"/>
  <c r="AY12" i="5" a="1"/>
  <c r="AY12" i="5" s="1"/>
  <c r="BL12" i="5" a="1"/>
  <c r="BL12" i="5" s="1"/>
  <c r="CR12" i="5"/>
  <c r="CQ12" i="5"/>
  <c r="CS12" i="5"/>
  <c r="CT12" i="5"/>
  <c r="CV12" i="5"/>
  <c r="CU12" i="5"/>
  <c r="CW12" i="5"/>
  <c r="BK12" i="5" a="1"/>
  <c r="BK12" i="5" s="1"/>
  <c r="AZ12" i="5" a="1"/>
  <c r="AZ12" i="5" s="1"/>
  <c r="BK12" i="11" s="1"/>
  <c r="BO12" i="5" a="1"/>
  <c r="BO12" i="5" s="1"/>
  <c r="BI12" i="5" a="1"/>
  <c r="BI12" i="5" s="1"/>
  <c r="BA12" i="5" a="1"/>
  <c r="BA12" i="5" s="1"/>
  <c r="BE12" i="5" a="1"/>
  <c r="BE12" i="5" s="1"/>
  <c r="BM12" i="5" a="1"/>
  <c r="BM12" i="5" s="1"/>
  <c r="BC12" i="5" a="1"/>
  <c r="BC12" i="5" s="1"/>
  <c r="BN12" i="5" a="1"/>
  <c r="BN12" i="5" s="1"/>
  <c r="V10" i="2"/>
  <c r="CS5" i="8"/>
  <c r="F14" i="8"/>
  <c r="BP11" i="5" a="1"/>
  <c r="BP11" i="5" s="1"/>
  <c r="O16" i="1"/>
  <c r="BT7" i="8"/>
  <c r="BO7" i="8"/>
  <c r="BP7" i="8"/>
  <c r="BM7" i="8"/>
  <c r="BN7" i="8"/>
  <c r="BK7" i="8"/>
  <c r="BL7" i="8"/>
  <c r="BJ7" i="8"/>
  <c r="AC7" i="10"/>
  <c r="X7" i="10" s="1"/>
  <c r="AS11" i="5"/>
  <c r="E14"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W9" i="1"/>
  <c r="DH10" i="5"/>
  <c r="AF9" i="1"/>
  <c r="Y9" i="1"/>
  <c r="DJ10" i="5"/>
  <c r="K13" i="11"/>
  <c r="A13" i="14"/>
  <c r="CA13" i="14" s="1"/>
  <c r="A13" i="9"/>
  <c r="A13" i="5"/>
  <c r="A13" i="8"/>
  <c r="A13" i="7"/>
  <c r="R13" i="7" s="1"/>
  <c r="A13" i="2"/>
  <c r="AU12" i="8"/>
  <c r="AE12" i="8"/>
  <c r="B10" i="5"/>
  <c r="B10" i="2"/>
  <c r="B10" i="1"/>
  <c r="BG10" i="1" s="1"/>
  <c r="AH10" i="5"/>
  <c r="BU10" i="5"/>
  <c r="BZ12" i="11"/>
  <c r="AA11" i="7"/>
  <c r="AF11" i="8" s="1"/>
  <c r="AV11" i="8" s="1"/>
  <c r="K11" i="10"/>
  <c r="L11" i="11"/>
  <c r="L11" i="5"/>
  <c r="G10" i="10"/>
  <c r="I10" i="7"/>
  <c r="K11" i="5"/>
  <c r="F10" i="10"/>
  <c r="H10" i="7"/>
  <c r="DD10" i="5"/>
  <c r="M11" i="5"/>
  <c r="H10" i="10"/>
  <c r="J10" i="7"/>
  <c r="I11" i="5"/>
  <c r="D10" i="10"/>
  <c r="F10" i="7"/>
  <c r="D10" i="7"/>
  <c r="G11" i="5"/>
  <c r="B10" i="10"/>
  <c r="J11" i="5"/>
  <c r="DC11" i="5" s="1"/>
  <c r="E10" i="10"/>
  <c r="G10" i="7"/>
  <c r="H11" i="5"/>
  <c r="C10" i="10"/>
  <c r="E10" i="7"/>
  <c r="CU6" i="8"/>
  <c r="D8" i="9"/>
  <c r="DB6" i="8"/>
  <c r="CI7" i="8"/>
  <c r="DA7" i="8" s="1"/>
  <c r="DH8" i="8"/>
  <c r="DI8" i="8" s="1"/>
  <c r="CK8" i="8"/>
  <c r="CG13" i="8"/>
  <c r="BW8" i="8"/>
  <c r="CE6" i="8"/>
  <c r="BX7" i="8"/>
  <c r="CE7" i="8" s="1"/>
  <c r="CX7" i="8" s="1"/>
  <c r="N7" i="7"/>
  <c r="BH8" i="8"/>
  <c r="BU8" i="8" s="1"/>
  <c r="BI8" i="8"/>
  <c r="AH19" i="9"/>
  <c r="B4" i="14"/>
  <c r="AD6" i="11"/>
  <c r="AI6" i="1" s="1"/>
  <c r="AQ6" i="5"/>
  <c r="CA7" i="8"/>
  <c r="BY7" i="8"/>
  <c r="CQ7" i="8" s="1"/>
  <c r="CH7" i="8"/>
  <c r="CZ7" i="8" s="1"/>
  <c r="Z6" i="11"/>
  <c r="AB6" i="11"/>
  <c r="Q6" i="8" s="1"/>
  <c r="BZ7" i="8"/>
  <c r="CR7" i="8" s="1"/>
  <c r="Y6" i="11"/>
  <c r="AH6" i="1" s="1"/>
  <c r="CB7" i="8"/>
  <c r="CT7" i="8" s="1"/>
  <c r="AA6" i="11"/>
  <c r="AK6" i="1" s="1"/>
  <c r="N7" i="11"/>
  <c r="A8" i="11"/>
  <c r="N8" i="11" s="1"/>
  <c r="A8" i="10"/>
  <c r="AA8" i="10" s="1"/>
  <c r="B8" i="7"/>
  <c r="Q8" i="7" s="1"/>
  <c r="AJ8" i="5"/>
  <c r="AP8" i="5" s="1"/>
  <c r="AI8" i="5"/>
  <c r="B8" i="9"/>
  <c r="Y8" i="9" s="1"/>
  <c r="X8" i="8"/>
  <c r="DD8" i="8" s="1"/>
  <c r="E8" i="1"/>
  <c r="AC8" i="8"/>
  <c r="BQ8" i="8" s="1"/>
  <c r="BT8" i="5"/>
  <c r="C9" i="5"/>
  <c r="F9" i="5" s="1"/>
  <c r="AE7" i="7"/>
  <c r="AF7" i="7" s="1"/>
  <c r="CZ10" i="5"/>
  <c r="C10" i="5"/>
  <c r="DA9" i="5"/>
  <c r="DG9" i="5" s="1" a="1"/>
  <c r="DG9" i="5" s="1"/>
  <c r="AB10" i="1"/>
  <c r="DI10" i="5"/>
  <c r="AG19" i="9"/>
  <c r="AK19" i="9"/>
  <c r="AE81" i="9"/>
  <c r="S12" i="2"/>
  <c r="P13" i="2"/>
  <c r="N13" i="2"/>
  <c r="R13" i="2"/>
  <c r="Q12" i="2"/>
  <c r="D12" i="12"/>
  <c r="F11" i="12"/>
  <c r="E11" i="12" s="1"/>
  <c r="M13" i="2"/>
  <c r="J14" i="10"/>
  <c r="N14" i="5" s="1"/>
  <c r="I15" i="12"/>
  <c r="J14" i="12"/>
  <c r="AI12" i="11" l="1"/>
  <c r="AN20" i="9"/>
  <c r="BK21" i="11" s="1"/>
  <c r="DF5" i="8"/>
  <c r="G5" i="1" s="1"/>
  <c r="N5" i="8" s="1"/>
  <c r="CX6" i="8"/>
  <c r="CY6" i="8" s="1"/>
  <c r="CV7" i="8"/>
  <c r="CW7" i="8" s="1"/>
  <c r="AS7" i="8"/>
  <c r="AQ35" i="9"/>
  <c r="CM35" i="8" s="1"/>
  <c r="AO8" i="5"/>
  <c r="AM8" i="5"/>
  <c r="AN8" i="5"/>
  <c r="AR8" i="5" s="1"/>
  <c r="AV9" i="5"/>
  <c r="AW9" i="5"/>
  <c r="BF12" i="5" a="1"/>
  <c r="BF12" i="5" s="1"/>
  <c r="AE11" i="1" s="1"/>
  <c r="J11" i="2"/>
  <c r="AG7" i="7"/>
  <c r="AI7" i="7" s="1"/>
  <c r="CL9" i="8"/>
  <c r="CC8" i="8"/>
  <c r="AC8" i="1"/>
  <c r="AI30" i="9"/>
  <c r="AO30" i="8" s="1"/>
  <c r="G14" i="8"/>
  <c r="CF13" i="8"/>
  <c r="O13" i="2"/>
  <c r="BK13" i="5" a="1"/>
  <c r="BK13" i="5" s="1"/>
  <c r="AM20" i="9"/>
  <c r="K20" i="8" s="1"/>
  <c r="BR8" i="8"/>
  <c r="BS8" i="8"/>
  <c r="BN13" i="5" a="1"/>
  <c r="BN13" i="5" s="1"/>
  <c r="BC13" i="5" a="1"/>
  <c r="BC13" i="5" s="1"/>
  <c r="AD11" i="1"/>
  <c r="AY13" i="5" a="1"/>
  <c r="AY13" i="5" s="1"/>
  <c r="BL13" i="5" a="1"/>
  <c r="BL13" i="5" s="1"/>
  <c r="CQ13" i="5"/>
  <c r="CR13" i="5"/>
  <c r="CT13" i="5"/>
  <c r="CW13" i="5"/>
  <c r="CS13" i="5"/>
  <c r="CV13" i="5"/>
  <c r="CU13" i="5"/>
  <c r="BM13" i="5" a="1"/>
  <c r="BM13" i="5" s="1"/>
  <c r="BE13" i="5" a="1"/>
  <c r="BE13" i="5" s="1"/>
  <c r="BQ13" i="5" a="1"/>
  <c r="BQ13" i="5" s="1"/>
  <c r="BA13" i="5" a="1"/>
  <c r="BA13" i="5" s="1"/>
  <c r="BB13" i="5" a="1"/>
  <c r="BB13" i="5" s="1"/>
  <c r="BI13" i="5" a="1"/>
  <c r="BI13" i="5" s="1"/>
  <c r="BJ13" i="5" a="1"/>
  <c r="BJ13" i="5" s="1"/>
  <c r="BO13" i="5" a="1"/>
  <c r="BO13" i="5" s="1"/>
  <c r="BH13" i="5" a="1"/>
  <c r="BH13" i="5" s="1"/>
  <c r="AZ13" i="5" a="1"/>
  <c r="AZ13" i="5" s="1"/>
  <c r="BK13" i="11" s="1"/>
  <c r="AI13" i="11" s="1"/>
  <c r="BD13" i="5" a="1"/>
  <c r="BD13" i="5" s="1"/>
  <c r="BG13" i="5" a="1"/>
  <c r="BG13" i="5" s="1"/>
  <c r="V11" i="2"/>
  <c r="F15" i="8"/>
  <c r="BP12" i="5" a="1"/>
  <c r="BP12" i="5" s="1"/>
  <c r="O17" i="1"/>
  <c r="BT8" i="8"/>
  <c r="BO8" i="8"/>
  <c r="BP8" i="8"/>
  <c r="BM8" i="8"/>
  <c r="BN8" i="8"/>
  <c r="BK8" i="8"/>
  <c r="BL8" i="8"/>
  <c r="BJ8" i="8"/>
  <c r="AC8" i="10"/>
  <c r="X8" i="10" s="1"/>
  <c r="AS12" i="5"/>
  <c r="E15" i="8"/>
  <c r="AK12" i="11"/>
  <c r="AH12" i="11"/>
  <c r="AM12" i="1"/>
  <c r="DF11" i="5"/>
  <c r="DB11" i="5"/>
  <c r="DE11" i="5"/>
  <c r="DH11" i="5"/>
  <c r="AE13" i="8"/>
  <c r="AU13" i="8"/>
  <c r="AF10" i="1"/>
  <c r="W10" i="1"/>
  <c r="K14" i="11"/>
  <c r="A14" i="14"/>
  <c r="CA14" i="14" s="1"/>
  <c r="A14" i="5"/>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BZ13" i="11"/>
  <c r="K12" i="10"/>
  <c r="AA12" i="7"/>
  <c r="AF12" i="8" s="1"/>
  <c r="AV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S6" i="8"/>
  <c r="CU7" i="8"/>
  <c r="D9" i="9"/>
  <c r="DB7" i="8"/>
  <c r="CD7" i="8"/>
  <c r="P7" i="8" s="1"/>
  <c r="CI8" i="8"/>
  <c r="DA8" i="8" s="1"/>
  <c r="DH9" i="8"/>
  <c r="DI9" i="8" s="1"/>
  <c r="CK9" i="8"/>
  <c r="CG14" i="8"/>
  <c r="BW9" i="8"/>
  <c r="AC9" i="1" s="1"/>
  <c r="BX8" i="8"/>
  <c r="CE8" i="8" s="1"/>
  <c r="CX8" i="8" s="1"/>
  <c r="N8" i="7"/>
  <c r="BH9" i="8"/>
  <c r="BU9" i="8" s="1"/>
  <c r="BI9" i="8"/>
  <c r="AH20" i="9"/>
  <c r="CH8" i="8"/>
  <c r="CZ8" i="8" s="1"/>
  <c r="CA8" i="8"/>
  <c r="AC7" i="11"/>
  <c r="U7" i="8" s="1"/>
  <c r="AE8" i="7"/>
  <c r="AF8" i="7" s="1"/>
  <c r="BY8" i="8"/>
  <c r="CQ8" i="8" s="1"/>
  <c r="AA7" i="11"/>
  <c r="AK7" i="1" s="1"/>
  <c r="Z7" i="11"/>
  <c r="AQ7" i="5"/>
  <c r="BZ8" i="8"/>
  <c r="CR8" i="8" s="1"/>
  <c r="CB8" i="8"/>
  <c r="CT8" i="8" s="1"/>
  <c r="AB7" i="11"/>
  <c r="Q7" i="8" s="1"/>
  <c r="X9" i="8"/>
  <c r="DD9" i="8" s="1"/>
  <c r="B9" i="7"/>
  <c r="AJ9" i="5"/>
  <c r="AP9" i="5" s="1"/>
  <c r="AI9" i="5"/>
  <c r="B9" i="9"/>
  <c r="Y9" i="9" s="1"/>
  <c r="AC9" i="8"/>
  <c r="BQ9" i="8" s="1"/>
  <c r="A9" i="10"/>
  <c r="AA9" i="10" s="1"/>
  <c r="BT9" i="5"/>
  <c r="A9" i="11"/>
  <c r="E9" i="1"/>
  <c r="CZ11" i="5"/>
  <c r="AD7" i="11"/>
  <c r="AI7" i="1" s="1"/>
  <c r="Y7" i="11"/>
  <c r="AH7" i="1" s="1"/>
  <c r="C11" i="5"/>
  <c r="DA10" i="5"/>
  <c r="DG10" i="5" s="1" a="1"/>
  <c r="DG10" i="5" s="1"/>
  <c r="AB11" i="1"/>
  <c r="DI11" i="5"/>
  <c r="AG20" i="9"/>
  <c r="AK20" i="9"/>
  <c r="AE82" i="9"/>
  <c r="S13" i="2"/>
  <c r="P14" i="2"/>
  <c r="N14" i="2"/>
  <c r="R14" i="2"/>
  <c r="Q13" i="2"/>
  <c r="M14" i="2"/>
  <c r="J15" i="10"/>
  <c r="N15" i="5" s="1"/>
  <c r="D13" i="12"/>
  <c r="F12" i="12"/>
  <c r="E12" i="12" s="1"/>
  <c r="J15" i="12"/>
  <c r="I16" i="12"/>
  <c r="AN21" i="9" l="1"/>
  <c r="BK22" i="11" s="1"/>
  <c r="DF6" i="8"/>
  <c r="G6" i="1" s="1"/>
  <c r="N6" i="8" s="1"/>
  <c r="CV8" i="8"/>
  <c r="CW8" i="8" s="1"/>
  <c r="AS8" i="8"/>
  <c r="AQ36" i="9"/>
  <c r="CM36" i="8" s="1"/>
  <c r="AO9" i="5"/>
  <c r="AM9" i="5"/>
  <c r="AN9" i="5"/>
  <c r="AR9" i="5" s="1"/>
  <c r="J12" i="2"/>
  <c r="BF13" i="5" a="1"/>
  <c r="BF13" i="5" s="1"/>
  <c r="AE12" i="1" s="1"/>
  <c r="AV10" i="5"/>
  <c r="AW10" i="5"/>
  <c r="AG8" i="7"/>
  <c r="AI8" i="7" s="1"/>
  <c r="CL10" i="8"/>
  <c r="F16" i="8"/>
  <c r="F17" i="8" s="1"/>
  <c r="E16" i="8"/>
  <c r="AI31" i="9"/>
  <c r="AO31" i="8" s="1"/>
  <c r="G15" i="8"/>
  <c r="CF14" i="8"/>
  <c r="O14" i="2"/>
  <c r="BK14" i="5" a="1"/>
  <c r="BK14" i="5" s="1"/>
  <c r="BO14" i="5" a="1"/>
  <c r="BO14" i="5" s="1"/>
  <c r="BA14" i="5" a="1"/>
  <c r="BA14" i="5" s="1"/>
  <c r="BD14" i="5" a="1"/>
  <c r="BD14" i="5" s="1"/>
  <c r="BJ14" i="5" a="1"/>
  <c r="BJ14" i="5" s="1"/>
  <c r="BQ14" i="5" a="1"/>
  <c r="BQ14" i="5" s="1"/>
  <c r="AZ14" i="5" a="1"/>
  <c r="AZ14" i="5" s="1"/>
  <c r="BK14" i="11" s="1"/>
  <c r="AI14" i="11" s="1"/>
  <c r="BE14" i="5" a="1"/>
  <c r="BE14" i="5" s="1"/>
  <c r="BG14" i="5" a="1"/>
  <c r="BG14" i="5" s="1"/>
  <c r="BM14" i="5" a="1"/>
  <c r="BM14" i="5" s="1"/>
  <c r="AM21" i="9"/>
  <c r="K21" i="8" s="1"/>
  <c r="BR9" i="8"/>
  <c r="BS9" i="8"/>
  <c r="AD12" i="1"/>
  <c r="BH14" i="5" a="1"/>
  <c r="BH14" i="5" s="1"/>
  <c r="BI14" i="5" a="1"/>
  <c r="BI14" i="5" s="1"/>
  <c r="BC14" i="5" a="1"/>
  <c r="BC14" i="5" s="1"/>
  <c r="AY14" i="5" a="1"/>
  <c r="AY14" i="5" s="1"/>
  <c r="BL14" i="5" a="1"/>
  <c r="BL14" i="5" s="1"/>
  <c r="CQ14" i="5"/>
  <c r="CS14" i="5"/>
  <c r="CR14" i="5"/>
  <c r="CW14" i="5"/>
  <c r="CU14" i="5"/>
  <c r="CT14" i="5"/>
  <c r="CV14" i="5"/>
  <c r="BB14" i="5" a="1"/>
  <c r="BB14" i="5" s="1"/>
  <c r="BN14" i="5" a="1"/>
  <c r="BN14" i="5" s="1"/>
  <c r="V12" i="2"/>
  <c r="CY7" i="8"/>
  <c r="BP13" i="5" a="1"/>
  <c r="BP13" i="5" s="1"/>
  <c r="X10" i="8"/>
  <c r="DD10" i="8" s="1"/>
  <c r="O18" i="1"/>
  <c r="BT9" i="8"/>
  <c r="BO9" i="8"/>
  <c r="BP9" i="8"/>
  <c r="BM9" i="8"/>
  <c r="BN9" i="8"/>
  <c r="BK9" i="8"/>
  <c r="BL9" i="8"/>
  <c r="BJ9" i="8"/>
  <c r="AC9" i="10"/>
  <c r="X9" i="10" s="1"/>
  <c r="AS13" i="5"/>
  <c r="AH13" i="11"/>
  <c r="DH10" i="8"/>
  <c r="DI10" i="8" s="1"/>
  <c r="DF12" i="5"/>
  <c r="DE12" i="5"/>
  <c r="AU14" i="14" a="1"/>
  <c r="AU14" i="14"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CA15" i="14" s="1"/>
  <c r="A15" i="5"/>
  <c r="A15" i="7"/>
  <c r="R15" i="7" s="1"/>
  <c r="A15" i="2"/>
  <c r="A15" i="9"/>
  <c r="A15" i="8"/>
  <c r="DD12" i="5"/>
  <c r="AK13" i="11"/>
  <c r="AE14" i="8"/>
  <c r="AU14" i="8"/>
  <c r="W11" i="1"/>
  <c r="AF11" i="1"/>
  <c r="BT10" i="5"/>
  <c r="A10" i="11"/>
  <c r="AC9" i="11" s="1"/>
  <c r="U9" i="8" s="1"/>
  <c r="E10" i="1"/>
  <c r="B10" i="7"/>
  <c r="Q10" i="7" s="1"/>
  <c r="A10" i="10"/>
  <c r="AA10" i="10" s="1"/>
  <c r="CK10" i="8"/>
  <c r="AC10" i="8"/>
  <c r="BQ10" i="8" s="1"/>
  <c r="BI10" i="8"/>
  <c r="B10" i="9"/>
  <c r="Y10" i="9" s="1"/>
  <c r="AJ10" i="5"/>
  <c r="AP10" i="5" s="1"/>
  <c r="BH10" i="8"/>
  <c r="BU10" i="8" s="1"/>
  <c r="AI10" i="5"/>
  <c r="BW10" i="8"/>
  <c r="F11" i="5"/>
  <c r="B12" i="5"/>
  <c r="DB12" i="5"/>
  <c r="B12" i="2"/>
  <c r="AH12" i="5"/>
  <c r="B12" i="1"/>
  <c r="BG12" i="1" s="1"/>
  <c r="BU12" i="5"/>
  <c r="BZ14" i="11"/>
  <c r="K13" i="10"/>
  <c r="AA13" i="7"/>
  <c r="AF13" i="8" s="1"/>
  <c r="AV13" i="8" s="1"/>
  <c r="L13" i="11"/>
  <c r="J13" i="5"/>
  <c r="DC13" i="5" s="1"/>
  <c r="E12" i="10"/>
  <c r="G12" i="7"/>
  <c r="L13" i="5"/>
  <c r="G12" i="10"/>
  <c r="I12" i="7"/>
  <c r="M13" i="5"/>
  <c r="H12" i="10"/>
  <c r="J12" i="7"/>
  <c r="G13" i="5"/>
  <c r="D12" i="7"/>
  <c r="B12" i="10"/>
  <c r="K13" i="5"/>
  <c r="F12" i="10"/>
  <c r="H12" i="7"/>
  <c r="I13" i="5"/>
  <c r="D12" i="10"/>
  <c r="F12" i="7"/>
  <c r="H13" i="5"/>
  <c r="C12" i="10"/>
  <c r="E12" i="7"/>
  <c r="CS7" i="8"/>
  <c r="CU8" i="8"/>
  <c r="D10" i="9"/>
  <c r="DB8" i="8"/>
  <c r="CI9" i="8"/>
  <c r="DA9" i="8" s="1"/>
  <c r="CD8" i="8"/>
  <c r="P8" i="8" s="1"/>
  <c r="CG15" i="8"/>
  <c r="BX9" i="8"/>
  <c r="CD9" i="8" s="1"/>
  <c r="P9" i="8" s="1"/>
  <c r="N9" i="7"/>
  <c r="AH21" i="9"/>
  <c r="AQ8" i="5"/>
  <c r="CZ12" i="5"/>
  <c r="BY9" i="8"/>
  <c r="CQ9" i="8" s="1"/>
  <c r="CC9" i="8"/>
  <c r="BZ9" i="8"/>
  <c r="CR9" i="8" s="1"/>
  <c r="CA9" i="8"/>
  <c r="CH9" i="8"/>
  <c r="CZ9" i="8" s="1"/>
  <c r="CB9" i="8"/>
  <c r="CT9" i="8" s="1"/>
  <c r="N9" i="11"/>
  <c r="AB8" i="11"/>
  <c r="Q8" i="8" s="1"/>
  <c r="Z8" i="11"/>
  <c r="AC8" i="11"/>
  <c r="U8" i="8" s="1"/>
  <c r="AA8" i="11"/>
  <c r="AK8" i="1" s="1"/>
  <c r="Y8" i="11"/>
  <c r="AH8" i="1" s="1"/>
  <c r="AD8" i="11"/>
  <c r="AI8" i="1" s="1"/>
  <c r="AE9" i="7"/>
  <c r="AF9" i="7" s="1"/>
  <c r="Q9" i="7"/>
  <c r="DI12" i="5"/>
  <c r="AB12" i="1"/>
  <c r="C12" i="5"/>
  <c r="DA11" i="5"/>
  <c r="DG11" i="5" s="1" a="1"/>
  <c r="DG11" i="5" s="1"/>
  <c r="AG21" i="9"/>
  <c r="AK21" i="9"/>
  <c r="AE83" i="9"/>
  <c r="L7" i="11"/>
  <c r="AV7" i="8"/>
  <c r="B5" i="14"/>
  <c r="S14" i="2"/>
  <c r="P15" i="2"/>
  <c r="N15" i="2"/>
  <c r="R15" i="2"/>
  <c r="Q14" i="2"/>
  <c r="F13" i="12"/>
  <c r="E13" i="12" s="1"/>
  <c r="D14" i="12"/>
  <c r="J16" i="10"/>
  <c r="N16" i="5" s="1"/>
  <c r="M15" i="2"/>
  <c r="J16" i="12"/>
  <c r="I17" i="12"/>
  <c r="J17" i="12" s="1"/>
  <c r="AN22" i="9" l="1"/>
  <c r="BK23" i="11" s="1"/>
  <c r="CV9" i="8"/>
  <c r="CW9" i="8" s="1"/>
  <c r="AS9" i="8"/>
  <c r="AQ37" i="9"/>
  <c r="CM37" i="8" s="1"/>
  <c r="AO10" i="5"/>
  <c r="AM10" i="5"/>
  <c r="AN10" i="5"/>
  <c r="J13" i="2"/>
  <c r="BF14" i="5" a="1"/>
  <c r="BF14" i="5" s="1"/>
  <c r="AE13" i="1" s="1"/>
  <c r="AV11" i="5"/>
  <c r="AW11" i="5"/>
  <c r="E17" i="8"/>
  <c r="AG9" i="7"/>
  <c r="AI9" i="7" s="1"/>
  <c r="CL11" i="8"/>
  <c r="CB10" i="8"/>
  <c r="CT10" i="8" s="1"/>
  <c r="AC10" i="1"/>
  <c r="AI32" i="9"/>
  <c r="AO32" i="8" s="1"/>
  <c r="G16" i="8"/>
  <c r="CF15" i="8"/>
  <c r="O15" i="2"/>
  <c r="AZ15" i="5" a="1"/>
  <c r="AZ15" i="5" s="1"/>
  <c r="BI15" i="5" a="1"/>
  <c r="BI15" i="5" s="1"/>
  <c r="BI16" i="5" s="1" a="1"/>
  <c r="BI16" i="5" s="1"/>
  <c r="BC15" i="5" a="1"/>
  <c r="BC15" i="5" s="1"/>
  <c r="BC16" i="5" s="1" a="1"/>
  <c r="BC16" i="5" s="1"/>
  <c r="AM22" i="9"/>
  <c r="K22" i="8" s="1"/>
  <c r="BR10" i="8"/>
  <c r="BS10" i="8"/>
  <c r="AD13" i="1"/>
  <c r="BM15" i="5" a="1"/>
  <c r="BM15" i="5" s="1"/>
  <c r="BM16" i="5" s="1" a="1"/>
  <c r="BM16" i="5" s="1"/>
  <c r="BJ15" i="5" a="1"/>
  <c r="BJ15" i="5" s="1"/>
  <c r="BJ16" i="5" s="1" a="1"/>
  <c r="BJ16" i="5" s="1"/>
  <c r="BN15" i="5" a="1"/>
  <c r="BN15" i="5" s="1"/>
  <c r="BN16" i="5" s="1" a="1"/>
  <c r="BN16" i="5" s="1"/>
  <c r="BO15" i="5" a="1"/>
  <c r="BO15" i="5" s="1"/>
  <c r="BO16" i="5" s="1" a="1"/>
  <c r="BO16" i="5" s="1"/>
  <c r="BB15" i="5" a="1"/>
  <c r="BB15" i="5" s="1"/>
  <c r="BB16" i="5" s="1" a="1"/>
  <c r="BB16" i="5" s="1"/>
  <c r="BH15" i="5" a="1"/>
  <c r="BH15" i="5" s="1"/>
  <c r="BH16" i="5" s="1" a="1"/>
  <c r="BH16" i="5" s="1"/>
  <c r="AY15" i="5" a="1"/>
  <c r="AY15" i="5" s="1"/>
  <c r="AY16" i="5" s="1" a="1"/>
  <c r="AY16" i="5" s="1"/>
  <c r="BL15" i="5" a="1"/>
  <c r="BL15" i="5" s="1"/>
  <c r="BL16" i="5" s="1" a="1"/>
  <c r="BL16" i="5" s="1"/>
  <c r="CT15" i="5"/>
  <c r="CU15" i="5"/>
  <c r="CR15" i="5"/>
  <c r="CS15" i="5"/>
  <c r="CQ15" i="5"/>
  <c r="CW15" i="5"/>
  <c r="CV15" i="5"/>
  <c r="BQ15" i="5" a="1"/>
  <c r="BQ15" i="5" s="1"/>
  <c r="BQ16" i="5" s="1" a="1"/>
  <c r="BQ16" i="5" s="1"/>
  <c r="BD15" i="5" a="1"/>
  <c r="BD15" i="5" s="1"/>
  <c r="BD16" i="5" s="1" a="1"/>
  <c r="BD16" i="5" s="1"/>
  <c r="BA15" i="5" a="1"/>
  <c r="BA15" i="5" s="1"/>
  <c r="BA16" i="5" s="1" a="1"/>
  <c r="BA16" i="5" s="1"/>
  <c r="BG15" i="5" a="1"/>
  <c r="BG15" i="5" s="1"/>
  <c r="BG16" i="5" s="1" a="1"/>
  <c r="BG16" i="5" s="1"/>
  <c r="BE15" i="5" a="1"/>
  <c r="BE15" i="5" s="1"/>
  <c r="BE16" i="5" s="1" a="1"/>
  <c r="BE16" i="5" s="1"/>
  <c r="BK15" i="5" a="1"/>
  <c r="BK15" i="5" s="1"/>
  <c r="BK16" i="5" s="1" a="1"/>
  <c r="BK16" i="5" s="1"/>
  <c r="V13" i="2"/>
  <c r="DF7" i="8"/>
  <c r="G7" i="1" s="1"/>
  <c r="N7" i="8" s="1"/>
  <c r="F18" i="8"/>
  <c r="BP14" i="5" a="1"/>
  <c r="BP14" i="5" s="1"/>
  <c r="DH11" i="8"/>
  <c r="DI11" i="8" s="1"/>
  <c r="O19" i="1"/>
  <c r="BT10" i="8"/>
  <c r="BO10" i="8"/>
  <c r="BP10" i="8"/>
  <c r="BM10" i="8"/>
  <c r="BN10" i="8"/>
  <c r="AR10" i="5"/>
  <c r="BK10" i="8"/>
  <c r="BL10" i="8"/>
  <c r="BJ10" i="8"/>
  <c r="AC10" i="10"/>
  <c r="X10" i="10" s="1"/>
  <c r="AS14" i="5"/>
  <c r="CI10" i="8"/>
  <c r="DA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CA16" i="14" s="1"/>
  <c r="A16" i="8"/>
  <c r="A16" i="2"/>
  <c r="A16" i="9"/>
  <c r="A16" i="7"/>
  <c r="R16" i="7" s="1"/>
  <c r="A16" i="5"/>
  <c r="AE15" i="8"/>
  <c r="AU15" i="8"/>
  <c r="W12" i="1"/>
  <c r="AF12" i="1"/>
  <c r="DH13" i="5"/>
  <c r="Y12" i="1"/>
  <c r="DJ13" i="5"/>
  <c r="BZ10" i="8"/>
  <c r="CR10" i="8" s="1"/>
  <c r="N10" i="7"/>
  <c r="CC10" i="8"/>
  <c r="N10" i="11"/>
  <c r="AA9" i="11"/>
  <c r="AK9" i="1" s="1"/>
  <c r="Z9" i="11"/>
  <c r="AB9" i="11"/>
  <c r="Q9" i="8" s="1"/>
  <c r="AD9" i="11"/>
  <c r="AI9" i="1" s="1"/>
  <c r="BX10" i="8"/>
  <c r="CE10" i="8" s="1"/>
  <c r="CX10" i="8" s="1"/>
  <c r="D11" i="9"/>
  <c r="AE10" i="7"/>
  <c r="AF10" i="7" s="1"/>
  <c r="CH10" i="8"/>
  <c r="CZ10" i="8" s="1"/>
  <c r="BY10" i="8"/>
  <c r="CQ10" i="8" s="1"/>
  <c r="CA10" i="8"/>
  <c r="B11" i="9"/>
  <c r="Y11" i="9" s="1"/>
  <c r="AC11" i="8"/>
  <c r="BQ11" i="8" s="1"/>
  <c r="B11" i="7"/>
  <c r="AE11" i="7" s="1"/>
  <c r="AF11" i="7" s="1"/>
  <c r="BI11" i="8"/>
  <c r="X11" i="8"/>
  <c r="DD11" i="8" s="1"/>
  <c r="A11" i="10"/>
  <c r="AA11" i="10" s="1"/>
  <c r="CK11" i="8"/>
  <c r="A11" i="11"/>
  <c r="N11" i="11" s="1"/>
  <c r="BT11" i="5"/>
  <c r="AI11" i="5"/>
  <c r="BH11" i="8"/>
  <c r="BU11" i="8" s="1"/>
  <c r="BW11" i="8"/>
  <c r="AJ11" i="5"/>
  <c r="AP11" i="5" s="1"/>
  <c r="E11" i="1"/>
  <c r="F12" i="5"/>
  <c r="BU13" i="5"/>
  <c r="B13" i="2"/>
  <c r="AH13" i="5"/>
  <c r="B13" i="1"/>
  <c r="BG13" i="1" s="1"/>
  <c r="BZ15" i="11"/>
  <c r="K14" i="10"/>
  <c r="AA14" i="7"/>
  <c r="AF14" i="8" s="1"/>
  <c r="AV14" i="8" s="1"/>
  <c r="L14" i="11"/>
  <c r="M14" i="5"/>
  <c r="H13" i="10"/>
  <c r="J13" i="7"/>
  <c r="K14" i="5"/>
  <c r="F13" i="10"/>
  <c r="H13" i="7"/>
  <c r="DD13" i="5"/>
  <c r="D13" i="7"/>
  <c r="B13" i="10"/>
  <c r="G14" i="5"/>
  <c r="L14" i="5"/>
  <c r="G13" i="10"/>
  <c r="I13" i="7"/>
  <c r="H14" i="5"/>
  <c r="C13" i="10"/>
  <c r="E13" i="7"/>
  <c r="I14" i="5"/>
  <c r="D13" i="10"/>
  <c r="F13" i="7"/>
  <c r="B13" i="5"/>
  <c r="J14" i="5"/>
  <c r="DC14" i="5" s="1"/>
  <c r="E13" i="10"/>
  <c r="G13" i="7"/>
  <c r="CS8" i="8"/>
  <c r="CU9" i="8"/>
  <c r="DB9" i="8"/>
  <c r="CY8" i="8"/>
  <c r="CG16" i="8"/>
  <c r="CE9" i="8"/>
  <c r="AH22" i="9"/>
  <c r="AQ9" i="5"/>
  <c r="CZ13" i="5"/>
  <c r="AB13" i="1"/>
  <c r="DI13" i="5"/>
  <c r="C13" i="5"/>
  <c r="DA12" i="5"/>
  <c r="DG12" i="5" s="1" a="1"/>
  <c r="DG12" i="5" s="1"/>
  <c r="AH7" i="5"/>
  <c r="BU7" i="5"/>
  <c r="AG22" i="9"/>
  <c r="AK22" i="9"/>
  <c r="AE84" i="9"/>
  <c r="B7" i="2"/>
  <c r="B7" i="1"/>
  <c r="BG7" i="1" s="1"/>
  <c r="B6" i="14"/>
  <c r="S15" i="2"/>
  <c r="P16" i="2"/>
  <c r="N16" i="2"/>
  <c r="R16" i="2"/>
  <c r="Q15" i="2"/>
  <c r="M16" i="2"/>
  <c r="J17" i="10"/>
  <c r="N17" i="5" s="1"/>
  <c r="D15" i="12"/>
  <c r="F14" i="12"/>
  <c r="E14" i="12" s="1"/>
  <c r="AZ16" i="5" l="1" a="1"/>
  <c r="AZ16" i="5" s="1"/>
  <c r="BK16" i="11" s="1"/>
  <c r="BK15" i="11"/>
  <c r="AI15" i="11" s="1"/>
  <c r="AN23" i="9"/>
  <c r="BK24" i="11" s="1"/>
  <c r="CX9" i="8"/>
  <c r="CY9" i="8" s="1"/>
  <c r="CV10" i="8"/>
  <c r="CW10" i="8" s="1"/>
  <c r="AS10" i="8"/>
  <c r="AQ38" i="9"/>
  <c r="CM38" i="8" s="1"/>
  <c r="AO11" i="5"/>
  <c r="AM11" i="5"/>
  <c r="AN11" i="5"/>
  <c r="AR11" i="5" s="1"/>
  <c r="J14" i="2"/>
  <c r="BF15" i="5" a="1"/>
  <c r="BF15" i="5" s="1"/>
  <c r="BF16" i="5" s="1" a="1"/>
  <c r="BF16" i="5" s="1"/>
  <c r="AE15" i="1" s="1"/>
  <c r="AV12" i="5"/>
  <c r="AW12" i="5"/>
  <c r="E18" i="8"/>
  <c r="AG11" i="7"/>
  <c r="AG10" i="7"/>
  <c r="AI10" i="7" s="1"/>
  <c r="CL12" i="8"/>
  <c r="BY11" i="8"/>
  <c r="CQ11" i="8" s="1"/>
  <c r="AC11" i="1"/>
  <c r="AI33" i="9"/>
  <c r="AO33" i="8" s="1"/>
  <c r="G17" i="8"/>
  <c r="CF16" i="8"/>
  <c r="O16" i="2"/>
  <c r="AM23" i="9"/>
  <c r="K23" i="8" s="1"/>
  <c r="BR11" i="8"/>
  <c r="BS11" i="8"/>
  <c r="AD14" i="1"/>
  <c r="CV16" i="5"/>
  <c r="CT16" i="5"/>
  <c r="CS16" i="5"/>
  <c r="CR16" i="5"/>
  <c r="CU16" i="5"/>
  <c r="CW16" i="5"/>
  <c r="CQ16" i="5"/>
  <c r="V14" i="2"/>
  <c r="CI11" i="8"/>
  <c r="DA11" i="8" s="1"/>
  <c r="F19" i="8"/>
  <c r="CU10" i="8"/>
  <c r="BP15" i="5" a="1"/>
  <c r="BP15" i="5" s="1"/>
  <c r="BP16" i="5" s="1" a="1"/>
  <c r="BP16" i="5" s="1"/>
  <c r="DH12" i="8"/>
  <c r="DI12" i="8" s="1"/>
  <c r="O20" i="1"/>
  <c r="BT11" i="8"/>
  <c r="BO11" i="8"/>
  <c r="BP11" i="8"/>
  <c r="BM11" i="8"/>
  <c r="BN11" i="8"/>
  <c r="BK11" i="8"/>
  <c r="BL11" i="8"/>
  <c r="BJ11" i="8"/>
  <c r="AC11" i="10"/>
  <c r="X11" i="10" s="1"/>
  <c r="AS15" i="5"/>
  <c r="DB10" i="8"/>
  <c r="AH15" i="11"/>
  <c r="DF14" i="5"/>
  <c r="DB14" i="5"/>
  <c r="AM15" i="1"/>
  <c r="AK15" i="11"/>
  <c r="AF13" i="1"/>
  <c r="Y13" i="1"/>
  <c r="DJ14" i="5"/>
  <c r="AU16" i="8"/>
  <c r="AE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W13" i="1"/>
  <c r="K17" i="11"/>
  <c r="A17" i="14"/>
  <c r="CA17" i="14" s="1"/>
  <c r="A17" i="8"/>
  <c r="A17" i="2"/>
  <c r="A17" i="9"/>
  <c r="A17" i="7"/>
  <c r="R17" i="7" s="1"/>
  <c r="A17" i="5"/>
  <c r="CD10" i="8"/>
  <c r="P10" i="8" s="1"/>
  <c r="AQ10" i="5"/>
  <c r="AC10" i="11"/>
  <c r="U10" i="8" s="1"/>
  <c r="N11" i="7"/>
  <c r="Q11" i="7"/>
  <c r="AA10" i="11"/>
  <c r="AK10" i="1" s="1"/>
  <c r="BZ11" i="8"/>
  <c r="CR11" i="8" s="1"/>
  <c r="AD10" i="11"/>
  <c r="AI10" i="1" s="1"/>
  <c r="AB10" i="11"/>
  <c r="Q10" i="8" s="1"/>
  <c r="CA11" i="8"/>
  <c r="Y10" i="11"/>
  <c r="AH10" i="1" s="1"/>
  <c r="CH11" i="8"/>
  <c r="CZ11" i="8" s="1"/>
  <c r="CC11" i="8"/>
  <c r="Z10" i="11"/>
  <c r="CB11" i="8"/>
  <c r="CT11" i="8" s="1"/>
  <c r="BX11" i="8"/>
  <c r="CE11" i="8" s="1"/>
  <c r="CX11" i="8" s="1"/>
  <c r="D12" i="9"/>
  <c r="AC12" i="8"/>
  <c r="BQ12" i="8" s="1"/>
  <c r="E12" i="1"/>
  <c r="B12" i="7"/>
  <c r="Q12" i="7" s="1"/>
  <c r="A12" i="10"/>
  <c r="AA12" i="10" s="1"/>
  <c r="AI12" i="5"/>
  <c r="A12" i="11"/>
  <c r="N12" i="11" s="1"/>
  <c r="X12" i="8"/>
  <c r="DD12" i="8" s="1"/>
  <c r="CK12" i="8"/>
  <c r="BT12" i="5"/>
  <c r="AJ12" i="5"/>
  <c r="AP12" i="5" s="1"/>
  <c r="B12" i="9"/>
  <c r="Y12" i="9" s="1"/>
  <c r="BI12" i="8"/>
  <c r="BW12" i="8"/>
  <c r="BH12" i="8"/>
  <c r="BU12" i="8" s="1"/>
  <c r="B14" i="1"/>
  <c r="BG14" i="1" s="1"/>
  <c r="BU14" i="5"/>
  <c r="B14" i="2"/>
  <c r="AH14" i="5"/>
  <c r="BZ16" i="11"/>
  <c r="AA15" i="7"/>
  <c r="AF15" i="8" s="1"/>
  <c r="AV15" i="8" s="1"/>
  <c r="K15" i="10"/>
  <c r="L15" i="11"/>
  <c r="L15" i="5"/>
  <c r="G14" i="10"/>
  <c r="I14" i="7"/>
  <c r="H15" i="5"/>
  <c r="C14" i="10"/>
  <c r="E14" i="7"/>
  <c r="K15" i="5"/>
  <c r="F14" i="10"/>
  <c r="H14" i="7"/>
  <c r="DD14" i="5"/>
  <c r="DE14" i="5"/>
  <c r="B14" i="5"/>
  <c r="J15" i="5"/>
  <c r="DC15" i="5" s="1"/>
  <c r="E14" i="10"/>
  <c r="G14" i="7"/>
  <c r="F13" i="5"/>
  <c r="D14" i="7"/>
  <c r="B14" i="10"/>
  <c r="G15" i="5"/>
  <c r="I15" i="5"/>
  <c r="D14" i="10"/>
  <c r="F14" i="7"/>
  <c r="M15" i="5"/>
  <c r="H14" i="10"/>
  <c r="J14" i="7"/>
  <c r="DF8" i="8"/>
  <c r="G8" i="1" s="1"/>
  <c r="N8" i="8" s="1"/>
  <c r="CS9" i="8"/>
  <c r="CG17" i="8"/>
  <c r="AH23" i="9"/>
  <c r="CZ14" i="5"/>
  <c r="DA13" i="5"/>
  <c r="DG13" i="5" s="1" a="1"/>
  <c r="DG13" i="5" s="1"/>
  <c r="AB14" i="1"/>
  <c r="DI14" i="5"/>
  <c r="AG23" i="9"/>
  <c r="AK23" i="9"/>
  <c r="AE85" i="9"/>
  <c r="B7" i="14"/>
  <c r="S16" i="2"/>
  <c r="P17" i="2"/>
  <c r="N17" i="2"/>
  <c r="R17" i="2"/>
  <c r="Q16" i="2"/>
  <c r="M17" i="2"/>
  <c r="F15" i="12"/>
  <c r="E15" i="12" s="1"/>
  <c r="D16" i="12"/>
  <c r="J18" i="10"/>
  <c r="N18" i="5" s="1"/>
  <c r="AI16" i="11" l="1"/>
  <c r="AN24" i="9"/>
  <c r="BK25" i="11" s="1"/>
  <c r="DF9" i="8"/>
  <c r="G9" i="1" s="1"/>
  <c r="N9" i="8" s="1"/>
  <c r="CV11" i="8"/>
  <c r="CW11" i="8" s="1"/>
  <c r="CU11" i="8"/>
  <c r="AS11" i="8"/>
  <c r="AQ39" i="9"/>
  <c r="CM39" i="8" s="1"/>
  <c r="AO12" i="5"/>
  <c r="AM12" i="5"/>
  <c r="AN12" i="5"/>
  <c r="AR12" i="5" s="1"/>
  <c r="AE14" i="1"/>
  <c r="W14" i="1" s="1"/>
  <c r="AV13" i="5"/>
  <c r="AW13" i="5"/>
  <c r="AI11" i="7"/>
  <c r="E19" i="8"/>
  <c r="J15" i="2"/>
  <c r="CL13" i="8"/>
  <c r="CH12" i="8"/>
  <c r="CZ12" i="8" s="1"/>
  <c r="AC12" i="1"/>
  <c r="AI34" i="9"/>
  <c r="AO34" i="8" s="1"/>
  <c r="G18" i="8"/>
  <c r="CF17" i="8"/>
  <c r="O17" i="2"/>
  <c r="AM24" i="9"/>
  <c r="K24" i="8" s="1"/>
  <c r="BR12" i="8"/>
  <c r="BS12" i="8"/>
  <c r="AD15" i="1"/>
  <c r="CT17" i="5"/>
  <c r="CR17" i="5"/>
  <c r="CU17" i="5"/>
  <c r="CV17" i="5"/>
  <c r="CW17" i="5"/>
  <c r="CQ17" i="5"/>
  <c r="CS17" i="5"/>
  <c r="AY17" i="5" a="1"/>
  <c r="AY17" i="5" s="1"/>
  <c r="BL17" i="5" a="1"/>
  <c r="BL17" i="5" s="1"/>
  <c r="AZ17" i="5" a="1"/>
  <c r="AZ17" i="5" s="1"/>
  <c r="BK17" i="11" s="1"/>
  <c r="BM17" i="5" a="1"/>
  <c r="BM17" i="5" s="1"/>
  <c r="BQ17" i="5" a="1"/>
  <c r="BQ17" i="5" s="1"/>
  <c r="BO17" i="5" a="1"/>
  <c r="BO17" i="5" s="1"/>
  <c r="BC17" i="5" a="1"/>
  <c r="BC17" i="5" s="1"/>
  <c r="BG17" i="5" a="1"/>
  <c r="BG17" i="5" s="1"/>
  <c r="BD17" i="5" a="1"/>
  <c r="BD17" i="5" s="1"/>
  <c r="BB17" i="5" a="1"/>
  <c r="BB17" i="5" s="1"/>
  <c r="BJ17" i="5" a="1"/>
  <c r="BJ17" i="5" s="1"/>
  <c r="BF17" i="5" a="1"/>
  <c r="BF17" i="5" s="1"/>
  <c r="AE16" i="1" s="1"/>
  <c r="BH17" i="5" a="1"/>
  <c r="BH17" i="5" s="1"/>
  <c r="BN17" i="5" a="1"/>
  <c r="BN17" i="5" s="1"/>
  <c r="BE17" i="5" a="1"/>
  <c r="BE17" i="5" s="1"/>
  <c r="BA17" i="5" a="1"/>
  <c r="BA17" i="5" s="1"/>
  <c r="BK17" i="5" a="1"/>
  <c r="BK17" i="5" s="1"/>
  <c r="BI17" i="5" a="1"/>
  <c r="BI17" i="5" s="1"/>
  <c r="DB11" i="8"/>
  <c r="V15" i="2"/>
  <c r="CI12" i="8"/>
  <c r="DA12" i="8" s="1"/>
  <c r="CS10" i="8"/>
  <c r="CY10" i="8"/>
  <c r="F20" i="8"/>
  <c r="J16" i="2"/>
  <c r="B13" i="9"/>
  <c r="Y13" i="9" s="1"/>
  <c r="O21" i="1"/>
  <c r="BX12" i="8"/>
  <c r="CD12" i="8" s="1"/>
  <c r="BT12" i="8"/>
  <c r="BO12" i="8"/>
  <c r="BP12" i="8"/>
  <c r="BM12" i="8"/>
  <c r="BN12" i="8"/>
  <c r="BK12" i="8"/>
  <c r="BL12" i="8"/>
  <c r="BJ12" i="8"/>
  <c r="AC12" i="10"/>
  <c r="X12" i="10" s="1"/>
  <c r="AT16" i="5"/>
  <c r="AS16" i="5"/>
  <c r="AH16" i="11"/>
  <c r="DF15" i="5"/>
  <c r="DE15" i="5"/>
  <c r="AK16" i="11"/>
  <c r="K18" i="11"/>
  <c r="A18" i="14"/>
  <c r="CA18" i="14" s="1"/>
  <c r="A18" i="8"/>
  <c r="A18" i="7"/>
  <c r="R18" i="7" s="1"/>
  <c r="A18" i="9"/>
  <c r="A18" i="2"/>
  <c r="A18" i="5"/>
  <c r="AJ16" i="1"/>
  <c r="Y14" i="1"/>
  <c r="DJ15" i="5"/>
  <c r="AU17" i="8"/>
  <c r="AE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H17" i="1"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D13" i="9"/>
  <c r="CS11" i="8"/>
  <c r="CD11" i="8"/>
  <c r="P11" i="8" s="1"/>
  <c r="AQ11" i="5"/>
  <c r="AE12" i="7"/>
  <c r="AF12" i="7" s="1"/>
  <c r="BY12" i="8"/>
  <c r="CQ12" i="8" s="1"/>
  <c r="AB11" i="11"/>
  <c r="Q11" i="8" s="1"/>
  <c r="AC11" i="11"/>
  <c r="U11" i="8" s="1"/>
  <c r="Z11" i="11"/>
  <c r="Y11" i="11"/>
  <c r="AH11" i="1" s="1"/>
  <c r="N12" i="7"/>
  <c r="AD11" i="11"/>
  <c r="AI11" i="1" s="1"/>
  <c r="CB12" i="8"/>
  <c r="CT12" i="8" s="1"/>
  <c r="AA11" i="11"/>
  <c r="AK11" i="1" s="1"/>
  <c r="BZ12" i="8"/>
  <c r="CR12" i="8" s="1"/>
  <c r="CA12" i="8"/>
  <c r="CC12" i="8"/>
  <c r="A13" i="11"/>
  <c r="AA12" i="11" s="1"/>
  <c r="AK12" i="1" s="1"/>
  <c r="X13" i="8"/>
  <c r="DD13" i="8" s="1"/>
  <c r="A13" i="10"/>
  <c r="AA13" i="10" s="1"/>
  <c r="AC13" i="8"/>
  <c r="BQ13" i="8" s="1"/>
  <c r="AJ13" i="5"/>
  <c r="AP13" i="5" s="1"/>
  <c r="BH13" i="8"/>
  <c r="BU13" i="8" s="1"/>
  <c r="B13" i="7"/>
  <c r="Q13" i="7" s="1"/>
  <c r="E13" i="1"/>
  <c r="BI13" i="8"/>
  <c r="BW13" i="8"/>
  <c r="BT13" i="5"/>
  <c r="AI13" i="5"/>
  <c r="B15" i="5"/>
  <c r="DH13" i="8"/>
  <c r="DI13" i="8" s="1"/>
  <c r="CK13" i="8"/>
  <c r="BU15" i="5"/>
  <c r="AH15" i="5"/>
  <c r="B15" i="2"/>
  <c r="B15" i="1"/>
  <c r="BG15" i="1" s="1"/>
  <c r="BZ17" i="11"/>
  <c r="AA16" i="7"/>
  <c r="AF16" i="8" s="1"/>
  <c r="AV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G18" i="8"/>
  <c r="AH24" i="9"/>
  <c r="C14" i="5"/>
  <c r="F14" i="5" s="1"/>
  <c r="CZ15" i="5"/>
  <c r="AB15" i="1"/>
  <c r="DI15" i="5"/>
  <c r="C15" i="5"/>
  <c r="DA14" i="5"/>
  <c r="DG14" i="5" s="1" a="1"/>
  <c r="DG14" i="5" s="1"/>
  <c r="AG24" i="9"/>
  <c r="AK24" i="9"/>
  <c r="AE86" i="9"/>
  <c r="B8" i="14"/>
  <c r="S17" i="2"/>
  <c r="P18" i="2"/>
  <c r="N18" i="2"/>
  <c r="R18" i="2"/>
  <c r="Q17" i="2"/>
  <c r="M18" i="2"/>
  <c r="F16" i="12"/>
  <c r="E16" i="12" s="1"/>
  <c r="D17" i="12"/>
  <c r="F17" i="12" s="1"/>
  <c r="E17" i="12" s="1"/>
  <c r="J19" i="10"/>
  <c r="N19" i="5" s="1"/>
  <c r="P12" i="8" l="1"/>
  <c r="AI17" i="11"/>
  <c r="AN25" i="9"/>
  <c r="BK26" i="11" s="1"/>
  <c r="CV12" i="8"/>
  <c r="CW12" i="8" s="1"/>
  <c r="AS12" i="8"/>
  <c r="AQ40" i="9"/>
  <c r="CM40" i="8" s="1"/>
  <c r="AO13" i="5"/>
  <c r="AM13" i="5"/>
  <c r="AN13" i="5"/>
  <c r="AR13" i="5" s="1"/>
  <c r="AV14" i="5"/>
  <c r="AW14" i="5"/>
  <c r="E20" i="8"/>
  <c r="AG12" i="7"/>
  <c r="AI12" i="7" s="1"/>
  <c r="CL14" i="8"/>
  <c r="DB12" i="8"/>
  <c r="CB13" i="8"/>
  <c r="CT13" i="8" s="1"/>
  <c r="AC13" i="1"/>
  <c r="AI35" i="9"/>
  <c r="AO35" i="8" s="1"/>
  <c r="G19" i="8"/>
  <c r="CF18" i="8"/>
  <c r="O18" i="2"/>
  <c r="BK18" i="5" a="1"/>
  <c r="BK18" i="5" s="1"/>
  <c r="BH18" i="5" a="1"/>
  <c r="BH18" i="5" s="1"/>
  <c r="BD18" i="5" a="1"/>
  <c r="BD18" i="5" s="1"/>
  <c r="BQ18" i="5" a="1"/>
  <c r="BQ18" i="5" s="1"/>
  <c r="BA18" i="5" a="1"/>
  <c r="BA18" i="5" s="1"/>
  <c r="BG18" i="5" a="1"/>
  <c r="BG18" i="5" s="1"/>
  <c r="BC18" i="5" a="1"/>
  <c r="BC18" i="5" s="1"/>
  <c r="BI18" i="5" a="1"/>
  <c r="BI18" i="5" s="1"/>
  <c r="BO18" i="5" a="1"/>
  <c r="BO18" i="5" s="1"/>
  <c r="AM25" i="9"/>
  <c r="K25" i="8" s="1"/>
  <c r="BR13" i="8"/>
  <c r="BS13" i="8"/>
  <c r="AD16" i="1"/>
  <c r="BM18" i="5" a="1"/>
  <c r="BM18" i="5" s="1"/>
  <c r="AZ18" i="5" a="1"/>
  <c r="AZ18" i="5" s="1"/>
  <c r="BK18" i="11" s="1"/>
  <c r="AI18" i="11" s="1"/>
  <c r="BE18" i="5" a="1"/>
  <c r="BE18" i="5" s="1"/>
  <c r="BN18" i="5" a="1"/>
  <c r="BN18" i="5" s="1"/>
  <c r="CW18" i="5"/>
  <c r="CV18" i="5"/>
  <c r="CT18" i="5"/>
  <c r="CR18" i="5"/>
  <c r="CQ18" i="5"/>
  <c r="CS18" i="5"/>
  <c r="CU18" i="5"/>
  <c r="AY18" i="5" a="1"/>
  <c r="AY18" i="5" s="1"/>
  <c r="BL18" i="5" a="1"/>
  <c r="BL18" i="5" s="1"/>
  <c r="BF18" i="5" a="1"/>
  <c r="BF18" i="5" s="1"/>
  <c r="AE17" i="1" s="1"/>
  <c r="BJ18" i="5" a="1"/>
  <c r="BJ18" i="5" s="1"/>
  <c r="BB18" i="5" a="1"/>
  <c r="BB18" i="5" s="1"/>
  <c r="V16" i="2"/>
  <c r="DF10" i="8"/>
  <c r="G10" i="1" s="1"/>
  <c r="N10" i="8" s="1"/>
  <c r="CU12" i="8"/>
  <c r="F21" i="8"/>
  <c r="BP17" i="5" a="1"/>
  <c r="BP17" i="5" s="1"/>
  <c r="J17" i="2" s="1"/>
  <c r="O22" i="1"/>
  <c r="CE12" i="8"/>
  <c r="BT13" i="8"/>
  <c r="BO13" i="8"/>
  <c r="BP13" i="8"/>
  <c r="BM13" i="8"/>
  <c r="BN13" i="8"/>
  <c r="BK13" i="8"/>
  <c r="BL13" i="8"/>
  <c r="BJ13" i="8"/>
  <c r="AC13" i="10"/>
  <c r="X13" i="10" s="1"/>
  <c r="AS17" i="5"/>
  <c r="AH17" i="11"/>
  <c r="DF16" i="5"/>
  <c r="DE16" i="5"/>
  <c r="AJ17" i="1"/>
  <c r="AK17" i="11"/>
  <c r="AF15" i="1"/>
  <c r="DH16" i="5"/>
  <c r="AU18" i="8"/>
  <c r="AE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BH18" i="1"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CA19" i="14" s="1"/>
  <c r="A19" i="7"/>
  <c r="R19" i="7" s="1"/>
  <c r="A19" i="9"/>
  <c r="A19" i="2"/>
  <c r="A19" i="8"/>
  <c r="A19" i="5"/>
  <c r="W15" i="1"/>
  <c r="CY11" i="8"/>
  <c r="DF11" i="8" s="1"/>
  <c r="G11" i="1" s="1"/>
  <c r="N11" i="8" s="1"/>
  <c r="AB12" i="11"/>
  <c r="Q12" i="8" s="1"/>
  <c r="AQ12" i="5"/>
  <c r="Y12" i="11"/>
  <c r="AH12" i="1" s="1"/>
  <c r="AD12" i="11"/>
  <c r="AI12" i="1" s="1"/>
  <c r="AC12" i="11"/>
  <c r="U12" i="8" s="1"/>
  <c r="BY13" i="8"/>
  <c r="CQ13" i="8" s="1"/>
  <c r="N13" i="7"/>
  <c r="Z12" i="11"/>
  <c r="N13" i="11"/>
  <c r="D14" i="9"/>
  <c r="CC13" i="8"/>
  <c r="BX13" i="8"/>
  <c r="CE13" i="8" s="1"/>
  <c r="CX13" i="8" s="1"/>
  <c r="CH13" i="8"/>
  <c r="CZ13" i="8" s="1"/>
  <c r="CA13" i="8"/>
  <c r="BZ13" i="8"/>
  <c r="CR13" i="8" s="1"/>
  <c r="AE13" i="7"/>
  <c r="AF13" i="7" s="1"/>
  <c r="CI13" i="8"/>
  <c r="DA13" i="8" s="1"/>
  <c r="F15" i="5"/>
  <c r="B16" i="5"/>
  <c r="B16" i="2"/>
  <c r="AH16" i="5"/>
  <c r="BU16" i="5"/>
  <c r="B16" i="1"/>
  <c r="BG16" i="1" s="1"/>
  <c r="DB16" i="5"/>
  <c r="BZ18" i="11"/>
  <c r="AA17" i="7"/>
  <c r="AF17" i="8" s="1"/>
  <c r="AV17" i="8" s="1"/>
  <c r="K17" i="10"/>
  <c r="L17" i="11"/>
  <c r="L17" i="5"/>
  <c r="G16" i="10"/>
  <c r="I16" i="7"/>
  <c r="D16" i="7"/>
  <c r="B16" i="10"/>
  <c r="G17" i="5"/>
  <c r="M17" i="5"/>
  <c r="H16" i="10"/>
  <c r="J16" i="7"/>
  <c r="H17" i="5"/>
  <c r="C16" i="10"/>
  <c r="E16" i="7"/>
  <c r="K17" i="5"/>
  <c r="F16" i="10"/>
  <c r="H16" i="7"/>
  <c r="DD16" i="5"/>
  <c r="J17" i="5"/>
  <c r="DC17" i="5" s="1"/>
  <c r="E16" i="10"/>
  <c r="G16" i="7"/>
  <c r="I17" i="5"/>
  <c r="D16" i="10"/>
  <c r="F16" i="7"/>
  <c r="DH14" i="8"/>
  <c r="DI14" i="8" s="1"/>
  <c r="CK14" i="8"/>
  <c r="CG19" i="8"/>
  <c r="BW14" i="8"/>
  <c r="AC14" i="1" s="1"/>
  <c r="BI14" i="8"/>
  <c r="AJ14" i="5"/>
  <c r="AP14" i="5" s="1"/>
  <c r="BH14" i="8"/>
  <c r="BU14" i="8" s="1"/>
  <c r="AH25" i="9"/>
  <c r="AI14" i="5"/>
  <c r="B14" i="9"/>
  <c r="Y14" i="9" s="1"/>
  <c r="AC14" i="8"/>
  <c r="BQ14" i="8" s="1"/>
  <c r="E14" i="1"/>
  <c r="A14" i="10"/>
  <c r="AA14" i="10" s="1"/>
  <c r="BT14" i="5"/>
  <c r="A14" i="11"/>
  <c r="B14" i="7"/>
  <c r="X14" i="8"/>
  <c r="DD14" i="8" s="1"/>
  <c r="CZ16" i="5"/>
  <c r="DA15" i="5"/>
  <c r="DG15" i="5" s="1" a="1"/>
  <c r="DG15" i="5" s="1"/>
  <c r="DI16" i="5"/>
  <c r="AB16" i="1"/>
  <c r="AG25" i="9"/>
  <c r="AK25" i="9"/>
  <c r="AE87" i="9"/>
  <c r="B9" i="14"/>
  <c r="S18" i="2"/>
  <c r="P19" i="2"/>
  <c r="N19" i="2"/>
  <c r="R19" i="2"/>
  <c r="Q18" i="2"/>
  <c r="M19" i="2"/>
  <c r="J20" i="10"/>
  <c r="N20" i="5" s="1"/>
  <c r="AN26" i="9" l="1"/>
  <c r="BK27" i="11" s="1"/>
  <c r="CX12" i="8"/>
  <c r="CY12" i="8" s="1"/>
  <c r="CV13" i="8"/>
  <c r="CW13" i="8" s="1"/>
  <c r="AS13" i="8"/>
  <c r="AQ41" i="9"/>
  <c r="CM41" i="8" s="1"/>
  <c r="AO14" i="5"/>
  <c r="AM14" i="5"/>
  <c r="AN14" i="5"/>
  <c r="AR14" i="5" s="1"/>
  <c r="AV15" i="5"/>
  <c r="AW15" i="5"/>
  <c r="AG13" i="7"/>
  <c r="AI13" i="7" s="1"/>
  <c r="CL15" i="8"/>
  <c r="AI36" i="9"/>
  <c r="AO36" i="8" s="1"/>
  <c r="G20" i="8"/>
  <c r="CF19" i="8"/>
  <c r="O19" i="2"/>
  <c r="BO19" i="5" a="1"/>
  <c r="BO19" i="5" s="1"/>
  <c r="AM26" i="9"/>
  <c r="K26" i="8" s="1"/>
  <c r="BR14" i="8"/>
  <c r="BS14" i="8"/>
  <c r="BH19" i="5" a="1"/>
  <c r="BH19" i="5" s="1"/>
  <c r="BN19" i="5" a="1"/>
  <c r="BN19" i="5" s="1"/>
  <c r="CS19" i="5"/>
  <c r="CV19" i="5"/>
  <c r="CQ19" i="5"/>
  <c r="CW19" i="5"/>
  <c r="CT19" i="5"/>
  <c r="CR19" i="5"/>
  <c r="CU19" i="5"/>
  <c r="BL19" i="5" a="1"/>
  <c r="BL19" i="5" s="1"/>
  <c r="AY19" i="5" a="1"/>
  <c r="AY19" i="5" s="1"/>
  <c r="BB19" i="5" a="1"/>
  <c r="BB19" i="5" s="1"/>
  <c r="BE19" i="5" a="1"/>
  <c r="BE19" i="5" s="1"/>
  <c r="BJ19" i="5" a="1"/>
  <c r="BJ19" i="5" s="1"/>
  <c r="BA19" i="5" a="1"/>
  <c r="BA19" i="5" s="1"/>
  <c r="AD17" i="1"/>
  <c r="BK19" i="5" a="1"/>
  <c r="BK19" i="5" s="1"/>
  <c r="BF19" i="5" a="1"/>
  <c r="BF19" i="5" s="1"/>
  <c r="AE18" i="1" s="1"/>
  <c r="AZ19" i="5" a="1"/>
  <c r="AZ19" i="5" s="1"/>
  <c r="BK19" i="11" s="1"/>
  <c r="AI19" i="11" s="1"/>
  <c r="AI20" i="11" s="1"/>
  <c r="AI21" i="11" s="1"/>
  <c r="AI22" i="11" s="1"/>
  <c r="AI23" i="11" s="1"/>
  <c r="AI24" i="11" s="1"/>
  <c r="AI25" i="11" s="1"/>
  <c r="AI26" i="11" s="1"/>
  <c r="BI19" i="5" a="1"/>
  <c r="BI19" i="5" s="1"/>
  <c r="BG19" i="5" a="1"/>
  <c r="BG19" i="5" s="1"/>
  <c r="BM19" i="5" a="1"/>
  <c r="BM19" i="5" s="1"/>
  <c r="BQ19" i="5" a="1"/>
  <c r="BQ19" i="5" s="1"/>
  <c r="BD19" i="5" a="1"/>
  <c r="BD19" i="5" s="1"/>
  <c r="BC19" i="5" a="1"/>
  <c r="BC19" i="5" s="1"/>
  <c r="V17" i="2"/>
  <c r="CS12" i="8"/>
  <c r="CU13" i="8"/>
  <c r="F22" i="8"/>
  <c r="BP18" i="5" a="1"/>
  <c r="BP18" i="5" s="1"/>
  <c r="J18" i="2" s="1"/>
  <c r="BH15" i="8"/>
  <c r="BU15" i="8" s="1"/>
  <c r="O23" i="1"/>
  <c r="BT14" i="8"/>
  <c r="BO14" i="8"/>
  <c r="BP14" i="8"/>
  <c r="BM14" i="8"/>
  <c r="BN14" i="8"/>
  <c r="BK14" i="8"/>
  <c r="BL14" i="8"/>
  <c r="BJ14" i="8"/>
  <c r="AC14" i="10"/>
  <c r="X14" i="10" s="1"/>
  <c r="AS18" i="5"/>
  <c r="AH18" i="11"/>
  <c r="DF17" i="5"/>
  <c r="AJ18" i="1"/>
  <c r="DE17" i="5"/>
  <c r="AM18" i="1"/>
  <c r="W16" i="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BH19" i="1"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U19" i="8"/>
  <c r="AE19" i="8"/>
  <c r="Y16" i="1"/>
  <c r="DJ17" i="5"/>
  <c r="K20" i="11"/>
  <c r="A20" i="14"/>
  <c r="CA20" i="14" s="1"/>
  <c r="A20" i="7"/>
  <c r="R20" i="7" s="1"/>
  <c r="A20" i="5"/>
  <c r="A20" i="8"/>
  <c r="A20" i="9"/>
  <c r="A20" i="2"/>
  <c r="AK18" i="11"/>
  <c r="AF16" i="1"/>
  <c r="B13" i="14"/>
  <c r="AQ13" i="5"/>
  <c r="B15" i="9"/>
  <c r="Y15" i="9" s="1"/>
  <c r="DB13" i="8"/>
  <c r="DH15" i="8"/>
  <c r="DI15" i="8" s="1"/>
  <c r="CD13" i="8"/>
  <c r="P13" i="8" s="1"/>
  <c r="D15" i="9"/>
  <c r="X15" i="8"/>
  <c r="DD15" i="8" s="1"/>
  <c r="AC15" i="8"/>
  <c r="BQ15" i="8" s="1"/>
  <c r="AJ15" i="5"/>
  <c r="AP15" i="5" s="1"/>
  <c r="B15" i="7"/>
  <c r="Q15" i="7" s="1"/>
  <c r="A15" i="10"/>
  <c r="AA15" i="10" s="1"/>
  <c r="CK15" i="8"/>
  <c r="BT15" i="5"/>
  <c r="AI15" i="5"/>
  <c r="BI15" i="8"/>
  <c r="BW15" i="8"/>
  <c r="A15" i="11"/>
  <c r="N15" i="11" s="1"/>
  <c r="E15" i="1"/>
  <c r="BZ19" i="11"/>
  <c r="AA18" i="7"/>
  <c r="AF18" i="8" s="1"/>
  <c r="AV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X14" i="8"/>
  <c r="CD14" i="8" s="1"/>
  <c r="CI14" i="8"/>
  <c r="DA14" i="8" s="1"/>
  <c r="CG20" i="8"/>
  <c r="N14" i="7"/>
  <c r="AH26" i="9"/>
  <c r="CB14" i="8"/>
  <c r="CT14" i="8" s="1"/>
  <c r="BY14" i="8"/>
  <c r="CQ14" i="8" s="1"/>
  <c r="CA14" i="8"/>
  <c r="BZ14" i="8"/>
  <c r="CR14" i="8" s="1"/>
  <c r="CH14" i="8"/>
  <c r="CZ14" i="8" s="1"/>
  <c r="CC14" i="8"/>
  <c r="AE14" i="7"/>
  <c r="AF14" i="7" s="1"/>
  <c r="Q14" i="7"/>
  <c r="AA13" i="11"/>
  <c r="AK13" i="1" s="1"/>
  <c r="N14" i="11"/>
  <c r="AD13" i="11"/>
  <c r="AI13" i="1" s="1"/>
  <c r="Z13" i="11"/>
  <c r="AB13" i="11"/>
  <c r="Q13" i="8" s="1"/>
  <c r="AC13" i="11"/>
  <c r="U13" i="8" s="1"/>
  <c r="Y13" i="11"/>
  <c r="AH13" i="1" s="1"/>
  <c r="CZ17" i="5"/>
  <c r="C16" i="5"/>
  <c r="F16" i="5" s="1"/>
  <c r="DI17" i="5"/>
  <c r="AB17" i="1"/>
  <c r="DA16" i="5"/>
  <c r="DG16" i="5" s="1" a="1"/>
  <c r="DG16" i="5" s="1"/>
  <c r="AG26" i="9"/>
  <c r="AK26" i="9"/>
  <c r="AE88" i="9"/>
  <c r="B10" i="14"/>
  <c r="S19" i="2"/>
  <c r="P20" i="2"/>
  <c r="N20" i="2"/>
  <c r="R20" i="2"/>
  <c r="Q19" i="2"/>
  <c r="M20" i="2"/>
  <c r="J21" i="10"/>
  <c r="N21" i="5" s="1"/>
  <c r="P14" i="8" l="1"/>
  <c r="AI27" i="11"/>
  <c r="AN27" i="9"/>
  <c r="BK28" i="11" s="1"/>
  <c r="DF12" i="8"/>
  <c r="G12" i="1" s="1"/>
  <c r="N12" i="8" s="1"/>
  <c r="CV14" i="8"/>
  <c r="CW14" i="8" s="1"/>
  <c r="AS14" i="8"/>
  <c r="AQ42" i="9"/>
  <c r="CM42" i="8" s="1"/>
  <c r="AO15" i="5"/>
  <c r="AM15" i="5"/>
  <c r="AN15" i="5"/>
  <c r="AR15" i="5" s="1"/>
  <c r="AV16" i="5"/>
  <c r="AW16" i="5"/>
  <c r="AG14" i="7"/>
  <c r="AI14" i="7" s="1"/>
  <c r="CL16" i="8"/>
  <c r="CH15" i="8"/>
  <c r="CZ15" i="8" s="1"/>
  <c r="AC15" i="1"/>
  <c r="AI37" i="9"/>
  <c r="AO37" i="8" s="1"/>
  <c r="G21" i="8"/>
  <c r="CF20" i="8"/>
  <c r="O20" i="2"/>
  <c r="BB20" i="5" a="1"/>
  <c r="BB20" i="5" s="1"/>
  <c r="BJ20" i="5" a="1"/>
  <c r="BJ20" i="5" s="1"/>
  <c r="AM27" i="9"/>
  <c r="K27" i="8" s="1"/>
  <c r="BR15" i="8"/>
  <c r="BS15" i="8"/>
  <c r="AD18" i="1"/>
  <c r="BE20" i="5" a="1"/>
  <c r="BE20" i="5" s="1"/>
  <c r="BC20" i="5" a="1"/>
  <c r="BC20" i="5" s="1"/>
  <c r="BD20" i="5" a="1"/>
  <c r="BD20" i="5" s="1"/>
  <c r="BQ20" i="5" a="1"/>
  <c r="BQ20" i="5" s="1"/>
  <c r="BM20" i="5" a="1"/>
  <c r="BM20" i="5" s="1"/>
  <c r="CR20" i="5"/>
  <c r="CW20" i="5"/>
  <c r="CV20" i="5"/>
  <c r="CQ20" i="5"/>
  <c r="CU20" i="5"/>
  <c r="CS20" i="5"/>
  <c r="CT20" i="5"/>
  <c r="BL20" i="5" a="1"/>
  <c r="BL20" i="5" s="1"/>
  <c r="AY20" i="5" a="1"/>
  <c r="AY20" i="5" s="1"/>
  <c r="BG20" i="5" a="1"/>
  <c r="BG20" i="5" s="1"/>
  <c r="BI20" i="5" a="1"/>
  <c r="BI20" i="5" s="1"/>
  <c r="AZ20" i="5" a="1"/>
  <c r="AZ20" i="5" s="1"/>
  <c r="BF20" i="5" a="1"/>
  <c r="BF20" i="5" s="1"/>
  <c r="AE19" i="1" s="1"/>
  <c r="BK20" i="5" a="1"/>
  <c r="BK20" i="5" s="1"/>
  <c r="BN20" i="5" a="1"/>
  <c r="BN20" i="5" s="1"/>
  <c r="BH20" i="5" a="1"/>
  <c r="BH20" i="5" s="1"/>
  <c r="BA20" i="5" a="1"/>
  <c r="BA20" i="5" s="1"/>
  <c r="BO20" i="5" a="1"/>
  <c r="BO20" i="5" s="1"/>
  <c r="V18" i="2"/>
  <c r="D16" i="9"/>
  <c r="CS13" i="8"/>
  <c r="BT15" i="8"/>
  <c r="F23" i="8"/>
  <c r="BX15" i="8"/>
  <c r="CD15" i="8" s="1"/>
  <c r="BP19" i="5" a="1"/>
  <c r="BP19" i="5" s="1"/>
  <c r="J19" i="2" s="1"/>
  <c r="O24" i="1"/>
  <c r="BO15" i="8"/>
  <c r="BP15" i="8"/>
  <c r="BM15" i="8"/>
  <c r="BN15" i="8"/>
  <c r="BK15" i="8"/>
  <c r="BL15" i="8"/>
  <c r="BJ15" i="8"/>
  <c r="AC15" i="10"/>
  <c r="X15" i="10" s="1"/>
  <c r="AS19" i="5"/>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H20" i="1"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U20" i="8"/>
  <c r="AE20" i="8"/>
  <c r="Y17" i="1"/>
  <c r="DJ18" i="5"/>
  <c r="W17" i="1"/>
  <c r="K21" i="11"/>
  <c r="A21" i="14"/>
  <c r="CA21" i="14" s="1"/>
  <c r="A21" i="9"/>
  <c r="A21" i="8"/>
  <c r="A21" i="5"/>
  <c r="A21" i="2"/>
  <c r="A21" i="7"/>
  <c r="R21" i="7" s="1"/>
  <c r="AC14" i="11"/>
  <c r="U14" i="8" s="1"/>
  <c r="Y14" i="11"/>
  <c r="AH14" i="1" s="1"/>
  <c r="BY15" i="8"/>
  <c r="CQ15" i="8" s="1"/>
  <c r="Z14" i="11"/>
  <c r="AB14" i="11"/>
  <c r="Q14" i="8" s="1"/>
  <c r="AD14" i="11"/>
  <c r="AI14" i="1" s="1"/>
  <c r="CI15" i="8"/>
  <c r="DA15" i="8" s="1"/>
  <c r="CC15" i="8"/>
  <c r="CA15" i="8"/>
  <c r="BZ15" i="8"/>
  <c r="CR15" i="8" s="1"/>
  <c r="N15" i="7"/>
  <c r="CY13" i="8"/>
  <c r="CB15" i="8"/>
  <c r="CT15" i="8" s="1"/>
  <c r="AA14" i="11"/>
  <c r="AK14" i="1" s="1"/>
  <c r="AE15" i="7"/>
  <c r="AF15" i="7" s="1"/>
  <c r="BU18" i="5"/>
  <c r="B18" i="2"/>
  <c r="B18" i="1"/>
  <c r="BG18" i="1" s="1"/>
  <c r="AH18" i="5"/>
  <c r="BZ20" i="11"/>
  <c r="AA19" i="7"/>
  <c r="AF19" i="8" s="1"/>
  <c r="AV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U14" i="8"/>
  <c r="CE14" i="8"/>
  <c r="DB14" i="8"/>
  <c r="DH16" i="8"/>
  <c r="DI16" i="8" s="1"/>
  <c r="CK16" i="8"/>
  <c r="BW16" i="8"/>
  <c r="AC16" i="1" s="1"/>
  <c r="BH16" i="8"/>
  <c r="BU16" i="8" s="1"/>
  <c r="BI16" i="8"/>
  <c r="AH27" i="9"/>
  <c r="AQ14" i="5"/>
  <c r="B14" i="14"/>
  <c r="AI16" i="5"/>
  <c r="X16" i="8"/>
  <c r="DD16" i="8" s="1"/>
  <c r="B16" i="9"/>
  <c r="Y16" i="9" s="1"/>
  <c r="A16" i="11"/>
  <c r="AJ16" i="5"/>
  <c r="AP16" i="5" s="1"/>
  <c r="AC16" i="8"/>
  <c r="BQ16" i="8" s="1"/>
  <c r="BT16" i="5"/>
  <c r="A16" i="10"/>
  <c r="AA16" i="10" s="1"/>
  <c r="B16" i="7"/>
  <c r="E16" i="1"/>
  <c r="C17" i="5"/>
  <c r="F17" i="5" s="1"/>
  <c r="CZ18" i="5"/>
  <c r="C18" i="5"/>
  <c r="DA17" i="5"/>
  <c r="DG17" i="5" s="1" a="1"/>
  <c r="DG17" i="5" s="1"/>
  <c r="AB18" i="1"/>
  <c r="DI18" i="5"/>
  <c r="AG27" i="9"/>
  <c r="AK27" i="9"/>
  <c r="AE89" i="9"/>
  <c r="B11" i="14"/>
  <c r="S20" i="2"/>
  <c r="P21" i="2"/>
  <c r="N21" i="2"/>
  <c r="R21" i="2"/>
  <c r="Q20" i="2"/>
  <c r="J22" i="10"/>
  <c r="N22" i="5" s="1"/>
  <c r="P15" i="8" l="1"/>
  <c r="AI28" i="11"/>
  <c r="AN28" i="9"/>
  <c r="BK29" i="11" s="1"/>
  <c r="CX14" i="8"/>
  <c r="CY14" i="8" s="1"/>
  <c r="CV15" i="8"/>
  <c r="CW15" i="8" s="1"/>
  <c r="AS15" i="8"/>
  <c r="AQ43" i="9"/>
  <c r="CM43" i="8" s="1"/>
  <c r="AO16" i="5"/>
  <c r="AM16" i="5"/>
  <c r="AN16" i="5"/>
  <c r="AR16" i="5" s="1"/>
  <c r="AV17" i="5"/>
  <c r="AW17" i="5"/>
  <c r="AG15" i="7"/>
  <c r="AI15" i="7" s="1"/>
  <c r="CL17" i="8"/>
  <c r="DB15" i="8"/>
  <c r="AI38" i="9"/>
  <c r="AO38" i="8" s="1"/>
  <c r="G22" i="8"/>
  <c r="CF21" i="8"/>
  <c r="O21" i="2"/>
  <c r="AM28" i="9"/>
  <c r="K28" i="8" s="1"/>
  <c r="BR16" i="8"/>
  <c r="BS16" i="8"/>
  <c r="AD19" i="1"/>
  <c r="CS21" i="5"/>
  <c r="CV21" i="5"/>
  <c r="CR21" i="5"/>
  <c r="CQ21" i="5"/>
  <c r="CW21" i="5"/>
  <c r="CU21" i="5"/>
  <c r="CT21" i="5"/>
  <c r="AY21" i="5" a="1"/>
  <c r="AY21" i="5" s="1"/>
  <c r="BL21" i="5" a="1"/>
  <c r="BL21" i="5" s="1"/>
  <c r="BO21" i="5" a="1"/>
  <c r="BO21" i="5" s="1"/>
  <c r="BA21" i="5" a="1"/>
  <c r="BA21" i="5" s="1"/>
  <c r="DF13" i="8"/>
  <c r="G13" i="1" s="1"/>
  <c r="N13" i="8" s="1"/>
  <c r="BB21" i="5" a="1"/>
  <c r="BB21" i="5" s="1"/>
  <c r="BH21" i="5" a="1"/>
  <c r="BH21" i="5" s="1"/>
  <c r="BM21" i="5" a="1"/>
  <c r="BM21" i="5" s="1"/>
  <c r="BN21" i="5" a="1"/>
  <c r="BN21" i="5" s="1"/>
  <c r="BQ21" i="5" a="1"/>
  <c r="BQ21" i="5" s="1"/>
  <c r="BK21" i="5" a="1"/>
  <c r="BK21" i="5" s="1"/>
  <c r="BD21" i="5" a="1"/>
  <c r="BD21" i="5" s="1"/>
  <c r="BF21" i="5" a="1"/>
  <c r="BF21" i="5" s="1"/>
  <c r="AE20" i="1" s="1"/>
  <c r="BJ21" i="5" a="1"/>
  <c r="BJ21" i="5" s="1"/>
  <c r="AZ21" i="5" a="1"/>
  <c r="AZ21" i="5" s="1"/>
  <c r="BC21" i="5" a="1"/>
  <c r="BC21" i="5" s="1"/>
  <c r="BI21" i="5" a="1"/>
  <c r="BI21" i="5" s="1"/>
  <c r="BE21" i="5" a="1"/>
  <c r="BE21" i="5" s="1"/>
  <c r="BG21" i="5" a="1"/>
  <c r="BG21" i="5" s="1"/>
  <c r="V19" i="2"/>
  <c r="CE15" i="8"/>
  <c r="CU15" i="8"/>
  <c r="F24" i="8"/>
  <c r="BP20" i="5" a="1"/>
  <c r="BP20" i="5" s="1"/>
  <c r="J20" i="2" s="1"/>
  <c r="O25" i="1"/>
  <c r="BT16" i="8"/>
  <c r="BO16" i="8"/>
  <c r="BP16" i="8"/>
  <c r="BM16" i="8"/>
  <c r="BN16" i="8"/>
  <c r="BK16" i="8"/>
  <c r="BL16" i="8"/>
  <c r="BJ16" i="8"/>
  <c r="AC16" i="10"/>
  <c r="X16" i="10" s="1"/>
  <c r="AS20" i="5"/>
  <c r="AH20" i="11"/>
  <c r="DE19" i="5"/>
  <c r="AJ20" i="1"/>
  <c r="AK20" i="11"/>
  <c r="DB19" i="5"/>
  <c r="DF19" i="5"/>
  <c r="DD19" i="5"/>
  <c r="AE21" i="8"/>
  <c r="AU21" i="8"/>
  <c r="DH19" i="5"/>
  <c r="K22" i="11"/>
  <c r="A22" i="14"/>
  <c r="CA22" i="14" s="1"/>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H21" i="1"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W18" i="1"/>
  <c r="AQ15" i="5"/>
  <c r="AH19" i="5"/>
  <c r="BU19" i="5"/>
  <c r="B19" i="2"/>
  <c r="B19" i="1"/>
  <c r="BG19" i="1" s="1"/>
  <c r="BZ21" i="11"/>
  <c r="K20" i="10"/>
  <c r="AA20" i="7"/>
  <c r="AF20" i="8" s="1"/>
  <c r="AV20" i="8" s="1"/>
  <c r="L20" i="11"/>
  <c r="I20" i="5"/>
  <c r="D19" i="10"/>
  <c r="F19" i="7"/>
  <c r="J20" i="5"/>
  <c r="DC20" i="5" s="1"/>
  <c r="E19" i="10"/>
  <c r="G19" i="7"/>
  <c r="L20" i="5"/>
  <c r="G19" i="10"/>
  <c r="I19" i="7"/>
  <c r="K20" i="5"/>
  <c r="F19" i="10"/>
  <c r="H19" i="7"/>
  <c r="H20" i="5"/>
  <c r="C19" i="10"/>
  <c r="E19" i="7"/>
  <c r="B19" i="5"/>
  <c r="F18" i="5"/>
  <c r="G20" i="5"/>
  <c r="B19" i="10"/>
  <c r="D19" i="7"/>
  <c r="M20" i="5"/>
  <c r="H19" i="10"/>
  <c r="J19" i="7"/>
  <c r="CS14" i="8"/>
  <c r="D17" i="9"/>
  <c r="DH17" i="8"/>
  <c r="DI17" i="8" s="1"/>
  <c r="CI16" i="8"/>
  <c r="DA16" i="8" s="1"/>
  <c r="CK17" i="8"/>
  <c r="BW17" i="8"/>
  <c r="AC17" i="1" s="1"/>
  <c r="BX16" i="8"/>
  <c r="CE16" i="8" s="1"/>
  <c r="CX16" i="8" s="1"/>
  <c r="N16" i="7"/>
  <c r="BH17" i="8"/>
  <c r="BU17" i="8" s="1"/>
  <c r="BI17" i="8"/>
  <c r="AH28" i="9"/>
  <c r="CC16" i="8"/>
  <c r="CH16" i="8"/>
  <c r="CZ16" i="8" s="1"/>
  <c r="CA16" i="8"/>
  <c r="BZ16" i="8"/>
  <c r="CR16" i="8" s="1"/>
  <c r="CB16" i="8"/>
  <c r="CT16" i="8" s="1"/>
  <c r="BY16" i="8"/>
  <c r="CQ16" i="8" s="1"/>
  <c r="AC15" i="11"/>
  <c r="U15" i="8" s="1"/>
  <c r="AA15" i="11"/>
  <c r="AK15" i="1" s="1"/>
  <c r="Y15" i="11"/>
  <c r="AH15" i="1" s="1"/>
  <c r="AD15" i="11"/>
  <c r="AI15" i="1" s="1"/>
  <c r="Z15" i="11"/>
  <c r="AB15" i="11"/>
  <c r="Q15" i="8" s="1"/>
  <c r="N16" i="11"/>
  <c r="B17" i="9"/>
  <c r="Y17" i="9" s="1"/>
  <c r="AI17" i="5"/>
  <c r="A17" i="11"/>
  <c r="AC17" i="8"/>
  <c r="BQ17" i="8" s="1"/>
  <c r="BT17" i="5"/>
  <c r="AJ17" i="5"/>
  <c r="AP17" i="5" s="1"/>
  <c r="X17" i="8"/>
  <c r="DD17" i="8" s="1"/>
  <c r="A17" i="10"/>
  <c r="AA17" i="10" s="1"/>
  <c r="B17" i="7"/>
  <c r="E17" i="1"/>
  <c r="CZ19" i="5"/>
  <c r="AE16" i="7"/>
  <c r="AF16" i="7" s="1"/>
  <c r="Q16" i="7"/>
  <c r="DA18" i="5"/>
  <c r="DG18" i="5" s="1" a="1"/>
  <c r="DG18" i="5" s="1"/>
  <c r="DI19" i="5"/>
  <c r="AB19" i="1"/>
  <c r="AG28" i="9"/>
  <c r="AK28" i="9"/>
  <c r="AE90" i="9"/>
  <c r="B12" i="14"/>
  <c r="S21" i="2"/>
  <c r="P22" i="2"/>
  <c r="N22" i="2"/>
  <c r="R22" i="2"/>
  <c r="Q21" i="2"/>
  <c r="P23" i="2"/>
  <c r="J23" i="10"/>
  <c r="N23" i="5" s="1"/>
  <c r="AI29" i="11" l="1"/>
  <c r="AN29" i="9"/>
  <c r="BK30" i="11" s="1"/>
  <c r="DF14" i="8"/>
  <c r="G14" i="1" s="1"/>
  <c r="N14" i="8" s="1"/>
  <c r="CX15" i="8"/>
  <c r="CY15" i="8" s="1"/>
  <c r="CV16" i="8"/>
  <c r="CW16" i="8" s="1"/>
  <c r="AS16" i="8"/>
  <c r="AQ44" i="9"/>
  <c r="CM44" i="8" s="1"/>
  <c r="AO17" i="5"/>
  <c r="AM17" i="5"/>
  <c r="AN17" i="5"/>
  <c r="AR17" i="5" s="1"/>
  <c r="AV18" i="5"/>
  <c r="AW18" i="5"/>
  <c r="AG16" i="7"/>
  <c r="AI16" i="7" s="1"/>
  <c r="CL18" i="8"/>
  <c r="AI39" i="9"/>
  <c r="AO39" i="8" s="1"/>
  <c r="G23" i="8"/>
  <c r="CF22" i="8"/>
  <c r="O22" i="2"/>
  <c r="BN22" i="5" a="1"/>
  <c r="BN22" i="5" s="1"/>
  <c r="BM22" i="5" a="1"/>
  <c r="BM22" i="5" s="1"/>
  <c r="BG22" i="5" a="1"/>
  <c r="BG22" i="5" s="1"/>
  <c r="BH22" i="5" a="1"/>
  <c r="BH22" i="5" s="1"/>
  <c r="BE22" i="5" a="1"/>
  <c r="BE22" i="5" s="1"/>
  <c r="BB22" i="5" a="1"/>
  <c r="BB22" i="5" s="1"/>
  <c r="AM29" i="9"/>
  <c r="K29" i="8" s="1"/>
  <c r="BR17" i="8"/>
  <c r="BS17" i="8"/>
  <c r="AD20" i="1"/>
  <c r="BA22" i="5" a="1"/>
  <c r="BA22" i="5" s="1"/>
  <c r="BO22" i="5" a="1"/>
  <c r="BO22" i="5" s="1"/>
  <c r="BI22" i="5" a="1"/>
  <c r="BI22" i="5" s="1"/>
  <c r="BC22" i="5" a="1"/>
  <c r="BC22" i="5" s="1"/>
  <c r="AZ22" i="5" a="1"/>
  <c r="AZ22" i="5" s="1"/>
  <c r="BJ22" i="5" a="1"/>
  <c r="BJ22" i="5" s="1"/>
  <c r="BF22" i="5" a="1"/>
  <c r="BF22" i="5" s="1"/>
  <c r="AE21" i="1" s="1"/>
  <c r="BD22" i="5" a="1"/>
  <c r="BD22" i="5" s="1"/>
  <c r="CT22" i="5"/>
  <c r="CR22" i="5"/>
  <c r="CQ22" i="5"/>
  <c r="CS22" i="5"/>
  <c r="CU22" i="5"/>
  <c r="CV22" i="5"/>
  <c r="CW22" i="5"/>
  <c r="AY22" i="5" a="1"/>
  <c r="AY22" i="5" s="1"/>
  <c r="BL22" i="5" a="1"/>
  <c r="BL22" i="5" s="1"/>
  <c r="BK22" i="5" a="1"/>
  <c r="BK22" i="5" s="1"/>
  <c r="BQ22" i="5" a="1"/>
  <c r="BQ22" i="5" s="1"/>
  <c r="V20" i="2"/>
  <c r="CS15" i="8"/>
  <c r="F25" i="8"/>
  <c r="BP21" i="5" a="1"/>
  <c r="BP21" i="5" s="1"/>
  <c r="J21" i="2" s="1"/>
  <c r="AI18" i="5"/>
  <c r="O26" i="1"/>
  <c r="BT17" i="8"/>
  <c r="BO17" i="8"/>
  <c r="BP17" i="8"/>
  <c r="BM17" i="8"/>
  <c r="BN17" i="8"/>
  <c r="BK17" i="8"/>
  <c r="BL17" i="8"/>
  <c r="BJ17" i="8"/>
  <c r="AC17" i="10"/>
  <c r="X17" i="10" s="1"/>
  <c r="AS21" i="5"/>
  <c r="AH21" i="11"/>
  <c r="DF20" i="5"/>
  <c r="DE20" i="5"/>
  <c r="AK21" i="11"/>
  <c r="AJ21" i="1"/>
  <c r="DB20" i="5"/>
  <c r="AF19" i="1"/>
  <c r="Y19" i="1"/>
  <c r="DJ20" i="5"/>
  <c r="W19" i="1"/>
  <c r="DH20" i="5"/>
  <c r="K23" i="11"/>
  <c r="A23" i="14"/>
  <c r="CA23" i="14" s="1"/>
  <c r="A23" i="5"/>
  <c r="A23" i="7"/>
  <c r="R23" i="7" s="1"/>
  <c r="A23" i="8"/>
  <c r="A23" i="9"/>
  <c r="A23" i="2"/>
  <c r="AE22" i="8"/>
  <c r="AU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H18" i="8"/>
  <c r="BU18" i="8" s="1"/>
  <c r="BW18" i="8"/>
  <c r="X18" i="8"/>
  <c r="DD18" i="8" s="1"/>
  <c r="AJ18" i="5"/>
  <c r="AP18" i="5" s="1"/>
  <c r="B18" i="9"/>
  <c r="Y18" i="9" s="1"/>
  <c r="A18" i="10"/>
  <c r="AA18" i="10" s="1"/>
  <c r="BU20" i="5"/>
  <c r="B20" i="1"/>
  <c r="BG20" i="1" s="1"/>
  <c r="AH20" i="5"/>
  <c r="B20" i="2"/>
  <c r="E18" i="1"/>
  <c r="BT18" i="5"/>
  <c r="AC18" i="8"/>
  <c r="BQ18" i="8" s="1"/>
  <c r="CK18" i="8"/>
  <c r="DH18" i="8"/>
  <c r="DI18" i="8" s="1"/>
  <c r="BZ22" i="11"/>
  <c r="AA21" i="7"/>
  <c r="AF21" i="8" s="1"/>
  <c r="AV21" i="8" s="1"/>
  <c r="K21" i="10"/>
  <c r="L21" i="11"/>
  <c r="A18" i="11"/>
  <c r="N18" i="11" s="1"/>
  <c r="BI18" i="8"/>
  <c r="H21" i="5"/>
  <c r="C20" i="10"/>
  <c r="E20" i="7"/>
  <c r="B20" i="5"/>
  <c r="M21" i="5"/>
  <c r="H20" i="10"/>
  <c r="J20" i="7"/>
  <c r="L21" i="5"/>
  <c r="G20" i="10"/>
  <c r="I20" i="7"/>
  <c r="G21" i="5"/>
  <c r="D20" i="7"/>
  <c r="B20" i="10"/>
  <c r="J21" i="5"/>
  <c r="DC21" i="5" s="1"/>
  <c r="E20" i="10"/>
  <c r="G20" i="7"/>
  <c r="K21" i="5"/>
  <c r="F20" i="10"/>
  <c r="H20" i="7"/>
  <c r="DD20" i="5"/>
  <c r="I21" i="5"/>
  <c r="D20" i="10"/>
  <c r="F20" i="7"/>
  <c r="CU16" i="8"/>
  <c r="D18" i="9"/>
  <c r="CI17" i="8"/>
  <c r="DA17" i="8" s="1"/>
  <c r="DB16" i="8"/>
  <c r="CD16" i="8"/>
  <c r="P16" i="8" s="1"/>
  <c r="BX17" i="8"/>
  <c r="CD17" i="8" s="1"/>
  <c r="N17" i="7"/>
  <c r="AH29" i="9"/>
  <c r="AQ16" i="5"/>
  <c r="Q17" i="7"/>
  <c r="AE17" i="7"/>
  <c r="AF17" i="7" s="1"/>
  <c r="AC16" i="11"/>
  <c r="U16" i="8" s="1"/>
  <c r="Z16" i="11"/>
  <c r="AA16" i="11"/>
  <c r="AK16" i="1" s="1"/>
  <c r="Y16" i="11"/>
  <c r="AH16" i="1" s="1"/>
  <c r="AB16" i="11"/>
  <c r="Q16" i="8" s="1"/>
  <c r="AD16" i="11"/>
  <c r="AI16" i="1" s="1"/>
  <c r="N17" i="11"/>
  <c r="CZ20" i="5"/>
  <c r="CC17" i="8"/>
  <c r="CH17" i="8"/>
  <c r="CZ17" i="8" s="1"/>
  <c r="CA17" i="8"/>
  <c r="CB17" i="8"/>
  <c r="CT17" i="8" s="1"/>
  <c r="BZ17" i="8"/>
  <c r="CR17" i="8" s="1"/>
  <c r="BY17" i="8"/>
  <c r="CQ17" i="8" s="1"/>
  <c r="C19" i="5"/>
  <c r="F19" i="5" s="1"/>
  <c r="AB20" i="1"/>
  <c r="DI20" i="5"/>
  <c r="DA19" i="5"/>
  <c r="DG19" i="5" s="1" a="1"/>
  <c r="DG19" i="5" s="1"/>
  <c r="AG29" i="9"/>
  <c r="AK29" i="9"/>
  <c r="AE91" i="9"/>
  <c r="B16" i="14"/>
  <c r="N5" i="1"/>
  <c r="S22" i="2"/>
  <c r="N23" i="2"/>
  <c r="R23" i="2"/>
  <c r="Q22" i="2"/>
  <c r="P24" i="2"/>
  <c r="J24" i="10"/>
  <c r="N24" i="5" s="1"/>
  <c r="AI30" i="11" l="1"/>
  <c r="P17" i="8"/>
  <c r="AN30" i="9"/>
  <c r="BK31" i="11" s="1"/>
  <c r="DF15" i="8"/>
  <c r="G15" i="1" s="1"/>
  <c r="N15" i="8" s="1"/>
  <c r="CV17" i="8"/>
  <c r="CW17" i="8" s="1"/>
  <c r="AS17" i="8"/>
  <c r="AQ45" i="9"/>
  <c r="CM45" i="8" s="1"/>
  <c r="AO18" i="5"/>
  <c r="AM18" i="5"/>
  <c r="AN18" i="5"/>
  <c r="AR18" i="5" s="1"/>
  <c r="AV19" i="5"/>
  <c r="AW19" i="5"/>
  <c r="AG17" i="7"/>
  <c r="AI17" i="7" s="1"/>
  <c r="CL19" i="8"/>
  <c r="CC18" i="8"/>
  <c r="AC18" i="1"/>
  <c r="AI40" i="9"/>
  <c r="AO40" i="8" s="1"/>
  <c r="G24" i="8"/>
  <c r="CF23" i="8"/>
  <c r="O23" i="2"/>
  <c r="AD21" i="1"/>
  <c r="BH23" i="5" a="1"/>
  <c r="BH23" i="5" s="1"/>
  <c r="BD23" i="5" a="1"/>
  <c r="BD23" i="5" s="1"/>
  <c r="AZ23" i="5" a="1"/>
  <c r="AZ23" i="5" s="1"/>
  <c r="BO23" i="5" a="1"/>
  <c r="BO23" i="5" s="1"/>
  <c r="BQ23" i="5" a="1"/>
  <c r="BQ23" i="5" s="1"/>
  <c r="BB23" i="5" a="1"/>
  <c r="BB23" i="5" s="1"/>
  <c r="BN23" i="5" a="1"/>
  <c r="BN23" i="5" s="1"/>
  <c r="BA23" i="5" a="1"/>
  <c r="BA23" i="5" s="1"/>
  <c r="BK23" i="5" a="1"/>
  <c r="BK23" i="5" s="1"/>
  <c r="BF23" i="5" a="1"/>
  <c r="BF23" i="5" s="1"/>
  <c r="AE22" i="1" s="1"/>
  <c r="BC23" i="5" a="1"/>
  <c r="BC23" i="5" s="1"/>
  <c r="BJ23" i="5" a="1"/>
  <c r="BJ23" i="5" s="1"/>
  <c r="BI23" i="5" a="1"/>
  <c r="BI23" i="5" s="1"/>
  <c r="AM30" i="9"/>
  <c r="K30" i="8" s="1"/>
  <c r="BR18" i="8"/>
  <c r="BS18" i="8"/>
  <c r="BE23" i="5" a="1"/>
  <c r="BE23" i="5" s="1"/>
  <c r="BG23" i="5" a="1"/>
  <c r="BG23" i="5" s="1"/>
  <c r="CR23" i="5"/>
  <c r="CS23" i="5"/>
  <c r="CQ23" i="5"/>
  <c r="CU23" i="5"/>
  <c r="CT23" i="5"/>
  <c r="CV23" i="5"/>
  <c r="CW23" i="5"/>
  <c r="AY23" i="5" a="1"/>
  <c r="AY23" i="5" s="1"/>
  <c r="BL23" i="5" a="1"/>
  <c r="BL23" i="5" s="1"/>
  <c r="BM23" i="5" a="1"/>
  <c r="BM23" i="5" s="1"/>
  <c r="V21" i="2"/>
  <c r="CY16" i="8"/>
  <c r="F26" i="8"/>
  <c r="BP22" i="5" a="1"/>
  <c r="BP22" i="5" s="1"/>
  <c r="J22" i="2" s="1"/>
  <c r="O27" i="1"/>
  <c r="BT18" i="8"/>
  <c r="BO18" i="8"/>
  <c r="BP18" i="8"/>
  <c r="BM18" i="8"/>
  <c r="BN18" i="8"/>
  <c r="BK18" i="8"/>
  <c r="BL18" i="8"/>
  <c r="BJ18" i="8"/>
  <c r="AC18" i="10"/>
  <c r="X18" i="10" s="1"/>
  <c r="AT22" i="5"/>
  <c r="AS22" i="5"/>
  <c r="AH22" i="11"/>
  <c r="DE21" i="5"/>
  <c r="DB21" i="5"/>
  <c r="DF21" i="5"/>
  <c r="K24" i="11"/>
  <c r="A24" i="14"/>
  <c r="CA24" i="14" s="1"/>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W20" i="1"/>
  <c r="DH21" i="5"/>
  <c r="AF20" i="1"/>
  <c r="AJ22" i="1"/>
  <c r="AE23" i="8"/>
  <c r="AU23" i="8"/>
  <c r="BX18" i="8"/>
  <c r="CD18" i="8" s="1"/>
  <c r="CA18" i="8"/>
  <c r="BZ18" i="8"/>
  <c r="CR18" i="8" s="1"/>
  <c r="CB18" i="8"/>
  <c r="CT18" i="8" s="1"/>
  <c r="AE18" i="7"/>
  <c r="AF18" i="7" s="1"/>
  <c r="D19" i="9"/>
  <c r="BY18" i="8"/>
  <c r="CQ18" i="8" s="1"/>
  <c r="CH18" i="8"/>
  <c r="CZ18" i="8" s="1"/>
  <c r="N18" i="7"/>
  <c r="CI18" i="8"/>
  <c r="DA18" i="8" s="1"/>
  <c r="AB17" i="11"/>
  <c r="Q17" i="8" s="1"/>
  <c r="AD17" i="11"/>
  <c r="AI17" i="1" s="1"/>
  <c r="Z17" i="11"/>
  <c r="AA17" i="11"/>
  <c r="AK17" i="1" s="1"/>
  <c r="AC17" i="11"/>
  <c r="U17" i="8" s="1"/>
  <c r="Y17" i="11"/>
  <c r="AH17" i="1" s="1"/>
  <c r="B21" i="2"/>
  <c r="B21" i="1"/>
  <c r="BG21" i="1" s="1"/>
  <c r="AH21" i="5"/>
  <c r="BU21" i="5"/>
  <c r="BZ23" i="11"/>
  <c r="AA22" i="7"/>
  <c r="AF22" i="8" s="1"/>
  <c r="AV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S16" i="8"/>
  <c r="CU17" i="8"/>
  <c r="DB17" i="8"/>
  <c r="CE17" i="8"/>
  <c r="DH19" i="8"/>
  <c r="DI19" i="8" s="1"/>
  <c r="CK19" i="8"/>
  <c r="BW19" i="8"/>
  <c r="AC19" i="1" s="1"/>
  <c r="BH19" i="8"/>
  <c r="BU19" i="8" s="1"/>
  <c r="BI19" i="8"/>
  <c r="AH30" i="9"/>
  <c r="E19" i="1"/>
  <c r="AI19" i="5"/>
  <c r="X19" i="8"/>
  <c r="DD19" i="8" s="1"/>
  <c r="B19" i="9"/>
  <c r="Y19" i="9" s="1"/>
  <c r="A19" i="11"/>
  <c r="AC19" i="8"/>
  <c r="BQ19" i="8" s="1"/>
  <c r="BT19" i="5"/>
  <c r="AJ19" i="5"/>
  <c r="AP19" i="5" s="1"/>
  <c r="A19" i="10"/>
  <c r="AA19" i="10" s="1"/>
  <c r="B19" i="7"/>
  <c r="C20" i="5"/>
  <c r="F20" i="5" s="1"/>
  <c r="AQ17" i="5"/>
  <c r="CZ21" i="5"/>
  <c r="C21" i="5"/>
  <c r="DA20" i="5"/>
  <c r="DG20" i="5" s="1" a="1"/>
  <c r="DG20" i="5" s="1"/>
  <c r="AB21" i="1"/>
  <c r="DI21" i="5"/>
  <c r="AG30" i="9"/>
  <c r="AK30" i="9"/>
  <c r="AE92" i="9"/>
  <c r="N6" i="1"/>
  <c r="S23" i="2"/>
  <c r="N24" i="2"/>
  <c r="R24" i="2"/>
  <c r="Q23" i="2"/>
  <c r="J25" i="10"/>
  <c r="N25" i="5" s="1"/>
  <c r="P25" i="2"/>
  <c r="AI31" i="11" l="1"/>
  <c r="P18" i="8"/>
  <c r="AN31" i="9"/>
  <c r="BK32" i="11" s="1"/>
  <c r="AI32" i="11" s="1"/>
  <c r="CX17" i="8"/>
  <c r="CY17" i="8" s="1"/>
  <c r="CV18" i="8"/>
  <c r="CW18" i="8" s="1"/>
  <c r="AS18" i="8"/>
  <c r="AQ46" i="9"/>
  <c r="AO19" i="5"/>
  <c r="AM19" i="5"/>
  <c r="AN19" i="5"/>
  <c r="AR19" i="5" s="1"/>
  <c r="AV20" i="5"/>
  <c r="AW20" i="5"/>
  <c r="AG18" i="7"/>
  <c r="AI18" i="7" s="1"/>
  <c r="CL20" i="8"/>
  <c r="AI41" i="9"/>
  <c r="AO41" i="8" s="1"/>
  <c r="G25" i="8"/>
  <c r="CF24" i="8"/>
  <c r="O24" i="2"/>
  <c r="AD22" i="1"/>
  <c r="BG24" i="5" a="1"/>
  <c r="BG24" i="5" s="1"/>
  <c r="AM31" i="9"/>
  <c r="K31" i="8" s="1"/>
  <c r="BR19" i="8"/>
  <c r="BS19" i="8"/>
  <c r="CQ24" i="5"/>
  <c r="CV24" i="5"/>
  <c r="CU24" i="5"/>
  <c r="CT24" i="5"/>
  <c r="CS24" i="5"/>
  <c r="CR24" i="5"/>
  <c r="CW24" i="5"/>
  <c r="BL24" i="5" a="1"/>
  <c r="BL24" i="5" s="1"/>
  <c r="AY24" i="5" a="1"/>
  <c r="AY24" i="5" s="1"/>
  <c r="BA24" i="5" a="1"/>
  <c r="BA24" i="5" s="1"/>
  <c r="BO24" i="5" a="1"/>
  <c r="BO24" i="5" s="1"/>
  <c r="BI24" i="5" a="1"/>
  <c r="BI24" i="5" s="1"/>
  <c r="BM24" i="5" a="1"/>
  <c r="BM24" i="5" s="1"/>
  <c r="BJ24" i="5" a="1"/>
  <c r="BJ24" i="5" s="1"/>
  <c r="BC24" i="5" a="1"/>
  <c r="BC24" i="5" s="1"/>
  <c r="BK24" i="5" a="1"/>
  <c r="BK24" i="5" s="1"/>
  <c r="BE24" i="5" a="1"/>
  <c r="BE24" i="5" s="1"/>
  <c r="BN24" i="5" a="1"/>
  <c r="BN24" i="5" s="1"/>
  <c r="BQ24" i="5" a="1"/>
  <c r="BQ24" i="5" s="1"/>
  <c r="AZ24" i="5" a="1"/>
  <c r="AZ24" i="5" s="1"/>
  <c r="BF24" i="5" a="1"/>
  <c r="BF24" i="5" s="1"/>
  <c r="AE23" i="1" s="1"/>
  <c r="BB24" i="5" a="1"/>
  <c r="BB24" i="5" s="1"/>
  <c r="BD24" i="5" a="1"/>
  <c r="BD24" i="5" s="1"/>
  <c r="BH24" i="5" a="1"/>
  <c r="BH24" i="5" s="1"/>
  <c r="V22" i="2"/>
  <c r="DF16" i="8"/>
  <c r="G16" i="1" s="1"/>
  <c r="N16" i="8" s="1"/>
  <c r="CU18" i="8"/>
  <c r="F27" i="8"/>
  <c r="AQ18" i="5"/>
  <c r="BP23" i="5" a="1"/>
  <c r="BP23" i="5" s="1"/>
  <c r="J23" i="2" s="1"/>
  <c r="O28" i="1"/>
  <c r="BT19" i="8"/>
  <c r="BO19" i="8"/>
  <c r="BP19" i="8"/>
  <c r="BM19" i="8"/>
  <c r="BN19" i="8"/>
  <c r="BK19" i="8"/>
  <c r="BL19" i="8"/>
  <c r="BJ19" i="8"/>
  <c r="AC19" i="10"/>
  <c r="X19" i="10" s="1"/>
  <c r="AH23" i="11"/>
  <c r="AS23" i="5"/>
  <c r="CE18" i="8"/>
  <c r="AK23" i="11"/>
  <c r="DB22" i="5"/>
  <c r="AM23" i="1"/>
  <c r="DE22" i="5"/>
  <c r="K25" i="11"/>
  <c r="A25" i="14"/>
  <c r="CA25" i="14" s="1"/>
  <c r="A25" i="8"/>
  <c r="A25" i="2"/>
  <c r="A25" i="7"/>
  <c r="R25" i="7" s="1"/>
  <c r="A25" i="5"/>
  <c r="A25" i="9"/>
  <c r="DH22" i="5"/>
  <c r="W21" i="1"/>
  <c r="Y21" i="1"/>
  <c r="DJ22" i="5"/>
  <c r="AJ23" i="1"/>
  <c r="AU24" i="8"/>
  <c r="AE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H24" i="1"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BJ24" i="14" a="1"/>
  <c r="BJ24" i="14" s="1"/>
  <c r="AD24" i="14" a="1"/>
  <c r="AD24" i="14" s="1"/>
  <c r="AF21" i="1"/>
  <c r="D20" i="9"/>
  <c r="DB18" i="8"/>
  <c r="B22" i="1"/>
  <c r="BG22" i="1" s="1"/>
  <c r="B22" i="2"/>
  <c r="AH22" i="5"/>
  <c r="BU22" i="5"/>
  <c r="BZ24" i="11"/>
  <c r="K23" i="10"/>
  <c r="AA23" i="7"/>
  <c r="AF23" i="8" s="1"/>
  <c r="AV23" i="8" s="1"/>
  <c r="L23" i="11"/>
  <c r="B22" i="5"/>
  <c r="J23" i="5"/>
  <c r="DC23" i="5" s="1"/>
  <c r="E22" i="10"/>
  <c r="G22" i="7"/>
  <c r="H23" i="5"/>
  <c r="C22" i="10"/>
  <c r="E22" i="7"/>
  <c r="K23" i="5"/>
  <c r="F22" i="10"/>
  <c r="H22" i="7"/>
  <c r="DD22" i="5"/>
  <c r="I23" i="5"/>
  <c r="D22" i="10"/>
  <c r="F22" i="7"/>
  <c r="G23" i="5"/>
  <c r="D22" i="7"/>
  <c r="B22" i="10"/>
  <c r="F21" i="5"/>
  <c r="M23" i="5"/>
  <c r="H22" i="10"/>
  <c r="J22" i="7"/>
  <c r="DF22" i="5"/>
  <c r="L23" i="5"/>
  <c r="G22" i="10"/>
  <c r="I22" i="7"/>
  <c r="CS17" i="8"/>
  <c r="CI19" i="8"/>
  <c r="DA19" i="8" s="1"/>
  <c r="DH20" i="8"/>
  <c r="DI20" i="8" s="1"/>
  <c r="CK20" i="8"/>
  <c r="BW20" i="8"/>
  <c r="AC20" i="1" s="1"/>
  <c r="BX19" i="8"/>
  <c r="CE19" i="8" s="1"/>
  <c r="CX19" i="8" s="1"/>
  <c r="N19" i="7"/>
  <c r="BH20" i="8"/>
  <c r="BU20" i="8" s="1"/>
  <c r="BI20" i="8"/>
  <c r="AH31" i="9"/>
  <c r="AJ20" i="5"/>
  <c r="AP20" i="5" s="1"/>
  <c r="X20" i="8"/>
  <c r="DD20" i="8" s="1"/>
  <c r="B20" i="9"/>
  <c r="Y20" i="9" s="1"/>
  <c r="AI20" i="5"/>
  <c r="A20" i="11"/>
  <c r="BT20" i="5"/>
  <c r="AC20" i="8"/>
  <c r="BQ20" i="8" s="1"/>
  <c r="A20" i="10"/>
  <c r="AA20" i="10" s="1"/>
  <c r="B20" i="7"/>
  <c r="E20" i="1"/>
  <c r="CZ22" i="5"/>
  <c r="AE19" i="7"/>
  <c r="AF19" i="7" s="1"/>
  <c r="Q19" i="7"/>
  <c r="Y18" i="11"/>
  <c r="AH18" i="1" s="1"/>
  <c r="N19" i="11"/>
  <c r="AD18" i="11"/>
  <c r="AI18" i="1" s="1"/>
  <c r="AA18" i="11"/>
  <c r="AK18" i="1" s="1"/>
  <c r="AB18" i="11"/>
  <c r="Q18" i="8" s="1"/>
  <c r="Z18" i="11"/>
  <c r="AC18" i="11"/>
  <c r="U18" i="8" s="1"/>
  <c r="CC19" i="8"/>
  <c r="CH19" i="8"/>
  <c r="CZ19" i="8" s="1"/>
  <c r="CA19" i="8"/>
  <c r="CB19" i="8"/>
  <c r="CT19" i="8" s="1"/>
  <c r="BY19" i="8"/>
  <c r="CQ19" i="8" s="1"/>
  <c r="BZ19" i="8"/>
  <c r="CR19" i="8" s="1"/>
  <c r="DI22" i="5"/>
  <c r="AB22" i="1"/>
  <c r="DA21" i="5"/>
  <c r="DG21" i="5" s="1" a="1"/>
  <c r="DG21" i="5" s="1"/>
  <c r="AG31" i="9"/>
  <c r="AK31" i="9"/>
  <c r="AE93" i="9"/>
  <c r="B17" i="14"/>
  <c r="N7" i="1"/>
  <c r="S24" i="2"/>
  <c r="N25" i="2"/>
  <c r="R25" i="2"/>
  <c r="Q24" i="2"/>
  <c r="P26" i="2"/>
  <c r="J26" i="10"/>
  <c r="N26" i="5" s="1"/>
  <c r="AN32" i="9" l="1"/>
  <c r="BK33" i="11" s="1"/>
  <c r="AI33" i="11" s="1"/>
  <c r="DF17" i="8"/>
  <c r="G17" i="1" s="1"/>
  <c r="N17" i="8" s="1"/>
  <c r="CX18" i="8"/>
  <c r="CY18" i="8" s="1"/>
  <c r="CV19" i="8"/>
  <c r="CW19" i="8" s="1"/>
  <c r="AS19" i="8"/>
  <c r="AQ47" i="9"/>
  <c r="AO20" i="5"/>
  <c r="AM20" i="5"/>
  <c r="AN20" i="5"/>
  <c r="AR20" i="5" s="1"/>
  <c r="AV21" i="5"/>
  <c r="AW21" i="5"/>
  <c r="AG19" i="7"/>
  <c r="AI19" i="7" s="1"/>
  <c r="CL21" i="8"/>
  <c r="AI42" i="9"/>
  <c r="AO42" i="8" s="1"/>
  <c r="G26" i="8"/>
  <c r="CF25" i="8"/>
  <c r="O25" i="2"/>
  <c r="BK25" i="5" a="1"/>
  <c r="BK25" i="5" s="1"/>
  <c r="BI25" i="5" a="1"/>
  <c r="BI25" i="5" s="1"/>
  <c r="BC25" i="5" a="1"/>
  <c r="BC25" i="5" s="1"/>
  <c r="BJ25" i="5" a="1"/>
  <c r="BJ25" i="5" s="1"/>
  <c r="BM25" i="5" a="1"/>
  <c r="BM25" i="5" s="1"/>
  <c r="AM32" i="9"/>
  <c r="K32" i="8" s="1"/>
  <c r="BR20" i="8"/>
  <c r="BS20" i="8"/>
  <c r="AD23" i="1"/>
  <c r="BO25" i="5" a="1"/>
  <c r="BO25" i="5" s="1"/>
  <c r="BH25" i="5" a="1"/>
  <c r="BH25" i="5" s="1"/>
  <c r="BA25" i="5" a="1"/>
  <c r="BA25" i="5" s="1"/>
  <c r="BD25" i="5" a="1"/>
  <c r="BD25" i="5" s="1"/>
  <c r="BB25" i="5" a="1"/>
  <c r="BB25" i="5" s="1"/>
  <c r="BF25" i="5" a="1"/>
  <c r="BF25" i="5" s="1"/>
  <c r="AE24" i="1" s="1"/>
  <c r="AZ25" i="5" a="1"/>
  <c r="AZ25" i="5" s="1"/>
  <c r="BQ25" i="5" a="1"/>
  <c r="BQ25" i="5" s="1"/>
  <c r="CR25" i="5"/>
  <c r="CV25" i="5"/>
  <c r="CT25" i="5"/>
  <c r="CU25" i="5"/>
  <c r="CS25" i="5"/>
  <c r="CQ25" i="5"/>
  <c r="CW25" i="5"/>
  <c r="AY25" i="5" a="1"/>
  <c r="AY25" i="5" s="1"/>
  <c r="BL25" i="5" a="1"/>
  <c r="BL25" i="5" s="1"/>
  <c r="BG25" i="5" a="1"/>
  <c r="BG25" i="5" s="1"/>
  <c r="BN25" i="5" a="1"/>
  <c r="BN25" i="5" s="1"/>
  <c r="BE25" i="5" a="1"/>
  <c r="BE25" i="5" s="1"/>
  <c r="V23" i="2"/>
  <c r="CS18" i="8"/>
  <c r="F28" i="8"/>
  <c r="BP24" i="5" a="1"/>
  <c r="BP24" i="5" s="1"/>
  <c r="J24" i="2" s="1"/>
  <c r="DH21" i="8"/>
  <c r="DI21" i="8" s="1"/>
  <c r="O29" i="1"/>
  <c r="BT20" i="8"/>
  <c r="BO20" i="8"/>
  <c r="BP20" i="8"/>
  <c r="BM20" i="8"/>
  <c r="BN20" i="8"/>
  <c r="BK20" i="8"/>
  <c r="BL20" i="8"/>
  <c r="BJ20" i="8"/>
  <c r="AC20" i="10"/>
  <c r="X20" i="10" s="1"/>
  <c r="AH24" i="11"/>
  <c r="AS24" i="5"/>
  <c r="AM24" i="1"/>
  <c r="AK24" i="11"/>
  <c r="DF23" i="5"/>
  <c r="DB23" i="5"/>
  <c r="DE23" i="5"/>
  <c r="K26" i="11"/>
  <c r="A26" i="14"/>
  <c r="CA26" i="14" s="1"/>
  <c r="A26" i="9"/>
  <c r="A26" i="2"/>
  <c r="A26" i="7"/>
  <c r="R26" i="7" s="1"/>
  <c r="A26" i="8"/>
  <c r="A26" i="5"/>
  <c r="DH23" i="5"/>
  <c r="Y22" i="1"/>
  <c r="DJ23" i="5"/>
  <c r="AF22" i="1"/>
  <c r="W22" i="1"/>
  <c r="AU25" i="8"/>
  <c r="AE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H25" i="1"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E21" i="1"/>
  <c r="CK21" i="8"/>
  <c r="BW21" i="8"/>
  <c r="B23" i="5"/>
  <c r="X21" i="8"/>
  <c r="DD21" i="8" s="1"/>
  <c r="BI21" i="8"/>
  <c r="B21" i="7"/>
  <c r="AE21" i="7" s="1"/>
  <c r="AF21" i="7" s="1"/>
  <c r="BH21" i="8"/>
  <c r="BU21" i="8" s="1"/>
  <c r="A21" i="10"/>
  <c r="AA21" i="10" s="1"/>
  <c r="B21" i="9"/>
  <c r="Y21" i="9" s="1"/>
  <c r="AC21" i="8"/>
  <c r="BQ21" i="8" s="1"/>
  <c r="AJ21" i="5"/>
  <c r="AP21" i="5" s="1"/>
  <c r="A21" i="11"/>
  <c r="N21" i="11" s="1"/>
  <c r="AH23" i="5"/>
  <c r="BU23" i="5"/>
  <c r="B23" i="1"/>
  <c r="BG23" i="1" s="1"/>
  <c r="B23" i="2"/>
  <c r="BZ25" i="11"/>
  <c r="K24" i="10"/>
  <c r="AA24" i="7"/>
  <c r="AF24" i="8" s="1"/>
  <c r="L24" i="5"/>
  <c r="G23" i="10"/>
  <c r="I23" i="7"/>
  <c r="G24" i="5"/>
  <c r="D23" i="7"/>
  <c r="B23" i="10"/>
  <c r="K24" i="5"/>
  <c r="F23" i="10"/>
  <c r="H23" i="7"/>
  <c r="DD23" i="5"/>
  <c r="M24" i="5"/>
  <c r="H23" i="10"/>
  <c r="J23" i="7"/>
  <c r="H24" i="5"/>
  <c r="C23" i="10"/>
  <c r="E23" i="7"/>
  <c r="I24" i="5"/>
  <c r="D23" i="10"/>
  <c r="F23" i="7"/>
  <c r="J24" i="5"/>
  <c r="E23" i="10"/>
  <c r="G23" i="7"/>
  <c r="CU19" i="8"/>
  <c r="D21" i="9"/>
  <c r="DB19" i="8"/>
  <c r="CI20" i="8"/>
  <c r="DA20" i="8" s="1"/>
  <c r="CD19" i="8"/>
  <c r="P19" i="8" s="1"/>
  <c r="BX20" i="8"/>
  <c r="CD20" i="8" s="1"/>
  <c r="N20" i="7"/>
  <c r="AH32" i="9"/>
  <c r="C22" i="5"/>
  <c r="F22" i="5" s="1"/>
  <c r="CZ23" i="5"/>
  <c r="Z19" i="11"/>
  <c r="N20" i="11"/>
  <c r="AC19" i="11"/>
  <c r="U19" i="8" s="1"/>
  <c r="AB19" i="11"/>
  <c r="Q19" i="8" s="1"/>
  <c r="AA19" i="11"/>
  <c r="AK19" i="1" s="1"/>
  <c r="AD19" i="11"/>
  <c r="AI19" i="1" s="1"/>
  <c r="Y19" i="11"/>
  <c r="AH19" i="1" s="1"/>
  <c r="Q20" i="7"/>
  <c r="AE20" i="7"/>
  <c r="AF20" i="7" s="1"/>
  <c r="AQ19" i="5"/>
  <c r="BY20" i="8"/>
  <c r="CQ20" i="8" s="1"/>
  <c r="BZ20" i="8"/>
  <c r="CR20" i="8" s="1"/>
  <c r="CC20" i="8"/>
  <c r="CH20" i="8"/>
  <c r="CZ20" i="8" s="1"/>
  <c r="CA20" i="8"/>
  <c r="CB20" i="8"/>
  <c r="CT20" i="8" s="1"/>
  <c r="C23" i="5"/>
  <c r="DA22" i="5"/>
  <c r="DG22" i="5" s="1" a="1"/>
  <c r="DG22" i="5" s="1"/>
  <c r="DI23" i="5"/>
  <c r="AB23" i="1"/>
  <c r="AG32" i="9"/>
  <c r="AK32" i="9"/>
  <c r="AE94" i="9"/>
  <c r="B18" i="14"/>
  <c r="N8" i="1"/>
  <c r="S25" i="2"/>
  <c r="N26" i="2"/>
  <c r="R26" i="2"/>
  <c r="Q25" i="2"/>
  <c r="J27" i="10"/>
  <c r="N27" i="5" s="1"/>
  <c r="P27" i="2"/>
  <c r="P20" i="8" l="1"/>
  <c r="AN33" i="9"/>
  <c r="BK34" i="11" s="1"/>
  <c r="AI34" i="11" s="1"/>
  <c r="DF18" i="8"/>
  <c r="G18" i="1" s="1"/>
  <c r="N18" i="8" s="1"/>
  <c r="CV20" i="8"/>
  <c r="CW20" i="8" s="1"/>
  <c r="AS20" i="8"/>
  <c r="AQ48" i="9"/>
  <c r="AO21" i="5"/>
  <c r="AM21" i="5"/>
  <c r="AN21" i="5"/>
  <c r="AR21" i="5" s="1"/>
  <c r="AV22" i="5"/>
  <c r="AW22" i="5"/>
  <c r="AG21" i="7"/>
  <c r="AG20" i="7"/>
  <c r="AI20" i="7" s="1"/>
  <c r="CL22" i="8"/>
  <c r="AI43" i="9"/>
  <c r="AO43" i="8" s="1"/>
  <c r="CA21" i="8"/>
  <c r="AC21" i="1"/>
  <c r="G27" i="8"/>
  <c r="CF26" i="8"/>
  <c r="O26" i="2"/>
  <c r="BK26" i="5" a="1"/>
  <c r="BK26" i="5" s="1"/>
  <c r="AM33" i="9"/>
  <c r="K33" i="8" s="1"/>
  <c r="BR21" i="8"/>
  <c r="BS21" i="8"/>
  <c r="AD24" i="1"/>
  <c r="BQ26" i="5" a="1"/>
  <c r="BQ26" i="5" s="1"/>
  <c r="AZ26" i="5" a="1"/>
  <c r="AZ26" i="5" s="1"/>
  <c r="BE26" i="5" a="1"/>
  <c r="BE26" i="5" s="1"/>
  <c r="BF26" i="5" a="1"/>
  <c r="BF26" i="5" s="1"/>
  <c r="AE25" i="1" s="1"/>
  <c r="CR26" i="5"/>
  <c r="CQ26" i="5"/>
  <c r="CV26" i="5"/>
  <c r="CU26" i="5"/>
  <c r="CT26" i="5"/>
  <c r="CW26" i="5"/>
  <c r="CS26" i="5"/>
  <c r="AY26" i="5" a="1"/>
  <c r="AY26" i="5" s="1"/>
  <c r="BL26" i="5" a="1"/>
  <c r="BL26" i="5" s="1"/>
  <c r="BN26" i="5" a="1"/>
  <c r="BN26" i="5" s="1"/>
  <c r="BB26" i="5" a="1"/>
  <c r="BB26" i="5" s="1"/>
  <c r="BG26" i="5" a="1"/>
  <c r="BG26" i="5" s="1"/>
  <c r="BD26" i="5" a="1"/>
  <c r="BD26" i="5" s="1"/>
  <c r="BA26" i="5" a="1"/>
  <c r="BA26" i="5" s="1"/>
  <c r="BM26" i="5" a="1"/>
  <c r="BM26" i="5" s="1"/>
  <c r="BH26" i="5" a="1"/>
  <c r="BH26" i="5" s="1"/>
  <c r="BO26" i="5" a="1"/>
  <c r="BO26" i="5" s="1"/>
  <c r="BI26" i="5" a="1"/>
  <c r="BI26" i="5" s="1"/>
  <c r="BJ26" i="5" a="1"/>
  <c r="BJ26" i="5" s="1"/>
  <c r="BC26" i="5" a="1"/>
  <c r="BC26" i="5" s="1"/>
  <c r="V24" i="2"/>
  <c r="CI21" i="8"/>
  <c r="DA21" i="8" s="1"/>
  <c r="CY19" i="8"/>
  <c r="F29" i="8"/>
  <c r="BP25" i="5" a="1"/>
  <c r="BP25" i="5" s="1"/>
  <c r="J25" i="2" s="1"/>
  <c r="O30" i="1"/>
  <c r="BT21" i="8"/>
  <c r="BO21" i="8"/>
  <c r="BP21" i="8"/>
  <c r="BM21" i="8"/>
  <c r="BN21" i="8"/>
  <c r="BK21" i="8"/>
  <c r="BL21" i="8"/>
  <c r="BJ21" i="8"/>
  <c r="AC21" i="10"/>
  <c r="X21" i="10" s="1"/>
  <c r="AH25" i="11"/>
  <c r="AS25" i="5"/>
  <c r="DB24" i="5"/>
  <c r="D22" i="9"/>
  <c r="DF24" i="5"/>
  <c r="AM25" i="1"/>
  <c r="AJ25" i="1"/>
  <c r="DD24" i="5"/>
  <c r="DE24" i="5"/>
  <c r="W23" i="1"/>
  <c r="AU26" i="8"/>
  <c r="AE26" i="8"/>
  <c r="K27" i="11"/>
  <c r="A27" i="14"/>
  <c r="CA27" i="14" s="1"/>
  <c r="A27" i="7"/>
  <c r="R27" i="7" s="1"/>
  <c r="A27" i="9"/>
  <c r="A27" i="2"/>
  <c r="A27" i="8"/>
  <c r="A27" i="5"/>
  <c r="Y23" i="1"/>
  <c r="DJ24" i="5"/>
  <c r="AK25" i="11"/>
  <c r="AU26" i="14" a="1"/>
  <c r="AU26" i="14"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H26" i="1"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X21" i="8"/>
  <c r="CE21" i="8" s="1"/>
  <c r="CX21" i="8" s="1"/>
  <c r="AC20" i="11"/>
  <c r="U20" i="8" s="1"/>
  <c r="CB21" i="8"/>
  <c r="CT21" i="8" s="1"/>
  <c r="F23" i="5"/>
  <c r="Z20" i="11"/>
  <c r="AA20" i="11"/>
  <c r="AK20" i="1" s="1"/>
  <c r="Y20" i="11"/>
  <c r="AH20" i="1" s="1"/>
  <c r="AB20" i="11"/>
  <c r="Q20" i="8" s="1"/>
  <c r="BY21" i="8"/>
  <c r="CQ21" i="8" s="1"/>
  <c r="BZ21" i="8"/>
  <c r="CR21" i="8" s="1"/>
  <c r="CC21" i="8"/>
  <c r="N21" i="7"/>
  <c r="CH21" i="8"/>
  <c r="CZ21" i="8" s="1"/>
  <c r="Q21" i="7"/>
  <c r="AD20" i="11"/>
  <c r="AI20" i="1" s="1"/>
  <c r="BZ26" i="11"/>
  <c r="K25" i="10"/>
  <c r="AA25" i="7"/>
  <c r="AF25" i="8" s="1"/>
  <c r="J25" i="5"/>
  <c r="DC25" i="5" s="1"/>
  <c r="E24" i="10"/>
  <c r="G24" i="7"/>
  <c r="G25" i="5"/>
  <c r="D24" i="7"/>
  <c r="B24" i="10"/>
  <c r="K25" i="5"/>
  <c r="F24" i="10"/>
  <c r="H24" i="7"/>
  <c r="DC24" i="5"/>
  <c r="H25" i="5"/>
  <c r="C24" i="10"/>
  <c r="E24" i="7"/>
  <c r="M25" i="5"/>
  <c r="H24" i="10"/>
  <c r="J24" i="7"/>
  <c r="I25" i="5"/>
  <c r="D24" i="10"/>
  <c r="F24" i="7"/>
  <c r="B24" i="5"/>
  <c r="L25" i="5"/>
  <c r="G24" i="10"/>
  <c r="I24" i="7"/>
  <c r="CS19" i="8"/>
  <c r="CU20" i="8"/>
  <c r="DB20" i="8"/>
  <c r="DH22" i="8"/>
  <c r="DI22" i="8" s="1"/>
  <c r="CE20" i="8"/>
  <c r="CK22" i="8"/>
  <c r="BW22" i="8"/>
  <c r="AC22" i="1" s="1"/>
  <c r="BH22" i="8"/>
  <c r="BU22" i="8" s="1"/>
  <c r="BI22" i="8"/>
  <c r="AH33" i="9"/>
  <c r="AQ20" i="5"/>
  <c r="AJ22" i="5"/>
  <c r="AP22" i="5" s="1"/>
  <c r="X22" i="8"/>
  <c r="DD22" i="8" s="1"/>
  <c r="E22" i="1"/>
  <c r="B22" i="9"/>
  <c r="Y22" i="9" s="1"/>
  <c r="AI22" i="5"/>
  <c r="A22" i="11"/>
  <c r="AC22" i="8"/>
  <c r="BQ22" i="8" s="1"/>
  <c r="BT22" i="5"/>
  <c r="A22" i="10"/>
  <c r="AA22" i="10" s="1"/>
  <c r="B22" i="7"/>
  <c r="CZ24" i="5"/>
  <c r="AB24" i="1"/>
  <c r="DI24" i="5"/>
  <c r="DA23" i="5"/>
  <c r="DG23" i="5" s="1" a="1"/>
  <c r="DG23" i="5" s="1"/>
  <c r="AG33" i="9"/>
  <c r="AK33" i="9"/>
  <c r="AE95" i="9"/>
  <c r="B19" i="14"/>
  <c r="N9" i="1"/>
  <c r="S26" i="2"/>
  <c r="N27" i="2"/>
  <c r="R27" i="2"/>
  <c r="Q26" i="2"/>
  <c r="J28" i="10"/>
  <c r="N28" i="5" s="1"/>
  <c r="P28" i="2"/>
  <c r="AN34" i="9" l="1"/>
  <c r="BK35" i="11" s="1"/>
  <c r="AI35" i="11" s="1"/>
  <c r="CX20" i="8"/>
  <c r="CY20" i="8" s="1"/>
  <c r="CV21" i="8"/>
  <c r="CW21" i="8" s="1"/>
  <c r="AS21" i="8"/>
  <c r="AQ49" i="9"/>
  <c r="AO22" i="5"/>
  <c r="AM22" i="5"/>
  <c r="AN22" i="5"/>
  <c r="AR22" i="5" s="1"/>
  <c r="AV23" i="5"/>
  <c r="AW23" i="5"/>
  <c r="AI21" i="7"/>
  <c r="CL23" i="8"/>
  <c r="AI44" i="9"/>
  <c r="AO44" i="8" s="1"/>
  <c r="G28" i="8"/>
  <c r="CF27" i="8"/>
  <c r="O27" i="2"/>
  <c r="BB27" i="5" a="1"/>
  <c r="BB27" i="5" s="1"/>
  <c r="BN27" i="5" a="1"/>
  <c r="BN27" i="5" s="1"/>
  <c r="AM34" i="9"/>
  <c r="K34" i="8" s="1"/>
  <c r="BR22" i="8"/>
  <c r="BS22" i="8"/>
  <c r="AD25" i="1"/>
  <c r="BC27" i="5" a="1"/>
  <c r="BC27" i="5" s="1"/>
  <c r="CT27" i="5"/>
  <c r="CV27" i="5"/>
  <c r="CW27" i="5"/>
  <c r="CQ27" i="5"/>
  <c r="CR27" i="5"/>
  <c r="CU27" i="5"/>
  <c r="CS27" i="5"/>
  <c r="AY27" i="5" a="1"/>
  <c r="AY27" i="5" s="1"/>
  <c r="BL27" i="5" a="1"/>
  <c r="BL27" i="5" s="1"/>
  <c r="BJ27" i="5" a="1"/>
  <c r="BJ27" i="5" s="1"/>
  <c r="BI27" i="5" a="1"/>
  <c r="BI27" i="5" s="1"/>
  <c r="BO27" i="5" a="1"/>
  <c r="BO27" i="5" s="1"/>
  <c r="BH27" i="5" a="1"/>
  <c r="BH27" i="5" s="1"/>
  <c r="BF27" i="5" a="1"/>
  <c r="BF27" i="5" s="1"/>
  <c r="AE26" i="1" s="1"/>
  <c r="BM27" i="5" a="1"/>
  <c r="BM27" i="5" s="1"/>
  <c r="BE27" i="5" a="1"/>
  <c r="BE27" i="5" s="1"/>
  <c r="BA27" i="5" a="1"/>
  <c r="BA27" i="5" s="1"/>
  <c r="AZ27" i="5" a="1"/>
  <c r="AZ27" i="5" s="1"/>
  <c r="BD27" i="5" a="1"/>
  <c r="BD27" i="5" s="1"/>
  <c r="BQ27" i="5" a="1"/>
  <c r="BQ27" i="5" s="1"/>
  <c r="BG27" i="5" a="1"/>
  <c r="BG27" i="5" s="1"/>
  <c r="BK27" i="5" a="1"/>
  <c r="BK27" i="5" s="1"/>
  <c r="V25" i="2"/>
  <c r="DB21" i="8"/>
  <c r="DF19" i="8"/>
  <c r="G19" i="1" s="1"/>
  <c r="N19" i="8" s="1"/>
  <c r="CU21" i="8"/>
  <c r="F30" i="8"/>
  <c r="BP26" i="5" a="1"/>
  <c r="BP26" i="5" s="1"/>
  <c r="J26" i="2" s="1"/>
  <c r="DH23" i="8"/>
  <c r="DI23" i="8" s="1"/>
  <c r="O31" i="1"/>
  <c r="BT22" i="8"/>
  <c r="BO22" i="8"/>
  <c r="BP22" i="8"/>
  <c r="BM22" i="8"/>
  <c r="BN22" i="8"/>
  <c r="BK22" i="8"/>
  <c r="BL22" i="8"/>
  <c r="BJ22" i="8"/>
  <c r="AC22" i="10"/>
  <c r="X22" i="10" s="1"/>
  <c r="AH26" i="11"/>
  <c r="AS26" i="5"/>
  <c r="DF25" i="5"/>
  <c r="CD21" i="8"/>
  <c r="DB25" i="5"/>
  <c r="Y24" i="1"/>
  <c r="DJ25" i="5"/>
  <c r="AF24" i="1"/>
  <c r="AU27" i="8"/>
  <c r="AE27" i="8"/>
  <c r="AJ26" i="1"/>
  <c r="K28" i="11"/>
  <c r="A28" i="14"/>
  <c r="CA28" i="14" s="1"/>
  <c r="A28" i="7"/>
  <c r="R28" i="7" s="1"/>
  <c r="A28" i="9"/>
  <c r="A28" i="2"/>
  <c r="A28" i="8"/>
  <c r="A28" i="5"/>
  <c r="AM26" i="1"/>
  <c r="W24" i="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H27" i="1"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X23" i="8"/>
  <c r="DD23" i="8" s="1"/>
  <c r="BI23" i="8"/>
  <c r="AJ23" i="5"/>
  <c r="AP23" i="5" s="1"/>
  <c r="BW23" i="8"/>
  <c r="AI23" i="5"/>
  <c r="AC23" i="8"/>
  <c r="BQ23" i="8" s="1"/>
  <c r="A23" i="11"/>
  <c r="N23" i="11" s="1"/>
  <c r="E23" i="1"/>
  <c r="B23" i="9"/>
  <c r="Y23" i="9" s="1"/>
  <c r="B23" i="7"/>
  <c r="AE23" i="7" s="1"/>
  <c r="AF23" i="7" s="1"/>
  <c r="BH23" i="8"/>
  <c r="BU23" i="8" s="1"/>
  <c r="A23" i="10"/>
  <c r="AA23" i="10" s="1"/>
  <c r="CK23" i="8"/>
  <c r="BT23" i="5"/>
  <c r="AQ21" i="5"/>
  <c r="BZ27" i="11"/>
  <c r="AA26" i="7"/>
  <c r="AF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S20" i="8"/>
  <c r="D23" i="9"/>
  <c r="CI22" i="8"/>
  <c r="DA22" i="8" s="1"/>
  <c r="BX22" i="8"/>
  <c r="CD22" i="8" s="1"/>
  <c r="N22" i="7"/>
  <c r="AH34" i="9"/>
  <c r="CZ25" i="5"/>
  <c r="CH22" i="8"/>
  <c r="CZ22" i="8" s="1"/>
  <c r="CA22" i="8"/>
  <c r="CB22" i="8"/>
  <c r="CT22" i="8" s="1"/>
  <c r="BY22" i="8"/>
  <c r="CQ22" i="8" s="1"/>
  <c r="BZ22" i="8"/>
  <c r="CR22" i="8" s="1"/>
  <c r="CC22" i="8"/>
  <c r="C24" i="5"/>
  <c r="F24" i="5" s="1"/>
  <c r="AA21" i="11"/>
  <c r="AK21" i="1" s="1"/>
  <c r="N22" i="11"/>
  <c r="AB21" i="11"/>
  <c r="Q21" i="8" s="1"/>
  <c r="AC21" i="11"/>
  <c r="U21" i="8" s="1"/>
  <c r="AD21" i="11"/>
  <c r="AI21" i="1" s="1"/>
  <c r="Y21" i="11"/>
  <c r="AH21" i="1" s="1"/>
  <c r="Z21" i="11"/>
  <c r="AE22" i="7"/>
  <c r="AF22" i="7" s="1"/>
  <c r="Q22" i="7"/>
  <c r="C25" i="5"/>
  <c r="DA24" i="5"/>
  <c r="DG24" i="5" s="1" a="1"/>
  <c r="DG24" i="5" s="1"/>
  <c r="AB25" i="1"/>
  <c r="DI25" i="5"/>
  <c r="AG34" i="9"/>
  <c r="AK34" i="9"/>
  <c r="AE96" i="9"/>
  <c r="B20" i="14"/>
  <c r="N10" i="1"/>
  <c r="S27" i="2"/>
  <c r="N28" i="2"/>
  <c r="R28" i="2"/>
  <c r="Q27" i="2"/>
  <c r="P29" i="2"/>
  <c r="J29" i="10"/>
  <c r="N29" i="5" s="1"/>
  <c r="AN35" i="9" l="1"/>
  <c r="BK36" i="11" s="1"/>
  <c r="AI36" i="11" s="1"/>
  <c r="DF20" i="8"/>
  <c r="G20" i="1" s="1"/>
  <c r="N20" i="8" s="1"/>
  <c r="CV22" i="8"/>
  <c r="CW22" i="8" s="1"/>
  <c r="AS22" i="8"/>
  <c r="AQ50" i="9"/>
  <c r="AO23" i="5"/>
  <c r="AM23" i="5"/>
  <c r="AN23" i="5"/>
  <c r="AR23" i="5" s="1"/>
  <c r="AV24" i="5"/>
  <c r="AW24" i="5"/>
  <c r="AG22" i="7"/>
  <c r="AI22" i="7" s="1"/>
  <c r="AG23" i="7"/>
  <c r="CL24" i="8"/>
  <c r="AI45" i="9"/>
  <c r="AO45" i="8" s="1"/>
  <c r="CC23" i="8"/>
  <c r="AC23" i="1"/>
  <c r="G29" i="8"/>
  <c r="CF28" i="8"/>
  <c r="O28" i="2"/>
  <c r="AD26" i="1"/>
  <c r="BN28" i="5" a="1"/>
  <c r="BN28" i="5" s="1"/>
  <c r="AT27" i="5"/>
  <c r="BO28" i="5" a="1"/>
  <c r="BO28" i="5" s="1"/>
  <c r="BJ28" i="5" a="1"/>
  <c r="BJ28" i="5" s="1"/>
  <c r="AM35" i="9"/>
  <c r="K35" i="8" s="1"/>
  <c r="BR23" i="8"/>
  <c r="BS23" i="8"/>
  <c r="BI28" i="5" a="1"/>
  <c r="BI28" i="5" s="1"/>
  <c r="BK28" i="5" a="1"/>
  <c r="BK28" i="5" s="1"/>
  <c r="BG28" i="5" a="1"/>
  <c r="BG28" i="5" s="1"/>
  <c r="BQ28" i="5" a="1"/>
  <c r="BQ28" i="5" s="1"/>
  <c r="BD28" i="5" a="1"/>
  <c r="BD28" i="5" s="1"/>
  <c r="AZ28" i="5" a="1"/>
  <c r="AZ28" i="5" s="1"/>
  <c r="CQ28" i="5"/>
  <c r="CV28" i="5"/>
  <c r="CR28" i="5"/>
  <c r="CT28" i="5"/>
  <c r="CS28" i="5"/>
  <c r="CU28" i="5"/>
  <c r="CW28" i="5"/>
  <c r="AY28" i="5" a="1"/>
  <c r="AY28" i="5" s="1"/>
  <c r="BL28" i="5" a="1"/>
  <c r="BL28" i="5" s="1"/>
  <c r="BA28" i="5" a="1"/>
  <c r="BA28" i="5" s="1"/>
  <c r="BE28" i="5" a="1"/>
  <c r="BE28" i="5" s="1"/>
  <c r="BM28" i="5" a="1"/>
  <c r="BM28" i="5" s="1"/>
  <c r="BB28" i="5" a="1"/>
  <c r="BB28" i="5" s="1"/>
  <c r="BF28" i="5" a="1"/>
  <c r="BF28" i="5" s="1"/>
  <c r="AE27" i="1" s="1"/>
  <c r="BC28" i="5" a="1"/>
  <c r="BC28" i="5" s="1"/>
  <c r="BH28" i="5" a="1"/>
  <c r="BH28" i="5" s="1"/>
  <c r="V26" i="2"/>
  <c r="CS21" i="8"/>
  <c r="CI23" i="8"/>
  <c r="DA23" i="8" s="1"/>
  <c r="F31" i="8"/>
  <c r="BP27" i="5" a="1"/>
  <c r="BP27" i="5" s="1"/>
  <c r="J27" i="2" s="1"/>
  <c r="O32" i="1"/>
  <c r="BT23" i="8"/>
  <c r="BO23" i="8"/>
  <c r="BP23" i="8"/>
  <c r="BM23" i="8"/>
  <c r="BN23" i="8"/>
  <c r="BK23" i="8"/>
  <c r="BL23" i="8"/>
  <c r="BJ23" i="8"/>
  <c r="AC23" i="10"/>
  <c r="X23" i="10" s="1"/>
  <c r="AH27" i="11"/>
  <c r="AS27" i="5"/>
  <c r="CY21" i="8"/>
  <c r="DF26" i="5"/>
  <c r="AM27" i="1"/>
  <c r="DB26" i="5"/>
  <c r="DE26" i="5"/>
  <c r="AK27" i="11"/>
  <c r="AF25" i="1"/>
  <c r="K29" i="11"/>
  <c r="A29" i="14"/>
  <c r="CA29" i="14" s="1"/>
  <c r="A29" i="9"/>
  <c r="A29" i="7"/>
  <c r="R29" i="7" s="1"/>
  <c r="A29" i="2"/>
  <c r="A29" i="5"/>
  <c r="A29" i="8"/>
  <c r="AJ27" i="1"/>
  <c r="AU28" i="8"/>
  <c r="AE28" i="8"/>
  <c r="Y25" i="1"/>
  <c r="DJ26" i="5"/>
  <c r="DH26" i="5"/>
  <c r="W25" i="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CB23" i="8"/>
  <c r="CT23" i="8" s="1"/>
  <c r="CH23" i="8"/>
  <c r="CZ23" i="8" s="1"/>
  <c r="CA23" i="8"/>
  <c r="BZ23" i="8"/>
  <c r="CR23" i="8" s="1"/>
  <c r="BY23" i="8"/>
  <c r="CQ23" i="8" s="1"/>
  <c r="Y22" i="11"/>
  <c r="AH22" i="1" s="1"/>
  <c r="N23" i="7"/>
  <c r="AA22" i="11"/>
  <c r="AK22" i="1" s="1"/>
  <c r="AB22" i="11"/>
  <c r="Q22" i="8" s="1"/>
  <c r="BX23" i="8"/>
  <c r="CE23" i="8" s="1"/>
  <c r="CX23" i="8" s="1"/>
  <c r="D24" i="9"/>
  <c r="AC22" i="11"/>
  <c r="U22" i="8" s="1"/>
  <c r="AD22" i="11"/>
  <c r="AI22" i="1" s="1"/>
  <c r="F25" i="5"/>
  <c r="Z22" i="11"/>
  <c r="BZ28" i="11"/>
  <c r="AA27" i="7"/>
  <c r="AF27" i="8" s="1"/>
  <c r="K27" i="10"/>
  <c r="D26" i="7"/>
  <c r="G27" i="5"/>
  <c r="B26" i="10"/>
  <c r="M27" i="5"/>
  <c r="H26" i="10"/>
  <c r="J26" i="7"/>
  <c r="I27" i="5"/>
  <c r="D26" i="10"/>
  <c r="F26" i="7"/>
  <c r="H27" i="5"/>
  <c r="C26" i="10"/>
  <c r="E26" i="7"/>
  <c r="K27" i="5"/>
  <c r="F26" i="10"/>
  <c r="H26" i="7"/>
  <c r="DD26" i="5"/>
  <c r="L27" i="5"/>
  <c r="G26" i="10"/>
  <c r="I26" i="7"/>
  <c r="B26" i="5"/>
  <c r="J27" i="5"/>
  <c r="DC27" i="5" s="1"/>
  <c r="E26" i="10"/>
  <c r="G26" i="7"/>
  <c r="CU22" i="8"/>
  <c r="DB22" i="8"/>
  <c r="DH24" i="8"/>
  <c r="DI24" i="8" s="1"/>
  <c r="CE22" i="8"/>
  <c r="CK24" i="8"/>
  <c r="BW24" i="8"/>
  <c r="AC24" i="1" s="1"/>
  <c r="BH24" i="8"/>
  <c r="BU24" i="8" s="1"/>
  <c r="BI24" i="8"/>
  <c r="AH35" i="9"/>
  <c r="AI24" i="5"/>
  <c r="A24" i="11"/>
  <c r="E24" i="1"/>
  <c r="AC24" i="8"/>
  <c r="BQ24" i="8" s="1"/>
  <c r="BT24" i="5"/>
  <c r="A24" i="10"/>
  <c r="AA24" i="10" s="1"/>
  <c r="B24" i="7"/>
  <c r="B24" i="9"/>
  <c r="Y24" i="9" s="1"/>
  <c r="AJ24" i="5"/>
  <c r="AP24" i="5" s="1"/>
  <c r="X24" i="8"/>
  <c r="DD24" i="8" s="1"/>
  <c r="CZ26" i="5"/>
  <c r="AQ22" i="5"/>
  <c r="AB26" i="1"/>
  <c r="DI26" i="5"/>
  <c r="DA25" i="5"/>
  <c r="DG25" i="5" s="1" a="1"/>
  <c r="DG25" i="5" s="1"/>
  <c r="AG35" i="9"/>
  <c r="AK35" i="9"/>
  <c r="AE97" i="9"/>
  <c r="B21" i="14"/>
  <c r="N11" i="1"/>
  <c r="S28" i="2"/>
  <c r="N29" i="2"/>
  <c r="R29" i="2"/>
  <c r="Q28" i="2"/>
  <c r="J30" i="10"/>
  <c r="N30" i="5" s="1"/>
  <c r="P30" i="2"/>
  <c r="AN36" i="9" l="1"/>
  <c r="BK37" i="11" s="1"/>
  <c r="AI37" i="11" s="1"/>
  <c r="CX22" i="8"/>
  <c r="CY22" i="8" s="1"/>
  <c r="CV23" i="8"/>
  <c r="CW23" i="8" s="1"/>
  <c r="AS23" i="8"/>
  <c r="AQ51" i="9"/>
  <c r="AO24" i="5"/>
  <c r="AM24" i="5"/>
  <c r="AN24" i="5"/>
  <c r="AR24" i="5" s="1"/>
  <c r="AI23" i="7"/>
  <c r="AV25" i="5"/>
  <c r="AW25" i="5"/>
  <c r="CL25" i="8"/>
  <c r="AI46" i="9"/>
  <c r="AO46" i="8" s="1"/>
  <c r="G30" i="8"/>
  <c r="CF29" i="8"/>
  <c r="O29" i="2"/>
  <c r="BN29" i="5" a="1"/>
  <c r="BN29" i="5" s="1"/>
  <c r="AD27" i="1"/>
  <c r="BH29" i="5" a="1"/>
  <c r="BH29" i="5" s="1"/>
  <c r="AM36" i="9"/>
  <c r="K36" i="8" s="1"/>
  <c r="BR24" i="8"/>
  <c r="BS24" i="8"/>
  <c r="BO29" i="5" a="1"/>
  <c r="BO29" i="5" s="1"/>
  <c r="BC29" i="5" a="1"/>
  <c r="BC29" i="5" s="1"/>
  <c r="BF29" i="5" a="1"/>
  <c r="BF29" i="5" s="1"/>
  <c r="AE28" i="1" s="1"/>
  <c r="AZ29" i="5" a="1"/>
  <c r="AZ29" i="5" s="1"/>
  <c r="BJ29" i="5" a="1"/>
  <c r="BJ29" i="5" s="1"/>
  <c r="BD29" i="5" a="1"/>
  <c r="BD29" i="5" s="1"/>
  <c r="BB29" i="5" a="1"/>
  <c r="BB29" i="5" s="1"/>
  <c r="BM29" i="5" a="1"/>
  <c r="BM29" i="5" s="1"/>
  <c r="BQ29" i="5" a="1"/>
  <c r="BQ29" i="5" s="1"/>
  <c r="CS29" i="5"/>
  <c r="CU29" i="5"/>
  <c r="CR29" i="5"/>
  <c r="CT29" i="5"/>
  <c r="CW29" i="5"/>
  <c r="CV29" i="5"/>
  <c r="CQ29" i="5"/>
  <c r="AY29" i="5" a="1"/>
  <c r="AY29" i="5" s="1"/>
  <c r="BL29" i="5" a="1"/>
  <c r="BL29" i="5" s="1"/>
  <c r="BE29" i="5" a="1"/>
  <c r="BE29" i="5" s="1"/>
  <c r="BG29" i="5" a="1"/>
  <c r="BG29" i="5" s="1"/>
  <c r="BK29" i="5" a="1"/>
  <c r="BK29" i="5" s="1"/>
  <c r="BA29" i="5" a="1"/>
  <c r="BA29" i="5" s="1"/>
  <c r="BI29" i="5" a="1"/>
  <c r="BI29" i="5" s="1"/>
  <c r="V27" i="2"/>
  <c r="DB23" i="8"/>
  <c r="CU23" i="8"/>
  <c r="F32" i="8"/>
  <c r="BP28" i="5" a="1"/>
  <c r="BP28" i="5" s="1"/>
  <c r="J28" i="2" s="1"/>
  <c r="BI25" i="8"/>
  <c r="AT28" i="5"/>
  <c r="O33" i="1"/>
  <c r="BT24" i="8"/>
  <c r="BO24" i="8"/>
  <c r="BP24" i="8"/>
  <c r="BM24" i="8"/>
  <c r="BN24" i="8"/>
  <c r="BK24" i="8"/>
  <c r="BL24" i="8"/>
  <c r="BJ24" i="8"/>
  <c r="AC24" i="10"/>
  <c r="X24" i="10" s="1"/>
  <c r="AH28" i="11"/>
  <c r="AS28" i="5"/>
  <c r="DE27" i="5"/>
  <c r="DB27" i="5"/>
  <c r="DF27" i="5"/>
  <c r="AJ28" i="1"/>
  <c r="AE29" i="8"/>
  <c r="AU29" i="8"/>
  <c r="AF26" i="1"/>
  <c r="W26" i="1"/>
  <c r="AK28" i="11"/>
  <c r="AM28" i="1"/>
  <c r="K30" i="11"/>
  <c r="A30" i="14"/>
  <c r="CA30" i="14" s="1"/>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Q23" i="5"/>
  <c r="A25" i="11"/>
  <c r="N25" i="11" s="1"/>
  <c r="A25" i="10"/>
  <c r="AA25" i="10" s="1"/>
  <c r="CK25" i="8"/>
  <c r="B25" i="9"/>
  <c r="Y25" i="9" s="1"/>
  <c r="CD23" i="8"/>
  <c r="AI25" i="5"/>
  <c r="DH25" i="8"/>
  <c r="DI25" i="8" s="1"/>
  <c r="E25" i="1"/>
  <c r="AJ25" i="5"/>
  <c r="AP25" i="5" s="1"/>
  <c r="BH25" i="8"/>
  <c r="BU25" i="8" s="1"/>
  <c r="BW25" i="8"/>
  <c r="D25" i="9"/>
  <c r="BT25" i="5"/>
  <c r="AC25" i="8"/>
  <c r="BQ25" i="8" s="1"/>
  <c r="B25" i="7"/>
  <c r="Q25" i="7" s="1"/>
  <c r="X25" i="8"/>
  <c r="DD25" i="8" s="1"/>
  <c r="BZ29" i="11"/>
  <c r="AA28" i="7"/>
  <c r="AF28" i="8" s="1"/>
  <c r="K28" i="10"/>
  <c r="J28" i="5"/>
  <c r="DC28" i="5" s="1"/>
  <c r="E27" i="10"/>
  <c r="G27" i="7"/>
  <c r="M28" i="5"/>
  <c r="H27" i="10"/>
  <c r="J27" i="7"/>
  <c r="B27" i="5"/>
  <c r="K28" i="5"/>
  <c r="F27" i="10"/>
  <c r="H27" i="7"/>
  <c r="DD27" i="5"/>
  <c r="H28" i="5"/>
  <c r="C27" i="10"/>
  <c r="E27" i="7"/>
  <c r="L28" i="5"/>
  <c r="G27" i="10"/>
  <c r="I27" i="7"/>
  <c r="G28" i="5"/>
  <c r="D27" i="7"/>
  <c r="B27" i="10"/>
  <c r="I28" i="5"/>
  <c r="D27" i="10"/>
  <c r="F27" i="7"/>
  <c r="CS22" i="8"/>
  <c r="CI24" i="8"/>
  <c r="DA24" i="8" s="1"/>
  <c r="BX24" i="8"/>
  <c r="CD24" i="8" s="1"/>
  <c r="N24" i="7"/>
  <c r="AH36" i="9"/>
  <c r="AE24" i="7"/>
  <c r="AF24" i="7" s="1"/>
  <c r="Q24" i="7"/>
  <c r="C26" i="5"/>
  <c r="F26" i="5" s="1"/>
  <c r="Z23" i="11"/>
  <c r="AA23" i="11"/>
  <c r="AK23" i="1" s="1"/>
  <c r="AD23" i="11"/>
  <c r="AI23" i="1" s="1"/>
  <c r="Y23" i="11"/>
  <c r="AH23" i="1" s="1"/>
  <c r="N24" i="11"/>
  <c r="AC23" i="11"/>
  <c r="U23" i="8" s="1"/>
  <c r="AB23" i="11"/>
  <c r="Q23" i="8" s="1"/>
  <c r="BY24" i="8"/>
  <c r="CQ24" i="8" s="1"/>
  <c r="BZ24" i="8"/>
  <c r="CR24" i="8" s="1"/>
  <c r="CC24" i="8"/>
  <c r="CH24" i="8"/>
  <c r="CZ24" i="8" s="1"/>
  <c r="CA24" i="8"/>
  <c r="CB24" i="8"/>
  <c r="CT24" i="8" s="1"/>
  <c r="CZ27" i="5"/>
  <c r="DA26" i="5"/>
  <c r="DG26" i="5" s="1" a="1"/>
  <c r="DG26" i="5" s="1"/>
  <c r="AB27" i="1"/>
  <c r="DI27" i="5"/>
  <c r="AG36" i="9"/>
  <c r="AK36" i="9"/>
  <c r="AE98" i="9"/>
  <c r="B22" i="14"/>
  <c r="N12" i="1"/>
  <c r="S29" i="2"/>
  <c r="N30" i="2"/>
  <c r="R30" i="2"/>
  <c r="Q29" i="2"/>
  <c r="J31" i="10"/>
  <c r="N31" i="5" s="1"/>
  <c r="P31" i="2"/>
  <c r="AN37" i="9" l="1"/>
  <c r="BK38" i="11" s="1"/>
  <c r="AI38" i="11" s="1"/>
  <c r="CV24" i="8"/>
  <c r="CW24" i="8" s="1"/>
  <c r="AS24" i="8"/>
  <c r="AQ52" i="9"/>
  <c r="AO25" i="5"/>
  <c r="AM25" i="5"/>
  <c r="AN25" i="5"/>
  <c r="AV26" i="5"/>
  <c r="AW26" i="5"/>
  <c r="AG24" i="7"/>
  <c r="AI24" i="7" s="1"/>
  <c r="AT29" i="5"/>
  <c r="CL26" i="8"/>
  <c r="AI47" i="9"/>
  <c r="AO47" i="8" s="1"/>
  <c r="CB25" i="8"/>
  <c r="CT25" i="8" s="1"/>
  <c r="AC25" i="1"/>
  <c r="G31" i="8"/>
  <c r="CF30" i="8"/>
  <c r="O30" i="2"/>
  <c r="AD28" i="1"/>
  <c r="AM37" i="9"/>
  <c r="K37" i="8" s="1"/>
  <c r="BR25" i="8"/>
  <c r="BS25" i="8"/>
  <c r="BQ30" i="5" a="1"/>
  <c r="BQ30" i="5" s="1"/>
  <c r="BM30" i="5" a="1"/>
  <c r="BM30" i="5" s="1"/>
  <c r="BI30" i="5" a="1"/>
  <c r="BI30" i="5" s="1"/>
  <c r="BB30" i="5" a="1"/>
  <c r="BB30" i="5" s="1"/>
  <c r="BA30" i="5" a="1"/>
  <c r="BA30" i="5" s="1"/>
  <c r="BD30" i="5" a="1"/>
  <c r="BD30" i="5" s="1"/>
  <c r="BK30" i="5" a="1"/>
  <c r="BK30" i="5" s="1"/>
  <c r="BJ30" i="5" a="1"/>
  <c r="BJ30" i="5" s="1"/>
  <c r="BG30" i="5" a="1"/>
  <c r="BG30" i="5" s="1"/>
  <c r="AZ30" i="5" a="1"/>
  <c r="AZ30" i="5" s="1"/>
  <c r="BE30" i="5" a="1"/>
  <c r="BE30" i="5" s="1"/>
  <c r="BF30" i="5" a="1"/>
  <c r="BF30" i="5" s="1"/>
  <c r="AE29" i="1" s="1"/>
  <c r="BC30" i="5" a="1"/>
  <c r="BC30" i="5" s="1"/>
  <c r="CT30" i="5"/>
  <c r="CV30" i="5"/>
  <c r="CQ30" i="5"/>
  <c r="CS30" i="5"/>
  <c r="CR30" i="5"/>
  <c r="CW30" i="5"/>
  <c r="CU30" i="5"/>
  <c r="AY30" i="5" a="1"/>
  <c r="AY30" i="5" s="1"/>
  <c r="BL30" i="5" a="1"/>
  <c r="BL30" i="5" s="1"/>
  <c r="BO30" i="5" a="1"/>
  <c r="BO30" i="5" s="1"/>
  <c r="BH30" i="5" a="1"/>
  <c r="BH30" i="5" s="1"/>
  <c r="BN30" i="5" a="1"/>
  <c r="BN30" i="5" s="1"/>
  <c r="V28" i="2"/>
  <c r="CS23" i="8"/>
  <c r="F33" i="8"/>
  <c r="BP29" i="5" a="1"/>
  <c r="BP29" i="5" s="1"/>
  <c r="J29" i="2" s="1"/>
  <c r="O34" i="1"/>
  <c r="BT25" i="8"/>
  <c r="BO25" i="8"/>
  <c r="BP25" i="8"/>
  <c r="BM25" i="8"/>
  <c r="BN25" i="8"/>
  <c r="BK25" i="8"/>
  <c r="BL25" i="8"/>
  <c r="BJ25" i="8"/>
  <c r="AC25" i="10"/>
  <c r="X25" i="10" s="1"/>
  <c r="AR25" i="5"/>
  <c r="AH29" i="11"/>
  <c r="AS29" i="5"/>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CA31" i="14" s="1"/>
  <c r="A31" i="5"/>
  <c r="A31" i="8"/>
  <c r="A31" i="9"/>
  <c r="A31" i="2"/>
  <c r="A31" i="7"/>
  <c r="R31" i="7" s="1"/>
  <c r="W27" i="1"/>
  <c r="AE30" i="8"/>
  <c r="AU30" i="8"/>
  <c r="AF27" i="1"/>
  <c r="Y27" i="1"/>
  <c r="DJ28" i="5"/>
  <c r="AJ29" i="1"/>
  <c r="AK29" i="11"/>
  <c r="AA24" i="11"/>
  <c r="AK24" i="1" s="1"/>
  <c r="AD24" i="11"/>
  <c r="AI24" i="1" s="1"/>
  <c r="Y24" i="11"/>
  <c r="AH24" i="1" s="1"/>
  <c r="CY23" i="8"/>
  <c r="AC24" i="11"/>
  <c r="U24" i="8" s="1"/>
  <c r="AB24" i="11"/>
  <c r="Q24" i="8" s="1"/>
  <c r="BZ25" i="8"/>
  <c r="CR25" i="8" s="1"/>
  <c r="CC25" i="8"/>
  <c r="CI25" i="8"/>
  <c r="DA25" i="8" s="1"/>
  <c r="CA25" i="8"/>
  <c r="CH25" i="8"/>
  <c r="CZ25" i="8" s="1"/>
  <c r="N25" i="7"/>
  <c r="BY25" i="8"/>
  <c r="CQ25" i="8" s="1"/>
  <c r="BX25" i="8"/>
  <c r="CE25" i="8" s="1"/>
  <c r="CX25" i="8" s="1"/>
  <c r="D26" i="9"/>
  <c r="AE25" i="7"/>
  <c r="AF25" i="7" s="1"/>
  <c r="BZ30" i="11"/>
  <c r="AA29" i="7"/>
  <c r="AF29" i="8" s="1"/>
  <c r="AV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U24" i="8"/>
  <c r="DB24" i="8"/>
  <c r="DH26" i="8"/>
  <c r="DI26" i="8" s="1"/>
  <c r="CE24" i="8"/>
  <c r="CK26" i="8"/>
  <c r="BW26" i="8"/>
  <c r="AC26" i="1" s="1"/>
  <c r="BH26" i="8"/>
  <c r="BU26" i="8" s="1"/>
  <c r="BI26" i="8"/>
  <c r="AH37" i="9"/>
  <c r="C27" i="5"/>
  <c r="F27" i="5" s="1"/>
  <c r="CZ28" i="5"/>
  <c r="AQ24" i="5"/>
  <c r="AJ26" i="5"/>
  <c r="AP26" i="5" s="1"/>
  <c r="AC26" i="8"/>
  <c r="BQ26" i="8" s="1"/>
  <c r="BT26" i="5"/>
  <c r="A26" i="10"/>
  <c r="AA26" i="10" s="1"/>
  <c r="B26" i="7"/>
  <c r="X26" i="8"/>
  <c r="DD26" i="8" s="1"/>
  <c r="E26" i="1"/>
  <c r="AI26" i="5"/>
  <c r="A26" i="11"/>
  <c r="B26" i="9"/>
  <c r="Y26" i="9" s="1"/>
  <c r="AB28" i="1"/>
  <c r="DI28" i="5"/>
  <c r="DA27" i="5"/>
  <c r="DG27" i="5" s="1" a="1"/>
  <c r="DG27" i="5" s="1"/>
  <c r="AG37" i="9"/>
  <c r="AK37" i="9"/>
  <c r="AE99" i="9"/>
  <c r="B23" i="14"/>
  <c r="N13" i="1"/>
  <c r="S30" i="2"/>
  <c r="N31" i="2"/>
  <c r="R31" i="2"/>
  <c r="Q30" i="2"/>
  <c r="P32" i="2"/>
  <c r="J32" i="10"/>
  <c r="N32" i="5" s="1"/>
  <c r="AN38" i="9" l="1"/>
  <c r="BK39" i="11" s="1"/>
  <c r="AI39" i="11" s="1"/>
  <c r="CX24" i="8"/>
  <c r="CY24" i="8" s="1"/>
  <c r="CV25" i="8"/>
  <c r="CW25" i="8" s="1"/>
  <c r="AS25" i="8"/>
  <c r="AQ53" i="9"/>
  <c r="AO26" i="5"/>
  <c r="AM26" i="5"/>
  <c r="AN26" i="5"/>
  <c r="AR26" i="5" s="1"/>
  <c r="AV27" i="5"/>
  <c r="AW27" i="5"/>
  <c r="AG25" i="7"/>
  <c r="AI25" i="7" s="1"/>
  <c r="AT30" i="5"/>
  <c r="CL27" i="8"/>
  <c r="AI48" i="9"/>
  <c r="AO48" i="8" s="1"/>
  <c r="G32" i="8"/>
  <c r="CF31" i="8"/>
  <c r="O31" i="2"/>
  <c r="AM38" i="9"/>
  <c r="K38" i="8" s="1"/>
  <c r="BR26" i="8"/>
  <c r="BS26" i="8"/>
  <c r="AD29" i="1"/>
  <c r="BC31" i="5" a="1"/>
  <c r="BC31" i="5" s="1"/>
  <c r="BF31" i="5" a="1"/>
  <c r="BF31" i="5" s="1"/>
  <c r="AE30" i="1" s="1"/>
  <c r="BE31" i="5" a="1"/>
  <c r="BE31" i="5" s="1"/>
  <c r="BN31" i="5" a="1"/>
  <c r="BN31" i="5" s="1"/>
  <c r="AZ31" i="5" a="1"/>
  <c r="AZ31" i="5" s="1"/>
  <c r="BH31" i="5" a="1"/>
  <c r="BH31" i="5" s="1"/>
  <c r="BG31" i="5" a="1"/>
  <c r="BG31" i="5" s="1"/>
  <c r="BJ31" i="5" a="1"/>
  <c r="BJ31" i="5" s="1"/>
  <c r="BO31" i="5" a="1"/>
  <c r="BO31" i="5" s="1"/>
  <c r="BK31" i="5" a="1"/>
  <c r="BK31" i="5" s="1"/>
  <c r="CU31" i="5"/>
  <c r="CQ31" i="5"/>
  <c r="CT31" i="5"/>
  <c r="CR31" i="5"/>
  <c r="CS31" i="5"/>
  <c r="CW31" i="5"/>
  <c r="CV31" i="5"/>
  <c r="AY31" i="5" a="1"/>
  <c r="AY31" i="5" s="1"/>
  <c r="BL31" i="5" a="1"/>
  <c r="BL31" i="5" s="1"/>
  <c r="BD31" i="5" a="1"/>
  <c r="BD31" i="5" s="1"/>
  <c r="BA31" i="5" a="1"/>
  <c r="BA31" i="5" s="1"/>
  <c r="BB31" i="5" a="1"/>
  <c r="BB31" i="5" s="1"/>
  <c r="BI31" i="5" a="1"/>
  <c r="BI31" i="5" s="1"/>
  <c r="BM31" i="5" a="1"/>
  <c r="BM31" i="5" s="1"/>
  <c r="BQ31" i="5" a="1"/>
  <c r="BQ31" i="5" s="1"/>
  <c r="V29" i="2"/>
  <c r="CU25" i="8"/>
  <c r="F34" i="8"/>
  <c r="BP30" i="5" a="1"/>
  <c r="BP30" i="5" s="1"/>
  <c r="J30" i="2" s="1"/>
  <c r="O35" i="1"/>
  <c r="BT26" i="8"/>
  <c r="BO26" i="8"/>
  <c r="BP26" i="8"/>
  <c r="BM26" i="8"/>
  <c r="BN26" i="8"/>
  <c r="BK26" i="8"/>
  <c r="BL26" i="8"/>
  <c r="BJ26" i="8"/>
  <c r="AC26" i="10"/>
  <c r="X26" i="10" s="1"/>
  <c r="AH30" i="11"/>
  <c r="AS30" i="5"/>
  <c r="CD25" i="8"/>
  <c r="AK30" i="11"/>
  <c r="DF29" i="5"/>
  <c r="DE29" i="5"/>
  <c r="AJ30" i="1"/>
  <c r="DB29" i="5"/>
  <c r="AF28" i="1"/>
  <c r="K32" i="11"/>
  <c r="A32" i="14"/>
  <c r="CA32" i="14" s="1"/>
  <c r="A32" i="8"/>
  <c r="A32" i="2"/>
  <c r="A32" i="5"/>
  <c r="A32" i="7"/>
  <c r="R32" i="7" s="1"/>
  <c r="A32" i="9"/>
  <c r="AE31" i="8"/>
  <c r="AU31" i="8"/>
  <c r="AM30" i="1"/>
  <c r="DH29" i="5"/>
  <c r="Y28" i="1"/>
  <c r="DJ29" i="5"/>
  <c r="W28" i="1"/>
  <c r="BT31" i="14" a="1"/>
  <c r="BT31" i="14" s="1"/>
  <c r="AM31" i="14" a="1"/>
  <c r="AM31" i="14" s="1"/>
  <c r="AL31" i="14" a="1"/>
  <c r="AL31" i="14" s="1"/>
  <c r="U31" i="14" a="1"/>
  <c r="U31" i="14" s="1"/>
  <c r="BD31" i="14" a="1"/>
  <c r="BD31" i="14" s="1"/>
  <c r="BG31" i="14" a="1"/>
  <c r="BG31" i="14" s="1"/>
  <c r="Z31" i="14" a="1"/>
  <c r="Z31" i="14" s="1"/>
  <c r="AO31" i="14" a="1"/>
  <c r="AO31" i="14" s="1"/>
  <c r="AU31" i="14" a="1"/>
  <c r="AU31" i="14"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Q25" i="5"/>
  <c r="DB25" i="8"/>
  <c r="B25" i="14"/>
  <c r="D27" i="9"/>
  <c r="AH29" i="5"/>
  <c r="BU29" i="5"/>
  <c r="B29" i="2"/>
  <c r="B29" i="1"/>
  <c r="BG29" i="1" s="1"/>
  <c r="BZ31" i="11"/>
  <c r="AA30" i="7"/>
  <c r="AF30" i="8" s="1"/>
  <c r="AV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S24" i="8"/>
  <c r="BX26" i="8"/>
  <c r="CD26" i="8" s="1"/>
  <c r="CI26" i="8"/>
  <c r="DA26" i="8" s="1"/>
  <c r="DH27" i="8"/>
  <c r="DI27" i="8" s="1"/>
  <c r="CK27" i="8"/>
  <c r="BW27" i="8"/>
  <c r="AC27" i="1" s="1"/>
  <c r="N26" i="7"/>
  <c r="BH27" i="8"/>
  <c r="BU27" i="8" s="1"/>
  <c r="BI27" i="8"/>
  <c r="AH38" i="9"/>
  <c r="AA25" i="11"/>
  <c r="AK25" i="1" s="1"/>
  <c r="Z25" i="11"/>
  <c r="AC25" i="11"/>
  <c r="U25" i="8" s="1"/>
  <c r="AD25" i="11"/>
  <c r="AI25" i="1" s="1"/>
  <c r="N26" i="11"/>
  <c r="AB25" i="11"/>
  <c r="Q25" i="8" s="1"/>
  <c r="Y25" i="11"/>
  <c r="AH25" i="1" s="1"/>
  <c r="CZ29" i="5"/>
  <c r="C28" i="5"/>
  <c r="F28" i="5" s="1"/>
  <c r="CH26" i="8"/>
  <c r="CZ26" i="8" s="1"/>
  <c r="CA26" i="8"/>
  <c r="BY26" i="8"/>
  <c r="CQ26" i="8" s="1"/>
  <c r="BZ26" i="8"/>
  <c r="CR26" i="8" s="1"/>
  <c r="CC26" i="8"/>
  <c r="CB26" i="8"/>
  <c r="CT26" i="8" s="1"/>
  <c r="A27" i="11"/>
  <c r="B27" i="9"/>
  <c r="Y27" i="9" s="1"/>
  <c r="B27" i="7"/>
  <c r="AJ27" i="5"/>
  <c r="AP27" i="5" s="1"/>
  <c r="AC27" i="8"/>
  <c r="BQ27" i="8" s="1"/>
  <c r="BT27" i="5"/>
  <c r="AI27" i="5"/>
  <c r="X27" i="8"/>
  <c r="DD27" i="8" s="1"/>
  <c r="E27" i="1"/>
  <c r="A27" i="10"/>
  <c r="AA27" i="10" s="1"/>
  <c r="Q26" i="7"/>
  <c r="AE26" i="7"/>
  <c r="AF26" i="7" s="1"/>
  <c r="C29" i="5"/>
  <c r="DA28" i="5"/>
  <c r="DG28" i="5" s="1" a="1"/>
  <c r="DG28" i="5" s="1"/>
  <c r="DI29" i="5"/>
  <c r="AB29" i="1"/>
  <c r="AG38" i="9"/>
  <c r="AK38" i="9"/>
  <c r="AE100" i="9"/>
  <c r="B24" i="14"/>
  <c r="N14" i="1"/>
  <c r="S31" i="2"/>
  <c r="N32" i="2"/>
  <c r="R32" i="2"/>
  <c r="Q31" i="2"/>
  <c r="J33" i="10"/>
  <c r="N33" i="5" s="1"/>
  <c r="P33" i="2"/>
  <c r="AN39" i="9" l="1"/>
  <c r="BK40" i="11" s="1"/>
  <c r="AI40" i="11" s="1"/>
  <c r="CV26" i="8"/>
  <c r="CW26" i="8" s="1"/>
  <c r="AS26" i="8"/>
  <c r="AQ54" i="9"/>
  <c r="AO27" i="5"/>
  <c r="AM27" i="5"/>
  <c r="AN27" i="5"/>
  <c r="AR27" i="5" s="1"/>
  <c r="AV28" i="5"/>
  <c r="AW28" i="5"/>
  <c r="AG26" i="7"/>
  <c r="AI26" i="7" s="1"/>
  <c r="AI49" i="9"/>
  <c r="AO49" i="8" s="1"/>
  <c r="CL28" i="8"/>
  <c r="G33" i="8"/>
  <c r="CF32" i="8"/>
  <c r="O32" i="2"/>
  <c r="BM32" i="5" a="1"/>
  <c r="BM32" i="5" s="1"/>
  <c r="BJ32" i="5" a="1"/>
  <c r="BJ32" i="5" s="1"/>
  <c r="BI32" i="5" a="1"/>
  <c r="BI32" i="5" s="1"/>
  <c r="BB32" i="5" a="1"/>
  <c r="BB32" i="5" s="1"/>
  <c r="BK32" i="5" a="1"/>
  <c r="BK32" i="5" s="1"/>
  <c r="BQ32" i="5" a="1"/>
  <c r="BQ32" i="5" s="1"/>
  <c r="BA32" i="5" a="1"/>
  <c r="BA32" i="5" s="1"/>
  <c r="BO32" i="5" a="1"/>
  <c r="BO32" i="5" s="1"/>
  <c r="AM39" i="9"/>
  <c r="K39" i="8" s="1"/>
  <c r="BR27" i="8"/>
  <c r="BS27" i="8"/>
  <c r="AD30" i="1"/>
  <c r="BG32" i="5" a="1"/>
  <c r="BG32" i="5" s="1"/>
  <c r="BH32" i="5" a="1"/>
  <c r="BH32" i="5" s="1"/>
  <c r="AZ32" i="5" a="1"/>
  <c r="AZ32" i="5" s="1"/>
  <c r="BD32" i="5" a="1"/>
  <c r="BD32" i="5" s="1"/>
  <c r="BN32" i="5" a="1"/>
  <c r="BN32" i="5" s="1"/>
  <c r="BE32" i="5" a="1"/>
  <c r="BE32" i="5" s="1"/>
  <c r="BF32" i="5" a="1"/>
  <c r="BF32" i="5" s="1"/>
  <c r="AE31" i="1" s="1"/>
  <c r="CV32" i="5"/>
  <c r="CT32" i="5"/>
  <c r="CS32" i="5"/>
  <c r="CR32" i="5"/>
  <c r="CU32" i="5"/>
  <c r="CQ32" i="5"/>
  <c r="CW32" i="5"/>
  <c r="AY32" i="5" a="1"/>
  <c r="AY32" i="5" s="1"/>
  <c r="BL32" i="5" a="1"/>
  <c r="BL32" i="5" s="1"/>
  <c r="BC32" i="5" a="1"/>
  <c r="BC32" i="5" s="1"/>
  <c r="V30" i="2"/>
  <c r="CS25" i="8"/>
  <c r="F35" i="8"/>
  <c r="BP31" i="5" a="1"/>
  <c r="BP31" i="5" s="1"/>
  <c r="J31" i="2" s="1"/>
  <c r="E28" i="1"/>
  <c r="O36" i="1"/>
  <c r="BX27" i="8"/>
  <c r="CD27" i="8" s="1"/>
  <c r="BT27" i="8"/>
  <c r="BO27" i="8"/>
  <c r="BP27" i="8"/>
  <c r="BM27" i="8"/>
  <c r="BN27" i="8"/>
  <c r="BK27" i="8"/>
  <c r="BL27" i="8"/>
  <c r="BJ27" i="8"/>
  <c r="AC27" i="10"/>
  <c r="X27" i="10" s="1"/>
  <c r="AH31" i="11"/>
  <c r="AS31" i="5"/>
  <c r="CY25" i="8"/>
  <c r="DE30" i="5"/>
  <c r="DF30" i="5"/>
  <c r="DB30" i="5"/>
  <c r="AJ31" i="1"/>
  <c r="DH30" i="5"/>
  <c r="AF29" i="1"/>
  <c r="AM31" i="1"/>
  <c r="W29" i="1"/>
  <c r="AU32" i="8"/>
  <c r="AE32" i="8"/>
  <c r="K33" i="11"/>
  <c r="A33" i="14"/>
  <c r="CA33" i="14" s="1"/>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E32" i="14" a="1"/>
  <c r="AE32" i="14" s="1"/>
  <c r="AL32" i="14" a="1"/>
  <c r="AL32" i="14" s="1"/>
  <c r="AK31" i="11"/>
  <c r="Y29" i="1"/>
  <c r="DJ30" i="5"/>
  <c r="F29" i="5"/>
  <c r="B30" i="5"/>
  <c r="B30" i="2"/>
  <c r="BU30" i="5"/>
  <c r="B30" i="1"/>
  <c r="BG30" i="1" s="1"/>
  <c r="AH30" i="5"/>
  <c r="BZ32" i="11"/>
  <c r="AA31" i="7"/>
  <c r="AF31" i="8" s="1"/>
  <c r="AV31" i="8" s="1"/>
  <c r="K31" i="10"/>
  <c r="L31" i="11"/>
  <c r="M31" i="5"/>
  <c r="H30" i="10"/>
  <c r="J30" i="7"/>
  <c r="K31" i="5"/>
  <c r="F30" i="10"/>
  <c r="H30" i="7"/>
  <c r="DD30" i="5"/>
  <c r="J31" i="5"/>
  <c r="DC31" i="5" s="1"/>
  <c r="E30" i="10"/>
  <c r="G30" i="7"/>
  <c r="H31" i="5"/>
  <c r="C30" i="10"/>
  <c r="E30" i="7"/>
  <c r="I31" i="5"/>
  <c r="D30" i="10"/>
  <c r="F30" i="7"/>
  <c r="G31" i="5"/>
  <c r="B30" i="10"/>
  <c r="D30" i="7"/>
  <c r="L31" i="5"/>
  <c r="G30" i="10"/>
  <c r="I30" i="7"/>
  <c r="CU26" i="8"/>
  <c r="D28" i="9"/>
  <c r="CE26" i="8"/>
  <c r="DB26" i="8"/>
  <c r="CI27" i="8"/>
  <c r="DA27" i="8" s="1"/>
  <c r="DH28" i="8"/>
  <c r="DI28" i="8" s="1"/>
  <c r="CK28" i="8"/>
  <c r="BW28" i="8"/>
  <c r="AC28" i="1" s="1"/>
  <c r="N27" i="7"/>
  <c r="BH28" i="8"/>
  <c r="BU28" i="8" s="1"/>
  <c r="BI28" i="8"/>
  <c r="AH39" i="9"/>
  <c r="AQ26" i="5"/>
  <c r="CZ30" i="5"/>
  <c r="BZ27" i="8"/>
  <c r="CR27" i="8" s="1"/>
  <c r="CC27" i="8"/>
  <c r="CH27" i="8"/>
  <c r="CZ27" i="8" s="1"/>
  <c r="CB27" i="8"/>
  <c r="CT27" i="8" s="1"/>
  <c r="BY27" i="8"/>
  <c r="CQ27" i="8" s="1"/>
  <c r="CA27" i="8"/>
  <c r="AC26" i="11"/>
  <c r="U26" i="8" s="1"/>
  <c r="AA26" i="11"/>
  <c r="AK26" i="1" s="1"/>
  <c r="Y26" i="11"/>
  <c r="AH26" i="1" s="1"/>
  <c r="N27" i="11"/>
  <c r="Z26" i="11"/>
  <c r="AB26" i="11"/>
  <c r="Q26" i="8" s="1"/>
  <c r="AD26" i="11"/>
  <c r="AI26" i="1" s="1"/>
  <c r="AC28" i="8"/>
  <c r="BQ28" i="8" s="1"/>
  <c r="BT28" i="5"/>
  <c r="AJ28" i="5"/>
  <c r="AP28" i="5" s="1"/>
  <c r="A28" i="10"/>
  <c r="AA28" i="10" s="1"/>
  <c r="B28" i="7"/>
  <c r="X28" i="8"/>
  <c r="DD28" i="8" s="1"/>
  <c r="AI28" i="5"/>
  <c r="B28" i="9"/>
  <c r="Y28" i="9" s="1"/>
  <c r="A28" i="11"/>
  <c r="AE27" i="7"/>
  <c r="AF27" i="7" s="1"/>
  <c r="Q27" i="7"/>
  <c r="C30" i="5"/>
  <c r="DA29" i="5"/>
  <c r="DG29" i="5" s="1" a="1"/>
  <c r="DG29" i="5" s="1"/>
  <c r="AB30" i="1"/>
  <c r="DI30" i="5"/>
  <c r="AG39" i="9"/>
  <c r="AK39" i="9"/>
  <c r="AE101" i="9"/>
  <c r="N15" i="1"/>
  <c r="S32" i="2"/>
  <c r="N33" i="2"/>
  <c r="R33" i="2"/>
  <c r="Q32" i="2"/>
  <c r="J34" i="10"/>
  <c r="N34" i="5" s="1"/>
  <c r="P34" i="2"/>
  <c r="AN40" i="9" l="1"/>
  <c r="BK41" i="11" s="1"/>
  <c r="AI41" i="11" s="1"/>
  <c r="CX26" i="8"/>
  <c r="CY26" i="8" s="1"/>
  <c r="CV27" i="8"/>
  <c r="CW27" i="8" s="1"/>
  <c r="AS27" i="8"/>
  <c r="AQ55" i="9"/>
  <c r="AO28" i="5"/>
  <c r="AM28" i="5"/>
  <c r="AN28" i="5"/>
  <c r="AR28" i="5" s="1"/>
  <c r="AV29" i="5"/>
  <c r="AW29" i="5"/>
  <c r="AG27" i="7"/>
  <c r="AI27" i="7" s="1"/>
  <c r="AI50" i="9"/>
  <c r="AO50" i="8" s="1"/>
  <c r="CL29" i="8"/>
  <c r="G34" i="8"/>
  <c r="CF33" i="8"/>
  <c r="O33" i="2"/>
  <c r="BB33" i="5" a="1"/>
  <c r="BB33" i="5" s="1"/>
  <c r="BF33" i="5" a="1"/>
  <c r="BF33" i="5" s="1"/>
  <c r="AE32" i="1" s="1"/>
  <c r="BE33" i="5" a="1"/>
  <c r="BE33" i="5" s="1"/>
  <c r="BN33" i="5" a="1"/>
  <c r="BN33" i="5" s="1"/>
  <c r="BQ33" i="5" a="1"/>
  <c r="BQ33" i="5" s="1"/>
  <c r="AM40" i="9"/>
  <c r="K40" i="8" s="1"/>
  <c r="BR28" i="8"/>
  <c r="BS28" i="8"/>
  <c r="AD31" i="1"/>
  <c r="BD33" i="5" a="1"/>
  <c r="BD33" i="5" s="1"/>
  <c r="AZ33" i="5" a="1"/>
  <c r="AZ33" i="5" s="1"/>
  <c r="BC33" i="5" a="1"/>
  <c r="BC33" i="5" s="1"/>
  <c r="BA33" i="5" a="1"/>
  <c r="BA33" i="5" s="1"/>
  <c r="BH33" i="5" a="1"/>
  <c r="BH33" i="5" s="1"/>
  <c r="BG33" i="5" a="1"/>
  <c r="BG33" i="5" s="1"/>
  <c r="CR33" i="5"/>
  <c r="CW33" i="5"/>
  <c r="CT33" i="5"/>
  <c r="CU33" i="5"/>
  <c r="CV33" i="5"/>
  <c r="CS33" i="5"/>
  <c r="CQ33" i="5"/>
  <c r="AY33" i="5" a="1"/>
  <c r="AY33" i="5" s="1"/>
  <c r="BL33" i="5" a="1"/>
  <c r="BL33" i="5" s="1"/>
  <c r="BI33" i="5" a="1"/>
  <c r="BI33" i="5" s="1"/>
  <c r="BJ33" i="5" a="1"/>
  <c r="BJ33" i="5" s="1"/>
  <c r="BM33" i="5" a="1"/>
  <c r="BM33" i="5" s="1"/>
  <c r="BO33" i="5" a="1"/>
  <c r="BO33" i="5" s="1"/>
  <c r="BK33" i="5" a="1"/>
  <c r="BK33" i="5" s="1"/>
  <c r="V31" i="2"/>
  <c r="F36" i="8"/>
  <c r="BP32" i="5" a="1"/>
  <c r="BP32" i="5" s="1"/>
  <c r="J32" i="2" s="1"/>
  <c r="DH29" i="8"/>
  <c r="DI29" i="8" s="1"/>
  <c r="O37" i="1"/>
  <c r="CE27" i="8"/>
  <c r="BX28" i="8"/>
  <c r="CD28" i="8" s="1"/>
  <c r="BT28" i="8"/>
  <c r="BO28" i="8"/>
  <c r="BP28" i="8"/>
  <c r="BM28" i="8"/>
  <c r="BN28" i="8"/>
  <c r="BK28" i="8"/>
  <c r="BL28" i="8"/>
  <c r="BJ28" i="8"/>
  <c r="AC28" i="10"/>
  <c r="X28" i="10" s="1"/>
  <c r="AH32" i="11"/>
  <c r="AS32" i="5"/>
  <c r="E29" i="1"/>
  <c r="DB31" i="5"/>
  <c r="DF31" i="5"/>
  <c r="AK32" i="11"/>
  <c r="AJ32" i="1"/>
  <c r="AU33" i="8"/>
  <c r="AE33" i="8"/>
  <c r="AF30" i="1"/>
  <c r="AU33" i="14" a="1"/>
  <c r="AU33" i="14"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CA34" i="14" s="1"/>
  <c r="A34" i="8"/>
  <c r="A34" i="2"/>
  <c r="A34" i="5"/>
  <c r="A34" i="7"/>
  <c r="R34" i="7" s="1"/>
  <c r="A34" i="9"/>
  <c r="AM32" i="1"/>
  <c r="DH31" i="5"/>
  <c r="W30" i="1"/>
  <c r="Y30" i="1"/>
  <c r="DJ31" i="5"/>
  <c r="B29" i="9"/>
  <c r="Y29" i="9" s="1"/>
  <c r="A29" i="10"/>
  <c r="AA29" i="10" s="1"/>
  <c r="BW29" i="8"/>
  <c r="BT29" i="5"/>
  <c r="AC29" i="8"/>
  <c r="BQ29" i="8" s="1"/>
  <c r="CK29" i="8"/>
  <c r="A29" i="11"/>
  <c r="N29" i="11" s="1"/>
  <c r="AJ29" i="5"/>
  <c r="AP29" i="5" s="1"/>
  <c r="BI29" i="8"/>
  <c r="AI29" i="5"/>
  <c r="BH29" i="8"/>
  <c r="BU29" i="8" s="1"/>
  <c r="X29" i="8"/>
  <c r="DD29" i="8" s="1"/>
  <c r="B29" i="7"/>
  <c r="AE29" i="7" s="1"/>
  <c r="AF29" i="7" s="1"/>
  <c r="F30" i="5"/>
  <c r="BU31" i="5"/>
  <c r="B31" i="2"/>
  <c r="AH31" i="5"/>
  <c r="B31" i="1"/>
  <c r="BG31" i="1" s="1"/>
  <c r="B31" i="5"/>
  <c r="BZ33" i="11"/>
  <c r="K32" i="10"/>
  <c r="AA32" i="7"/>
  <c r="AF32" i="8" s="1"/>
  <c r="AV32" i="8" s="1"/>
  <c r="L32" i="11"/>
  <c r="J32" i="5"/>
  <c r="DC32" i="5" s="1"/>
  <c r="E31" i="10"/>
  <c r="G31" i="7"/>
  <c r="L32" i="5"/>
  <c r="G31" i="10"/>
  <c r="I31" i="7"/>
  <c r="I32" i="5"/>
  <c r="D31" i="10"/>
  <c r="F31" i="7"/>
  <c r="DE31" i="5"/>
  <c r="K32" i="5"/>
  <c r="F31" i="10"/>
  <c r="H31" i="7"/>
  <c r="DD31" i="5"/>
  <c r="D31" i="7"/>
  <c r="B31" i="10"/>
  <c r="G32" i="5"/>
  <c r="H32" i="5"/>
  <c r="C31" i="10"/>
  <c r="E31" i="7"/>
  <c r="M32" i="5"/>
  <c r="H31" i="10"/>
  <c r="J31" i="7"/>
  <c r="CS26" i="8"/>
  <c r="CU27" i="8"/>
  <c r="D29" i="9"/>
  <c r="DB27" i="8"/>
  <c r="CI28" i="8"/>
  <c r="DA28" i="8" s="1"/>
  <c r="N28" i="7"/>
  <c r="AH40" i="9"/>
  <c r="B27" i="14"/>
  <c r="AQ27" i="5"/>
  <c r="BZ28" i="8"/>
  <c r="CR28" i="8" s="1"/>
  <c r="CC28" i="8"/>
  <c r="BY28" i="8"/>
  <c r="CQ28" i="8" s="1"/>
  <c r="CH28" i="8"/>
  <c r="CZ28" i="8" s="1"/>
  <c r="CB28" i="8"/>
  <c r="CT28" i="8" s="1"/>
  <c r="CA28" i="8"/>
  <c r="N28" i="11"/>
  <c r="AA27" i="11"/>
  <c r="AK27" i="1" s="1"/>
  <c r="AC27" i="11"/>
  <c r="U27" i="8" s="1"/>
  <c r="Y27" i="11"/>
  <c r="AH27" i="1" s="1"/>
  <c r="AB27" i="11"/>
  <c r="Q27" i="8" s="1"/>
  <c r="AD27" i="11"/>
  <c r="AI27" i="1" s="1"/>
  <c r="Z27" i="11"/>
  <c r="CZ31" i="5"/>
  <c r="AE28" i="7"/>
  <c r="AF28" i="7" s="1"/>
  <c r="Q28" i="7"/>
  <c r="AB31" i="1"/>
  <c r="DI31" i="5"/>
  <c r="C31" i="5"/>
  <c r="DA30" i="5"/>
  <c r="DG30" i="5" s="1" a="1"/>
  <c r="DG30" i="5" s="1"/>
  <c r="AG40" i="9"/>
  <c r="AK40" i="9"/>
  <c r="AE102" i="9"/>
  <c r="N16" i="1"/>
  <c r="S33" i="2"/>
  <c r="N34" i="2"/>
  <c r="R34" i="2"/>
  <c r="Q33" i="2"/>
  <c r="J35" i="10"/>
  <c r="N35" i="5" s="1"/>
  <c r="P35" i="2"/>
  <c r="AN41" i="9" l="1"/>
  <c r="BK42" i="11" s="1"/>
  <c r="AI42" i="11" s="1"/>
  <c r="CX27" i="8"/>
  <c r="CY27" i="8" s="1"/>
  <c r="CV28" i="8"/>
  <c r="CW28" i="8" s="1"/>
  <c r="AS28" i="8"/>
  <c r="AQ56" i="9"/>
  <c r="AO29" i="5"/>
  <c r="AM29" i="5"/>
  <c r="AN29" i="5"/>
  <c r="AR29" i="5" s="1"/>
  <c r="AV30" i="5"/>
  <c r="AW30" i="5"/>
  <c r="AG28" i="7"/>
  <c r="AI28" i="7" s="1"/>
  <c r="AG29" i="7"/>
  <c r="AI51" i="9"/>
  <c r="AO51" i="8" s="1"/>
  <c r="CL30" i="8"/>
  <c r="CH29" i="8"/>
  <c r="CZ29" i="8" s="1"/>
  <c r="AC29" i="1"/>
  <c r="G35" i="8"/>
  <c r="CF34" i="8"/>
  <c r="O34" i="2"/>
  <c r="AD32" i="1"/>
  <c r="BQ34" i="5" a="1"/>
  <c r="BQ34" i="5" s="1"/>
  <c r="AM41" i="9"/>
  <c r="K41" i="8" s="1"/>
  <c r="BR29" i="8"/>
  <c r="BS29" i="8"/>
  <c r="BK34" i="5" a="1"/>
  <c r="BK34" i="5" s="1"/>
  <c r="BG34" i="5" a="1"/>
  <c r="BG34" i="5" s="1"/>
  <c r="BO34" i="5" a="1"/>
  <c r="BO34" i="5" s="1"/>
  <c r="BM34" i="5" a="1"/>
  <c r="BM34" i="5" s="1"/>
  <c r="BH34" i="5" a="1"/>
  <c r="BH34" i="5" s="1"/>
  <c r="CT34" i="5"/>
  <c r="CU34" i="5"/>
  <c r="CS34" i="5"/>
  <c r="CW34" i="5"/>
  <c r="CV34" i="5"/>
  <c r="CQ34" i="5"/>
  <c r="CR34" i="5"/>
  <c r="AY34" i="5" a="1"/>
  <c r="AY34" i="5" s="1"/>
  <c r="BL34" i="5" a="1"/>
  <c r="BL34" i="5" s="1"/>
  <c r="BF34" i="5" a="1"/>
  <c r="BF34" i="5" s="1"/>
  <c r="AE33" i="1" s="1"/>
  <c r="BA34" i="5" a="1"/>
  <c r="BA34" i="5" s="1"/>
  <c r="BJ34" i="5" a="1"/>
  <c r="BJ34" i="5" s="1"/>
  <c r="BC34" i="5" a="1"/>
  <c r="BC34" i="5" s="1"/>
  <c r="BN34" i="5" a="1"/>
  <c r="BN34" i="5" s="1"/>
  <c r="AZ34" i="5" a="1"/>
  <c r="AZ34" i="5" s="1"/>
  <c r="BI34" i="5" a="1"/>
  <c r="BI34" i="5" s="1"/>
  <c r="BD34" i="5" a="1"/>
  <c r="BD34" i="5" s="1"/>
  <c r="BE34" i="5" a="1"/>
  <c r="BE34" i="5" s="1"/>
  <c r="BB34" i="5" a="1"/>
  <c r="BB34" i="5" s="1"/>
  <c r="V32" i="2"/>
  <c r="CI29" i="8"/>
  <c r="DA29" i="8" s="1"/>
  <c r="F37" i="8"/>
  <c r="BP33" i="5" a="1"/>
  <c r="BP33" i="5" s="1"/>
  <c r="J33" i="2" s="1"/>
  <c r="DH30" i="8"/>
  <c r="DI30" i="8" s="1"/>
  <c r="O38" i="1"/>
  <c r="CE28" i="8"/>
  <c r="BT29" i="8"/>
  <c r="BO29" i="8"/>
  <c r="BP29" i="8"/>
  <c r="BM29" i="8"/>
  <c r="BN29" i="8"/>
  <c r="BK29" i="8"/>
  <c r="BL29" i="8"/>
  <c r="BJ29" i="8"/>
  <c r="AC29" i="10"/>
  <c r="X29" i="10" s="1"/>
  <c r="AH33" i="11"/>
  <c r="AS33" i="5"/>
  <c r="AK33" i="11"/>
  <c r="AM33" i="1"/>
  <c r="DF32" i="5"/>
  <c r="DE32" i="5"/>
  <c r="AF31" i="1"/>
  <c r="AU34" i="8"/>
  <c r="AE34" i="8"/>
  <c r="Y31" i="1"/>
  <c r="DJ32" i="5"/>
  <c r="K35" i="11"/>
  <c r="A35" i="14"/>
  <c r="CA35" i="14" s="1"/>
  <c r="A35" i="7"/>
  <c r="R35" i="7" s="1"/>
  <c r="A35" i="5"/>
  <c r="A35" i="9"/>
  <c r="A35" i="8"/>
  <c r="A35" i="2"/>
  <c r="DH32" i="5"/>
  <c r="AJ33" i="1"/>
  <c r="DB32" i="5"/>
  <c r="W31" i="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CB29" i="8"/>
  <c r="CT29" i="8" s="1"/>
  <c r="CA29" i="8"/>
  <c r="BZ29" i="8"/>
  <c r="CR29" i="8" s="1"/>
  <c r="CC29" i="8"/>
  <c r="BY29" i="8"/>
  <c r="CQ29" i="8" s="1"/>
  <c r="AA28" i="11"/>
  <c r="AK28" i="1" s="1"/>
  <c r="N29" i="7"/>
  <c r="Y28" i="11"/>
  <c r="AH28" i="1" s="1"/>
  <c r="Z28" i="11"/>
  <c r="AD28" i="11"/>
  <c r="AI28" i="1" s="1"/>
  <c r="AC28" i="11"/>
  <c r="U28" i="8" s="1"/>
  <c r="AB28" i="11"/>
  <c r="Q28" i="8" s="1"/>
  <c r="Q29" i="7"/>
  <c r="BX29" i="8"/>
  <c r="CD29" i="8" s="1"/>
  <c r="D30" i="9"/>
  <c r="X30" i="8"/>
  <c r="DD30" i="8" s="1"/>
  <c r="A30" i="10"/>
  <c r="AA30" i="10" s="1"/>
  <c r="BH30" i="8"/>
  <c r="BU30" i="8" s="1"/>
  <c r="AJ30" i="5"/>
  <c r="AP30" i="5" s="1"/>
  <c r="B30" i="7"/>
  <c r="Q30" i="7" s="1"/>
  <c r="A30" i="11"/>
  <c r="AA29" i="11" s="1"/>
  <c r="AK29" i="1" s="1"/>
  <c r="BT30" i="5"/>
  <c r="CK30" i="8"/>
  <c r="B30" i="9"/>
  <c r="Y30" i="9" s="1"/>
  <c r="AC30" i="8"/>
  <c r="BQ30" i="8" s="1"/>
  <c r="AI30" i="5"/>
  <c r="BI30" i="8"/>
  <c r="E30" i="1"/>
  <c r="B32" i="5"/>
  <c r="BW30" i="8"/>
  <c r="F31" i="5"/>
  <c r="BZ34" i="11"/>
  <c r="AA33" i="7"/>
  <c r="AF33" i="8" s="1"/>
  <c r="AV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S27" i="8"/>
  <c r="CU28" i="8"/>
  <c r="DB28" i="8"/>
  <c r="AH41" i="9"/>
  <c r="B28" i="14"/>
  <c r="AQ28" i="5"/>
  <c r="CZ32" i="5"/>
  <c r="C32" i="5"/>
  <c r="DA31" i="5"/>
  <c r="DG31" i="5" s="1" a="1"/>
  <c r="DG31" i="5" s="1"/>
  <c r="AB32" i="1"/>
  <c r="DI32" i="5"/>
  <c r="AG41" i="9"/>
  <c r="AK41" i="9"/>
  <c r="AE103" i="9"/>
  <c r="B29" i="14"/>
  <c r="N17" i="1"/>
  <c r="S34" i="2"/>
  <c r="N35" i="2"/>
  <c r="R35" i="2"/>
  <c r="Q34" i="2"/>
  <c r="P36" i="2"/>
  <c r="J36" i="10"/>
  <c r="N36" i="5" s="1"/>
  <c r="AN42" i="9" l="1"/>
  <c r="BK43" i="11" s="1"/>
  <c r="AI43" i="11" s="1"/>
  <c r="CX28" i="8"/>
  <c r="CY28" i="8" s="1"/>
  <c r="CV29" i="8"/>
  <c r="CW29" i="8" s="1"/>
  <c r="AS29" i="8"/>
  <c r="AQ57" i="9"/>
  <c r="AO30" i="5"/>
  <c r="AM30" i="5"/>
  <c r="AN30" i="5"/>
  <c r="AR30" i="5" s="1"/>
  <c r="AV31" i="5"/>
  <c r="AW31" i="5"/>
  <c r="AI29" i="7"/>
  <c r="AI52" i="9"/>
  <c r="AO52" i="8" s="1"/>
  <c r="CL31" i="8"/>
  <c r="DB29" i="8"/>
  <c r="CH30" i="8"/>
  <c r="CZ30" i="8" s="1"/>
  <c r="AC30" i="1"/>
  <c r="G36" i="8"/>
  <c r="CF35" i="8"/>
  <c r="O35" i="2"/>
  <c r="AM42" i="9"/>
  <c r="K42" i="8" s="1"/>
  <c r="BR30" i="8"/>
  <c r="BS30" i="8"/>
  <c r="AD33" i="1"/>
  <c r="BB35" i="5" a="1"/>
  <c r="BB35" i="5" s="1"/>
  <c r="BE35" i="5" a="1"/>
  <c r="BE35" i="5" s="1"/>
  <c r="BD35" i="5" a="1"/>
  <c r="BD35" i="5" s="1"/>
  <c r="BI35" i="5" a="1"/>
  <c r="BI35" i="5" s="1"/>
  <c r="BH35" i="5" a="1"/>
  <c r="BH35" i="5" s="1"/>
  <c r="AZ35" i="5" a="1"/>
  <c r="AZ35" i="5" s="1"/>
  <c r="BM35" i="5" a="1"/>
  <c r="BM35" i="5" s="1"/>
  <c r="BN35" i="5" a="1"/>
  <c r="BN35" i="5" s="1"/>
  <c r="BO35" i="5" a="1"/>
  <c r="BO35" i="5" s="1"/>
  <c r="CT35" i="5"/>
  <c r="CS35" i="5"/>
  <c r="CV35" i="5"/>
  <c r="CW35" i="5"/>
  <c r="CR35" i="5"/>
  <c r="CU35" i="5"/>
  <c r="CQ35" i="5"/>
  <c r="AY35" i="5" a="1"/>
  <c r="AY35" i="5" s="1"/>
  <c r="BL35" i="5" a="1"/>
  <c r="BL35" i="5" s="1"/>
  <c r="BC35" i="5" a="1"/>
  <c r="BC35" i="5" s="1"/>
  <c r="BG35" i="5" a="1"/>
  <c r="BG35" i="5" s="1"/>
  <c r="BJ35" i="5" a="1"/>
  <c r="BJ35" i="5" s="1"/>
  <c r="BK35" i="5" a="1"/>
  <c r="BK35" i="5" s="1"/>
  <c r="BA35" i="5" a="1"/>
  <c r="BA35" i="5" s="1"/>
  <c r="BF35" i="5" a="1"/>
  <c r="BF35" i="5" s="1"/>
  <c r="AE34" i="1" s="1"/>
  <c r="BQ35" i="5" a="1"/>
  <c r="BQ35" i="5" s="1"/>
  <c r="V33" i="2"/>
  <c r="CI30" i="8"/>
  <c r="DA30" i="8" s="1"/>
  <c r="CU29" i="8"/>
  <c r="F38" i="8"/>
  <c r="BP34" i="5" a="1"/>
  <c r="BP34" i="5" s="1"/>
  <c r="J34" i="2" s="1"/>
  <c r="A31" i="10"/>
  <c r="AA31" i="10" s="1"/>
  <c r="O39" i="1"/>
  <c r="BT30" i="8"/>
  <c r="BO30" i="8"/>
  <c r="BP30" i="8"/>
  <c r="BM30" i="8"/>
  <c r="BN30" i="8"/>
  <c r="BK30" i="8"/>
  <c r="BL30" i="8"/>
  <c r="BJ30" i="8"/>
  <c r="AC30" i="10"/>
  <c r="X30" i="10" s="1"/>
  <c r="AS34" i="5"/>
  <c r="AK34" i="11"/>
  <c r="AQ29" i="5"/>
  <c r="DE33" i="5"/>
  <c r="AJ34" i="1"/>
  <c r="DB33" i="5"/>
  <c r="AU35" i="8"/>
  <c r="AE35" i="8"/>
  <c r="Y32" i="1"/>
  <c r="DJ33" i="5"/>
  <c r="AM34" i="1"/>
  <c r="DF33" i="5"/>
  <c r="W32" i="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R35" i="14" a="1"/>
  <c r="AR35" i="14" s="1"/>
  <c r="AF32" i="1"/>
  <c r="AH34" i="11"/>
  <c r="DH33" i="5"/>
  <c r="K36" i="11"/>
  <c r="A36" i="14"/>
  <c r="CA36" i="14" s="1"/>
  <c r="A36" i="7"/>
  <c r="R36" i="7" s="1"/>
  <c r="A36" i="9"/>
  <c r="A36" i="2"/>
  <c r="A36" i="8"/>
  <c r="A36" i="5"/>
  <c r="CE29" i="8"/>
  <c r="N30" i="7"/>
  <c r="DH31" i="8"/>
  <c r="DI31" i="8" s="1"/>
  <c r="D31" i="9"/>
  <c r="BX30" i="8"/>
  <c r="CD30" i="8" s="1"/>
  <c r="AC29" i="11"/>
  <c r="U29" i="8" s="1"/>
  <c r="Y29" i="11"/>
  <c r="AH29" i="1" s="1"/>
  <c r="Z29" i="11"/>
  <c r="CC30" i="8"/>
  <c r="CA30" i="8"/>
  <c r="AB29" i="11"/>
  <c r="Q29" i="8" s="1"/>
  <c r="N30" i="11"/>
  <c r="BZ30" i="8"/>
  <c r="CR30" i="8" s="1"/>
  <c r="BY30" i="8"/>
  <c r="CQ30" i="8" s="1"/>
  <c r="AD29" i="11"/>
  <c r="AI29" i="1" s="1"/>
  <c r="AE30" i="7"/>
  <c r="AF30" i="7" s="1"/>
  <c r="F32" i="5"/>
  <c r="B31" i="9"/>
  <c r="Y31" i="9" s="1"/>
  <c r="A31" i="11"/>
  <c r="AC30" i="11" s="1"/>
  <c r="U30" i="8" s="1"/>
  <c r="CB30" i="8"/>
  <c r="CT30" i="8" s="1"/>
  <c r="AI31" i="5"/>
  <c r="AJ31" i="5"/>
  <c r="AP31" i="5" s="1"/>
  <c r="BT31" i="5"/>
  <c r="AC31" i="8"/>
  <c r="BQ31" i="8" s="1"/>
  <c r="X31" i="8"/>
  <c r="DD31" i="8" s="1"/>
  <c r="CK31" i="8"/>
  <c r="E31" i="1"/>
  <c r="BI31" i="8"/>
  <c r="BH31" i="8"/>
  <c r="BU31" i="8" s="1"/>
  <c r="BW31" i="8"/>
  <c r="B31" i="7"/>
  <c r="AE31" i="7" s="1"/>
  <c r="AF31" i="7" s="1"/>
  <c r="B33" i="5"/>
  <c r="B33" i="1"/>
  <c r="BG33" i="1" s="1"/>
  <c r="AH33" i="5"/>
  <c r="BU33" i="5"/>
  <c r="B33" i="2"/>
  <c r="BZ35" i="11"/>
  <c r="K34" i="10"/>
  <c r="AA34" i="7"/>
  <c r="AF34" i="8" s="1"/>
  <c r="AV34" i="8" s="1"/>
  <c r="L34" i="11"/>
  <c r="L34" i="5"/>
  <c r="G33" i="10"/>
  <c r="I33" i="7"/>
  <c r="J34" i="5"/>
  <c r="DC34" i="5" s="1"/>
  <c r="E33" i="10"/>
  <c r="G33" i="7"/>
  <c r="K34" i="5"/>
  <c r="F33" i="10"/>
  <c r="H33" i="7"/>
  <c r="DD33" i="5"/>
  <c r="I34" i="5"/>
  <c r="D33" i="10"/>
  <c r="F33" i="7"/>
  <c r="D33" i="7"/>
  <c r="B33" i="10"/>
  <c r="G34" i="5"/>
  <c r="H34" i="5"/>
  <c r="C33" i="10"/>
  <c r="E33" i="7"/>
  <c r="M34" i="5"/>
  <c r="H33" i="10"/>
  <c r="J33" i="7"/>
  <c r="CS28" i="8"/>
  <c r="AH42" i="9"/>
  <c r="CZ33" i="5"/>
  <c r="AB33" i="1"/>
  <c r="DI33" i="5"/>
  <c r="DA32" i="5"/>
  <c r="DG32" i="5" s="1" a="1"/>
  <c r="DG32" i="5" s="1"/>
  <c r="AG42" i="9"/>
  <c r="AK42" i="9"/>
  <c r="AE104" i="9"/>
  <c r="N18" i="1"/>
  <c r="S35" i="2"/>
  <c r="N36" i="2"/>
  <c r="R36" i="2"/>
  <c r="Q35" i="2"/>
  <c r="J37" i="10"/>
  <c r="N37" i="5" s="1"/>
  <c r="P37" i="2"/>
  <c r="AN43" i="9" l="1"/>
  <c r="BK44" i="11" s="1"/>
  <c r="AI44" i="11" s="1"/>
  <c r="CX29" i="8"/>
  <c r="CY29" i="8" s="1"/>
  <c r="CV30" i="8"/>
  <c r="CW30" i="8" s="1"/>
  <c r="AS30" i="8"/>
  <c r="AQ58" i="9"/>
  <c r="AO31" i="5"/>
  <c r="AM31" i="5"/>
  <c r="AN31" i="5"/>
  <c r="AR31" i="5" s="1"/>
  <c r="AV32" i="5"/>
  <c r="AW32" i="5"/>
  <c r="AI53" i="9"/>
  <c r="AO53" i="8" s="1"/>
  <c r="AG31" i="7"/>
  <c r="AG30" i="7"/>
  <c r="AI30" i="7" s="1"/>
  <c r="CL32" i="8"/>
  <c r="DB30" i="8"/>
  <c r="CC31" i="8"/>
  <c r="AC31" i="1"/>
  <c r="G37" i="8"/>
  <c r="CF36" i="8"/>
  <c r="O36" i="2"/>
  <c r="AM43" i="9"/>
  <c r="K43" i="8" s="1"/>
  <c r="BR31" i="8"/>
  <c r="BS31" i="8"/>
  <c r="AD34" i="1"/>
  <c r="CT36" i="5"/>
  <c r="CR36" i="5"/>
  <c r="CW36" i="5"/>
  <c r="CV36" i="5"/>
  <c r="CS36" i="5"/>
  <c r="CU36" i="5"/>
  <c r="CQ36" i="5"/>
  <c r="BL36" i="5" a="1"/>
  <c r="BL36" i="5" s="1"/>
  <c r="AY36" i="5" a="1"/>
  <c r="AY36" i="5" s="1"/>
  <c r="BQ36" i="5" a="1"/>
  <c r="BQ36" i="5" s="1"/>
  <c r="BO36" i="5" a="1"/>
  <c r="BO36" i="5" s="1"/>
  <c r="BF36" i="5" a="1"/>
  <c r="BF36" i="5" s="1"/>
  <c r="AE35" i="1" s="1"/>
  <c r="BN36" i="5" a="1"/>
  <c r="BN36" i="5" s="1"/>
  <c r="BA36" i="5" a="1"/>
  <c r="BA36" i="5" s="1"/>
  <c r="BM36" i="5" a="1"/>
  <c r="BM36" i="5" s="1"/>
  <c r="BK36" i="5" a="1"/>
  <c r="BK36" i="5" s="1"/>
  <c r="AZ36" i="5" a="1"/>
  <c r="AZ36" i="5" s="1"/>
  <c r="BJ36" i="5" a="1"/>
  <c r="BJ36" i="5" s="1"/>
  <c r="BH36" i="5" a="1"/>
  <c r="BH36" i="5" s="1"/>
  <c r="BG36" i="5" a="1"/>
  <c r="BG36" i="5" s="1"/>
  <c r="BI36" i="5" a="1"/>
  <c r="BI36" i="5" s="1"/>
  <c r="BC36" i="5" a="1"/>
  <c r="BC36" i="5" s="1"/>
  <c r="BD36" i="5" a="1"/>
  <c r="BD36" i="5" s="1"/>
  <c r="BE36" i="5" a="1"/>
  <c r="BE36" i="5" s="1"/>
  <c r="BB36" i="5" a="1"/>
  <c r="BB36" i="5" s="1"/>
  <c r="V34" i="2"/>
  <c r="CS29" i="8"/>
  <c r="CU30" i="8"/>
  <c r="F39" i="8"/>
  <c r="BP35" i="5" a="1"/>
  <c r="BP35" i="5" s="1"/>
  <c r="J35" i="2" s="1"/>
  <c r="BH32" i="8"/>
  <c r="BU32" i="8" s="1"/>
  <c r="O40" i="1"/>
  <c r="BX31" i="8"/>
  <c r="CD31" i="8" s="1"/>
  <c r="BT31" i="8"/>
  <c r="BO31" i="8"/>
  <c r="BP31" i="8"/>
  <c r="BM31" i="8"/>
  <c r="BN31" i="8"/>
  <c r="BK31" i="8"/>
  <c r="BL31" i="8"/>
  <c r="BJ31" i="8"/>
  <c r="AC31" i="10"/>
  <c r="X31" i="10" s="1"/>
  <c r="AS35" i="5"/>
  <c r="AH35" i="11"/>
  <c r="AK35" i="11"/>
  <c r="DB34" i="5"/>
  <c r="DF34" i="5"/>
  <c r="AU36" i="8"/>
  <c r="AE36" i="8"/>
  <c r="AM35" i="1"/>
  <c r="W33" i="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CA37" i="14" s="1"/>
  <c r="A37" i="9"/>
  <c r="A37" i="7"/>
  <c r="R37" i="7" s="1"/>
  <c r="A37" i="2"/>
  <c r="A37" i="5"/>
  <c r="A37" i="8"/>
  <c r="AJ35" i="1"/>
  <c r="AF33" i="1"/>
  <c r="B30" i="14"/>
  <c r="Z30" i="11"/>
  <c r="CE30" i="8"/>
  <c r="DH32" i="8"/>
  <c r="DI32" i="8" s="1"/>
  <c r="CI31" i="8"/>
  <c r="DA31" i="8" s="1"/>
  <c r="AQ30" i="5"/>
  <c r="X32" i="8"/>
  <c r="DD32" i="8" s="1"/>
  <c r="N31" i="11"/>
  <c r="AC32" i="8"/>
  <c r="BQ32" i="8" s="1"/>
  <c r="AD30" i="11"/>
  <c r="AI30" i="1" s="1"/>
  <c r="E32" i="1"/>
  <c r="A32" i="11"/>
  <c r="AD31" i="11" s="1"/>
  <c r="AI31" i="1" s="1"/>
  <c r="A32" i="10"/>
  <c r="AA32" i="10" s="1"/>
  <c r="BI32" i="8"/>
  <c r="BW32" i="8"/>
  <c r="AA30" i="11"/>
  <c r="AK30" i="1" s="1"/>
  <c r="AB30" i="11"/>
  <c r="Q30" i="8" s="1"/>
  <c r="B32" i="9"/>
  <c r="Y32" i="9" s="1"/>
  <c r="AI32" i="5"/>
  <c r="Y30" i="11"/>
  <c r="AH30" i="1" s="1"/>
  <c r="AJ32" i="5"/>
  <c r="AP32" i="5" s="1"/>
  <c r="B32" i="7"/>
  <c r="AE32" i="7" s="1"/>
  <c r="AF32" i="7" s="1"/>
  <c r="CK32" i="8"/>
  <c r="BT32" i="5"/>
  <c r="N31" i="7"/>
  <c r="CH31" i="8"/>
  <c r="CZ31" i="8" s="1"/>
  <c r="Q31" i="7"/>
  <c r="BZ31" i="8"/>
  <c r="CR31" i="8" s="1"/>
  <c r="CB31" i="8"/>
  <c r="CT31" i="8" s="1"/>
  <c r="D32" i="9"/>
  <c r="CA31" i="8"/>
  <c r="BY31" i="8"/>
  <c r="CQ31" i="8" s="1"/>
  <c r="B34" i="5"/>
  <c r="AH34" i="5"/>
  <c r="BU34" i="5"/>
  <c r="B34" i="1"/>
  <c r="BG34" i="1" s="1"/>
  <c r="B34" i="2"/>
  <c r="BZ36" i="11"/>
  <c r="AA35" i="7"/>
  <c r="AF35" i="8" s="1"/>
  <c r="K35" i="10"/>
  <c r="K35" i="5"/>
  <c r="F34" i="10"/>
  <c r="H34" i="7"/>
  <c r="DD34" i="5"/>
  <c r="M35" i="5"/>
  <c r="H34" i="10"/>
  <c r="J34" i="7"/>
  <c r="J35" i="5"/>
  <c r="DC35" i="5" s="1"/>
  <c r="E34" i="10"/>
  <c r="G34" i="7"/>
  <c r="H35" i="5"/>
  <c r="C34" i="10"/>
  <c r="E34" i="7"/>
  <c r="I35" i="5"/>
  <c r="D34" i="10"/>
  <c r="F34" i="7"/>
  <c r="G35" i="5"/>
  <c r="D34" i="7"/>
  <c r="B34" i="10"/>
  <c r="L35" i="5"/>
  <c r="G34" i="10"/>
  <c r="I34" i="7"/>
  <c r="AH43" i="9"/>
  <c r="C33" i="5"/>
  <c r="F33" i="5" s="1"/>
  <c r="CZ34" i="5"/>
  <c r="DA33" i="5"/>
  <c r="DG33" i="5" s="1" a="1"/>
  <c r="DG33" i="5" s="1"/>
  <c r="AB34" i="1"/>
  <c r="DI34" i="5"/>
  <c r="AG43" i="9"/>
  <c r="AK43" i="9"/>
  <c r="AE105" i="9"/>
  <c r="B31" i="14"/>
  <c r="N19" i="1"/>
  <c r="S36" i="2"/>
  <c r="N37" i="2"/>
  <c r="R37" i="2"/>
  <c r="Q36" i="2"/>
  <c r="J38" i="10"/>
  <c r="N38" i="5" s="1"/>
  <c r="P38" i="2"/>
  <c r="AN44" i="9" l="1"/>
  <c r="BK45" i="11" s="1"/>
  <c r="AI45" i="11" s="1"/>
  <c r="CX30" i="8"/>
  <c r="CY30" i="8" s="1"/>
  <c r="CV31" i="8"/>
  <c r="CW31" i="8" s="1"/>
  <c r="AS31" i="8"/>
  <c r="AQ59" i="9"/>
  <c r="AO32" i="5"/>
  <c r="AM32" i="5"/>
  <c r="AN32" i="5"/>
  <c r="AR32" i="5" s="1"/>
  <c r="AV33" i="5"/>
  <c r="AW33" i="5"/>
  <c r="AI54" i="9"/>
  <c r="AO54" i="8" s="1"/>
  <c r="AI31" i="7"/>
  <c r="AG32" i="7"/>
  <c r="CL33" i="8"/>
  <c r="CC32" i="8"/>
  <c r="AC32" i="1"/>
  <c r="G38" i="8"/>
  <c r="CF37" i="8"/>
  <c r="O37" i="2"/>
  <c r="BK37" i="5" a="1"/>
  <c r="BK37" i="5" s="1"/>
  <c r="BM37" i="5" a="1"/>
  <c r="BM37" i="5" s="1"/>
  <c r="BN37" i="5" a="1"/>
  <c r="BN37" i="5" s="1"/>
  <c r="AM44" i="9"/>
  <c r="K44" i="8" s="1"/>
  <c r="BR32" i="8"/>
  <c r="BS32" i="8"/>
  <c r="BA37" i="5" a="1"/>
  <c r="BA37" i="5" s="1"/>
  <c r="BF37" i="5" a="1"/>
  <c r="BF37" i="5" s="1"/>
  <c r="AE36" i="1" s="1"/>
  <c r="CS37" i="5"/>
  <c r="CV37" i="5"/>
  <c r="CR37" i="5"/>
  <c r="CT37" i="5"/>
  <c r="CQ37" i="5"/>
  <c r="CW37" i="5"/>
  <c r="CU37" i="5"/>
  <c r="AY37" i="5" a="1"/>
  <c r="AY37" i="5" s="1"/>
  <c r="BL37" i="5" a="1"/>
  <c r="BL37" i="5" s="1"/>
  <c r="BO37" i="5" a="1"/>
  <c r="BO37" i="5" s="1"/>
  <c r="AD35" i="1"/>
  <c r="BQ37" i="5" a="1"/>
  <c r="BQ37" i="5" s="1"/>
  <c r="BB37" i="5" a="1"/>
  <c r="BB37" i="5" s="1"/>
  <c r="BE37" i="5" a="1"/>
  <c r="BE37" i="5" s="1"/>
  <c r="BD37" i="5" a="1"/>
  <c r="BD37" i="5" s="1"/>
  <c r="BC37" i="5" a="1"/>
  <c r="BC37" i="5" s="1"/>
  <c r="BI37" i="5" a="1"/>
  <c r="BI37" i="5" s="1"/>
  <c r="BG37" i="5" a="1"/>
  <c r="BG37" i="5" s="1"/>
  <c r="BH37" i="5" a="1"/>
  <c r="BH37" i="5" s="1"/>
  <c r="BJ37" i="5" a="1"/>
  <c r="BJ37" i="5" s="1"/>
  <c r="AZ37" i="5" a="1"/>
  <c r="AZ37" i="5" s="1"/>
  <c r="V35" i="2"/>
  <c r="CS30" i="8"/>
  <c r="CU31" i="8"/>
  <c r="F40" i="8"/>
  <c r="BP36" i="5" a="1"/>
  <c r="BP36" i="5" s="1"/>
  <c r="J36" i="2" s="1"/>
  <c r="BT32" i="8"/>
  <c r="BX32" i="8"/>
  <c r="CD32" i="8" s="1"/>
  <c r="D33" i="9"/>
  <c r="O41" i="1"/>
  <c r="CE31" i="8"/>
  <c r="BO32" i="8"/>
  <c r="BP32" i="8"/>
  <c r="BM32" i="8"/>
  <c r="BN32" i="8"/>
  <c r="BK32" i="8"/>
  <c r="BL32" i="8"/>
  <c r="BJ32" i="8"/>
  <c r="AC32" i="10"/>
  <c r="X32" i="10" s="1"/>
  <c r="AS36" i="5"/>
  <c r="AK36" i="11"/>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W34" i="1"/>
  <c r="K38" i="11"/>
  <c r="A38" i="14"/>
  <c r="CA38" i="14" s="1"/>
  <c r="A38" i="5"/>
  <c r="A38" i="9"/>
  <c r="A38" i="7"/>
  <c r="R38" i="7" s="1"/>
  <c r="A38" i="8"/>
  <c r="A38" i="2"/>
  <c r="AM36" i="1"/>
  <c r="Y34" i="1"/>
  <c r="DJ35" i="5"/>
  <c r="AE37" i="8"/>
  <c r="AU37" i="8"/>
  <c r="BY32" i="8"/>
  <c r="CQ32" i="8" s="1"/>
  <c r="Z31" i="11"/>
  <c r="N32" i="11"/>
  <c r="CA32" i="8"/>
  <c r="BZ32" i="8"/>
  <c r="CR32" i="8" s="1"/>
  <c r="DB31" i="8"/>
  <c r="N32" i="7"/>
  <c r="CI32" i="8"/>
  <c r="DA32" i="8" s="1"/>
  <c r="CB32" i="8"/>
  <c r="CT32" i="8" s="1"/>
  <c r="CH32" i="8"/>
  <c r="CZ32" i="8" s="1"/>
  <c r="AB31" i="11"/>
  <c r="Q31" i="8" s="1"/>
  <c r="AA31" i="11"/>
  <c r="AK31" i="1" s="1"/>
  <c r="Y31" i="11"/>
  <c r="AH31" i="1" s="1"/>
  <c r="AC31" i="11"/>
  <c r="U31" i="8" s="1"/>
  <c r="Q32" i="7"/>
  <c r="B35" i="5"/>
  <c r="BZ37" i="11"/>
  <c r="AA36" i="7"/>
  <c r="AF36" i="8" s="1"/>
  <c r="K36" i="10"/>
  <c r="I36" i="5"/>
  <c r="D35" i="10"/>
  <c r="F35" i="7"/>
  <c r="L36" i="5"/>
  <c r="G35" i="10"/>
  <c r="I35" i="7"/>
  <c r="M36" i="5"/>
  <c r="H35" i="10"/>
  <c r="J35" i="7"/>
  <c r="H36" i="5"/>
  <c r="C35" i="10"/>
  <c r="E35" i="7"/>
  <c r="G36" i="5"/>
  <c r="D35" i="7"/>
  <c r="B35" i="10"/>
  <c r="J36" i="5"/>
  <c r="DC36" i="5" s="1"/>
  <c r="E35" i="10"/>
  <c r="G35" i="7"/>
  <c r="K36" i="5"/>
  <c r="F35" i="10"/>
  <c r="H35" i="7"/>
  <c r="DD35" i="5"/>
  <c r="DH33" i="8"/>
  <c r="DI33" i="8" s="1"/>
  <c r="CK33" i="8"/>
  <c r="BW33" i="8"/>
  <c r="AC33" i="1" s="1"/>
  <c r="BI33" i="8"/>
  <c r="AJ33" i="5"/>
  <c r="AP33" i="5" s="1"/>
  <c r="BH33" i="8"/>
  <c r="BU33" i="8" s="1"/>
  <c r="AH44" i="9"/>
  <c r="B33" i="9"/>
  <c r="Y33" i="9" s="1"/>
  <c r="B33" i="7"/>
  <c r="A33" i="10"/>
  <c r="AA33" i="10" s="1"/>
  <c r="AC33" i="8"/>
  <c r="BQ33" i="8" s="1"/>
  <c r="E33" i="1"/>
  <c r="BT33" i="5"/>
  <c r="A33" i="11"/>
  <c r="X33" i="8"/>
  <c r="DD33" i="8" s="1"/>
  <c r="AI33" i="5"/>
  <c r="CZ35" i="5"/>
  <c r="C34" i="5"/>
  <c r="F34" i="5" s="1"/>
  <c r="DI35" i="5"/>
  <c r="AB35" i="1"/>
  <c r="C35" i="5"/>
  <c r="DA34" i="5"/>
  <c r="DG34" i="5" s="1" a="1"/>
  <c r="DG34" i="5" s="1"/>
  <c r="AG44" i="9"/>
  <c r="AK44" i="9"/>
  <c r="AE106" i="9"/>
  <c r="B32" i="14"/>
  <c r="N20" i="1"/>
  <c r="S37" i="2"/>
  <c r="N38" i="2"/>
  <c r="R38" i="2"/>
  <c r="Q37" i="2"/>
  <c r="P39" i="2"/>
  <c r="J39" i="10"/>
  <c r="N39" i="5" s="1"/>
  <c r="AN45" i="9" l="1"/>
  <c r="BK46" i="11" s="1"/>
  <c r="AI46" i="11" s="1"/>
  <c r="CX31" i="8"/>
  <c r="CY31" i="8" s="1"/>
  <c r="CV32" i="8"/>
  <c r="CW32" i="8" s="1"/>
  <c r="AS32" i="8"/>
  <c r="AQ60" i="9"/>
  <c r="AO33" i="5"/>
  <c r="AM33" i="5"/>
  <c r="AN33" i="5"/>
  <c r="AR33" i="5" s="1"/>
  <c r="AI55" i="9"/>
  <c r="AO55" i="8" s="1"/>
  <c r="AV34" i="5"/>
  <c r="AW34" i="5"/>
  <c r="AI32" i="7"/>
  <c r="CL34" i="8"/>
  <c r="G39" i="8"/>
  <c r="CF38" i="8"/>
  <c r="O38" i="2"/>
  <c r="BN38" i="5" a="1"/>
  <c r="BN38" i="5" s="1"/>
  <c r="AD36" i="1"/>
  <c r="BQ38" i="5" a="1"/>
  <c r="BQ38" i="5" s="1"/>
  <c r="BO38" i="5" a="1"/>
  <c r="BO38" i="5" s="1"/>
  <c r="AM45" i="9"/>
  <c r="K45" i="8" s="1"/>
  <c r="BR33" i="8"/>
  <c r="BS33" i="8"/>
  <c r="AZ38" i="5" a="1"/>
  <c r="AZ38" i="5" s="1"/>
  <c r="BJ38" i="5" a="1"/>
  <c r="BJ38" i="5" s="1"/>
  <c r="BH38" i="5" a="1"/>
  <c r="BH38" i="5" s="1"/>
  <c r="BG38" i="5" a="1"/>
  <c r="BG38" i="5" s="1"/>
  <c r="CT38" i="5"/>
  <c r="CR38" i="5"/>
  <c r="CU38" i="5"/>
  <c r="CV38" i="5"/>
  <c r="CQ38" i="5"/>
  <c r="CS38" i="5"/>
  <c r="CW38" i="5"/>
  <c r="AY38" i="5" a="1"/>
  <c r="AY38" i="5" s="1"/>
  <c r="BL38" i="5" a="1"/>
  <c r="BL38" i="5" s="1"/>
  <c r="BI38" i="5" a="1"/>
  <c r="BI38" i="5" s="1"/>
  <c r="BC38" i="5" a="1"/>
  <c r="BC38" i="5" s="1"/>
  <c r="BK38" i="5" a="1"/>
  <c r="BK38" i="5" s="1"/>
  <c r="BD38" i="5" a="1"/>
  <c r="BD38" i="5" s="1"/>
  <c r="BE38" i="5" a="1"/>
  <c r="BE38" i="5" s="1"/>
  <c r="BF38" i="5" a="1"/>
  <c r="BF38" i="5" s="1"/>
  <c r="AE37" i="1" s="1"/>
  <c r="BB38" i="5" a="1"/>
  <c r="BB38" i="5" s="1"/>
  <c r="BA38" i="5" a="1"/>
  <c r="BA38" i="5" s="1"/>
  <c r="BM38" i="5" a="1"/>
  <c r="BM38" i="5" s="1"/>
  <c r="V36" i="2"/>
  <c r="CS31" i="8"/>
  <c r="CE32" i="8"/>
  <c r="CU32" i="8"/>
  <c r="F41" i="8"/>
  <c r="BP37" i="5" a="1"/>
  <c r="BP37" i="5" s="1"/>
  <c r="J37" i="2" s="1"/>
  <c r="O42" i="1"/>
  <c r="BT33" i="8"/>
  <c r="BO33" i="8"/>
  <c r="BP33" i="8"/>
  <c r="BM33" i="8"/>
  <c r="BN33" i="8"/>
  <c r="BK33" i="8"/>
  <c r="BL33" i="8"/>
  <c r="BJ33" i="8"/>
  <c r="AC33" i="10"/>
  <c r="X33" i="10" s="1"/>
  <c r="AS37" i="5"/>
  <c r="AK37" i="11"/>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CA39" i="14" s="1"/>
  <c r="A39" i="5"/>
  <c r="A39" i="9"/>
  <c r="A39" i="7"/>
  <c r="R39" i="7" s="1"/>
  <c r="A39" i="2"/>
  <c r="A39" i="8"/>
  <c r="W35" i="1"/>
  <c r="AJ37" i="1"/>
  <c r="AF35" i="1"/>
  <c r="AH37" i="11"/>
  <c r="Y35" i="1"/>
  <c r="DJ36" i="5"/>
  <c r="AE38" i="8"/>
  <c r="AU38" i="8"/>
  <c r="DB32" i="8"/>
  <c r="AQ32" i="5"/>
  <c r="F35" i="5"/>
  <c r="BZ38" i="11"/>
  <c r="AA37" i="7"/>
  <c r="AF37" i="8" s="1"/>
  <c r="K37" i="10"/>
  <c r="M37" i="5"/>
  <c r="H36" i="10"/>
  <c r="J36" i="7"/>
  <c r="B36" i="5"/>
  <c r="G37" i="5"/>
  <c r="B36" i="10"/>
  <c r="D36" i="7"/>
  <c r="K37" i="5"/>
  <c r="F36" i="10"/>
  <c r="H36" i="7"/>
  <c r="DD36" i="5"/>
  <c r="L37" i="5"/>
  <c r="G36" i="10"/>
  <c r="I36" i="7"/>
  <c r="H37" i="5"/>
  <c r="C36" i="10"/>
  <c r="E36" i="7"/>
  <c r="J37" i="5"/>
  <c r="DC37" i="5" s="1"/>
  <c r="E36" i="10"/>
  <c r="G36" i="7"/>
  <c r="I37" i="5"/>
  <c r="D36" i="10"/>
  <c r="F36" i="7"/>
  <c r="CI33" i="8"/>
  <c r="DA33" i="8" s="1"/>
  <c r="D34" i="9"/>
  <c r="DH34" i="8"/>
  <c r="DI34" i="8" s="1"/>
  <c r="CK34" i="8"/>
  <c r="BW34" i="8"/>
  <c r="AC34" i="1" s="1"/>
  <c r="BX33" i="8"/>
  <c r="CE33" i="8" s="1"/>
  <c r="CX33" i="8" s="1"/>
  <c r="N33" i="7"/>
  <c r="BH34" i="8"/>
  <c r="BU34" i="8" s="1"/>
  <c r="BI34" i="8"/>
  <c r="AH45" i="9"/>
  <c r="AD32" i="11"/>
  <c r="AI32" i="1" s="1"/>
  <c r="Y32" i="11"/>
  <c r="AH32" i="1" s="1"/>
  <c r="Z32" i="11"/>
  <c r="AA32" i="11"/>
  <c r="AK32" i="1" s="1"/>
  <c r="AB32" i="11"/>
  <c r="Q32" i="8" s="1"/>
  <c r="AC32" i="11"/>
  <c r="U32" i="8" s="1"/>
  <c r="N33" i="11"/>
  <c r="Q33" i="7"/>
  <c r="AE33" i="7"/>
  <c r="AF33" i="7" s="1"/>
  <c r="CC33" i="8"/>
  <c r="BY33" i="8"/>
  <c r="CQ33" i="8" s="1"/>
  <c r="BZ33" i="8"/>
  <c r="CR33" i="8" s="1"/>
  <c r="CH33" i="8"/>
  <c r="CZ33" i="8" s="1"/>
  <c r="CA33" i="8"/>
  <c r="CB33" i="8"/>
  <c r="CT33" i="8" s="1"/>
  <c r="CZ36" i="5"/>
  <c r="A34" i="10"/>
  <c r="AA34" i="10" s="1"/>
  <c r="B34" i="7"/>
  <c r="E34" i="1"/>
  <c r="X34" i="8"/>
  <c r="DD34" i="8" s="1"/>
  <c r="B34" i="9"/>
  <c r="Y34" i="9" s="1"/>
  <c r="AJ34" i="5"/>
  <c r="AP34" i="5" s="1"/>
  <c r="AI34" i="5"/>
  <c r="A34" i="11"/>
  <c r="AC34" i="8"/>
  <c r="BQ34" i="8" s="1"/>
  <c r="BT34" i="5"/>
  <c r="DA35" i="5"/>
  <c r="DG35" i="5" s="1" a="1"/>
  <c r="DG35" i="5" s="1"/>
  <c r="AB36" i="1"/>
  <c r="DI36" i="5"/>
  <c r="AG45" i="9"/>
  <c r="AK45" i="9"/>
  <c r="AE107" i="9"/>
  <c r="N21" i="1"/>
  <c r="S38" i="2"/>
  <c r="N39" i="2"/>
  <c r="R39" i="2"/>
  <c r="Q38" i="2"/>
  <c r="J40" i="10"/>
  <c r="N40" i="5" s="1"/>
  <c r="P40" i="2"/>
  <c r="AN46" i="9" l="1"/>
  <c r="BK47" i="11" s="1"/>
  <c r="AI47" i="11" s="1"/>
  <c r="CX32" i="8"/>
  <c r="CY32" i="8" s="1"/>
  <c r="CV33" i="8"/>
  <c r="CW33" i="8" s="1"/>
  <c r="AS33" i="8"/>
  <c r="AQ61" i="9"/>
  <c r="AO34" i="5"/>
  <c r="AM34" i="5"/>
  <c r="AN34" i="5"/>
  <c r="AR34" i="5" s="1"/>
  <c r="AI56" i="9"/>
  <c r="AO56" i="8" s="1"/>
  <c r="AV35" i="5"/>
  <c r="AW35" i="5"/>
  <c r="AG33" i="7"/>
  <c r="AI33" i="7" s="1"/>
  <c r="CL35" i="8"/>
  <c r="G40" i="8"/>
  <c r="CF39" i="8"/>
  <c r="O39" i="2"/>
  <c r="AD37" i="1"/>
  <c r="AM46" i="9"/>
  <c r="K46" i="8" s="1"/>
  <c r="BR34" i="8"/>
  <c r="BS34" i="8"/>
  <c r="BM39" i="5" a="1"/>
  <c r="BM39" i="5" s="1"/>
  <c r="BA39" i="5" a="1"/>
  <c r="BA39" i="5" s="1"/>
  <c r="BB39" i="5" a="1"/>
  <c r="BB39" i="5" s="1"/>
  <c r="CQ39" i="5"/>
  <c r="CR39" i="5"/>
  <c r="CS39" i="5"/>
  <c r="CT39" i="5"/>
  <c r="CV39" i="5"/>
  <c r="CW39" i="5"/>
  <c r="CU39" i="5"/>
  <c r="AY39" i="5" a="1"/>
  <c r="AY39" i="5" s="1"/>
  <c r="BL39" i="5" a="1"/>
  <c r="BL39" i="5" s="1"/>
  <c r="BF39" i="5" a="1"/>
  <c r="BF39" i="5" s="1"/>
  <c r="AE38" i="1" s="1"/>
  <c r="BG39" i="5" a="1"/>
  <c r="BG39" i="5" s="1"/>
  <c r="BE39" i="5" a="1"/>
  <c r="BE39" i="5" s="1"/>
  <c r="BQ39" i="5" a="1"/>
  <c r="BQ39" i="5" s="1"/>
  <c r="BD39" i="5" a="1"/>
  <c r="BD39" i="5" s="1"/>
  <c r="BH39" i="5" a="1"/>
  <c r="BH39" i="5" s="1"/>
  <c r="BO39" i="5" a="1"/>
  <c r="BO39" i="5" s="1"/>
  <c r="BJ39" i="5" a="1"/>
  <c r="BJ39" i="5" s="1"/>
  <c r="BK39" i="5" a="1"/>
  <c r="BK39" i="5" s="1"/>
  <c r="AZ39" i="5" a="1"/>
  <c r="AZ39" i="5" s="1"/>
  <c r="BC39" i="5" a="1"/>
  <c r="BC39" i="5" s="1"/>
  <c r="BI39" i="5" a="1"/>
  <c r="BI39" i="5" s="1"/>
  <c r="BN39" i="5" a="1"/>
  <c r="BN39" i="5" s="1"/>
  <c r="V37" i="2"/>
  <c r="CS32" i="8"/>
  <c r="F42" i="8"/>
  <c r="BP38" i="5" a="1"/>
  <c r="BP38" i="5" s="1"/>
  <c r="J38" i="2" s="1"/>
  <c r="DH35" i="8"/>
  <c r="DI35" i="8" s="1"/>
  <c r="O43" i="1"/>
  <c r="BX34" i="8"/>
  <c r="CD34" i="8" s="1"/>
  <c r="BT34" i="8"/>
  <c r="BO34" i="8"/>
  <c r="BP34" i="8"/>
  <c r="BM34" i="8"/>
  <c r="BN34" i="8"/>
  <c r="BK34" i="8"/>
  <c r="BL34" i="8"/>
  <c r="BJ34" i="8"/>
  <c r="AC34" i="10"/>
  <c r="X34" i="10" s="1"/>
  <c r="AS38" i="5"/>
  <c r="AK38" i="11"/>
  <c r="DF37" i="5"/>
  <c r="AH38" i="11"/>
  <c r="DB37" i="5"/>
  <c r="DE37" i="5"/>
  <c r="K40" i="11"/>
  <c r="A40" i="14"/>
  <c r="CA40" i="14" s="1"/>
  <c r="A40" i="8"/>
  <c r="A40" i="2"/>
  <c r="A40" i="7"/>
  <c r="R40" i="7" s="1"/>
  <c r="A40" i="5"/>
  <c r="A40" i="9"/>
  <c r="W36" i="1"/>
  <c r="AE39" i="8"/>
  <c r="AU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BB39" i="14" a="1"/>
  <c r="BB39" i="14" s="1"/>
  <c r="BI39" i="14" a="1"/>
  <c r="BI39" i="14" s="1"/>
  <c r="AB39" i="14" a="1"/>
  <c r="AB39" i="14" s="1"/>
  <c r="BW39" i="14" a="1"/>
  <c r="BW39" i="14" s="1"/>
  <c r="Y36" i="1"/>
  <c r="DJ37" i="5"/>
  <c r="AJ38" i="1"/>
  <c r="AJ35" i="5"/>
  <c r="AP35" i="5" s="1"/>
  <c r="A35" i="11"/>
  <c r="N35" i="11" s="1"/>
  <c r="AI35" i="5"/>
  <c r="B35" i="9"/>
  <c r="Y35" i="9" s="1"/>
  <c r="E35" i="1"/>
  <c r="X35" i="8"/>
  <c r="DD35" i="8" s="1"/>
  <c r="A35" i="10"/>
  <c r="AA35" i="10" s="1"/>
  <c r="AC35" i="8"/>
  <c r="BQ35" i="8" s="1"/>
  <c r="BH35" i="8"/>
  <c r="BU35" i="8" s="1"/>
  <c r="CK35" i="8"/>
  <c r="BI35" i="8"/>
  <c r="BW35" i="8"/>
  <c r="B35" i="7"/>
  <c r="AE35" i="7" s="1"/>
  <c r="AF35" i="7" s="1"/>
  <c r="BT35" i="5"/>
  <c r="B37" i="5"/>
  <c r="BZ39" i="11"/>
  <c r="K38" i="10"/>
  <c r="AA38" i="7"/>
  <c r="AF38" i="8" s="1"/>
  <c r="H38" i="5"/>
  <c r="C37" i="10"/>
  <c r="E37" i="7"/>
  <c r="I38" i="5"/>
  <c r="D37" i="10"/>
  <c r="F37" i="7"/>
  <c r="G38" i="5"/>
  <c r="D37" i="7"/>
  <c r="B37" i="10"/>
  <c r="L38" i="5"/>
  <c r="G37" i="10"/>
  <c r="I37" i="7"/>
  <c r="J38" i="5"/>
  <c r="DC38" i="5" s="1"/>
  <c r="E37" i="10"/>
  <c r="G37" i="7"/>
  <c r="K38" i="5"/>
  <c r="F37" i="10"/>
  <c r="H37" i="7"/>
  <c r="DD37" i="5"/>
  <c r="M38" i="5"/>
  <c r="H37" i="10"/>
  <c r="J37" i="7"/>
  <c r="CU33" i="8"/>
  <c r="DB33" i="8"/>
  <c r="D35" i="9"/>
  <c r="CI34" i="8"/>
  <c r="DA34" i="8" s="1"/>
  <c r="AQ33" i="5"/>
  <c r="CD33" i="8"/>
  <c r="N34" i="7"/>
  <c r="AH46" i="9"/>
  <c r="B33" i="14"/>
  <c r="C36" i="5"/>
  <c r="F36" i="5" s="1"/>
  <c r="CB34" i="8"/>
  <c r="CT34" i="8" s="1"/>
  <c r="BY34" i="8"/>
  <c r="CQ34" i="8" s="1"/>
  <c r="CH34" i="8"/>
  <c r="CZ34" i="8" s="1"/>
  <c r="BZ34" i="8"/>
  <c r="CR34" i="8" s="1"/>
  <c r="CC34" i="8"/>
  <c r="CA34" i="8"/>
  <c r="CZ37" i="5"/>
  <c r="AB33" i="11"/>
  <c r="Q33" i="8" s="1"/>
  <c r="AC33" i="11"/>
  <c r="U33" i="8" s="1"/>
  <c r="AD33" i="11"/>
  <c r="AI33" i="1" s="1"/>
  <c r="N34" i="11"/>
  <c r="Z33" i="11"/>
  <c r="AA33" i="11"/>
  <c r="AK33" i="1" s="1"/>
  <c r="Y33" i="11"/>
  <c r="AH33" i="1" s="1"/>
  <c r="AE34" i="7"/>
  <c r="AF34" i="7" s="1"/>
  <c r="Q34" i="7"/>
  <c r="AB37" i="1"/>
  <c r="DI37" i="5"/>
  <c r="C37" i="5"/>
  <c r="DA36" i="5"/>
  <c r="DG36" i="5" s="1" a="1"/>
  <c r="DG36" i="5" s="1"/>
  <c r="AG46" i="9"/>
  <c r="AK46" i="9"/>
  <c r="AE108" i="9"/>
  <c r="N22" i="1"/>
  <c r="S39" i="2"/>
  <c r="N40" i="2"/>
  <c r="R40" i="2"/>
  <c r="Q39" i="2"/>
  <c r="P41" i="2"/>
  <c r="J41" i="10"/>
  <c r="N41" i="5" s="1"/>
  <c r="AN47" i="9" l="1"/>
  <c r="BK48" i="11" s="1"/>
  <c r="AI48" i="11" s="1"/>
  <c r="CV34" i="8"/>
  <c r="CW34" i="8" s="1"/>
  <c r="AS34" i="8"/>
  <c r="AQ62" i="9"/>
  <c r="AO35" i="5"/>
  <c r="AM35" i="5"/>
  <c r="AN35" i="5"/>
  <c r="AR35" i="5" s="1"/>
  <c r="AI57" i="9"/>
  <c r="AO57" i="8" s="1"/>
  <c r="AV36" i="5"/>
  <c r="AW36" i="5"/>
  <c r="AG35" i="7"/>
  <c r="AG34" i="7"/>
  <c r="AI34" i="7" s="1"/>
  <c r="CL36" i="8"/>
  <c r="CB35" i="8"/>
  <c r="CT35" i="8" s="1"/>
  <c r="AC35" i="1"/>
  <c r="G41" i="8"/>
  <c r="CF40" i="8"/>
  <c r="O40" i="2"/>
  <c r="BF40" i="5" a="1"/>
  <c r="BF40" i="5" s="1"/>
  <c r="AE39" i="1" s="1"/>
  <c r="BQ40" i="5" a="1"/>
  <c r="BQ40" i="5" s="1"/>
  <c r="AM47" i="9"/>
  <c r="K47" i="8" s="1"/>
  <c r="BR35" i="8"/>
  <c r="BS35" i="8"/>
  <c r="AD38" i="1"/>
  <c r="CS40" i="5"/>
  <c r="CV40" i="5"/>
  <c r="CU40" i="5"/>
  <c r="CT40" i="5"/>
  <c r="CR40" i="5"/>
  <c r="CQ40" i="5"/>
  <c r="CW40" i="5"/>
  <c r="AY40" i="5" a="1"/>
  <c r="AY40" i="5" s="1"/>
  <c r="BL40" i="5" a="1"/>
  <c r="BL40" i="5" s="1"/>
  <c r="BE40" i="5" a="1"/>
  <c r="BE40" i="5" s="1"/>
  <c r="BG40" i="5" a="1"/>
  <c r="BG40" i="5" s="1"/>
  <c r="BN40" i="5" a="1"/>
  <c r="BN40" i="5" s="1"/>
  <c r="BI40" i="5" a="1"/>
  <c r="BI40" i="5" s="1"/>
  <c r="BC40" i="5" a="1"/>
  <c r="BC40" i="5" s="1"/>
  <c r="AZ40" i="5" a="1"/>
  <c r="AZ40" i="5" s="1"/>
  <c r="BK40" i="5" a="1"/>
  <c r="BK40" i="5" s="1"/>
  <c r="BJ40" i="5" a="1"/>
  <c r="BJ40" i="5" s="1"/>
  <c r="BO40" i="5" a="1"/>
  <c r="BO40" i="5" s="1"/>
  <c r="BB40" i="5" a="1"/>
  <c r="BB40" i="5" s="1"/>
  <c r="BH40" i="5" a="1"/>
  <c r="BH40" i="5" s="1"/>
  <c r="BA40" i="5" a="1"/>
  <c r="BA40" i="5" s="1"/>
  <c r="BD40" i="5" a="1"/>
  <c r="BD40" i="5" s="1"/>
  <c r="BM40" i="5" a="1"/>
  <c r="BM40" i="5" s="1"/>
  <c r="V38" i="2"/>
  <c r="AT39" i="5"/>
  <c r="CI35" i="8"/>
  <c r="DA35" i="8" s="1"/>
  <c r="CY33" i="8"/>
  <c r="F43" i="8"/>
  <c r="BP39" i="5" a="1"/>
  <c r="BP39" i="5" s="1"/>
  <c r="J39" i="2" s="1"/>
  <c r="O44" i="1"/>
  <c r="CE34" i="8"/>
  <c r="BT35" i="8"/>
  <c r="BO35" i="8"/>
  <c r="BP35" i="8"/>
  <c r="BM35" i="8"/>
  <c r="BN35" i="8"/>
  <c r="BK35" i="8"/>
  <c r="BL35" i="8"/>
  <c r="BJ35" i="8"/>
  <c r="AC35" i="10"/>
  <c r="X35" i="10" s="1"/>
  <c r="AK39" i="11"/>
  <c r="AS39" i="5"/>
  <c r="BX35" i="8"/>
  <c r="CE35" i="8" s="1"/>
  <c r="CX35" i="8" s="1"/>
  <c r="DB38" i="5"/>
  <c r="AM39" i="1"/>
  <c r="DE38" i="5"/>
  <c r="DF38" i="5"/>
  <c r="DH38" i="5"/>
  <c r="AH39" i="11"/>
  <c r="AU40" i="8"/>
  <c r="AE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W37" i="1"/>
  <c r="K41" i="11"/>
  <c r="A41" i="14"/>
  <c r="CA41" i="14" s="1"/>
  <c r="A41" i="8"/>
  <c r="A41" i="2"/>
  <c r="A41" i="9"/>
  <c r="A41" i="5"/>
  <c r="A41" i="7"/>
  <c r="R41" i="7" s="1"/>
  <c r="AA34" i="11"/>
  <c r="AK34" i="1" s="1"/>
  <c r="AD34" i="11"/>
  <c r="AI34" i="1" s="1"/>
  <c r="CC35" i="8"/>
  <c r="BY35" i="8"/>
  <c r="CQ35" i="8" s="1"/>
  <c r="BZ35" i="8"/>
  <c r="CR35" i="8" s="1"/>
  <c r="CH35" i="8"/>
  <c r="CZ35" i="8" s="1"/>
  <c r="AB34" i="11"/>
  <c r="Q34" i="8" s="1"/>
  <c r="D36" i="9"/>
  <c r="AC34" i="11"/>
  <c r="U34" i="8" s="1"/>
  <c r="Y34" i="11"/>
  <c r="AH34" i="1" s="1"/>
  <c r="Z34" i="11"/>
  <c r="N35" i="7"/>
  <c r="Q35" i="7"/>
  <c r="CA35" i="8"/>
  <c r="F37" i="5"/>
  <c r="BZ40" i="11"/>
  <c r="K39" i="10"/>
  <c r="AA39" i="7"/>
  <c r="AF39" i="8" s="1"/>
  <c r="J39" i="5"/>
  <c r="DC39" i="5" s="1"/>
  <c r="E38" i="10"/>
  <c r="G38" i="7"/>
  <c r="M39" i="5"/>
  <c r="H38" i="10"/>
  <c r="J38" i="7"/>
  <c r="L39" i="5"/>
  <c r="G38" i="10"/>
  <c r="I38" i="7"/>
  <c r="I39" i="5"/>
  <c r="D38" i="10"/>
  <c r="F38" i="7"/>
  <c r="B38" i="5"/>
  <c r="K39" i="5"/>
  <c r="F38" i="10"/>
  <c r="H38" i="7"/>
  <c r="DD38" i="5"/>
  <c r="G39" i="5"/>
  <c r="D38" i="7"/>
  <c r="B38" i="10"/>
  <c r="H39" i="5"/>
  <c r="C38" i="10"/>
  <c r="E38" i="7"/>
  <c r="CS33" i="8"/>
  <c r="CU34" i="8"/>
  <c r="DB34" i="8"/>
  <c r="DH36" i="8"/>
  <c r="DI36" i="8" s="1"/>
  <c r="CK36" i="8"/>
  <c r="BW36" i="8"/>
  <c r="AC36" i="1" s="1"/>
  <c r="BH36" i="8"/>
  <c r="BU36" i="8" s="1"/>
  <c r="BI36" i="8"/>
  <c r="AH47" i="9"/>
  <c r="B34" i="14"/>
  <c r="AQ34" i="5"/>
  <c r="CZ38" i="5"/>
  <c r="AI36" i="5"/>
  <c r="BT36" i="5"/>
  <c r="AC36" i="8"/>
  <c r="BQ36" i="8" s="1"/>
  <c r="A36" i="11"/>
  <c r="A36" i="10"/>
  <c r="AA36" i="10" s="1"/>
  <c r="B36" i="7"/>
  <c r="X36" i="8"/>
  <c r="DD36" i="8" s="1"/>
  <c r="E36" i="1"/>
  <c r="B36" i="9"/>
  <c r="Y36" i="9" s="1"/>
  <c r="AJ36" i="5"/>
  <c r="AP36" i="5" s="1"/>
  <c r="DA37" i="5"/>
  <c r="DG37" i="5" s="1" a="1"/>
  <c r="DG37" i="5" s="1"/>
  <c r="AB38" i="1"/>
  <c r="DI38" i="5"/>
  <c r="AG47" i="9"/>
  <c r="AK47" i="9"/>
  <c r="AE109" i="9"/>
  <c r="B35" i="14"/>
  <c r="N23" i="1"/>
  <c r="S40" i="2"/>
  <c r="N41" i="2"/>
  <c r="R41" i="2"/>
  <c r="Q40" i="2"/>
  <c r="J42" i="10"/>
  <c r="N42" i="5" s="1"/>
  <c r="P42" i="2"/>
  <c r="AN48" i="9" l="1"/>
  <c r="BK49" i="11" s="1"/>
  <c r="AI49" i="11" s="1"/>
  <c r="AI58" i="9"/>
  <c r="AO58" i="8" s="1"/>
  <c r="CX34" i="8"/>
  <c r="CY34" i="8" s="1"/>
  <c r="CV35" i="8"/>
  <c r="CW35" i="8" s="1"/>
  <c r="AS35" i="8"/>
  <c r="AQ63" i="9"/>
  <c r="AO36" i="5"/>
  <c r="AM36" i="5"/>
  <c r="AN36" i="5"/>
  <c r="AR36" i="5" s="1"/>
  <c r="AV37" i="5"/>
  <c r="AW37" i="5"/>
  <c r="AI35" i="7"/>
  <c r="CL37" i="8"/>
  <c r="G42" i="8"/>
  <c r="CF41" i="8"/>
  <c r="O41" i="2"/>
  <c r="AT40" i="5"/>
  <c r="BF41" i="5" a="1"/>
  <c r="BF41" i="5" s="1"/>
  <c r="AE40" i="1" s="1"/>
  <c r="AZ41" i="5" a="1"/>
  <c r="AZ41" i="5" s="1"/>
  <c r="AM48" i="9"/>
  <c r="K48" i="8" s="1"/>
  <c r="BR36" i="8"/>
  <c r="BS36" i="8"/>
  <c r="AD39" i="1"/>
  <c r="BC41" i="5" a="1"/>
  <c r="BC41" i="5" s="1"/>
  <c r="BI41" i="5" a="1"/>
  <c r="BI41" i="5" s="1"/>
  <c r="BN41" i="5" a="1"/>
  <c r="BN41" i="5" s="1"/>
  <c r="BG41" i="5" a="1"/>
  <c r="BG41" i="5" s="1"/>
  <c r="BM41" i="5" a="1"/>
  <c r="BM41" i="5" s="1"/>
  <c r="BE41" i="5" a="1"/>
  <c r="BE41" i="5" s="1"/>
  <c r="BD41" i="5" a="1"/>
  <c r="BD41" i="5" s="1"/>
  <c r="BA41" i="5" a="1"/>
  <c r="BA41" i="5" s="1"/>
  <c r="BH41" i="5" a="1"/>
  <c r="BH41" i="5" s="1"/>
  <c r="BB41" i="5" a="1"/>
  <c r="BB41" i="5" s="1"/>
  <c r="CQ41" i="5"/>
  <c r="CW41" i="5"/>
  <c r="CR41" i="5"/>
  <c r="CV41" i="5"/>
  <c r="CT41" i="5"/>
  <c r="CU41" i="5"/>
  <c r="CS41" i="5"/>
  <c r="AY41" i="5" a="1"/>
  <c r="AY41" i="5" s="1"/>
  <c r="BL41" i="5" a="1"/>
  <c r="BL41" i="5" s="1"/>
  <c r="BO41" i="5" a="1"/>
  <c r="BO41" i="5" s="1"/>
  <c r="BJ41" i="5" a="1"/>
  <c r="BJ41" i="5" s="1"/>
  <c r="BK41" i="5" a="1"/>
  <c r="BK41" i="5" s="1"/>
  <c r="BQ41" i="5" a="1"/>
  <c r="BQ41" i="5" s="1"/>
  <c r="V39" i="2"/>
  <c r="DB35" i="8"/>
  <c r="CU35" i="8"/>
  <c r="F44" i="8"/>
  <c r="BP40" i="5" a="1"/>
  <c r="BP40" i="5" s="1"/>
  <c r="J40" i="2" s="1"/>
  <c r="A37" i="11"/>
  <c r="AD36" i="11" s="1"/>
  <c r="AI36" i="1" s="1"/>
  <c r="O45" i="1"/>
  <c r="BX36" i="8"/>
  <c r="CD36" i="8" s="1"/>
  <c r="BT36" i="8"/>
  <c r="BO36" i="8"/>
  <c r="BP36" i="8"/>
  <c r="BM36" i="8"/>
  <c r="BN36" i="8"/>
  <c r="BK36" i="8"/>
  <c r="BL36" i="8"/>
  <c r="BJ36" i="8"/>
  <c r="AC36" i="10"/>
  <c r="X36" i="10" s="1"/>
  <c r="AK40" i="11"/>
  <c r="AJ40" i="1"/>
  <c r="AS40" i="5"/>
  <c r="CD35" i="8"/>
  <c r="DF39" i="5"/>
  <c r="DE39" i="5"/>
  <c r="DB39" i="5"/>
  <c r="AF38" i="1"/>
  <c r="K42" i="11"/>
  <c r="A42" i="14"/>
  <c r="CA42" i="14" s="1"/>
  <c r="A42" i="5"/>
  <c r="A42" i="8"/>
  <c r="A42" i="9"/>
  <c r="A42" i="2"/>
  <c r="A42" i="7"/>
  <c r="R42" i="7" s="1"/>
  <c r="AU41" i="8"/>
  <c r="AE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W38" i="1"/>
  <c r="AH40" i="11"/>
  <c r="AQ35" i="5"/>
  <c r="AI37" i="5"/>
  <c r="B37" i="7"/>
  <c r="AE37" i="7" s="1"/>
  <c r="AF37" i="7" s="1"/>
  <c r="AC37" i="8"/>
  <c r="BQ37" i="8" s="1"/>
  <c r="X37" i="8"/>
  <c r="DD37" i="8" s="1"/>
  <c r="E37" i="1"/>
  <c r="BI37" i="8"/>
  <c r="BW37" i="8"/>
  <c r="BT37" i="5"/>
  <c r="AJ37" i="5"/>
  <c r="AP37" i="5" s="1"/>
  <c r="BH37" i="8"/>
  <c r="BU37" i="8" s="1"/>
  <c r="A37" i="10"/>
  <c r="AA37" i="10" s="1"/>
  <c r="B37" i="9"/>
  <c r="Y37" i="9" s="1"/>
  <c r="CK37" i="8"/>
  <c r="DH37" i="8"/>
  <c r="DI37" i="8" s="1"/>
  <c r="B39" i="5"/>
  <c r="BZ41" i="11"/>
  <c r="K40" i="10"/>
  <c r="AA40" i="7"/>
  <c r="AF40" i="8" s="1"/>
  <c r="H40" i="5"/>
  <c r="C39" i="10"/>
  <c r="E39" i="7"/>
  <c r="L40" i="5"/>
  <c r="G39" i="10"/>
  <c r="I39" i="7"/>
  <c r="K40" i="5"/>
  <c r="F39" i="10"/>
  <c r="H39" i="7"/>
  <c r="DD39" i="5"/>
  <c r="B39" i="10"/>
  <c r="G40" i="5"/>
  <c r="D39" i="7"/>
  <c r="M40" i="5"/>
  <c r="H39" i="10"/>
  <c r="J39" i="7"/>
  <c r="I40" i="5"/>
  <c r="D39" i="10"/>
  <c r="F39" i="7"/>
  <c r="J40" i="5"/>
  <c r="E39" i="10"/>
  <c r="G39" i="7"/>
  <c r="CS34" i="8"/>
  <c r="D37" i="9"/>
  <c r="CI36" i="8"/>
  <c r="DA36" i="8" s="1"/>
  <c r="N36" i="7"/>
  <c r="AH48" i="9"/>
  <c r="AC35" i="11"/>
  <c r="U35" i="8" s="1"/>
  <c r="Y35" i="11"/>
  <c r="AH35" i="1" s="1"/>
  <c r="AD35" i="11"/>
  <c r="AI35" i="1" s="1"/>
  <c r="Z35" i="11"/>
  <c r="AA35" i="11"/>
  <c r="AK35" i="1" s="1"/>
  <c r="N36" i="11"/>
  <c r="AB35" i="11"/>
  <c r="Q35" i="8" s="1"/>
  <c r="C38" i="5"/>
  <c r="F38" i="5" s="1"/>
  <c r="CZ39" i="5"/>
  <c r="CC36" i="8"/>
  <c r="CH36" i="8"/>
  <c r="CZ36" i="8" s="1"/>
  <c r="CA36" i="8"/>
  <c r="CB36" i="8"/>
  <c r="CT36" i="8" s="1"/>
  <c r="BY36" i="8"/>
  <c r="CQ36" i="8" s="1"/>
  <c r="BZ36" i="8"/>
  <c r="CR36" i="8" s="1"/>
  <c r="AE36" i="7"/>
  <c r="AF36" i="7" s="1"/>
  <c r="Q36" i="7"/>
  <c r="AB39" i="1"/>
  <c r="DI39" i="5"/>
  <c r="C39" i="5"/>
  <c r="DA38" i="5"/>
  <c r="DG38" i="5" s="1" a="1"/>
  <c r="DG38" i="5" s="1"/>
  <c r="AG48" i="9"/>
  <c r="AK48" i="9"/>
  <c r="AE110" i="9"/>
  <c r="N24" i="1"/>
  <c r="S41" i="2"/>
  <c r="N42" i="2"/>
  <c r="R42" i="2"/>
  <c r="Q41" i="2"/>
  <c r="J43" i="10"/>
  <c r="N43" i="5" s="1"/>
  <c r="P43" i="2"/>
  <c r="AN49" i="9" l="1"/>
  <c r="BK50" i="11" s="1"/>
  <c r="AI50" i="11" s="1"/>
  <c r="AI59" i="9"/>
  <c r="AO59" i="8" s="1"/>
  <c r="CV36" i="8"/>
  <c r="CW36" i="8" s="1"/>
  <c r="AS36" i="8"/>
  <c r="AQ64" i="9"/>
  <c r="CM64" i="8" s="1"/>
  <c r="AO37" i="5"/>
  <c r="AM37" i="5"/>
  <c r="AN37" i="5"/>
  <c r="AR37" i="5" s="1"/>
  <c r="AV38" i="5"/>
  <c r="AW38" i="5"/>
  <c r="AG37" i="7"/>
  <c r="AG36" i="7"/>
  <c r="AI36" i="7" s="1"/>
  <c r="CL38" i="8"/>
  <c r="CH37" i="8"/>
  <c r="CZ37" i="8" s="1"/>
  <c r="AC37" i="1"/>
  <c r="G43" i="8"/>
  <c r="CF42" i="8"/>
  <c r="O42" i="2"/>
  <c r="AZ42" i="5" a="1"/>
  <c r="AZ42" i="5" s="1"/>
  <c r="AM49" i="9"/>
  <c r="K49" i="8" s="1"/>
  <c r="BR37" i="8"/>
  <c r="BS37" i="8"/>
  <c r="AD40" i="1"/>
  <c r="BB42" i="5" a="1"/>
  <c r="BB42" i="5" s="1"/>
  <c r="BQ42" i="5" a="1"/>
  <c r="BQ42" i="5" s="1"/>
  <c r="BH42" i="5" a="1"/>
  <c r="BH42" i="5" s="1"/>
  <c r="BK42" i="5" a="1"/>
  <c r="BK42" i="5" s="1"/>
  <c r="BA42" i="5" a="1"/>
  <c r="BA42" i="5" s="1"/>
  <c r="BD42" i="5" a="1"/>
  <c r="BD42" i="5" s="1"/>
  <c r="BJ42" i="5" a="1"/>
  <c r="BJ42" i="5" s="1"/>
  <c r="BE42" i="5" a="1"/>
  <c r="BE42" i="5" s="1"/>
  <c r="BO42" i="5" a="1"/>
  <c r="BO42" i="5" s="1"/>
  <c r="BM42" i="5" a="1"/>
  <c r="BM42" i="5" s="1"/>
  <c r="BG42" i="5" a="1"/>
  <c r="BG42" i="5" s="1"/>
  <c r="BN42" i="5" a="1"/>
  <c r="BN42" i="5" s="1"/>
  <c r="CR42" i="5"/>
  <c r="CQ42" i="5"/>
  <c r="CV42" i="5"/>
  <c r="CU42" i="5"/>
  <c r="CT42" i="5"/>
  <c r="CW42" i="5"/>
  <c r="CS42" i="5"/>
  <c r="AY42" i="5" a="1"/>
  <c r="AY42" i="5" s="1"/>
  <c r="BL42" i="5" a="1"/>
  <c r="BL42" i="5" s="1"/>
  <c r="BI42" i="5" a="1"/>
  <c r="BI42" i="5" s="1"/>
  <c r="BC42" i="5" a="1"/>
  <c r="BC42" i="5" s="1"/>
  <c r="BF42" i="5" a="1"/>
  <c r="BF42" i="5" s="1"/>
  <c r="AE41" i="1" s="1"/>
  <c r="V40" i="2"/>
  <c r="Y36" i="11"/>
  <c r="AH36" i="1" s="1"/>
  <c r="CS35" i="8"/>
  <c r="AB36" i="11"/>
  <c r="Q36" i="8" s="1"/>
  <c r="AC36" i="11"/>
  <c r="U36" i="8" s="1"/>
  <c r="AA36" i="11"/>
  <c r="AK36" i="1" s="1"/>
  <c r="Z36" i="11"/>
  <c r="N37" i="11"/>
  <c r="F45" i="8"/>
  <c r="BP41" i="5" a="1"/>
  <c r="BP41" i="5" s="1"/>
  <c r="J41" i="2" s="1"/>
  <c r="O46" i="1"/>
  <c r="CE36" i="8"/>
  <c r="BT37" i="8"/>
  <c r="BO37" i="8"/>
  <c r="BP37" i="8"/>
  <c r="BM37" i="8"/>
  <c r="BN37" i="8"/>
  <c r="BK37" i="8"/>
  <c r="BL37" i="8"/>
  <c r="BJ37" i="8"/>
  <c r="AC37" i="10"/>
  <c r="X37" i="10" s="1"/>
  <c r="AH41" i="11"/>
  <c r="AK41" i="11"/>
  <c r="AS41" i="5"/>
  <c r="CY35" i="8"/>
  <c r="DE40" i="5"/>
  <c r="DB40" i="5"/>
  <c r="AJ41" i="1"/>
  <c r="DF40" i="5"/>
  <c r="K43" i="11"/>
  <c r="A43" i="14"/>
  <c r="CA43" i="14" s="1"/>
  <c r="A43" i="7"/>
  <c r="R43" i="7" s="1"/>
  <c r="A43" i="8"/>
  <c r="A43" i="2"/>
  <c r="A43" i="5"/>
  <c r="A43" i="9"/>
  <c r="AF39" i="1"/>
  <c r="Y39" i="1"/>
  <c r="DJ40" i="5"/>
  <c r="AU42" i="8"/>
  <c r="AE42" i="8"/>
  <c r="W39" i="1"/>
  <c r="BT42" i="14" a="1"/>
  <c r="BT42" i="14" s="1"/>
  <c r="AD42" i="14" a="1"/>
  <c r="AD42" i="14" s="1"/>
  <c r="BD42" i="14" a="1"/>
  <c r="BD42" i="14" s="1"/>
  <c r="BP42" i="14" a="1"/>
  <c r="BP42" i="14" s="1"/>
  <c r="AU42" i="14" a="1"/>
  <c r="AU42" i="14"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CB37" i="8"/>
  <c r="CT37" i="8" s="1"/>
  <c r="BZ37" i="8"/>
  <c r="CR37" i="8" s="1"/>
  <c r="CC37" i="8"/>
  <c r="CA37" i="8"/>
  <c r="B37" i="14"/>
  <c r="BY37" i="8"/>
  <c r="CQ37" i="8" s="1"/>
  <c r="Q37" i="7"/>
  <c r="N37" i="7"/>
  <c r="BX37" i="8"/>
  <c r="CD37" i="8" s="1"/>
  <c r="D38" i="9"/>
  <c r="CI37" i="8"/>
  <c r="DA37" i="8" s="1"/>
  <c r="F39" i="5"/>
  <c r="B40" i="5"/>
  <c r="BZ42" i="11"/>
  <c r="K41" i="10"/>
  <c r="AA41" i="7"/>
  <c r="AF41" i="8" s="1"/>
  <c r="M41" i="5"/>
  <c r="H40" i="10"/>
  <c r="J40" i="7"/>
  <c r="K41" i="5"/>
  <c r="F40" i="10"/>
  <c r="H40" i="7"/>
  <c r="DD40" i="5"/>
  <c r="J41" i="5"/>
  <c r="E40" i="10"/>
  <c r="G40" i="7"/>
  <c r="B40" i="10"/>
  <c r="D40" i="7"/>
  <c r="G41" i="5"/>
  <c r="L41" i="5"/>
  <c r="G40" i="10"/>
  <c r="I40" i="7"/>
  <c r="DC40" i="5"/>
  <c r="I41" i="5"/>
  <c r="D40" i="10"/>
  <c r="F40" i="7"/>
  <c r="H41" i="5"/>
  <c r="C40" i="10"/>
  <c r="E40" i="7"/>
  <c r="DB36" i="8"/>
  <c r="CU36" i="8"/>
  <c r="DH38" i="8"/>
  <c r="DI38" i="8" s="1"/>
  <c r="CK38" i="8"/>
  <c r="BW38" i="8"/>
  <c r="AC38" i="1" s="1"/>
  <c r="BH38" i="8"/>
  <c r="BU38" i="8" s="1"/>
  <c r="BI38" i="8"/>
  <c r="AH49" i="9"/>
  <c r="AQ36" i="5"/>
  <c r="CZ40" i="5"/>
  <c r="X38" i="8"/>
  <c r="DD38" i="8" s="1"/>
  <c r="E38" i="1"/>
  <c r="AI38" i="5"/>
  <c r="B38" i="9"/>
  <c r="Y38" i="9" s="1"/>
  <c r="A38" i="11"/>
  <c r="AC38" i="8"/>
  <c r="BQ38" i="8" s="1"/>
  <c r="BT38" i="5"/>
  <c r="AJ38" i="5"/>
  <c r="AP38" i="5" s="1"/>
  <c r="A38" i="10"/>
  <c r="AA38" i="10" s="1"/>
  <c r="B38" i="7"/>
  <c r="C40" i="5"/>
  <c r="DA39" i="5"/>
  <c r="DG39" i="5" s="1" a="1"/>
  <c r="DG39" i="5" s="1"/>
  <c r="AB40" i="1"/>
  <c r="DI40" i="5"/>
  <c r="AG49" i="9"/>
  <c r="AK49" i="9"/>
  <c r="AE111" i="9"/>
  <c r="N25" i="1"/>
  <c r="S42" i="2"/>
  <c r="N43" i="2"/>
  <c r="R43" i="2"/>
  <c r="Q42" i="2"/>
  <c r="P44" i="2"/>
  <c r="J44" i="10"/>
  <c r="N44" i="5" s="1"/>
  <c r="AI60" i="9" l="1"/>
  <c r="AO60" i="8" s="1"/>
  <c r="AN50" i="9"/>
  <c r="BK51" i="11" s="1"/>
  <c r="AI51" i="11" s="1"/>
  <c r="CX36" i="8"/>
  <c r="CY36" i="8" s="1"/>
  <c r="CV37" i="8"/>
  <c r="CW37" i="8" s="1"/>
  <c r="AS37" i="8"/>
  <c r="AQ65" i="9"/>
  <c r="CM65" i="8" s="1"/>
  <c r="AO38" i="5"/>
  <c r="AM38" i="5"/>
  <c r="AN38" i="5"/>
  <c r="AR38" i="5" s="1"/>
  <c r="AI37" i="7"/>
  <c r="AV39" i="5"/>
  <c r="AW39" i="5"/>
  <c r="CL39" i="8"/>
  <c r="DB37" i="8"/>
  <c r="G44" i="8"/>
  <c r="CF43" i="8"/>
  <c r="O43" i="2"/>
  <c r="AM50" i="9"/>
  <c r="K50" i="8" s="1"/>
  <c r="BR38" i="8"/>
  <c r="BS38" i="8"/>
  <c r="AD41" i="1"/>
  <c r="BN43" i="5" a="1"/>
  <c r="BN43" i="5" s="1"/>
  <c r="BG43" i="5" a="1"/>
  <c r="BG43" i="5" s="1"/>
  <c r="BM43" i="5" a="1"/>
  <c r="BM43" i="5" s="1"/>
  <c r="BO43" i="5" a="1"/>
  <c r="BO43" i="5" s="1"/>
  <c r="BF43" i="5" a="1"/>
  <c r="BF43" i="5" s="1"/>
  <c r="AE42" i="1" s="1"/>
  <c r="BE43" i="5" a="1"/>
  <c r="BE43" i="5" s="1"/>
  <c r="BC43" i="5" a="1"/>
  <c r="BC43" i="5" s="1"/>
  <c r="BJ43" i="5" a="1"/>
  <c r="BJ43" i="5" s="1"/>
  <c r="CR43" i="5"/>
  <c r="CQ43" i="5"/>
  <c r="CT43" i="5"/>
  <c r="CV43" i="5"/>
  <c r="CW43" i="5"/>
  <c r="CU43" i="5"/>
  <c r="CS43" i="5"/>
  <c r="AY43" i="5" a="1"/>
  <c r="AY43" i="5" s="1"/>
  <c r="BL43" i="5" a="1"/>
  <c r="BL43" i="5" s="1"/>
  <c r="BI43" i="5" a="1"/>
  <c r="BI43" i="5" s="1"/>
  <c r="BD43" i="5" a="1"/>
  <c r="BD43" i="5" s="1"/>
  <c r="BA43" i="5" a="1"/>
  <c r="BA43" i="5" s="1"/>
  <c r="BK43" i="5" a="1"/>
  <c r="BK43" i="5" s="1"/>
  <c r="BH43" i="5" a="1"/>
  <c r="BH43" i="5" s="1"/>
  <c r="BQ43" i="5" a="1"/>
  <c r="BQ43" i="5" s="1"/>
  <c r="BB43" i="5" a="1"/>
  <c r="BB43" i="5" s="1"/>
  <c r="AZ43" i="5" a="1"/>
  <c r="AZ43" i="5" s="1"/>
  <c r="V41" i="2"/>
  <c r="CU37" i="8"/>
  <c r="F46" i="8"/>
  <c r="BP42" i="5" a="1"/>
  <c r="BP42" i="5" s="1"/>
  <c r="J42" i="2" s="1"/>
  <c r="BH39" i="8"/>
  <c r="BU39" i="8" s="1"/>
  <c r="O47" i="1"/>
  <c r="BT38" i="8"/>
  <c r="BO38" i="8"/>
  <c r="BP38" i="8"/>
  <c r="BM38" i="8"/>
  <c r="BN38" i="8"/>
  <c r="BK38" i="8"/>
  <c r="BL38" i="8"/>
  <c r="BJ38" i="8"/>
  <c r="AC38" i="10"/>
  <c r="X38" i="10" s="1"/>
  <c r="AH42" i="11"/>
  <c r="AS42" i="5"/>
  <c r="DB41" i="5"/>
  <c r="DE41" i="5"/>
  <c r="AM42" i="1"/>
  <c r="AU43" i="8"/>
  <c r="AE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BI43" i="14" a="1"/>
  <c r="BI43" i="14" s="1"/>
  <c r="BY43" i="14" a="1"/>
  <c r="BY43" i="14" s="1"/>
  <c r="BL43" i="14" a="1"/>
  <c r="BL43" i="14" s="1"/>
  <c r="Y43" i="14" a="1"/>
  <c r="Y43" i="14" s="1"/>
  <c r="T43" i="14" a="1"/>
  <c r="T43" i="14" s="1"/>
  <c r="AX43" i="14" a="1"/>
  <c r="AX43" i="14" s="1"/>
  <c r="Q43" i="14" a="1"/>
  <c r="Q43" i="14" s="1"/>
  <c r="W43" i="14" a="1"/>
  <c r="W43" i="14" s="1"/>
  <c r="AK43" i="14" a="1"/>
  <c r="AK43" i="14" s="1"/>
  <c r="W40" i="1"/>
  <c r="AJ42" i="1"/>
  <c r="DH41" i="5"/>
  <c r="K44" i="11"/>
  <c r="A44" i="14"/>
  <c r="CA44" i="14" s="1"/>
  <c r="A44" i="7"/>
  <c r="R44" i="7" s="1"/>
  <c r="A44" i="8"/>
  <c r="A44" i="5"/>
  <c r="A44" i="9"/>
  <c r="A44" i="2"/>
  <c r="AK42" i="11"/>
  <c r="AQ37" i="5"/>
  <c r="B39" i="7"/>
  <c r="Q39" i="7" s="1"/>
  <c r="CE37" i="8"/>
  <c r="AI39" i="5"/>
  <c r="E39" i="1"/>
  <c r="BT39" i="5"/>
  <c r="A39" i="10"/>
  <c r="AA39" i="10" s="1"/>
  <c r="D39" i="9"/>
  <c r="B39" i="9"/>
  <c r="Y39" i="9" s="1"/>
  <c r="AC39" i="8"/>
  <c r="BQ39" i="8" s="1"/>
  <c r="CK39" i="8"/>
  <c r="DH39" i="8"/>
  <c r="DI39" i="8" s="1"/>
  <c r="AJ39" i="5"/>
  <c r="AP39" i="5" s="1"/>
  <c r="A39" i="11"/>
  <c r="N39" i="11" s="1"/>
  <c r="X39" i="8"/>
  <c r="DD39" i="8" s="1"/>
  <c r="BI39" i="8"/>
  <c r="BW39" i="8"/>
  <c r="F40" i="5"/>
  <c r="BZ43" i="11"/>
  <c r="K42" i="10"/>
  <c r="AA42" i="7"/>
  <c r="AF42" i="8" s="1"/>
  <c r="AV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S36" i="8"/>
  <c r="CI38" i="8"/>
  <c r="DA38" i="8" s="1"/>
  <c r="BX38" i="8"/>
  <c r="CD38" i="8" s="1"/>
  <c r="N38" i="7"/>
  <c r="AH50" i="9"/>
  <c r="AC37" i="11"/>
  <c r="U37" i="8" s="1"/>
  <c r="AD37" i="11"/>
  <c r="AI37" i="1" s="1"/>
  <c r="AA37" i="11"/>
  <c r="AK37" i="1" s="1"/>
  <c r="Y37" i="11"/>
  <c r="AH37" i="1" s="1"/>
  <c r="N38" i="11"/>
  <c r="AB37" i="11"/>
  <c r="Q37" i="8" s="1"/>
  <c r="Z37" i="11"/>
  <c r="CB38" i="8"/>
  <c r="CT38" i="8" s="1"/>
  <c r="BY38" i="8"/>
  <c r="CQ38" i="8" s="1"/>
  <c r="BZ38" i="8"/>
  <c r="CR38" i="8" s="1"/>
  <c r="CC38" i="8"/>
  <c r="CH38" i="8"/>
  <c r="CZ38" i="8" s="1"/>
  <c r="CA38" i="8"/>
  <c r="AE38" i="7"/>
  <c r="AF38" i="7" s="1"/>
  <c r="Q38" i="7"/>
  <c r="CZ41" i="5"/>
  <c r="AB41" i="1"/>
  <c r="DI41" i="5"/>
  <c r="DA40" i="5"/>
  <c r="DG40" i="5" s="1" a="1"/>
  <c r="DG40" i="5" s="1"/>
  <c r="AG50" i="9"/>
  <c r="AK50" i="9"/>
  <c r="AE112" i="9"/>
  <c r="N26" i="1"/>
  <c r="S43" i="2"/>
  <c r="N44" i="2"/>
  <c r="R44" i="2"/>
  <c r="Q43" i="2"/>
  <c r="J45" i="10"/>
  <c r="N45" i="5" s="1"/>
  <c r="P45" i="2"/>
  <c r="AI61" i="9" l="1"/>
  <c r="AO61" i="8" s="1"/>
  <c r="AN51" i="9"/>
  <c r="BK52" i="11" s="1"/>
  <c r="AI52" i="11" s="1"/>
  <c r="CX37" i="8"/>
  <c r="CY37" i="8" s="1"/>
  <c r="CV38" i="8"/>
  <c r="CW38" i="8" s="1"/>
  <c r="AS38" i="8"/>
  <c r="AQ66" i="9"/>
  <c r="CM66" i="8" s="1"/>
  <c r="AO39" i="5"/>
  <c r="AM39" i="5"/>
  <c r="AN39" i="5"/>
  <c r="AR39" i="5" s="1"/>
  <c r="AV40" i="5"/>
  <c r="AW40" i="5"/>
  <c r="AG38" i="7"/>
  <c r="AI38" i="7" s="1"/>
  <c r="CL40" i="8"/>
  <c r="CH39" i="8"/>
  <c r="CZ39" i="8" s="1"/>
  <c r="AC39" i="1"/>
  <c r="AI62" i="9"/>
  <c r="AO62" i="8" s="1"/>
  <c r="AT43" i="5"/>
  <c r="G45" i="8"/>
  <c r="CF44" i="8"/>
  <c r="O44" i="2"/>
  <c r="AM51" i="9"/>
  <c r="K51" i="8" s="1"/>
  <c r="BR39" i="8"/>
  <c r="BS39" i="8"/>
  <c r="AD42" i="1"/>
  <c r="AZ44" i="5" a="1"/>
  <c r="AZ44" i="5" s="1"/>
  <c r="BB44" i="5" a="1"/>
  <c r="BB44" i="5" s="1"/>
  <c r="CQ44" i="5"/>
  <c r="CR44" i="5"/>
  <c r="CV44" i="5"/>
  <c r="CW44" i="5"/>
  <c r="CS44" i="5"/>
  <c r="CT44" i="5"/>
  <c r="CU44" i="5"/>
  <c r="AY44" i="5" a="1"/>
  <c r="AY44" i="5" s="1"/>
  <c r="BL44" i="5" a="1"/>
  <c r="BL44" i="5" s="1"/>
  <c r="BQ44" i="5" a="1"/>
  <c r="BQ44" i="5" s="1"/>
  <c r="BJ44" i="5" a="1"/>
  <c r="BJ44" i="5" s="1"/>
  <c r="BC44" i="5" a="1"/>
  <c r="BC44" i="5" s="1"/>
  <c r="BH44" i="5" a="1"/>
  <c r="BH44" i="5" s="1"/>
  <c r="BE44" i="5" a="1"/>
  <c r="BE44" i="5" s="1"/>
  <c r="BK44" i="5" a="1"/>
  <c r="BK44" i="5" s="1"/>
  <c r="BF44" i="5" a="1"/>
  <c r="BF44" i="5" s="1"/>
  <c r="AE43" i="1" s="1"/>
  <c r="BA44" i="5" a="1"/>
  <c r="BA44" i="5" s="1"/>
  <c r="BO44" i="5" a="1"/>
  <c r="BO44" i="5" s="1"/>
  <c r="BD44" i="5" a="1"/>
  <c r="BD44" i="5" s="1"/>
  <c r="BM44" i="5" a="1"/>
  <c r="BM44" i="5" s="1"/>
  <c r="BI44" i="5" a="1"/>
  <c r="BI44" i="5" s="1"/>
  <c r="BG44" i="5" a="1"/>
  <c r="BG44" i="5" s="1"/>
  <c r="BN44" i="5" a="1"/>
  <c r="BN44" i="5" s="1"/>
  <c r="V42" i="2"/>
  <c r="CS37" i="8"/>
  <c r="F47" i="8"/>
  <c r="BP43" i="5" a="1"/>
  <c r="BP43" i="5" s="1"/>
  <c r="J43" i="2" s="1"/>
  <c r="D40" i="9"/>
  <c r="BT39" i="8"/>
  <c r="BX39" i="8"/>
  <c r="CD39" i="8" s="1"/>
  <c r="BI40" i="8"/>
  <c r="O48" i="1"/>
  <c r="BO39" i="8"/>
  <c r="BP39" i="8"/>
  <c r="BM39" i="8"/>
  <c r="BN39" i="8"/>
  <c r="BK39" i="8"/>
  <c r="BL39" i="8"/>
  <c r="BJ39" i="8"/>
  <c r="AC39" i="10"/>
  <c r="X39" i="10" s="1"/>
  <c r="AH43" i="11"/>
  <c r="AS43" i="5"/>
  <c r="AK43" i="11"/>
  <c r="DF42" i="5"/>
  <c r="DB42" i="5"/>
  <c r="AJ43" i="1"/>
  <c r="DE42" i="5"/>
  <c r="AU44" i="8"/>
  <c r="AE44" i="8"/>
  <c r="DH42" i="5"/>
  <c r="AM43" i="1"/>
  <c r="K45" i="11"/>
  <c r="A45" i="14"/>
  <c r="CA45" i="14" s="1"/>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L44" i="14" a="1"/>
  <c r="AL44" i="14" s="1"/>
  <c r="P44" i="14" a="1"/>
  <c r="P44" i="14" s="1"/>
  <c r="BX44" i="14" a="1"/>
  <c r="BX44" i="14" s="1"/>
  <c r="BE44" i="14" a="1"/>
  <c r="BE44" i="14" s="1"/>
  <c r="R44" i="14" a="1"/>
  <c r="R44" i="14" s="1"/>
  <c r="AL44" i="1" s="1"/>
  <c r="AF41" i="1"/>
  <c r="Y41" i="1"/>
  <c r="DJ42" i="5"/>
  <c r="W41" i="1"/>
  <c r="AD38" i="11"/>
  <c r="AI38" i="1" s="1"/>
  <c r="AC38" i="11"/>
  <c r="U38" i="8" s="1"/>
  <c r="AJ40" i="5"/>
  <c r="AP40" i="5" s="1"/>
  <c r="AA38" i="11"/>
  <c r="AK38" i="1" s="1"/>
  <c r="AB38" i="11"/>
  <c r="Q38" i="8" s="1"/>
  <c r="Y38" i="11"/>
  <c r="AH38" i="1" s="1"/>
  <c r="Z38" i="11"/>
  <c r="AE39" i="7"/>
  <c r="AF39" i="7" s="1"/>
  <c r="X40" i="8"/>
  <c r="DD40" i="8" s="1"/>
  <c r="CI39" i="8"/>
  <c r="DA39" i="8" s="1"/>
  <c r="AC40" i="8"/>
  <c r="BQ40" i="8" s="1"/>
  <c r="BY39" i="8"/>
  <c r="CQ39" i="8" s="1"/>
  <c r="CC39" i="8"/>
  <c r="BZ39" i="8"/>
  <c r="CR39" i="8" s="1"/>
  <c r="CA39" i="8"/>
  <c r="CB39" i="8"/>
  <c r="CT39" i="8" s="1"/>
  <c r="N39" i="7"/>
  <c r="E40" i="1"/>
  <c r="BH40" i="8"/>
  <c r="BU40" i="8" s="1"/>
  <c r="BT40" i="5"/>
  <c r="DB38" i="8"/>
  <c r="B40" i="9"/>
  <c r="Y40" i="9" s="1"/>
  <c r="A40" i="11"/>
  <c r="AD39" i="11" s="1"/>
  <c r="AI39" i="1" s="1"/>
  <c r="DH40" i="8"/>
  <c r="DI40" i="8" s="1"/>
  <c r="CK40" i="8"/>
  <c r="AI40" i="5"/>
  <c r="B40" i="7"/>
  <c r="Q40" i="7" s="1"/>
  <c r="A40" i="10"/>
  <c r="AA40" i="10" s="1"/>
  <c r="B42" i="5"/>
  <c r="BW40" i="8"/>
  <c r="B42" i="2"/>
  <c r="AH42" i="5"/>
  <c r="BU42" i="5"/>
  <c r="B42" i="1"/>
  <c r="BG42" i="1" s="1"/>
  <c r="BZ44" i="11"/>
  <c r="K43" i="10"/>
  <c r="AA43" i="7"/>
  <c r="AF43" i="8" s="1"/>
  <c r="I43" i="5"/>
  <c r="D42" i="10"/>
  <c r="F42" i="7"/>
  <c r="L43" i="5"/>
  <c r="G42" i="10"/>
  <c r="I42" i="7"/>
  <c r="G43" i="5"/>
  <c r="D42" i="7"/>
  <c r="B42" i="10"/>
  <c r="K43" i="5"/>
  <c r="F42" i="10"/>
  <c r="H42" i="7"/>
  <c r="DD42" i="5"/>
  <c r="J43" i="5"/>
  <c r="E42" i="10"/>
  <c r="G42" i="7"/>
  <c r="H43" i="5"/>
  <c r="C42" i="10"/>
  <c r="E42" i="7"/>
  <c r="M43" i="5"/>
  <c r="H42" i="10"/>
  <c r="J42" i="7"/>
  <c r="CU38" i="8"/>
  <c r="CE38" i="8"/>
  <c r="AH51" i="9"/>
  <c r="AQ38" i="5"/>
  <c r="CZ42" i="5"/>
  <c r="C41" i="5"/>
  <c r="F41" i="5" s="1"/>
  <c r="B38" i="14"/>
  <c r="DA41" i="5"/>
  <c r="DG41" i="5" s="1" a="1"/>
  <c r="DG41" i="5" s="1"/>
  <c r="AB42" i="1"/>
  <c r="DI42" i="5"/>
  <c r="AG51" i="9"/>
  <c r="AK51" i="9"/>
  <c r="AE113" i="9"/>
  <c r="N27" i="1"/>
  <c r="S44" i="2"/>
  <c r="N45" i="2"/>
  <c r="R45" i="2"/>
  <c r="Q44" i="2"/>
  <c r="P46" i="2"/>
  <c r="J46" i="10"/>
  <c r="N46" i="5" s="1"/>
  <c r="AN52" i="9" l="1"/>
  <c r="BK53" i="11" s="1"/>
  <c r="AI53" i="11" s="1"/>
  <c r="CX38" i="8"/>
  <c r="CY38" i="8" s="1"/>
  <c r="CV39" i="8"/>
  <c r="CW39" i="8" s="1"/>
  <c r="AS39" i="8"/>
  <c r="AQ67" i="9"/>
  <c r="CM67" i="8" s="1"/>
  <c r="AO40" i="5"/>
  <c r="AM40" i="5"/>
  <c r="AN40" i="5"/>
  <c r="AR40" i="5" s="1"/>
  <c r="AV41" i="5"/>
  <c r="AW41" i="5"/>
  <c r="DB39" i="8"/>
  <c r="AG39" i="7"/>
  <c r="AI39" i="7" s="1"/>
  <c r="CL41" i="8"/>
  <c r="CC40" i="8"/>
  <c r="AC40" i="1"/>
  <c r="AI63" i="9"/>
  <c r="AO63" i="8" s="1"/>
  <c r="G46" i="8"/>
  <c r="CF45" i="8"/>
  <c r="O45" i="2"/>
  <c r="BQ45" i="5" a="1"/>
  <c r="BQ45" i="5" s="1"/>
  <c r="BH45" i="5" a="1"/>
  <c r="BH45" i="5" s="1"/>
  <c r="BC45" i="5" a="1"/>
  <c r="BC45" i="5" s="1"/>
  <c r="BN45" i="5" a="1"/>
  <c r="BN45" i="5" s="1"/>
  <c r="BJ45" i="5" a="1"/>
  <c r="BJ45" i="5" s="1"/>
  <c r="AM52" i="9"/>
  <c r="K52" i="8" s="1"/>
  <c r="BR40" i="8"/>
  <c r="BS40" i="8"/>
  <c r="AD43" i="1"/>
  <c r="BG45" i="5" a="1"/>
  <c r="BG45" i="5" s="1"/>
  <c r="BI45" i="5" a="1"/>
  <c r="BI45" i="5" s="1"/>
  <c r="BM45" i="5" a="1"/>
  <c r="BM45" i="5" s="1"/>
  <c r="BD45" i="5" a="1"/>
  <c r="BD45" i="5" s="1"/>
  <c r="BO45" i="5" a="1"/>
  <c r="BO45" i="5" s="1"/>
  <c r="CV45" i="5"/>
  <c r="CU45" i="5"/>
  <c r="CR45" i="5"/>
  <c r="CT45" i="5"/>
  <c r="CW45" i="5"/>
  <c r="CS45" i="5"/>
  <c r="CQ45" i="5"/>
  <c r="AY45" i="5" a="1"/>
  <c r="AY45" i="5" s="1"/>
  <c r="BL45" i="5" a="1"/>
  <c r="BL45" i="5" s="1"/>
  <c r="BA45" i="5" a="1"/>
  <c r="BA45" i="5" s="1"/>
  <c r="BF45" i="5" a="1"/>
  <c r="BF45" i="5" s="1"/>
  <c r="AE44" i="1" s="1"/>
  <c r="BK45" i="5" a="1"/>
  <c r="BK45" i="5" s="1"/>
  <c r="BB45" i="5" a="1"/>
  <c r="BB45" i="5" s="1"/>
  <c r="BE45" i="5" a="1"/>
  <c r="BE45" i="5" s="1"/>
  <c r="AZ45" i="5" a="1"/>
  <c r="AZ45" i="5" s="1"/>
  <c r="V43" i="2"/>
  <c r="F48" i="8"/>
  <c r="CU39" i="8"/>
  <c r="BP44" i="5" a="1"/>
  <c r="BP44" i="5" s="1"/>
  <c r="J44" i="2" s="1"/>
  <c r="CE39" i="8"/>
  <c r="O49" i="1"/>
  <c r="BT40" i="8"/>
  <c r="BO40" i="8"/>
  <c r="BP40" i="8"/>
  <c r="BM40" i="8"/>
  <c r="BN40" i="8"/>
  <c r="BK40" i="8"/>
  <c r="BL40" i="8"/>
  <c r="BJ40" i="8"/>
  <c r="AC40" i="10"/>
  <c r="X40" i="10" s="1"/>
  <c r="AS44" i="5"/>
  <c r="AK44" i="11"/>
  <c r="DE43" i="5"/>
  <c r="AH44" i="11"/>
  <c r="AM44" i="1"/>
  <c r="DB43" i="5"/>
  <c r="DF43" i="5"/>
  <c r="AE45" i="8"/>
  <c r="AU45" i="8"/>
  <c r="DH43" i="5"/>
  <c r="W42" i="1"/>
  <c r="AJ44" i="1"/>
  <c r="K46" i="11"/>
  <c r="A46" i="14"/>
  <c r="CA46" i="14" s="1"/>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Q39" i="8" s="1"/>
  <c r="AC39" i="11"/>
  <c r="U39" i="8" s="1"/>
  <c r="AQ39" i="5"/>
  <c r="B39" i="14"/>
  <c r="CA40" i="8"/>
  <c r="CB40" i="8"/>
  <c r="CT40" i="8" s="1"/>
  <c r="AE40" i="7"/>
  <c r="AF40" i="7" s="1"/>
  <c r="D41" i="9"/>
  <c r="Y39" i="11"/>
  <c r="AH39" i="1" s="1"/>
  <c r="N40" i="7"/>
  <c r="BX40" i="8"/>
  <c r="CD40" i="8" s="1"/>
  <c r="Z39" i="11"/>
  <c r="BZ40" i="8"/>
  <c r="CR40" i="8" s="1"/>
  <c r="N40" i="11"/>
  <c r="AA39" i="11"/>
  <c r="AK39" i="1" s="1"/>
  <c r="BY40" i="8"/>
  <c r="CQ40" i="8" s="1"/>
  <c r="CI40" i="8"/>
  <c r="DA40" i="8" s="1"/>
  <c r="CH40" i="8"/>
  <c r="CZ40" i="8" s="1"/>
  <c r="BZ45" i="11"/>
  <c r="K44" i="10"/>
  <c r="AA44" i="7"/>
  <c r="AF44" i="8" s="1"/>
  <c r="AV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S38" i="8"/>
  <c r="DH41" i="8"/>
  <c r="DI41" i="8" s="1"/>
  <c r="CK41" i="8"/>
  <c r="BW41" i="8"/>
  <c r="AC41" i="1" s="1"/>
  <c r="BH41" i="8"/>
  <c r="BU41" i="8" s="1"/>
  <c r="BI41" i="8"/>
  <c r="AH52" i="9"/>
  <c r="C42" i="5"/>
  <c r="F42" i="5" s="1"/>
  <c r="CZ43" i="5"/>
  <c r="A41" i="11"/>
  <c r="BT41" i="5"/>
  <c r="AC41" i="8"/>
  <c r="BQ41" i="8" s="1"/>
  <c r="A41" i="10"/>
  <c r="AA41" i="10" s="1"/>
  <c r="B41" i="7"/>
  <c r="AJ41" i="5"/>
  <c r="AP41" i="5" s="1"/>
  <c r="X41" i="8"/>
  <c r="DD41" i="8" s="1"/>
  <c r="E41" i="1"/>
  <c r="AI41" i="5"/>
  <c r="B41" i="9"/>
  <c r="Y41" i="9" s="1"/>
  <c r="AB43" i="1"/>
  <c r="DI43" i="5"/>
  <c r="DA42" i="5"/>
  <c r="DG42" i="5" s="1" a="1"/>
  <c r="DG42" i="5" s="1"/>
  <c r="AG52" i="9"/>
  <c r="AK52" i="9"/>
  <c r="AE114" i="9"/>
  <c r="N28" i="1"/>
  <c r="S45" i="2"/>
  <c r="N46" i="2"/>
  <c r="R46" i="2"/>
  <c r="Q45" i="2"/>
  <c r="J47" i="10"/>
  <c r="N47" i="5" s="1"/>
  <c r="P47" i="2"/>
  <c r="B50" i="4" l="1"/>
  <c r="AN53" i="9"/>
  <c r="BK54" i="11" s="1"/>
  <c r="AI54" i="11" s="1"/>
  <c r="CX39" i="8"/>
  <c r="CY39" i="8" s="1"/>
  <c r="CV40" i="8"/>
  <c r="CW40" i="8" s="1"/>
  <c r="AS40" i="8"/>
  <c r="AQ68" i="9"/>
  <c r="CM68" i="8" s="1"/>
  <c r="AO41" i="5"/>
  <c r="AM41" i="5"/>
  <c r="AN41" i="5"/>
  <c r="AR41" i="5" s="1"/>
  <c r="AV42" i="5"/>
  <c r="AW42" i="5"/>
  <c r="AG40" i="7"/>
  <c r="AI40" i="7" s="1"/>
  <c r="CL42" i="8"/>
  <c r="AI64" i="9"/>
  <c r="AO64" i="8" s="1"/>
  <c r="G47" i="8"/>
  <c r="CF46" i="8"/>
  <c r="O46" i="2"/>
  <c r="BQ46" i="5" a="1"/>
  <c r="BQ46" i="5" s="1"/>
  <c r="AD44" i="1"/>
  <c r="AM53" i="9"/>
  <c r="K53" i="8" s="1"/>
  <c r="BR41" i="8"/>
  <c r="BS41" i="8"/>
  <c r="AZ46" i="5" a="1"/>
  <c r="AZ46" i="5" s="1"/>
  <c r="BE46" i="5" a="1"/>
  <c r="BE46" i="5" s="1"/>
  <c r="BO46" i="5" a="1"/>
  <c r="BO46" i="5" s="1"/>
  <c r="BB46" i="5" a="1"/>
  <c r="BB46" i="5" s="1"/>
  <c r="BD46" i="5" a="1"/>
  <c r="BD46" i="5" s="1"/>
  <c r="BK46" i="5" a="1"/>
  <c r="BK46" i="5" s="1"/>
  <c r="BM46" i="5" a="1"/>
  <c r="BM46" i="5" s="1"/>
  <c r="BF46" i="5" a="1"/>
  <c r="BF46" i="5" s="1"/>
  <c r="AE45" i="1" s="1"/>
  <c r="BI46" i="5" a="1"/>
  <c r="BI46" i="5" s="1"/>
  <c r="BC46" i="5" a="1"/>
  <c r="BC46" i="5" s="1"/>
  <c r="BH46" i="5" a="1"/>
  <c r="BH46" i="5" s="1"/>
  <c r="BA46" i="5" a="1"/>
  <c r="BA46" i="5" s="1"/>
  <c r="BG46" i="5" a="1"/>
  <c r="BG46" i="5" s="1"/>
  <c r="BN46" i="5" a="1"/>
  <c r="BN46" i="5" s="1"/>
  <c r="CV46" i="5"/>
  <c r="CT46" i="5"/>
  <c r="CQ46" i="5"/>
  <c r="CS46" i="5"/>
  <c r="CR46" i="5"/>
  <c r="CW46" i="5"/>
  <c r="CU46" i="5"/>
  <c r="AY46" i="5" a="1"/>
  <c r="AY46" i="5" s="1"/>
  <c r="BL46" i="5" a="1"/>
  <c r="BL46" i="5" s="1"/>
  <c r="BJ46" i="5" a="1"/>
  <c r="BJ46" i="5" s="1"/>
  <c r="CS39" i="8"/>
  <c r="V44" i="2"/>
  <c r="CU40" i="8"/>
  <c r="F49" i="8"/>
  <c r="BP45" i="5" a="1"/>
  <c r="BP45" i="5" s="1"/>
  <c r="J45" i="2" s="1"/>
  <c r="O50" i="1"/>
  <c r="BT41" i="8"/>
  <c r="BO41" i="8"/>
  <c r="BP41" i="8"/>
  <c r="BM41" i="8"/>
  <c r="BN41" i="8"/>
  <c r="BK41" i="8"/>
  <c r="BL41" i="8"/>
  <c r="BJ41" i="8"/>
  <c r="AC41" i="10"/>
  <c r="X41" i="10" s="1"/>
  <c r="AS45" i="5"/>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CA47" i="14" s="1"/>
  <c r="A47" i="5"/>
  <c r="A47" i="7"/>
  <c r="R47" i="7" s="1"/>
  <c r="A47" i="2"/>
  <c r="A47" i="8"/>
  <c r="A47" i="9"/>
  <c r="AE46" i="8"/>
  <c r="AU46" i="8"/>
  <c r="W43" i="1"/>
  <c r="AF43" i="1"/>
  <c r="DH44" i="5"/>
  <c r="B40" i="14"/>
  <c r="CE40" i="8"/>
  <c r="DB40" i="8"/>
  <c r="B44" i="5"/>
  <c r="AH44" i="5"/>
  <c r="B44" i="1"/>
  <c r="BG44" i="1" s="1"/>
  <c r="B44" i="2"/>
  <c r="BU44" i="5"/>
  <c r="BZ46" i="11"/>
  <c r="AA45" i="7"/>
  <c r="AF45" i="8" s="1"/>
  <c r="AV45" i="8" s="1"/>
  <c r="K45" i="10"/>
  <c r="L45" i="11"/>
  <c r="I45" i="5"/>
  <c r="D44" i="10"/>
  <c r="F44" i="7"/>
  <c r="K45" i="5"/>
  <c r="F44" i="10"/>
  <c r="H44" i="7"/>
  <c r="DD44" i="5"/>
  <c r="H45" i="5"/>
  <c r="C44" i="10"/>
  <c r="E44" i="7"/>
  <c r="M45" i="5"/>
  <c r="H44" i="10"/>
  <c r="J44" i="7"/>
  <c r="L45" i="5"/>
  <c r="G44" i="10"/>
  <c r="I44" i="7"/>
  <c r="D44" i="7"/>
  <c r="B44" i="10"/>
  <c r="G45" i="5"/>
  <c r="J45" i="5"/>
  <c r="E44" i="10"/>
  <c r="G44" i="7"/>
  <c r="D42" i="9"/>
  <c r="CI41" i="8"/>
  <c r="DA41" i="8" s="1"/>
  <c r="DH42" i="8"/>
  <c r="DI42" i="8" s="1"/>
  <c r="CK42" i="8"/>
  <c r="BW42" i="8"/>
  <c r="AC42" i="1" s="1"/>
  <c r="BX41" i="8"/>
  <c r="CD41" i="8" s="1"/>
  <c r="N41" i="7"/>
  <c r="BH42" i="8"/>
  <c r="BU42" i="8" s="1"/>
  <c r="BI42" i="8"/>
  <c r="AH53" i="9"/>
  <c r="AE41" i="7"/>
  <c r="AF41" i="7" s="1"/>
  <c r="Q41" i="7"/>
  <c r="CA41" i="8"/>
  <c r="CB41" i="8"/>
  <c r="CT41" i="8" s="1"/>
  <c r="BY41" i="8"/>
  <c r="CQ41" i="8" s="1"/>
  <c r="BZ41" i="8"/>
  <c r="CR41" i="8" s="1"/>
  <c r="CC41" i="8"/>
  <c r="CH41" i="8"/>
  <c r="CZ41" i="8" s="1"/>
  <c r="C43" i="5"/>
  <c r="F43" i="5" s="1"/>
  <c r="A42" i="11"/>
  <c r="AC42" i="8"/>
  <c r="BQ42" i="8" s="1"/>
  <c r="BT42" i="5"/>
  <c r="A42" i="10"/>
  <c r="AA42" i="10" s="1"/>
  <c r="B42" i="7"/>
  <c r="AJ42" i="5"/>
  <c r="AP42" i="5" s="1"/>
  <c r="X42" i="8"/>
  <c r="DD42" i="8" s="1"/>
  <c r="E42" i="1"/>
  <c r="AI42" i="5"/>
  <c r="B42" i="9"/>
  <c r="Y42" i="9" s="1"/>
  <c r="CZ44" i="5"/>
  <c r="AD40" i="11"/>
  <c r="AI40" i="1" s="1"/>
  <c r="Z40" i="11"/>
  <c r="AC40" i="11"/>
  <c r="U40" i="8" s="1"/>
  <c r="N41" i="11"/>
  <c r="AB40" i="11"/>
  <c r="Q40" i="8" s="1"/>
  <c r="AA40" i="11"/>
  <c r="AK40" i="1" s="1"/>
  <c r="Y40" i="11"/>
  <c r="AH40" i="1" s="1"/>
  <c r="C44" i="5"/>
  <c r="DA43" i="5"/>
  <c r="DG43" i="5" s="1" a="1"/>
  <c r="DG43" i="5" s="1"/>
  <c r="AB44" i="1"/>
  <c r="DI44" i="5"/>
  <c r="AG53" i="9"/>
  <c r="AK53" i="9"/>
  <c r="AE115" i="9"/>
  <c r="N29" i="1"/>
  <c r="S46" i="2"/>
  <c r="N47" i="2"/>
  <c r="R47" i="2"/>
  <c r="Q46" i="2"/>
  <c r="J48" i="10"/>
  <c r="N48" i="5" s="1"/>
  <c r="P48" i="2"/>
  <c r="AN54" i="9" l="1"/>
  <c r="BK55" i="11" s="1"/>
  <c r="AI55" i="11" s="1"/>
  <c r="CX40" i="8"/>
  <c r="CY40" i="8" s="1"/>
  <c r="CV41" i="8"/>
  <c r="CW41" i="8" s="1"/>
  <c r="AS41" i="8"/>
  <c r="AQ69" i="9"/>
  <c r="CM69" i="8" s="1"/>
  <c r="AO42" i="5"/>
  <c r="AM42" i="5"/>
  <c r="AN42" i="5"/>
  <c r="AR42" i="5" s="1"/>
  <c r="AV43" i="5"/>
  <c r="AW43" i="5"/>
  <c r="AG41" i="7"/>
  <c r="AI41" i="7" s="1"/>
  <c r="CL43" i="8"/>
  <c r="AI65" i="9"/>
  <c r="AO65" i="8" s="1"/>
  <c r="G48" i="8"/>
  <c r="CF47" i="8"/>
  <c r="O47" i="2"/>
  <c r="BG47" i="5" a="1"/>
  <c r="BG47" i="5" s="1"/>
  <c r="BH47" i="5" a="1"/>
  <c r="BH47" i="5" s="1"/>
  <c r="BN47" i="5" a="1"/>
  <c r="BN47" i="5" s="1"/>
  <c r="BC47" i="5" a="1"/>
  <c r="BC47" i="5" s="1"/>
  <c r="AM54" i="9"/>
  <c r="K54" i="8" s="1"/>
  <c r="BR42" i="8"/>
  <c r="BS42" i="8"/>
  <c r="AD45" i="1"/>
  <c r="BA47" i="5" a="1"/>
  <c r="BA47" i="5" s="1"/>
  <c r="BI47" i="5" a="1"/>
  <c r="BI47" i="5" s="1"/>
  <c r="BJ47" i="5" a="1"/>
  <c r="BJ47" i="5" s="1"/>
  <c r="BF47" i="5" a="1"/>
  <c r="BF47" i="5" s="1"/>
  <c r="AE46" i="1" s="1"/>
  <c r="BM47" i="5" a="1"/>
  <c r="BM47" i="5" s="1"/>
  <c r="BK47" i="5" a="1"/>
  <c r="BK47" i="5" s="1"/>
  <c r="BD47" i="5" a="1"/>
  <c r="BD47" i="5" s="1"/>
  <c r="BB47" i="5" a="1"/>
  <c r="BB47" i="5" s="1"/>
  <c r="BO47" i="5" a="1"/>
  <c r="BO47" i="5" s="1"/>
  <c r="CQ47" i="5"/>
  <c r="CU47" i="5"/>
  <c r="CT47" i="5"/>
  <c r="CR47" i="5"/>
  <c r="CS47" i="5"/>
  <c r="CV47" i="5"/>
  <c r="CW47" i="5"/>
  <c r="AY47" i="5" a="1"/>
  <c r="AY47" i="5" s="1"/>
  <c r="BL47" i="5" a="1"/>
  <c r="BL47" i="5" s="1"/>
  <c r="BE47" i="5" a="1"/>
  <c r="BE47" i="5" s="1"/>
  <c r="AZ47" i="5" a="1"/>
  <c r="AZ47" i="5" s="1"/>
  <c r="BQ47" i="5" a="1"/>
  <c r="BQ47" i="5" s="1"/>
  <c r="V45" i="2"/>
  <c r="CS40" i="8"/>
  <c r="F50" i="8"/>
  <c r="BP46" i="5" a="1"/>
  <c r="BP46" i="5" s="1"/>
  <c r="J46" i="2" s="1"/>
  <c r="O51" i="1"/>
  <c r="BT42" i="8"/>
  <c r="BO42" i="8"/>
  <c r="BP42" i="8"/>
  <c r="BM42" i="8"/>
  <c r="BN42" i="8"/>
  <c r="BK42" i="8"/>
  <c r="BL42" i="8"/>
  <c r="BJ42" i="8"/>
  <c r="AC42" i="10"/>
  <c r="X42" i="10" s="1"/>
  <c r="AS46" i="5"/>
  <c r="AK46" i="11"/>
  <c r="DB45" i="5"/>
  <c r="AH46" i="11"/>
  <c r="AM46" i="1"/>
  <c r="DF45" i="5"/>
  <c r="K48" i="11"/>
  <c r="A48" i="14"/>
  <c r="CA48" i="14" s="1"/>
  <c r="A48" i="8"/>
  <c r="A48" i="2"/>
  <c r="A48" i="9"/>
  <c r="A48" i="7"/>
  <c r="R48" i="7" s="1"/>
  <c r="A48" i="5"/>
  <c r="DH45" i="5"/>
  <c r="W44" i="1"/>
  <c r="AE47" i="8"/>
  <c r="AU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F44" i="5"/>
  <c r="BZ47" i="11"/>
  <c r="K46" i="10"/>
  <c r="AA46" i="7"/>
  <c r="AF46" i="8" s="1"/>
  <c r="AV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U41" i="8"/>
  <c r="CI42" i="8"/>
  <c r="DA42" i="8" s="1"/>
  <c r="D43" i="9"/>
  <c r="DB41" i="8"/>
  <c r="DH43" i="8"/>
  <c r="DI43" i="8" s="1"/>
  <c r="CE41" i="8"/>
  <c r="CK43" i="8"/>
  <c r="BW43" i="8"/>
  <c r="AC43" i="1" s="1"/>
  <c r="BX42" i="8"/>
  <c r="CD42" i="8" s="1"/>
  <c r="N42" i="7"/>
  <c r="BH43" i="8"/>
  <c r="BU43" i="8" s="1"/>
  <c r="BI43" i="8"/>
  <c r="AH54" i="9"/>
  <c r="AE42" i="7"/>
  <c r="AF42" i="7" s="1"/>
  <c r="Q42" i="7"/>
  <c r="AC43" i="8"/>
  <c r="BQ43" i="8" s="1"/>
  <c r="BT43" i="5"/>
  <c r="A43" i="10"/>
  <c r="AA43" i="10" s="1"/>
  <c r="B43" i="7"/>
  <c r="AJ43" i="5"/>
  <c r="AP43" i="5" s="1"/>
  <c r="X43" i="8"/>
  <c r="DD43" i="8" s="1"/>
  <c r="E43" i="1"/>
  <c r="AI43" i="5"/>
  <c r="B43" i="9"/>
  <c r="Y43" i="9" s="1"/>
  <c r="A43" i="11"/>
  <c r="CZ45" i="5"/>
  <c r="B41" i="14"/>
  <c r="AQ41" i="5"/>
  <c r="Y41" i="11"/>
  <c r="AH41" i="1" s="1"/>
  <c r="AD41" i="11"/>
  <c r="AI41" i="1" s="1"/>
  <c r="Z41" i="11"/>
  <c r="AA41" i="11"/>
  <c r="AK41" i="1" s="1"/>
  <c r="N42" i="11"/>
  <c r="AB41" i="11"/>
  <c r="Q41" i="8" s="1"/>
  <c r="AC41" i="11"/>
  <c r="U41" i="8" s="1"/>
  <c r="BY42" i="8"/>
  <c r="CQ42" i="8" s="1"/>
  <c r="BZ42" i="8"/>
  <c r="CR42" i="8" s="1"/>
  <c r="CA42" i="8"/>
  <c r="CB42" i="8"/>
  <c r="CT42" i="8" s="1"/>
  <c r="CH42" i="8"/>
  <c r="CZ42" i="8" s="1"/>
  <c r="CC42" i="8"/>
  <c r="DA44" i="5"/>
  <c r="DG44" i="5" s="1" a="1"/>
  <c r="DG44" i="5" s="1"/>
  <c r="AB45" i="1"/>
  <c r="DI45" i="5"/>
  <c r="AG54" i="9"/>
  <c r="AK54" i="9"/>
  <c r="AE116" i="9"/>
  <c r="N30" i="1"/>
  <c r="S47" i="2"/>
  <c r="N48" i="2"/>
  <c r="R48" i="2"/>
  <c r="Q47" i="2"/>
  <c r="P49" i="2"/>
  <c r="J49" i="10"/>
  <c r="N49" i="5" s="1"/>
  <c r="AN55" i="9" l="1"/>
  <c r="BK56" i="11" s="1"/>
  <c r="AI56" i="11" s="1"/>
  <c r="CX41" i="8"/>
  <c r="CY41" i="8" s="1"/>
  <c r="CV42" i="8"/>
  <c r="CW42" i="8" s="1"/>
  <c r="AS42" i="8"/>
  <c r="AQ70" i="9"/>
  <c r="CM70" i="8" s="1"/>
  <c r="AO43" i="5"/>
  <c r="AM43" i="5"/>
  <c r="AN43" i="5"/>
  <c r="AR43" i="5" s="1"/>
  <c r="AV44" i="5"/>
  <c r="AW44" i="5"/>
  <c r="AG42" i="7"/>
  <c r="AI42" i="7" s="1"/>
  <c r="CL44" i="8"/>
  <c r="AI66" i="9"/>
  <c r="AO66" i="8" s="1"/>
  <c r="G49" i="8"/>
  <c r="CF48" i="8"/>
  <c r="O48" i="2"/>
  <c r="AD46" i="1"/>
  <c r="AM55" i="9"/>
  <c r="K55" i="8" s="1"/>
  <c r="BR43" i="8"/>
  <c r="BS43" i="8"/>
  <c r="CV48" i="5"/>
  <c r="CT48" i="5"/>
  <c r="CS48" i="5"/>
  <c r="CR48" i="5"/>
  <c r="CU48" i="5"/>
  <c r="CQ48" i="5"/>
  <c r="CW48" i="5"/>
  <c r="AY48" i="5" a="1"/>
  <c r="AY48" i="5" s="1"/>
  <c r="BL48" i="5" a="1"/>
  <c r="BL48" i="5" s="1"/>
  <c r="BO48" i="5" a="1"/>
  <c r="BO48" i="5" s="1"/>
  <c r="BQ48" i="5" a="1"/>
  <c r="BQ48" i="5" s="1"/>
  <c r="BB48" i="5" a="1"/>
  <c r="BB48" i="5" s="1"/>
  <c r="AZ48" i="5" a="1"/>
  <c r="AZ48" i="5" s="1"/>
  <c r="BD48" i="5" a="1"/>
  <c r="BD48" i="5" s="1"/>
  <c r="BK48" i="5" a="1"/>
  <c r="BK48" i="5" s="1"/>
  <c r="BC48" i="5" a="1"/>
  <c r="BC48" i="5" s="1"/>
  <c r="BM48" i="5" a="1"/>
  <c r="BM48" i="5" s="1"/>
  <c r="BN48" i="5" a="1"/>
  <c r="BN48" i="5" s="1"/>
  <c r="BF48" i="5" a="1"/>
  <c r="BF48" i="5" s="1"/>
  <c r="AE47" i="1" s="1"/>
  <c r="BE48" i="5" a="1"/>
  <c r="BE48" i="5" s="1"/>
  <c r="BJ48" i="5" a="1"/>
  <c r="BJ48" i="5" s="1"/>
  <c r="BI48" i="5" a="1"/>
  <c r="BI48" i="5" s="1"/>
  <c r="BH48" i="5" a="1"/>
  <c r="BH48" i="5" s="1"/>
  <c r="BA48" i="5" a="1"/>
  <c r="BA48" i="5" s="1"/>
  <c r="BG48" i="5" a="1"/>
  <c r="BG48" i="5" s="1"/>
  <c r="V46" i="2"/>
  <c r="F51" i="8"/>
  <c r="BP47" i="5" a="1"/>
  <c r="BP47" i="5" s="1"/>
  <c r="J47" i="2" s="1"/>
  <c r="X44" i="8"/>
  <c r="DD44" i="8" s="1"/>
  <c r="O52" i="1"/>
  <c r="BT43" i="8"/>
  <c r="BO43" i="8"/>
  <c r="BP43" i="8"/>
  <c r="BM43" i="8"/>
  <c r="BN43" i="8"/>
  <c r="BK43" i="8"/>
  <c r="BL43" i="8"/>
  <c r="BJ43" i="8"/>
  <c r="AC43" i="10"/>
  <c r="X43" i="10" s="1"/>
  <c r="AS47" i="5"/>
  <c r="DH44" i="8"/>
  <c r="DI44" i="8" s="1"/>
  <c r="DE46" i="5"/>
  <c r="DF46" i="5"/>
  <c r="AH47" i="11"/>
  <c r="AJ47" i="1"/>
  <c r="AK47" i="11"/>
  <c r="AM47" i="1"/>
  <c r="Y45" i="1"/>
  <c r="DJ46" i="5"/>
  <c r="AU48" i="8"/>
  <c r="AE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CA49" i="14" s="1"/>
  <c r="A49" i="8"/>
  <c r="A49" i="2"/>
  <c r="A49" i="5"/>
  <c r="A49" i="9"/>
  <c r="A49" i="7"/>
  <c r="R49" i="7" s="1"/>
  <c r="W45" i="1"/>
  <c r="AC44" i="8"/>
  <c r="BQ44" i="8" s="1"/>
  <c r="BI44" i="8"/>
  <c r="A44" i="11"/>
  <c r="Y43" i="11" s="1"/>
  <c r="AH43" i="1" s="1"/>
  <c r="BW44" i="8"/>
  <c r="B44" i="7"/>
  <c r="Q44" i="7" s="1"/>
  <c r="A44" i="10"/>
  <c r="AA44" i="10" s="1"/>
  <c r="CK44" i="8"/>
  <c r="AJ44" i="5"/>
  <c r="AP44" i="5" s="1"/>
  <c r="BH44" i="8"/>
  <c r="BU44" i="8" s="1"/>
  <c r="B44" i="9"/>
  <c r="Y44" i="9" s="1"/>
  <c r="BT44" i="5"/>
  <c r="AI44" i="5"/>
  <c r="E44" i="1"/>
  <c r="B46" i="5"/>
  <c r="DB46" i="5"/>
  <c r="B46" i="1"/>
  <c r="BG46" i="1" s="1"/>
  <c r="AH46" i="5"/>
  <c r="B46" i="2"/>
  <c r="BU46" i="5"/>
  <c r="BZ48" i="11"/>
  <c r="K47" i="10"/>
  <c r="AA47" i="7"/>
  <c r="AF47" i="8" s="1"/>
  <c r="AV47" i="8" s="1"/>
  <c r="L47" i="11"/>
  <c r="I47" i="5"/>
  <c r="D46" i="10"/>
  <c r="F46" i="7"/>
  <c r="K47" i="5"/>
  <c r="F46" i="10"/>
  <c r="H46" i="7"/>
  <c r="DD46" i="5"/>
  <c r="H47" i="5"/>
  <c r="C46" i="10"/>
  <c r="E46" i="7"/>
  <c r="M47" i="5"/>
  <c r="H46" i="10"/>
  <c r="J46" i="7"/>
  <c r="D46" i="7"/>
  <c r="B46" i="10"/>
  <c r="G47" i="5"/>
  <c r="L47" i="5"/>
  <c r="G46" i="10"/>
  <c r="I46" i="7"/>
  <c r="J47" i="5"/>
  <c r="DC47" i="5" s="1"/>
  <c r="E46" i="10"/>
  <c r="G46" i="7"/>
  <c r="CS41" i="8"/>
  <c r="CU42" i="8"/>
  <c r="CE42" i="8"/>
  <c r="DB42" i="8"/>
  <c r="CI43" i="8"/>
  <c r="DA43" i="8" s="1"/>
  <c r="D44" i="9"/>
  <c r="BX43" i="8"/>
  <c r="CE43" i="8" s="1"/>
  <c r="CX43" i="8" s="1"/>
  <c r="N43" i="7"/>
  <c r="AH55" i="9"/>
  <c r="CC43" i="8"/>
  <c r="BY43" i="8"/>
  <c r="CQ43" i="8" s="1"/>
  <c r="CH43" i="8"/>
  <c r="CZ43" i="8" s="1"/>
  <c r="CA43" i="8"/>
  <c r="CB43" i="8"/>
  <c r="CT43" i="8" s="1"/>
  <c r="BZ43" i="8"/>
  <c r="CR43" i="8" s="1"/>
  <c r="AE43" i="7"/>
  <c r="AF43" i="7" s="1"/>
  <c r="Q43" i="7"/>
  <c r="AQ42" i="5"/>
  <c r="C45" i="5"/>
  <c r="F45" i="5" s="1"/>
  <c r="B42" i="14"/>
  <c r="CZ46" i="5"/>
  <c r="Y42" i="11"/>
  <c r="AH42" i="1" s="1"/>
  <c r="AA42" i="11"/>
  <c r="AK42" i="1" s="1"/>
  <c r="AC42" i="11"/>
  <c r="U42" i="8" s="1"/>
  <c r="AD42" i="11"/>
  <c r="AI42" i="1" s="1"/>
  <c r="N43" i="11"/>
  <c r="Z42" i="11"/>
  <c r="AB42" i="11"/>
  <c r="Q42" i="8" s="1"/>
  <c r="AB46" i="1"/>
  <c r="DI46" i="5"/>
  <c r="DA45" i="5"/>
  <c r="DG45" i="5" s="1" a="1"/>
  <c r="DG45" i="5" s="1"/>
  <c r="AG55" i="9"/>
  <c r="AK55" i="9"/>
  <c r="AE117" i="9"/>
  <c r="N31" i="1"/>
  <c r="S48" i="2"/>
  <c r="N49" i="2"/>
  <c r="R49" i="2"/>
  <c r="Q48" i="2"/>
  <c r="J50" i="10"/>
  <c r="N50" i="5" s="1"/>
  <c r="P50" i="2"/>
  <c r="AN56" i="9" l="1"/>
  <c r="BK57" i="11" s="1"/>
  <c r="AI57" i="11" s="1"/>
  <c r="CX42" i="8"/>
  <c r="CY42" i="8" s="1"/>
  <c r="CV43" i="8"/>
  <c r="CW43" i="8" s="1"/>
  <c r="AS43" i="8"/>
  <c r="AQ71" i="9"/>
  <c r="CM71" i="8" s="1"/>
  <c r="AO44" i="5"/>
  <c r="AM44" i="5"/>
  <c r="AN44" i="5"/>
  <c r="AR44" i="5" s="1"/>
  <c r="AV45" i="5"/>
  <c r="AW45" i="5"/>
  <c r="AG43" i="7"/>
  <c r="AI43" i="7" s="1"/>
  <c r="CL45" i="8"/>
  <c r="BZ44" i="8"/>
  <c r="CR44" i="8" s="1"/>
  <c r="AC44" i="1"/>
  <c r="AI67" i="9"/>
  <c r="AO67" i="8" s="1"/>
  <c r="G50" i="8"/>
  <c r="CF49" i="8"/>
  <c r="O49" i="2"/>
  <c r="AZ49" i="5" a="1"/>
  <c r="AZ49" i="5" s="1"/>
  <c r="BK49" i="5" a="1"/>
  <c r="BK49" i="5" s="1"/>
  <c r="AM56" i="9"/>
  <c r="K56" i="8" s="1"/>
  <c r="BR44" i="8"/>
  <c r="BS44" i="8"/>
  <c r="AD47" i="1"/>
  <c r="BD49" i="5" a="1"/>
  <c r="BD49" i="5" s="1"/>
  <c r="BB49" i="5" a="1"/>
  <c r="BB49" i="5" s="1"/>
  <c r="BQ49" i="5" a="1"/>
  <c r="BQ49" i="5" s="1"/>
  <c r="BG49" i="5" a="1"/>
  <c r="BG49" i="5" s="1"/>
  <c r="BO49" i="5" a="1"/>
  <c r="BO49" i="5" s="1"/>
  <c r="BA49" i="5" a="1"/>
  <c r="BA49" i="5" s="1"/>
  <c r="BH49" i="5" a="1"/>
  <c r="BH49" i="5" s="1"/>
  <c r="CW49" i="5"/>
  <c r="CR49" i="5"/>
  <c r="CT49" i="5"/>
  <c r="CU49" i="5"/>
  <c r="CV49" i="5"/>
  <c r="CQ49" i="5"/>
  <c r="CS49" i="5"/>
  <c r="AY49" i="5" a="1"/>
  <c r="AY49" i="5" s="1"/>
  <c r="BL49" i="5" a="1"/>
  <c r="BL49" i="5" s="1"/>
  <c r="BI49" i="5" a="1"/>
  <c r="BI49" i="5" s="1"/>
  <c r="BJ49" i="5" a="1"/>
  <c r="BJ49" i="5" s="1"/>
  <c r="BE49" i="5" a="1"/>
  <c r="BE49" i="5" s="1"/>
  <c r="BF49" i="5" a="1"/>
  <c r="BF49" i="5" s="1"/>
  <c r="AE48" i="1" s="1"/>
  <c r="BN49" i="5" a="1"/>
  <c r="BN49" i="5" s="1"/>
  <c r="BM49" i="5" a="1"/>
  <c r="BM49" i="5" s="1"/>
  <c r="BC49" i="5" a="1"/>
  <c r="BC49" i="5" s="1"/>
  <c r="V47" i="2"/>
  <c r="F52" i="8"/>
  <c r="B40" i="4" s="1"/>
  <c r="BP48" i="5" a="1"/>
  <c r="BP48" i="5" s="1"/>
  <c r="J48" i="2" s="1"/>
  <c r="O53" i="1"/>
  <c r="BT44" i="8"/>
  <c r="BO44" i="8"/>
  <c r="BP44" i="8"/>
  <c r="BM44" i="8"/>
  <c r="BN44" i="8"/>
  <c r="BK44" i="8"/>
  <c r="BL44" i="8"/>
  <c r="BJ44" i="8"/>
  <c r="AC44" i="10"/>
  <c r="X44" i="10" s="1"/>
  <c r="AS48" i="5"/>
  <c r="CI44" i="8"/>
  <c r="DA44" i="8" s="1"/>
  <c r="AH48" i="11"/>
  <c r="DE47" i="5"/>
  <c r="AJ48" i="1"/>
  <c r="DB47" i="5"/>
  <c r="AM48" i="1"/>
  <c r="Y46" i="1"/>
  <c r="DJ47" i="5"/>
  <c r="W46" i="1"/>
  <c r="AU49" i="8"/>
  <c r="AE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CA50" i="14" s="1"/>
  <c r="A50" i="9"/>
  <c r="A50" i="2"/>
  <c r="A50" i="7"/>
  <c r="R50" i="7" s="1"/>
  <c r="A50" i="5"/>
  <c r="A50" i="8"/>
  <c r="DH47" i="5"/>
  <c r="CC44" i="8"/>
  <c r="AA43" i="11"/>
  <c r="AK43" i="1" s="1"/>
  <c r="AD43" i="11"/>
  <c r="AI43" i="1" s="1"/>
  <c r="AB43" i="11"/>
  <c r="Q43" i="8" s="1"/>
  <c r="N44" i="7"/>
  <c r="AE44" i="7"/>
  <c r="AF44" i="7" s="1"/>
  <c r="AC43" i="11"/>
  <c r="U43" i="8" s="1"/>
  <c r="Z43" i="11"/>
  <c r="CA44" i="8"/>
  <c r="CB44" i="8"/>
  <c r="CT44" i="8" s="1"/>
  <c r="BX44" i="8"/>
  <c r="CE44" i="8" s="1"/>
  <c r="CX44" i="8" s="1"/>
  <c r="N44" i="11"/>
  <c r="D45" i="9"/>
  <c r="CH44" i="8"/>
  <c r="CZ44" i="8" s="1"/>
  <c r="BY44" i="8"/>
  <c r="CQ44" i="8" s="1"/>
  <c r="B47" i="5"/>
  <c r="DF47" i="5"/>
  <c r="BU47" i="5"/>
  <c r="AH47" i="5"/>
  <c r="B47" i="2"/>
  <c r="B47" i="1"/>
  <c r="BG47" i="1" s="1"/>
  <c r="BZ49" i="11"/>
  <c r="K48" i="10"/>
  <c r="AA48" i="7"/>
  <c r="AF48" i="8" s="1"/>
  <c r="AV48" i="8" s="1"/>
  <c r="L48" i="11"/>
  <c r="J48" i="5"/>
  <c r="DC48" i="5" s="1"/>
  <c r="E47" i="10"/>
  <c r="G47" i="7"/>
  <c r="K48" i="5"/>
  <c r="F47" i="10"/>
  <c r="H47" i="7"/>
  <c r="DD47" i="5"/>
  <c r="M48" i="5"/>
  <c r="H47" i="10"/>
  <c r="J47" i="7"/>
  <c r="L48" i="5"/>
  <c r="G47" i="10"/>
  <c r="I47" i="7"/>
  <c r="G48" i="5"/>
  <c r="D47" i="7"/>
  <c r="B47" i="10"/>
  <c r="H48" i="5"/>
  <c r="C47" i="10"/>
  <c r="E47" i="7"/>
  <c r="I48" i="5"/>
  <c r="D47" i="10"/>
  <c r="F47" i="7"/>
  <c r="CS42" i="8"/>
  <c r="CD43" i="8"/>
  <c r="CU43" i="8"/>
  <c r="DB43" i="8"/>
  <c r="DH45" i="8"/>
  <c r="DI45" i="8" s="1"/>
  <c r="CK45" i="8"/>
  <c r="BW45" i="8"/>
  <c r="AC45" i="1" s="1"/>
  <c r="BH45" i="8"/>
  <c r="BU45" i="8" s="1"/>
  <c r="BI45" i="8"/>
  <c r="AH56" i="9"/>
  <c r="C46" i="5"/>
  <c r="F46" i="5" s="1"/>
  <c r="CZ47" i="5"/>
  <c r="B43" i="14"/>
  <c r="AQ43" i="5"/>
  <c r="A45" i="10"/>
  <c r="AA45" i="10" s="1"/>
  <c r="AJ45" i="5"/>
  <c r="AP45" i="5" s="1"/>
  <c r="B45" i="9"/>
  <c r="Y45" i="9" s="1"/>
  <c r="AI45" i="5"/>
  <c r="A45" i="11"/>
  <c r="AC45" i="8"/>
  <c r="BQ45" i="8" s="1"/>
  <c r="BT45" i="5"/>
  <c r="B45" i="7"/>
  <c r="X45" i="8"/>
  <c r="DD45" i="8" s="1"/>
  <c r="E45" i="1"/>
  <c r="DA46" i="5"/>
  <c r="DG46" i="5" s="1" a="1"/>
  <c r="DG46" i="5" s="1"/>
  <c r="AB47" i="1"/>
  <c r="DI47" i="5"/>
  <c r="AG56" i="9"/>
  <c r="AK56" i="9"/>
  <c r="AE118" i="9"/>
  <c r="N32" i="1"/>
  <c r="S49" i="2"/>
  <c r="N50" i="2"/>
  <c r="R50" i="2"/>
  <c r="Q49" i="2"/>
  <c r="J51" i="10"/>
  <c r="N51" i="5" s="1"/>
  <c r="P51" i="2"/>
  <c r="AN57" i="9" l="1"/>
  <c r="BK58" i="11" s="1"/>
  <c r="AI58" i="11" s="1"/>
  <c r="CV44" i="8"/>
  <c r="CW44" i="8" s="1"/>
  <c r="AS44" i="8"/>
  <c r="AQ72" i="9"/>
  <c r="CM72" i="8" s="1"/>
  <c r="AO45" i="5"/>
  <c r="AM45" i="5"/>
  <c r="AN45" i="5"/>
  <c r="AR45" i="5" s="1"/>
  <c r="AV46" i="5"/>
  <c r="AW46" i="5"/>
  <c r="AG44" i="7"/>
  <c r="CL46" i="8"/>
  <c r="AI68" i="9"/>
  <c r="AO68" i="8" s="1"/>
  <c r="G51" i="8"/>
  <c r="CF50" i="8"/>
  <c r="O50" i="2"/>
  <c r="BK50" i="5" a="1"/>
  <c r="BK50" i="5" s="1"/>
  <c r="AM57" i="9"/>
  <c r="K57" i="8" s="1"/>
  <c r="BR45" i="8"/>
  <c r="BS45" i="8"/>
  <c r="AD48" i="1"/>
  <c r="BC50" i="5" a="1"/>
  <c r="BC50" i="5" s="1"/>
  <c r="BH50" i="5" a="1"/>
  <c r="BH50" i="5" s="1"/>
  <c r="BM50" i="5" a="1"/>
  <c r="BM50" i="5" s="1"/>
  <c r="BN50" i="5" a="1"/>
  <c r="BN50" i="5" s="1"/>
  <c r="BF50" i="5" a="1"/>
  <c r="BF50" i="5" s="1"/>
  <c r="AE49" i="1" s="1"/>
  <c r="BA50" i="5" a="1"/>
  <c r="BA50" i="5" s="1"/>
  <c r="CS50" i="5"/>
  <c r="CU50" i="5"/>
  <c r="CT50" i="5"/>
  <c r="CW50" i="5"/>
  <c r="CV50" i="5"/>
  <c r="CQ50" i="5"/>
  <c r="CR50" i="5"/>
  <c r="AY50" i="5" a="1"/>
  <c r="AY50" i="5" s="1"/>
  <c r="BL50" i="5" a="1"/>
  <c r="BL50" i="5" s="1"/>
  <c r="BE50" i="5" a="1"/>
  <c r="BE50" i="5" s="1"/>
  <c r="AZ50" i="5" a="1"/>
  <c r="AZ50" i="5" s="1"/>
  <c r="BJ50" i="5" a="1"/>
  <c r="BJ50" i="5" s="1"/>
  <c r="BO50" i="5" a="1"/>
  <c r="BO50" i="5" s="1"/>
  <c r="BI50" i="5" a="1"/>
  <c r="BI50" i="5" s="1"/>
  <c r="BG50" i="5" a="1"/>
  <c r="BG50" i="5" s="1"/>
  <c r="BQ50" i="5" a="1"/>
  <c r="BQ50" i="5" s="1"/>
  <c r="BB50" i="5" a="1"/>
  <c r="BB50" i="5" s="1"/>
  <c r="BD50" i="5" a="1"/>
  <c r="BD50" i="5" s="1"/>
  <c r="V48" i="2"/>
  <c r="CY43" i="8"/>
  <c r="CU44" i="8"/>
  <c r="F53" i="8"/>
  <c r="BP49" i="5" a="1"/>
  <c r="BP49" i="5" s="1"/>
  <c r="J49" i="2" s="1"/>
  <c r="O54" i="1"/>
  <c r="BT45" i="8"/>
  <c r="BO45" i="8"/>
  <c r="BP45" i="8"/>
  <c r="BM45" i="8"/>
  <c r="BN45" i="8"/>
  <c r="BK45" i="8"/>
  <c r="BL45" i="8"/>
  <c r="BJ45" i="8"/>
  <c r="AC45" i="10"/>
  <c r="X45" i="10" s="1"/>
  <c r="AT49" i="5"/>
  <c r="AS49" i="5"/>
  <c r="DB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W47" i="1"/>
  <c r="AK49" i="11"/>
  <c r="DH48" i="5"/>
  <c r="K51" i="11"/>
  <c r="A51" i="14"/>
  <c r="CA51" i="14" s="1"/>
  <c r="A51" i="7"/>
  <c r="R51" i="7" s="1"/>
  <c r="A51" i="9"/>
  <c r="A51" i="2"/>
  <c r="A51" i="8"/>
  <c r="A51" i="5"/>
  <c r="AU50" i="8"/>
  <c r="AE50" i="8"/>
  <c r="AF47" i="1"/>
  <c r="Y47" i="1"/>
  <c r="DJ48" i="5"/>
  <c r="AJ49" i="1"/>
  <c r="AQ44" i="5"/>
  <c r="D46" i="9"/>
  <c r="B44" i="14"/>
  <c r="CD44" i="8"/>
  <c r="AH48" i="5"/>
  <c r="BU48" i="5"/>
  <c r="B48" i="2"/>
  <c r="B48" i="1"/>
  <c r="BG48" i="1" s="1"/>
  <c r="B48" i="5"/>
  <c r="BZ50" i="11"/>
  <c r="K49" i="10"/>
  <c r="AA49" i="7"/>
  <c r="AF49" i="8" s="1"/>
  <c r="B48" i="10"/>
  <c r="G49" i="5"/>
  <c r="D48" i="7"/>
  <c r="I49" i="5"/>
  <c r="D48" i="10"/>
  <c r="F48" i="7"/>
  <c r="DB48" i="5"/>
  <c r="L49" i="5"/>
  <c r="G48" i="10"/>
  <c r="I48" i="7"/>
  <c r="K49" i="5"/>
  <c r="F48" i="10"/>
  <c r="H48" i="7"/>
  <c r="DD48" i="5"/>
  <c r="H49" i="5"/>
  <c r="C48" i="10"/>
  <c r="E48" i="7"/>
  <c r="M49" i="5"/>
  <c r="H48" i="10"/>
  <c r="J48" i="7"/>
  <c r="J49" i="5"/>
  <c r="DC49" i="5" s="1"/>
  <c r="E48" i="10"/>
  <c r="G48" i="7"/>
  <c r="CS43" i="8"/>
  <c r="CI45" i="8"/>
  <c r="DA45" i="8" s="1"/>
  <c r="DH46" i="8"/>
  <c r="DI46" i="8" s="1"/>
  <c r="CK46" i="8"/>
  <c r="BW46" i="8"/>
  <c r="AC46" i="1" s="1"/>
  <c r="BI46" i="8"/>
  <c r="BX45" i="8"/>
  <c r="CD45" i="8" s="1"/>
  <c r="N45" i="7"/>
  <c r="BT46" i="5"/>
  <c r="BH46" i="8"/>
  <c r="BU46" i="8" s="1"/>
  <c r="AH57" i="9"/>
  <c r="AC46" i="8"/>
  <c r="BQ46" i="8" s="1"/>
  <c r="AI46" i="5"/>
  <c r="AJ46" i="5"/>
  <c r="AP46" i="5" s="1"/>
  <c r="E46" i="1"/>
  <c r="X46" i="8"/>
  <c r="DD46" i="8" s="1"/>
  <c r="A46" i="11"/>
  <c r="Y45" i="11" s="1"/>
  <c r="AH45" i="1" s="1"/>
  <c r="B46" i="9"/>
  <c r="Y46" i="9" s="1"/>
  <c r="B46" i="7"/>
  <c r="A46" i="10"/>
  <c r="AA46" i="10" s="1"/>
  <c r="C47" i="5"/>
  <c r="F47" i="5" s="1"/>
  <c r="Y44" i="11"/>
  <c r="AH44" i="1" s="1"/>
  <c r="N45" i="11"/>
  <c r="AB44" i="11"/>
  <c r="Q44" i="8" s="1"/>
  <c r="Z44" i="11"/>
  <c r="AA44" i="11"/>
  <c r="AK44" i="1" s="1"/>
  <c r="AC44" i="11"/>
  <c r="U44" i="8" s="1"/>
  <c r="AD44" i="11"/>
  <c r="AI44" i="1" s="1"/>
  <c r="BY45" i="8"/>
  <c r="CQ45" i="8" s="1"/>
  <c r="BZ45" i="8"/>
  <c r="CR45" i="8" s="1"/>
  <c r="CB45" i="8"/>
  <c r="CT45" i="8" s="1"/>
  <c r="CC45" i="8"/>
  <c r="CH45" i="8"/>
  <c r="CZ45" i="8" s="1"/>
  <c r="CA45" i="8"/>
  <c r="CZ48" i="5"/>
  <c r="AE45" i="7"/>
  <c r="AF45" i="7" s="1"/>
  <c r="Q45" i="7"/>
  <c r="AB48" i="1"/>
  <c r="DI48" i="5"/>
  <c r="DA47" i="5"/>
  <c r="DG47" i="5" s="1" a="1"/>
  <c r="DG47" i="5" s="1"/>
  <c r="AG57" i="9"/>
  <c r="AK57" i="9"/>
  <c r="AE119" i="9"/>
  <c r="N33" i="1"/>
  <c r="S50" i="2"/>
  <c r="N51" i="2"/>
  <c r="R51" i="2"/>
  <c r="Q50" i="2"/>
  <c r="P52" i="2"/>
  <c r="J52" i="10"/>
  <c r="N52" i="5" s="1"/>
  <c r="AN58" i="9" l="1"/>
  <c r="BK59" i="11" s="1"/>
  <c r="AI59" i="11" s="1"/>
  <c r="CV45" i="8"/>
  <c r="CW45" i="8" s="1"/>
  <c r="AS45" i="8"/>
  <c r="AQ73" i="9"/>
  <c r="CM73" i="8" s="1"/>
  <c r="AO46" i="5"/>
  <c r="AM46" i="5"/>
  <c r="AN46" i="5"/>
  <c r="AR46" i="5" s="1"/>
  <c r="AV47" i="5"/>
  <c r="AW47" i="5"/>
  <c r="AG45" i="7"/>
  <c r="CL47" i="8"/>
  <c r="AI69" i="9"/>
  <c r="AO69" i="8" s="1"/>
  <c r="G52" i="8"/>
  <c r="B41" i="4" s="1"/>
  <c r="CF51" i="8"/>
  <c r="O51" i="2"/>
  <c r="AM58" i="9"/>
  <c r="K58" i="8" s="1"/>
  <c r="BR46" i="8"/>
  <c r="BS46" i="8"/>
  <c r="BD51" i="5" a="1"/>
  <c r="BD51" i="5" s="1"/>
  <c r="BB51" i="5" a="1"/>
  <c r="BB51" i="5" s="1"/>
  <c r="BQ51" i="5" a="1"/>
  <c r="BQ51" i="5" s="1"/>
  <c r="BA51" i="5" a="1"/>
  <c r="BA51" i="5" s="1"/>
  <c r="CT51" i="5"/>
  <c r="CS51" i="5"/>
  <c r="CV51" i="5"/>
  <c r="CW51" i="5"/>
  <c r="CR51" i="5"/>
  <c r="CU51" i="5"/>
  <c r="CQ51" i="5"/>
  <c r="AY51" i="5" a="1"/>
  <c r="AY51" i="5" s="1"/>
  <c r="BL51" i="5" a="1"/>
  <c r="BL51" i="5" s="1"/>
  <c r="BG51" i="5" a="1"/>
  <c r="BG51" i="5" s="1"/>
  <c r="BF51" i="5" a="1"/>
  <c r="BF51" i="5" s="1"/>
  <c r="AE50" i="1" s="1"/>
  <c r="BI51" i="5" a="1"/>
  <c r="BI51" i="5" s="1"/>
  <c r="BN51" i="5" a="1"/>
  <c r="BN51" i="5" s="1"/>
  <c r="BO51" i="5" a="1"/>
  <c r="BO51" i="5" s="1"/>
  <c r="AD49" i="1"/>
  <c r="BJ51" i="5" a="1"/>
  <c r="BJ51" i="5" s="1"/>
  <c r="BM51" i="5" a="1"/>
  <c r="BM51" i="5" s="1"/>
  <c r="AZ51" i="5" a="1"/>
  <c r="AZ51" i="5" s="1"/>
  <c r="BH51" i="5" a="1"/>
  <c r="BH51" i="5" s="1"/>
  <c r="BE51" i="5" a="1"/>
  <c r="BE51" i="5" s="1"/>
  <c r="BC51" i="5" a="1"/>
  <c r="BC51" i="5" s="1"/>
  <c r="BK51" i="5" a="1"/>
  <c r="BK51" i="5" s="1"/>
  <c r="V49" i="2"/>
  <c r="CS44" i="8"/>
  <c r="F54" i="8"/>
  <c r="BP50" i="5" a="1"/>
  <c r="BP50" i="5" s="1"/>
  <c r="J50" i="2" s="1"/>
  <c r="O55" i="1"/>
  <c r="BT46" i="8"/>
  <c r="BO46" i="8"/>
  <c r="BP46" i="8"/>
  <c r="BM46" i="8"/>
  <c r="BN46" i="8"/>
  <c r="BK46" i="8"/>
  <c r="BL46" i="8"/>
  <c r="BJ46" i="8"/>
  <c r="AC46" i="10"/>
  <c r="X46" i="10" s="1"/>
  <c r="AS50" i="5"/>
  <c r="AH50" i="11"/>
  <c r="AK50" i="11"/>
  <c r="DB49" i="5"/>
  <c r="Y48" i="1"/>
  <c r="DJ49" i="5"/>
  <c r="W48" i="1"/>
  <c r="AU51" i="8"/>
  <c r="AE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CA52" i="14" s="1"/>
  <c r="A52" i="7"/>
  <c r="R52" i="7" s="1"/>
  <c r="A52" i="5"/>
  <c r="A52" i="8"/>
  <c r="A52" i="9"/>
  <c r="A52" i="2"/>
  <c r="AM50" i="1"/>
  <c r="CY44" i="8"/>
  <c r="B49" i="5"/>
  <c r="BZ51" i="11"/>
  <c r="K50" i="10"/>
  <c r="AA50" i="7"/>
  <c r="AF50" i="8" s="1"/>
  <c r="AV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I46" i="8"/>
  <c r="DA46" i="8" s="1"/>
  <c r="CU45" i="8"/>
  <c r="D47" i="9"/>
  <c r="DB45" i="8"/>
  <c r="DH47" i="8"/>
  <c r="DI47" i="8" s="1"/>
  <c r="CE45" i="8"/>
  <c r="CK47" i="8"/>
  <c r="BW47" i="8"/>
  <c r="BI47" i="8"/>
  <c r="BX46" i="8"/>
  <c r="CD46" i="8" s="1"/>
  <c r="N46" i="7"/>
  <c r="BH47" i="8"/>
  <c r="BU47" i="8" s="1"/>
  <c r="AH58" i="9"/>
  <c r="B47" i="7"/>
  <c r="Q47" i="7" s="1"/>
  <c r="AI47" i="5"/>
  <c r="A47" i="11"/>
  <c r="B47" i="9"/>
  <c r="Y47" i="9" s="1"/>
  <c r="X47" i="8"/>
  <c r="DD47" i="8" s="1"/>
  <c r="A47" i="10"/>
  <c r="AA47" i="10" s="1"/>
  <c r="AQ45" i="5"/>
  <c r="BT47" i="5"/>
  <c r="E47" i="1"/>
  <c r="AE46" i="7"/>
  <c r="AF46" i="7" s="1"/>
  <c r="Q46" i="7"/>
  <c r="AC45" i="11"/>
  <c r="U45" i="8" s="1"/>
  <c r="AB45" i="11"/>
  <c r="Q45" i="8" s="1"/>
  <c r="AD45" i="11"/>
  <c r="AI45" i="1" s="1"/>
  <c r="N46" i="11"/>
  <c r="Z45" i="11"/>
  <c r="AA45" i="11"/>
  <c r="AK45" i="1" s="1"/>
  <c r="AJ47" i="5"/>
  <c r="AP47" i="5" s="1"/>
  <c r="AC47" i="8"/>
  <c r="BQ47" i="8" s="1"/>
  <c r="BY46" i="8"/>
  <c r="CQ46" i="8" s="1"/>
  <c r="CC46" i="8"/>
  <c r="CH46" i="8"/>
  <c r="CZ46" i="8" s="1"/>
  <c r="CA46" i="8"/>
  <c r="CB46" i="8"/>
  <c r="CT46" i="8" s="1"/>
  <c r="BZ46" i="8"/>
  <c r="CR46" i="8" s="1"/>
  <c r="C48" i="5"/>
  <c r="F48" i="5" s="1"/>
  <c r="CZ49" i="5"/>
  <c r="DA48" i="5"/>
  <c r="DG48" i="5" s="1" a="1"/>
  <c r="DG48" i="5" s="1"/>
  <c r="AB49" i="1"/>
  <c r="DI49" i="5"/>
  <c r="AG58" i="9"/>
  <c r="AK58" i="9"/>
  <c r="AE120" i="9"/>
  <c r="N34" i="1"/>
  <c r="S51" i="2"/>
  <c r="N52" i="2"/>
  <c r="R52" i="2"/>
  <c r="Q51" i="2"/>
  <c r="J53" i="10"/>
  <c r="N53" i="5" s="1"/>
  <c r="P53" i="2"/>
  <c r="AN59" i="9" l="1"/>
  <c r="BK60" i="11" s="1"/>
  <c r="AI60" i="11" s="1"/>
  <c r="CX45" i="8"/>
  <c r="CY45" i="8" s="1"/>
  <c r="CV46" i="8"/>
  <c r="CW46" i="8" s="1"/>
  <c r="AS46" i="8"/>
  <c r="AQ74" i="9"/>
  <c r="CM74" i="8" s="1"/>
  <c r="AO47" i="5"/>
  <c r="AM47" i="5"/>
  <c r="AN47" i="5"/>
  <c r="AR47" i="5" s="1"/>
  <c r="AV48" i="5"/>
  <c r="AW48" i="5"/>
  <c r="AG46" i="7"/>
  <c r="CL48" i="8"/>
  <c r="CH47" i="8"/>
  <c r="CZ47" i="8" s="1"/>
  <c r="AC47" i="1"/>
  <c r="AI70" i="9"/>
  <c r="AO70" i="8" s="1"/>
  <c r="G53" i="8"/>
  <c r="CF52" i="8"/>
  <c r="O52" i="2"/>
  <c r="AT51" i="5"/>
  <c r="BI52" i="5" a="1"/>
  <c r="BI52" i="5" s="1"/>
  <c r="E62" i="4" s="1"/>
  <c r="BF52" i="5" a="1"/>
  <c r="BF52" i="5" s="1"/>
  <c r="AM59" i="9"/>
  <c r="K59" i="8" s="1"/>
  <c r="BR47" i="8"/>
  <c r="BS47" i="8"/>
  <c r="AD50" i="1"/>
  <c r="BG52" i="5" a="1"/>
  <c r="BG52" i="5" s="1"/>
  <c r="E59" i="4" s="1"/>
  <c r="BK52" i="5" a="1"/>
  <c r="BK52" i="5" s="1"/>
  <c r="E63" i="4" s="1"/>
  <c r="BC52" i="5" a="1"/>
  <c r="BC52" i="5" s="1"/>
  <c r="E55" i="4" s="1"/>
  <c r="BE52" i="5" a="1"/>
  <c r="BE52" i="5" s="1"/>
  <c r="E57" i="4" s="1"/>
  <c r="BH52" i="5" a="1"/>
  <c r="BH52" i="5" s="1"/>
  <c r="E61" i="4" s="1"/>
  <c r="CS52" i="5"/>
  <c r="CT52" i="5"/>
  <c r="CR52" i="5"/>
  <c r="CW52" i="5"/>
  <c r="CV52" i="5"/>
  <c r="CQ52" i="5"/>
  <c r="CU52" i="5"/>
  <c r="AY52" i="5" a="1"/>
  <c r="AY52" i="5" s="1"/>
  <c r="E51" i="4" s="1"/>
  <c r="BL52" i="5" a="1"/>
  <c r="BL52" i="5" s="1"/>
  <c r="E64" i="4" s="1"/>
  <c r="AZ52" i="5" a="1"/>
  <c r="AZ52" i="5" s="1"/>
  <c r="E52" i="4" s="1"/>
  <c r="BM52" i="5" a="1"/>
  <c r="BM52" i="5" s="1"/>
  <c r="E65" i="4" s="1"/>
  <c r="BJ52" i="5" a="1"/>
  <c r="BJ52" i="5" s="1"/>
  <c r="E60" i="4" s="1"/>
  <c r="BA52" i="5" a="1"/>
  <c r="BA52" i="5" s="1"/>
  <c r="E53" i="4" s="1"/>
  <c r="BQ52" i="5" a="1"/>
  <c r="BQ52" i="5" s="1"/>
  <c r="E69" i="4" s="1"/>
  <c r="BO52" i="5" a="1"/>
  <c r="BO52" i="5" s="1"/>
  <c r="E67" i="4" s="1"/>
  <c r="BB52" i="5" a="1"/>
  <c r="BB52" i="5" s="1"/>
  <c r="E54" i="4" s="1"/>
  <c r="BN52" i="5" a="1"/>
  <c r="BN52" i="5" s="1"/>
  <c r="E66" i="4" s="1"/>
  <c r="BD52" i="5" a="1"/>
  <c r="BD52" i="5" s="1"/>
  <c r="E56" i="4" s="1"/>
  <c r="V50" i="2"/>
  <c r="F55" i="8"/>
  <c r="BP51" i="5" a="1"/>
  <c r="BP51" i="5" s="1"/>
  <c r="J51" i="2" s="1"/>
  <c r="O56" i="1"/>
  <c r="BX47" i="8"/>
  <c r="CD47" i="8" s="1"/>
  <c r="BT47" i="8"/>
  <c r="BO47" i="8"/>
  <c r="BP47" i="8"/>
  <c r="BM47" i="8"/>
  <c r="BN47" i="8"/>
  <c r="BK47" i="8"/>
  <c r="BL47" i="8"/>
  <c r="BJ47" i="8"/>
  <c r="AC47" i="10"/>
  <c r="X47" i="10" s="1"/>
  <c r="AS51" i="5"/>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W49" i="1"/>
  <c r="K53" i="11"/>
  <c r="A53" i="14"/>
  <c r="CA53" i="14" s="1"/>
  <c r="A53" i="9"/>
  <c r="A53" i="8"/>
  <c r="A53" i="5"/>
  <c r="A53" i="7"/>
  <c r="R53" i="7" s="1"/>
  <c r="A53" i="2"/>
  <c r="Y49" i="1"/>
  <c r="DJ50" i="5"/>
  <c r="AU52" i="8"/>
  <c r="AE52" i="8"/>
  <c r="DH50" i="5"/>
  <c r="B50" i="5"/>
  <c r="CS45" i="8"/>
  <c r="B50" i="2"/>
  <c r="B50" i="1"/>
  <c r="BG50" i="1" s="1"/>
  <c r="AH50" i="5"/>
  <c r="BU50" i="5"/>
  <c r="BZ52" i="11"/>
  <c r="K51" i="10"/>
  <c r="AA51" i="7"/>
  <c r="AF51" i="8" s="1"/>
  <c r="J51" i="5"/>
  <c r="DC51" i="5" s="1"/>
  <c r="E50" i="10"/>
  <c r="G50" i="7"/>
  <c r="M51" i="5"/>
  <c r="H50" i="10"/>
  <c r="J50" i="7"/>
  <c r="I51" i="5"/>
  <c r="D50" i="10"/>
  <c r="F50" i="7"/>
  <c r="H51" i="5"/>
  <c r="C50" i="10"/>
  <c r="E50" i="7"/>
  <c r="K51" i="5"/>
  <c r="F50" i="10"/>
  <c r="H50" i="7"/>
  <c r="DD50" i="5"/>
  <c r="G51" i="5"/>
  <c r="D50" i="7"/>
  <c r="B50" i="10"/>
  <c r="L51" i="5"/>
  <c r="G50" i="10"/>
  <c r="I50" i="7"/>
  <c r="DB46" i="8"/>
  <c r="CU46" i="8"/>
  <c r="D48" i="9"/>
  <c r="CI47" i="8"/>
  <c r="DA47" i="8" s="1"/>
  <c r="DH48" i="8"/>
  <c r="DI48" i="8" s="1"/>
  <c r="CE46" i="8"/>
  <c r="CK48" i="8"/>
  <c r="BW48" i="8"/>
  <c r="AC48" i="1" s="1"/>
  <c r="N47" i="7"/>
  <c r="BH48" i="8"/>
  <c r="BU48" i="8" s="1"/>
  <c r="BI48" i="8"/>
  <c r="AH59" i="9"/>
  <c r="B46" i="14"/>
  <c r="AQ46" i="5"/>
  <c r="CA47" i="8"/>
  <c r="AE47" i="7"/>
  <c r="AF47" i="7" s="1"/>
  <c r="CC47" i="8"/>
  <c r="AB46" i="11"/>
  <c r="Q46" i="8" s="1"/>
  <c r="Z46" i="11"/>
  <c r="Y46" i="11"/>
  <c r="AH46" i="1" s="1"/>
  <c r="AC46" i="11"/>
  <c r="U46" i="8" s="1"/>
  <c r="N47" i="11"/>
  <c r="AA46" i="11"/>
  <c r="AK46" i="1" s="1"/>
  <c r="AD46" i="11"/>
  <c r="AI46" i="1" s="1"/>
  <c r="BZ47" i="8"/>
  <c r="CR47" i="8" s="1"/>
  <c r="CB47" i="8"/>
  <c r="CT47" i="8" s="1"/>
  <c r="BY47" i="8"/>
  <c r="CQ47" i="8" s="1"/>
  <c r="C49" i="5"/>
  <c r="F49" i="5" s="1"/>
  <c r="A48" i="10"/>
  <c r="AA48" i="10" s="1"/>
  <c r="B48" i="7"/>
  <c r="A48" i="11"/>
  <c r="X48" i="8"/>
  <c r="DD48" i="8" s="1"/>
  <c r="E48" i="1"/>
  <c r="AJ48" i="5"/>
  <c r="AP48" i="5" s="1"/>
  <c r="B48" i="9"/>
  <c r="Y48" i="9" s="1"/>
  <c r="AI48" i="5"/>
  <c r="AC48" i="8"/>
  <c r="BQ48" i="8" s="1"/>
  <c r="BT48" i="5"/>
  <c r="CZ50" i="5"/>
  <c r="AB50" i="1"/>
  <c r="DI50" i="5"/>
  <c r="C50" i="5"/>
  <c r="DA49" i="5"/>
  <c r="DG49" i="5" s="1" a="1"/>
  <c r="DG49" i="5" s="1"/>
  <c r="AG59" i="9"/>
  <c r="AK59" i="9"/>
  <c r="AE121" i="9"/>
  <c r="N35" i="1"/>
  <c r="S52" i="2"/>
  <c r="N53" i="2"/>
  <c r="R53" i="2"/>
  <c r="Q52" i="2"/>
  <c r="P54" i="2"/>
  <c r="J54" i="10"/>
  <c r="N54" i="5" s="1"/>
  <c r="AN60" i="9" l="1"/>
  <c r="BK61" i="11" s="1"/>
  <c r="AI61" i="11" s="1"/>
  <c r="CX46" i="8"/>
  <c r="CY46" i="8" s="1"/>
  <c r="CV47" i="8"/>
  <c r="CW47" i="8" s="1"/>
  <c r="AS47" i="8"/>
  <c r="AQ75" i="9"/>
  <c r="CM75" i="8" s="1"/>
  <c r="AO48" i="5"/>
  <c r="AM48" i="5"/>
  <c r="AN48" i="5"/>
  <c r="AV49" i="5"/>
  <c r="AW49" i="5"/>
  <c r="AG47" i="7"/>
  <c r="AE51" i="1"/>
  <c r="E58" i="4"/>
  <c r="CL49" i="8"/>
  <c r="DB47" i="8"/>
  <c r="AI71" i="9"/>
  <c r="AO71" i="8" s="1"/>
  <c r="G54" i="8"/>
  <c r="CF53" i="8"/>
  <c r="O53" i="2"/>
  <c r="AM60" i="9"/>
  <c r="K60" i="8" s="1"/>
  <c r="BR48" i="8"/>
  <c r="BS48" i="8"/>
  <c r="AD51" i="1"/>
  <c r="BD53" i="5" a="1"/>
  <c r="BD53" i="5" s="1"/>
  <c r="BN53" i="5" a="1"/>
  <c r="BN53" i="5" s="1"/>
  <c r="BB53" i="5" a="1"/>
  <c r="BB53" i="5" s="1"/>
  <c r="BO53" i="5" a="1"/>
  <c r="BO53" i="5" s="1"/>
  <c r="BH53" i="5" a="1"/>
  <c r="BH53" i="5" s="1"/>
  <c r="BQ53" i="5" a="1"/>
  <c r="BQ53" i="5" s="1"/>
  <c r="BE53" i="5" a="1"/>
  <c r="BE53" i="5" s="1"/>
  <c r="BC53" i="5" a="1"/>
  <c r="BC53" i="5" s="1"/>
  <c r="BA53" i="5" a="1"/>
  <c r="BA53" i="5" s="1"/>
  <c r="BK53" i="5" a="1"/>
  <c r="BK53" i="5" s="1"/>
  <c r="CT53" i="5"/>
  <c r="CS53" i="5"/>
  <c r="CV53" i="5"/>
  <c r="CR53" i="5"/>
  <c r="CU53" i="5"/>
  <c r="CQ53" i="5"/>
  <c r="CW53" i="5"/>
  <c r="AY53" i="5" a="1"/>
  <c r="AY53" i="5" s="1"/>
  <c r="BL53" i="5" a="1"/>
  <c r="BL53" i="5" s="1"/>
  <c r="BJ53" i="5" a="1"/>
  <c r="BJ53" i="5" s="1"/>
  <c r="BI53" i="5" a="1"/>
  <c r="BI53" i="5" s="1"/>
  <c r="BM53" i="5" a="1"/>
  <c r="BM53" i="5" s="1"/>
  <c r="BG53" i="5" a="1"/>
  <c r="BG53" i="5" s="1"/>
  <c r="AZ53" i="5" a="1"/>
  <c r="AZ53" i="5" s="1"/>
  <c r="BF53" i="5" a="1"/>
  <c r="BF53" i="5" s="1"/>
  <c r="AE52" i="1" s="1"/>
  <c r="V51" i="2"/>
  <c r="F56" i="8"/>
  <c r="BP52" i="5" a="1"/>
  <c r="BP52" i="5" s="1"/>
  <c r="O57" i="1"/>
  <c r="CE47" i="8"/>
  <c r="BT48" i="8"/>
  <c r="BO48" i="8"/>
  <c r="BP48" i="8"/>
  <c r="BM48" i="8"/>
  <c r="BN48" i="8"/>
  <c r="BK48" i="8"/>
  <c r="BL48" i="8"/>
  <c r="BJ48" i="8"/>
  <c r="AC48" i="10"/>
  <c r="X48" i="10" s="1"/>
  <c r="AR48" i="5"/>
  <c r="AT52" i="5"/>
  <c r="AS52" i="5"/>
  <c r="AH52" i="11"/>
  <c r="AJ52" i="1"/>
  <c r="DF51" i="5"/>
  <c r="AM52" i="1"/>
  <c r="AK52" i="11"/>
  <c r="DE51" i="5"/>
  <c r="DB51" i="5"/>
  <c r="DH51" i="5"/>
  <c r="Y50" i="1"/>
  <c r="DJ51" i="5"/>
  <c r="W50" i="1"/>
  <c r="K54" i="11"/>
  <c r="A54" i="14"/>
  <c r="CA54" i="14" s="1"/>
  <c r="A54" i="5"/>
  <c r="A54" i="9"/>
  <c r="A54" i="7"/>
  <c r="R54" i="7" s="1"/>
  <c r="A54" i="8"/>
  <c r="A54" i="2"/>
  <c r="AF50" i="1"/>
  <c r="AE53" i="8"/>
  <c r="AU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CS46" i="8"/>
  <c r="B51" i="5"/>
  <c r="BZ53" i="11"/>
  <c r="AA52" i="7"/>
  <c r="AF52" i="8" s="1"/>
  <c r="K52" i="10"/>
  <c r="I52" i="5"/>
  <c r="D51" i="10"/>
  <c r="F51" i="7"/>
  <c r="L52" i="5"/>
  <c r="G51" i="10"/>
  <c r="I51" i="7"/>
  <c r="K52" i="5"/>
  <c r="F51" i="10"/>
  <c r="H51" i="7"/>
  <c r="DD51" i="5"/>
  <c r="M52" i="5"/>
  <c r="H51" i="10"/>
  <c r="J51" i="7"/>
  <c r="B51" i="10"/>
  <c r="G52" i="5"/>
  <c r="D51" i="7"/>
  <c r="H52" i="5"/>
  <c r="C51" i="10"/>
  <c r="E51" i="7"/>
  <c r="J52" i="5"/>
  <c r="DC52" i="5" s="1"/>
  <c r="E51" i="10"/>
  <c r="G51" i="7"/>
  <c r="CU47" i="8"/>
  <c r="D49" i="9"/>
  <c r="CI48" i="8"/>
  <c r="DA48" i="8" s="1"/>
  <c r="DH49" i="8"/>
  <c r="DI49" i="8" s="1"/>
  <c r="CK49" i="8"/>
  <c r="BW49" i="8"/>
  <c r="AC49" i="1" s="1"/>
  <c r="BI49" i="8"/>
  <c r="BX48" i="8"/>
  <c r="CE48" i="8" s="1"/>
  <c r="CX48" i="8" s="1"/>
  <c r="N48" i="7"/>
  <c r="B49" i="9"/>
  <c r="Y49" i="9" s="1"/>
  <c r="BH49" i="8"/>
  <c r="BU49" i="8" s="1"/>
  <c r="AH60" i="9"/>
  <c r="B47" i="14"/>
  <c r="AQ47" i="5"/>
  <c r="X49" i="8"/>
  <c r="DD49" i="8" s="1"/>
  <c r="B49" i="7"/>
  <c r="Q49" i="7" s="1"/>
  <c r="AJ49" i="5"/>
  <c r="AP49" i="5" s="1"/>
  <c r="AC49" i="8"/>
  <c r="BQ49" i="8" s="1"/>
  <c r="A49" i="11"/>
  <c r="AA48" i="11" s="1"/>
  <c r="AK48" i="1" s="1"/>
  <c r="AI49" i="5"/>
  <c r="BT49" i="5"/>
  <c r="E49" i="1"/>
  <c r="A49" i="10"/>
  <c r="AA49" i="10" s="1"/>
  <c r="Q48" i="7"/>
  <c r="AE48" i="7"/>
  <c r="AF48" i="7" s="1"/>
  <c r="CZ51" i="5"/>
  <c r="N48" i="11"/>
  <c r="AB47" i="11"/>
  <c r="Q47" i="8" s="1"/>
  <c r="AD47" i="11"/>
  <c r="AI47" i="1" s="1"/>
  <c r="Y47" i="11"/>
  <c r="AH47" i="1" s="1"/>
  <c r="Z47" i="11"/>
  <c r="AA47" i="11"/>
  <c r="AK47" i="1" s="1"/>
  <c r="AC47" i="11"/>
  <c r="U47" i="8" s="1"/>
  <c r="CH48" i="8"/>
  <c r="CZ48" i="8" s="1"/>
  <c r="CB48" i="8"/>
  <c r="CT48" i="8" s="1"/>
  <c r="BZ48" i="8"/>
  <c r="CR48" i="8" s="1"/>
  <c r="BY48" i="8"/>
  <c r="CQ48" i="8" s="1"/>
  <c r="CC48" i="8"/>
  <c r="CA48" i="8"/>
  <c r="DA50" i="5"/>
  <c r="DG50" i="5" s="1" a="1"/>
  <c r="DG50" i="5" s="1"/>
  <c r="AB51" i="1"/>
  <c r="DI51" i="5"/>
  <c r="AG60" i="9"/>
  <c r="AK60" i="9"/>
  <c r="AE122" i="9"/>
  <c r="N36" i="1"/>
  <c r="S53" i="2"/>
  <c r="N54" i="2"/>
  <c r="R54" i="2"/>
  <c r="Q53" i="2"/>
  <c r="P55" i="2"/>
  <c r="J55" i="10"/>
  <c r="N55" i="5" s="1"/>
  <c r="AN61" i="9" l="1"/>
  <c r="BK62" i="11" s="1"/>
  <c r="AI62" i="11" s="1"/>
  <c r="CX47" i="8"/>
  <c r="CY47" i="8" s="1"/>
  <c r="CV48" i="8"/>
  <c r="CW48" i="8" s="1"/>
  <c r="AS48" i="8"/>
  <c r="AQ76" i="9"/>
  <c r="CM76" i="8" s="1"/>
  <c r="AO49" i="5"/>
  <c r="AM49" i="5"/>
  <c r="AN49" i="5"/>
  <c r="AR49" i="5" s="1"/>
  <c r="AV50" i="5"/>
  <c r="AW50" i="5"/>
  <c r="AG48" i="7"/>
  <c r="J52" i="2"/>
  <c r="E68" i="4"/>
  <c r="CL50" i="8"/>
  <c r="AI72" i="9"/>
  <c r="AO72" i="8" s="1"/>
  <c r="G55" i="8"/>
  <c r="CF54" i="8"/>
  <c r="O54" i="2"/>
  <c r="BK54" i="5" a="1"/>
  <c r="BK54" i="5" s="1"/>
  <c r="BF54" i="5" a="1"/>
  <c r="BF54" i="5" s="1"/>
  <c r="AE53" i="1" s="1"/>
  <c r="AM61" i="9"/>
  <c r="K61" i="8" s="1"/>
  <c r="BR49" i="8"/>
  <c r="BS49" i="8"/>
  <c r="AD52" i="1"/>
  <c r="BA54" i="5" a="1"/>
  <c r="BA54" i="5" s="1"/>
  <c r="AZ54" i="5" a="1"/>
  <c r="AZ54" i="5" s="1"/>
  <c r="BC54" i="5" a="1"/>
  <c r="BC54" i="5" s="1"/>
  <c r="BG54" i="5" a="1"/>
  <c r="BG54" i="5" s="1"/>
  <c r="BE54" i="5" a="1"/>
  <c r="BE54" i="5" s="1"/>
  <c r="BM54" i="5" a="1"/>
  <c r="BM54" i="5" s="1"/>
  <c r="BQ54" i="5" a="1"/>
  <c r="BQ54" i="5" s="1"/>
  <c r="BI54" i="5" a="1"/>
  <c r="BI54" i="5" s="1"/>
  <c r="BJ54" i="5" a="1"/>
  <c r="BJ54" i="5" s="1"/>
  <c r="BH54" i="5" a="1"/>
  <c r="BH54" i="5" s="1"/>
  <c r="BO54" i="5" a="1"/>
  <c r="BO54" i="5" s="1"/>
  <c r="BB54" i="5" a="1"/>
  <c r="BB54" i="5" s="1"/>
  <c r="CT54" i="5"/>
  <c r="CR54" i="5"/>
  <c r="CQ54" i="5"/>
  <c r="CS54" i="5"/>
  <c r="CU54" i="5"/>
  <c r="CW54" i="5"/>
  <c r="CV54" i="5"/>
  <c r="AY54" i="5" a="1"/>
  <c r="AY54" i="5" s="1"/>
  <c r="BL54" i="5" a="1"/>
  <c r="BL54" i="5" s="1"/>
  <c r="BN54" i="5" a="1"/>
  <c r="BN54" i="5" s="1"/>
  <c r="BD54" i="5" a="1"/>
  <c r="BD54" i="5" s="1"/>
  <c r="V52" i="2"/>
  <c r="F57" i="8"/>
  <c r="BP53" i="5" a="1"/>
  <c r="BP53" i="5" s="1"/>
  <c r="J53" i="2" s="1"/>
  <c r="A50" i="11"/>
  <c r="AD49" i="11" s="1"/>
  <c r="AI49" i="1" s="1"/>
  <c r="O58" i="1"/>
  <c r="BT49" i="8"/>
  <c r="BO49" i="8"/>
  <c r="BP49" i="8"/>
  <c r="BM49" i="8"/>
  <c r="BN49" i="8"/>
  <c r="BK49" i="8"/>
  <c r="BL49" i="8"/>
  <c r="BJ49" i="8"/>
  <c r="AC49" i="10"/>
  <c r="X49" i="10" s="1"/>
  <c r="AS53" i="5"/>
  <c r="DB52" i="5"/>
  <c r="AH53" i="11"/>
  <c r="AJ53" i="1"/>
  <c r="Y51" i="1"/>
  <c r="DJ52" i="5"/>
  <c r="AK53" i="11"/>
  <c r="AE54" i="8"/>
  <c r="AU54" i="8"/>
  <c r="DF52" i="5"/>
  <c r="AM53" i="1"/>
  <c r="AF51" i="1"/>
  <c r="W51" i="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CA55" i="14" s="1"/>
  <c r="A55" i="5"/>
  <c r="A55" i="8"/>
  <c r="A55" i="7"/>
  <c r="R55" i="7" s="1"/>
  <c r="A55" i="9"/>
  <c r="A55" i="2"/>
  <c r="DB48" i="8"/>
  <c r="A50" i="10"/>
  <c r="AA50" i="10" s="1"/>
  <c r="B50" i="7"/>
  <c r="AE50" i="7" s="1"/>
  <c r="AF50" i="7" s="1"/>
  <c r="E50" i="1"/>
  <c r="BI50" i="8"/>
  <c r="AI50" i="5"/>
  <c r="B50" i="9"/>
  <c r="Y50" i="9" s="1"/>
  <c r="X50" i="8"/>
  <c r="DD50" i="8" s="1"/>
  <c r="AJ50" i="5"/>
  <c r="AP50" i="5" s="1"/>
  <c r="BH50" i="8"/>
  <c r="BU50" i="8" s="1"/>
  <c r="BW50" i="8"/>
  <c r="BT50" i="5"/>
  <c r="DH50" i="8"/>
  <c r="DI50" i="8" s="1"/>
  <c r="AC50" i="8"/>
  <c r="BQ50" i="8" s="1"/>
  <c r="CK50" i="8"/>
  <c r="CS47" i="8"/>
  <c r="B52" i="5"/>
  <c r="DE52" i="5"/>
  <c r="BZ54" i="11"/>
  <c r="K53" i="10"/>
  <c r="AA53" i="7"/>
  <c r="AF53" i="8" s="1"/>
  <c r="AV53" i="8" s="1"/>
  <c r="L53" i="11"/>
  <c r="K53" i="5"/>
  <c r="F52" i="10"/>
  <c r="H52" i="7"/>
  <c r="DD52" i="5"/>
  <c r="J53" i="5"/>
  <c r="DC53" i="5" s="1"/>
  <c r="E52" i="10"/>
  <c r="G52" i="7"/>
  <c r="H53" i="5"/>
  <c r="C52" i="10"/>
  <c r="E52" i="7"/>
  <c r="M53" i="5"/>
  <c r="H52" i="10"/>
  <c r="J52" i="7"/>
  <c r="L53" i="5"/>
  <c r="G52" i="10"/>
  <c r="I52" i="7"/>
  <c r="D52" i="7"/>
  <c r="B52" i="10"/>
  <c r="G53" i="5"/>
  <c r="I53" i="5"/>
  <c r="D52" i="10"/>
  <c r="F52" i="7"/>
  <c r="CU48" i="8"/>
  <c r="D50" i="9"/>
  <c r="CI49" i="8"/>
  <c r="DA49" i="8" s="1"/>
  <c r="CD48" i="8"/>
  <c r="BX49" i="8"/>
  <c r="CE49" i="8" s="1"/>
  <c r="CX49" i="8" s="1"/>
  <c r="N49" i="7"/>
  <c r="AH61" i="9"/>
  <c r="B48" i="14"/>
  <c r="AE49" i="7"/>
  <c r="AF49" i="7" s="1"/>
  <c r="AB48" i="11"/>
  <c r="Q48" i="8" s="1"/>
  <c r="AD48" i="11"/>
  <c r="AI48" i="1" s="1"/>
  <c r="Z48" i="11"/>
  <c r="AC48" i="11"/>
  <c r="U48" i="8" s="1"/>
  <c r="N49" i="11"/>
  <c r="Y48" i="11"/>
  <c r="AH48" i="1" s="1"/>
  <c r="CA49" i="8"/>
  <c r="CB49" i="8"/>
  <c r="CT49" i="8" s="1"/>
  <c r="CC49" i="8"/>
  <c r="CH49" i="8"/>
  <c r="CZ49" i="8" s="1"/>
  <c r="BY49" i="8"/>
  <c r="CQ49" i="8" s="1"/>
  <c r="BZ49" i="8"/>
  <c r="CR49" i="8" s="1"/>
  <c r="AQ48" i="5"/>
  <c r="CZ52" i="5"/>
  <c r="C51" i="5"/>
  <c r="F51" i="5" s="1"/>
  <c r="DI52" i="5"/>
  <c r="AB52" i="1"/>
  <c r="DA51" i="5"/>
  <c r="DG51" i="5" s="1" a="1"/>
  <c r="DG51" i="5" s="1"/>
  <c r="AQ5" i="5"/>
  <c r="AG61" i="9"/>
  <c r="AK61" i="9"/>
  <c r="AE123" i="9"/>
  <c r="N37" i="1"/>
  <c r="S54" i="2"/>
  <c r="N55" i="2"/>
  <c r="R55" i="2"/>
  <c r="Q54" i="2"/>
  <c r="J56" i="10"/>
  <c r="N56" i="5" s="1"/>
  <c r="P56" i="2"/>
  <c r="AN62" i="9" l="1"/>
  <c r="BK63" i="11" s="1"/>
  <c r="AI63" i="11" s="1"/>
  <c r="CV49" i="8"/>
  <c r="CW49" i="8" s="1"/>
  <c r="AS49" i="8"/>
  <c r="AQ77" i="9"/>
  <c r="CM77" i="8" s="1"/>
  <c r="AO50" i="5"/>
  <c r="AM50" i="5"/>
  <c r="AN50" i="5"/>
  <c r="AR50" i="5" s="1"/>
  <c r="AV51" i="5"/>
  <c r="AW51" i="5"/>
  <c r="AG50" i="7"/>
  <c r="AG49" i="7"/>
  <c r="CL51" i="8"/>
  <c r="CH50" i="8"/>
  <c r="CZ50" i="8" s="1"/>
  <c r="AC50" i="1"/>
  <c r="AI73" i="9"/>
  <c r="AO73" i="8" s="1"/>
  <c r="G56" i="8"/>
  <c r="CF55" i="8"/>
  <c r="O55" i="2"/>
  <c r="BB55" i="5" a="1"/>
  <c r="BB55" i="5" s="1"/>
  <c r="AM62" i="9"/>
  <c r="K62" i="8" s="1"/>
  <c r="BR50" i="8"/>
  <c r="BS50" i="8"/>
  <c r="AD53" i="1"/>
  <c r="BO55" i="5" a="1"/>
  <c r="BO55" i="5" s="1"/>
  <c r="BH55" i="5" a="1"/>
  <c r="BH55" i="5" s="1"/>
  <c r="BJ55" i="5" a="1"/>
  <c r="BJ55" i="5" s="1"/>
  <c r="BI55" i="5" a="1"/>
  <c r="BI55" i="5" s="1"/>
  <c r="BD55" i="5" a="1"/>
  <c r="BD55" i="5" s="1"/>
  <c r="BQ55" i="5" a="1"/>
  <c r="BQ55" i="5" s="1"/>
  <c r="BN55" i="5" a="1"/>
  <c r="BN55" i="5" s="1"/>
  <c r="BM55" i="5" a="1"/>
  <c r="BM55" i="5" s="1"/>
  <c r="BE55" i="5" a="1"/>
  <c r="BE55" i="5" s="1"/>
  <c r="BG55" i="5" a="1"/>
  <c r="BG55" i="5" s="1"/>
  <c r="BC55" i="5" a="1"/>
  <c r="BC55" i="5" s="1"/>
  <c r="AZ55" i="5" a="1"/>
  <c r="AZ55" i="5" s="1"/>
  <c r="CW55" i="5"/>
  <c r="CQ55" i="5"/>
  <c r="CU55" i="5"/>
  <c r="CR55" i="5"/>
  <c r="CS55" i="5"/>
  <c r="CT55" i="5"/>
  <c r="CV55" i="5"/>
  <c r="AY55" i="5" a="1"/>
  <c r="AY55" i="5" s="1"/>
  <c r="BL55" i="5" a="1"/>
  <c r="BL55" i="5" s="1"/>
  <c r="BA55" i="5" a="1"/>
  <c r="BA55" i="5" s="1"/>
  <c r="BF55" i="5" a="1"/>
  <c r="BF55" i="5" s="1"/>
  <c r="AE54" i="1" s="1"/>
  <c r="BK55" i="5" a="1"/>
  <c r="BK55" i="5" s="1"/>
  <c r="N50" i="11"/>
  <c r="AB49" i="11"/>
  <c r="Q49" i="8" s="1"/>
  <c r="Z49" i="11"/>
  <c r="AA49" i="11"/>
  <c r="AK49" i="1" s="1"/>
  <c r="AC49" i="11"/>
  <c r="U49" i="8" s="1"/>
  <c r="Y49" i="11"/>
  <c r="AH49" i="1" s="1"/>
  <c r="V53" i="2"/>
  <c r="CY48" i="8"/>
  <c r="F58" i="8"/>
  <c r="BP54" i="5" a="1"/>
  <c r="BP54" i="5" s="1"/>
  <c r="J54" i="2" s="1"/>
  <c r="O59" i="1"/>
  <c r="BT50" i="8"/>
  <c r="BO50" i="8"/>
  <c r="BP50" i="8"/>
  <c r="BM50" i="8"/>
  <c r="BN50" i="8"/>
  <c r="BK50" i="8"/>
  <c r="BL50" i="8"/>
  <c r="BJ50" i="8"/>
  <c r="AC50" i="10"/>
  <c r="X50" i="10" s="1"/>
  <c r="AS54" i="5"/>
  <c r="AH54" i="11"/>
  <c r="AJ54" i="1"/>
  <c r="DF53" i="5"/>
  <c r="DB53" i="5"/>
  <c r="AM54" i="1"/>
  <c r="DE53" i="5"/>
  <c r="K56" i="11"/>
  <c r="A56" i="14"/>
  <c r="CA56" i="14" s="1"/>
  <c r="A56" i="8"/>
  <c r="A56" i="2"/>
  <c r="A56" i="5"/>
  <c r="A56" i="7"/>
  <c r="R56" i="7" s="1"/>
  <c r="A56" i="9"/>
  <c r="AK54" i="11"/>
  <c r="AF52" i="1"/>
  <c r="AE55" i="8"/>
  <c r="AU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W52" i="1"/>
  <c r="CI50" i="8"/>
  <c r="DA50" i="8" s="1"/>
  <c r="N50" i="7"/>
  <c r="CC50" i="8"/>
  <c r="CB50" i="8"/>
  <c r="CT50" i="8" s="1"/>
  <c r="B50" i="14"/>
  <c r="CA50" i="8"/>
  <c r="Q50" i="7"/>
  <c r="BZ50" i="8"/>
  <c r="CR50" i="8" s="1"/>
  <c r="BY50" i="8"/>
  <c r="CQ50" i="8" s="1"/>
  <c r="BX50" i="8"/>
  <c r="CE50" i="8" s="1"/>
  <c r="CX50" i="8" s="1"/>
  <c r="D51" i="9"/>
  <c r="B53" i="5"/>
  <c r="AH53" i="5"/>
  <c r="BU53" i="5"/>
  <c r="B53" i="2"/>
  <c r="B53" i="1"/>
  <c r="BG53" i="1" s="1"/>
  <c r="BZ55" i="11"/>
  <c r="K54" i="10"/>
  <c r="AA54" i="7"/>
  <c r="AF54" i="8" s="1"/>
  <c r="L54" i="5"/>
  <c r="G53" i="10"/>
  <c r="I53" i="7"/>
  <c r="I54" i="5"/>
  <c r="D53" i="10"/>
  <c r="F53" i="7"/>
  <c r="G54" i="5"/>
  <c r="D53" i="7"/>
  <c r="B53" i="10"/>
  <c r="J54" i="5"/>
  <c r="DC54" i="5" s="1"/>
  <c r="E53" i="10"/>
  <c r="G53" i="7"/>
  <c r="M54" i="5"/>
  <c r="H53" i="10"/>
  <c r="J53" i="7"/>
  <c r="CS48" i="8"/>
  <c r="H54" i="5"/>
  <c r="C53" i="10"/>
  <c r="E53" i="7"/>
  <c r="K54" i="5"/>
  <c r="F53" i="10"/>
  <c r="H53" i="7"/>
  <c r="DD53" i="5"/>
  <c r="CU49" i="8"/>
  <c r="DB49" i="8"/>
  <c r="DH51" i="8"/>
  <c r="DI51" i="8" s="1"/>
  <c r="CK51" i="8"/>
  <c r="CD49" i="8"/>
  <c r="BW51" i="8"/>
  <c r="AC51" i="1" s="1"/>
  <c r="BH51" i="8"/>
  <c r="BU51" i="8" s="1"/>
  <c r="BI51" i="8"/>
  <c r="AH62" i="9"/>
  <c r="B49" i="14"/>
  <c r="AQ49" i="5"/>
  <c r="CZ53" i="5"/>
  <c r="A51" i="11"/>
  <c r="B51" i="7"/>
  <c r="X51" i="8"/>
  <c r="DD51" i="8" s="1"/>
  <c r="E51" i="1"/>
  <c r="AJ51" i="5"/>
  <c r="AP51" i="5" s="1"/>
  <c r="AI51" i="5"/>
  <c r="AC51" i="8"/>
  <c r="BQ51" i="8" s="1"/>
  <c r="BT51" i="5"/>
  <c r="A51" i="10"/>
  <c r="AA51" i="10" s="1"/>
  <c r="B51" i="9"/>
  <c r="Y51" i="9" s="1"/>
  <c r="C52" i="5"/>
  <c r="F52" i="5" s="1"/>
  <c r="DA52" i="5"/>
  <c r="DG52" i="5" s="1" a="1"/>
  <c r="DG52" i="5" s="1"/>
  <c r="E70" i="4" s="1"/>
  <c r="AB53" i="1"/>
  <c r="DI53" i="5"/>
  <c r="AG62" i="9"/>
  <c r="AK62" i="9"/>
  <c r="AE124" i="9"/>
  <c r="N38" i="1"/>
  <c r="S55" i="2"/>
  <c r="N56" i="2"/>
  <c r="R56" i="2"/>
  <c r="Q55" i="2"/>
  <c r="P57" i="2"/>
  <c r="J57" i="10"/>
  <c r="N57" i="5" s="1"/>
  <c r="AN63" i="9" l="1"/>
  <c r="BK64" i="11" s="1"/>
  <c r="AI64" i="11" s="1"/>
  <c r="CV50" i="8"/>
  <c r="CW50" i="8" s="1"/>
  <c r="AS50" i="8"/>
  <c r="AQ78" i="9"/>
  <c r="CM78" i="8" s="1"/>
  <c r="AO51" i="5"/>
  <c r="AM51" i="5"/>
  <c r="AN51" i="5"/>
  <c r="AR51" i="5" s="1"/>
  <c r="AV52" i="5"/>
  <c r="AW52" i="5"/>
  <c r="CL52" i="8"/>
  <c r="DB50" i="8"/>
  <c r="AI74" i="9"/>
  <c r="AO74" i="8" s="1"/>
  <c r="G57" i="8"/>
  <c r="CF56" i="8"/>
  <c r="O56" i="2"/>
  <c r="BB56" i="5" a="1"/>
  <c r="BB56" i="5" s="1"/>
  <c r="AM63" i="9"/>
  <c r="K63" i="8" s="1"/>
  <c r="BR51" i="8"/>
  <c r="BS51" i="8"/>
  <c r="AD54" i="1"/>
  <c r="AZ56" i="5" a="1"/>
  <c r="AZ56" i="5" s="1"/>
  <c r="BC56" i="5" a="1"/>
  <c r="BC56" i="5" s="1"/>
  <c r="BG56" i="5" a="1"/>
  <c r="BG56" i="5" s="1"/>
  <c r="BK56" i="5" a="1"/>
  <c r="BK56" i="5" s="1"/>
  <c r="BE56" i="5" a="1"/>
  <c r="BE56" i="5" s="1"/>
  <c r="BM56" i="5" a="1"/>
  <c r="BM56" i="5" s="1"/>
  <c r="BF56" i="5" a="1"/>
  <c r="BF56" i="5" s="1"/>
  <c r="AE55" i="1" s="1"/>
  <c r="BN56" i="5" a="1"/>
  <c r="BN56" i="5" s="1"/>
  <c r="BA56" i="5" a="1"/>
  <c r="BA56" i="5" s="1"/>
  <c r="BQ56" i="5" a="1"/>
  <c r="BQ56" i="5" s="1"/>
  <c r="BD56" i="5" a="1"/>
  <c r="BD56" i="5" s="1"/>
  <c r="CV56" i="5"/>
  <c r="CS56" i="5"/>
  <c r="CR56" i="5"/>
  <c r="CU56" i="5"/>
  <c r="CT56" i="5"/>
  <c r="CW56" i="5"/>
  <c r="CQ56" i="5"/>
  <c r="AY56" i="5" a="1"/>
  <c r="AY56" i="5" s="1"/>
  <c r="BL56" i="5" a="1"/>
  <c r="BL56" i="5" s="1"/>
  <c r="BI56" i="5" a="1"/>
  <c r="BI56" i="5" s="1"/>
  <c r="BJ56" i="5" a="1"/>
  <c r="BJ56" i="5" s="1"/>
  <c r="BH56" i="5" a="1"/>
  <c r="BH56" i="5" s="1"/>
  <c r="BO56" i="5" a="1"/>
  <c r="BO56" i="5" s="1"/>
  <c r="V54" i="2"/>
  <c r="CY49" i="8"/>
  <c r="CU50" i="8"/>
  <c r="F59" i="8"/>
  <c r="BP55" i="5" a="1"/>
  <c r="BP55" i="5" s="1"/>
  <c r="J55" i="2" s="1"/>
  <c r="O60" i="1"/>
  <c r="BT51" i="8"/>
  <c r="BO51" i="8"/>
  <c r="BP51" i="8"/>
  <c r="BM51" i="8"/>
  <c r="BN51" i="8"/>
  <c r="BK51" i="8"/>
  <c r="BL51" i="8"/>
  <c r="BJ51" i="8"/>
  <c r="AC51" i="10"/>
  <c r="X51" i="10" s="1"/>
  <c r="AS55" i="5"/>
  <c r="AH55" i="11"/>
  <c r="AJ55" i="1"/>
  <c r="DE54" i="5"/>
  <c r="DF54" i="5"/>
  <c r="DB54" i="5"/>
  <c r="K57" i="11"/>
  <c r="A57" i="14"/>
  <c r="CA57" i="14" s="1"/>
  <c r="A57" i="8"/>
  <c r="A57" i="2"/>
  <c r="A57" i="7"/>
  <c r="R57" i="7" s="1"/>
  <c r="A57" i="9"/>
  <c r="A57" i="5"/>
  <c r="DH54" i="5"/>
  <c r="AU56" i="8"/>
  <c r="AE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W53" i="1"/>
  <c r="AK55" i="11"/>
  <c r="Y53" i="1"/>
  <c r="DJ54" i="5"/>
  <c r="CD50" i="8"/>
  <c r="AQ50" i="5"/>
  <c r="CS49" i="8"/>
  <c r="B54" i="5"/>
  <c r="BZ56" i="11"/>
  <c r="K55" i="10"/>
  <c r="AA55" i="7"/>
  <c r="AF55" i="8" s="1"/>
  <c r="M55" i="5"/>
  <c r="H54" i="10"/>
  <c r="J54" i="7"/>
  <c r="I55" i="5"/>
  <c r="D54" i="10"/>
  <c r="F54" i="7"/>
  <c r="J55" i="5"/>
  <c r="DC55" i="5" s="1"/>
  <c r="E54" i="10"/>
  <c r="G54" i="7"/>
  <c r="K55" i="5"/>
  <c r="F54" i="10"/>
  <c r="H54" i="7"/>
  <c r="DD54" i="5"/>
  <c r="H55" i="5"/>
  <c r="C54" i="10"/>
  <c r="E54" i="7"/>
  <c r="D54" i="7"/>
  <c r="G55" i="5"/>
  <c r="B54" i="10"/>
  <c r="L55" i="5"/>
  <c r="G54" i="10"/>
  <c r="I54" i="7"/>
  <c r="D52" i="9"/>
  <c r="CI51" i="8"/>
  <c r="DA51" i="8" s="1"/>
  <c r="DH52" i="8"/>
  <c r="DI52" i="8" s="1"/>
  <c r="CK52" i="8"/>
  <c r="BW52" i="8"/>
  <c r="AC52" i="1" s="1"/>
  <c r="BX51" i="8"/>
  <c r="CD51" i="8" s="1"/>
  <c r="N51" i="7"/>
  <c r="BH52" i="8"/>
  <c r="BU52" i="8" s="1"/>
  <c r="BI52" i="8"/>
  <c r="AH63" i="9"/>
  <c r="AI52" i="5"/>
  <c r="A52" i="11"/>
  <c r="AC52" i="8"/>
  <c r="BQ52" i="8" s="1"/>
  <c r="BT52" i="5"/>
  <c r="E50" i="4" s="1"/>
  <c r="A52" i="10"/>
  <c r="AA52" i="10" s="1"/>
  <c r="B52" i="7"/>
  <c r="X52" i="8"/>
  <c r="DD52" i="8" s="1"/>
  <c r="E52" i="1"/>
  <c r="AJ52" i="5"/>
  <c r="AP52" i="5" s="1"/>
  <c r="B52" i="9"/>
  <c r="Y52" i="9" s="1"/>
  <c r="AE51" i="7"/>
  <c r="AF51" i="7" s="1"/>
  <c r="Q51" i="7"/>
  <c r="Z50" i="11"/>
  <c r="AC50" i="11"/>
  <c r="U50" i="8" s="1"/>
  <c r="AB50" i="11"/>
  <c r="Q50" i="8" s="1"/>
  <c r="N51" i="11"/>
  <c r="AD50" i="11"/>
  <c r="AI50" i="1" s="1"/>
  <c r="AA50" i="11"/>
  <c r="AK50" i="1" s="1"/>
  <c r="Y50" i="11"/>
  <c r="AH50" i="1" s="1"/>
  <c r="CZ54" i="5"/>
  <c r="CB51" i="8"/>
  <c r="CT51" i="8" s="1"/>
  <c r="BZ51" i="8"/>
  <c r="CR51" i="8" s="1"/>
  <c r="BY51" i="8"/>
  <c r="CQ51" i="8" s="1"/>
  <c r="CA51" i="8"/>
  <c r="CC51" i="8"/>
  <c r="CH51" i="8"/>
  <c r="CZ51" i="8" s="1"/>
  <c r="C53" i="5"/>
  <c r="F53" i="5" s="1"/>
  <c r="AB54" i="1"/>
  <c r="DI54" i="5"/>
  <c r="DA53" i="5"/>
  <c r="DG53" i="5" s="1" a="1"/>
  <c r="DG53" i="5" s="1"/>
  <c r="AG63" i="9"/>
  <c r="AK63" i="9"/>
  <c r="AE125" i="9"/>
  <c r="N39" i="1"/>
  <c r="S56" i="2"/>
  <c r="N57" i="2"/>
  <c r="R57" i="2"/>
  <c r="Q56" i="2"/>
  <c r="P58" i="2"/>
  <c r="J58" i="10"/>
  <c r="N58" i="5" s="1"/>
  <c r="AN64" i="9" l="1"/>
  <c r="BK65" i="11" s="1"/>
  <c r="AI65" i="11" s="1"/>
  <c r="CV51" i="8"/>
  <c r="CW51" i="8" s="1"/>
  <c r="AS51" i="8"/>
  <c r="AQ79" i="9"/>
  <c r="CM79" i="8" s="1"/>
  <c r="AO52" i="5"/>
  <c r="AM52" i="5"/>
  <c r="AN52" i="5"/>
  <c r="AR52" i="5" s="1"/>
  <c r="AV53" i="5"/>
  <c r="AW53" i="5"/>
  <c r="AG51" i="7"/>
  <c r="CL53" i="8"/>
  <c r="AI75" i="9"/>
  <c r="AO75" i="8" s="1"/>
  <c r="G58" i="8"/>
  <c r="CF57" i="8"/>
  <c r="O57" i="2"/>
  <c r="AM64" i="9"/>
  <c r="K64" i="8" s="1"/>
  <c r="BR52" i="8"/>
  <c r="BS52" i="8"/>
  <c r="AD55" i="1"/>
  <c r="BD57" i="5" a="1"/>
  <c r="BD57" i="5" s="1"/>
  <c r="BQ57" i="5" a="1"/>
  <c r="BQ57" i="5" s="1"/>
  <c r="BO57" i="5" a="1"/>
  <c r="BO57" i="5" s="1"/>
  <c r="BA57" i="5" a="1"/>
  <c r="BA57" i="5" s="1"/>
  <c r="BH57" i="5" a="1"/>
  <c r="BH57" i="5" s="1"/>
  <c r="BN57" i="5" a="1"/>
  <c r="BN57" i="5" s="1"/>
  <c r="BJ57" i="5" a="1"/>
  <c r="BJ57" i="5" s="1"/>
  <c r="BF57" i="5" a="1"/>
  <c r="BF57" i="5" s="1"/>
  <c r="AE56" i="1" s="1"/>
  <c r="BI57" i="5" a="1"/>
  <c r="BI57" i="5" s="1"/>
  <c r="BM57" i="5" a="1"/>
  <c r="BM57" i="5" s="1"/>
  <c r="BE57" i="5" a="1"/>
  <c r="BE57" i="5" s="1"/>
  <c r="BK57" i="5" a="1"/>
  <c r="BK57" i="5" s="1"/>
  <c r="BG57" i="5" a="1"/>
  <c r="BG57" i="5" s="1"/>
  <c r="BC57" i="5" a="1"/>
  <c r="BC57" i="5" s="1"/>
  <c r="CQ57" i="5"/>
  <c r="CW57" i="5"/>
  <c r="CR57" i="5"/>
  <c r="CV57" i="5"/>
  <c r="CT57" i="5"/>
  <c r="CU57" i="5"/>
  <c r="CS57" i="5"/>
  <c r="AY57" i="5" a="1"/>
  <c r="AY57" i="5" s="1"/>
  <c r="BL57" i="5" a="1"/>
  <c r="BL57" i="5" s="1"/>
  <c r="AZ57" i="5" a="1"/>
  <c r="AZ57" i="5" s="1"/>
  <c r="BB57" i="5" a="1"/>
  <c r="BB57" i="5" s="1"/>
  <c r="V55" i="2"/>
  <c r="CS50" i="8"/>
  <c r="CY50" i="8"/>
  <c r="F60" i="8"/>
  <c r="BP56" i="5" a="1"/>
  <c r="BP56" i="5" s="1"/>
  <c r="J56" i="2" s="1"/>
  <c r="O61" i="1"/>
  <c r="BX52" i="8"/>
  <c r="CD52" i="8" s="1"/>
  <c r="BT52" i="8"/>
  <c r="BO52" i="8"/>
  <c r="BP52" i="8"/>
  <c r="BM52" i="8"/>
  <c r="BN52" i="8"/>
  <c r="BK52" i="8"/>
  <c r="BL52" i="8"/>
  <c r="BJ52" i="8"/>
  <c r="AC52" i="10"/>
  <c r="X52" i="10" s="1"/>
  <c r="AS56" i="5"/>
  <c r="AH56" i="11"/>
  <c r="DB55" i="5"/>
  <c r="AK56" i="11"/>
  <c r="DF55" i="5"/>
  <c r="DE55" i="5"/>
  <c r="Y54" i="1"/>
  <c r="DJ55" i="5"/>
  <c r="W54" i="1"/>
  <c r="AJ56" i="1"/>
  <c r="K58" i="11"/>
  <c r="A58" i="14"/>
  <c r="CA58" i="14" s="1"/>
  <c r="A58" i="9"/>
  <c r="A58" i="2"/>
  <c r="A58" i="7"/>
  <c r="R58" i="7" s="1"/>
  <c r="A58" i="8"/>
  <c r="A58" i="5"/>
  <c r="AF54" i="1"/>
  <c r="AU57" i="8"/>
  <c r="AE57" i="8"/>
  <c r="AM56" i="1"/>
  <c r="DH55" i="5"/>
  <c r="AU57" i="14" a="1"/>
  <c r="AU57" i="14"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B55" i="5"/>
  <c r="BZ57" i="11"/>
  <c r="K56" i="10"/>
  <c r="AA56" i="7"/>
  <c r="AF56" i="8" s="1"/>
  <c r="M56" i="5"/>
  <c r="H55" i="10"/>
  <c r="J55" i="7"/>
  <c r="J56" i="5"/>
  <c r="DC56" i="5" s="1"/>
  <c r="E55" i="10"/>
  <c r="G55" i="7"/>
  <c r="H56" i="5"/>
  <c r="C55" i="10"/>
  <c r="E55" i="7"/>
  <c r="L56" i="5"/>
  <c r="G55" i="10"/>
  <c r="I55" i="7"/>
  <c r="G56" i="5"/>
  <c r="D55" i="7"/>
  <c r="B55" i="10"/>
  <c r="I56" i="5"/>
  <c r="D55" i="10"/>
  <c r="F55" i="7"/>
  <c r="K56" i="5"/>
  <c r="F55" i="10"/>
  <c r="H55" i="7"/>
  <c r="DD55" i="5"/>
  <c r="CI52" i="8"/>
  <c r="DA52" i="8" s="1"/>
  <c r="CU51" i="8"/>
  <c r="D53" i="9"/>
  <c r="DB51" i="8"/>
  <c r="DH53" i="8"/>
  <c r="DI53" i="8" s="1"/>
  <c r="CE51" i="8"/>
  <c r="CK53" i="8"/>
  <c r="BW53" i="8"/>
  <c r="AC53" i="1" s="1"/>
  <c r="N52" i="7"/>
  <c r="BH53" i="8"/>
  <c r="BU53" i="8" s="1"/>
  <c r="BI53" i="8"/>
  <c r="AH64" i="9"/>
  <c r="B51" i="14"/>
  <c r="C54" i="5"/>
  <c r="F54" i="5" s="1"/>
  <c r="CZ55" i="5"/>
  <c r="CH52" i="8"/>
  <c r="CZ52" i="8" s="1"/>
  <c r="CC52" i="8"/>
  <c r="CA52" i="8"/>
  <c r="CB52" i="8"/>
  <c r="CT52" i="8" s="1"/>
  <c r="BY52" i="8"/>
  <c r="CQ52" i="8" s="1"/>
  <c r="BZ52" i="8"/>
  <c r="CR52" i="8" s="1"/>
  <c r="AJ53" i="5"/>
  <c r="AP53" i="5" s="1"/>
  <c r="X53" i="8"/>
  <c r="DD53" i="8" s="1"/>
  <c r="AI53" i="5"/>
  <c r="A53" i="11"/>
  <c r="B53" i="9"/>
  <c r="Y53" i="9" s="1"/>
  <c r="AC53" i="8"/>
  <c r="BQ53" i="8" s="1"/>
  <c r="BT53" i="5"/>
  <c r="A53" i="10"/>
  <c r="AA53" i="10" s="1"/>
  <c r="B53" i="7"/>
  <c r="E53" i="1"/>
  <c r="AQ51" i="5"/>
  <c r="AD51" i="11"/>
  <c r="AI51" i="1" s="1"/>
  <c r="N52" i="11"/>
  <c r="Z51" i="11"/>
  <c r="AA51" i="11"/>
  <c r="AK51" i="1" s="1"/>
  <c r="AC51" i="11"/>
  <c r="U51" i="8" s="1"/>
  <c r="AB51" i="11"/>
  <c r="Q51" i="8" s="1"/>
  <c r="Y51" i="11"/>
  <c r="AH51" i="1" s="1"/>
  <c r="AE52" i="7"/>
  <c r="AF52" i="7" s="1"/>
  <c r="Q52" i="7"/>
  <c r="C55" i="5"/>
  <c r="DA54" i="5"/>
  <c r="DG54" i="5" s="1" a="1"/>
  <c r="DG54" i="5" s="1"/>
  <c r="AB55" i="1"/>
  <c r="DI55" i="5"/>
  <c r="AG64" i="9"/>
  <c r="AK64" i="9"/>
  <c r="AE126" i="9"/>
  <c r="N40" i="1"/>
  <c r="S57" i="2"/>
  <c r="N58" i="2"/>
  <c r="R58" i="2"/>
  <c r="Q57" i="2"/>
  <c r="J59" i="10"/>
  <c r="N59" i="5" s="1"/>
  <c r="P59" i="2"/>
  <c r="AN65" i="9" l="1"/>
  <c r="BK66" i="11" s="1"/>
  <c r="AI66" i="11" s="1"/>
  <c r="CX51" i="8"/>
  <c r="CY51" i="8" s="1"/>
  <c r="CV52" i="8"/>
  <c r="CW52" i="8" s="1"/>
  <c r="AS52" i="8"/>
  <c r="AQ80" i="9"/>
  <c r="CM80" i="8" s="1"/>
  <c r="AO53" i="5"/>
  <c r="AM53" i="5"/>
  <c r="AN53" i="5"/>
  <c r="AR53" i="5" s="1"/>
  <c r="AV54" i="5"/>
  <c r="AW54" i="5"/>
  <c r="AG52" i="7"/>
  <c r="CL54" i="8"/>
  <c r="AI76" i="9"/>
  <c r="AO76" i="8" s="1"/>
  <c r="G59" i="8"/>
  <c r="CF58" i="8"/>
  <c r="O58" i="2"/>
  <c r="BC58" i="5" a="1"/>
  <c r="BC58" i="5" s="1"/>
  <c r="AM65" i="9"/>
  <c r="K65" i="8" s="1"/>
  <c r="BR53" i="8"/>
  <c r="BS53" i="8"/>
  <c r="AD56" i="1"/>
  <c r="BG58" i="5" a="1"/>
  <c r="BG58" i="5" s="1"/>
  <c r="BK58" i="5" a="1"/>
  <c r="BK58" i="5" s="1"/>
  <c r="BE58" i="5" a="1"/>
  <c r="BE58" i="5" s="1"/>
  <c r="BM58" i="5" a="1"/>
  <c r="BM58" i="5" s="1"/>
  <c r="BB58" i="5" a="1"/>
  <c r="BB58" i="5" s="1"/>
  <c r="BI58" i="5" a="1"/>
  <c r="BI58" i="5" s="1"/>
  <c r="AZ58" i="5" a="1"/>
  <c r="AZ58" i="5" s="1"/>
  <c r="BF58" i="5" a="1"/>
  <c r="BF58" i="5" s="1"/>
  <c r="AE57" i="1" s="1"/>
  <c r="BJ58" i="5" a="1"/>
  <c r="BJ58" i="5" s="1"/>
  <c r="CR58" i="5"/>
  <c r="CQ58" i="5"/>
  <c r="CV58" i="5"/>
  <c r="CU58" i="5"/>
  <c r="CT58" i="5"/>
  <c r="CW58" i="5"/>
  <c r="CS58" i="5"/>
  <c r="AY58" i="5" a="1"/>
  <c r="AY58" i="5" s="1"/>
  <c r="BL58" i="5" a="1"/>
  <c r="BL58" i="5" s="1"/>
  <c r="BN58" i="5" a="1"/>
  <c r="BN58" i="5" s="1"/>
  <c r="BH58" i="5" a="1"/>
  <c r="BH58" i="5" s="1"/>
  <c r="BA58" i="5" a="1"/>
  <c r="BA58" i="5" s="1"/>
  <c r="BO58" i="5" a="1"/>
  <c r="BO58" i="5" s="1"/>
  <c r="BQ58" i="5" a="1"/>
  <c r="BQ58" i="5" s="1"/>
  <c r="BD58" i="5" a="1"/>
  <c r="BD58" i="5" s="1"/>
  <c r="V56" i="2"/>
  <c r="F61" i="8"/>
  <c r="BP57" i="5" a="1"/>
  <c r="BP57" i="5" s="1"/>
  <c r="J57" i="2" s="1"/>
  <c r="O62" i="1"/>
  <c r="CE52" i="8"/>
  <c r="BT53" i="8"/>
  <c r="BO53" i="8"/>
  <c r="BP53" i="8"/>
  <c r="BM53" i="8"/>
  <c r="BN53" i="8"/>
  <c r="BK53" i="8"/>
  <c r="BL53" i="8"/>
  <c r="BJ53" i="8"/>
  <c r="AC53" i="10"/>
  <c r="X53" i="10" s="1"/>
  <c r="AS57" i="5"/>
  <c r="AH57" i="11"/>
  <c r="DF56" i="5"/>
  <c r="DE56" i="5"/>
  <c r="AM57" i="1"/>
  <c r="DB56" i="5"/>
  <c r="AU58" i="8"/>
  <c r="AE58" i="8"/>
  <c r="W55" i="1"/>
  <c r="K59" i="11"/>
  <c r="A59" i="14"/>
  <c r="CA59" i="14" s="1"/>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BZ58" i="11"/>
  <c r="K57" i="10"/>
  <c r="AA57" i="7"/>
  <c r="AF57" i="8" s="1"/>
  <c r="AV57" i="8" s="1"/>
  <c r="L57" i="11"/>
  <c r="L57" i="5"/>
  <c r="G56" i="10"/>
  <c r="I56" i="7"/>
  <c r="H57" i="5"/>
  <c r="C56" i="10"/>
  <c r="E56" i="7"/>
  <c r="K57" i="5"/>
  <c r="F56" i="10"/>
  <c r="H56" i="7"/>
  <c r="DD56" i="5"/>
  <c r="J57" i="5"/>
  <c r="DC57" i="5" s="1"/>
  <c r="E56" i="10"/>
  <c r="G56" i="7"/>
  <c r="G57" i="5"/>
  <c r="B56" i="10"/>
  <c r="D56" i="7"/>
  <c r="B56" i="5"/>
  <c r="I57" i="5"/>
  <c r="D56" i="10"/>
  <c r="F56" i="7"/>
  <c r="M57" i="5"/>
  <c r="H56" i="10"/>
  <c r="J56" i="7"/>
  <c r="DB52" i="8"/>
  <c r="CS51" i="8"/>
  <c r="CU52" i="8"/>
  <c r="D54" i="9"/>
  <c r="CI53" i="8"/>
  <c r="DA53" i="8" s="1"/>
  <c r="DH54" i="8"/>
  <c r="DI54" i="8" s="1"/>
  <c r="CK54" i="8"/>
  <c r="BW54" i="8"/>
  <c r="AC54" i="1" s="1"/>
  <c r="BX53" i="8"/>
  <c r="CD53" i="8" s="1"/>
  <c r="N53" i="7"/>
  <c r="BH54" i="8"/>
  <c r="BU54" i="8" s="1"/>
  <c r="BI54" i="8"/>
  <c r="AH65" i="9"/>
  <c r="B52" i="14"/>
  <c r="AQ52" i="5"/>
  <c r="I64" i="4" s="1"/>
  <c r="AE53" i="7"/>
  <c r="AF53" i="7" s="1"/>
  <c r="Q53" i="7"/>
  <c r="CZ56" i="5"/>
  <c r="AC52" i="11"/>
  <c r="U52" i="8" s="1"/>
  <c r="G39" i="4" s="1"/>
  <c r="N53" i="11"/>
  <c r="Z52" i="11"/>
  <c r="AA52" i="11"/>
  <c r="AK52" i="1" s="1"/>
  <c r="Y52" i="11"/>
  <c r="AH52" i="1" s="1"/>
  <c r="AB52" i="11"/>
  <c r="Q52" i="8" s="1"/>
  <c r="D39" i="4" s="1"/>
  <c r="AD52" i="11"/>
  <c r="AI52" i="1" s="1"/>
  <c r="BZ53" i="8"/>
  <c r="CR53" i="8" s="1"/>
  <c r="CC53" i="8"/>
  <c r="CH53" i="8"/>
  <c r="CZ53" i="8" s="1"/>
  <c r="CA53" i="8"/>
  <c r="CB53" i="8"/>
  <c r="CT53" i="8" s="1"/>
  <c r="BY53" i="8"/>
  <c r="CQ53" i="8" s="1"/>
  <c r="B54" i="7"/>
  <c r="AC54" i="8"/>
  <c r="BQ54" i="8" s="1"/>
  <c r="BT54" i="5"/>
  <c r="E54" i="1"/>
  <c r="AJ54" i="5"/>
  <c r="AP54" i="5" s="1"/>
  <c r="X54" i="8"/>
  <c r="DD54" i="8" s="1"/>
  <c r="AI54" i="5"/>
  <c r="B54" i="9"/>
  <c r="Y54" i="9" s="1"/>
  <c r="A54" i="11"/>
  <c r="A54" i="10"/>
  <c r="AA54" i="10" s="1"/>
  <c r="DI56" i="5"/>
  <c r="AB56" i="1"/>
  <c r="DA55" i="5"/>
  <c r="DG55" i="5" s="1" a="1"/>
  <c r="DG55" i="5" s="1"/>
  <c r="AG65" i="9"/>
  <c r="AK65" i="9"/>
  <c r="AE127" i="9"/>
  <c r="N41" i="1"/>
  <c r="S58" i="2"/>
  <c r="N59" i="2"/>
  <c r="R59" i="2"/>
  <c r="Q58" i="2"/>
  <c r="P60" i="2"/>
  <c r="J60" i="10"/>
  <c r="N60" i="5" s="1"/>
  <c r="AN66" i="9" l="1"/>
  <c r="BK67" i="11" s="1"/>
  <c r="AI67" i="11" s="1"/>
  <c r="CX52" i="8"/>
  <c r="CY52" i="8" s="1"/>
  <c r="CV53" i="8"/>
  <c r="CW53" i="8" s="1"/>
  <c r="AS53" i="8"/>
  <c r="AQ81" i="9"/>
  <c r="CM81" i="8" s="1"/>
  <c r="AO54" i="5"/>
  <c r="AM54" i="5"/>
  <c r="AN54" i="5"/>
  <c r="AR54" i="5" s="1"/>
  <c r="AV55" i="5"/>
  <c r="AW55" i="5"/>
  <c r="AG53" i="7"/>
  <c r="CL55" i="8"/>
  <c r="AI77" i="9"/>
  <c r="AO77" i="8" s="1"/>
  <c r="G60" i="8"/>
  <c r="CF59" i="8"/>
  <c r="O59" i="2"/>
  <c r="BQ59" i="5" a="1"/>
  <c r="BQ59" i="5" s="1"/>
  <c r="BN59" i="5" a="1"/>
  <c r="BN59" i="5" s="1"/>
  <c r="AZ59" i="5" a="1"/>
  <c r="AZ59" i="5" s="1"/>
  <c r="BJ59" i="5" a="1"/>
  <c r="BJ59" i="5" s="1"/>
  <c r="BD59" i="5" a="1"/>
  <c r="BD59" i="5" s="1"/>
  <c r="AM66" i="9"/>
  <c r="K66" i="8" s="1"/>
  <c r="BR54" i="8"/>
  <c r="BS54" i="8"/>
  <c r="AD57" i="1"/>
  <c r="BF59" i="5" a="1"/>
  <c r="BF59" i="5" s="1"/>
  <c r="AE58" i="1" s="1"/>
  <c r="BO59" i="5" a="1"/>
  <c r="BO59" i="5" s="1"/>
  <c r="BI59" i="5" a="1"/>
  <c r="BI59" i="5" s="1"/>
  <c r="BA59" i="5" a="1"/>
  <c r="BA59" i="5" s="1"/>
  <c r="BB59" i="5" a="1"/>
  <c r="BB59" i="5" s="1"/>
  <c r="BH59" i="5" a="1"/>
  <c r="BH59" i="5" s="1"/>
  <c r="BM59" i="5" a="1"/>
  <c r="BM59" i="5" s="1"/>
  <c r="BE59" i="5" a="1"/>
  <c r="BE59" i="5" s="1"/>
  <c r="BK59" i="5" a="1"/>
  <c r="BK59" i="5" s="1"/>
  <c r="CR59" i="5"/>
  <c r="CQ59" i="5"/>
  <c r="CT59" i="5"/>
  <c r="CV59" i="5"/>
  <c r="CW59" i="5"/>
  <c r="CU59" i="5"/>
  <c r="CS59" i="5"/>
  <c r="AY59" i="5" a="1"/>
  <c r="AY59" i="5" s="1"/>
  <c r="BL59" i="5" a="1"/>
  <c r="BL59" i="5" s="1"/>
  <c r="BG59" i="5" a="1"/>
  <c r="BG59" i="5" s="1"/>
  <c r="BC59" i="5" a="1"/>
  <c r="BC59" i="5" s="1"/>
  <c r="V57" i="2"/>
  <c r="F62" i="8"/>
  <c r="BP58" i="5" a="1"/>
  <c r="BP58" i="5" s="1"/>
  <c r="J58" i="2" s="1"/>
  <c r="A55" i="10"/>
  <c r="AA55" i="10" s="1"/>
  <c r="O63" i="1"/>
  <c r="BX54" i="8"/>
  <c r="CD54" i="8" s="1"/>
  <c r="BT54" i="8"/>
  <c r="BO54" i="8"/>
  <c r="BP54" i="8"/>
  <c r="BM54" i="8"/>
  <c r="BN54" i="8"/>
  <c r="BK54" i="8"/>
  <c r="BL54" i="8"/>
  <c r="BJ54" i="8"/>
  <c r="AC54" i="10"/>
  <c r="X54" i="10" s="1"/>
  <c r="AS58" i="5"/>
  <c r="AH58" i="11"/>
  <c r="AK58" i="11"/>
  <c r="DE57" i="5"/>
  <c r="DB57" i="5"/>
  <c r="DF57" i="5"/>
  <c r="AF56" i="1"/>
  <c r="W56" i="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CA60" i="14" s="1"/>
  <c r="A60" i="7"/>
  <c r="R60" i="7" s="1"/>
  <c r="A60" i="8"/>
  <c r="A60" i="9"/>
  <c r="A60" i="2"/>
  <c r="A60" i="5"/>
  <c r="DH57" i="5"/>
  <c r="AU59" i="8"/>
  <c r="AE59" i="8"/>
  <c r="B55" i="9"/>
  <c r="Y55" i="9" s="1"/>
  <c r="A55" i="11"/>
  <c r="N55" i="11" s="1"/>
  <c r="E55" i="1"/>
  <c r="BH55" i="8"/>
  <c r="BU55" i="8" s="1"/>
  <c r="CK55" i="8"/>
  <c r="BI55" i="8"/>
  <c r="AI55" i="5"/>
  <c r="X55" i="8"/>
  <c r="DD55" i="8" s="1"/>
  <c r="DH55" i="8"/>
  <c r="DI55" i="8" s="1"/>
  <c r="AJ55" i="5"/>
  <c r="AP55" i="5" s="1"/>
  <c r="AC55" i="8"/>
  <c r="BQ55" i="8" s="1"/>
  <c r="B55" i="7"/>
  <c r="Q55" i="7" s="1"/>
  <c r="BW55" i="8"/>
  <c r="BT55" i="5"/>
  <c r="B57" i="5"/>
  <c r="B57" i="2"/>
  <c r="B57" i="1"/>
  <c r="BG57" i="1" s="1"/>
  <c r="AH57" i="5"/>
  <c r="BU57" i="5"/>
  <c r="BZ59" i="11"/>
  <c r="K58" i="10"/>
  <c r="AA58" i="7"/>
  <c r="AF58" i="8" s="1"/>
  <c r="AV58" i="8" s="1"/>
  <c r="L58" i="11"/>
  <c r="B57" i="10"/>
  <c r="D57" i="7"/>
  <c r="G58" i="5"/>
  <c r="K58" i="5"/>
  <c r="F57" i="10"/>
  <c r="H57" i="7"/>
  <c r="DD57" i="5"/>
  <c r="M58" i="5"/>
  <c r="H57" i="10"/>
  <c r="J57" i="7"/>
  <c r="H58" i="5"/>
  <c r="C57" i="10"/>
  <c r="E57" i="7"/>
  <c r="I58" i="5"/>
  <c r="D57" i="10"/>
  <c r="F57" i="7"/>
  <c r="J58" i="5"/>
  <c r="DC58" i="5" s="1"/>
  <c r="E57" i="10"/>
  <c r="G57" i="7"/>
  <c r="CS52" i="8"/>
  <c r="L58" i="5"/>
  <c r="G57" i="10"/>
  <c r="I57" i="7"/>
  <c r="CU53" i="8"/>
  <c r="CI54" i="8"/>
  <c r="DA54" i="8" s="1"/>
  <c r="DB53" i="8"/>
  <c r="D55" i="9"/>
  <c r="CE53" i="8"/>
  <c r="N54" i="7"/>
  <c r="AH66" i="9"/>
  <c r="BZ54" i="8"/>
  <c r="CR54" i="8" s="1"/>
  <c r="CC54" i="8"/>
  <c r="CH54" i="8"/>
  <c r="CZ54" i="8" s="1"/>
  <c r="CA54" i="8"/>
  <c r="CB54" i="8"/>
  <c r="CT54" i="8" s="1"/>
  <c r="BY54" i="8"/>
  <c r="CQ54" i="8" s="1"/>
  <c r="C56" i="5"/>
  <c r="F56" i="5" s="1"/>
  <c r="AA53" i="11"/>
  <c r="AK53" i="1" s="1"/>
  <c r="Y53" i="11"/>
  <c r="AH53" i="1" s="1"/>
  <c r="N54" i="11"/>
  <c r="Z53" i="11"/>
  <c r="AB53" i="11"/>
  <c r="Q53" i="8" s="1"/>
  <c r="AD53" i="11"/>
  <c r="AI53" i="1" s="1"/>
  <c r="AC53" i="11"/>
  <c r="U53" i="8" s="1"/>
  <c r="AQ53" i="5"/>
  <c r="CZ57" i="5"/>
  <c r="AE54" i="7"/>
  <c r="AF54" i="7" s="1"/>
  <c r="Q54" i="7"/>
  <c r="DA56" i="5"/>
  <c r="DG56" i="5" s="1" a="1"/>
  <c r="DG56" i="5" s="1"/>
  <c r="AB57" i="1"/>
  <c r="DI57" i="5"/>
  <c r="AG66" i="9"/>
  <c r="AK66" i="9"/>
  <c r="AE128" i="9"/>
  <c r="N42" i="1"/>
  <c r="S59" i="2"/>
  <c r="N60" i="2"/>
  <c r="R60" i="2"/>
  <c r="Q59" i="2"/>
  <c r="J61" i="10"/>
  <c r="N61" i="5" s="1"/>
  <c r="P61" i="2"/>
  <c r="AN67" i="9" l="1"/>
  <c r="BK68" i="11" s="1"/>
  <c r="AI68" i="11" s="1"/>
  <c r="CX53" i="8"/>
  <c r="CY53" i="8" s="1"/>
  <c r="CV54" i="8"/>
  <c r="CW54" i="8" s="1"/>
  <c r="AS54" i="8"/>
  <c r="AQ82" i="9"/>
  <c r="CM82" i="8" s="1"/>
  <c r="AO55" i="5"/>
  <c r="AM55" i="5"/>
  <c r="AN55" i="5"/>
  <c r="AR55" i="5" s="1"/>
  <c r="AV56" i="5"/>
  <c r="AW56" i="5"/>
  <c r="AG54" i="7"/>
  <c r="CL56" i="8"/>
  <c r="BY55" i="8"/>
  <c r="CQ55" i="8" s="1"/>
  <c r="AC55" i="1"/>
  <c r="AI78" i="9"/>
  <c r="AO78" i="8" s="1"/>
  <c r="G61" i="8"/>
  <c r="CF60" i="8"/>
  <c r="O60" i="2"/>
  <c r="AD58" i="1"/>
  <c r="BN60" i="5" a="1"/>
  <c r="BN60" i="5" s="1"/>
  <c r="BH60" i="5" a="1"/>
  <c r="BH60" i="5" s="1"/>
  <c r="BC60" i="5" a="1"/>
  <c r="BC60" i="5" s="1"/>
  <c r="BE60" i="5" a="1"/>
  <c r="BE60" i="5" s="1"/>
  <c r="AM67" i="9"/>
  <c r="K67" i="8" s="1"/>
  <c r="BR55" i="8"/>
  <c r="BS55" i="8"/>
  <c r="BK60" i="5" a="1"/>
  <c r="BK60" i="5" s="1"/>
  <c r="BM60" i="5" a="1"/>
  <c r="BM60" i="5" s="1"/>
  <c r="BG60" i="5" a="1"/>
  <c r="BG60" i="5" s="1"/>
  <c r="BB60" i="5" a="1"/>
  <c r="BB60" i="5" s="1"/>
  <c r="CU60" i="5"/>
  <c r="CW60" i="5"/>
  <c r="CQ60" i="5"/>
  <c r="CR60" i="5"/>
  <c r="CV60" i="5"/>
  <c r="CS60" i="5"/>
  <c r="CT60" i="5"/>
  <c r="BL60" i="5" a="1"/>
  <c r="BL60" i="5" s="1"/>
  <c r="AY60" i="5" a="1"/>
  <c r="AY60" i="5" s="1"/>
  <c r="BA60" i="5" a="1"/>
  <c r="BA60" i="5" s="1"/>
  <c r="BI60" i="5" a="1"/>
  <c r="BI60" i="5" s="1"/>
  <c r="BO60" i="5" a="1"/>
  <c r="BO60" i="5" s="1"/>
  <c r="AZ60" i="5" a="1"/>
  <c r="AZ60" i="5" s="1"/>
  <c r="BQ60" i="5" a="1"/>
  <c r="BQ60" i="5" s="1"/>
  <c r="BF60" i="5" a="1"/>
  <c r="BF60" i="5" s="1"/>
  <c r="AE59" i="1" s="1"/>
  <c r="BD60" i="5" a="1"/>
  <c r="BD60" i="5" s="1"/>
  <c r="BJ60" i="5" a="1"/>
  <c r="BJ60" i="5" s="1"/>
  <c r="V58" i="2"/>
  <c r="F63" i="8"/>
  <c r="BP59" i="5" a="1"/>
  <c r="BP59" i="5" s="1"/>
  <c r="J59" i="2" s="1"/>
  <c r="O64" i="1"/>
  <c r="CE54" i="8"/>
  <c r="BT55" i="8"/>
  <c r="BO55" i="8"/>
  <c r="BP55" i="8"/>
  <c r="BM55" i="8"/>
  <c r="BN55" i="8"/>
  <c r="BK55" i="8"/>
  <c r="BL55" i="8"/>
  <c r="BJ55" i="8"/>
  <c r="AC55" i="10"/>
  <c r="X55" i="10" s="1"/>
  <c r="AS59" i="5"/>
  <c r="AH59" i="11"/>
  <c r="DF58" i="5"/>
  <c r="DB58" i="5"/>
  <c r="K61" i="11"/>
  <c r="A61" i="14"/>
  <c r="CA61" i="14" s="1"/>
  <c r="A61" i="9"/>
  <c r="A61" i="7"/>
  <c r="R61" i="7" s="1"/>
  <c r="A61" i="2"/>
  <c r="A61" i="8"/>
  <c r="A61" i="5"/>
  <c r="AM59" i="1"/>
  <c r="AU60" i="8"/>
  <c r="AE60" i="8"/>
  <c r="AF57" i="1"/>
  <c r="AK59" i="11"/>
  <c r="DH58" i="5"/>
  <c r="AU60" i="14" a="1"/>
  <c r="AU60" i="14"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W57" i="1"/>
  <c r="Z54" i="11"/>
  <c r="AD54" i="11"/>
  <c r="AI54" i="1" s="1"/>
  <c r="Y54" i="11"/>
  <c r="AH54" i="1" s="1"/>
  <c r="AC54" i="11"/>
  <c r="U54" i="8" s="1"/>
  <c r="AB54" i="11"/>
  <c r="Q54" i="8" s="1"/>
  <c r="BX55" i="8"/>
  <c r="CE55" i="8" s="1"/>
  <c r="CX55" i="8" s="1"/>
  <c r="D56" i="9"/>
  <c r="AA54" i="11"/>
  <c r="AK54" i="1" s="1"/>
  <c r="N55" i="7"/>
  <c r="AE55" i="7"/>
  <c r="AF55" i="7" s="1"/>
  <c r="CC55" i="8"/>
  <c r="BZ55" i="8"/>
  <c r="CR55" i="8" s="1"/>
  <c r="CA55" i="8"/>
  <c r="CI55" i="8"/>
  <c r="DA55" i="8" s="1"/>
  <c r="CH55" i="8"/>
  <c r="CZ55" i="8" s="1"/>
  <c r="CB55" i="8"/>
  <c r="CT55" i="8" s="1"/>
  <c r="B58" i="5"/>
  <c r="CS53" i="8"/>
  <c r="BZ60" i="11"/>
  <c r="K59" i="10"/>
  <c r="AA59" i="7"/>
  <c r="AF59" i="8" s="1"/>
  <c r="AV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U54" i="8"/>
  <c r="DB54" i="8"/>
  <c r="DH56" i="8"/>
  <c r="DI56" i="8" s="1"/>
  <c r="CK56" i="8"/>
  <c r="BW56" i="8"/>
  <c r="AC56" i="1" s="1"/>
  <c r="BH56" i="8"/>
  <c r="BU56" i="8" s="1"/>
  <c r="BI56" i="8"/>
  <c r="AH67" i="9"/>
  <c r="B54" i="14"/>
  <c r="AQ54" i="5"/>
  <c r="A56" i="11"/>
  <c r="AC56" i="8"/>
  <c r="BQ56" i="8" s="1"/>
  <c r="BT56" i="5"/>
  <c r="X56" i="8"/>
  <c r="DD56" i="8" s="1"/>
  <c r="AJ56" i="5"/>
  <c r="AP56" i="5" s="1"/>
  <c r="A56" i="10"/>
  <c r="AA56" i="10" s="1"/>
  <c r="B56" i="7"/>
  <c r="E56" i="1"/>
  <c r="AI56" i="5"/>
  <c r="B56" i="9"/>
  <c r="Y56" i="9" s="1"/>
  <c r="CZ58" i="5"/>
  <c r="C57" i="5"/>
  <c r="F57" i="5" s="1"/>
  <c r="AB58" i="1"/>
  <c r="DI58" i="5"/>
  <c r="DA57" i="5"/>
  <c r="DG57" i="5" s="1" a="1"/>
  <c r="DG57" i="5" s="1"/>
  <c r="AG67" i="9"/>
  <c r="AK67" i="9"/>
  <c r="AE129" i="9"/>
  <c r="N43" i="1"/>
  <c r="S60" i="2"/>
  <c r="N61" i="2"/>
  <c r="R61" i="2"/>
  <c r="Q60" i="2"/>
  <c r="J62" i="10"/>
  <c r="N62" i="5" s="1"/>
  <c r="P62" i="2"/>
  <c r="AN68" i="9" l="1"/>
  <c r="BK69" i="11" s="1"/>
  <c r="AI69" i="11" s="1"/>
  <c r="CX54" i="8"/>
  <c r="CY54" i="8" s="1"/>
  <c r="CV55" i="8"/>
  <c r="CW55" i="8" s="1"/>
  <c r="CU55" i="8"/>
  <c r="AS55" i="8"/>
  <c r="AQ83" i="9"/>
  <c r="CM83" i="8" s="1"/>
  <c r="AO56" i="5"/>
  <c r="AM56" i="5"/>
  <c r="AN56" i="5"/>
  <c r="AR56" i="5" s="1"/>
  <c r="AV57" i="5"/>
  <c r="AW57" i="5"/>
  <c r="AG55" i="7"/>
  <c r="CL57" i="8"/>
  <c r="AI79" i="9"/>
  <c r="AO79" i="8" s="1"/>
  <c r="G62" i="8"/>
  <c r="CF61" i="8"/>
  <c r="O61" i="2"/>
  <c r="AS60" i="5"/>
  <c r="AD59" i="1"/>
  <c r="AM68" i="9"/>
  <c r="K68" i="8" s="1"/>
  <c r="BR56" i="8"/>
  <c r="BS56" i="8"/>
  <c r="CV61" i="5"/>
  <c r="CU61" i="5"/>
  <c r="CQ61" i="5"/>
  <c r="CS61" i="5"/>
  <c r="CR61" i="5"/>
  <c r="CT61" i="5"/>
  <c r="CW61" i="5"/>
  <c r="AY61" i="5" a="1"/>
  <c r="AY61" i="5" s="1"/>
  <c r="BL61" i="5" a="1"/>
  <c r="BL61" i="5" s="1"/>
  <c r="BJ61" i="5" a="1"/>
  <c r="BJ61" i="5" s="1"/>
  <c r="BD61" i="5" a="1"/>
  <c r="BD61" i="5" s="1"/>
  <c r="BF61" i="5" a="1"/>
  <c r="BF61" i="5" s="1"/>
  <c r="AE60" i="1" s="1"/>
  <c r="BQ61" i="5" a="1"/>
  <c r="BQ61" i="5" s="1"/>
  <c r="BB61" i="5" a="1"/>
  <c r="BB61" i="5" s="1"/>
  <c r="AZ61" i="5" a="1"/>
  <c r="AZ61" i="5" s="1"/>
  <c r="BG61" i="5" a="1"/>
  <c r="BG61" i="5" s="1"/>
  <c r="BO61" i="5" a="1"/>
  <c r="BO61" i="5" s="1"/>
  <c r="BH61" i="5" a="1"/>
  <c r="BH61" i="5" s="1"/>
  <c r="BI61" i="5" a="1"/>
  <c r="BI61" i="5" s="1"/>
  <c r="BM61" i="5" a="1"/>
  <c r="BM61" i="5" s="1"/>
  <c r="BE61" i="5" a="1"/>
  <c r="BE61" i="5" s="1"/>
  <c r="BC61" i="5" a="1"/>
  <c r="BC61" i="5" s="1"/>
  <c r="BK61" i="5" a="1"/>
  <c r="BK61" i="5" s="1"/>
  <c r="BA61" i="5" a="1"/>
  <c r="BA61" i="5" s="1"/>
  <c r="BN61" i="5" a="1"/>
  <c r="BN61" i="5" s="1"/>
  <c r="V59" i="2"/>
  <c r="F64" i="8"/>
  <c r="BP60" i="5" a="1"/>
  <c r="BP60" i="5" s="1"/>
  <c r="J60" i="2" s="1"/>
  <c r="O65" i="1"/>
  <c r="BT56" i="8"/>
  <c r="BO56" i="8"/>
  <c r="BP56" i="8"/>
  <c r="BM56" i="8"/>
  <c r="BN56" i="8"/>
  <c r="BK56" i="8"/>
  <c r="BL56" i="8"/>
  <c r="BJ56" i="8"/>
  <c r="AC56" i="10"/>
  <c r="X56" i="10" s="1"/>
  <c r="AH60" i="11"/>
  <c r="DF59" i="5"/>
  <c r="AK60" i="11"/>
  <c r="DE59" i="5"/>
  <c r="W58" i="1"/>
  <c r="AE61" i="8"/>
  <c r="AU61" i="8"/>
  <c r="DH59" i="5"/>
  <c r="Y58" i="1"/>
  <c r="DJ59" i="5"/>
  <c r="AU61" i="14" a="1"/>
  <c r="AU61" i="14"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CA62" i="14" s="1"/>
  <c r="A62" i="5"/>
  <c r="A62" i="9"/>
  <c r="A62" i="7"/>
  <c r="R62" i="7" s="1"/>
  <c r="A62" i="8"/>
  <c r="A62" i="2"/>
  <c r="AJ60" i="1"/>
  <c r="AF58" i="1"/>
  <c r="AM60" i="1"/>
  <c r="B55" i="14"/>
  <c r="CD55" i="8"/>
  <c r="AQ55" i="5"/>
  <c r="CS55" i="8"/>
  <c r="DB55" i="8"/>
  <c r="B59" i="5"/>
  <c r="B59" i="2"/>
  <c r="B59" i="1"/>
  <c r="BG59" i="1" s="1"/>
  <c r="AH59" i="5"/>
  <c r="BU59" i="5"/>
  <c r="BZ61" i="11"/>
  <c r="K60" i="10"/>
  <c r="AA60" i="7"/>
  <c r="AF60" i="8" s="1"/>
  <c r="AV60" i="8" s="1"/>
  <c r="L60" i="11"/>
  <c r="I60" i="5"/>
  <c r="D59" i="10"/>
  <c r="F59" i="7"/>
  <c r="G60" i="5"/>
  <c r="D59" i="7"/>
  <c r="B59" i="10"/>
  <c r="H60" i="5"/>
  <c r="C59" i="10"/>
  <c r="E59" i="7"/>
  <c r="DB59" i="5"/>
  <c r="M60" i="5"/>
  <c r="H59" i="10"/>
  <c r="J59" i="7"/>
  <c r="J60" i="5"/>
  <c r="DC60" i="5" s="1"/>
  <c r="E59" i="10"/>
  <c r="G59" i="7"/>
  <c r="L60" i="5"/>
  <c r="G59" i="10"/>
  <c r="I59" i="7"/>
  <c r="K60" i="5"/>
  <c r="F59" i="10"/>
  <c r="H59" i="7"/>
  <c r="DD59" i="5"/>
  <c r="CS54" i="8"/>
  <c r="D57" i="9"/>
  <c r="CI56" i="8"/>
  <c r="DA56" i="8" s="1"/>
  <c r="DH57" i="8"/>
  <c r="DI57" i="8" s="1"/>
  <c r="CK57" i="8"/>
  <c r="BW57" i="8"/>
  <c r="AC57" i="1" s="1"/>
  <c r="BX56" i="8"/>
  <c r="CD56" i="8" s="1"/>
  <c r="N56" i="7"/>
  <c r="BH57" i="8"/>
  <c r="BU57" i="8" s="1"/>
  <c r="BI57" i="8"/>
  <c r="AH68" i="9"/>
  <c r="AI57" i="5"/>
  <c r="A57" i="11"/>
  <c r="AC57" i="8"/>
  <c r="BQ57" i="8" s="1"/>
  <c r="BT57" i="5"/>
  <c r="A57" i="10"/>
  <c r="AA57" i="10" s="1"/>
  <c r="B57" i="7"/>
  <c r="X57" i="8"/>
  <c r="DD57" i="8" s="1"/>
  <c r="E57" i="1"/>
  <c r="AJ57" i="5"/>
  <c r="AP57" i="5" s="1"/>
  <c r="B57" i="9"/>
  <c r="Y57" i="9" s="1"/>
  <c r="CH56" i="8"/>
  <c r="CZ56" i="8" s="1"/>
  <c r="CA56" i="8"/>
  <c r="CB56" i="8"/>
  <c r="CT56" i="8" s="1"/>
  <c r="BY56" i="8"/>
  <c r="CQ56" i="8" s="1"/>
  <c r="BZ56" i="8"/>
  <c r="CR56" i="8" s="1"/>
  <c r="CC56" i="8"/>
  <c r="AE56" i="7"/>
  <c r="AF56" i="7" s="1"/>
  <c r="Q56" i="7"/>
  <c r="C58" i="5"/>
  <c r="F58" i="5" s="1"/>
  <c r="CZ59" i="5"/>
  <c r="AA55" i="11"/>
  <c r="AK55" i="1" s="1"/>
  <c r="Y55" i="11"/>
  <c r="AH55" i="1" s="1"/>
  <c r="AC55" i="11"/>
  <c r="U55" i="8" s="1"/>
  <c r="N56" i="11"/>
  <c r="AB55" i="11"/>
  <c r="Q55" i="8" s="1"/>
  <c r="Z55" i="11"/>
  <c r="AD55" i="11"/>
  <c r="AI55" i="1" s="1"/>
  <c r="DA58" i="5"/>
  <c r="DG58" i="5" s="1" a="1"/>
  <c r="DG58" i="5" s="1"/>
  <c r="AB59" i="1"/>
  <c r="DI59" i="5"/>
  <c r="AG68" i="9"/>
  <c r="AK68" i="9"/>
  <c r="AE130" i="9"/>
  <c r="N44" i="1"/>
  <c r="S61" i="2"/>
  <c r="N62" i="2"/>
  <c r="R62" i="2"/>
  <c r="Q61" i="2"/>
  <c r="P63" i="2"/>
  <c r="J63" i="10"/>
  <c r="N63" i="5" s="1"/>
  <c r="AN69" i="9" l="1"/>
  <c r="BK70" i="11" s="1"/>
  <c r="AI70" i="11" s="1"/>
  <c r="CV56" i="8"/>
  <c r="CW56" i="8" s="1"/>
  <c r="AS56" i="8"/>
  <c r="AQ84" i="9"/>
  <c r="CM84" i="8" s="1"/>
  <c r="AO57" i="5"/>
  <c r="AM57" i="5"/>
  <c r="AN57" i="5"/>
  <c r="AR57" i="5" s="1"/>
  <c r="AV58" i="5"/>
  <c r="AW58" i="5"/>
  <c r="AG56" i="7"/>
  <c r="CL58" i="8"/>
  <c r="AI80" i="9"/>
  <c r="AO80" i="8" s="1"/>
  <c r="G63" i="8"/>
  <c r="CF62" i="8"/>
  <c r="O62" i="2"/>
  <c r="AS61" i="5"/>
  <c r="BG62" i="5" a="1"/>
  <c r="BG62" i="5" s="1"/>
  <c r="AM69" i="9"/>
  <c r="K69" i="8" s="1"/>
  <c r="BR57" i="8"/>
  <c r="BS57" i="8"/>
  <c r="AD60" i="1"/>
  <c r="BF62" i="5" a="1"/>
  <c r="BF62" i="5" s="1"/>
  <c r="AE61" i="1" s="1"/>
  <c r="BD62" i="5" a="1"/>
  <c r="BD62" i="5" s="1"/>
  <c r="BB62" i="5" a="1"/>
  <c r="BB62" i="5" s="1"/>
  <c r="BN62" i="5" a="1"/>
  <c r="BN62" i="5" s="1"/>
  <c r="BJ62" i="5" a="1"/>
  <c r="BJ62" i="5" s="1"/>
  <c r="BA62" i="5" a="1"/>
  <c r="BA62" i="5" s="1"/>
  <c r="CU62" i="5"/>
  <c r="CV62" i="5"/>
  <c r="CT62" i="5"/>
  <c r="CQ62" i="5"/>
  <c r="CS62" i="5"/>
  <c r="CR62" i="5"/>
  <c r="CW62" i="5"/>
  <c r="AY62" i="5" a="1"/>
  <c r="AY62" i="5" s="1"/>
  <c r="BL62" i="5" a="1"/>
  <c r="BL62" i="5" s="1"/>
  <c r="AZ62" i="5" a="1"/>
  <c r="AZ62" i="5" s="1"/>
  <c r="BK62" i="5" a="1"/>
  <c r="BK62" i="5" s="1"/>
  <c r="BC62" i="5" a="1"/>
  <c r="BC62" i="5" s="1"/>
  <c r="BE62" i="5" a="1"/>
  <c r="BE62" i="5" s="1"/>
  <c r="BM62" i="5" a="1"/>
  <c r="BM62" i="5" s="1"/>
  <c r="BQ62" i="5" a="1"/>
  <c r="BQ62" i="5" s="1"/>
  <c r="BI62" i="5" a="1"/>
  <c r="BI62" i="5" s="1"/>
  <c r="BH62" i="5" a="1"/>
  <c r="BH62" i="5" s="1"/>
  <c r="BO62" i="5" a="1"/>
  <c r="BO62" i="5" s="1"/>
  <c r="V60" i="2"/>
  <c r="F65" i="8"/>
  <c r="BP61" i="5" a="1"/>
  <c r="BP61" i="5" s="1"/>
  <c r="J61" i="2" s="1"/>
  <c r="O66" i="1"/>
  <c r="BX57" i="8"/>
  <c r="CE57" i="8" s="1"/>
  <c r="CX57" i="8" s="1"/>
  <c r="BT57" i="8"/>
  <c r="BO57" i="8"/>
  <c r="BP57" i="8"/>
  <c r="BM57" i="8"/>
  <c r="BN57" i="8"/>
  <c r="BK57" i="8"/>
  <c r="BL57" i="8"/>
  <c r="BJ57" i="8"/>
  <c r="AC57" i="10"/>
  <c r="X57" i="10" s="1"/>
  <c r="AH61" i="11"/>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CA63" i="14" s="1"/>
  <c r="A63" i="5"/>
  <c r="A63" i="8"/>
  <c r="A63" i="9"/>
  <c r="A63" i="2"/>
  <c r="A63" i="7"/>
  <c r="R63" i="7" s="1"/>
  <c r="Y59" i="1"/>
  <c r="DJ60" i="5"/>
  <c r="W59" i="1"/>
  <c r="AE62" i="8"/>
  <c r="AU62" i="8"/>
  <c r="AK61" i="11"/>
  <c r="CY55" i="8"/>
  <c r="B60" i="5"/>
  <c r="B60" i="2"/>
  <c r="BU60" i="5"/>
  <c r="B60" i="1"/>
  <c r="BG60" i="1" s="1"/>
  <c r="AH60" i="5"/>
  <c r="BZ62" i="11"/>
  <c r="K61" i="10"/>
  <c r="AA61" i="7"/>
  <c r="AF61" i="8" s="1"/>
  <c r="AV61" i="8" s="1"/>
  <c r="L61" i="11"/>
  <c r="H61" i="5"/>
  <c r="C60" i="10"/>
  <c r="E60" i="7"/>
  <c r="J61" i="5"/>
  <c r="DC61" i="5" s="1"/>
  <c r="E60" i="10"/>
  <c r="G60" i="7"/>
  <c r="K61" i="5"/>
  <c r="F60" i="10"/>
  <c r="H60" i="7"/>
  <c r="DD60" i="5"/>
  <c r="G61" i="5"/>
  <c r="B60" i="10"/>
  <c r="D60" i="7"/>
  <c r="M61" i="5"/>
  <c r="H60" i="10"/>
  <c r="J60" i="7"/>
  <c r="L61" i="5"/>
  <c r="G60" i="10"/>
  <c r="I60" i="7"/>
  <c r="I61" i="5"/>
  <c r="D60" i="10"/>
  <c r="F60" i="7"/>
  <c r="CU56" i="8"/>
  <c r="D58" i="9"/>
  <c r="DB56" i="8"/>
  <c r="CI57" i="8"/>
  <c r="DA57" i="8" s="1"/>
  <c r="DH58" i="8"/>
  <c r="DI58" i="8" s="1"/>
  <c r="CE56" i="8"/>
  <c r="CK58" i="8"/>
  <c r="BW58" i="8"/>
  <c r="AC58" i="1" s="1"/>
  <c r="N57" i="7"/>
  <c r="BH58" i="8"/>
  <c r="BU58" i="8" s="1"/>
  <c r="BI58" i="8"/>
  <c r="AH69" i="9"/>
  <c r="B56" i="14"/>
  <c r="AQ56" i="5"/>
  <c r="C59" i="5"/>
  <c r="F59" i="5" s="1"/>
  <c r="CZ60" i="5"/>
  <c r="AI58" i="5"/>
  <c r="A58" i="11"/>
  <c r="B58" i="9"/>
  <c r="Y58" i="9" s="1"/>
  <c r="AC58" i="8"/>
  <c r="BQ58" i="8" s="1"/>
  <c r="BT58" i="5"/>
  <c r="AJ58" i="5"/>
  <c r="AP58" i="5" s="1"/>
  <c r="A58" i="10"/>
  <c r="AA58" i="10" s="1"/>
  <c r="B58" i="7"/>
  <c r="E58" i="1"/>
  <c r="X58" i="8"/>
  <c r="DD58" i="8" s="1"/>
  <c r="CH57" i="8"/>
  <c r="CZ57" i="8" s="1"/>
  <c r="CA57" i="8"/>
  <c r="CB57" i="8"/>
  <c r="CT57" i="8" s="1"/>
  <c r="BY57" i="8"/>
  <c r="CQ57" i="8" s="1"/>
  <c r="BZ57" i="8"/>
  <c r="CR57" i="8" s="1"/>
  <c r="CC57" i="8"/>
  <c r="AB56" i="11"/>
  <c r="Q56" i="8" s="1"/>
  <c r="AA56" i="11"/>
  <c r="AK56" i="1" s="1"/>
  <c r="AD56" i="11"/>
  <c r="AI56" i="1" s="1"/>
  <c r="AC56" i="11"/>
  <c r="U56" i="8" s="1"/>
  <c r="Y56" i="11"/>
  <c r="AH56" i="1" s="1"/>
  <c r="N57" i="11"/>
  <c r="Z56" i="11"/>
  <c r="Q57" i="7"/>
  <c r="AE57" i="7"/>
  <c r="AF57" i="7" s="1"/>
  <c r="AB60" i="1"/>
  <c r="DI60" i="5"/>
  <c r="DA59" i="5"/>
  <c r="DG59" i="5" s="1" a="1"/>
  <c r="DG59" i="5" s="1"/>
  <c r="AG69" i="9"/>
  <c r="AK69" i="9"/>
  <c r="AE131" i="9"/>
  <c r="N45" i="1"/>
  <c r="S62" i="2"/>
  <c r="N63" i="2"/>
  <c r="R63" i="2"/>
  <c r="Q62" i="2"/>
  <c r="J64" i="10"/>
  <c r="N64" i="5" s="1"/>
  <c r="P64" i="2"/>
  <c r="AN70" i="9" l="1"/>
  <c r="BK71" i="11" s="1"/>
  <c r="AI71" i="11" s="1"/>
  <c r="CX56" i="8"/>
  <c r="CY56" i="8" s="1"/>
  <c r="CV57" i="8"/>
  <c r="CW57" i="8" s="1"/>
  <c r="AS57" i="8"/>
  <c r="AQ85" i="9"/>
  <c r="CM85" i="8" s="1"/>
  <c r="AO58" i="5"/>
  <c r="AM58" i="5"/>
  <c r="AN58" i="5"/>
  <c r="AR58" i="5" s="1"/>
  <c r="AV59" i="5"/>
  <c r="AW59" i="5"/>
  <c r="AG57" i="7"/>
  <c r="CL59" i="8"/>
  <c r="AI81" i="9"/>
  <c r="AO81" i="8" s="1"/>
  <c r="G64" i="8"/>
  <c r="CF63" i="8"/>
  <c r="O63" i="2"/>
  <c r="AS62" i="5"/>
  <c r="AM70" i="9"/>
  <c r="K70" i="8" s="1"/>
  <c r="BR58" i="8"/>
  <c r="BS58" i="8"/>
  <c r="AD61" i="1"/>
  <c r="BO63" i="5" a="1"/>
  <c r="BO63" i="5" s="1"/>
  <c r="CV63" i="5"/>
  <c r="CU63" i="5"/>
  <c r="CQ63" i="5"/>
  <c r="CT63" i="5"/>
  <c r="CW63" i="5"/>
  <c r="CR63" i="5"/>
  <c r="CS63" i="5"/>
  <c r="AY63" i="5" a="1"/>
  <c r="AY63" i="5" s="1"/>
  <c r="BL63" i="5" a="1"/>
  <c r="BL63" i="5" s="1"/>
  <c r="BH63" i="5" a="1"/>
  <c r="BH63" i="5" s="1"/>
  <c r="BI63" i="5" a="1"/>
  <c r="BI63" i="5" s="1"/>
  <c r="BA63" i="5" a="1"/>
  <c r="BA63" i="5" s="1"/>
  <c r="BQ63" i="5" a="1"/>
  <c r="BQ63" i="5" s="1"/>
  <c r="BJ63" i="5" a="1"/>
  <c r="BJ63" i="5" s="1"/>
  <c r="BM63" i="5" a="1"/>
  <c r="BM63" i="5" s="1"/>
  <c r="BN63" i="5" a="1"/>
  <c r="BN63" i="5" s="1"/>
  <c r="BE63" i="5" a="1"/>
  <c r="BE63" i="5" s="1"/>
  <c r="BB63" i="5" a="1"/>
  <c r="BB63" i="5" s="1"/>
  <c r="BC63" i="5" a="1"/>
  <c r="BC63" i="5" s="1"/>
  <c r="BG63" i="5" a="1"/>
  <c r="BG63" i="5" s="1"/>
  <c r="BK63" i="5" a="1"/>
  <c r="BK63" i="5" s="1"/>
  <c r="BD63" i="5" a="1"/>
  <c r="BD63" i="5" s="1"/>
  <c r="AZ63" i="5" a="1"/>
  <c r="AZ63" i="5" s="1"/>
  <c r="BF63" i="5" a="1"/>
  <c r="BF63" i="5" s="1"/>
  <c r="AE62" i="1" s="1"/>
  <c r="V61" i="2"/>
  <c r="F66" i="8"/>
  <c r="BP62" i="5" a="1"/>
  <c r="BP62" i="5" s="1"/>
  <c r="J62" i="2" s="1"/>
  <c r="O67" i="1"/>
  <c r="CD57" i="8"/>
  <c r="BX58" i="8"/>
  <c r="CD58" i="8" s="1"/>
  <c r="BT58" i="8"/>
  <c r="BO58" i="8"/>
  <c r="BP58" i="8"/>
  <c r="BM58" i="8"/>
  <c r="BN58" i="8"/>
  <c r="BK58" i="8"/>
  <c r="BL58" i="8"/>
  <c r="BJ58" i="8"/>
  <c r="AC58" i="10"/>
  <c r="X58" i="10" s="1"/>
  <c r="AH62" i="11"/>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CA64" i="14" s="1"/>
  <c r="A64" i="8"/>
  <c r="A64" i="2"/>
  <c r="A64" i="5"/>
  <c r="A64" i="9"/>
  <c r="A64" i="7"/>
  <c r="R64" i="7" s="1"/>
  <c r="AF60" i="1"/>
  <c r="W60" i="1"/>
  <c r="DH61" i="5"/>
  <c r="Y60" i="1"/>
  <c r="DJ61" i="5"/>
  <c r="AE63" i="8"/>
  <c r="AU63" i="8"/>
  <c r="AM62" i="1"/>
  <c r="B61" i="5"/>
  <c r="B61" i="2"/>
  <c r="B61" i="1"/>
  <c r="BG61" i="1" s="1"/>
  <c r="BU61" i="5"/>
  <c r="AH61" i="5"/>
  <c r="BZ63" i="11"/>
  <c r="K62" i="10"/>
  <c r="AA62" i="7"/>
  <c r="AF62" i="8" s="1"/>
  <c r="AV62" i="8" s="1"/>
  <c r="L62" i="11"/>
  <c r="M62" i="5"/>
  <c r="H61" i="10"/>
  <c r="J61" i="7"/>
  <c r="K62" i="5"/>
  <c r="F61" i="10"/>
  <c r="H61" i="7"/>
  <c r="DD61" i="5"/>
  <c r="I62" i="5"/>
  <c r="D61" i="10"/>
  <c r="F61" i="7"/>
  <c r="G62" i="5"/>
  <c r="D61" i="7"/>
  <c r="B61" i="10"/>
  <c r="J62" i="5"/>
  <c r="DC62" i="5" s="1"/>
  <c r="E61" i="10"/>
  <c r="G61" i="7"/>
  <c r="L62" i="5"/>
  <c r="G61" i="10"/>
  <c r="I61" i="7"/>
  <c r="H62" i="5"/>
  <c r="C61" i="10"/>
  <c r="E61" i="7"/>
  <c r="CS56" i="8"/>
  <c r="CU57" i="8"/>
  <c r="D59" i="9"/>
  <c r="DB57" i="8"/>
  <c r="CI58" i="8"/>
  <c r="DA58" i="8" s="1"/>
  <c r="DH59" i="8"/>
  <c r="DI59" i="8" s="1"/>
  <c r="CK59" i="8"/>
  <c r="BW59" i="8"/>
  <c r="AC59" i="1" s="1"/>
  <c r="N58" i="7"/>
  <c r="BH59" i="8"/>
  <c r="BU59" i="8" s="1"/>
  <c r="BI59" i="8"/>
  <c r="AH70" i="9"/>
  <c r="B57" i="14"/>
  <c r="AQ57" i="5"/>
  <c r="CZ61" i="5"/>
  <c r="C60" i="5"/>
  <c r="F60" i="5" s="1"/>
  <c r="AE58" i="7"/>
  <c r="AF58" i="7" s="1"/>
  <c r="Q58" i="7"/>
  <c r="Y57" i="11"/>
  <c r="AH57" i="1" s="1"/>
  <c r="N58" i="11"/>
  <c r="AB57" i="11"/>
  <c r="Q57" i="8" s="1"/>
  <c r="Z57" i="11"/>
  <c r="AD57" i="11"/>
  <c r="AI57" i="1" s="1"/>
  <c r="AA57" i="11"/>
  <c r="AK57" i="1" s="1"/>
  <c r="AC57" i="11"/>
  <c r="U57" i="8" s="1"/>
  <c r="BY58" i="8"/>
  <c r="CQ58" i="8" s="1"/>
  <c r="BZ58" i="8"/>
  <c r="CR58" i="8" s="1"/>
  <c r="CB58" i="8"/>
  <c r="CT58" i="8" s="1"/>
  <c r="CC58" i="8"/>
  <c r="CH58" i="8"/>
  <c r="CZ58" i="8" s="1"/>
  <c r="CA58" i="8"/>
  <c r="A59" i="11"/>
  <c r="A59" i="10"/>
  <c r="AA59" i="10" s="1"/>
  <c r="B59" i="7"/>
  <c r="AC59" i="8"/>
  <c r="BQ59" i="8" s="1"/>
  <c r="BT59" i="5"/>
  <c r="X59" i="8"/>
  <c r="DD59" i="8" s="1"/>
  <c r="E59" i="1"/>
  <c r="AJ59" i="5"/>
  <c r="AP59" i="5" s="1"/>
  <c r="B59" i="9"/>
  <c r="Y59" i="9" s="1"/>
  <c r="AI59" i="5"/>
  <c r="DA60" i="5"/>
  <c r="DG60" i="5" s="1" a="1"/>
  <c r="DG60" i="5" s="1"/>
  <c r="AB61" i="1"/>
  <c r="DI61" i="5"/>
  <c r="AG70" i="9"/>
  <c r="AK70" i="9"/>
  <c r="AE132" i="9"/>
  <c r="N46" i="1"/>
  <c r="S63" i="2"/>
  <c r="N64" i="2"/>
  <c r="R64" i="2"/>
  <c r="Q63" i="2"/>
  <c r="J65" i="10"/>
  <c r="N65" i="5" s="1"/>
  <c r="P65" i="2"/>
  <c r="AN71" i="9" l="1"/>
  <c r="BK72" i="11" s="1"/>
  <c r="AI72" i="11" s="1"/>
  <c r="CV58" i="8"/>
  <c r="CW58" i="8" s="1"/>
  <c r="AS58" i="8"/>
  <c r="AQ86" i="9"/>
  <c r="CM86" i="8" s="1"/>
  <c r="AO59" i="5"/>
  <c r="AM59" i="5"/>
  <c r="AN59" i="5"/>
  <c r="AR59" i="5" s="1"/>
  <c r="AV60" i="5"/>
  <c r="AW60" i="5"/>
  <c r="AG58" i="7"/>
  <c r="CL60" i="8"/>
  <c r="AI82" i="9"/>
  <c r="AO82" i="8" s="1"/>
  <c r="G65" i="8"/>
  <c r="CF64" i="8"/>
  <c r="O64" i="2"/>
  <c r="AS63" i="5"/>
  <c r="BM64" i="5" a="1"/>
  <c r="BM64" i="5" s="1"/>
  <c r="AM71" i="9"/>
  <c r="K71" i="8" s="1"/>
  <c r="BR59" i="8"/>
  <c r="BS59" i="8"/>
  <c r="AD62" i="1"/>
  <c r="BQ64" i="5" a="1"/>
  <c r="BQ64" i="5" s="1"/>
  <c r="BA64" i="5" a="1"/>
  <c r="BA64" i="5" s="1"/>
  <c r="BH64" i="5" a="1"/>
  <c r="BH64" i="5" s="1"/>
  <c r="BF64" i="5" a="1"/>
  <c r="BF64" i="5" s="1"/>
  <c r="AE63" i="1" s="1"/>
  <c r="BI64" i="5" a="1"/>
  <c r="BI64" i="5" s="1"/>
  <c r="AZ64" i="5" a="1"/>
  <c r="AZ64" i="5" s="1"/>
  <c r="BD64" i="5" a="1"/>
  <c r="BD64" i="5" s="1"/>
  <c r="BK64" i="5" a="1"/>
  <c r="BK64" i="5" s="1"/>
  <c r="BG64" i="5" a="1"/>
  <c r="BG64" i="5" s="1"/>
  <c r="BJ64" i="5" a="1"/>
  <c r="BJ64" i="5" s="1"/>
  <c r="BC64" i="5" a="1"/>
  <c r="BC64" i="5" s="1"/>
  <c r="BB64" i="5" a="1"/>
  <c r="BB64" i="5" s="1"/>
  <c r="BE64" i="5" a="1"/>
  <c r="BE64" i="5" s="1"/>
  <c r="CV64" i="5"/>
  <c r="CT64" i="5"/>
  <c r="CS64" i="5"/>
  <c r="CR64" i="5"/>
  <c r="CU64" i="5"/>
  <c r="CQ64" i="5"/>
  <c r="CW64" i="5"/>
  <c r="BL64" i="5" a="1"/>
  <c r="BL64" i="5" s="1"/>
  <c r="AY64" i="5" a="1"/>
  <c r="AY64" i="5" s="1"/>
  <c r="BN64" i="5" a="1"/>
  <c r="BN64" i="5" s="1"/>
  <c r="BO64" i="5" a="1"/>
  <c r="BO64" i="5" s="1"/>
  <c r="V62" i="2"/>
  <c r="CY57" i="8"/>
  <c r="F67" i="8"/>
  <c r="BP63" i="5" a="1"/>
  <c r="BP63" i="5" s="1"/>
  <c r="J63" i="2" s="1"/>
  <c r="O68" i="1"/>
  <c r="CE58" i="8"/>
  <c r="BX59" i="8"/>
  <c r="CD59" i="8" s="1"/>
  <c r="BT59" i="8"/>
  <c r="BO59" i="8"/>
  <c r="BP59" i="8"/>
  <c r="BM59" i="8"/>
  <c r="BN59" i="8"/>
  <c r="BK59" i="8"/>
  <c r="BL59" i="8"/>
  <c r="BJ59" i="8"/>
  <c r="AC59" i="10"/>
  <c r="X59" i="10" s="1"/>
  <c r="AH63" i="11"/>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W61" i="1"/>
  <c r="K65" i="11"/>
  <c r="A65" i="14"/>
  <c r="CA65" i="14" s="1"/>
  <c r="A65" i="8"/>
  <c r="A65" i="2"/>
  <c r="A65" i="5"/>
  <c r="A65" i="7"/>
  <c r="R65" i="7" s="1"/>
  <c r="A65" i="9"/>
  <c r="AF61" i="1"/>
  <c r="AU64" i="8"/>
  <c r="AE64" i="8"/>
  <c r="CS57" i="8"/>
  <c r="B62" i="5"/>
  <c r="B62" i="1"/>
  <c r="BG62" i="1" s="1"/>
  <c r="B62" i="2"/>
  <c r="AH62" i="5"/>
  <c r="BU62" i="5"/>
  <c r="BZ64" i="11"/>
  <c r="K63" i="10"/>
  <c r="AA63" i="7"/>
  <c r="AF63" i="8" s="1"/>
  <c r="AV63" i="8" s="1"/>
  <c r="L63" i="11"/>
  <c r="J63" i="5"/>
  <c r="DC63" i="5" s="1"/>
  <c r="E62" i="10"/>
  <c r="G62" i="7"/>
  <c r="H63" i="5"/>
  <c r="C62" i="10"/>
  <c r="E62" i="7"/>
  <c r="B62" i="10"/>
  <c r="G63" i="5"/>
  <c r="D62" i="7"/>
  <c r="K63" i="5"/>
  <c r="F62" i="10"/>
  <c r="H62" i="7"/>
  <c r="DD62" i="5"/>
  <c r="L63" i="5"/>
  <c r="G62" i="10"/>
  <c r="I62" i="7"/>
  <c r="I63" i="5"/>
  <c r="D62" i="10"/>
  <c r="F62" i="7"/>
  <c r="M63" i="5"/>
  <c r="H62" i="10"/>
  <c r="J62" i="7"/>
  <c r="CU58" i="8"/>
  <c r="CI59" i="8"/>
  <c r="DA59" i="8" s="1"/>
  <c r="DB58" i="8"/>
  <c r="D60" i="9"/>
  <c r="DH60" i="8"/>
  <c r="DI60" i="8" s="1"/>
  <c r="CK60" i="8"/>
  <c r="BW60" i="8"/>
  <c r="AC60" i="1" s="1"/>
  <c r="N59" i="7"/>
  <c r="BH60" i="8"/>
  <c r="BU60" i="8" s="1"/>
  <c r="BI60" i="8"/>
  <c r="AH71" i="9"/>
  <c r="B58" i="14"/>
  <c r="AQ58" i="5"/>
  <c r="AE59" i="7"/>
  <c r="AF59" i="7" s="1"/>
  <c r="Q59" i="7"/>
  <c r="AA58" i="11"/>
  <c r="AK58" i="1" s="1"/>
  <c r="Y58" i="11"/>
  <c r="AH58" i="1" s="1"/>
  <c r="N59" i="11"/>
  <c r="Z58" i="11"/>
  <c r="AB58" i="11"/>
  <c r="Q58" i="8" s="1"/>
  <c r="AC58" i="11"/>
  <c r="U58" i="8" s="1"/>
  <c r="AD58" i="11"/>
  <c r="AI58" i="1" s="1"/>
  <c r="A60" i="10"/>
  <c r="AA60" i="10" s="1"/>
  <c r="B60" i="7"/>
  <c r="E60" i="1"/>
  <c r="A60" i="11"/>
  <c r="AI60" i="5"/>
  <c r="B60" i="9"/>
  <c r="Y60" i="9" s="1"/>
  <c r="AJ60" i="5"/>
  <c r="AP60" i="5" s="1"/>
  <c r="AC60" i="8"/>
  <c r="BQ60" i="8" s="1"/>
  <c r="BT60" i="5"/>
  <c r="X60" i="8"/>
  <c r="DD60" i="8" s="1"/>
  <c r="C61" i="5"/>
  <c r="F61" i="5" s="1"/>
  <c r="CZ62" i="5"/>
  <c r="CC59" i="8"/>
  <c r="CA59" i="8"/>
  <c r="CB59" i="8"/>
  <c r="CT59" i="8" s="1"/>
  <c r="BY59" i="8"/>
  <c r="CQ59" i="8" s="1"/>
  <c r="BZ59" i="8"/>
  <c r="CR59" i="8" s="1"/>
  <c r="CH59" i="8"/>
  <c r="CZ59" i="8" s="1"/>
  <c r="DI62" i="5"/>
  <c r="AB62" i="1"/>
  <c r="DA61" i="5"/>
  <c r="DG61" i="5" s="1" a="1"/>
  <c r="DG61" i="5" s="1"/>
  <c r="AG71" i="9"/>
  <c r="AK71" i="9"/>
  <c r="AE133" i="9"/>
  <c r="N47" i="1"/>
  <c r="S64" i="2"/>
  <c r="N65" i="2"/>
  <c r="R65" i="2"/>
  <c r="Q64" i="2"/>
  <c r="J66" i="10"/>
  <c r="N66" i="5" s="1"/>
  <c r="P66" i="2"/>
  <c r="AN72" i="9" l="1"/>
  <c r="BK73" i="11" s="1"/>
  <c r="AI73" i="11" s="1"/>
  <c r="CX58" i="8"/>
  <c r="CY58" i="8" s="1"/>
  <c r="CV59" i="8"/>
  <c r="CW59" i="8" s="1"/>
  <c r="AS59" i="8"/>
  <c r="AQ87" i="9"/>
  <c r="CM87" i="8" s="1"/>
  <c r="AO60" i="5"/>
  <c r="AM60" i="5"/>
  <c r="AN60" i="5"/>
  <c r="AR60" i="5" s="1"/>
  <c r="AV61" i="5"/>
  <c r="AW61" i="5"/>
  <c r="AG59" i="7"/>
  <c r="CL61" i="8"/>
  <c r="AI83" i="9"/>
  <c r="AO83" i="8" s="1"/>
  <c r="G66" i="8"/>
  <c r="CF65" i="8"/>
  <c r="O65" i="2"/>
  <c r="AS64" i="5"/>
  <c r="BC65" i="5" a="1"/>
  <c r="BC65" i="5" s="1"/>
  <c r="AM72" i="9"/>
  <c r="K72" i="8" s="1"/>
  <c r="BR60" i="8"/>
  <c r="BS60" i="8"/>
  <c r="AD63" i="1"/>
  <c r="BE65" i="5" a="1"/>
  <c r="BE65" i="5" s="1"/>
  <c r="BB65" i="5" a="1"/>
  <c r="BB65" i="5" s="1"/>
  <c r="BJ65" i="5" a="1"/>
  <c r="BJ65" i="5" s="1"/>
  <c r="BG65" i="5" a="1"/>
  <c r="BG65" i="5" s="1"/>
  <c r="BO65" i="5" a="1"/>
  <c r="BO65" i="5" s="1"/>
  <c r="BK65" i="5" a="1"/>
  <c r="BK65" i="5" s="1"/>
  <c r="CW65" i="5"/>
  <c r="CR65" i="5"/>
  <c r="CT65" i="5"/>
  <c r="CU65" i="5"/>
  <c r="CV65" i="5"/>
  <c r="CQ65" i="5"/>
  <c r="CS65" i="5"/>
  <c r="BL65" i="5" a="1"/>
  <c r="BL65" i="5" s="1"/>
  <c r="AY65" i="5" a="1"/>
  <c r="AY65" i="5" s="1"/>
  <c r="BN65" i="5" a="1"/>
  <c r="BN65" i="5" s="1"/>
  <c r="BD65" i="5" a="1"/>
  <c r="BD65" i="5" s="1"/>
  <c r="AZ65" i="5" a="1"/>
  <c r="AZ65" i="5" s="1"/>
  <c r="BI65" i="5" a="1"/>
  <c r="BI65" i="5" s="1"/>
  <c r="BF65" i="5" a="1"/>
  <c r="BF65" i="5" s="1"/>
  <c r="AE64" i="1" s="1"/>
  <c r="BH65" i="5" a="1"/>
  <c r="BH65" i="5" s="1"/>
  <c r="BA65" i="5" a="1"/>
  <c r="BA65" i="5" s="1"/>
  <c r="BQ65" i="5" a="1"/>
  <c r="BQ65" i="5" s="1"/>
  <c r="BM65" i="5" a="1"/>
  <c r="BM65" i="5" s="1"/>
  <c r="V63" i="2"/>
  <c r="F68" i="8"/>
  <c r="BP64" i="5" a="1"/>
  <c r="BP64" i="5" s="1"/>
  <c r="J64" i="2" s="1"/>
  <c r="O69" i="1"/>
  <c r="CE59" i="8"/>
  <c r="BT60" i="8"/>
  <c r="BO60" i="8"/>
  <c r="BP60" i="8"/>
  <c r="BM60" i="8"/>
  <c r="BN60" i="8"/>
  <c r="BK60" i="8"/>
  <c r="BL60" i="8"/>
  <c r="BJ60" i="8"/>
  <c r="AC60" i="10"/>
  <c r="X60" i="10" s="1"/>
  <c r="AH64" i="11"/>
  <c r="DF63" i="5"/>
  <c r="DB63" i="5"/>
  <c r="AJ64" i="1"/>
  <c r="DE63" i="5"/>
  <c r="Y62" i="1"/>
  <c r="DJ63" i="5"/>
  <c r="DH63" i="5"/>
  <c r="K66" i="11"/>
  <c r="A66" i="14"/>
  <c r="CA66" i="14" s="1"/>
  <c r="A66" i="8"/>
  <c r="A66" i="9"/>
  <c r="A66" i="2"/>
  <c r="A66" i="5"/>
  <c r="A66" i="7"/>
  <c r="R66" i="7" s="1"/>
  <c r="AU65" i="8"/>
  <c r="AE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W62" i="1"/>
  <c r="AM64" i="1"/>
  <c r="AK64" i="11"/>
  <c r="CS58" i="8"/>
  <c r="AH63" i="5"/>
  <c r="B63" i="1"/>
  <c r="BG63" i="1" s="1"/>
  <c r="B63" i="2"/>
  <c r="BU63" i="5"/>
  <c r="BZ65" i="11"/>
  <c r="K64" i="10"/>
  <c r="AA64" i="7"/>
  <c r="AF64" i="8" s="1"/>
  <c r="AV64" i="8" s="1"/>
  <c r="L64" i="11"/>
  <c r="M64" i="5"/>
  <c r="H63" i="10"/>
  <c r="J63" i="7"/>
  <c r="H64" i="5"/>
  <c r="C63" i="10"/>
  <c r="E63" i="7"/>
  <c r="K64" i="5"/>
  <c r="F63" i="10"/>
  <c r="H63" i="7"/>
  <c r="DD63" i="5"/>
  <c r="L64" i="5"/>
  <c r="G63" i="10"/>
  <c r="I63" i="7"/>
  <c r="B63" i="5"/>
  <c r="I64" i="5"/>
  <c r="D63" i="10"/>
  <c r="F63" i="7"/>
  <c r="B63" i="10"/>
  <c r="G64" i="5"/>
  <c r="D63" i="7"/>
  <c r="J64" i="5"/>
  <c r="DC64" i="5" s="1"/>
  <c r="E63" i="10"/>
  <c r="G63" i="7"/>
  <c r="DB59" i="8"/>
  <c r="CU59" i="8"/>
  <c r="CI60" i="8"/>
  <c r="DA60" i="8" s="1"/>
  <c r="D61" i="9"/>
  <c r="DH61" i="8"/>
  <c r="DI61" i="8" s="1"/>
  <c r="CK61" i="8"/>
  <c r="BW61" i="8"/>
  <c r="AC61" i="1" s="1"/>
  <c r="BX60" i="8"/>
  <c r="CD60" i="8" s="1"/>
  <c r="N60" i="7"/>
  <c r="BH61" i="8"/>
  <c r="BU61" i="8" s="1"/>
  <c r="BI61" i="8"/>
  <c r="AH72" i="9"/>
  <c r="B59" i="14"/>
  <c r="CZ63" i="5"/>
  <c r="BT61" i="5"/>
  <c r="E61" i="1"/>
  <c r="AC61" i="8"/>
  <c r="BQ61" i="8" s="1"/>
  <c r="B61" i="7"/>
  <c r="A61" i="10"/>
  <c r="AA61" i="10" s="1"/>
  <c r="AJ61" i="5"/>
  <c r="AP61" i="5" s="1"/>
  <c r="X61" i="8"/>
  <c r="DD61" i="8" s="1"/>
  <c r="AI61" i="5"/>
  <c r="B61" i="9"/>
  <c r="Y61" i="9" s="1"/>
  <c r="A61" i="11"/>
  <c r="Y59" i="11"/>
  <c r="AH59" i="1" s="1"/>
  <c r="AB59" i="11"/>
  <c r="Q59" i="8" s="1"/>
  <c r="N60" i="11"/>
  <c r="AA59" i="11"/>
  <c r="AK59" i="1" s="1"/>
  <c r="AD59" i="11"/>
  <c r="AI59" i="1" s="1"/>
  <c r="Z59" i="11"/>
  <c r="AC59" i="11"/>
  <c r="U59" i="8" s="1"/>
  <c r="AQ59" i="5"/>
  <c r="AE60" i="7"/>
  <c r="AF60" i="7" s="1"/>
  <c r="Q60" i="7"/>
  <c r="C62" i="5"/>
  <c r="F62" i="5" s="1"/>
  <c r="CC60" i="8"/>
  <c r="CH60" i="8"/>
  <c r="CZ60" i="8" s="1"/>
  <c r="CA60" i="8"/>
  <c r="CB60" i="8"/>
  <c r="CT60" i="8" s="1"/>
  <c r="BZ60" i="8"/>
  <c r="CR60" i="8" s="1"/>
  <c r="BY60" i="8"/>
  <c r="CQ60" i="8" s="1"/>
  <c r="DA62" i="5"/>
  <c r="DG62" i="5" s="1" a="1"/>
  <c r="DG62" i="5" s="1"/>
  <c r="AB63" i="1"/>
  <c r="DI63" i="5"/>
  <c r="AG72" i="9"/>
  <c r="AK72" i="9"/>
  <c r="AE134" i="9"/>
  <c r="N48" i="1"/>
  <c r="S65" i="2"/>
  <c r="N66" i="2"/>
  <c r="R66" i="2"/>
  <c r="Q65" i="2"/>
  <c r="J67" i="10"/>
  <c r="N67" i="5" s="1"/>
  <c r="P67" i="2"/>
  <c r="AN73" i="9" l="1"/>
  <c r="BK74" i="11" s="1"/>
  <c r="AI74" i="11" s="1"/>
  <c r="CX59" i="8"/>
  <c r="CY59" i="8" s="1"/>
  <c r="CV60" i="8"/>
  <c r="CW60" i="8" s="1"/>
  <c r="AS60" i="8"/>
  <c r="AQ88" i="9"/>
  <c r="CM88" i="8" s="1"/>
  <c r="AO61" i="5"/>
  <c r="AM61" i="5"/>
  <c r="AN61" i="5"/>
  <c r="AR61" i="5" s="1"/>
  <c r="AV62" i="5"/>
  <c r="AW62" i="5"/>
  <c r="AG60" i="7"/>
  <c r="AI60" i="7" s="1"/>
  <c r="CL62" i="8"/>
  <c r="AI84" i="9"/>
  <c r="AO84" i="8" s="1"/>
  <c r="G67" i="8"/>
  <c r="CF66" i="8"/>
  <c r="O66" i="2"/>
  <c r="AQ60" i="5"/>
  <c r="AS65" i="5"/>
  <c r="BC66" i="5" a="1"/>
  <c r="BC66" i="5" s="1"/>
  <c r="BQ66" i="5" a="1"/>
  <c r="BQ66" i="5" s="1"/>
  <c r="BA66" i="5" a="1"/>
  <c r="BA66" i="5" s="1"/>
  <c r="BK66" i="5" a="1"/>
  <c r="BK66" i="5" s="1"/>
  <c r="BH66" i="5" a="1"/>
  <c r="BH66" i="5" s="1"/>
  <c r="BM66" i="5" a="1"/>
  <c r="BM66" i="5" s="1"/>
  <c r="BN66" i="5" a="1"/>
  <c r="BN66" i="5" s="1"/>
  <c r="AM73" i="9"/>
  <c r="K73" i="8" s="1"/>
  <c r="BR61" i="8"/>
  <c r="BS61" i="8"/>
  <c r="AD64" i="1"/>
  <c r="BF66" i="5" a="1"/>
  <c r="BF66" i="5" s="1"/>
  <c r="AE65" i="1" s="1"/>
  <c r="BO66" i="5" a="1"/>
  <c r="BO66" i="5" s="1"/>
  <c r="BI66" i="5" a="1"/>
  <c r="BI66" i="5" s="1"/>
  <c r="BG66" i="5" a="1"/>
  <c r="BG66" i="5" s="1"/>
  <c r="BJ66" i="5" a="1"/>
  <c r="BJ66" i="5" s="1"/>
  <c r="AZ66" i="5" a="1"/>
  <c r="AZ66" i="5" s="1"/>
  <c r="BB66" i="5" a="1"/>
  <c r="BB66" i="5" s="1"/>
  <c r="CS66" i="5"/>
  <c r="CU66" i="5"/>
  <c r="CT66" i="5"/>
  <c r="CW66" i="5"/>
  <c r="CV66" i="5"/>
  <c r="CR66" i="5"/>
  <c r="CQ66" i="5"/>
  <c r="AY66" i="5" a="1"/>
  <c r="AY66" i="5" s="1"/>
  <c r="BL66" i="5" a="1"/>
  <c r="BL66" i="5" s="1"/>
  <c r="BD66" i="5" a="1"/>
  <c r="BD66" i="5" s="1"/>
  <c r="BE66" i="5" a="1"/>
  <c r="BE66" i="5" s="1"/>
  <c r="V64" i="2"/>
  <c r="F69" i="8"/>
  <c r="BP65" i="5" a="1"/>
  <c r="BP65" i="5" s="1"/>
  <c r="J65" i="2" s="1"/>
  <c r="O70" i="1"/>
  <c r="BX61" i="8"/>
  <c r="CE61" i="8" s="1"/>
  <c r="CX61" i="8" s="1"/>
  <c r="BT61" i="8"/>
  <c r="BO61" i="8"/>
  <c r="BP61" i="8"/>
  <c r="BM61" i="8"/>
  <c r="BN61" i="8"/>
  <c r="BK61" i="8"/>
  <c r="BL61" i="8"/>
  <c r="BJ61" i="8"/>
  <c r="AC61" i="10"/>
  <c r="X61" i="10" s="1"/>
  <c r="AH65" i="11"/>
  <c r="DF64" i="5"/>
  <c r="AM65" i="1"/>
  <c r="DB64" i="5"/>
  <c r="DE64" i="5"/>
  <c r="AU66" i="8"/>
  <c r="AE66" i="8"/>
  <c r="W63" i="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CA67" i="14" s="1"/>
  <c r="A67" i="7"/>
  <c r="R67" i="7" s="1"/>
  <c r="A67" i="5"/>
  <c r="A67" i="8"/>
  <c r="A67" i="9"/>
  <c r="A67" i="2"/>
  <c r="AF63" i="1"/>
  <c r="AK65" i="11"/>
  <c r="BU64" i="5"/>
  <c r="B64" i="1"/>
  <c r="BG64" i="1" s="1"/>
  <c r="B64" i="2"/>
  <c r="AH64" i="5"/>
  <c r="BZ66" i="11"/>
  <c r="K65" i="10"/>
  <c r="AA65" i="7"/>
  <c r="AF65" i="8" s="1"/>
  <c r="AV65" i="8" s="1"/>
  <c r="L65" i="11"/>
  <c r="I65" i="5"/>
  <c r="D64" i="10"/>
  <c r="F64" i="7"/>
  <c r="K65" i="5"/>
  <c r="F64" i="10"/>
  <c r="H64" i="7"/>
  <c r="DD64" i="5"/>
  <c r="J65" i="5"/>
  <c r="DC65" i="5" s="1"/>
  <c r="E64" i="10"/>
  <c r="G64" i="7"/>
  <c r="G65" i="5"/>
  <c r="D64" i="7"/>
  <c r="B64" i="10"/>
  <c r="H65" i="5"/>
  <c r="C64" i="10"/>
  <c r="E64" i="7"/>
  <c r="L65" i="5"/>
  <c r="G64" i="10"/>
  <c r="I64" i="7"/>
  <c r="B64" i="5"/>
  <c r="M65" i="5"/>
  <c r="H64" i="10"/>
  <c r="J64" i="7"/>
  <c r="CS59" i="8"/>
  <c r="CU60" i="8"/>
  <c r="DB60" i="8"/>
  <c r="D62" i="9"/>
  <c r="CI61" i="8"/>
  <c r="DA61" i="8" s="1"/>
  <c r="DH62" i="8"/>
  <c r="DI62" i="8" s="1"/>
  <c r="CE60" i="8"/>
  <c r="CK62" i="8"/>
  <c r="BW62" i="8"/>
  <c r="AC62" i="1" s="1"/>
  <c r="N61" i="7"/>
  <c r="BH62" i="8"/>
  <c r="BU62" i="8" s="1"/>
  <c r="BI62" i="8"/>
  <c r="AH73" i="9"/>
  <c r="CZ64" i="5"/>
  <c r="CH61" i="8"/>
  <c r="CZ61" i="8" s="1"/>
  <c r="CB61" i="8"/>
  <c r="CT61" i="8" s="1"/>
  <c r="BY61" i="8"/>
  <c r="CQ61" i="8" s="1"/>
  <c r="BZ61" i="8"/>
  <c r="CR61" i="8" s="1"/>
  <c r="CC61" i="8"/>
  <c r="CA61" i="8"/>
  <c r="AC60" i="11"/>
  <c r="U60" i="8" s="1"/>
  <c r="Y60" i="11"/>
  <c r="AH60" i="1" s="1"/>
  <c r="AA60" i="11"/>
  <c r="AK60" i="1" s="1"/>
  <c r="AB60" i="11"/>
  <c r="Q60" i="8" s="1"/>
  <c r="AD60" i="11"/>
  <c r="AI60" i="1" s="1"/>
  <c r="N61" i="11"/>
  <c r="Z60" i="11"/>
  <c r="Q61" i="7"/>
  <c r="AE61" i="7"/>
  <c r="AF61" i="7" s="1"/>
  <c r="C63" i="5"/>
  <c r="F63" i="5" s="1"/>
  <c r="B62" i="9"/>
  <c r="Y62" i="9" s="1"/>
  <c r="AI62" i="5"/>
  <c r="A62" i="11"/>
  <c r="AC62" i="8"/>
  <c r="BQ62" i="8" s="1"/>
  <c r="BT62" i="5"/>
  <c r="A62" i="10"/>
  <c r="AA62" i="10" s="1"/>
  <c r="B62" i="7"/>
  <c r="X62" i="8"/>
  <c r="DD62" i="8" s="1"/>
  <c r="E62" i="1"/>
  <c r="AJ62" i="5"/>
  <c r="AP62" i="5" s="1"/>
  <c r="AB64" i="1"/>
  <c r="DI64" i="5"/>
  <c r="DA63" i="5"/>
  <c r="DG63" i="5" s="1" a="1"/>
  <c r="DG63" i="5" s="1"/>
  <c r="AG73" i="9"/>
  <c r="AK73" i="9"/>
  <c r="AE135" i="9"/>
  <c r="N49" i="1"/>
  <c r="S66" i="2"/>
  <c r="N67" i="2"/>
  <c r="R67" i="2"/>
  <c r="Q66" i="2"/>
  <c r="P68" i="2"/>
  <c r="J68" i="10"/>
  <c r="N68" i="5" s="1"/>
  <c r="AN74" i="9" l="1"/>
  <c r="BK75" i="11" s="1"/>
  <c r="AI75" i="11" s="1"/>
  <c r="CX60" i="8"/>
  <c r="CY60" i="8" s="1"/>
  <c r="CV61" i="8"/>
  <c r="CW61" i="8" s="1"/>
  <c r="AS61" i="8"/>
  <c r="AQ89" i="9"/>
  <c r="CM89" i="8" s="1"/>
  <c r="AO62" i="5"/>
  <c r="AM62" i="5"/>
  <c r="AN62" i="5"/>
  <c r="AR62" i="5" s="1"/>
  <c r="AV63" i="5"/>
  <c r="AW63" i="5"/>
  <c r="AG61" i="7"/>
  <c r="AI61" i="7" s="1"/>
  <c r="CL63" i="8"/>
  <c r="AI85" i="9"/>
  <c r="AO85" i="8" s="1"/>
  <c r="G68" i="8"/>
  <c r="CF67" i="8"/>
  <c r="O67" i="2"/>
  <c r="AQ61" i="5"/>
  <c r="AS66" i="5"/>
  <c r="AD65" i="1"/>
  <c r="BA67" i="5" a="1"/>
  <c r="BA67" i="5" s="1"/>
  <c r="AZ67" i="5" a="1"/>
  <c r="AZ67" i="5" s="1"/>
  <c r="BB67" i="5" a="1"/>
  <c r="BB67" i="5" s="1"/>
  <c r="AM74" i="9"/>
  <c r="K74" i="8" s="1"/>
  <c r="BR62" i="8"/>
  <c r="BS62" i="8"/>
  <c r="BJ67" i="5" a="1"/>
  <c r="BJ67" i="5" s="1"/>
  <c r="BG67" i="5" a="1"/>
  <c r="BG67" i="5" s="1"/>
  <c r="BI67" i="5" a="1"/>
  <c r="BI67" i="5" s="1"/>
  <c r="BE67" i="5" a="1"/>
  <c r="BE67" i="5" s="1"/>
  <c r="BO67" i="5" a="1"/>
  <c r="BO67" i="5" s="1"/>
  <c r="BD67" i="5" a="1"/>
  <c r="BD67" i="5" s="1"/>
  <c r="BF67" i="5" a="1"/>
  <c r="BF67" i="5" s="1"/>
  <c r="AE66" i="1" s="1"/>
  <c r="BK67" i="5" a="1"/>
  <c r="BK67" i="5" s="1"/>
  <c r="BH67" i="5" a="1"/>
  <c r="BH67" i="5" s="1"/>
  <c r="CT67" i="5"/>
  <c r="CS67" i="5"/>
  <c r="CV67" i="5"/>
  <c r="CW67" i="5"/>
  <c r="CR67" i="5"/>
  <c r="CU67" i="5"/>
  <c r="CQ67" i="5"/>
  <c r="AY67" i="5" a="1"/>
  <c r="AY67" i="5" s="1"/>
  <c r="BL67" i="5" a="1"/>
  <c r="BL67" i="5" s="1"/>
  <c r="BQ67" i="5" a="1"/>
  <c r="BQ67" i="5" s="1"/>
  <c r="BM67" i="5" a="1"/>
  <c r="BM67" i="5" s="1"/>
  <c r="BN67" i="5" a="1"/>
  <c r="BN67" i="5" s="1"/>
  <c r="BC67" i="5" a="1"/>
  <c r="BC67" i="5" s="1"/>
  <c r="V65" i="2"/>
  <c r="F70" i="8"/>
  <c r="BP66" i="5" a="1"/>
  <c r="BP66" i="5" s="1"/>
  <c r="J66" i="2" s="1"/>
  <c r="O71" i="1"/>
  <c r="CD61" i="8"/>
  <c r="BX62" i="8"/>
  <c r="CD62" i="8" s="1"/>
  <c r="BT62" i="8"/>
  <c r="BO62" i="8"/>
  <c r="BP62" i="8"/>
  <c r="BM62" i="8"/>
  <c r="BN62" i="8"/>
  <c r="BK62" i="8"/>
  <c r="BL62" i="8"/>
  <c r="BJ62" i="8"/>
  <c r="AC62" i="10"/>
  <c r="X62" i="10" s="1"/>
  <c r="AH66" i="11"/>
  <c r="AK66" i="11"/>
  <c r="DF65" i="5"/>
  <c r="DE65" i="5"/>
  <c r="AM66" i="1"/>
  <c r="DB65" i="5"/>
  <c r="AF64" i="1"/>
  <c r="W64" i="1"/>
  <c r="Y64" i="1"/>
  <c r="DJ65" i="5"/>
  <c r="AE67" i="8"/>
  <c r="AU67" i="8"/>
  <c r="AJ66" i="1"/>
  <c r="K68" i="11"/>
  <c r="A68" i="14"/>
  <c r="CA68" i="14" s="1"/>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J67" i="14" a="1"/>
  <c r="AJ67" i="14" s="1"/>
  <c r="Q67" i="14" a="1"/>
  <c r="Q67" i="14" s="1"/>
  <c r="AM67" i="14" a="1"/>
  <c r="AM67" i="14" s="1"/>
  <c r="BX67" i="14" a="1"/>
  <c r="BX67" i="14" s="1"/>
  <c r="B65" i="5"/>
  <c r="B65" i="2"/>
  <c r="B65" i="1"/>
  <c r="BG65" i="1" s="1"/>
  <c r="BU65" i="5"/>
  <c r="AH65" i="5"/>
  <c r="BZ67" i="11"/>
  <c r="AA66" i="7"/>
  <c r="AF66" i="8" s="1"/>
  <c r="AV66" i="8" s="1"/>
  <c r="K66" i="10"/>
  <c r="L66" i="11"/>
  <c r="H66" i="5"/>
  <c r="C65" i="10"/>
  <c r="E65" i="7"/>
  <c r="M66" i="5"/>
  <c r="H65" i="10"/>
  <c r="J65" i="7"/>
  <c r="G66" i="5"/>
  <c r="B65" i="10"/>
  <c r="D65" i="7"/>
  <c r="K66" i="5"/>
  <c r="F65" i="10"/>
  <c r="H65" i="7"/>
  <c r="DD65" i="5"/>
  <c r="L66" i="5"/>
  <c r="G65" i="10"/>
  <c r="I65" i="7"/>
  <c r="J66" i="5"/>
  <c r="DC66" i="5" s="1"/>
  <c r="E65" i="10"/>
  <c r="G65" i="7"/>
  <c r="I66" i="5"/>
  <c r="D65" i="10"/>
  <c r="F65" i="7"/>
  <c r="CU61" i="8"/>
  <c r="CS60" i="8"/>
  <c r="D63" i="9"/>
  <c r="CI62" i="8"/>
  <c r="DA62" i="8" s="1"/>
  <c r="DB61" i="8"/>
  <c r="DH63" i="8"/>
  <c r="DI63" i="8" s="1"/>
  <c r="CK63" i="8"/>
  <c r="BW63" i="8"/>
  <c r="AC63" i="1" s="1"/>
  <c r="N62" i="7"/>
  <c r="BH63" i="8"/>
  <c r="BU63" i="8" s="1"/>
  <c r="BI63" i="8"/>
  <c r="AH74" i="9"/>
  <c r="AJ63" i="5"/>
  <c r="AP63" i="5" s="1"/>
  <c r="X63" i="8"/>
  <c r="DD63" i="8" s="1"/>
  <c r="E63" i="1"/>
  <c r="A63" i="10"/>
  <c r="AA63" i="10" s="1"/>
  <c r="B63" i="7"/>
  <c r="AI63" i="5"/>
  <c r="B63" i="9"/>
  <c r="Y63" i="9" s="1"/>
  <c r="A63" i="11"/>
  <c r="AC63" i="8"/>
  <c r="BQ63" i="8" s="1"/>
  <c r="BT63" i="5"/>
  <c r="B61" i="14"/>
  <c r="N62" i="11"/>
  <c r="Z61" i="11"/>
  <c r="Y61" i="11"/>
  <c r="AH61" i="1" s="1"/>
  <c r="AB61" i="11"/>
  <c r="Q61" i="8" s="1"/>
  <c r="AA61" i="11"/>
  <c r="AK61" i="1" s="1"/>
  <c r="AC61" i="11"/>
  <c r="U61" i="8" s="1"/>
  <c r="AD61" i="11"/>
  <c r="AI61" i="1" s="1"/>
  <c r="CZ65" i="5"/>
  <c r="CC62" i="8"/>
  <c r="CH62" i="8"/>
  <c r="CZ62" i="8" s="1"/>
  <c r="CA62" i="8"/>
  <c r="CB62" i="8"/>
  <c r="CT62" i="8" s="1"/>
  <c r="BY62" i="8"/>
  <c r="CQ62" i="8" s="1"/>
  <c r="BZ62" i="8"/>
  <c r="CR62" i="8" s="1"/>
  <c r="C64" i="5"/>
  <c r="F64" i="5" s="1"/>
  <c r="AE62" i="7"/>
  <c r="AF62" i="7" s="1"/>
  <c r="Q62" i="7"/>
  <c r="C65" i="5"/>
  <c r="DA64" i="5"/>
  <c r="DG64" i="5" s="1" a="1"/>
  <c r="DG64" i="5" s="1"/>
  <c r="AB65" i="1"/>
  <c r="DI65" i="5"/>
  <c r="AG74" i="9"/>
  <c r="AK74" i="9"/>
  <c r="AE136" i="9"/>
  <c r="N50" i="1"/>
  <c r="S67" i="2"/>
  <c r="N68" i="2"/>
  <c r="R68" i="2"/>
  <c r="Q67" i="2"/>
  <c r="J69" i="10"/>
  <c r="N69" i="5" s="1"/>
  <c r="P69" i="2"/>
  <c r="AN75" i="9" l="1"/>
  <c r="BK76" i="11" s="1"/>
  <c r="AI76" i="11" s="1"/>
  <c r="CV62" i="8"/>
  <c r="CW62" i="8" s="1"/>
  <c r="AS62" i="8"/>
  <c r="AQ90" i="9"/>
  <c r="CM90" i="8" s="1"/>
  <c r="AO63" i="5"/>
  <c r="AM63" i="5"/>
  <c r="AN63" i="5"/>
  <c r="AR63" i="5" s="1"/>
  <c r="AV64" i="5"/>
  <c r="AW64" i="5"/>
  <c r="AG62" i="7"/>
  <c r="AI62" i="7" s="1"/>
  <c r="CL64" i="8"/>
  <c r="AI86" i="9"/>
  <c r="AO86" i="8" s="1"/>
  <c r="G69" i="8"/>
  <c r="CF68" i="8"/>
  <c r="O68" i="2"/>
  <c r="AQ62" i="5"/>
  <c r="AS67" i="5"/>
  <c r="AM75" i="9"/>
  <c r="K75" i="8" s="1"/>
  <c r="BR63" i="8"/>
  <c r="BS63" i="8"/>
  <c r="AD66" i="1"/>
  <c r="BH68" i="5" a="1"/>
  <c r="BH68" i="5" s="1"/>
  <c r="BK68" i="5" a="1"/>
  <c r="BK68" i="5" s="1"/>
  <c r="BC68" i="5" a="1"/>
  <c r="BC68" i="5" s="1"/>
  <c r="BF68" i="5" a="1"/>
  <c r="BF68" i="5" s="1"/>
  <c r="AE67" i="1" s="1"/>
  <c r="BN68" i="5" a="1"/>
  <c r="BN68" i="5" s="1"/>
  <c r="BD68" i="5" a="1"/>
  <c r="BD68" i="5" s="1"/>
  <c r="BM68" i="5" a="1"/>
  <c r="BM68" i="5" s="1"/>
  <c r="BO68" i="5" a="1"/>
  <c r="BO68" i="5" s="1"/>
  <c r="BQ68" i="5" a="1"/>
  <c r="BQ68" i="5" s="1"/>
  <c r="BE68" i="5" a="1"/>
  <c r="BE68" i="5" s="1"/>
  <c r="CS68" i="5"/>
  <c r="CT68" i="5"/>
  <c r="CR68" i="5"/>
  <c r="CQ68" i="5"/>
  <c r="CW68" i="5"/>
  <c r="CV68" i="5"/>
  <c r="CU68" i="5"/>
  <c r="AY68" i="5" a="1"/>
  <c r="AY68" i="5" s="1"/>
  <c r="BL68" i="5" a="1"/>
  <c r="BL68" i="5" s="1"/>
  <c r="BI68" i="5" a="1"/>
  <c r="BI68" i="5" s="1"/>
  <c r="BG68" i="5" a="1"/>
  <c r="BG68" i="5" s="1"/>
  <c r="BB68" i="5" a="1"/>
  <c r="BB68" i="5" s="1"/>
  <c r="BJ68" i="5" a="1"/>
  <c r="BJ68" i="5" s="1"/>
  <c r="AZ68" i="5" a="1"/>
  <c r="AZ68" i="5" s="1"/>
  <c r="BA68" i="5" a="1"/>
  <c r="BA68" i="5" s="1"/>
  <c r="V66" i="2"/>
  <c r="CY61" i="8"/>
  <c r="F71" i="8"/>
  <c r="BP67" i="5" a="1"/>
  <c r="BP67" i="5" s="1"/>
  <c r="J67" i="2" s="1"/>
  <c r="O72" i="1"/>
  <c r="CE62" i="8"/>
  <c r="BT63" i="8"/>
  <c r="BO63" i="8"/>
  <c r="BP63" i="8"/>
  <c r="BM63" i="8"/>
  <c r="BN63" i="8"/>
  <c r="BK63" i="8"/>
  <c r="BL63" i="8"/>
  <c r="BJ63" i="8"/>
  <c r="AC63" i="10"/>
  <c r="X63" i="10" s="1"/>
  <c r="AH67" i="11"/>
  <c r="DF66" i="5"/>
  <c r="DE66" i="5"/>
  <c r="AJ67" i="1"/>
  <c r="AM67" i="1"/>
  <c r="DB66" i="5"/>
  <c r="DH66" i="5"/>
  <c r="Y65" i="1"/>
  <c r="DJ66" i="5"/>
  <c r="K69" i="11"/>
  <c r="A69" i="14"/>
  <c r="CA69" i="14" s="1"/>
  <c r="A69" i="9"/>
  <c r="A69" i="7"/>
  <c r="R69" i="7" s="1"/>
  <c r="A69" i="5"/>
  <c r="A69" i="2"/>
  <c r="A69" i="8"/>
  <c r="AK67" i="11"/>
  <c r="AU68" i="8"/>
  <c r="AE68" i="8"/>
  <c r="W65" i="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P68" i="14" a="1"/>
  <c r="P68" i="14" s="1"/>
  <c r="CS61" i="8"/>
  <c r="F65" i="5"/>
  <c r="B66" i="5"/>
  <c r="BZ68" i="11"/>
  <c r="AA67" i="7"/>
  <c r="AF67" i="8" s="1"/>
  <c r="AV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U62" i="8"/>
  <c r="DB62" i="8"/>
  <c r="CI63" i="8"/>
  <c r="DA63" i="8" s="1"/>
  <c r="D64" i="9"/>
  <c r="DH64" i="8"/>
  <c r="DI64" i="8" s="1"/>
  <c r="CK64" i="8"/>
  <c r="BW64" i="8"/>
  <c r="AC64" i="1" s="1"/>
  <c r="BX63" i="8"/>
  <c r="CD63" i="8" s="1"/>
  <c r="N63" i="7"/>
  <c r="BH64" i="8"/>
  <c r="BU64" i="8" s="1"/>
  <c r="BI64" i="8"/>
  <c r="AH75" i="9"/>
  <c r="AA62" i="11"/>
  <c r="AK62" i="1" s="1"/>
  <c r="Z62" i="11"/>
  <c r="AB62" i="11"/>
  <c r="Q62" i="8" s="1"/>
  <c r="AD62" i="11"/>
  <c r="AI62" i="1" s="1"/>
  <c r="AC62" i="11"/>
  <c r="U62" i="8" s="1"/>
  <c r="Y62" i="11"/>
  <c r="AH62" i="1" s="1"/>
  <c r="N63" i="11"/>
  <c r="CA63" i="8"/>
  <c r="CB63" i="8"/>
  <c r="CT63" i="8" s="1"/>
  <c r="BY63" i="8"/>
  <c r="CQ63" i="8" s="1"/>
  <c r="BZ63" i="8"/>
  <c r="CR63" i="8" s="1"/>
  <c r="CC63" i="8"/>
  <c r="CH63" i="8"/>
  <c r="CZ63" i="8" s="1"/>
  <c r="B62" i="14"/>
  <c r="Q63" i="7"/>
  <c r="AE63" i="7"/>
  <c r="AF63" i="7" s="1"/>
  <c r="CZ66" i="5"/>
  <c r="AI64" i="5"/>
  <c r="B64" i="9"/>
  <c r="Y64" i="9" s="1"/>
  <c r="B64" i="7"/>
  <c r="A64" i="11"/>
  <c r="A64" i="10"/>
  <c r="AA64" i="10" s="1"/>
  <c r="AC64" i="8"/>
  <c r="BQ64" i="8" s="1"/>
  <c r="BT64" i="5"/>
  <c r="AJ64" i="5"/>
  <c r="AP64" i="5" s="1"/>
  <c r="X64" i="8"/>
  <c r="DD64" i="8" s="1"/>
  <c r="E64" i="1"/>
  <c r="AB66" i="1"/>
  <c r="DI66" i="5"/>
  <c r="C66" i="5"/>
  <c r="DA65" i="5"/>
  <c r="DG65" i="5" s="1" a="1"/>
  <c r="DG65" i="5" s="1"/>
  <c r="AG75" i="9"/>
  <c r="AK75" i="9"/>
  <c r="N51" i="1"/>
  <c r="S68" i="2"/>
  <c r="N69" i="2"/>
  <c r="R69" i="2"/>
  <c r="Q68" i="2"/>
  <c r="J70" i="10"/>
  <c r="N70" i="5" s="1"/>
  <c r="P70" i="2"/>
  <c r="AN76" i="9" l="1"/>
  <c r="BK77" i="11" s="1"/>
  <c r="AI77" i="11" s="1"/>
  <c r="CX62" i="8"/>
  <c r="CY62" i="8" s="1"/>
  <c r="CV63" i="8"/>
  <c r="CW63" i="8" s="1"/>
  <c r="AS63" i="8"/>
  <c r="AQ91" i="9"/>
  <c r="CM91" i="8" s="1"/>
  <c r="AO64" i="5"/>
  <c r="AM64" i="5"/>
  <c r="AN64" i="5"/>
  <c r="AR64" i="5" s="1"/>
  <c r="AV65" i="5"/>
  <c r="AW65" i="5"/>
  <c r="AG63" i="7"/>
  <c r="AI63" i="7" s="1"/>
  <c r="CL65" i="8"/>
  <c r="AI87" i="9"/>
  <c r="AO87" i="8" s="1"/>
  <c r="G70" i="8"/>
  <c r="CF69" i="8"/>
  <c r="O69" i="2"/>
  <c r="AQ63" i="5"/>
  <c r="AS68" i="5"/>
  <c r="BD69" i="5" a="1"/>
  <c r="BD69" i="5" s="1"/>
  <c r="BG69" i="5" a="1"/>
  <c r="BG69" i="5" s="1"/>
  <c r="AM76" i="9"/>
  <c r="K76" i="8" s="1"/>
  <c r="BR64" i="8"/>
  <c r="BS64" i="8"/>
  <c r="AD67" i="1"/>
  <c r="BA69" i="5" a="1"/>
  <c r="BA69" i="5" s="1"/>
  <c r="BE69" i="5" a="1"/>
  <c r="BE69" i="5" s="1"/>
  <c r="AZ69" i="5" a="1"/>
  <c r="AZ69" i="5" s="1"/>
  <c r="BQ69" i="5" a="1"/>
  <c r="BQ69" i="5" s="1"/>
  <c r="BJ69" i="5" a="1"/>
  <c r="BJ69" i="5" s="1"/>
  <c r="BO69" i="5" a="1"/>
  <c r="BO69" i="5" s="1"/>
  <c r="BB69" i="5" a="1"/>
  <c r="BB69" i="5" s="1"/>
  <c r="BM69" i="5" a="1"/>
  <c r="BM69" i="5" s="1"/>
  <c r="BN69" i="5" a="1"/>
  <c r="BN69" i="5" s="1"/>
  <c r="BI69" i="5" a="1"/>
  <c r="BI69" i="5" s="1"/>
  <c r="BF69" i="5" a="1"/>
  <c r="BF69" i="5" s="1"/>
  <c r="AE68" i="1" s="1"/>
  <c r="BC69" i="5" a="1"/>
  <c r="BC69" i="5" s="1"/>
  <c r="CT69" i="5"/>
  <c r="CS69" i="5"/>
  <c r="CV69" i="5"/>
  <c r="CR69" i="5"/>
  <c r="CQ69" i="5"/>
  <c r="CW69" i="5"/>
  <c r="CU69" i="5"/>
  <c r="AY69" i="5" a="1"/>
  <c r="AY69" i="5" s="1"/>
  <c r="BL69" i="5" a="1"/>
  <c r="BL69" i="5" s="1"/>
  <c r="BK69" i="5" a="1"/>
  <c r="BK69" i="5" s="1"/>
  <c r="BH69" i="5" a="1"/>
  <c r="BH69" i="5" s="1"/>
  <c r="V67" i="2"/>
  <c r="F72" i="8"/>
  <c r="BP68" i="5" a="1"/>
  <c r="BP68" i="5" s="1"/>
  <c r="J68" i="2" s="1"/>
  <c r="O73" i="1"/>
  <c r="BX64" i="8"/>
  <c r="CE64" i="8" s="1"/>
  <c r="CX64" i="8" s="1"/>
  <c r="BT64" i="8"/>
  <c r="BO64" i="8"/>
  <c r="BP64" i="8"/>
  <c r="BM64" i="8"/>
  <c r="BN64" i="8"/>
  <c r="BK64" i="8"/>
  <c r="BL64" i="8"/>
  <c r="BJ64" i="8"/>
  <c r="AC64" i="10"/>
  <c r="X64" i="10" s="1"/>
  <c r="AH68" i="11"/>
  <c r="DF67" i="5"/>
  <c r="AJ68" i="1"/>
  <c r="DE67" i="5"/>
  <c r="AE69" i="8"/>
  <c r="AU69" i="8"/>
  <c r="W66" i="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CA70" i="14" s="1"/>
  <c r="A70" i="5"/>
  <c r="A70" i="9"/>
  <c r="A70" i="7"/>
  <c r="R70" i="7" s="1"/>
  <c r="A70" i="2"/>
  <c r="A70" i="8"/>
  <c r="AF66" i="1"/>
  <c r="AK68" i="11"/>
  <c r="AC65" i="8"/>
  <c r="BQ65" i="8" s="1"/>
  <c r="BW65" i="8"/>
  <c r="AI65" i="5"/>
  <c r="CS62" i="8"/>
  <c r="B65" i="9"/>
  <c r="Y65" i="9" s="1"/>
  <c r="AJ65" i="5"/>
  <c r="AP65" i="5" s="1"/>
  <c r="BI65" i="8"/>
  <c r="B65" i="7"/>
  <c r="Q65" i="7" s="1"/>
  <c r="BH65" i="8"/>
  <c r="BU65" i="8" s="1"/>
  <c r="BT65" i="5"/>
  <c r="A65" i="10"/>
  <c r="AA65" i="10" s="1"/>
  <c r="DH65" i="8"/>
  <c r="DI65" i="8" s="1"/>
  <c r="F66" i="5"/>
  <c r="CK65" i="8"/>
  <c r="E65" i="1"/>
  <c r="A65" i="11"/>
  <c r="AB64" i="11" s="1"/>
  <c r="Q64" i="8" s="1"/>
  <c r="X65" i="8"/>
  <c r="DD65" i="8" s="1"/>
  <c r="B67" i="2"/>
  <c r="B67" i="1"/>
  <c r="BG67" i="1" s="1"/>
  <c r="AH67" i="5"/>
  <c r="BU67" i="5"/>
  <c r="BZ69" i="11"/>
  <c r="AA68" i="7"/>
  <c r="AF68" i="8" s="1"/>
  <c r="AV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U63" i="8"/>
  <c r="DB63" i="8"/>
  <c r="D65" i="9"/>
  <c r="CI64" i="8"/>
  <c r="DA64" i="8" s="1"/>
  <c r="CE63" i="8"/>
  <c r="N64" i="7"/>
  <c r="AH76" i="9"/>
  <c r="AD63" i="11"/>
  <c r="AI63" i="1" s="1"/>
  <c r="AB63" i="11"/>
  <c r="Q63" i="8" s="1"/>
  <c r="AC63" i="11"/>
  <c r="U63" i="8" s="1"/>
  <c r="Y63" i="11"/>
  <c r="AH63" i="1" s="1"/>
  <c r="N64" i="11"/>
  <c r="Z63" i="11"/>
  <c r="AA63" i="11"/>
  <c r="AK63" i="1" s="1"/>
  <c r="Q64" i="7"/>
  <c r="AE64" i="7"/>
  <c r="AF64" i="7" s="1"/>
  <c r="CZ67" i="5"/>
  <c r="B63" i="14"/>
  <c r="BY64" i="8"/>
  <c r="CQ64" i="8" s="1"/>
  <c r="BZ64" i="8"/>
  <c r="CR64" i="8" s="1"/>
  <c r="CH64" i="8"/>
  <c r="CZ64" i="8" s="1"/>
  <c r="CC64" i="8"/>
  <c r="CA64" i="8"/>
  <c r="CB64" i="8"/>
  <c r="CT64" i="8" s="1"/>
  <c r="DA66" i="5"/>
  <c r="DG66" i="5" s="1" a="1"/>
  <c r="DG66" i="5" s="1"/>
  <c r="AB67" i="1"/>
  <c r="DI67" i="5"/>
  <c r="AG76" i="9"/>
  <c r="AK76" i="9"/>
  <c r="N52" i="1"/>
  <c r="S69" i="2"/>
  <c r="N70" i="2"/>
  <c r="R70" i="2"/>
  <c r="Q69" i="2"/>
  <c r="J71" i="10"/>
  <c r="N71" i="5" s="1"/>
  <c r="P71" i="2"/>
  <c r="AN77" i="9" l="1"/>
  <c r="BK78" i="11" s="1"/>
  <c r="AI78" i="11" s="1"/>
  <c r="CX63" i="8"/>
  <c r="CY63" i="8" s="1"/>
  <c r="CV64" i="8"/>
  <c r="CW64" i="8" s="1"/>
  <c r="AS64" i="8"/>
  <c r="AQ92" i="9"/>
  <c r="CM92" i="8" s="1"/>
  <c r="AO65" i="5"/>
  <c r="AM65" i="5"/>
  <c r="AN65" i="5"/>
  <c r="AR65" i="5" s="1"/>
  <c r="AV66" i="5"/>
  <c r="AW66" i="5"/>
  <c r="AG64" i="7"/>
  <c r="AI64" i="7" s="1"/>
  <c r="B69" i="4"/>
  <c r="CL66" i="8"/>
  <c r="CA65" i="8"/>
  <c r="AC65" i="1"/>
  <c r="AI88" i="9"/>
  <c r="AO88" i="8" s="1"/>
  <c r="G71" i="8"/>
  <c r="CF70" i="8"/>
  <c r="O70" i="2"/>
  <c r="AQ64" i="5"/>
  <c r="AS69" i="5"/>
  <c r="BD70" i="5" a="1"/>
  <c r="BD70" i="5" s="1"/>
  <c r="BI70" i="5" a="1"/>
  <c r="BI70" i="5" s="1"/>
  <c r="BN70" i="5" a="1"/>
  <c r="BN70" i="5" s="1"/>
  <c r="BC70" i="5" a="1"/>
  <c r="BC70" i="5" s="1"/>
  <c r="AM77" i="9"/>
  <c r="K77" i="8" s="1"/>
  <c r="BR65" i="8"/>
  <c r="BS65" i="8"/>
  <c r="AD68" i="1"/>
  <c r="BF70" i="5" a="1"/>
  <c r="BF70" i="5" s="1"/>
  <c r="AE69" i="1" s="1"/>
  <c r="BG70" i="5" a="1"/>
  <c r="BG70" i="5" s="1"/>
  <c r="BH70" i="5" a="1"/>
  <c r="BH70" i="5" s="1"/>
  <c r="BK70" i="5" a="1"/>
  <c r="BK70" i="5" s="1"/>
  <c r="BM70" i="5" a="1"/>
  <c r="BM70" i="5" s="1"/>
  <c r="BB70" i="5" a="1"/>
  <c r="BB70" i="5" s="1"/>
  <c r="BO70" i="5" a="1"/>
  <c r="BO70" i="5" s="1"/>
  <c r="BJ70" i="5" a="1"/>
  <c r="BJ70" i="5" s="1"/>
  <c r="BQ70" i="5" a="1"/>
  <c r="BQ70" i="5" s="1"/>
  <c r="AZ70" i="5" a="1"/>
  <c r="AZ70" i="5" s="1"/>
  <c r="CW70" i="5"/>
  <c r="CT70" i="5"/>
  <c r="CR70" i="5"/>
  <c r="CS70" i="5"/>
  <c r="CQ70" i="5"/>
  <c r="CU70" i="5"/>
  <c r="CV70" i="5"/>
  <c r="BL70" i="5" a="1"/>
  <c r="BL70" i="5" s="1"/>
  <c r="AY70" i="5" a="1"/>
  <c r="AY70" i="5" s="1"/>
  <c r="BE70" i="5" a="1"/>
  <c r="BE70" i="5" s="1"/>
  <c r="BA70" i="5" a="1"/>
  <c r="BA70" i="5" s="1"/>
  <c r="V68" i="2"/>
  <c r="F73" i="8"/>
  <c r="CD64" i="8"/>
  <c r="BP69" i="5" a="1"/>
  <c r="BP69" i="5" s="1"/>
  <c r="J69" i="2" s="1"/>
  <c r="O74" i="1"/>
  <c r="BT65" i="8"/>
  <c r="BO65" i="8"/>
  <c r="BP65" i="8"/>
  <c r="BM65" i="8"/>
  <c r="BN65" i="8"/>
  <c r="BK65" i="8"/>
  <c r="BL65" i="8"/>
  <c r="BJ65" i="8"/>
  <c r="AH69" i="11"/>
  <c r="AC65" i="10"/>
  <c r="X65" i="10" s="1"/>
  <c r="BW66" i="8"/>
  <c r="DF68" i="5"/>
  <c r="AK69" i="11"/>
  <c r="AJ69" i="1"/>
  <c r="DB68" i="5"/>
  <c r="DE68" i="5"/>
  <c r="AE70" i="8"/>
  <c r="AU70" i="8"/>
  <c r="W67" i="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CA71" i="14" s="1"/>
  <c r="A71" i="5"/>
  <c r="A71" i="9"/>
  <c r="A71" i="2"/>
  <c r="A71" i="7"/>
  <c r="R71" i="7" s="1"/>
  <c r="A71" i="8"/>
  <c r="DH68" i="5"/>
  <c r="BY65" i="8"/>
  <c r="CQ65" i="8" s="1"/>
  <c r="CB65" i="8"/>
  <c r="CT65" i="8" s="1"/>
  <c r="E66" i="1"/>
  <c r="CC65" i="8"/>
  <c r="BZ65" i="8"/>
  <c r="CR65" i="8" s="1"/>
  <c r="B66" i="7"/>
  <c r="AE66" i="7" s="1"/>
  <c r="AF66" i="7" s="1"/>
  <c r="B66" i="9"/>
  <c r="Y66" i="9" s="1"/>
  <c r="CH65" i="8"/>
  <c r="CZ65" i="8" s="1"/>
  <c r="BI66" i="8"/>
  <c r="DH66" i="8"/>
  <c r="DI66" i="8" s="1"/>
  <c r="X66" i="8"/>
  <c r="DD66" i="8" s="1"/>
  <c r="A66" i="11"/>
  <c r="Y65" i="11" s="1"/>
  <c r="AH65" i="1" s="1"/>
  <c r="A66" i="10"/>
  <c r="AA66" i="10" s="1"/>
  <c r="AJ66" i="5"/>
  <c r="AP66" i="5" s="1"/>
  <c r="CK66" i="8"/>
  <c r="BT66" i="5"/>
  <c r="BH66" i="8"/>
  <c r="BU66" i="8" s="1"/>
  <c r="AC66" i="8"/>
  <c r="BQ66" i="8" s="1"/>
  <c r="AI66" i="5"/>
  <c r="AC64" i="11"/>
  <c r="U64" i="8" s="1"/>
  <c r="D66" i="9"/>
  <c r="AA64" i="11"/>
  <c r="AK64" i="1" s="1"/>
  <c r="AD64" i="11"/>
  <c r="AI64" i="1" s="1"/>
  <c r="Z64" i="11"/>
  <c r="N65" i="11"/>
  <c r="Y64" i="11"/>
  <c r="AH64" i="1" s="1"/>
  <c r="N65" i="7"/>
  <c r="BX65" i="8"/>
  <c r="CD65" i="8" s="1"/>
  <c r="AE65" i="7"/>
  <c r="AF65" i="7" s="1"/>
  <c r="CI65" i="8"/>
  <c r="DA65" i="8" s="1"/>
  <c r="B68" i="5"/>
  <c r="CS63" i="8"/>
  <c r="BZ70" i="11"/>
  <c r="K69" i="10"/>
  <c r="AA69" i="7"/>
  <c r="AF69" i="8" s="1"/>
  <c r="AV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U64" i="8"/>
  <c r="DB64" i="8"/>
  <c r="AH77" i="9"/>
  <c r="CZ68" i="5"/>
  <c r="B64" i="14"/>
  <c r="C67" i="5"/>
  <c r="F67" i="5" s="1"/>
  <c r="AB68" i="1"/>
  <c r="DI68" i="5"/>
  <c r="DA67" i="5"/>
  <c r="DG67" i="5" s="1" a="1"/>
  <c r="DG67" i="5" s="1"/>
  <c r="AG77" i="9"/>
  <c r="AK77" i="9"/>
  <c r="N53" i="1"/>
  <c r="S70" i="2"/>
  <c r="N71" i="2"/>
  <c r="R71" i="2"/>
  <c r="Q70" i="2"/>
  <c r="J72" i="10"/>
  <c r="N72" i="5" s="1"/>
  <c r="P72" i="2"/>
  <c r="AN78" i="9" l="1"/>
  <c r="BK79" i="11" s="1"/>
  <c r="AI79" i="11" s="1"/>
  <c r="CV65" i="8"/>
  <c r="CW65" i="8" s="1"/>
  <c r="AS65" i="8"/>
  <c r="AQ93" i="9"/>
  <c r="CM93" i="8" s="1"/>
  <c r="AO66" i="5"/>
  <c r="AM66" i="5"/>
  <c r="AN66" i="5"/>
  <c r="AR66" i="5" s="1"/>
  <c r="AV67" i="5"/>
  <c r="AW67" i="5"/>
  <c r="AG66" i="7"/>
  <c r="AG65" i="7"/>
  <c r="AI65" i="7" s="1"/>
  <c r="CL67" i="8"/>
  <c r="CH66" i="8"/>
  <c r="CZ66" i="8" s="1"/>
  <c r="AC66" i="1"/>
  <c r="AI89" i="9"/>
  <c r="AO89" i="8" s="1"/>
  <c r="G72" i="8"/>
  <c r="CF71" i="8"/>
  <c r="O71" i="2"/>
  <c r="AS70" i="5"/>
  <c r="AQ65" i="5"/>
  <c r="BI71" i="5" a="1"/>
  <c r="BI71" i="5" s="1"/>
  <c r="AD69" i="1"/>
  <c r="BC71" i="5" a="1"/>
  <c r="BC71" i="5" s="1"/>
  <c r="BN71" i="5" a="1"/>
  <c r="BN71" i="5" s="1"/>
  <c r="BQ71" i="5" a="1"/>
  <c r="BQ71" i="5" s="1"/>
  <c r="AM78" i="9"/>
  <c r="K78" i="8" s="1"/>
  <c r="BR66" i="8"/>
  <c r="BS66" i="8"/>
  <c r="AZ71" i="5" a="1"/>
  <c r="AZ71" i="5" s="1"/>
  <c r="BJ71" i="5" a="1"/>
  <c r="BJ71" i="5" s="1"/>
  <c r="BO71" i="5" a="1"/>
  <c r="BO71" i="5" s="1"/>
  <c r="BA71" i="5" a="1"/>
  <c r="BA71" i="5" s="1"/>
  <c r="BB71" i="5" a="1"/>
  <c r="BB71" i="5" s="1"/>
  <c r="BE71" i="5" a="1"/>
  <c r="BE71" i="5" s="1"/>
  <c r="BM71" i="5" a="1"/>
  <c r="BM71" i="5" s="1"/>
  <c r="BK71" i="5" a="1"/>
  <c r="BK71" i="5" s="1"/>
  <c r="BH71" i="5" a="1"/>
  <c r="BH71" i="5" s="1"/>
  <c r="CW71" i="5"/>
  <c r="CR71" i="5"/>
  <c r="CQ71" i="5"/>
  <c r="CU71" i="5"/>
  <c r="CS71" i="5"/>
  <c r="CT71" i="5"/>
  <c r="CV71" i="5"/>
  <c r="AY71" i="5" a="1"/>
  <c r="AY71" i="5" s="1"/>
  <c r="BL71" i="5" a="1"/>
  <c r="BL71" i="5" s="1"/>
  <c r="BG71" i="5" a="1"/>
  <c r="BG71" i="5" s="1"/>
  <c r="BF71" i="5" a="1"/>
  <c r="BF71" i="5" s="1"/>
  <c r="AE70" i="1" s="1"/>
  <c r="BD71" i="5" a="1"/>
  <c r="BD71" i="5" s="1"/>
  <c r="V69" i="2"/>
  <c r="CY64" i="8"/>
  <c r="CU65" i="8"/>
  <c r="F74" i="8"/>
  <c r="BP70" i="5" a="1"/>
  <c r="BP70" i="5" s="1"/>
  <c r="J70" i="2" s="1"/>
  <c r="O75" i="1"/>
  <c r="BX66" i="8"/>
  <c r="CE66" i="8" s="1"/>
  <c r="CX66" i="8" s="1"/>
  <c r="BT66" i="8"/>
  <c r="BO66" i="8"/>
  <c r="BP66" i="8"/>
  <c r="BM66" i="8"/>
  <c r="BN66" i="8"/>
  <c r="BK66" i="8"/>
  <c r="BL66" i="8"/>
  <c r="BJ66" i="8"/>
  <c r="AC66" i="10"/>
  <c r="X66" i="10" s="1"/>
  <c r="AH70" i="11"/>
  <c r="CB66" i="8"/>
  <c r="CT66" i="8" s="1"/>
  <c r="BY66" i="8"/>
  <c r="CQ66" i="8" s="1"/>
  <c r="BZ66" i="8"/>
  <c r="CR66" i="8" s="1"/>
  <c r="CC66" i="8"/>
  <c r="DB69" i="5"/>
  <c r="CA66" i="8"/>
  <c r="DF69" i="5"/>
  <c r="DE69" i="5"/>
  <c r="AE71" i="8"/>
  <c r="AU71" i="8"/>
  <c r="W68" i="1"/>
  <c r="K72" i="11"/>
  <c r="A72" i="14"/>
  <c r="CA72" i="14" s="1"/>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A65" i="11"/>
  <c r="AK65" i="1" s="1"/>
  <c r="AC65" i="11"/>
  <c r="U65" i="8" s="1"/>
  <c r="N66" i="7"/>
  <c r="DB65" i="8"/>
  <c r="AD65" i="11"/>
  <c r="AI65" i="1" s="1"/>
  <c r="Q66" i="7"/>
  <c r="Z65" i="11"/>
  <c r="AB65" i="11"/>
  <c r="Q65" i="8" s="1"/>
  <c r="N66" i="11"/>
  <c r="D67" i="9"/>
  <c r="CI66" i="8"/>
  <c r="DA66" i="8" s="1"/>
  <c r="B65" i="14"/>
  <c r="CE65" i="8"/>
  <c r="CS64" i="8"/>
  <c r="B69" i="5"/>
  <c r="AH69" i="5"/>
  <c r="BU69" i="5"/>
  <c r="B69" i="1"/>
  <c r="BG69" i="1" s="1"/>
  <c r="B69" i="2"/>
  <c r="BZ71" i="11"/>
  <c r="K70" i="10"/>
  <c r="AA70" i="7"/>
  <c r="AF70" i="8" s="1"/>
  <c r="AV70" i="8" s="1"/>
  <c r="L70" i="11"/>
  <c r="I70" i="5"/>
  <c r="D69" i="10"/>
  <c r="F69" i="7"/>
  <c r="K70" i="5"/>
  <c r="F69" i="10"/>
  <c r="H69" i="7"/>
  <c r="DD69" i="5"/>
  <c r="H70" i="5"/>
  <c r="C69" i="10"/>
  <c r="E69" i="7"/>
  <c r="D69" i="7"/>
  <c r="G70" i="5"/>
  <c r="B69" i="10"/>
  <c r="L70" i="5"/>
  <c r="G69" i="10"/>
  <c r="I69" i="7"/>
  <c r="M70" i="5"/>
  <c r="H69" i="10"/>
  <c r="J69" i="7"/>
  <c r="J70" i="5"/>
  <c r="DC70" i="5" s="1"/>
  <c r="E69" i="10"/>
  <c r="G69" i="7"/>
  <c r="DH67" i="8"/>
  <c r="DI67" i="8" s="1"/>
  <c r="CK67" i="8"/>
  <c r="BW67" i="8"/>
  <c r="AC67" i="1" s="1"/>
  <c r="BH67" i="8"/>
  <c r="BU67" i="8" s="1"/>
  <c r="BI67" i="8"/>
  <c r="AH78" i="9"/>
  <c r="C68" i="5"/>
  <c r="F68" i="5" s="1"/>
  <c r="CZ69" i="5"/>
  <c r="AI67" i="5"/>
  <c r="B67" i="9"/>
  <c r="Y67" i="9" s="1"/>
  <c r="A67" i="11"/>
  <c r="AC67" i="8"/>
  <c r="BQ67" i="8" s="1"/>
  <c r="BT67" i="5"/>
  <c r="B67" i="7"/>
  <c r="X67" i="8"/>
  <c r="DD67" i="8" s="1"/>
  <c r="E67" i="1"/>
  <c r="A67" i="10"/>
  <c r="AA67" i="10" s="1"/>
  <c r="AJ67" i="5"/>
  <c r="AP67" i="5" s="1"/>
  <c r="DA68" i="5"/>
  <c r="DG68" i="5" s="1" a="1"/>
  <c r="DG68" i="5" s="1"/>
  <c r="AB69" i="1"/>
  <c r="DI69" i="5"/>
  <c r="AG78" i="9"/>
  <c r="AK78" i="9"/>
  <c r="N54" i="1"/>
  <c r="S71" i="2"/>
  <c r="N72" i="2"/>
  <c r="R72" i="2"/>
  <c r="Q71" i="2"/>
  <c r="P73" i="2"/>
  <c r="J73" i="10"/>
  <c r="N73" i="5" s="1"/>
  <c r="AN79" i="9" l="1"/>
  <c r="BK80" i="11" s="1"/>
  <c r="AI80" i="11" s="1"/>
  <c r="CX65" i="8"/>
  <c r="CY65" i="8" s="1"/>
  <c r="CV66" i="8"/>
  <c r="CW66" i="8" s="1"/>
  <c r="AS66" i="8"/>
  <c r="AQ94" i="9"/>
  <c r="CM94" i="8" s="1"/>
  <c r="AO67" i="5"/>
  <c r="AM67" i="5"/>
  <c r="AN67" i="5"/>
  <c r="AR67" i="5" s="1"/>
  <c r="AV68" i="5"/>
  <c r="AW68" i="5"/>
  <c r="AI66" i="7"/>
  <c r="DB66" i="8"/>
  <c r="CL68" i="8"/>
  <c r="AI90" i="9"/>
  <c r="AO90" i="8" s="1"/>
  <c r="G73" i="8"/>
  <c r="CF72" i="8"/>
  <c r="O72" i="2"/>
  <c r="AQ66" i="5"/>
  <c r="AS71" i="5"/>
  <c r="BQ72" i="5" a="1"/>
  <c r="BQ72" i="5" s="1"/>
  <c r="AD70" i="1"/>
  <c r="BH72" i="5" a="1"/>
  <c r="BH72" i="5" s="1"/>
  <c r="AM79" i="9"/>
  <c r="K79" i="8" s="1"/>
  <c r="BR67" i="8"/>
  <c r="BS67" i="8"/>
  <c r="BK72" i="5" a="1"/>
  <c r="BK72" i="5" s="1"/>
  <c r="BD72" i="5" a="1"/>
  <c r="BD72" i="5" s="1"/>
  <c r="CW72" i="5"/>
  <c r="CS72" i="5"/>
  <c r="CV72" i="5"/>
  <c r="CR72" i="5"/>
  <c r="CU72" i="5"/>
  <c r="CT72" i="5"/>
  <c r="CQ72" i="5"/>
  <c r="BL72" i="5" a="1"/>
  <c r="BL72" i="5" s="1"/>
  <c r="AY72" i="5" a="1"/>
  <c r="AY72" i="5" s="1"/>
  <c r="BC72" i="5" a="1"/>
  <c r="BC72" i="5" s="1"/>
  <c r="BM72" i="5" a="1"/>
  <c r="BM72" i="5" s="1"/>
  <c r="BF72" i="5" a="1"/>
  <c r="BF72" i="5" s="1"/>
  <c r="AE71" i="1" s="1"/>
  <c r="BE72" i="5" a="1"/>
  <c r="BE72" i="5" s="1"/>
  <c r="BG72" i="5" a="1"/>
  <c r="BG72" i="5" s="1"/>
  <c r="BB72" i="5" a="1"/>
  <c r="BB72" i="5" s="1"/>
  <c r="BA72" i="5" a="1"/>
  <c r="BA72" i="5" s="1"/>
  <c r="BO72" i="5" a="1"/>
  <c r="BO72" i="5" s="1"/>
  <c r="BJ72" i="5" a="1"/>
  <c r="BJ72" i="5" s="1"/>
  <c r="AZ72" i="5" a="1"/>
  <c r="AZ72" i="5" s="1"/>
  <c r="BN72" i="5" a="1"/>
  <c r="BN72" i="5" s="1"/>
  <c r="BI72" i="5" a="1"/>
  <c r="BI72" i="5" s="1"/>
  <c r="V70" i="2"/>
  <c r="CS65" i="8"/>
  <c r="F75" i="8"/>
  <c r="CU66" i="8"/>
  <c r="BP71" i="5" a="1"/>
  <c r="BP71" i="5" s="1"/>
  <c r="J71" i="2" s="1"/>
  <c r="O76" i="1"/>
  <c r="CD66" i="8"/>
  <c r="BT67" i="8"/>
  <c r="AH71" i="11"/>
  <c r="BO67" i="8"/>
  <c r="BP67" i="8"/>
  <c r="BM67" i="8"/>
  <c r="BN67" i="8"/>
  <c r="BK67" i="8"/>
  <c r="BL67" i="8"/>
  <c r="BJ67" i="8"/>
  <c r="AC67" i="10"/>
  <c r="X67" i="10" s="1"/>
  <c r="AJ71" i="1"/>
  <c r="DE70" i="5"/>
  <c r="DF70" i="5"/>
  <c r="DB70" i="5"/>
  <c r="AE72" i="14" a="1"/>
  <c r="AE72" i="14" s="1"/>
  <c r="AT72" i="14" a="1"/>
  <c r="AT72" i="14" s="1"/>
  <c r="AU72" i="14" a="1"/>
  <c r="AU72" i="14"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CA73" i="14" s="1"/>
  <c r="A73" i="8"/>
  <c r="A73" i="2"/>
  <c r="A73" i="9"/>
  <c r="A73" i="5"/>
  <c r="A73" i="7"/>
  <c r="R73" i="7" s="1"/>
  <c r="Y69" i="1"/>
  <c r="DJ70" i="5"/>
  <c r="W69" i="1"/>
  <c r="AF69" i="1"/>
  <c r="AM71" i="1"/>
  <c r="AK71" i="11"/>
  <c r="AU72" i="8"/>
  <c r="AE72" i="8"/>
  <c r="D68" i="9"/>
  <c r="B70" i="5"/>
  <c r="BU70" i="5"/>
  <c r="B70" i="2"/>
  <c r="B70" i="1"/>
  <c r="BG70" i="1" s="1"/>
  <c r="AH70" i="5"/>
  <c r="BZ72" i="11"/>
  <c r="K71" i="10"/>
  <c r="AA71" i="7"/>
  <c r="AF71" i="8" s="1"/>
  <c r="AV71" i="8" s="1"/>
  <c r="L71" i="11"/>
  <c r="J71" i="5"/>
  <c r="DC71" i="5" s="1"/>
  <c r="E70" i="10"/>
  <c r="G70" i="7"/>
  <c r="D70" i="7"/>
  <c r="G71" i="5"/>
  <c r="B70" i="10"/>
  <c r="K71" i="5"/>
  <c r="F70" i="10"/>
  <c r="H70" i="7"/>
  <c r="DD70" i="5"/>
  <c r="M71" i="5"/>
  <c r="H70" i="10"/>
  <c r="J70" i="7"/>
  <c r="I71" i="5"/>
  <c r="D70" i="10"/>
  <c r="F70" i="7"/>
  <c r="L71" i="5"/>
  <c r="G70" i="10"/>
  <c r="I70" i="7"/>
  <c r="H71" i="5"/>
  <c r="C70" i="10"/>
  <c r="E70" i="7"/>
  <c r="BX67" i="8"/>
  <c r="CE67" i="8" s="1"/>
  <c r="CX67" i="8" s="1"/>
  <c r="DH68" i="8"/>
  <c r="DI68" i="8" s="1"/>
  <c r="CK68" i="8"/>
  <c r="BW68" i="8"/>
  <c r="AC68" i="1" s="1"/>
  <c r="N67" i="7"/>
  <c r="BH68" i="8"/>
  <c r="BU68" i="8" s="1"/>
  <c r="BI68" i="8"/>
  <c r="AH79" i="9"/>
  <c r="C69" i="5"/>
  <c r="F69" i="5" s="1"/>
  <c r="AE67" i="7"/>
  <c r="AF67" i="7" s="1"/>
  <c r="Q67" i="7"/>
  <c r="CZ70" i="5"/>
  <c r="CI67" i="8"/>
  <c r="DA67" i="8" s="1"/>
  <c r="AA66" i="11"/>
  <c r="AK66" i="1" s="1"/>
  <c r="Y66" i="11"/>
  <c r="AH66" i="1" s="1"/>
  <c r="AC66" i="11"/>
  <c r="U66" i="8" s="1"/>
  <c r="AB66" i="11"/>
  <c r="Q66" i="8" s="1"/>
  <c r="AD66" i="11"/>
  <c r="AI66" i="1" s="1"/>
  <c r="N67" i="11"/>
  <c r="Z66" i="11"/>
  <c r="AC68" i="8"/>
  <c r="BQ68" i="8" s="1"/>
  <c r="X68" i="8"/>
  <c r="DD68" i="8" s="1"/>
  <c r="AI68" i="5"/>
  <c r="A68" i="11"/>
  <c r="BT68" i="5"/>
  <c r="A68" i="10"/>
  <c r="AA68" i="10" s="1"/>
  <c r="B68" i="7"/>
  <c r="E68" i="1"/>
  <c r="AJ68" i="5"/>
  <c r="AP68" i="5" s="1"/>
  <c r="B68" i="9"/>
  <c r="Y68" i="9" s="1"/>
  <c r="CA67" i="8"/>
  <c r="CB67" i="8"/>
  <c r="CT67" i="8" s="1"/>
  <c r="BY67" i="8"/>
  <c r="CQ67" i="8" s="1"/>
  <c r="BZ67" i="8"/>
  <c r="CR67" i="8" s="1"/>
  <c r="CC67" i="8"/>
  <c r="CH67" i="8"/>
  <c r="CZ67" i="8" s="1"/>
  <c r="AB70" i="1"/>
  <c r="DI70" i="5"/>
  <c r="C70" i="5"/>
  <c r="DA69" i="5"/>
  <c r="DG69" i="5" s="1" a="1"/>
  <c r="DG69" i="5" s="1"/>
  <c r="AG79" i="9"/>
  <c r="AK79" i="9"/>
  <c r="N55" i="1"/>
  <c r="S72" i="2"/>
  <c r="N73" i="2"/>
  <c r="R73" i="2"/>
  <c r="Q72" i="2"/>
  <c r="P74" i="2"/>
  <c r="J74" i="10"/>
  <c r="N74" i="5" s="1"/>
  <c r="AN80" i="9" l="1"/>
  <c r="BK81" i="11" s="1"/>
  <c r="AI81" i="11" s="1"/>
  <c r="CV67" i="8"/>
  <c r="CW67" i="8" s="1"/>
  <c r="AS67" i="8"/>
  <c r="AQ95" i="9"/>
  <c r="CM95" i="8" s="1"/>
  <c r="AO68" i="5"/>
  <c r="AM68" i="5"/>
  <c r="AN68" i="5"/>
  <c r="AV69" i="5"/>
  <c r="AW69" i="5"/>
  <c r="AG67" i="7"/>
  <c r="AI67" i="7" s="1"/>
  <c r="CL69" i="8"/>
  <c r="AI91" i="9"/>
  <c r="AO91" i="8" s="1"/>
  <c r="AQ67" i="5"/>
  <c r="G74" i="8"/>
  <c r="CF73" i="8"/>
  <c r="O73" i="2"/>
  <c r="AS72" i="5"/>
  <c r="BJ73" i="5" a="1"/>
  <c r="BJ73" i="5" s="1"/>
  <c r="BC73" i="5" a="1"/>
  <c r="BC73" i="5" s="1"/>
  <c r="BE73" i="5" a="1"/>
  <c r="BE73" i="5" s="1"/>
  <c r="BF73" i="5" a="1"/>
  <c r="BF73" i="5" s="1"/>
  <c r="AE72" i="1" s="1"/>
  <c r="BM73" i="5" a="1"/>
  <c r="BM73" i="5" s="1"/>
  <c r="AM80" i="9"/>
  <c r="K80" i="8" s="1"/>
  <c r="BR68" i="8"/>
  <c r="BS68" i="8"/>
  <c r="AD71" i="1"/>
  <c r="BI73" i="5" a="1"/>
  <c r="BI73" i="5" s="1"/>
  <c r="BN73" i="5" a="1"/>
  <c r="BN73" i="5" s="1"/>
  <c r="AZ73" i="5" a="1"/>
  <c r="AZ73" i="5" s="1"/>
  <c r="BO73" i="5" a="1"/>
  <c r="BO73" i="5" s="1"/>
  <c r="BA73" i="5" a="1"/>
  <c r="BA73" i="5" s="1"/>
  <c r="CQ73" i="5"/>
  <c r="CW73" i="5"/>
  <c r="CR73" i="5"/>
  <c r="CV73" i="5"/>
  <c r="CT73" i="5"/>
  <c r="CU73" i="5"/>
  <c r="CS73" i="5"/>
  <c r="AY73" i="5" a="1"/>
  <c r="AY73" i="5" s="1"/>
  <c r="BL73" i="5" a="1"/>
  <c r="BL73" i="5" s="1"/>
  <c r="BH73" i="5" a="1"/>
  <c r="BH73" i="5" s="1"/>
  <c r="BB73" i="5" a="1"/>
  <c r="BB73" i="5" s="1"/>
  <c r="BD73" i="5" a="1"/>
  <c r="BD73" i="5" s="1"/>
  <c r="BG73" i="5" a="1"/>
  <c r="BG73" i="5" s="1"/>
  <c r="BK73" i="5" a="1"/>
  <c r="BK73" i="5" s="1"/>
  <c r="BQ73" i="5" a="1"/>
  <c r="BQ73" i="5" s="1"/>
  <c r="V71" i="2"/>
  <c r="CS66" i="8"/>
  <c r="CY66" i="8"/>
  <c r="BP72" i="5" a="1"/>
  <c r="BP72" i="5" s="1"/>
  <c r="J72" i="2" s="1"/>
  <c r="O77" i="1"/>
  <c r="AH72" i="11"/>
  <c r="BX68" i="8"/>
  <c r="CD68" i="8" s="1"/>
  <c r="BT68" i="8"/>
  <c r="BO68" i="8"/>
  <c r="BP68" i="8"/>
  <c r="BM68" i="8"/>
  <c r="BN68" i="8"/>
  <c r="BK68" i="8"/>
  <c r="BL68" i="8"/>
  <c r="BJ68" i="8"/>
  <c r="AC68" i="10"/>
  <c r="X68" i="10" s="1"/>
  <c r="AR68" i="5"/>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CA74" i="14" s="1"/>
  <c r="A74" i="5"/>
  <c r="A74" i="7"/>
  <c r="R74" i="7" s="1"/>
  <c r="A74" i="9"/>
  <c r="A74" i="2"/>
  <c r="A74" i="8"/>
  <c r="AM72" i="1"/>
  <c r="W70" i="1"/>
  <c r="DH71" i="5"/>
  <c r="Y70" i="1"/>
  <c r="DJ71" i="5"/>
  <c r="AU73" i="8"/>
  <c r="AE73" i="8"/>
  <c r="AJ72" i="1"/>
  <c r="F70" i="5"/>
  <c r="BU71" i="5"/>
  <c r="B71" i="2"/>
  <c r="AH71" i="5"/>
  <c r="B71" i="1"/>
  <c r="BG71" i="1" s="1"/>
  <c r="BZ73" i="11"/>
  <c r="AA72" i="7"/>
  <c r="AF72" i="8" s="1"/>
  <c r="AV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U67" i="8"/>
  <c r="F76" i="8"/>
  <c r="CD67" i="8"/>
  <c r="D69" i="9"/>
  <c r="DH69" i="8"/>
  <c r="DI69" i="8" s="1"/>
  <c r="CK69" i="8"/>
  <c r="BW69" i="8"/>
  <c r="BI69" i="8"/>
  <c r="N68" i="7"/>
  <c r="B69" i="7"/>
  <c r="Q69" i="7" s="1"/>
  <c r="BH69" i="8"/>
  <c r="BU69" i="8" s="1"/>
  <c r="AH80" i="9"/>
  <c r="A69" i="10"/>
  <c r="AA69" i="10" s="1"/>
  <c r="DB67" i="8"/>
  <c r="E69" i="1"/>
  <c r="X69" i="8"/>
  <c r="DD69" i="8" s="1"/>
  <c r="BT69" i="5"/>
  <c r="AJ69" i="5"/>
  <c r="AP69" i="5" s="1"/>
  <c r="AC69" i="8"/>
  <c r="BQ69" i="8" s="1"/>
  <c r="A69" i="11"/>
  <c r="AA68" i="11" s="1"/>
  <c r="AK68" i="1" s="1"/>
  <c r="B69" i="9"/>
  <c r="Y69" i="9" s="1"/>
  <c r="AI69" i="5"/>
  <c r="CZ71" i="5"/>
  <c r="AE68" i="7"/>
  <c r="AF68" i="7" s="1"/>
  <c r="Q68" i="7"/>
  <c r="CB68" i="8"/>
  <c r="CT68" i="8" s="1"/>
  <c r="BY68" i="8"/>
  <c r="CQ68" i="8" s="1"/>
  <c r="BZ68" i="8"/>
  <c r="CR68" i="8" s="1"/>
  <c r="CH68" i="8"/>
  <c r="CZ68" i="8" s="1"/>
  <c r="CC68" i="8"/>
  <c r="CA68" i="8"/>
  <c r="B67" i="14"/>
  <c r="AB67" i="11"/>
  <c r="Q67" i="8" s="1"/>
  <c r="Z67" i="11"/>
  <c r="AA67" i="11"/>
  <c r="AK67" i="1" s="1"/>
  <c r="AC67" i="11"/>
  <c r="U67" i="8" s="1"/>
  <c r="Y67" i="11"/>
  <c r="AH67" i="1" s="1"/>
  <c r="AD67" i="11"/>
  <c r="AI67" i="1" s="1"/>
  <c r="N68" i="11"/>
  <c r="CI68" i="8"/>
  <c r="DA68" i="8" s="1"/>
  <c r="DA70" i="5"/>
  <c r="DG70" i="5" s="1" a="1"/>
  <c r="DG70" i="5" s="1"/>
  <c r="AB71" i="1"/>
  <c r="DI71" i="5"/>
  <c r="AG80" i="9"/>
  <c r="AK80" i="9"/>
  <c r="N56" i="1"/>
  <c r="S73" i="2"/>
  <c r="N74" i="2"/>
  <c r="R74" i="2"/>
  <c r="Q73" i="2"/>
  <c r="J75" i="10"/>
  <c r="N75" i="5" s="1"/>
  <c r="P75" i="2"/>
  <c r="AN81" i="9" l="1"/>
  <c r="BK82" i="11" s="1"/>
  <c r="AI82" i="11" s="1"/>
  <c r="CV68" i="8"/>
  <c r="CW68" i="8" s="1"/>
  <c r="AS68" i="8"/>
  <c r="AQ96" i="9"/>
  <c r="CM96" i="8" s="1"/>
  <c r="AO69" i="5"/>
  <c r="AM69" i="5"/>
  <c r="AN69" i="5"/>
  <c r="AR69" i="5" s="1"/>
  <c r="AV70" i="5"/>
  <c r="AW70" i="5"/>
  <c r="AG68" i="7"/>
  <c r="AI68" i="7" s="1"/>
  <c r="CL70" i="8"/>
  <c r="CC69" i="8"/>
  <c r="AC69" i="1"/>
  <c r="AI92" i="9"/>
  <c r="AO92" i="8" s="1"/>
  <c r="G75" i="8"/>
  <c r="CF74" i="8"/>
  <c r="O74" i="2"/>
  <c r="AQ68" i="5"/>
  <c r="AS73" i="5"/>
  <c r="AM81" i="9"/>
  <c r="K81" i="8" s="1"/>
  <c r="BR69" i="8"/>
  <c r="BS69" i="8"/>
  <c r="AD72" i="1"/>
  <c r="CR74" i="5"/>
  <c r="CQ74" i="5"/>
  <c r="CV74" i="5"/>
  <c r="CU74" i="5"/>
  <c r="CT74" i="5"/>
  <c r="CW74" i="5"/>
  <c r="CS74" i="5"/>
  <c r="AY74" i="5" a="1"/>
  <c r="AY74" i="5" s="1"/>
  <c r="BL74" i="5" a="1"/>
  <c r="BL74" i="5" s="1"/>
  <c r="BQ74" i="5" a="1"/>
  <c r="BQ74" i="5" s="1"/>
  <c r="BE74" i="5" a="1"/>
  <c r="BE74" i="5" s="1"/>
  <c r="BK74" i="5" a="1"/>
  <c r="BK74" i="5" s="1"/>
  <c r="BA74" i="5" a="1"/>
  <c r="BA74" i="5" s="1"/>
  <c r="BG74" i="5" a="1"/>
  <c r="BG74" i="5" s="1"/>
  <c r="BO74" i="5" a="1"/>
  <c r="BO74" i="5" s="1"/>
  <c r="BD74" i="5" a="1"/>
  <c r="BD74" i="5" s="1"/>
  <c r="BJ74" i="5" a="1"/>
  <c r="BJ74" i="5" s="1"/>
  <c r="BB74" i="5" a="1"/>
  <c r="BB74" i="5" s="1"/>
  <c r="AZ74" i="5" a="1"/>
  <c r="AZ74" i="5" s="1"/>
  <c r="BM74" i="5" a="1"/>
  <c r="BM74" i="5" s="1"/>
  <c r="BF74" i="5" a="1"/>
  <c r="BF74" i="5" s="1"/>
  <c r="AE73" i="1" s="1"/>
  <c r="BH74" i="5" a="1"/>
  <c r="BH74" i="5" s="1"/>
  <c r="BN74" i="5" a="1"/>
  <c r="BN74" i="5" s="1"/>
  <c r="BI74" i="5" a="1"/>
  <c r="BI74" i="5" s="1"/>
  <c r="BC74" i="5" a="1"/>
  <c r="BC74" i="5" s="1"/>
  <c r="V72" i="2"/>
  <c r="CY67" i="8"/>
  <c r="F77" i="8"/>
  <c r="BP73" i="5" a="1"/>
  <c r="BP73" i="5" s="1"/>
  <c r="J73" i="2" s="1"/>
  <c r="O78" i="1"/>
  <c r="AH73" i="11"/>
  <c r="CE68" i="8"/>
  <c r="BT69" i="8"/>
  <c r="BO69" i="8"/>
  <c r="BP69" i="8"/>
  <c r="BM69" i="8"/>
  <c r="BN69" i="8"/>
  <c r="BK69" i="8"/>
  <c r="BL69" i="8"/>
  <c r="BJ69" i="8"/>
  <c r="AC69" i="10"/>
  <c r="X69" i="10" s="1"/>
  <c r="BW70" i="8"/>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CA75" i="14" s="1"/>
  <c r="A75" i="7"/>
  <c r="R75" i="7" s="1"/>
  <c r="A75" i="8"/>
  <c r="A75" i="5"/>
  <c r="A75" i="2"/>
  <c r="A75" i="9"/>
  <c r="AU74" i="8"/>
  <c r="AE74" i="8"/>
  <c r="DE72" i="5"/>
  <c r="Y71" i="1"/>
  <c r="DJ72" i="5"/>
  <c r="W71" i="1"/>
  <c r="AJ73" i="1"/>
  <c r="CS67" i="8"/>
  <c r="X70" i="8"/>
  <c r="DD70" i="8" s="1"/>
  <c r="B70" i="9"/>
  <c r="Y70" i="9" s="1"/>
  <c r="AC70" i="8"/>
  <c r="BQ70" i="8" s="1"/>
  <c r="B70" i="7"/>
  <c r="AE70" i="7" s="1"/>
  <c r="AF70" i="7" s="1"/>
  <c r="B72" i="5"/>
  <c r="BT70" i="5"/>
  <c r="DH70" i="8"/>
  <c r="DI70" i="8" s="1"/>
  <c r="AJ70" i="5"/>
  <c r="AP70" i="5" s="1"/>
  <c r="A70" i="11"/>
  <c r="N70" i="11" s="1"/>
  <c r="AI70" i="5"/>
  <c r="CK70" i="8"/>
  <c r="E70" i="1"/>
  <c r="BI70" i="8"/>
  <c r="A70" i="10"/>
  <c r="AA70" i="10" s="1"/>
  <c r="BH70" i="8"/>
  <c r="BU70" i="8" s="1"/>
  <c r="B72" i="2"/>
  <c r="B72" i="1"/>
  <c r="BG72" i="1" s="1"/>
  <c r="AH72" i="5"/>
  <c r="BU72" i="5"/>
  <c r="BZ74" i="11"/>
  <c r="AA73" i="7"/>
  <c r="AF73" i="8" s="1"/>
  <c r="AV73" i="8" s="1"/>
  <c r="K73" i="10"/>
  <c r="L73" i="11"/>
  <c r="K73" i="5"/>
  <c r="F72" i="10"/>
  <c r="H72" i="7"/>
  <c r="DD72" i="5"/>
  <c r="D72" i="7"/>
  <c r="G73" i="5"/>
  <c r="B72" i="10"/>
  <c r="M73" i="5"/>
  <c r="H72" i="10"/>
  <c r="J72" i="7"/>
  <c r="J73" i="5"/>
  <c r="DC73" i="5" s="1"/>
  <c r="E72" i="10"/>
  <c r="G72" i="7"/>
  <c r="H73" i="5"/>
  <c r="C72" i="10"/>
  <c r="E72" i="7"/>
  <c r="L73" i="5"/>
  <c r="G72" i="10"/>
  <c r="I72" i="7"/>
  <c r="I73" i="5"/>
  <c r="D72" i="10"/>
  <c r="F72" i="7"/>
  <c r="CU68" i="8"/>
  <c r="AE69" i="7"/>
  <c r="AF69" i="7" s="1"/>
  <c r="D70" i="9"/>
  <c r="BX69" i="8"/>
  <c r="CD69" i="8" s="1"/>
  <c r="N69" i="7"/>
  <c r="AH81" i="9"/>
  <c r="CB69" i="8"/>
  <c r="CT69" i="8" s="1"/>
  <c r="CA69" i="8"/>
  <c r="BY69" i="8"/>
  <c r="CQ69" i="8" s="1"/>
  <c r="CH69" i="8"/>
  <c r="CZ69" i="8" s="1"/>
  <c r="BZ69" i="8"/>
  <c r="CR69" i="8" s="1"/>
  <c r="CI69" i="8"/>
  <c r="DA69" i="8" s="1"/>
  <c r="N69" i="11"/>
  <c r="Z68" i="11"/>
  <c r="AC68" i="11"/>
  <c r="U68" i="8" s="1"/>
  <c r="AD68" i="11"/>
  <c r="AI68" i="1" s="1"/>
  <c r="Y68" i="11"/>
  <c r="AH68" i="1" s="1"/>
  <c r="AB68" i="11"/>
  <c r="Q68" i="8" s="1"/>
  <c r="DB68" i="8"/>
  <c r="B68" i="14"/>
  <c r="CZ72" i="5"/>
  <c r="C71" i="5"/>
  <c r="F71" i="5" s="1"/>
  <c r="AB72" i="1"/>
  <c r="DI72" i="5"/>
  <c r="C72" i="5"/>
  <c r="DA71" i="5"/>
  <c r="DG71" i="5" s="1" a="1"/>
  <c r="DG71" i="5" s="1"/>
  <c r="AG81" i="9"/>
  <c r="AK81" i="9"/>
  <c r="L51" i="11"/>
  <c r="AV51" i="8"/>
  <c r="L39" i="11"/>
  <c r="AV39" i="8"/>
  <c r="L37" i="11"/>
  <c r="AV37" i="8"/>
  <c r="L40" i="11"/>
  <c r="AV40" i="8"/>
  <c r="B15" i="14"/>
  <c r="N57" i="1"/>
  <c r="S74" i="2"/>
  <c r="N75" i="2"/>
  <c r="R75" i="2"/>
  <c r="Q74" i="2"/>
  <c r="J76" i="10"/>
  <c r="N76" i="5" s="1"/>
  <c r="P76" i="2"/>
  <c r="AN82" i="9" l="1"/>
  <c r="BK83" i="11" s="1"/>
  <c r="AI83" i="11" s="1"/>
  <c r="CX68" i="8"/>
  <c r="CY68" i="8" s="1"/>
  <c r="CV69" i="8"/>
  <c r="CW69" i="8" s="1"/>
  <c r="AS69" i="8"/>
  <c r="AQ97" i="9"/>
  <c r="CM97" i="8" s="1"/>
  <c r="AO70" i="5"/>
  <c r="AM70" i="5"/>
  <c r="AN70" i="5"/>
  <c r="AR70" i="5" s="1"/>
  <c r="AV71" i="5"/>
  <c r="AW71" i="5"/>
  <c r="AG70" i="7"/>
  <c r="AG69" i="7"/>
  <c r="AI69" i="7" s="1"/>
  <c r="CL71" i="8"/>
  <c r="CC70" i="8"/>
  <c r="AC70" i="1"/>
  <c r="AI93" i="9"/>
  <c r="AO93" i="8" s="1"/>
  <c r="CF75" i="8"/>
  <c r="G76" i="8"/>
  <c r="O75" i="2"/>
  <c r="AQ69" i="5"/>
  <c r="AS74" i="5"/>
  <c r="BD75" i="5" a="1"/>
  <c r="BD75" i="5" s="1"/>
  <c r="BO75" i="5" a="1"/>
  <c r="BO75" i="5" s="1"/>
  <c r="BE75" i="5" a="1"/>
  <c r="BE75" i="5" s="1"/>
  <c r="BG75" i="5" a="1"/>
  <c r="BG75" i="5" s="1"/>
  <c r="BA75" i="5" a="1"/>
  <c r="BA75" i="5" s="1"/>
  <c r="AM82" i="9"/>
  <c r="K82" i="8" s="1"/>
  <c r="BR70" i="8"/>
  <c r="BS70" i="8"/>
  <c r="AD73" i="1"/>
  <c r="BK75" i="5" a="1"/>
  <c r="BK75" i="5" s="1"/>
  <c r="BC75" i="5" a="1"/>
  <c r="BC75" i="5" s="1"/>
  <c r="BQ75" i="5" a="1"/>
  <c r="BQ75" i="5" s="1"/>
  <c r="BI75" i="5" a="1"/>
  <c r="BI75" i="5" s="1"/>
  <c r="BN75" i="5" a="1"/>
  <c r="BN75" i="5" s="1"/>
  <c r="BH75" i="5" a="1"/>
  <c r="BH75" i="5" s="1"/>
  <c r="BF75" i="5" a="1"/>
  <c r="BF75" i="5" s="1"/>
  <c r="AE74" i="1" s="1"/>
  <c r="CR75" i="5"/>
  <c r="CQ75" i="5"/>
  <c r="CT75" i="5"/>
  <c r="CV75" i="5"/>
  <c r="CW75" i="5"/>
  <c r="CS75" i="5"/>
  <c r="CU75" i="5"/>
  <c r="AY75" i="5" a="1"/>
  <c r="AY75" i="5" s="1"/>
  <c r="BL75" i="5" a="1"/>
  <c r="BL75" i="5" s="1"/>
  <c r="BM75" i="5" a="1"/>
  <c r="BM75" i="5" s="1"/>
  <c r="AZ75" i="5" a="1"/>
  <c r="AZ75" i="5" s="1"/>
  <c r="BB75" i="5" a="1"/>
  <c r="BB75" i="5" s="1"/>
  <c r="BJ75" i="5" a="1"/>
  <c r="BJ75" i="5" s="1"/>
  <c r="V73" i="2"/>
  <c r="F78" i="8"/>
  <c r="BP74" i="5" a="1"/>
  <c r="BP74" i="5" s="1"/>
  <c r="J74" i="2" s="1"/>
  <c r="O79" i="1"/>
  <c r="BT70" i="8"/>
  <c r="BO70" i="8"/>
  <c r="BP70" i="8"/>
  <c r="BM70" i="8"/>
  <c r="BN70" i="8"/>
  <c r="BK70" i="8"/>
  <c r="BL70" i="8"/>
  <c r="BJ70" i="8"/>
  <c r="AC70" i="10"/>
  <c r="X70" i="10" s="1"/>
  <c r="BZ70" i="8"/>
  <c r="CR70" i="8" s="1"/>
  <c r="BY70" i="8"/>
  <c r="CQ70" i="8" s="1"/>
  <c r="CB70" i="8"/>
  <c r="CT70" i="8" s="1"/>
  <c r="CH70" i="8"/>
  <c r="CZ70" i="8" s="1"/>
  <c r="CA70"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CA76" i="14" s="1"/>
  <c r="A76" i="7"/>
  <c r="R76" i="7" s="1"/>
  <c r="A76" i="8"/>
  <c r="A76" i="5"/>
  <c r="A76" i="2"/>
  <c r="A76" i="9"/>
  <c r="W72" i="1"/>
  <c r="AF72" i="1"/>
  <c r="AM74" i="1"/>
  <c r="DF73" i="5"/>
  <c r="AU75" i="8"/>
  <c r="AE75" i="8"/>
  <c r="AJ74" i="1"/>
  <c r="BX70" i="8"/>
  <c r="CD70" i="8" s="1"/>
  <c r="N70" i="7"/>
  <c r="AD69" i="11"/>
  <c r="AI69" i="1" s="1"/>
  <c r="Z69" i="11"/>
  <c r="AC69" i="11"/>
  <c r="U69" i="8" s="1"/>
  <c r="AB69" i="11"/>
  <c r="Q69" i="8" s="1"/>
  <c r="CI70" i="8"/>
  <c r="DA70" i="8" s="1"/>
  <c r="F72" i="5"/>
  <c r="B70" i="14"/>
  <c r="Q70" i="7"/>
  <c r="Y69" i="11"/>
  <c r="AH69" i="1" s="1"/>
  <c r="AA69" i="11"/>
  <c r="AK69" i="1" s="1"/>
  <c r="D71" i="9"/>
  <c r="CS68" i="8"/>
  <c r="B73" i="2"/>
  <c r="B73" i="1"/>
  <c r="BG73" i="1" s="1"/>
  <c r="AH73" i="5"/>
  <c r="BU73" i="5"/>
  <c r="BZ75" i="11"/>
  <c r="AA74" i="7"/>
  <c r="AF74" i="8" s="1"/>
  <c r="AV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U69" i="8"/>
  <c r="B69" i="14"/>
  <c r="CE69" i="8"/>
  <c r="DH71" i="8"/>
  <c r="DI71" i="8" s="1"/>
  <c r="CK71" i="8"/>
  <c r="BW71" i="8"/>
  <c r="AC71" i="1" s="1"/>
  <c r="BH71" i="8"/>
  <c r="BU71" i="8" s="1"/>
  <c r="BI71" i="8"/>
  <c r="AH82" i="9"/>
  <c r="DB69" i="8"/>
  <c r="CZ73" i="5"/>
  <c r="A71" i="11"/>
  <c r="X71" i="8"/>
  <c r="DD71" i="8" s="1"/>
  <c r="B71" i="9"/>
  <c r="Y71" i="9" s="1"/>
  <c r="E71" i="1"/>
  <c r="AJ71" i="5"/>
  <c r="AP71" i="5" s="1"/>
  <c r="AI71" i="5"/>
  <c r="AC71" i="8"/>
  <c r="BQ71" i="8" s="1"/>
  <c r="BT71" i="5"/>
  <c r="A71" i="10"/>
  <c r="AA71" i="10" s="1"/>
  <c r="B71" i="7"/>
  <c r="C73" i="5"/>
  <c r="DA72" i="5"/>
  <c r="DG72" i="5" s="1" a="1"/>
  <c r="DG72" i="5" s="1"/>
  <c r="AB73" i="1"/>
  <c r="DI73" i="5"/>
  <c r="AH39" i="5"/>
  <c r="BU39" i="5"/>
  <c r="AH40" i="5"/>
  <c r="BU40" i="5"/>
  <c r="AH51" i="5"/>
  <c r="BU51" i="5"/>
  <c r="AH37" i="5"/>
  <c r="BU37" i="5"/>
  <c r="AG82" i="9"/>
  <c r="AK82" i="9"/>
  <c r="B39" i="2"/>
  <c r="B39" i="1"/>
  <c r="BG39" i="1" s="1"/>
  <c r="B40" i="2"/>
  <c r="B40" i="1"/>
  <c r="BG40" i="1" s="1"/>
  <c r="B51" i="2"/>
  <c r="B51" i="1"/>
  <c r="BG51" i="1" s="1"/>
  <c r="B37" i="2"/>
  <c r="B37" i="1"/>
  <c r="BG37" i="1" s="1"/>
  <c r="B26" i="14"/>
  <c r="N58" i="1"/>
  <c r="S75" i="2"/>
  <c r="N76" i="2"/>
  <c r="R76" i="2"/>
  <c r="Q75" i="2"/>
  <c r="J77" i="10"/>
  <c r="N77" i="5" s="1"/>
  <c r="P77" i="2"/>
  <c r="AN83" i="9" l="1"/>
  <c r="BK84" i="11" s="1"/>
  <c r="AI84" i="11" s="1"/>
  <c r="CX69" i="8"/>
  <c r="CY69" i="8" s="1"/>
  <c r="CV70" i="8"/>
  <c r="CW70" i="8" s="1"/>
  <c r="AS70" i="8"/>
  <c r="AQ98" i="9"/>
  <c r="CM98" i="8" s="1"/>
  <c r="AO71" i="5"/>
  <c r="AM71" i="5"/>
  <c r="AN71" i="5"/>
  <c r="AR71" i="5" s="1"/>
  <c r="AV72" i="5"/>
  <c r="AW72" i="5"/>
  <c r="AI70" i="7"/>
  <c r="CL72" i="8"/>
  <c r="AI94" i="9"/>
  <c r="AO94" i="8" s="1"/>
  <c r="D92" i="4"/>
  <c r="CF76" i="8"/>
  <c r="G77" i="8"/>
  <c r="O76" i="2"/>
  <c r="AS75" i="5"/>
  <c r="AQ70" i="5"/>
  <c r="BO76" i="5" a="1"/>
  <c r="BO76" i="5" s="1"/>
  <c r="AM83" i="9"/>
  <c r="K83" i="8" s="1"/>
  <c r="BR71" i="8"/>
  <c r="BS71" i="8"/>
  <c r="AD74" i="1"/>
  <c r="BF76" i="5" a="1"/>
  <c r="BF76" i="5" s="1"/>
  <c r="AE75" i="1" s="1"/>
  <c r="BA76" i="5" a="1"/>
  <c r="BA76" i="5" s="1"/>
  <c r="BJ76" i="5" a="1"/>
  <c r="BJ76" i="5" s="1"/>
  <c r="BB76" i="5" a="1"/>
  <c r="BB76" i="5" s="1"/>
  <c r="BH76" i="5" a="1"/>
  <c r="BH76" i="5" s="1"/>
  <c r="BN76" i="5" a="1"/>
  <c r="BN76" i="5" s="1"/>
  <c r="AZ76" i="5" a="1"/>
  <c r="AZ76" i="5" s="1"/>
  <c r="BI76" i="5" a="1"/>
  <c r="BI76" i="5" s="1"/>
  <c r="CU76" i="5"/>
  <c r="CW76" i="5"/>
  <c r="CV76" i="5"/>
  <c r="CQ76" i="5"/>
  <c r="CR76" i="5"/>
  <c r="CS76" i="5"/>
  <c r="CT76" i="5"/>
  <c r="AY76" i="5" a="1"/>
  <c r="AY76" i="5" s="1"/>
  <c r="BL76" i="5" a="1"/>
  <c r="BL76" i="5" s="1"/>
  <c r="BM76" i="5" a="1"/>
  <c r="BM76" i="5" s="1"/>
  <c r="BG76" i="5" a="1"/>
  <c r="BG76" i="5" s="1"/>
  <c r="BD76" i="5" a="1"/>
  <c r="BD76" i="5" s="1"/>
  <c r="BQ76" i="5" a="1"/>
  <c r="BQ76" i="5" s="1"/>
  <c r="BC76" i="5" a="1"/>
  <c r="BC76" i="5" s="1"/>
  <c r="BE76" i="5" a="1"/>
  <c r="BE76" i="5" s="1"/>
  <c r="B45" i="4" s="1"/>
  <c r="BK76" i="5" a="1"/>
  <c r="BK76" i="5" s="1"/>
  <c r="V74" i="2"/>
  <c r="CU70" i="8"/>
  <c r="F79" i="8"/>
  <c r="BP75" i="5" a="1"/>
  <c r="BP75" i="5" s="1"/>
  <c r="J75" i="2" s="1"/>
  <c r="DH72" i="8"/>
  <c r="DI72" i="8" s="1"/>
  <c r="O80" i="1"/>
  <c r="BX71" i="8"/>
  <c r="CD71" i="8" s="1"/>
  <c r="BT71" i="8"/>
  <c r="BO71" i="8"/>
  <c r="BP71" i="8"/>
  <c r="BM71" i="8"/>
  <c r="BN71" i="8"/>
  <c r="BK71" i="8"/>
  <c r="BL71" i="8"/>
  <c r="BJ71" i="8"/>
  <c r="AC71" i="10"/>
  <c r="X71" i="10" s="1"/>
  <c r="DB70" i="8"/>
  <c r="AM75" i="1"/>
  <c r="AH75" i="11"/>
  <c r="DF74" i="5"/>
  <c r="AK75" i="11"/>
  <c r="DB74" i="5"/>
  <c r="AU76" i="8"/>
  <c r="AE76" i="8"/>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B53" i="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CA77" i="14" s="1"/>
  <c r="A77" i="9"/>
  <c r="A77" i="8"/>
  <c r="A77" i="5"/>
  <c r="A77" i="2"/>
  <c r="A77" i="7"/>
  <c r="R77" i="7" s="1"/>
  <c r="W73" i="1"/>
  <c r="CE70" i="8"/>
  <c r="E72" i="1"/>
  <c r="X72" i="8"/>
  <c r="DD72" i="8" s="1"/>
  <c r="BI72" i="8"/>
  <c r="BW72" i="8"/>
  <c r="A72" i="11"/>
  <c r="AA71" i="11" s="1"/>
  <c r="AK71" i="1" s="1"/>
  <c r="BH72" i="8"/>
  <c r="BU72" i="8" s="1"/>
  <c r="B72" i="7"/>
  <c r="AE72" i="7" s="1"/>
  <c r="AF72" i="7" s="1"/>
  <c r="B72" i="9"/>
  <c r="Y72" i="9" s="1"/>
  <c r="AI72" i="5"/>
  <c r="A72" i="10"/>
  <c r="AA72" i="10" s="1"/>
  <c r="AJ72" i="5"/>
  <c r="AP72" i="5" s="1"/>
  <c r="BT72" i="5"/>
  <c r="CK72" i="8"/>
  <c r="AC72" i="8"/>
  <c r="BQ72" i="8" s="1"/>
  <c r="F73" i="5"/>
  <c r="BU74" i="5"/>
  <c r="B74" i="1"/>
  <c r="BG74" i="1" s="1"/>
  <c r="AH74" i="5"/>
  <c r="B74" i="2"/>
  <c r="BZ76" i="11"/>
  <c r="AA75" i="7"/>
  <c r="AF75" i="8" s="1"/>
  <c r="AV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S69" i="8"/>
  <c r="D72" i="9"/>
  <c r="N71" i="7"/>
  <c r="AH83" i="9"/>
  <c r="CZ74" i="5"/>
  <c r="CH71" i="8"/>
  <c r="CZ71" i="8" s="1"/>
  <c r="CA71" i="8"/>
  <c r="CB71" i="8"/>
  <c r="CT71" i="8" s="1"/>
  <c r="BY71" i="8"/>
  <c r="CQ71" i="8" s="1"/>
  <c r="BZ71" i="8"/>
  <c r="CR71" i="8" s="1"/>
  <c r="CC71" i="8"/>
  <c r="AC70" i="11"/>
  <c r="U70" i="8" s="1"/>
  <c r="AD70" i="11"/>
  <c r="AI70" i="1" s="1"/>
  <c r="Y70" i="11"/>
  <c r="AH70" i="1" s="1"/>
  <c r="N71" i="11"/>
  <c r="Z70" i="11"/>
  <c r="AB70" i="11"/>
  <c r="Q70" i="8" s="1"/>
  <c r="AA70" i="11"/>
  <c r="AK70" i="1" s="1"/>
  <c r="Q71" i="7"/>
  <c r="AE71" i="7"/>
  <c r="AF71" i="7" s="1"/>
  <c r="CI71" i="8"/>
  <c r="DA71" i="8" s="1"/>
  <c r="DA73" i="5"/>
  <c r="DG73" i="5" s="1" a="1"/>
  <c r="DG73" i="5" s="1"/>
  <c r="AB74" i="1"/>
  <c r="DI74" i="5"/>
  <c r="AG83" i="9"/>
  <c r="AK83" i="9"/>
  <c r="L36" i="11"/>
  <c r="AV36" i="8"/>
  <c r="L49" i="11"/>
  <c r="AV49" i="8"/>
  <c r="L54" i="11"/>
  <c r="AV54" i="8"/>
  <c r="L41" i="11"/>
  <c r="AV41" i="8"/>
  <c r="L38" i="11"/>
  <c r="AV38" i="8"/>
  <c r="L52" i="11"/>
  <c r="AV52" i="8"/>
  <c r="B36" i="14"/>
  <c r="N59" i="1"/>
  <c r="S76" i="2"/>
  <c r="N77" i="2"/>
  <c r="C40" i="4"/>
  <c r="R77" i="2"/>
  <c r="Q76" i="2"/>
  <c r="J78" i="10"/>
  <c r="N78" i="5" s="1"/>
  <c r="P78" i="2"/>
  <c r="AN84" i="9" l="1"/>
  <c r="BK85" i="11" s="1"/>
  <c r="AI85" i="11" s="1"/>
  <c r="CX70" i="8"/>
  <c r="CY70" i="8" s="1"/>
  <c r="CV71" i="8"/>
  <c r="CW71" i="8" s="1"/>
  <c r="AS71" i="8"/>
  <c r="AQ99" i="9"/>
  <c r="CM99" i="8" s="1"/>
  <c r="AO72" i="5"/>
  <c r="AM72" i="5"/>
  <c r="AN72" i="5"/>
  <c r="AR72" i="5" s="1"/>
  <c r="AV73" i="5"/>
  <c r="AW73" i="5"/>
  <c r="AG72" i="7"/>
  <c r="AG71" i="7"/>
  <c r="AI71" i="7" s="1"/>
  <c r="CL73" i="8"/>
  <c r="CA72" i="8"/>
  <c r="AC72" i="1"/>
  <c r="AI95" i="9"/>
  <c r="AO95" i="8" s="1"/>
  <c r="G78" i="8"/>
  <c r="CF77" i="8"/>
  <c r="O77" i="2"/>
  <c r="AS76" i="5"/>
  <c r="AQ71" i="5"/>
  <c r="AM84" i="9"/>
  <c r="K84" i="8" s="1"/>
  <c r="BR72" i="8"/>
  <c r="BS72" i="8"/>
  <c r="AD75" i="1"/>
  <c r="CV77" i="5"/>
  <c r="CU77" i="5"/>
  <c r="CS77" i="5"/>
  <c r="CR77" i="5"/>
  <c r="CT77" i="5"/>
  <c r="CW77" i="5"/>
  <c r="CQ77" i="5"/>
  <c r="AY77" i="5" a="1"/>
  <c r="AY77" i="5" s="1"/>
  <c r="BL77" i="5" a="1"/>
  <c r="BL77" i="5" s="1"/>
  <c r="BK77" i="5" a="1"/>
  <c r="BK77" i="5" s="1"/>
  <c r="BI77" i="5" a="1"/>
  <c r="BI77" i="5" s="1"/>
  <c r="BE77" i="5" a="1"/>
  <c r="BE77" i="5" s="1"/>
  <c r="AZ77" i="5" a="1"/>
  <c r="AZ77" i="5" s="1"/>
  <c r="BC77" i="5" a="1"/>
  <c r="BC77" i="5" s="1"/>
  <c r="BN77" i="5" a="1"/>
  <c r="BN77" i="5" s="1"/>
  <c r="BQ77" i="5" a="1"/>
  <c r="BQ77" i="5" s="1"/>
  <c r="BD77" i="5" a="1"/>
  <c r="BD77" i="5" s="1"/>
  <c r="BH77" i="5" a="1"/>
  <c r="BH77" i="5" s="1"/>
  <c r="BG77" i="5" a="1"/>
  <c r="BG77" i="5" s="1"/>
  <c r="BB77" i="5" a="1"/>
  <c r="BB77" i="5" s="1"/>
  <c r="BM77" i="5" a="1"/>
  <c r="BM77" i="5" s="1"/>
  <c r="BJ77" i="5" a="1"/>
  <c r="BJ77" i="5" s="1"/>
  <c r="BA77" i="5" a="1"/>
  <c r="BA77" i="5" s="1"/>
  <c r="BF77" i="5" a="1"/>
  <c r="BF77" i="5" s="1"/>
  <c r="AE76" i="1" s="1"/>
  <c r="BO77" i="5" a="1"/>
  <c r="BO77" i="5" s="1"/>
  <c r="V75" i="2"/>
  <c r="CS70" i="8"/>
  <c r="CI72" i="8"/>
  <c r="DA72" i="8" s="1"/>
  <c r="F80" i="8"/>
  <c r="BP76" i="5" a="1"/>
  <c r="BP76" i="5" s="1"/>
  <c r="J76" i="2" s="1"/>
  <c r="O81" i="1"/>
  <c r="CE71" i="8"/>
  <c r="BX72" i="8"/>
  <c r="CD72" i="8" s="1"/>
  <c r="BT72" i="8"/>
  <c r="BO72" i="8"/>
  <c r="BP72" i="8"/>
  <c r="BM72" i="8"/>
  <c r="BN72" i="8"/>
  <c r="BK72" i="8"/>
  <c r="BL72" i="8"/>
  <c r="BJ72" i="8"/>
  <c r="AC72" i="10"/>
  <c r="X72" i="10" s="1"/>
  <c r="AH76" i="11"/>
  <c r="DE75" i="5"/>
  <c r="BW73" i="8"/>
  <c r="AK76" i="11"/>
  <c r="AJ76" i="1"/>
  <c r="DF75" i="5"/>
  <c r="DB75" i="5"/>
  <c r="W74" i="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CA78" i="14" s="1"/>
  <c r="A78" i="5"/>
  <c r="A78" i="9"/>
  <c r="A78" i="2"/>
  <c r="A78" i="8"/>
  <c r="A78" i="7"/>
  <c r="R78" i="7" s="1"/>
  <c r="AM76" i="1"/>
  <c r="Y74" i="1"/>
  <c r="DJ75" i="5"/>
  <c r="AF74" i="1"/>
  <c r="AE77" i="8"/>
  <c r="AU77" i="8"/>
  <c r="DH75" i="5"/>
  <c r="BZ72" i="8"/>
  <c r="CR72" i="8" s="1"/>
  <c r="CH72" i="8"/>
  <c r="CZ72" i="8" s="1"/>
  <c r="BY72" i="8"/>
  <c r="CQ72" i="8" s="1"/>
  <c r="D73" i="9"/>
  <c r="N72" i="7"/>
  <c r="AD71" i="11"/>
  <c r="AI71" i="1" s="1"/>
  <c r="AB71" i="11"/>
  <c r="Q71" i="8" s="1"/>
  <c r="CB72" i="8"/>
  <c r="CT72" i="8" s="1"/>
  <c r="CC72" i="8"/>
  <c r="Z71" i="11"/>
  <c r="Y71" i="11"/>
  <c r="AH71" i="1" s="1"/>
  <c r="AC71" i="11"/>
  <c r="U71" i="8" s="1"/>
  <c r="B72" i="14"/>
  <c r="B73" i="7"/>
  <c r="AE73" i="7" s="1"/>
  <c r="AF73" i="7" s="1"/>
  <c r="N72" i="11"/>
  <c r="Q72" i="7"/>
  <c r="B73" i="9"/>
  <c r="Y73" i="9" s="1"/>
  <c r="AJ73" i="5"/>
  <c r="AP73" i="5" s="1"/>
  <c r="A73" i="10"/>
  <c r="AA73" i="10" s="1"/>
  <c r="AC73" i="8"/>
  <c r="BQ73" i="8" s="1"/>
  <c r="A73" i="11"/>
  <c r="Z72" i="11" s="1"/>
  <c r="E73" i="1"/>
  <c r="BT73" i="5"/>
  <c r="BI73" i="8"/>
  <c r="X73" i="8"/>
  <c r="DD73" i="8" s="1"/>
  <c r="AI73" i="5"/>
  <c r="DH73" i="8"/>
  <c r="DI73" i="8" s="1"/>
  <c r="CK73" i="8"/>
  <c r="BH73" i="8"/>
  <c r="BU73" i="8" s="1"/>
  <c r="BZ77" i="11"/>
  <c r="K76" i="10"/>
  <c r="AA76" i="7"/>
  <c r="AF76" i="8" s="1"/>
  <c r="AV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U71" i="8"/>
  <c r="AH84" i="9"/>
  <c r="DB71" i="8"/>
  <c r="CZ75" i="5"/>
  <c r="C74" i="5"/>
  <c r="F74" i="5" s="1"/>
  <c r="AB75" i="1"/>
  <c r="DI75" i="5"/>
  <c r="C75" i="5"/>
  <c r="DA74" i="5"/>
  <c r="DG74" i="5" s="1" a="1"/>
  <c r="DG74" i="5" s="1"/>
  <c r="AH38" i="5"/>
  <c r="BU38" i="5"/>
  <c r="AH54" i="5"/>
  <c r="BU54" i="5"/>
  <c r="AH49" i="5"/>
  <c r="BU49" i="5"/>
  <c r="AH41" i="5"/>
  <c r="BU41" i="5"/>
  <c r="AH36" i="5"/>
  <c r="BU36" i="5"/>
  <c r="AH52" i="5"/>
  <c r="BU52" i="5"/>
  <c r="AG84" i="9"/>
  <c r="AK84" i="9"/>
  <c r="B41" i="2"/>
  <c r="B41" i="1"/>
  <c r="BG41" i="1" s="1"/>
  <c r="B36" i="2"/>
  <c r="B36" i="1"/>
  <c r="BG36" i="1" s="1"/>
  <c r="B52" i="2"/>
  <c r="B52" i="1"/>
  <c r="BG52" i="1" s="1"/>
  <c r="B54" i="2"/>
  <c r="B54" i="1"/>
  <c r="BG54" i="1" s="1"/>
  <c r="B38" i="2"/>
  <c r="B38" i="1"/>
  <c r="BG38" i="1" s="1"/>
  <c r="B49" i="2"/>
  <c r="B49" i="1"/>
  <c r="BG49" i="1" s="1"/>
  <c r="L43" i="11"/>
  <c r="AV43" i="8"/>
  <c r="B45" i="14"/>
  <c r="N60" i="1"/>
  <c r="S77" i="2"/>
  <c r="N78" i="2"/>
  <c r="R78" i="2"/>
  <c r="Q77" i="2"/>
  <c r="J79" i="10"/>
  <c r="N79" i="5" s="1"/>
  <c r="P79" i="2"/>
  <c r="AN85" i="9" l="1"/>
  <c r="BK86" i="11" s="1"/>
  <c r="AI86" i="11" s="1"/>
  <c r="CX71" i="8"/>
  <c r="CY71" i="8" s="1"/>
  <c r="CV72" i="8"/>
  <c r="CW72" i="8" s="1"/>
  <c r="AS72" i="8"/>
  <c r="AQ100" i="9"/>
  <c r="CM100" i="8" s="1"/>
  <c r="AO73" i="5"/>
  <c r="AM73" i="5"/>
  <c r="AN73" i="5"/>
  <c r="AR73" i="5" s="1"/>
  <c r="AV74" i="5"/>
  <c r="AW74" i="5"/>
  <c r="AI72" i="7"/>
  <c r="AG73" i="7"/>
  <c r="CL74" i="8"/>
  <c r="CH73" i="8"/>
  <c r="CZ73" i="8" s="1"/>
  <c r="AC73" i="1"/>
  <c r="AI96" i="9"/>
  <c r="AO96" i="8" s="1"/>
  <c r="G79" i="8"/>
  <c r="CF78" i="8"/>
  <c r="O78" i="2"/>
  <c r="AQ72" i="5"/>
  <c r="BE78" i="5" a="1"/>
  <c r="BE78" i="5" s="1"/>
  <c r="BN78" i="5" a="1"/>
  <c r="BN78" i="5" s="1"/>
  <c r="BI78" i="5" a="1"/>
  <c r="BI78" i="5" s="1"/>
  <c r="BC78" i="5" a="1"/>
  <c r="BC78" i="5" s="1"/>
  <c r="AZ78" i="5" a="1"/>
  <c r="AZ78" i="5" s="1"/>
  <c r="AM85" i="9"/>
  <c r="K85" i="8" s="1"/>
  <c r="BR73" i="8"/>
  <c r="BS73" i="8"/>
  <c r="AD76" i="1"/>
  <c r="BK78" i="5" a="1"/>
  <c r="BK78" i="5" s="1"/>
  <c r="BO78" i="5" a="1"/>
  <c r="BO78" i="5" s="1"/>
  <c r="BF78" i="5" a="1"/>
  <c r="BF78" i="5" s="1"/>
  <c r="AE77" i="1" s="1"/>
  <c r="BA78" i="5" a="1"/>
  <c r="BA78" i="5" s="1"/>
  <c r="BJ78" i="5" a="1"/>
  <c r="BJ78" i="5" s="1"/>
  <c r="BM78" i="5" a="1"/>
  <c r="BM78" i="5" s="1"/>
  <c r="BB78" i="5" a="1"/>
  <c r="BB78" i="5" s="1"/>
  <c r="CU78" i="5"/>
  <c r="CV78" i="5"/>
  <c r="CT78" i="5"/>
  <c r="CW78" i="5"/>
  <c r="CQ78" i="5"/>
  <c r="CS78" i="5"/>
  <c r="CR78" i="5"/>
  <c r="BL78" i="5" a="1"/>
  <c r="BL78" i="5" s="1"/>
  <c r="AY78" i="5" a="1"/>
  <c r="AY78" i="5" s="1"/>
  <c r="BG78" i="5" a="1"/>
  <c r="BG78" i="5" s="1"/>
  <c r="BH78" i="5" a="1"/>
  <c r="BH78" i="5" s="1"/>
  <c r="BD78" i="5" a="1"/>
  <c r="BD78" i="5" s="1"/>
  <c r="BQ78" i="5" a="1"/>
  <c r="BQ78" i="5" s="1"/>
  <c r="V76" i="2"/>
  <c r="DB72" i="8"/>
  <c r="CU72" i="8"/>
  <c r="F81" i="8"/>
  <c r="BP77" i="5" a="1"/>
  <c r="BP77" i="5" s="1"/>
  <c r="J77" i="2" s="1"/>
  <c r="O82" i="1"/>
  <c r="CE72" i="8"/>
  <c r="BX73" i="8"/>
  <c r="CD73" i="8" s="1"/>
  <c r="BT73" i="8"/>
  <c r="BO73" i="8"/>
  <c r="BP73" i="8"/>
  <c r="BM73" i="8"/>
  <c r="BN73" i="8"/>
  <c r="BK73" i="8"/>
  <c r="BL73" i="8"/>
  <c r="BJ73" i="8"/>
  <c r="AC73" i="10"/>
  <c r="X73" i="10" s="1"/>
  <c r="AS77" i="5"/>
  <c r="AH77" i="11"/>
  <c r="CA73" i="8"/>
  <c r="CC73" i="8"/>
  <c r="CB73" i="8"/>
  <c r="CT73" i="8" s="1"/>
  <c r="BY73" i="8"/>
  <c r="CQ73" i="8" s="1"/>
  <c r="BZ73" i="8"/>
  <c r="CR73" i="8" s="1"/>
  <c r="DB76" i="5"/>
  <c r="DE76" i="5"/>
  <c r="AK77" i="11"/>
  <c r="AJ77" i="1"/>
  <c r="DF76" i="5"/>
  <c r="AE78" i="8"/>
  <c r="AU78" i="8"/>
  <c r="DH76" i="5"/>
  <c r="AF75" i="1"/>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W75" i="1"/>
  <c r="K79" i="11"/>
  <c r="A79" i="14"/>
  <c r="CA79" i="14" s="1"/>
  <c r="A79" i="5"/>
  <c r="A79" i="7"/>
  <c r="R79" i="7" s="1"/>
  <c r="A79" i="2"/>
  <c r="A79" i="9"/>
  <c r="A79" i="8"/>
  <c r="Y75" i="1"/>
  <c r="DJ76" i="5"/>
  <c r="AB72" i="11"/>
  <c r="Q72" i="8" s="1"/>
  <c r="B73" i="14"/>
  <c r="Q73" i="7"/>
  <c r="N73" i="11"/>
  <c r="N73" i="7"/>
  <c r="AD72" i="11"/>
  <c r="AI72" i="1" s="1"/>
  <c r="Y72" i="11"/>
  <c r="AH72" i="1" s="1"/>
  <c r="AA72" i="11"/>
  <c r="AK72" i="1" s="1"/>
  <c r="AC72" i="11"/>
  <c r="U72" i="8" s="1"/>
  <c r="CI73" i="8"/>
  <c r="DA73" i="8" s="1"/>
  <c r="D74" i="9"/>
  <c r="F75" i="5"/>
  <c r="B76" i="5"/>
  <c r="CS71" i="8"/>
  <c r="BU76" i="5"/>
  <c r="AH76" i="5"/>
  <c r="B76" i="2"/>
  <c r="B76" i="1"/>
  <c r="BG76" i="1" s="1"/>
  <c r="BZ78" i="11"/>
  <c r="K77" i="10"/>
  <c r="AA77" i="7"/>
  <c r="AF77" i="8" s="1"/>
  <c r="AV77" i="8" s="1"/>
  <c r="L77" i="11"/>
  <c r="J77" i="5"/>
  <c r="DC77" i="5" s="1"/>
  <c r="E76" i="10"/>
  <c r="G76" i="7"/>
  <c r="M77" i="5"/>
  <c r="H76" i="10"/>
  <c r="J76" i="7"/>
  <c r="I77" i="5"/>
  <c r="D76" i="10"/>
  <c r="F76" i="7"/>
  <c r="L77" i="5"/>
  <c r="G76" i="10"/>
  <c r="I76" i="7"/>
  <c r="K77" i="5"/>
  <c r="F76" i="10"/>
  <c r="H76" i="7"/>
  <c r="DD76" i="5"/>
  <c r="G77" i="5"/>
  <c r="D76" i="7"/>
  <c r="B76" i="10"/>
  <c r="H77" i="5"/>
  <c r="C76" i="10"/>
  <c r="E76" i="7"/>
  <c r="DH74" i="8"/>
  <c r="DI74" i="8" s="1"/>
  <c r="CK74" i="8"/>
  <c r="BW74" i="8"/>
  <c r="AC74" i="1" s="1"/>
  <c r="BH74" i="8"/>
  <c r="BU74" i="8" s="1"/>
  <c r="BI74" i="8"/>
  <c r="AH85" i="9"/>
  <c r="CZ76" i="5"/>
  <c r="B74" i="9"/>
  <c r="Y74" i="9" s="1"/>
  <c r="BT74" i="5"/>
  <c r="X74" i="8"/>
  <c r="DD74" i="8" s="1"/>
  <c r="E74" i="1"/>
  <c r="AC74" i="8"/>
  <c r="BQ74" i="8" s="1"/>
  <c r="AJ74" i="5"/>
  <c r="AP74" i="5" s="1"/>
  <c r="AI74" i="5"/>
  <c r="A74" i="10"/>
  <c r="AA74" i="10" s="1"/>
  <c r="B74" i="7"/>
  <c r="A74" i="11"/>
  <c r="DA75" i="5"/>
  <c r="DG75" i="5" s="1" a="1"/>
  <c r="DG75" i="5" s="1"/>
  <c r="AB76" i="1"/>
  <c r="DI76" i="5"/>
  <c r="AH43" i="5"/>
  <c r="BU43" i="5"/>
  <c r="AG85" i="9"/>
  <c r="AK85" i="9"/>
  <c r="B43" i="2"/>
  <c r="B43" i="1"/>
  <c r="BG43" i="1" s="1"/>
  <c r="B53" i="14"/>
  <c r="N61" i="1"/>
  <c r="S78" i="2"/>
  <c r="N79" i="2"/>
  <c r="R79" i="2"/>
  <c r="Q78" i="2"/>
  <c r="J80" i="10"/>
  <c r="N80" i="5" s="1"/>
  <c r="P80" i="2"/>
  <c r="AN86" i="9" l="1"/>
  <c r="BK87" i="11" s="1"/>
  <c r="AI87" i="11" s="1"/>
  <c r="CX72" i="8"/>
  <c r="CY72" i="8" s="1"/>
  <c r="CV73" i="8"/>
  <c r="CW73" i="8" s="1"/>
  <c r="AS73" i="8"/>
  <c r="AQ101" i="9"/>
  <c r="CM101" i="8" s="1"/>
  <c r="AO74" i="5"/>
  <c r="AM74" i="5"/>
  <c r="AN74" i="5"/>
  <c r="AR74" i="5" s="1"/>
  <c r="AV75" i="5"/>
  <c r="AW75" i="5"/>
  <c r="AI73" i="7"/>
  <c r="CL75" i="8"/>
  <c r="DB73" i="8"/>
  <c r="AI97" i="9"/>
  <c r="AO97" i="8" s="1"/>
  <c r="G80" i="8"/>
  <c r="CF79" i="8"/>
  <c r="O79" i="2"/>
  <c r="AQ73" i="5"/>
  <c r="BE79" i="5" a="1"/>
  <c r="BE79" i="5" s="1"/>
  <c r="AD77" i="1"/>
  <c r="AM86" i="9"/>
  <c r="K86" i="8" s="1"/>
  <c r="BR74" i="8"/>
  <c r="BS74" i="8"/>
  <c r="BM79" i="5" a="1"/>
  <c r="BM79" i="5" s="1"/>
  <c r="BB79" i="5" a="1"/>
  <c r="BB79" i="5" s="1"/>
  <c r="BQ79" i="5" a="1"/>
  <c r="BQ79" i="5" s="1"/>
  <c r="BD79" i="5" a="1"/>
  <c r="BD79" i="5" s="1"/>
  <c r="BJ79" i="5" a="1"/>
  <c r="BJ79" i="5" s="1"/>
  <c r="BI79" i="5" a="1"/>
  <c r="BI79" i="5" s="1"/>
  <c r="BH79" i="5" a="1"/>
  <c r="BH79" i="5" s="1"/>
  <c r="BA79" i="5" a="1"/>
  <c r="BA79" i="5" s="1"/>
  <c r="BG79" i="5" a="1"/>
  <c r="BG79" i="5" s="1"/>
  <c r="BF79" i="5" a="1"/>
  <c r="BF79" i="5" s="1"/>
  <c r="AE78" i="1" s="1"/>
  <c r="BO79" i="5" a="1"/>
  <c r="BO79" i="5" s="1"/>
  <c r="BK79" i="5" a="1"/>
  <c r="BK79" i="5" s="1"/>
  <c r="CV79" i="5"/>
  <c r="CU79" i="5"/>
  <c r="CQ79" i="5"/>
  <c r="CT79" i="5"/>
  <c r="CR79" i="5"/>
  <c r="CS79" i="5"/>
  <c r="CW79" i="5"/>
  <c r="BL79" i="5" a="1"/>
  <c r="BL79" i="5" s="1"/>
  <c r="AY79" i="5" a="1"/>
  <c r="AY79" i="5" s="1"/>
  <c r="BC79" i="5" a="1"/>
  <c r="BC79" i="5" s="1"/>
  <c r="AZ79" i="5" a="1"/>
  <c r="AZ79" i="5" s="1"/>
  <c r="BN79" i="5" a="1"/>
  <c r="BN79" i="5" s="1"/>
  <c r="V77" i="2"/>
  <c r="CS72" i="8"/>
  <c r="F82" i="8"/>
  <c r="CU73" i="8"/>
  <c r="BP78" i="5" a="1"/>
  <c r="BP78" i="5" s="1"/>
  <c r="J78" i="2" s="1"/>
  <c r="O83" i="1"/>
  <c r="CE73" i="8"/>
  <c r="BX74" i="8"/>
  <c r="CD74" i="8" s="1"/>
  <c r="BT74" i="8"/>
  <c r="BO74" i="8"/>
  <c r="BP74" i="8"/>
  <c r="BM74" i="8"/>
  <c r="BN74" i="8"/>
  <c r="BK74" i="8"/>
  <c r="BL74" i="8"/>
  <c r="BJ74" i="8"/>
  <c r="AC74" i="10"/>
  <c r="X74" i="10" s="1"/>
  <c r="AS78" i="5"/>
  <c r="CK75" i="8"/>
  <c r="AH78" i="11"/>
  <c r="DB77" i="5"/>
  <c r="DE77" i="5"/>
  <c r="W76" i="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T79" i="14" a="1"/>
  <c r="AT79" i="14" s="1"/>
  <c r="K80" i="11"/>
  <c r="A80" i="14"/>
  <c r="CA80" i="14" s="1"/>
  <c r="A80" i="8"/>
  <c r="A80" i="2"/>
  <c r="A80" i="9"/>
  <c r="A80" i="7"/>
  <c r="R80" i="7" s="1"/>
  <c r="A80" i="5"/>
  <c r="AE79" i="8"/>
  <c r="AU79" i="8"/>
  <c r="AC75" i="8"/>
  <c r="BQ75" i="8" s="1"/>
  <c r="BH75" i="8"/>
  <c r="BU75" i="8" s="1"/>
  <c r="AJ75" i="5"/>
  <c r="AP75" i="5" s="1"/>
  <c r="B75" i="7"/>
  <c r="AE75" i="7" s="1"/>
  <c r="AF75" i="7" s="1"/>
  <c r="B75" i="9"/>
  <c r="Y75" i="9" s="1"/>
  <c r="BT75" i="5"/>
  <c r="E75" i="1"/>
  <c r="A75" i="11"/>
  <c r="N75" i="11" s="1"/>
  <c r="BW75" i="8"/>
  <c r="X75" i="8"/>
  <c r="DD75" i="8" s="1"/>
  <c r="BI75" i="8"/>
  <c r="A75" i="10"/>
  <c r="AA75" i="10" s="1"/>
  <c r="DH75" i="8"/>
  <c r="DI75" i="8" s="1"/>
  <c r="AI75" i="5"/>
  <c r="B77" i="5"/>
  <c r="DF77" i="5"/>
  <c r="BU77" i="5"/>
  <c r="AH77" i="5"/>
  <c r="B77" i="1"/>
  <c r="BG77" i="1" s="1"/>
  <c r="B77" i="2"/>
  <c r="BZ79" i="11"/>
  <c r="K78" i="10"/>
  <c r="AA78" i="7"/>
  <c r="AF78" i="8" s="1"/>
  <c r="AV78" i="8" s="1"/>
  <c r="L78" i="11"/>
  <c r="I78" i="5"/>
  <c r="D77" i="10"/>
  <c r="F77" i="7"/>
  <c r="H78" i="5"/>
  <c r="C77" i="10"/>
  <c r="E77" i="7"/>
  <c r="K78" i="5"/>
  <c r="F77" i="10"/>
  <c r="H77" i="7"/>
  <c r="DD77" i="5"/>
  <c r="M78" i="5"/>
  <c r="H77" i="10"/>
  <c r="J77" i="7"/>
  <c r="D77" i="7"/>
  <c r="G78" i="5"/>
  <c r="B77" i="10"/>
  <c r="L78" i="5"/>
  <c r="G77" i="10"/>
  <c r="I77" i="7"/>
  <c r="J78" i="5"/>
  <c r="DC78" i="5" s="1"/>
  <c r="E77" i="10"/>
  <c r="G77" i="7"/>
  <c r="D75" i="9"/>
  <c r="N74" i="7"/>
  <c r="AH86" i="9"/>
  <c r="AB73" i="11"/>
  <c r="Q73" i="8" s="1"/>
  <c r="AD73" i="11"/>
  <c r="AI73" i="1" s="1"/>
  <c r="N74" i="11"/>
  <c r="Z73" i="11"/>
  <c r="AA73" i="11"/>
  <c r="AK73" i="1" s="1"/>
  <c r="Y73" i="11"/>
  <c r="AH73" i="1" s="1"/>
  <c r="AC73" i="11"/>
  <c r="U73" i="8" s="1"/>
  <c r="CI74" i="8"/>
  <c r="DA74" i="8" s="1"/>
  <c r="Q74" i="7"/>
  <c r="AE74" i="7"/>
  <c r="AF74" i="7" s="1"/>
  <c r="C76" i="5"/>
  <c r="F76" i="5" s="1"/>
  <c r="CZ77" i="5"/>
  <c r="CB74" i="8"/>
  <c r="CT74" i="8" s="1"/>
  <c r="BY74" i="8"/>
  <c r="CQ74" i="8" s="1"/>
  <c r="BZ74" i="8"/>
  <c r="CR74" i="8" s="1"/>
  <c r="CA74" i="8"/>
  <c r="CC74" i="8"/>
  <c r="CH74" i="8"/>
  <c r="CZ74" i="8" s="1"/>
  <c r="C77" i="5"/>
  <c r="DA76" i="5"/>
  <c r="DG76" i="5" s="1" a="1"/>
  <c r="DG76" i="5" s="1"/>
  <c r="AB77" i="1"/>
  <c r="DI77" i="5"/>
  <c r="AG86" i="9"/>
  <c r="AK86" i="9"/>
  <c r="L55" i="11"/>
  <c r="AV55" i="8"/>
  <c r="B60" i="14"/>
  <c r="N62" i="1"/>
  <c r="S79" i="2"/>
  <c r="N80" i="2"/>
  <c r="R80" i="2"/>
  <c r="Q79" i="2"/>
  <c r="P81" i="2"/>
  <c r="J81" i="10"/>
  <c r="N81" i="5" s="1"/>
  <c r="AN87" i="9" l="1"/>
  <c r="BK88" i="11" s="1"/>
  <c r="AI88" i="11" s="1"/>
  <c r="CX73" i="8"/>
  <c r="CY73" i="8" s="1"/>
  <c r="CV74" i="8"/>
  <c r="CW74" i="8" s="1"/>
  <c r="AS74" i="8"/>
  <c r="AQ102" i="9"/>
  <c r="CM102" i="8" s="1"/>
  <c r="AO75" i="5"/>
  <c r="AM75" i="5"/>
  <c r="AN75" i="5"/>
  <c r="AR75" i="5" s="1"/>
  <c r="AV76" i="5"/>
  <c r="AW76" i="5"/>
  <c r="AG75" i="7"/>
  <c r="AG74" i="7"/>
  <c r="AI74" i="7" s="1"/>
  <c r="CL76" i="8"/>
  <c r="BY75" i="8"/>
  <c r="CQ75" i="8" s="1"/>
  <c r="AC75" i="1"/>
  <c r="AI98" i="9"/>
  <c r="AO98" i="8" s="1"/>
  <c r="G81" i="8"/>
  <c r="CF80" i="8"/>
  <c r="O80" i="2"/>
  <c r="AQ74" i="5"/>
  <c r="BG80" i="5" a="1"/>
  <c r="BG80" i="5" s="1"/>
  <c r="BK80" i="5" a="1"/>
  <c r="BK80" i="5" s="1"/>
  <c r="BO80" i="5" a="1"/>
  <c r="BO80" i="5" s="1"/>
  <c r="AM87" i="9"/>
  <c r="K87" i="8" s="1"/>
  <c r="BR75" i="8"/>
  <c r="BS75" i="8"/>
  <c r="AD78" i="1"/>
  <c r="BF80" i="5" a="1"/>
  <c r="BF80" i="5" s="1"/>
  <c r="AE79" i="1" s="1"/>
  <c r="CV80" i="5"/>
  <c r="CT80" i="5"/>
  <c r="CQ80" i="5"/>
  <c r="CW80" i="5"/>
  <c r="CS80" i="5"/>
  <c r="CU80" i="5"/>
  <c r="CR80" i="5"/>
  <c r="AY80" i="5" a="1"/>
  <c r="AY80" i="5" s="1"/>
  <c r="BL80" i="5" a="1"/>
  <c r="BL80" i="5" s="1"/>
  <c r="BN80" i="5" a="1"/>
  <c r="BN80" i="5" s="1"/>
  <c r="BA80" i="5" a="1"/>
  <c r="BA80" i="5" s="1"/>
  <c r="AZ80" i="5" a="1"/>
  <c r="AZ80" i="5" s="1"/>
  <c r="BH80" i="5" a="1"/>
  <c r="BH80" i="5" s="1"/>
  <c r="BC80" i="5" a="1"/>
  <c r="BC80" i="5" s="1"/>
  <c r="BI80" i="5" a="1"/>
  <c r="BI80" i="5" s="1"/>
  <c r="BJ80" i="5" a="1"/>
  <c r="BJ80" i="5" s="1"/>
  <c r="BD80" i="5" a="1"/>
  <c r="BD80" i="5" s="1"/>
  <c r="BQ80" i="5" a="1"/>
  <c r="BQ80" i="5" s="1"/>
  <c r="BB80" i="5" a="1"/>
  <c r="BB80" i="5" s="1"/>
  <c r="BM80" i="5" a="1"/>
  <c r="BM80" i="5" s="1"/>
  <c r="BE80" i="5" a="1"/>
  <c r="BE80" i="5" s="1"/>
  <c r="V78" i="2"/>
  <c r="CS73" i="8"/>
  <c r="F83" i="8"/>
  <c r="BP79" i="5" a="1"/>
  <c r="BP79" i="5" s="1"/>
  <c r="J79" i="2" s="1"/>
  <c r="O84" i="1"/>
  <c r="CE74" i="8"/>
  <c r="BX75" i="8"/>
  <c r="CD75" i="8" s="1"/>
  <c r="BT75" i="8"/>
  <c r="BO75" i="8"/>
  <c r="BP75" i="8"/>
  <c r="BM75" i="8"/>
  <c r="BN75" i="8"/>
  <c r="BK75" i="8"/>
  <c r="BL75" i="8"/>
  <c r="BJ75" i="8"/>
  <c r="AC75" i="10"/>
  <c r="X75" i="10" s="1"/>
  <c r="AS79" i="5"/>
  <c r="AH79" i="11"/>
  <c r="DF78" i="5"/>
  <c r="DB78" i="5"/>
  <c r="AM79" i="1"/>
  <c r="DE78" i="5"/>
  <c r="AJ79" i="1"/>
  <c r="DH78" i="5"/>
  <c r="AU80" i="8"/>
  <c r="AE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CA81" i="14" s="1"/>
  <c r="A81" i="8"/>
  <c r="A81" i="2"/>
  <c r="A81" i="9"/>
  <c r="A81" i="7"/>
  <c r="R81" i="7" s="1"/>
  <c r="A81" i="5"/>
  <c r="W77" i="1"/>
  <c r="Y77" i="1"/>
  <c r="DJ78" i="5"/>
  <c r="Q75" i="7"/>
  <c r="N75" i="7"/>
  <c r="F77" i="5"/>
  <c r="D76" i="9"/>
  <c r="AD74" i="11"/>
  <c r="AI74" i="1" s="1"/>
  <c r="AA74" i="11"/>
  <c r="AK74" i="1" s="1"/>
  <c r="AB74" i="11"/>
  <c r="Q74" i="8" s="1"/>
  <c r="Y74" i="11"/>
  <c r="AH74" i="1" s="1"/>
  <c r="Z74" i="11"/>
  <c r="AC74" i="11"/>
  <c r="U74" i="8" s="1"/>
  <c r="BZ75" i="8"/>
  <c r="CR75" i="8" s="1"/>
  <c r="CH75" i="8"/>
  <c r="CZ75" i="8" s="1"/>
  <c r="CC75" i="8"/>
  <c r="CB75" i="8"/>
  <c r="CT75" i="8" s="1"/>
  <c r="CA75" i="8"/>
  <c r="CI75" i="8"/>
  <c r="DA75" i="8" s="1"/>
  <c r="B78" i="5"/>
  <c r="BU78" i="5"/>
  <c r="AH78" i="5"/>
  <c r="B78" i="2"/>
  <c r="B78" i="1"/>
  <c r="BG78" i="1" s="1"/>
  <c r="BZ80" i="11"/>
  <c r="AA79" i="7"/>
  <c r="AF79" i="8" s="1"/>
  <c r="AV79" i="8" s="1"/>
  <c r="K79" i="10"/>
  <c r="L79" i="11"/>
  <c r="K79" i="5"/>
  <c r="F78" i="10"/>
  <c r="H78" i="7"/>
  <c r="DD78" i="5"/>
  <c r="J79" i="5"/>
  <c r="DC79" i="5" s="1"/>
  <c r="E78" i="10"/>
  <c r="G78" i="7"/>
  <c r="H79" i="5"/>
  <c r="C78" i="10"/>
  <c r="E78" i="7"/>
  <c r="L79" i="5"/>
  <c r="G78" i="10"/>
  <c r="I78" i="7"/>
  <c r="M79" i="5"/>
  <c r="H78" i="10"/>
  <c r="J78" i="7"/>
  <c r="D78" i="7"/>
  <c r="B78" i="10"/>
  <c r="G79" i="5"/>
  <c r="I79" i="5"/>
  <c r="D78" i="10"/>
  <c r="F78" i="7"/>
  <c r="CU74" i="8"/>
  <c r="DH76" i="8"/>
  <c r="DI76" i="8" s="1"/>
  <c r="CK76" i="8"/>
  <c r="BW76" i="8"/>
  <c r="AC76" i="1" s="1"/>
  <c r="BH76" i="8"/>
  <c r="BU76" i="8" s="1"/>
  <c r="BI76" i="8"/>
  <c r="AH87" i="9"/>
  <c r="DB74" i="8"/>
  <c r="AJ76" i="5"/>
  <c r="AP76" i="5" s="1"/>
  <c r="AC76" i="8"/>
  <c r="BQ76" i="8" s="1"/>
  <c r="BT76" i="5"/>
  <c r="A76" i="10"/>
  <c r="AA76" i="10" s="1"/>
  <c r="B76" i="7"/>
  <c r="AI76" i="5"/>
  <c r="A76" i="11"/>
  <c r="X76" i="8"/>
  <c r="DD76" i="8" s="1"/>
  <c r="E76" i="1"/>
  <c r="B76" i="9"/>
  <c r="Y76" i="9" s="1"/>
  <c r="B74" i="14"/>
  <c r="CZ78" i="5"/>
  <c r="AB78" i="1"/>
  <c r="DI78" i="5"/>
  <c r="C78" i="5"/>
  <c r="DA77" i="5"/>
  <c r="DG77" i="5" s="1" a="1"/>
  <c r="DG77" i="5" s="1"/>
  <c r="AH55" i="5"/>
  <c r="BU55" i="5"/>
  <c r="AG87" i="9"/>
  <c r="AK87" i="9"/>
  <c r="B55" i="2"/>
  <c r="B55" i="1"/>
  <c r="BG55" i="1" s="1"/>
  <c r="B66" i="14"/>
  <c r="N63" i="1"/>
  <c r="S80" i="2"/>
  <c r="N81" i="2"/>
  <c r="R81" i="2"/>
  <c r="Q80" i="2"/>
  <c r="P82" i="2"/>
  <c r="J82" i="10"/>
  <c r="N82" i="5" s="1"/>
  <c r="AN88" i="9" l="1"/>
  <c r="BK89" i="11" s="1"/>
  <c r="AI89" i="11" s="1"/>
  <c r="CX74" i="8"/>
  <c r="CY74" i="8" s="1"/>
  <c r="CV75" i="8"/>
  <c r="CW75" i="8" s="1"/>
  <c r="CU75" i="8"/>
  <c r="AS75" i="8"/>
  <c r="AQ103" i="9"/>
  <c r="CM103" i="8" s="1"/>
  <c r="AO76" i="5"/>
  <c r="AM76" i="5"/>
  <c r="AN76" i="5"/>
  <c r="AR76" i="5" s="1"/>
  <c r="AV77" i="5"/>
  <c r="AW77" i="5"/>
  <c r="AI75" i="7"/>
  <c r="CL77" i="8"/>
  <c r="AI99" i="9"/>
  <c r="AO99" i="8" s="1"/>
  <c r="G82" i="8"/>
  <c r="CF81" i="8"/>
  <c r="O81" i="2"/>
  <c r="AQ75" i="5"/>
  <c r="BO81" i="5" a="1"/>
  <c r="BO81" i="5" s="1"/>
  <c r="BA81" i="5" a="1"/>
  <c r="BA81" i="5" s="1"/>
  <c r="BN81" i="5" a="1"/>
  <c r="BN81" i="5" s="1"/>
  <c r="BH81" i="5" a="1"/>
  <c r="BH81" i="5" s="1"/>
  <c r="AM88" i="9"/>
  <c r="K88" i="8" s="1"/>
  <c r="I54" i="4"/>
  <c r="I53" i="4"/>
  <c r="J53" i="4" s="1"/>
  <c r="BR76" i="8"/>
  <c r="BS76" i="8"/>
  <c r="F70" i="4"/>
  <c r="D81" i="4" s="1"/>
  <c r="AD79" i="1"/>
  <c r="AZ81" i="5" a="1"/>
  <c r="AZ81" i="5" s="1"/>
  <c r="CW81" i="5"/>
  <c r="CS81" i="5"/>
  <c r="CR81" i="5"/>
  <c r="CT81" i="5"/>
  <c r="CU81" i="5"/>
  <c r="CV81" i="5"/>
  <c r="CQ81" i="5"/>
  <c r="AY81" i="5" a="1"/>
  <c r="AY81" i="5" s="1"/>
  <c r="BL81" i="5" a="1"/>
  <c r="BL81" i="5" s="1"/>
  <c r="BE81" i="5" a="1"/>
  <c r="BE81" i="5" s="1"/>
  <c r="BM81" i="5" a="1"/>
  <c r="BM81" i="5" s="1"/>
  <c r="BB81" i="5" a="1"/>
  <c r="BB81" i="5" s="1"/>
  <c r="BQ81" i="5" a="1"/>
  <c r="BQ81" i="5" s="1"/>
  <c r="BD81" i="5" a="1"/>
  <c r="BD81" i="5" s="1"/>
  <c r="BJ81" i="5" a="1"/>
  <c r="BJ81" i="5" s="1"/>
  <c r="BK81" i="5" a="1"/>
  <c r="BK81" i="5" s="1"/>
  <c r="BI81" i="5" a="1"/>
  <c r="BI81" i="5" s="1"/>
  <c r="BG81" i="5" a="1"/>
  <c r="BG81" i="5" s="1"/>
  <c r="BC81" i="5" a="1"/>
  <c r="BC81" i="5" s="1"/>
  <c r="BF81" i="5" a="1"/>
  <c r="BF81" i="5" s="1"/>
  <c r="AE80" i="1" s="1"/>
  <c r="V79" i="2"/>
  <c r="F84" i="8"/>
  <c r="BP80" i="5" a="1"/>
  <c r="BP80" i="5" s="1"/>
  <c r="J80" i="2" s="1"/>
  <c r="BI77" i="8"/>
  <c r="O85" i="1"/>
  <c r="CE75" i="8"/>
  <c r="BT76" i="8"/>
  <c r="BO76" i="8"/>
  <c r="BP76" i="8"/>
  <c r="BM76" i="8"/>
  <c r="BN76" i="8"/>
  <c r="BK76" i="8"/>
  <c r="BL76" i="8"/>
  <c r="BJ76" i="8"/>
  <c r="AC76" i="10"/>
  <c r="X76" i="10" s="1"/>
  <c r="AS80" i="5"/>
  <c r="AH80" i="11"/>
  <c r="DB79" i="5"/>
  <c r="DF79" i="5"/>
  <c r="AJ80" i="1"/>
  <c r="AK80" i="11"/>
  <c r="AM80" i="1"/>
  <c r="DE79" i="5"/>
  <c r="DH79" i="5"/>
  <c r="Y78" i="1"/>
  <c r="DJ79" i="5"/>
  <c r="AU81" i="8"/>
  <c r="AE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W78" i="1"/>
  <c r="K82" i="11"/>
  <c r="A82" i="14"/>
  <c r="CA82" i="14" s="1"/>
  <c r="A82" i="7"/>
  <c r="R82" i="7" s="1"/>
  <c r="A82" i="5"/>
  <c r="A82" i="9"/>
  <c r="A82" i="2"/>
  <c r="A82" i="8"/>
  <c r="B77" i="9"/>
  <c r="Y77" i="9" s="1"/>
  <c r="DH77" i="8"/>
  <c r="DI77" i="8" s="1"/>
  <c r="B77" i="7"/>
  <c r="Q77" i="7" s="1"/>
  <c r="BH77" i="8"/>
  <c r="BU77" i="8" s="1"/>
  <c r="A77" i="11"/>
  <c r="AB76" i="11" s="1"/>
  <c r="Q76" i="8" s="1"/>
  <c r="E77" i="1"/>
  <c r="CK77" i="8"/>
  <c r="X77" i="8"/>
  <c r="DD77" i="8" s="1"/>
  <c r="A77" i="10"/>
  <c r="AA77" i="10" s="1"/>
  <c r="AI77" i="5"/>
  <c r="BT77" i="5"/>
  <c r="BW77" i="8"/>
  <c r="AJ77" i="5"/>
  <c r="AP77" i="5" s="1"/>
  <c r="AC77" i="8"/>
  <c r="BQ77" i="8" s="1"/>
  <c r="DB75" i="8"/>
  <c r="CS75" i="8"/>
  <c r="F78" i="5"/>
  <c r="AH79" i="5"/>
  <c r="BU79" i="5"/>
  <c r="B79" i="2"/>
  <c r="B79" i="1"/>
  <c r="BG79" i="1" s="1"/>
  <c r="CS74" i="8"/>
  <c r="BZ81" i="11"/>
  <c r="AA80" i="7"/>
  <c r="AF80" i="8" s="1"/>
  <c r="AV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BX76" i="8"/>
  <c r="CD76" i="8" s="1"/>
  <c r="N76" i="7"/>
  <c r="AH88" i="9"/>
  <c r="F64" i="4"/>
  <c r="D89" i="4" s="1"/>
  <c r="F72" i="4"/>
  <c r="F59" i="4"/>
  <c r="F61" i="4"/>
  <c r="F63" i="4"/>
  <c r="F66" i="4"/>
  <c r="C83" i="4" s="1"/>
  <c r="B24" i="4" s="1"/>
  <c r="C41" i="4" s="1"/>
  <c r="F67" i="4"/>
  <c r="F56" i="4"/>
  <c r="F52" i="4"/>
  <c r="F69" i="4"/>
  <c r="F65" i="4"/>
  <c r="F62" i="4"/>
  <c r="F58" i="4"/>
  <c r="F55" i="4"/>
  <c r="F53" i="4"/>
  <c r="F51" i="4"/>
  <c r="D88" i="4"/>
  <c r="B56" i="4"/>
  <c r="F68" i="4"/>
  <c r="E71" i="4"/>
  <c r="F71" i="4" s="1"/>
  <c r="F54" i="4"/>
  <c r="F57" i="4"/>
  <c r="F60" i="4"/>
  <c r="CZ79" i="5"/>
  <c r="AB75" i="11"/>
  <c r="Q75" i="8" s="1"/>
  <c r="Z75" i="11"/>
  <c r="AA75" i="11"/>
  <c r="AK75" i="1" s="1"/>
  <c r="Y75" i="11"/>
  <c r="AH75" i="1" s="1"/>
  <c r="AC75" i="11"/>
  <c r="U75" i="8" s="1"/>
  <c r="AD75" i="11"/>
  <c r="AI75" i="1" s="1"/>
  <c r="N76" i="11"/>
  <c r="CI76" i="8"/>
  <c r="DA76" i="8" s="1"/>
  <c r="CA76" i="8"/>
  <c r="CC76" i="8"/>
  <c r="CH76" i="8"/>
  <c r="CZ76" i="8" s="1"/>
  <c r="BY76" i="8"/>
  <c r="CQ76" i="8" s="1"/>
  <c r="BZ76" i="8"/>
  <c r="CR76" i="8" s="1"/>
  <c r="CB76" i="8"/>
  <c r="CT76" i="8" s="1"/>
  <c r="AE76" i="7"/>
  <c r="AF76" i="7" s="1"/>
  <c r="Q76" i="7"/>
  <c r="DA78" i="5"/>
  <c r="DG78" i="5" s="1" a="1"/>
  <c r="DG78" i="5" s="1"/>
  <c r="AB79" i="1"/>
  <c r="DI79" i="5"/>
  <c r="AG88" i="9"/>
  <c r="AK88" i="9"/>
  <c r="L35" i="11"/>
  <c r="AV35" i="8"/>
  <c r="B71" i="14"/>
  <c r="N64" i="1"/>
  <c r="S81" i="2"/>
  <c r="N82" i="2"/>
  <c r="R82" i="2"/>
  <c r="Q81" i="2"/>
  <c r="P83" i="2"/>
  <c r="J83" i="10"/>
  <c r="N83" i="5" s="1"/>
  <c r="AN89" i="9" l="1"/>
  <c r="BK90" i="11" s="1"/>
  <c r="AI90" i="11" s="1"/>
  <c r="CX75" i="8"/>
  <c r="CY75" i="8" s="1"/>
  <c r="CV76" i="8"/>
  <c r="CW76" i="8" s="1"/>
  <c r="AS76" i="8"/>
  <c r="AQ104" i="9"/>
  <c r="CM104" i="8" s="1"/>
  <c r="AO77" i="5"/>
  <c r="AM77" i="5"/>
  <c r="AN77" i="5"/>
  <c r="AR77" i="5" s="1"/>
  <c r="AV78" i="5"/>
  <c r="AW78" i="5"/>
  <c r="AG76" i="7"/>
  <c r="AI76" i="7" s="1"/>
  <c r="M29" i="7"/>
  <c r="CL78" i="8"/>
  <c r="CH77" i="8"/>
  <c r="CZ77" i="8" s="1"/>
  <c r="AC77" i="1"/>
  <c r="AI100" i="9"/>
  <c r="AO100" i="8" s="1"/>
  <c r="G83" i="8"/>
  <c r="CF82" i="8"/>
  <c r="O82" i="2"/>
  <c r="AQ76" i="5"/>
  <c r="C80" i="4"/>
  <c r="D79" i="4"/>
  <c r="BA82" i="5" a="1"/>
  <c r="BA82" i="5" s="1"/>
  <c r="D84" i="4"/>
  <c r="AD80" i="1"/>
  <c r="BF82" i="5" a="1"/>
  <c r="BF82" i="5" s="1"/>
  <c r="AE81" i="1" s="1"/>
  <c r="BM82" i="5" a="1"/>
  <c r="BM82" i="5" s="1"/>
  <c r="BE82" i="5" a="1"/>
  <c r="BE82" i="5" s="1"/>
  <c r="AM89" i="9"/>
  <c r="K89" i="8" s="1"/>
  <c r="BR77" i="8"/>
  <c r="BS77" i="8"/>
  <c r="D82" i="4"/>
  <c r="D80" i="4"/>
  <c r="C25" i="4" s="1"/>
  <c r="C85" i="4"/>
  <c r="J54" i="4"/>
  <c r="BC82" i="5" a="1"/>
  <c r="BC82" i="5" s="1"/>
  <c r="BG82" i="5" a="1"/>
  <c r="BG82" i="5" s="1"/>
  <c r="BI82" i="5" a="1"/>
  <c r="BI82" i="5" s="1"/>
  <c r="CR82" i="5"/>
  <c r="CS82" i="5"/>
  <c r="CU82" i="5"/>
  <c r="CQ82" i="5"/>
  <c r="CT82" i="5"/>
  <c r="CW82" i="5"/>
  <c r="CV82" i="5"/>
  <c r="AY82" i="5" a="1"/>
  <c r="AY82" i="5" s="1"/>
  <c r="BL82" i="5" a="1"/>
  <c r="BL82" i="5" s="1"/>
  <c r="BK82" i="5" a="1"/>
  <c r="BK82" i="5" s="1"/>
  <c r="BJ82" i="5" a="1"/>
  <c r="BJ82" i="5" s="1"/>
  <c r="BD82" i="5" a="1"/>
  <c r="BD82" i="5" s="1"/>
  <c r="BQ82" i="5" a="1"/>
  <c r="BQ82" i="5" s="1"/>
  <c r="BN82" i="5" a="1"/>
  <c r="BN82" i="5" s="1"/>
  <c r="BB82" i="5" a="1"/>
  <c r="BB82" i="5" s="1"/>
  <c r="AZ82" i="5" a="1"/>
  <c r="AZ82" i="5" s="1"/>
  <c r="BO82" i="5" a="1"/>
  <c r="BO82" i="5" s="1"/>
  <c r="BH82" i="5" a="1"/>
  <c r="BH82" i="5" s="1"/>
  <c r="V80" i="2"/>
  <c r="F85" i="8"/>
  <c r="BP81" i="5" a="1"/>
  <c r="BP81" i="5" s="1"/>
  <c r="J81" i="2" s="1"/>
  <c r="O86" i="1"/>
  <c r="BX77" i="8"/>
  <c r="CE77" i="8" s="1"/>
  <c r="CX77" i="8" s="1"/>
  <c r="BT77" i="8"/>
  <c r="BO77" i="8"/>
  <c r="BP77" i="8"/>
  <c r="BM77" i="8"/>
  <c r="BN77" i="8"/>
  <c r="BK77" i="8"/>
  <c r="BL77" i="8"/>
  <c r="BJ77" i="8"/>
  <c r="AC77" i="10"/>
  <c r="X77" i="10" s="1"/>
  <c r="AS81" i="5"/>
  <c r="BW78" i="8"/>
  <c r="DB80" i="5"/>
  <c r="AK81" i="11"/>
  <c r="DF80" i="5"/>
  <c r="DE80" i="5"/>
  <c r="Y79" i="1"/>
  <c r="DJ80" i="5"/>
  <c r="AU82" i="8"/>
  <c r="AE82" i="8"/>
  <c r="AH81" i="11"/>
  <c r="W79" i="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CA83" i="14" s="1"/>
  <c r="A83" i="7"/>
  <c r="R83" i="7" s="1"/>
  <c r="A83" i="9"/>
  <c r="A83" i="2"/>
  <c r="A83" i="8"/>
  <c r="A83" i="5"/>
  <c r="Y76" i="11"/>
  <c r="AH76" i="1" s="1"/>
  <c r="CI77" i="8"/>
  <c r="DA77" i="8" s="1"/>
  <c r="BY77" i="8"/>
  <c r="CQ77" i="8" s="1"/>
  <c r="AE77" i="7"/>
  <c r="AF77" i="7" s="1"/>
  <c r="AA76" i="11"/>
  <c r="AK76" i="1" s="1"/>
  <c r="Z76" i="11"/>
  <c r="AD76" i="11"/>
  <c r="AI76" i="1" s="1"/>
  <c r="N77" i="11"/>
  <c r="AC76" i="11"/>
  <c r="N77" i="7"/>
  <c r="D78" i="9"/>
  <c r="A78" i="10"/>
  <c r="AA78" i="10" s="1"/>
  <c r="CA77" i="8"/>
  <c r="CC77" i="8"/>
  <c r="BT78" i="5"/>
  <c r="CB77" i="8"/>
  <c r="CT77" i="8" s="1"/>
  <c r="AJ78" i="5"/>
  <c r="AP78" i="5" s="1"/>
  <c r="AC78" i="8"/>
  <c r="BQ78" i="8" s="1"/>
  <c r="BZ77" i="8"/>
  <c r="CR77" i="8" s="1"/>
  <c r="DH78" i="8"/>
  <c r="DI78" i="8" s="1"/>
  <c r="E78" i="1"/>
  <c r="B80" i="5"/>
  <c r="B78" i="7"/>
  <c r="AE78" i="7" s="1"/>
  <c r="AF78" i="7" s="1"/>
  <c r="B78" i="9"/>
  <c r="Y78" i="9" s="1"/>
  <c r="A78" i="11"/>
  <c r="AC77" i="11" s="1"/>
  <c r="U77" i="8" s="1"/>
  <c r="AI78" i="5"/>
  <c r="BH78" i="8"/>
  <c r="BU78" i="8" s="1"/>
  <c r="CK78" i="8"/>
  <c r="X78" i="8"/>
  <c r="DD78" i="8" s="1"/>
  <c r="BI78" i="8"/>
  <c r="BZ82" i="11"/>
  <c r="K81" i="10"/>
  <c r="AA81" i="7"/>
  <c r="AF81" i="8" s="1"/>
  <c r="AV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U76" i="8"/>
  <c r="CE76" i="8"/>
  <c r="AH89" i="9"/>
  <c r="D83" i="4"/>
  <c r="DB76" i="8"/>
  <c r="CZ80" i="5"/>
  <c r="B76" i="14"/>
  <c r="C79" i="5"/>
  <c r="F79" i="5" s="1"/>
  <c r="AB80" i="1"/>
  <c r="DI80" i="5"/>
  <c r="DA79" i="5"/>
  <c r="DG79" i="5" s="1" a="1"/>
  <c r="DG79" i="5" s="1"/>
  <c r="AH35" i="5"/>
  <c r="BU35" i="5"/>
  <c r="AG89" i="9"/>
  <c r="AK89" i="9"/>
  <c r="B35" i="2"/>
  <c r="B35" i="1"/>
  <c r="BG35" i="1" s="1"/>
  <c r="L56" i="11"/>
  <c r="AV56" i="8"/>
  <c r="B75" i="14"/>
  <c r="N65" i="1"/>
  <c r="S82" i="2"/>
  <c r="N83" i="2"/>
  <c r="R83" i="2"/>
  <c r="Q82" i="2"/>
  <c r="P84" i="2"/>
  <c r="J84" i="10"/>
  <c r="N84" i="5" s="1"/>
  <c r="AN90" i="9" l="1"/>
  <c r="BK91" i="11" s="1"/>
  <c r="AI91" i="11" s="1"/>
  <c r="CX76" i="8"/>
  <c r="CY76" i="8" s="1"/>
  <c r="CV77" i="8"/>
  <c r="CW77" i="8" s="1"/>
  <c r="AS77" i="8"/>
  <c r="AQ105" i="9"/>
  <c r="CM105" i="8" s="1"/>
  <c r="AO78" i="5"/>
  <c r="AM78" i="5"/>
  <c r="AN78" i="5"/>
  <c r="AR78" i="5" s="1"/>
  <c r="AV79" i="5"/>
  <c r="AW79" i="5"/>
  <c r="AG77" i="7"/>
  <c r="AI77" i="7" s="1"/>
  <c r="AG78" i="7"/>
  <c r="CL79" i="8"/>
  <c r="C24" i="4"/>
  <c r="F41" i="4" s="1"/>
  <c r="DB77" i="8"/>
  <c r="CC78" i="8"/>
  <c r="AC78" i="1"/>
  <c r="AI101" i="9"/>
  <c r="AO101" i="8" s="1"/>
  <c r="G84" i="8"/>
  <c r="CF83" i="8"/>
  <c r="O83" i="2"/>
  <c r="B25" i="4"/>
  <c r="AM90" i="9"/>
  <c r="K90" i="8" s="1"/>
  <c r="BR78" i="8"/>
  <c r="BS78" i="8"/>
  <c r="U76" i="8"/>
  <c r="AD81" i="1"/>
  <c r="CT83" i="5"/>
  <c r="CS83" i="5"/>
  <c r="CV83" i="5"/>
  <c r="CW83" i="5"/>
  <c r="CR83" i="5"/>
  <c r="CU83" i="5"/>
  <c r="CQ83" i="5"/>
  <c r="AY83" i="5" a="1"/>
  <c r="AY83" i="5" s="1"/>
  <c r="BL83" i="5" a="1"/>
  <c r="BL83" i="5" s="1"/>
  <c r="BO83" i="5" a="1"/>
  <c r="BO83" i="5" s="1"/>
  <c r="AZ83" i="5" a="1"/>
  <c r="AZ83" i="5" s="1"/>
  <c r="BI83" i="5" a="1"/>
  <c r="BI83" i="5" s="1"/>
  <c r="BB83" i="5" a="1"/>
  <c r="BB83" i="5" s="1"/>
  <c r="BM83" i="5" a="1"/>
  <c r="BM83" i="5" s="1"/>
  <c r="BN83" i="5" a="1"/>
  <c r="BN83" i="5" s="1"/>
  <c r="BG83" i="5" a="1"/>
  <c r="BG83" i="5" s="1"/>
  <c r="BH83" i="5" a="1"/>
  <c r="BH83" i="5" s="1"/>
  <c r="BQ83" i="5" a="1"/>
  <c r="BQ83" i="5" s="1"/>
  <c r="BA83" i="5" a="1"/>
  <c r="BA83" i="5" s="1"/>
  <c r="BD83" i="5" a="1"/>
  <c r="BD83" i="5" s="1"/>
  <c r="BC83" i="5" a="1"/>
  <c r="BC83" i="5" s="1"/>
  <c r="BJ83" i="5" a="1"/>
  <c r="BJ83" i="5" s="1"/>
  <c r="BF83" i="5" a="1"/>
  <c r="BF83" i="5" s="1"/>
  <c r="AE82" i="1" s="1"/>
  <c r="BK83" i="5" a="1"/>
  <c r="BK83" i="5" s="1"/>
  <c r="BE83" i="5" a="1"/>
  <c r="BE83" i="5" s="1"/>
  <c r="V81" i="2"/>
  <c r="CU77" i="8"/>
  <c r="F86" i="8"/>
  <c r="BP82" i="5" a="1"/>
  <c r="BP82" i="5" s="1"/>
  <c r="J82" i="2" s="1"/>
  <c r="O87" i="1"/>
  <c r="F42" i="4"/>
  <c r="F40" i="4"/>
  <c r="CD77" i="8"/>
  <c r="BX78" i="8"/>
  <c r="CE78" i="8" s="1"/>
  <c r="CX78" i="8" s="1"/>
  <c r="BT78" i="8"/>
  <c r="BO78" i="8"/>
  <c r="BP78" i="8"/>
  <c r="BM78" i="8"/>
  <c r="BN78" i="8"/>
  <c r="BK78" i="8"/>
  <c r="BL78" i="8"/>
  <c r="BJ78" i="8"/>
  <c r="AC78" i="10"/>
  <c r="X78" i="10" s="1"/>
  <c r="AS82" i="5"/>
  <c r="CH78" i="8"/>
  <c r="CZ78" i="8" s="1"/>
  <c r="CA78" i="8"/>
  <c r="BZ78" i="8"/>
  <c r="CR78" i="8" s="1"/>
  <c r="DF81" i="5"/>
  <c r="CB78" i="8"/>
  <c r="CT78" i="8" s="1"/>
  <c r="BY78" i="8"/>
  <c r="CQ78" i="8" s="1"/>
  <c r="DE81" i="5"/>
  <c r="AK82" i="11"/>
  <c r="AJ82" i="1"/>
  <c r="DB81" i="5"/>
  <c r="K84" i="11"/>
  <c r="A84" i="14"/>
  <c r="CA84" i="14" s="1"/>
  <c r="A84" i="7"/>
  <c r="R84" i="7" s="1"/>
  <c r="A84" i="5"/>
  <c r="A84" i="8"/>
  <c r="A84" i="9"/>
  <c r="A84" i="2"/>
  <c r="AU83" i="8"/>
  <c r="AE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W80" i="1"/>
  <c r="AH82" i="11"/>
  <c r="AQ77" i="5"/>
  <c r="B77" i="14"/>
  <c r="CI78" i="8"/>
  <c r="DA78" i="8" s="1"/>
  <c r="N78" i="7"/>
  <c r="N78" i="11"/>
  <c r="CS76" i="8"/>
  <c r="D79" i="9"/>
  <c r="Q78" i="7"/>
  <c r="Z77" i="11"/>
  <c r="AD77" i="11"/>
  <c r="AI77" i="1" s="1"/>
  <c r="Y77" i="11"/>
  <c r="AH77" i="1" s="1"/>
  <c r="AA77" i="11"/>
  <c r="AK77" i="1" s="1"/>
  <c r="AB77" i="11"/>
  <c r="Q77" i="8" s="1"/>
  <c r="B81" i="5"/>
  <c r="B81" i="2"/>
  <c r="B81" i="1"/>
  <c r="BG81" i="1" s="1"/>
  <c r="AH81" i="5"/>
  <c r="BU81" i="5"/>
  <c r="BZ83" i="11"/>
  <c r="AA82" i="7"/>
  <c r="AF82" i="8" s="1"/>
  <c r="AV82" i="8" s="1"/>
  <c r="K82" i="10"/>
  <c r="L82" i="11"/>
  <c r="H82" i="5"/>
  <c r="C81" i="10"/>
  <c r="E81" i="7"/>
  <c r="K82" i="5"/>
  <c r="F81" i="10"/>
  <c r="H81" i="7"/>
  <c r="DD81" i="5"/>
  <c r="M82" i="5"/>
  <c r="H81" i="10"/>
  <c r="J81" i="7"/>
  <c r="D81" i="7"/>
  <c r="G82" i="5"/>
  <c r="B81" i="10"/>
  <c r="I82" i="5"/>
  <c r="D81" i="10"/>
  <c r="F81" i="7"/>
  <c r="L82" i="5"/>
  <c r="G81" i="10"/>
  <c r="I81" i="7"/>
  <c r="J82" i="5"/>
  <c r="DC82" i="5" s="1"/>
  <c r="E81" i="10"/>
  <c r="G81" i="7"/>
  <c r="DH79" i="8"/>
  <c r="DI79" i="8" s="1"/>
  <c r="CK79" i="8"/>
  <c r="BW79" i="8"/>
  <c r="AC79" i="1" s="1"/>
  <c r="BH79" i="8"/>
  <c r="BU79" i="8" s="1"/>
  <c r="BI79" i="8"/>
  <c r="AH90" i="9"/>
  <c r="CZ81" i="5"/>
  <c r="C80" i="5"/>
  <c r="F80" i="5" s="1"/>
  <c r="AJ79" i="5"/>
  <c r="AP79" i="5" s="1"/>
  <c r="AC79" i="8"/>
  <c r="BQ79" i="8" s="1"/>
  <c r="AI79" i="5"/>
  <c r="A79" i="10"/>
  <c r="AA79" i="10" s="1"/>
  <c r="BT79" i="5"/>
  <c r="X79" i="8"/>
  <c r="DD79" i="8" s="1"/>
  <c r="B79" i="7"/>
  <c r="A79" i="11"/>
  <c r="E79" i="1"/>
  <c r="B79" i="9"/>
  <c r="Y79" i="9" s="1"/>
  <c r="DA80" i="5"/>
  <c r="DG80" i="5" s="1" a="1"/>
  <c r="DG80" i="5" s="1"/>
  <c r="AB81" i="1"/>
  <c r="DI81" i="5"/>
  <c r="AH56" i="5"/>
  <c r="BU56" i="5"/>
  <c r="AG90" i="9"/>
  <c r="AK90" i="9"/>
  <c r="B56" i="2"/>
  <c r="B56" i="1"/>
  <c r="BG56" i="1" s="1"/>
  <c r="B78" i="14"/>
  <c r="N66" i="1"/>
  <c r="S83" i="2"/>
  <c r="N84" i="2"/>
  <c r="R84" i="2"/>
  <c r="Q83" i="2"/>
  <c r="J85" i="10"/>
  <c r="N85" i="5" s="1"/>
  <c r="P85" i="2"/>
  <c r="AN91" i="9" l="1"/>
  <c r="BK92" i="11" s="1"/>
  <c r="AI92" i="11" s="1"/>
  <c r="CV78" i="8"/>
  <c r="CW78" i="8" s="1"/>
  <c r="AS78" i="8"/>
  <c r="AQ106" i="9"/>
  <c r="CM106" i="8" s="1"/>
  <c r="AO79" i="5"/>
  <c r="AM79" i="5"/>
  <c r="AN79" i="5"/>
  <c r="AR79" i="5" s="1"/>
  <c r="AV80" i="5"/>
  <c r="AW80" i="5"/>
  <c r="AI78" i="7"/>
  <c r="CL80" i="8"/>
  <c r="AI102" i="9"/>
  <c r="AO102" i="8" s="1"/>
  <c r="BN84" i="5" a="1"/>
  <c r="BN84" i="5" s="1"/>
  <c r="AZ84" i="5" a="1"/>
  <c r="AZ84" i="5" s="1"/>
  <c r="G85" i="8"/>
  <c r="CF84" i="8"/>
  <c r="O84" i="2"/>
  <c r="BI84" i="5" a="1"/>
  <c r="BI84" i="5" s="1"/>
  <c r="AM91" i="9"/>
  <c r="K91" i="8" s="1"/>
  <c r="BR79" i="8"/>
  <c r="BS79" i="8"/>
  <c r="H41" i="4"/>
  <c r="H40" i="4"/>
  <c r="H42" i="4"/>
  <c r="AD82" i="1"/>
  <c r="BM84" i="5" a="1"/>
  <c r="BM84" i="5" s="1"/>
  <c r="BB84" i="5" a="1"/>
  <c r="BB84" i="5" s="1"/>
  <c r="BE84" i="5" a="1"/>
  <c r="BE84" i="5" s="1"/>
  <c r="BO84" i="5" a="1"/>
  <c r="BO84" i="5" s="1"/>
  <c r="BK84" i="5" a="1"/>
  <c r="BK84" i="5" s="1"/>
  <c r="BF84" i="5" a="1"/>
  <c r="BF84" i="5" s="1"/>
  <c r="AE83" i="1" s="1"/>
  <c r="BJ84" i="5" a="1"/>
  <c r="BJ84" i="5" s="1"/>
  <c r="BC84" i="5" a="1"/>
  <c r="BC84" i="5" s="1"/>
  <c r="CS84" i="5"/>
  <c r="CT84" i="5"/>
  <c r="CR84" i="5"/>
  <c r="CQ84" i="5"/>
  <c r="CW84" i="5"/>
  <c r="CV84" i="5"/>
  <c r="CU84" i="5"/>
  <c r="AY84" i="5" a="1"/>
  <c r="AY84" i="5" s="1"/>
  <c r="BL84" i="5" a="1"/>
  <c r="BL84" i="5" s="1"/>
  <c r="BD84" i="5" a="1"/>
  <c r="BD84" i="5" s="1"/>
  <c r="BA84" i="5" a="1"/>
  <c r="BA84" i="5" s="1"/>
  <c r="BQ84" i="5" a="1"/>
  <c r="BQ84" i="5" s="1"/>
  <c r="BH84" i="5" a="1"/>
  <c r="BH84" i="5" s="1"/>
  <c r="BG84" i="5" a="1"/>
  <c r="BG84" i="5" s="1"/>
  <c r="V82" i="2"/>
  <c r="CS77" i="8"/>
  <c r="CY77" i="8"/>
  <c r="CU78" i="8"/>
  <c r="F87" i="8"/>
  <c r="BP83" i="5" a="1"/>
  <c r="BP83" i="5" s="1"/>
  <c r="J83" i="2" s="1"/>
  <c r="O88" i="1"/>
  <c r="CD78" i="8"/>
  <c r="AH83" i="11"/>
  <c r="BT79" i="8"/>
  <c r="BO79" i="8"/>
  <c r="BP79" i="8"/>
  <c r="BM79" i="8"/>
  <c r="BN79" i="8"/>
  <c r="BK79" i="8"/>
  <c r="BL79" i="8"/>
  <c r="BJ79" i="8"/>
  <c r="AC79" i="10"/>
  <c r="X79" i="10" s="1"/>
  <c r="AS83" i="5"/>
  <c r="DB78" i="8"/>
  <c r="DE82" i="5"/>
  <c r="DF82" i="5"/>
  <c r="AK83" i="11"/>
  <c r="DB82" i="5"/>
  <c r="AJ83" i="1"/>
  <c r="W81" i="1"/>
  <c r="DH82" i="5"/>
  <c r="AU84" i="8"/>
  <c r="AE84" i="8"/>
  <c r="K85" i="11"/>
  <c r="A85" i="14"/>
  <c r="CA85" i="14" s="1"/>
  <c r="A85" i="9"/>
  <c r="A85" i="8"/>
  <c r="A85" i="2"/>
  <c r="A85" i="5"/>
  <c r="A85" i="7"/>
  <c r="R85" i="7" s="1"/>
  <c r="AM83" i="1"/>
  <c r="AU84" i="14" a="1"/>
  <c r="AU84" i="14"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Q78" i="5"/>
  <c r="B82" i="1"/>
  <c r="BG82" i="1" s="1"/>
  <c r="AH82" i="5"/>
  <c r="B82" i="2"/>
  <c r="BU82" i="5"/>
  <c r="BZ84" i="11"/>
  <c r="AA83" i="7"/>
  <c r="AF83" i="8" s="1"/>
  <c r="AV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X79" i="8"/>
  <c r="CD79" i="8" s="1"/>
  <c r="D80" i="9"/>
  <c r="DH80" i="8"/>
  <c r="DI80" i="8" s="1"/>
  <c r="CK80" i="8"/>
  <c r="BW80" i="8"/>
  <c r="AC80" i="1" s="1"/>
  <c r="N79" i="7"/>
  <c r="BH80" i="8"/>
  <c r="BU80" i="8" s="1"/>
  <c r="BI80" i="8"/>
  <c r="AH91" i="9"/>
  <c r="BZ79" i="8"/>
  <c r="CR79" i="8" s="1"/>
  <c r="CA79" i="8"/>
  <c r="CC79" i="8"/>
  <c r="CH79" i="8"/>
  <c r="CZ79" i="8" s="1"/>
  <c r="CB79" i="8"/>
  <c r="CT79" i="8" s="1"/>
  <c r="BY79" i="8"/>
  <c r="CQ79" i="8" s="1"/>
  <c r="X80" i="8"/>
  <c r="DD80" i="8" s="1"/>
  <c r="AJ80" i="5"/>
  <c r="AP80" i="5" s="1"/>
  <c r="B80" i="9"/>
  <c r="Y80" i="9" s="1"/>
  <c r="BT80" i="5"/>
  <c r="B80" i="7"/>
  <c r="AI80" i="5"/>
  <c r="E80" i="1"/>
  <c r="A80" i="11"/>
  <c r="AC80" i="8"/>
  <c r="BQ80" i="8" s="1"/>
  <c r="A80" i="10"/>
  <c r="AA80" i="10" s="1"/>
  <c r="CZ82" i="5"/>
  <c r="Y78" i="11"/>
  <c r="AH78" i="1" s="1"/>
  <c r="AB78" i="11"/>
  <c r="Q78" i="8" s="1"/>
  <c r="N79" i="11"/>
  <c r="Z78" i="11"/>
  <c r="AA78" i="11"/>
  <c r="AK78" i="1" s="1"/>
  <c r="AC78" i="11"/>
  <c r="U78" i="8" s="1"/>
  <c r="AD78" i="11"/>
  <c r="AI78" i="1" s="1"/>
  <c r="C81" i="5"/>
  <c r="F81" i="5" s="1"/>
  <c r="CI79" i="8"/>
  <c r="DA79" i="8" s="1"/>
  <c r="AE79" i="7"/>
  <c r="AF79" i="7" s="1"/>
  <c r="Q79" i="7"/>
  <c r="DI82" i="5"/>
  <c r="AB82" i="1"/>
  <c r="DA81" i="5"/>
  <c r="DG81" i="5" s="1" a="1"/>
  <c r="DG81" i="5" s="1"/>
  <c r="AG91" i="9"/>
  <c r="AK91" i="9"/>
  <c r="N67" i="1"/>
  <c r="S84" i="2"/>
  <c r="N85" i="2"/>
  <c r="R85" i="2"/>
  <c r="Q84" i="2"/>
  <c r="P86" i="2"/>
  <c r="J86" i="10"/>
  <c r="N86" i="5" s="1"/>
  <c r="AN92" i="9" l="1"/>
  <c r="BK93" i="11" s="1"/>
  <c r="AI93" i="11" s="1"/>
  <c r="CV79" i="8"/>
  <c r="CW79" i="8" s="1"/>
  <c r="AS79" i="8"/>
  <c r="AQ107" i="9"/>
  <c r="CM107" i="8" s="1"/>
  <c r="AO80" i="5"/>
  <c r="AM80" i="5"/>
  <c r="AN80" i="5"/>
  <c r="AR80" i="5" s="1"/>
  <c r="AV81" i="5"/>
  <c r="AW81" i="5"/>
  <c r="AG79" i="7"/>
  <c r="AI79" i="7" s="1"/>
  <c r="CL81" i="8"/>
  <c r="AI103" i="9"/>
  <c r="AO103" i="8" s="1"/>
  <c r="AD83" i="1"/>
  <c r="G86" i="8"/>
  <c r="CF85" i="8"/>
  <c r="O85" i="2"/>
  <c r="AM92" i="9"/>
  <c r="K92" i="8" s="1"/>
  <c r="BR80" i="8"/>
  <c r="BS80" i="8"/>
  <c r="BC85" i="5" a="1"/>
  <c r="BC85" i="5" s="1"/>
  <c r="CT85" i="5"/>
  <c r="CS85" i="5"/>
  <c r="CV85" i="5"/>
  <c r="CR85" i="5"/>
  <c r="CQ85" i="5"/>
  <c r="CW85" i="5"/>
  <c r="CU85" i="5"/>
  <c r="AY85" i="5" a="1"/>
  <c r="AY85" i="5" s="1"/>
  <c r="BL85" i="5" a="1"/>
  <c r="BL85" i="5" s="1"/>
  <c r="BG85" i="5" a="1"/>
  <c r="BG85" i="5" s="1"/>
  <c r="BH85" i="5" a="1"/>
  <c r="BH85" i="5" s="1"/>
  <c r="BJ85" i="5" a="1"/>
  <c r="BJ85" i="5" s="1"/>
  <c r="BQ85" i="5" a="1"/>
  <c r="BQ85" i="5" s="1"/>
  <c r="AZ85" i="5" a="1"/>
  <c r="AZ85" i="5" s="1"/>
  <c r="BA85" i="5" a="1"/>
  <c r="BA85" i="5" s="1"/>
  <c r="BF85" i="5" a="1"/>
  <c r="BF85" i="5" s="1"/>
  <c r="AE84" i="1" s="1"/>
  <c r="BI85" i="5" a="1"/>
  <c r="BI85" i="5" s="1"/>
  <c r="BK85" i="5" a="1"/>
  <c r="BK85" i="5" s="1"/>
  <c r="BD85" i="5" a="1"/>
  <c r="BD85" i="5" s="1"/>
  <c r="BO85" i="5" a="1"/>
  <c r="BO85" i="5" s="1"/>
  <c r="BE85" i="5" a="1"/>
  <c r="BE85" i="5" s="1"/>
  <c r="BB85" i="5" a="1"/>
  <c r="BB85" i="5" s="1"/>
  <c r="BM85" i="5" a="1"/>
  <c r="BM85" i="5" s="1"/>
  <c r="BN85" i="5" a="1"/>
  <c r="BN85" i="5" s="1"/>
  <c r="V83" i="2"/>
  <c r="CS78" i="8"/>
  <c r="CY78" i="8"/>
  <c r="F88" i="8"/>
  <c r="BP84" i="5" a="1"/>
  <c r="BP84" i="5" s="1"/>
  <c r="J84" i="2" s="1"/>
  <c r="O89" i="1"/>
  <c r="BX80" i="8"/>
  <c r="CD80" i="8" s="1"/>
  <c r="BT80" i="8"/>
  <c r="BO80" i="8"/>
  <c r="BP80" i="8"/>
  <c r="BM80" i="8"/>
  <c r="BN80" i="8"/>
  <c r="BK80" i="8"/>
  <c r="BL80" i="8"/>
  <c r="BJ80" i="8"/>
  <c r="AC80" i="10"/>
  <c r="X80" i="10" s="1"/>
  <c r="AS84" i="5"/>
  <c r="DB83" i="5"/>
  <c r="DE83" i="5"/>
  <c r="AK84" i="11"/>
  <c r="DF83" i="5"/>
  <c r="AH84" i="11"/>
  <c r="AJ84" i="1"/>
  <c r="AM84" i="1"/>
  <c r="AE85" i="8"/>
  <c r="AU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CA86" i="14" s="1"/>
  <c r="A86" i="5"/>
  <c r="A86" i="9"/>
  <c r="A86" i="8"/>
  <c r="A86" i="7"/>
  <c r="R86" i="7" s="1"/>
  <c r="A86" i="2"/>
  <c r="W82" i="1"/>
  <c r="B83" i="2"/>
  <c r="B83" i="1"/>
  <c r="BG83" i="1" s="1"/>
  <c r="AH83" i="5"/>
  <c r="BU83" i="5"/>
  <c r="BZ85" i="11"/>
  <c r="K84" i="10"/>
  <c r="AA84" i="7"/>
  <c r="AF84" i="8" s="1"/>
  <c r="AV84" i="8" s="1"/>
  <c r="L84" i="11"/>
  <c r="J84" i="5"/>
  <c r="DC84" i="5" s="1"/>
  <c r="E83" i="10"/>
  <c r="G83" i="7"/>
  <c r="K84" i="5"/>
  <c r="F83" i="10"/>
  <c r="H83" i="7"/>
  <c r="DD83" i="5"/>
  <c r="H84" i="5"/>
  <c r="C83" i="10"/>
  <c r="E83" i="7"/>
  <c r="B83" i="5"/>
  <c r="B83" i="10"/>
  <c r="D83" i="7"/>
  <c r="G84" i="5"/>
  <c r="M84" i="5"/>
  <c r="H83" i="10"/>
  <c r="J83" i="7"/>
  <c r="L84" i="5"/>
  <c r="G83" i="10"/>
  <c r="I83" i="7"/>
  <c r="I84" i="5"/>
  <c r="D83" i="10"/>
  <c r="F83" i="7"/>
  <c r="CU79" i="8"/>
  <c r="CE79" i="8"/>
  <c r="D81" i="9"/>
  <c r="DH81" i="8"/>
  <c r="DI81" i="8" s="1"/>
  <c r="CK81" i="8"/>
  <c r="BW81" i="8"/>
  <c r="AC81" i="1" s="1"/>
  <c r="N80" i="7"/>
  <c r="BH81" i="8"/>
  <c r="BU81" i="8" s="1"/>
  <c r="BI81" i="8"/>
  <c r="AH92" i="9"/>
  <c r="C82" i="5"/>
  <c r="F82" i="5" s="1"/>
  <c r="B79" i="14"/>
  <c r="CB80" i="8"/>
  <c r="CT80" i="8" s="1"/>
  <c r="CC80" i="8"/>
  <c r="CH80" i="8"/>
  <c r="CZ80" i="8" s="1"/>
  <c r="CA80" i="8"/>
  <c r="BY80" i="8"/>
  <c r="CQ80" i="8" s="1"/>
  <c r="BZ80" i="8"/>
  <c r="CR80" i="8" s="1"/>
  <c r="AQ79" i="5"/>
  <c r="CI80" i="8"/>
  <c r="DA80" i="8" s="1"/>
  <c r="Q80" i="7"/>
  <c r="AE80" i="7"/>
  <c r="AF80" i="7" s="1"/>
  <c r="AD79" i="11"/>
  <c r="AI79" i="1" s="1"/>
  <c r="AC79" i="11"/>
  <c r="U79" i="8" s="1"/>
  <c r="Z79" i="11"/>
  <c r="AB79" i="11"/>
  <c r="Q79" i="8" s="1"/>
  <c r="Y79" i="11"/>
  <c r="AH79" i="1" s="1"/>
  <c r="N80" i="11"/>
  <c r="AA79" i="11"/>
  <c r="AK79" i="1" s="1"/>
  <c r="DB79" i="8"/>
  <c r="CZ83" i="5"/>
  <c r="A81" i="10"/>
  <c r="AA81" i="10" s="1"/>
  <c r="BT81" i="5"/>
  <c r="A81" i="11"/>
  <c r="AJ81" i="5"/>
  <c r="AP81" i="5" s="1"/>
  <c r="X81" i="8"/>
  <c r="DD81" i="8" s="1"/>
  <c r="B81" i="7"/>
  <c r="E81" i="1"/>
  <c r="B81" i="9"/>
  <c r="Y81" i="9" s="1"/>
  <c r="AI81" i="5"/>
  <c r="AC81" i="8"/>
  <c r="BQ81" i="8" s="1"/>
  <c r="DA82" i="5"/>
  <c r="DG82" i="5" s="1" a="1"/>
  <c r="DG82" i="5" s="1"/>
  <c r="AB83" i="1"/>
  <c r="DI83" i="5"/>
  <c r="AG92" i="9"/>
  <c r="AK92" i="9"/>
  <c r="N68" i="1"/>
  <c r="S85" i="2"/>
  <c r="N86" i="2"/>
  <c r="R86" i="2"/>
  <c r="Q85" i="2"/>
  <c r="J87" i="10"/>
  <c r="N87" i="5" s="1"/>
  <c r="P87" i="2"/>
  <c r="AN93" i="9" l="1"/>
  <c r="BK94" i="11" s="1"/>
  <c r="AI94" i="11" s="1"/>
  <c r="CX79" i="8"/>
  <c r="CY79" i="8" s="1"/>
  <c r="CV80" i="8"/>
  <c r="CW80" i="8" s="1"/>
  <c r="AS80" i="8"/>
  <c r="AQ108" i="9"/>
  <c r="CM108" i="8" s="1"/>
  <c r="AO81" i="5"/>
  <c r="AM81" i="5"/>
  <c r="AN81" i="5"/>
  <c r="AR81" i="5" s="1"/>
  <c r="AV82" i="5"/>
  <c r="AW82" i="5"/>
  <c r="AG80" i="7"/>
  <c r="AI80" i="7" s="1"/>
  <c r="CL82" i="8"/>
  <c r="AI104" i="9"/>
  <c r="AO104" i="8" s="1"/>
  <c r="BA86" i="5" a="1"/>
  <c r="BA86" i="5" s="1"/>
  <c r="G87" i="8"/>
  <c r="CF86" i="8"/>
  <c r="O86" i="2"/>
  <c r="AZ86" i="5" a="1"/>
  <c r="AZ86" i="5" s="1"/>
  <c r="BG86" i="5" a="1"/>
  <c r="BG86" i="5" s="1"/>
  <c r="BQ86" i="5" a="1"/>
  <c r="BQ86" i="5" s="1"/>
  <c r="BN86" i="5" a="1"/>
  <c r="BN86" i="5" s="1"/>
  <c r="BJ86" i="5" a="1"/>
  <c r="BJ86" i="5" s="1"/>
  <c r="AM93" i="9"/>
  <c r="K93" i="8" s="1"/>
  <c r="BR81" i="8"/>
  <c r="BS81" i="8"/>
  <c r="AD84" i="1"/>
  <c r="BH86" i="5" a="1"/>
  <c r="BH86" i="5" s="1"/>
  <c r="BM86" i="5" a="1"/>
  <c r="BM86" i="5" s="1"/>
  <c r="CW86" i="5"/>
  <c r="CT86" i="5"/>
  <c r="CR86" i="5"/>
  <c r="CQ86" i="5"/>
  <c r="CV86" i="5"/>
  <c r="CS86" i="5"/>
  <c r="CU86" i="5"/>
  <c r="AY86" i="5" a="1"/>
  <c r="AY86" i="5" s="1"/>
  <c r="BL86" i="5" a="1"/>
  <c r="BL86" i="5" s="1"/>
  <c r="BB86" i="5" a="1"/>
  <c r="BB86" i="5" s="1"/>
  <c r="BE86" i="5" a="1"/>
  <c r="BE86" i="5" s="1"/>
  <c r="BO86" i="5" a="1"/>
  <c r="BO86" i="5" s="1"/>
  <c r="BD86" i="5" a="1"/>
  <c r="BD86" i="5" s="1"/>
  <c r="BK86" i="5" a="1"/>
  <c r="BK86" i="5" s="1"/>
  <c r="BI86" i="5" a="1"/>
  <c r="BI86" i="5" s="1"/>
  <c r="BF86" i="5" a="1"/>
  <c r="BF86" i="5" s="1"/>
  <c r="AE85" i="1" s="1"/>
  <c r="BC86" i="5" a="1"/>
  <c r="BC86" i="5" s="1"/>
  <c r="V84" i="2"/>
  <c r="F89" i="8"/>
  <c r="BP85" i="5" a="1"/>
  <c r="BP85" i="5" s="1"/>
  <c r="J85" i="2" s="1"/>
  <c r="O90" i="1"/>
  <c r="CE80" i="8"/>
  <c r="BX81" i="8"/>
  <c r="CD81" i="8" s="1"/>
  <c r="BT81" i="8"/>
  <c r="BO81" i="8"/>
  <c r="BP81" i="8"/>
  <c r="BM81" i="8"/>
  <c r="BN81" i="8"/>
  <c r="BK81" i="8"/>
  <c r="BL81" i="8"/>
  <c r="BJ81" i="8"/>
  <c r="AC81" i="10"/>
  <c r="X81" i="10" s="1"/>
  <c r="AS85" i="5"/>
  <c r="AH85" i="11"/>
  <c r="DE84" i="5"/>
  <c r="AK85" i="11"/>
  <c r="DB84" i="5"/>
  <c r="AE86" i="8"/>
  <c r="AU86" i="8"/>
  <c r="DH84" i="5"/>
  <c r="AJ85" i="1"/>
  <c r="AF83" i="1"/>
  <c r="Y83" i="1"/>
  <c r="DJ84" i="5"/>
  <c r="W83" i="1"/>
  <c r="K87" i="11"/>
  <c r="A87" i="14"/>
  <c r="CA87" i="14" s="1"/>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S79" i="8"/>
  <c r="B84" i="5"/>
  <c r="BZ86" i="11"/>
  <c r="K85" i="10"/>
  <c r="AA85" i="7"/>
  <c r="AF85" i="8" s="1"/>
  <c r="AV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U80" i="8"/>
  <c r="D82" i="9"/>
  <c r="DH82" i="8"/>
  <c r="DI82" i="8" s="1"/>
  <c r="CK82" i="8"/>
  <c r="BW82" i="8"/>
  <c r="AC82" i="1" s="1"/>
  <c r="N81" i="7"/>
  <c r="BH82" i="8"/>
  <c r="BU82" i="8" s="1"/>
  <c r="BI82" i="8"/>
  <c r="AH93" i="9"/>
  <c r="C83" i="5"/>
  <c r="F83" i="5" s="1"/>
  <c r="DB80" i="8"/>
  <c r="BY81" i="8"/>
  <c r="CQ81" i="8" s="1"/>
  <c r="CH81" i="8"/>
  <c r="CZ81" i="8" s="1"/>
  <c r="BZ81" i="8"/>
  <c r="CR81" i="8" s="1"/>
  <c r="CC81" i="8"/>
  <c r="CA81" i="8"/>
  <c r="CB81" i="8"/>
  <c r="CT81" i="8" s="1"/>
  <c r="AQ80" i="5"/>
  <c r="Q81" i="7"/>
  <c r="AE81" i="7"/>
  <c r="AF81" i="7" s="1"/>
  <c r="B80" i="14"/>
  <c r="CZ84" i="5"/>
  <c r="AC82" i="8"/>
  <c r="BQ82" i="8" s="1"/>
  <c r="B82" i="7"/>
  <c r="A82" i="10"/>
  <c r="AA82" i="10" s="1"/>
  <c r="BT82" i="5"/>
  <c r="AJ82" i="5"/>
  <c r="AP82" i="5" s="1"/>
  <c r="E82" i="1"/>
  <c r="AI82" i="5"/>
  <c r="B82" i="9"/>
  <c r="Y82" i="9" s="1"/>
  <c r="A82" i="11"/>
  <c r="X82" i="8"/>
  <c r="DD82" i="8" s="1"/>
  <c r="AB80" i="11"/>
  <c r="Q80" i="8" s="1"/>
  <c r="Y80" i="11"/>
  <c r="AH80" i="1" s="1"/>
  <c r="AD80" i="11"/>
  <c r="AI80" i="1" s="1"/>
  <c r="N81" i="11"/>
  <c r="Z80" i="11"/>
  <c r="AA80" i="11"/>
  <c r="AK80" i="1" s="1"/>
  <c r="AC80" i="11"/>
  <c r="U80" i="8" s="1"/>
  <c r="CI81" i="8"/>
  <c r="DA81" i="8" s="1"/>
  <c r="AB84" i="1"/>
  <c r="DI84" i="5"/>
  <c r="DA83" i="5"/>
  <c r="DG83" i="5" s="1" a="1"/>
  <c r="DG83" i="5" s="1"/>
  <c r="AG93" i="9"/>
  <c r="AK93" i="9"/>
  <c r="N69" i="1"/>
  <c r="S86" i="2"/>
  <c r="N87" i="2"/>
  <c r="R87" i="2"/>
  <c r="Q86" i="2"/>
  <c r="J88" i="10"/>
  <c r="N88" i="5" s="1"/>
  <c r="P88" i="2"/>
  <c r="AN94" i="9" l="1"/>
  <c r="BK95" i="11" s="1"/>
  <c r="AI95" i="11" s="1"/>
  <c r="CX80" i="8"/>
  <c r="CY80" i="8" s="1"/>
  <c r="CV81" i="8"/>
  <c r="CW81" i="8" s="1"/>
  <c r="AS81" i="8"/>
  <c r="AQ109" i="9"/>
  <c r="CM109" i="8" s="1"/>
  <c r="AO82" i="5"/>
  <c r="AM82" i="5"/>
  <c r="AN82" i="5"/>
  <c r="AR82" i="5" s="1"/>
  <c r="AV83" i="5"/>
  <c r="AW83" i="5"/>
  <c r="AG81" i="7"/>
  <c r="AI81" i="7" s="1"/>
  <c r="CL83" i="8"/>
  <c r="AI105" i="9"/>
  <c r="AO105" i="8" s="1"/>
  <c r="G88" i="8"/>
  <c r="CF87" i="8"/>
  <c r="O87" i="2"/>
  <c r="AD85" i="1"/>
  <c r="BN87" i="5" a="1"/>
  <c r="BN87" i="5" s="1"/>
  <c r="BK87" i="5" a="1"/>
  <c r="BK87" i="5" s="1"/>
  <c r="BA87" i="5" a="1"/>
  <c r="BA87" i="5" s="1"/>
  <c r="BB87" i="5" a="1"/>
  <c r="BB87" i="5" s="1"/>
  <c r="AM94" i="9"/>
  <c r="K94" i="8" s="1"/>
  <c r="BR82" i="8"/>
  <c r="BS82" i="8"/>
  <c r="BC87" i="5" a="1"/>
  <c r="BC87" i="5" s="1"/>
  <c r="BF87" i="5" a="1"/>
  <c r="BF87" i="5" s="1"/>
  <c r="AE86" i="1" s="1"/>
  <c r="BI87" i="5" a="1"/>
  <c r="BI87" i="5" s="1"/>
  <c r="BD87" i="5" a="1"/>
  <c r="BD87" i="5" s="1"/>
  <c r="BM87" i="5" a="1"/>
  <c r="BM87" i="5" s="1"/>
  <c r="BQ87" i="5" a="1"/>
  <c r="BQ87" i="5" s="1"/>
  <c r="CQ87" i="5"/>
  <c r="CW87" i="5"/>
  <c r="CU87" i="5"/>
  <c r="CR87" i="5"/>
  <c r="CS87" i="5"/>
  <c r="CT87" i="5"/>
  <c r="CV87" i="5"/>
  <c r="AY87" i="5" a="1"/>
  <c r="AY87" i="5" s="1"/>
  <c r="BL87" i="5" a="1"/>
  <c r="BL87" i="5" s="1"/>
  <c r="BO87" i="5" a="1"/>
  <c r="BO87" i="5" s="1"/>
  <c r="BJ87" i="5" a="1"/>
  <c r="BJ87" i="5" s="1"/>
  <c r="BE87" i="5" a="1"/>
  <c r="BE87" i="5" s="1"/>
  <c r="BH87" i="5" a="1"/>
  <c r="BH87" i="5" s="1"/>
  <c r="BG87" i="5" a="1"/>
  <c r="BG87" i="5" s="1"/>
  <c r="AZ87" i="5" a="1"/>
  <c r="AZ87" i="5" s="1"/>
  <c r="V85" i="2"/>
  <c r="F90" i="8"/>
  <c r="BP86" i="5" a="1"/>
  <c r="BP86" i="5" s="1"/>
  <c r="J86" i="2" s="1"/>
  <c r="O91" i="1"/>
  <c r="CE81" i="8"/>
  <c r="BX82" i="8"/>
  <c r="CE82" i="8" s="1"/>
  <c r="CX82" i="8" s="1"/>
  <c r="BT82" i="8"/>
  <c r="BO82" i="8"/>
  <c r="BP82" i="8"/>
  <c r="BM82" i="8"/>
  <c r="BN82" i="8"/>
  <c r="BK82" i="8"/>
  <c r="BL82" i="8"/>
  <c r="BJ82" i="8"/>
  <c r="AC82" i="10"/>
  <c r="X82" i="10" s="1"/>
  <c r="AS86" i="5"/>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CA88" i="14" s="1"/>
  <c r="A88" i="8"/>
  <c r="A88" i="2"/>
  <c r="A88" i="7"/>
  <c r="R88" i="7" s="1"/>
  <c r="A88" i="5"/>
  <c r="A88" i="9"/>
  <c r="AH86" i="11"/>
  <c r="AF84" i="1"/>
  <c r="W84" i="1"/>
  <c r="AE87" i="8"/>
  <c r="AU87" i="8"/>
  <c r="CS80" i="8"/>
  <c r="B85" i="5"/>
  <c r="B85" i="2"/>
  <c r="AH85" i="5"/>
  <c r="B85" i="1"/>
  <c r="BG85" i="1" s="1"/>
  <c r="BU85" i="5"/>
  <c r="BZ87" i="11"/>
  <c r="AA86" i="7"/>
  <c r="AF86" i="8" s="1"/>
  <c r="AV86" i="8" s="1"/>
  <c r="K86" i="10"/>
  <c r="L86" i="11"/>
  <c r="I86" i="5"/>
  <c r="D85" i="10"/>
  <c r="F85" i="7"/>
  <c r="J86" i="5"/>
  <c r="DC86" i="5" s="1"/>
  <c r="E85" i="10"/>
  <c r="G85" i="7"/>
  <c r="K86" i="5"/>
  <c r="F85" i="10"/>
  <c r="H85" i="7"/>
  <c r="DD85" i="5"/>
  <c r="H86" i="5"/>
  <c r="C85" i="10"/>
  <c r="E85" i="7"/>
  <c r="M86" i="5"/>
  <c r="H85" i="10"/>
  <c r="J85" i="7"/>
  <c r="L86" i="5"/>
  <c r="G85" i="10"/>
  <c r="I85" i="7"/>
  <c r="D85" i="7"/>
  <c r="B85" i="10"/>
  <c r="G86" i="5"/>
  <c r="CU81" i="8"/>
  <c r="D83" i="9"/>
  <c r="DH83" i="8"/>
  <c r="DI83" i="8" s="1"/>
  <c r="CK83" i="8"/>
  <c r="BW83" i="8"/>
  <c r="AC83" i="1" s="1"/>
  <c r="BI83" i="8"/>
  <c r="N82" i="7"/>
  <c r="A83" i="11"/>
  <c r="AC82" i="11" s="1"/>
  <c r="U82" i="8" s="1"/>
  <c r="BH83" i="8"/>
  <c r="BU83" i="8" s="1"/>
  <c r="AH94" i="9"/>
  <c r="AJ83" i="5"/>
  <c r="AP83" i="5" s="1"/>
  <c r="AC83" i="8"/>
  <c r="BQ83" i="8" s="1"/>
  <c r="E83" i="1"/>
  <c r="B83" i="7"/>
  <c r="AI83" i="5"/>
  <c r="A83" i="10"/>
  <c r="AA83" i="10" s="1"/>
  <c r="B83" i="9"/>
  <c r="Y83" i="9" s="1"/>
  <c r="BT83" i="5"/>
  <c r="X83" i="8"/>
  <c r="DD83" i="8" s="1"/>
  <c r="AQ81" i="5"/>
  <c r="CI82" i="8"/>
  <c r="DA82" i="8" s="1"/>
  <c r="C84" i="5"/>
  <c r="F84" i="5" s="1"/>
  <c r="CZ85" i="5"/>
  <c r="DB81" i="8"/>
  <c r="AA81" i="11"/>
  <c r="AK81" i="1" s="1"/>
  <c r="AB81" i="11"/>
  <c r="Q81" i="8" s="1"/>
  <c r="Z81" i="11"/>
  <c r="Y81" i="11"/>
  <c r="AH81" i="1" s="1"/>
  <c r="AC81" i="11"/>
  <c r="U81" i="8" s="1"/>
  <c r="AD81" i="11"/>
  <c r="AI81" i="1" s="1"/>
  <c r="N82" i="11"/>
  <c r="AE82" i="7"/>
  <c r="AF82" i="7" s="1"/>
  <c r="Q82" i="7"/>
  <c r="B81" i="14"/>
  <c r="CA82" i="8"/>
  <c r="CB82" i="8"/>
  <c r="CT82" i="8" s="1"/>
  <c r="BY82" i="8"/>
  <c r="CQ82" i="8" s="1"/>
  <c r="BZ82" i="8"/>
  <c r="CR82" i="8" s="1"/>
  <c r="CC82" i="8"/>
  <c r="CH82" i="8"/>
  <c r="CZ82" i="8" s="1"/>
  <c r="C85" i="5"/>
  <c r="DA84" i="5"/>
  <c r="DG84" i="5" s="1" a="1"/>
  <c r="DG84" i="5" s="1"/>
  <c r="AB85" i="1"/>
  <c r="DI85" i="5"/>
  <c r="AG94" i="9"/>
  <c r="AK94" i="9"/>
  <c r="N70" i="1"/>
  <c r="S87" i="2"/>
  <c r="N88" i="2"/>
  <c r="R88" i="2"/>
  <c r="Q87" i="2"/>
  <c r="P89" i="2"/>
  <c r="J89" i="10"/>
  <c r="N89" i="5" s="1"/>
  <c r="AN95" i="9" l="1"/>
  <c r="BK96" i="11" s="1"/>
  <c r="AI96" i="11" s="1"/>
  <c r="CX81" i="8"/>
  <c r="CY81" i="8" s="1"/>
  <c r="CV82" i="8"/>
  <c r="CW82" i="8" s="1"/>
  <c r="AS82" i="8"/>
  <c r="AQ110" i="9"/>
  <c r="CM110" i="8" s="1"/>
  <c r="AO83" i="5"/>
  <c r="AM83" i="5"/>
  <c r="AN83" i="5"/>
  <c r="AR83" i="5" s="1"/>
  <c r="AV84" i="5"/>
  <c r="AW84" i="5"/>
  <c r="AG82" i="7"/>
  <c r="AI82" i="7" s="1"/>
  <c r="CL84" i="8"/>
  <c r="AI106" i="9"/>
  <c r="AO106" i="8" s="1"/>
  <c r="G89" i="8"/>
  <c r="CF88" i="8"/>
  <c r="O88" i="2"/>
  <c r="AD86" i="1"/>
  <c r="BK88" i="5" a="1"/>
  <c r="BK88" i="5" s="1"/>
  <c r="AM95" i="9"/>
  <c r="K95" i="8" s="1"/>
  <c r="BR83" i="8"/>
  <c r="BS83" i="8"/>
  <c r="AZ88" i="5" a="1"/>
  <c r="AZ88" i="5" s="1"/>
  <c r="BQ88" i="5" a="1"/>
  <c r="BQ88" i="5" s="1"/>
  <c r="BG88" i="5" a="1"/>
  <c r="BG88" i="5" s="1"/>
  <c r="BM88" i="5" a="1"/>
  <c r="BM88" i="5" s="1"/>
  <c r="BA88" i="5" a="1"/>
  <c r="BA88" i="5" s="1"/>
  <c r="BD88" i="5" a="1"/>
  <c r="BD88" i="5" s="1"/>
  <c r="BH88" i="5" a="1"/>
  <c r="BH88" i="5" s="1"/>
  <c r="BE88" i="5" a="1"/>
  <c r="BE88" i="5" s="1"/>
  <c r="BI88" i="5" a="1"/>
  <c r="BI88" i="5" s="1"/>
  <c r="BJ88" i="5" a="1"/>
  <c r="BJ88" i="5" s="1"/>
  <c r="BF88" i="5" a="1"/>
  <c r="BF88" i="5" s="1"/>
  <c r="AE87" i="1" s="1"/>
  <c r="CQ88" i="5"/>
  <c r="CW88" i="5"/>
  <c r="CS88" i="5"/>
  <c r="CV88" i="5"/>
  <c r="CR88" i="5"/>
  <c r="CU88" i="5"/>
  <c r="CT88" i="5"/>
  <c r="AY88" i="5" a="1"/>
  <c r="AY88" i="5" s="1"/>
  <c r="BL88" i="5" a="1"/>
  <c r="BL88" i="5" s="1"/>
  <c r="BO88" i="5" a="1"/>
  <c r="BO88" i="5" s="1"/>
  <c r="BC88" i="5" a="1"/>
  <c r="BC88" i="5" s="1"/>
  <c r="BB88" i="5" a="1"/>
  <c r="BB88" i="5" s="1"/>
  <c r="BN88" i="5" a="1"/>
  <c r="BN88" i="5" s="1"/>
  <c r="V86" i="2"/>
  <c r="F91" i="8"/>
  <c r="BP87" i="5" a="1"/>
  <c r="BP87" i="5" s="1"/>
  <c r="J87" i="2" s="1"/>
  <c r="O92" i="1"/>
  <c r="CD82" i="8"/>
  <c r="BX83" i="8"/>
  <c r="CE83" i="8" s="1"/>
  <c r="CX83" i="8" s="1"/>
  <c r="BT83" i="8"/>
  <c r="BO83" i="8"/>
  <c r="BP83" i="8"/>
  <c r="BM83" i="8"/>
  <c r="BN83" i="8"/>
  <c r="BK83" i="8"/>
  <c r="BL83" i="8"/>
  <c r="BJ83" i="8"/>
  <c r="AC83" i="10"/>
  <c r="X83" i="10" s="1"/>
  <c r="AS87" i="5"/>
  <c r="AH87" i="11"/>
  <c r="DF86" i="5"/>
  <c r="AK87" i="11"/>
  <c r="DE86" i="5"/>
  <c r="AM87" i="1"/>
  <c r="DB86" i="5"/>
  <c r="K89" i="11"/>
  <c r="A89" i="14"/>
  <c r="CA89" i="14" s="1"/>
  <c r="A89" i="8"/>
  <c r="A89" i="2"/>
  <c r="A89" i="7"/>
  <c r="R89" i="7" s="1"/>
  <c r="A89" i="5"/>
  <c r="A89" i="9"/>
  <c r="Y85" i="1"/>
  <c r="DJ86" i="5"/>
  <c r="W85" i="1"/>
  <c r="AJ87" i="1"/>
  <c r="AU88" i="8"/>
  <c r="AE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B86" i="5"/>
  <c r="B86" i="2"/>
  <c r="B86" i="1"/>
  <c r="BG86" i="1" s="1"/>
  <c r="BU86" i="5"/>
  <c r="AH86" i="5"/>
  <c r="BZ88" i="11"/>
  <c r="AA87" i="7"/>
  <c r="AF87" i="8" s="1"/>
  <c r="AV87" i="8" s="1"/>
  <c r="K87" i="10"/>
  <c r="L87" i="11"/>
  <c r="CS81" i="8"/>
  <c r="G87" i="5"/>
  <c r="D86" i="7"/>
  <c r="B86" i="10"/>
  <c r="K87" i="5"/>
  <c r="F86" i="10"/>
  <c r="H86" i="7"/>
  <c r="DD86" i="5"/>
  <c r="M87" i="5"/>
  <c r="H86" i="10"/>
  <c r="J86" i="7"/>
  <c r="J87" i="5"/>
  <c r="DC87" i="5" s="1"/>
  <c r="E86" i="10"/>
  <c r="G86" i="7"/>
  <c r="H87" i="5"/>
  <c r="C86" i="10"/>
  <c r="E86" i="7"/>
  <c r="L87" i="5"/>
  <c r="G86" i="10"/>
  <c r="I86" i="7"/>
  <c r="I87" i="5"/>
  <c r="D86" i="10"/>
  <c r="F86" i="7"/>
  <c r="CU82" i="8"/>
  <c r="D84" i="9"/>
  <c r="DH84" i="8"/>
  <c r="DI84" i="8" s="1"/>
  <c r="CK84" i="8"/>
  <c r="BW84" i="8"/>
  <c r="AC84" i="1" s="1"/>
  <c r="Z82" i="11"/>
  <c r="Y82" i="11"/>
  <c r="AH82" i="1" s="1"/>
  <c r="N83" i="11"/>
  <c r="AD82" i="11"/>
  <c r="AI82" i="1" s="1"/>
  <c r="AB82" i="11"/>
  <c r="Q82" i="8" s="1"/>
  <c r="AA82" i="11"/>
  <c r="AK82" i="1" s="1"/>
  <c r="N83" i="7"/>
  <c r="BH84" i="8"/>
  <c r="BU84" i="8" s="1"/>
  <c r="BI84" i="8"/>
  <c r="AH95" i="9"/>
  <c r="DB82" i="8"/>
  <c r="CI83" i="8"/>
  <c r="DA83" i="8" s="1"/>
  <c r="BY83" i="8"/>
  <c r="CQ83" i="8" s="1"/>
  <c r="BZ83" i="8"/>
  <c r="CR83" i="8" s="1"/>
  <c r="CC83" i="8"/>
  <c r="CA83" i="8"/>
  <c r="CH83" i="8"/>
  <c r="CZ83" i="8" s="1"/>
  <c r="CB83" i="8"/>
  <c r="CT83" i="8" s="1"/>
  <c r="Q83" i="7"/>
  <c r="AE83" i="7"/>
  <c r="AF83" i="7" s="1"/>
  <c r="AQ82" i="5"/>
  <c r="B82" i="14"/>
  <c r="B84" i="9"/>
  <c r="Y84" i="9" s="1"/>
  <c r="AI84" i="5"/>
  <c r="A84" i="11"/>
  <c r="AC84" i="8"/>
  <c r="BQ84" i="8" s="1"/>
  <c r="BT84" i="5"/>
  <c r="A84" i="10"/>
  <c r="AA84" i="10" s="1"/>
  <c r="B84" i="7"/>
  <c r="X84" i="8"/>
  <c r="DD84" i="8" s="1"/>
  <c r="E84" i="1"/>
  <c r="AJ84" i="5"/>
  <c r="AP84" i="5" s="1"/>
  <c r="CZ86" i="5"/>
  <c r="AB86" i="1"/>
  <c r="DI86" i="5"/>
  <c r="DA85" i="5"/>
  <c r="DG85" i="5" s="1" a="1"/>
  <c r="DG85" i="5" s="1"/>
  <c r="AG95" i="9"/>
  <c r="AK95" i="9"/>
  <c r="N71" i="1"/>
  <c r="S88" i="2"/>
  <c r="N89" i="2"/>
  <c r="R89" i="2"/>
  <c r="Q88" i="2"/>
  <c r="J90" i="10"/>
  <c r="N90" i="5" s="1"/>
  <c r="P90" i="2"/>
  <c r="U1269" i="14"/>
  <c r="U1270" i="14" s="1"/>
  <c r="AN96" i="9" l="1"/>
  <c r="BK97" i="11" s="1"/>
  <c r="AI97" i="11" s="1"/>
  <c r="CV83" i="8"/>
  <c r="CW83" i="8" s="1"/>
  <c r="AS83" i="8"/>
  <c r="AQ111" i="9"/>
  <c r="CM111" i="8" s="1"/>
  <c r="AO84" i="5"/>
  <c r="AM84" i="5"/>
  <c r="AN84" i="5"/>
  <c r="AR84" i="5" s="1"/>
  <c r="AV85" i="5"/>
  <c r="AW85" i="5"/>
  <c r="AG83" i="7"/>
  <c r="AI83" i="7" s="1"/>
  <c r="CL85" i="8"/>
  <c r="AI107" i="9"/>
  <c r="AO107" i="8" s="1"/>
  <c r="G90" i="8"/>
  <c r="CF89" i="8"/>
  <c r="O89" i="2"/>
  <c r="BF89" i="5" a="1"/>
  <c r="BF89" i="5" s="1"/>
  <c r="AE88" i="1" s="1"/>
  <c r="AM96" i="9"/>
  <c r="K96" i="8" s="1"/>
  <c r="BR84" i="8"/>
  <c r="BS84" i="8"/>
  <c r="AD87" i="1"/>
  <c r="CQ89" i="5"/>
  <c r="CW89" i="5"/>
  <c r="CR89" i="5"/>
  <c r="CV89" i="5"/>
  <c r="CS89" i="5"/>
  <c r="CT89" i="5"/>
  <c r="CU89" i="5"/>
  <c r="AY89" i="5" a="1"/>
  <c r="AY89" i="5" s="1"/>
  <c r="BL89" i="5" a="1"/>
  <c r="BL89" i="5" s="1"/>
  <c r="BJ89" i="5" a="1"/>
  <c r="BJ89" i="5" s="1"/>
  <c r="BI89" i="5" a="1"/>
  <c r="BI89" i="5" s="1"/>
  <c r="BN89" i="5" a="1"/>
  <c r="BN89" i="5" s="1"/>
  <c r="BE89" i="5" a="1"/>
  <c r="BE89" i="5" s="1"/>
  <c r="BB89" i="5" a="1"/>
  <c r="BB89" i="5" s="1"/>
  <c r="BH89" i="5" a="1"/>
  <c r="BH89" i="5" s="1"/>
  <c r="BC89" i="5" a="1"/>
  <c r="BC89" i="5" s="1"/>
  <c r="BD89" i="5" a="1"/>
  <c r="BD89" i="5" s="1"/>
  <c r="BO89" i="5" a="1"/>
  <c r="BO89" i="5" s="1"/>
  <c r="BA89" i="5" a="1"/>
  <c r="BA89" i="5" s="1"/>
  <c r="BM89" i="5" a="1"/>
  <c r="BM89" i="5" s="1"/>
  <c r="BG89" i="5" a="1"/>
  <c r="BG89" i="5" s="1"/>
  <c r="BQ89" i="5" a="1"/>
  <c r="BQ89" i="5" s="1"/>
  <c r="AZ89" i="5" a="1"/>
  <c r="AZ89" i="5" s="1"/>
  <c r="BK89" i="5" a="1"/>
  <c r="BK89" i="5" s="1"/>
  <c r="V87" i="2"/>
  <c r="CY82" i="8"/>
  <c r="F92" i="8"/>
  <c r="BP88" i="5" a="1"/>
  <c r="BP88" i="5" s="1"/>
  <c r="J88" i="2" s="1"/>
  <c r="BT85" i="5"/>
  <c r="O93" i="1"/>
  <c r="CD83" i="8"/>
  <c r="BX84" i="8"/>
  <c r="CD84" i="8" s="1"/>
  <c r="BT84" i="8"/>
  <c r="BO84" i="8"/>
  <c r="BP84" i="8"/>
  <c r="BM84" i="8"/>
  <c r="BN84" i="8"/>
  <c r="BK84" i="8"/>
  <c r="BL84" i="8"/>
  <c r="BJ84" i="8"/>
  <c r="AC84" i="10"/>
  <c r="X84" i="10" s="1"/>
  <c r="AS88" i="5"/>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CA90" i="14" s="1"/>
  <c r="A90" i="9"/>
  <c r="A90" i="2"/>
  <c r="A90" i="7"/>
  <c r="R90" i="7" s="1"/>
  <c r="A90" i="8"/>
  <c r="A90" i="5"/>
  <c r="W86" i="1"/>
  <c r="AF86" i="1"/>
  <c r="AU89" i="8"/>
  <c r="AE89" i="8"/>
  <c r="AC85" i="8"/>
  <c r="BQ85" i="8" s="1"/>
  <c r="BW85" i="8"/>
  <c r="A85" i="10"/>
  <c r="AA85" i="10" s="1"/>
  <c r="X85" i="8"/>
  <c r="DD85" i="8" s="1"/>
  <c r="AJ85" i="5"/>
  <c r="AP85" i="5" s="1"/>
  <c r="AI85" i="5"/>
  <c r="BH85" i="8"/>
  <c r="BU85" i="8" s="1"/>
  <c r="E85" i="1"/>
  <c r="DH85" i="8"/>
  <c r="DI85" i="8" s="1"/>
  <c r="A85" i="11"/>
  <c r="Y84" i="11" s="1"/>
  <c r="AH84" i="1" s="1"/>
  <c r="BI85" i="8"/>
  <c r="B85" i="7"/>
  <c r="AE85" i="7" s="1"/>
  <c r="AF85" i="7" s="1"/>
  <c r="CK85" i="8"/>
  <c r="B85" i="9"/>
  <c r="Y85" i="9" s="1"/>
  <c r="B87" i="5"/>
  <c r="AH87" i="5"/>
  <c r="BU87" i="5"/>
  <c r="B87" i="2"/>
  <c r="B87" i="1"/>
  <c r="BG87" i="1" s="1"/>
  <c r="BZ89" i="11"/>
  <c r="AA88" i="7"/>
  <c r="AF88" i="8" s="1"/>
  <c r="AV88" i="8" s="1"/>
  <c r="K88" i="10"/>
  <c r="L88" i="11"/>
  <c r="H88" i="5"/>
  <c r="C87" i="10"/>
  <c r="E87" i="7"/>
  <c r="CS82" i="8"/>
  <c r="I88" i="5"/>
  <c r="D87" i="10"/>
  <c r="F87" i="7"/>
  <c r="K88" i="5"/>
  <c r="F87" i="10"/>
  <c r="H87" i="7"/>
  <c r="DD87" i="5"/>
  <c r="J88" i="5"/>
  <c r="DC88" i="5" s="1"/>
  <c r="E87" i="10"/>
  <c r="G87" i="7"/>
  <c r="L88" i="5"/>
  <c r="G87" i="10"/>
  <c r="I87" i="7"/>
  <c r="G88" i="5"/>
  <c r="B87" i="10"/>
  <c r="D87" i="7"/>
  <c r="M88" i="5"/>
  <c r="H87" i="10"/>
  <c r="J87" i="7"/>
  <c r="DF87" i="5"/>
  <c r="CU83" i="8"/>
  <c r="D85" i="9"/>
  <c r="N84" i="7"/>
  <c r="AH96" i="9"/>
  <c r="AQ83" i="5"/>
  <c r="DB83" i="8"/>
  <c r="B83" i="14"/>
  <c r="CI84" i="8"/>
  <c r="DA84" i="8" s="1"/>
  <c r="Y83" i="11"/>
  <c r="AH83" i="1" s="1"/>
  <c r="Z83" i="11"/>
  <c r="AA83" i="11"/>
  <c r="AK83" i="1" s="1"/>
  <c r="AC83" i="11"/>
  <c r="U83" i="8" s="1"/>
  <c r="AB83" i="11"/>
  <c r="Q83" i="8" s="1"/>
  <c r="N84" i="11"/>
  <c r="AD83" i="11"/>
  <c r="AI83" i="1" s="1"/>
  <c r="C86" i="5"/>
  <c r="F86" i="5" s="1"/>
  <c r="BY84" i="8"/>
  <c r="CQ84" i="8" s="1"/>
  <c r="BZ84" i="8"/>
  <c r="CR84" i="8" s="1"/>
  <c r="CH84" i="8"/>
  <c r="CZ84" i="8" s="1"/>
  <c r="CC84" i="8"/>
  <c r="CB84" i="8"/>
  <c r="CT84" i="8" s="1"/>
  <c r="CA84" i="8"/>
  <c r="CZ87" i="5"/>
  <c r="AE84" i="7"/>
  <c r="AF84" i="7" s="1"/>
  <c r="Q84" i="7"/>
  <c r="C87" i="5"/>
  <c r="DA86" i="5"/>
  <c r="DG86" i="5" s="1" a="1"/>
  <c r="DG86" i="5" s="1"/>
  <c r="DI87" i="5"/>
  <c r="AB87" i="1"/>
  <c r="AG96" i="9"/>
  <c r="AK96" i="9"/>
  <c r="N72" i="1"/>
  <c r="S89" i="2"/>
  <c r="N90" i="2"/>
  <c r="R90" i="2"/>
  <c r="Q89" i="2"/>
  <c r="J91" i="10"/>
  <c r="N91" i="5" s="1"/>
  <c r="P91" i="2"/>
  <c r="AN97" i="9" l="1"/>
  <c r="BK98" i="11" s="1"/>
  <c r="AI98" i="11" s="1"/>
  <c r="CV84" i="8"/>
  <c r="CW84" i="8" s="1"/>
  <c r="AS84" i="8"/>
  <c r="AQ112" i="9"/>
  <c r="CM112" i="8" s="1"/>
  <c r="AO85" i="5"/>
  <c r="AM85" i="5"/>
  <c r="AN85" i="5"/>
  <c r="AR85" i="5" s="1"/>
  <c r="AV86" i="5"/>
  <c r="AW86" i="5"/>
  <c r="AG85" i="7"/>
  <c r="AG84" i="7"/>
  <c r="AI84" i="7" s="1"/>
  <c r="CL86" i="8"/>
  <c r="BZ85" i="8"/>
  <c r="CR85" i="8" s="1"/>
  <c r="AC85" i="1"/>
  <c r="AI108" i="9"/>
  <c r="AO108" i="8" s="1"/>
  <c r="G91" i="8"/>
  <c r="CF90" i="8"/>
  <c r="O90" i="2"/>
  <c r="BF90" i="5" a="1"/>
  <c r="BF90" i="5" s="1"/>
  <c r="AE89" i="1" s="1"/>
  <c r="BB90" i="5" a="1"/>
  <c r="BB90" i="5" s="1"/>
  <c r="BJ90" i="5" a="1"/>
  <c r="BJ90" i="5" s="1"/>
  <c r="BE90" i="5" a="1"/>
  <c r="BE90" i="5" s="1"/>
  <c r="BI90" i="5" a="1"/>
  <c r="BI90" i="5" s="1"/>
  <c r="AM97" i="9"/>
  <c r="K97" i="8" s="1"/>
  <c r="BR85" i="8"/>
  <c r="BS85" i="8"/>
  <c r="AD88" i="1"/>
  <c r="BN90" i="5" a="1"/>
  <c r="BN90" i="5" s="1"/>
  <c r="BK90" i="5" a="1"/>
  <c r="BK90" i="5" s="1"/>
  <c r="AZ90" i="5" a="1"/>
  <c r="AZ90" i="5" s="1"/>
  <c r="BQ90" i="5" a="1"/>
  <c r="BQ90" i="5" s="1"/>
  <c r="CQ90" i="5"/>
  <c r="CR90" i="5"/>
  <c r="CV90" i="5"/>
  <c r="CW90" i="5"/>
  <c r="CT90" i="5"/>
  <c r="CU90" i="5"/>
  <c r="CS90" i="5"/>
  <c r="AY90" i="5" a="1"/>
  <c r="AY90" i="5" s="1"/>
  <c r="BL90" i="5" a="1"/>
  <c r="BL90" i="5" s="1"/>
  <c r="BG90" i="5" a="1"/>
  <c r="BG90" i="5" s="1"/>
  <c r="BM90" i="5" a="1"/>
  <c r="BM90" i="5" s="1"/>
  <c r="BA90" i="5" a="1"/>
  <c r="BA90" i="5" s="1"/>
  <c r="BO90" i="5" a="1"/>
  <c r="BO90" i="5" s="1"/>
  <c r="BD90" i="5" a="1"/>
  <c r="BD90" i="5" s="1"/>
  <c r="BC90" i="5" a="1"/>
  <c r="BC90" i="5" s="1"/>
  <c r="BH90" i="5" a="1"/>
  <c r="BH90" i="5" s="1"/>
  <c r="V88" i="2"/>
  <c r="CY83" i="8"/>
  <c r="F93" i="8"/>
  <c r="BP89" i="5" a="1"/>
  <c r="BP89" i="5" s="1"/>
  <c r="J89" i="2" s="1"/>
  <c r="O94" i="1"/>
  <c r="CE84" i="8"/>
  <c r="BX85" i="8"/>
  <c r="CE85" i="8" s="1"/>
  <c r="CX85" i="8" s="1"/>
  <c r="BT85" i="8"/>
  <c r="BO85" i="8"/>
  <c r="BP85" i="8"/>
  <c r="BM85" i="8"/>
  <c r="BN85" i="8"/>
  <c r="BK85" i="8"/>
  <c r="BL85" i="8"/>
  <c r="BJ85" i="8"/>
  <c r="AC85" i="10"/>
  <c r="X85" i="10" s="1"/>
  <c r="AS89" i="5"/>
  <c r="AH89" i="11"/>
  <c r="AK89" i="11"/>
  <c r="DB88" i="5"/>
  <c r="AM89" i="1"/>
  <c r="DE88" i="5"/>
  <c r="DF88" i="5"/>
  <c r="AF87" i="1"/>
  <c r="DH88" i="5"/>
  <c r="AU90" i="14" a="1"/>
  <c r="AU90" i="14"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CA91" i="14" s="1"/>
  <c r="A91" i="7"/>
  <c r="R91" i="7" s="1"/>
  <c r="A91" i="9"/>
  <c r="A91" i="2"/>
  <c r="A91" i="5"/>
  <c r="A91" i="8"/>
  <c r="W87" i="1"/>
  <c r="AU90" i="8"/>
  <c r="AE90" i="8"/>
  <c r="Y87" i="1"/>
  <c r="DJ88" i="5"/>
  <c r="CB85" i="8"/>
  <c r="CT85" i="8" s="1"/>
  <c r="F87" i="5"/>
  <c r="BY85" i="8"/>
  <c r="CQ85" i="8" s="1"/>
  <c r="CA85" i="8"/>
  <c r="CC85" i="8"/>
  <c r="CH85" i="8"/>
  <c r="CZ85" i="8" s="1"/>
  <c r="AC84" i="11"/>
  <c r="U84" i="8" s="1"/>
  <c r="AB84" i="11"/>
  <c r="Q84" i="8" s="1"/>
  <c r="N85" i="7"/>
  <c r="CI85" i="8"/>
  <c r="DA85" i="8" s="1"/>
  <c r="D86" i="9"/>
  <c r="Z84" i="11"/>
  <c r="AA84" i="11"/>
  <c r="AK84" i="1" s="1"/>
  <c r="N85" i="11"/>
  <c r="AD84" i="11"/>
  <c r="AI84" i="1" s="1"/>
  <c r="Q85" i="7"/>
  <c r="B85" i="14"/>
  <c r="AH88" i="5"/>
  <c r="BU88" i="5"/>
  <c r="B88" i="2"/>
  <c r="B88" i="1"/>
  <c r="BG88" i="1" s="1"/>
  <c r="BZ90" i="11"/>
  <c r="K89" i="10"/>
  <c r="AA89" i="7"/>
  <c r="AF89" i="8" s="1"/>
  <c r="AV89" i="8" s="1"/>
  <c r="L89" i="11"/>
  <c r="K89" i="5"/>
  <c r="F88" i="10"/>
  <c r="H88" i="7"/>
  <c r="DD88" i="5"/>
  <c r="L89" i="5"/>
  <c r="G88" i="10"/>
  <c r="I88" i="7"/>
  <c r="M89" i="5"/>
  <c r="H88" i="10"/>
  <c r="J88" i="7"/>
  <c r="I89" i="5"/>
  <c r="D88" i="10"/>
  <c r="F88" i="7"/>
  <c r="J89" i="5"/>
  <c r="DC89" i="5" s="1"/>
  <c r="E88" i="10"/>
  <c r="G88" i="7"/>
  <c r="B88" i="5"/>
  <c r="G89" i="5"/>
  <c r="D88" i="7"/>
  <c r="B88" i="10"/>
  <c r="H89" i="5"/>
  <c r="C88" i="10"/>
  <c r="E88" i="7"/>
  <c r="CS83" i="8"/>
  <c r="CU84" i="8"/>
  <c r="DH86" i="8"/>
  <c r="DI86" i="8" s="1"/>
  <c r="CK86" i="8"/>
  <c r="BW86" i="8"/>
  <c r="AC86" i="1" s="1"/>
  <c r="BH86" i="8"/>
  <c r="BU86" i="8" s="1"/>
  <c r="BI86" i="8"/>
  <c r="AH97" i="9"/>
  <c r="DB84" i="8"/>
  <c r="AQ84" i="5"/>
  <c r="CZ88" i="5"/>
  <c r="B84" i="14"/>
  <c r="X86" i="8"/>
  <c r="DD86" i="8" s="1"/>
  <c r="E86" i="1"/>
  <c r="AI86" i="5"/>
  <c r="B86" i="9"/>
  <c r="Y86" i="9" s="1"/>
  <c r="A86" i="11"/>
  <c r="AJ86" i="5"/>
  <c r="AP86" i="5" s="1"/>
  <c r="AC86" i="8"/>
  <c r="BQ86" i="8" s="1"/>
  <c r="BT86" i="5"/>
  <c r="A86" i="10"/>
  <c r="AA86" i="10" s="1"/>
  <c r="B86" i="7"/>
  <c r="AB88" i="1"/>
  <c r="DI88" i="5"/>
  <c r="DA87" i="5"/>
  <c r="DG87" i="5" s="1" a="1"/>
  <c r="DG87" i="5" s="1"/>
  <c r="AG97" i="9"/>
  <c r="AK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J92" i="10"/>
  <c r="N92" i="5" s="1"/>
  <c r="P92" i="2"/>
  <c r="AN98" i="9" l="1"/>
  <c r="BK99" i="11" s="1"/>
  <c r="AI99" i="11" s="1"/>
  <c r="CX84" i="8"/>
  <c r="CY84" i="8" s="1"/>
  <c r="CV85" i="8"/>
  <c r="CW85" i="8" s="1"/>
  <c r="AS85" i="8"/>
  <c r="AI85" i="7"/>
  <c r="AQ113" i="9"/>
  <c r="CM113" i="8" s="1"/>
  <c r="AO86" i="5"/>
  <c r="AM86" i="5"/>
  <c r="AN86" i="5"/>
  <c r="AR86" i="5" s="1"/>
  <c r="AV87" i="5"/>
  <c r="AW87" i="5"/>
  <c r="CL87" i="8"/>
  <c r="AI109" i="9"/>
  <c r="AO109" i="8" s="1"/>
  <c r="G92" i="8"/>
  <c r="CF91" i="8"/>
  <c r="O91" i="2"/>
  <c r="BI91" i="5" a="1"/>
  <c r="BI91" i="5" s="1"/>
  <c r="AM98" i="9"/>
  <c r="K98" i="8" s="1"/>
  <c r="BR86" i="8"/>
  <c r="BS86" i="8"/>
  <c r="AD89" i="1"/>
  <c r="BH91" i="5" a="1"/>
  <c r="BH91" i="5" s="1"/>
  <c r="CS91" i="5"/>
  <c r="CR91" i="5"/>
  <c r="CQ91" i="5"/>
  <c r="CT91" i="5"/>
  <c r="CV91" i="5"/>
  <c r="CW91" i="5"/>
  <c r="CU91" i="5"/>
  <c r="AY91" i="5" a="1"/>
  <c r="AY91" i="5" s="1"/>
  <c r="BL91" i="5" a="1"/>
  <c r="BL91" i="5" s="1"/>
  <c r="BC91" i="5" a="1"/>
  <c r="BC91" i="5" s="1"/>
  <c r="BJ91" i="5" a="1"/>
  <c r="BJ91" i="5" s="1"/>
  <c r="BD91" i="5" a="1"/>
  <c r="BD91" i="5" s="1"/>
  <c r="BQ91" i="5" a="1"/>
  <c r="BQ91" i="5" s="1"/>
  <c r="AZ91" i="5" a="1"/>
  <c r="AZ91" i="5" s="1"/>
  <c r="BO91" i="5" a="1"/>
  <c r="BO91" i="5" s="1"/>
  <c r="BK91" i="5" a="1"/>
  <c r="BK91" i="5" s="1"/>
  <c r="BA91" i="5" a="1"/>
  <c r="BA91" i="5" s="1"/>
  <c r="BF91" i="5" a="1"/>
  <c r="BF91" i="5" s="1"/>
  <c r="AE90" i="1" s="1"/>
  <c r="BM91" i="5" a="1"/>
  <c r="BM91" i="5" s="1"/>
  <c r="BN91" i="5" a="1"/>
  <c r="BN91" i="5" s="1"/>
  <c r="BG91" i="5" a="1"/>
  <c r="BG91" i="5" s="1"/>
  <c r="BB91" i="5" a="1"/>
  <c r="BB91" i="5" s="1"/>
  <c r="BE91" i="5" a="1"/>
  <c r="BE91" i="5" s="1"/>
  <c r="V89" i="2"/>
  <c r="CU85" i="8"/>
  <c r="F94" i="8"/>
  <c r="BP90" i="5" a="1"/>
  <c r="BP90" i="5" s="1"/>
  <c r="J90" i="2" s="1"/>
  <c r="AC87" i="8"/>
  <c r="BQ87" i="8" s="1"/>
  <c r="O95" i="1"/>
  <c r="CD85" i="8"/>
  <c r="BX86" i="8"/>
  <c r="CD86" i="8" s="1"/>
  <c r="BT86" i="8"/>
  <c r="BO86" i="8"/>
  <c r="BP86" i="8"/>
  <c r="BM86" i="8"/>
  <c r="BN86" i="8"/>
  <c r="BK86" i="8"/>
  <c r="BL86" i="8"/>
  <c r="BJ86" i="8"/>
  <c r="AC86" i="10"/>
  <c r="X86" i="10" s="1"/>
  <c r="AS90" i="5"/>
  <c r="AH90" i="11"/>
  <c r="AK90" i="11"/>
  <c r="DE89" i="5"/>
  <c r="CK87" i="8"/>
  <c r="DB89" i="5"/>
  <c r="DF89" i="5"/>
  <c r="AU91" i="8"/>
  <c r="AE91" i="8"/>
  <c r="DH89" i="5"/>
  <c r="K92" i="11"/>
  <c r="A92" i="14"/>
  <c r="CA92" i="14" s="1"/>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N91" i="14" a="1"/>
  <c r="AN91" i="14" s="1"/>
  <c r="BK91" i="14" a="1"/>
  <c r="BK91" i="14" s="1"/>
  <c r="AJ91" i="14" a="1"/>
  <c r="AJ91" i="14" s="1"/>
  <c r="BB91" i="14" a="1"/>
  <c r="BB91" i="14" s="1"/>
  <c r="AQ91" i="14" a="1"/>
  <c r="AQ91" i="14" s="1"/>
  <c r="AT91" i="14" a="1"/>
  <c r="AT91" i="14" s="1"/>
  <c r="AA91" i="14" a="1"/>
  <c r="AA91" i="14" s="1"/>
  <c r="Y88" i="1"/>
  <c r="DJ89" i="5"/>
  <c r="W88" i="1"/>
  <c r="AM90" i="1"/>
  <c r="B87" i="7"/>
  <c r="AE87" i="7" s="1"/>
  <c r="AF87" i="7" s="1"/>
  <c r="A87" i="11"/>
  <c r="Y86" i="11" s="1"/>
  <c r="AH86" i="1" s="1"/>
  <c r="BT87" i="5"/>
  <c r="E87" i="1"/>
  <c r="AI87" i="5"/>
  <c r="X87" i="8"/>
  <c r="DD87" i="8" s="1"/>
  <c r="B87" i="9"/>
  <c r="Y87" i="9" s="1"/>
  <c r="DH87" i="8"/>
  <c r="DI87" i="8" s="1"/>
  <c r="BI87" i="8"/>
  <c r="A87" i="10"/>
  <c r="AA87" i="10" s="1"/>
  <c r="AJ87" i="5"/>
  <c r="AP87" i="5" s="1"/>
  <c r="BW87" i="8"/>
  <c r="BH87" i="8"/>
  <c r="BU87" i="8" s="1"/>
  <c r="DB85" i="8"/>
  <c r="AQ85" i="5"/>
  <c r="CS84" i="8"/>
  <c r="B89" i="5"/>
  <c r="BU89" i="5"/>
  <c r="AH89" i="5"/>
  <c r="B89" i="2"/>
  <c r="B89" i="1"/>
  <c r="BG89" i="1" s="1"/>
  <c r="BZ91" i="11"/>
  <c r="K90" i="10"/>
  <c r="AA90" i="7"/>
  <c r="AF90" i="8" s="1"/>
  <c r="AV90" i="8" s="1"/>
  <c r="L90" i="11"/>
  <c r="H90" i="5"/>
  <c r="C89" i="10"/>
  <c r="E89" i="7"/>
  <c r="J90" i="5"/>
  <c r="DC90" i="5" s="1"/>
  <c r="E89" i="10"/>
  <c r="G89" i="7"/>
  <c r="L90" i="5"/>
  <c r="G89" i="10"/>
  <c r="I89" i="7"/>
  <c r="D89" i="7"/>
  <c r="G90" i="5"/>
  <c r="B89" i="10"/>
  <c r="I90" i="5"/>
  <c r="D89" i="10"/>
  <c r="F89" i="7"/>
  <c r="M90" i="5"/>
  <c r="H89" i="10"/>
  <c r="J89" i="7"/>
  <c r="K90" i="5"/>
  <c r="F89" i="10"/>
  <c r="H89" i="7"/>
  <c r="DD89" i="5"/>
  <c r="D87" i="9"/>
  <c r="N86" i="7"/>
  <c r="AH98" i="9"/>
  <c r="CZ89" i="5"/>
  <c r="CA86" i="8"/>
  <c r="CB86" i="8"/>
  <c r="CT86" i="8" s="1"/>
  <c r="BY86" i="8"/>
  <c r="CQ86" i="8" s="1"/>
  <c r="BZ86" i="8"/>
  <c r="CR86" i="8" s="1"/>
  <c r="CH86" i="8"/>
  <c r="CZ86" i="8" s="1"/>
  <c r="CC86" i="8"/>
  <c r="C88" i="5"/>
  <c r="F88" i="5" s="1"/>
  <c r="CI86" i="8"/>
  <c r="DA86" i="8" s="1"/>
  <c r="AD85" i="11"/>
  <c r="AI85" i="1" s="1"/>
  <c r="AA85" i="11"/>
  <c r="AK85" i="1" s="1"/>
  <c r="N86" i="11"/>
  <c r="AB85" i="11"/>
  <c r="Q85" i="8" s="1"/>
  <c r="Y85" i="11"/>
  <c r="AH85" i="1" s="1"/>
  <c r="Z85" i="11"/>
  <c r="AC85" i="11"/>
  <c r="U85" i="8" s="1"/>
  <c r="Q86" i="7"/>
  <c r="AE86" i="7"/>
  <c r="AF86" i="7" s="1"/>
  <c r="DA88" i="5"/>
  <c r="DG88" i="5" s="1" a="1"/>
  <c r="DG88" i="5" s="1"/>
  <c r="AB89" i="1"/>
  <c r="DI89" i="5"/>
  <c r="AG98" i="9"/>
  <c r="AK98" i="9"/>
  <c r="N74" i="1"/>
  <c r="S91" i="2"/>
  <c r="N92" i="2"/>
  <c r="R92" i="2"/>
  <c r="Q91" i="2"/>
  <c r="P93" i="2"/>
  <c r="J93" i="10"/>
  <c r="N93" i="5" s="1"/>
  <c r="AN99" i="9" l="1"/>
  <c r="BK100" i="11" s="1"/>
  <c r="AI100" i="11" s="1"/>
  <c r="CV86" i="8"/>
  <c r="CW86" i="8" s="1"/>
  <c r="AS86" i="8"/>
  <c r="AQ114" i="9"/>
  <c r="CM114" i="8" s="1"/>
  <c r="AO87" i="5"/>
  <c r="AM87" i="5"/>
  <c r="AN87" i="5"/>
  <c r="AR87" i="5" s="1"/>
  <c r="AV88" i="5"/>
  <c r="AW88" i="5"/>
  <c r="AG86" i="7"/>
  <c r="AI86" i="7" s="1"/>
  <c r="AG87" i="7"/>
  <c r="CL88" i="8"/>
  <c r="CA87" i="8"/>
  <c r="AC87" i="1"/>
  <c r="AI110" i="9"/>
  <c r="AO110" i="8" s="1"/>
  <c r="G93" i="8"/>
  <c r="CF92" i="8"/>
  <c r="O92" i="2"/>
  <c r="BE92" i="5" a="1"/>
  <c r="BE92" i="5" s="1"/>
  <c r="BM92" i="5" a="1"/>
  <c r="BM92" i="5" s="1"/>
  <c r="BJ92" i="5" a="1"/>
  <c r="BJ92" i="5" s="1"/>
  <c r="BB92" i="5" a="1"/>
  <c r="BB92" i="5" s="1"/>
  <c r="BF92" i="5" a="1"/>
  <c r="BF92" i="5" s="1"/>
  <c r="AE91" i="1" s="1"/>
  <c r="BC92" i="5" a="1"/>
  <c r="BC92" i="5" s="1"/>
  <c r="BG92" i="5" a="1"/>
  <c r="BG92" i="5" s="1"/>
  <c r="BQ92" i="5" a="1"/>
  <c r="BQ92" i="5" s="1"/>
  <c r="BN92" i="5" a="1"/>
  <c r="BN92" i="5" s="1"/>
  <c r="BD92" i="5" a="1"/>
  <c r="BD92" i="5" s="1"/>
  <c r="AM99" i="9"/>
  <c r="K99" i="8" s="1"/>
  <c r="BR87" i="8"/>
  <c r="BS87" i="8"/>
  <c r="AD90" i="1"/>
  <c r="CT92" i="5"/>
  <c r="CU92" i="5"/>
  <c r="CW92" i="5"/>
  <c r="CQ92" i="5"/>
  <c r="CV92" i="5"/>
  <c r="CR92" i="5"/>
  <c r="CS92" i="5"/>
  <c r="BL92" i="5" a="1"/>
  <c r="BL92" i="5" s="1"/>
  <c r="AY92" i="5" a="1"/>
  <c r="AY92" i="5" s="1"/>
  <c r="BA92" i="5" a="1"/>
  <c r="BA92" i="5" s="1"/>
  <c r="BK92" i="5" a="1"/>
  <c r="BK92" i="5" s="1"/>
  <c r="BH92" i="5" a="1"/>
  <c r="BH92" i="5" s="1"/>
  <c r="BO92" i="5" a="1"/>
  <c r="BO92" i="5" s="1"/>
  <c r="AZ92" i="5" a="1"/>
  <c r="AZ92" i="5" s="1"/>
  <c r="BI92" i="5" a="1"/>
  <c r="BI92" i="5" s="1"/>
  <c r="V90" i="2"/>
  <c r="CS85" i="8"/>
  <c r="CY85" i="8"/>
  <c r="F95" i="8"/>
  <c r="BP87" i="8"/>
  <c r="BO87" i="8"/>
  <c r="N87" i="7"/>
  <c r="BJ87" i="8"/>
  <c r="BM87" i="8"/>
  <c r="BL87" i="8"/>
  <c r="BK87" i="8"/>
  <c r="BP91" i="5" a="1"/>
  <c r="BP91" i="5" s="1"/>
  <c r="J91" i="2" s="1"/>
  <c r="BN87" i="8"/>
  <c r="O96" i="1"/>
  <c r="CE86" i="8"/>
  <c r="BX87" i="8"/>
  <c r="CD87" i="8" s="1"/>
  <c r="BT87" i="8"/>
  <c r="AC87" i="10"/>
  <c r="X87" i="10" s="1"/>
  <c r="AS91" i="5"/>
  <c r="DB90" i="5"/>
  <c r="AK91" i="11"/>
  <c r="D88" i="9"/>
  <c r="AM91" i="1"/>
  <c r="AJ91" i="1"/>
  <c r="DF90" i="5"/>
  <c r="DE90" i="5"/>
  <c r="AF89" i="1"/>
  <c r="W89" i="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CA93" i="14" s="1"/>
  <c r="A93" i="9"/>
  <c r="A93" i="7"/>
  <c r="R93" i="7" s="1"/>
  <c r="A93" i="2"/>
  <c r="A93" i="8"/>
  <c r="A93" i="5"/>
  <c r="Y89" i="1"/>
  <c r="DJ90" i="5"/>
  <c r="DH90" i="5"/>
  <c r="AU92" i="8"/>
  <c r="AE92" i="8"/>
  <c r="N87" i="11"/>
  <c r="AA86" i="11"/>
  <c r="AK86" i="1" s="1"/>
  <c r="AC86" i="11"/>
  <c r="U86" i="8" s="1"/>
  <c r="Z86" i="11"/>
  <c r="AB86" i="11"/>
  <c r="Q86" i="8" s="1"/>
  <c r="AD86" i="11"/>
  <c r="AI86" i="1" s="1"/>
  <c r="B87" i="14"/>
  <c r="Q87" i="7"/>
  <c r="CI87" i="8"/>
  <c r="DA87" i="8" s="1"/>
  <c r="CB87" i="8"/>
  <c r="CT87" i="8" s="1"/>
  <c r="CC87" i="8"/>
  <c r="BY87" i="8"/>
  <c r="CQ87" i="8" s="1"/>
  <c r="BZ87" i="8"/>
  <c r="CR87" i="8" s="1"/>
  <c r="CH87" i="8"/>
  <c r="CZ87" i="8" s="1"/>
  <c r="B90" i="5"/>
  <c r="BU90" i="5"/>
  <c r="AH90" i="5"/>
  <c r="B90" i="2"/>
  <c r="B90" i="1"/>
  <c r="BG90" i="1" s="1"/>
  <c r="BZ92" i="11"/>
  <c r="K91" i="10"/>
  <c r="AA91" i="7"/>
  <c r="AF91" i="8" s="1"/>
  <c r="AV91" i="8" s="1"/>
  <c r="L91" i="11"/>
  <c r="L91" i="5"/>
  <c r="G90" i="10"/>
  <c r="I90" i="7"/>
  <c r="I91" i="5"/>
  <c r="D90" i="10"/>
  <c r="F90" i="7"/>
  <c r="K91" i="5"/>
  <c r="F90" i="10"/>
  <c r="H90" i="7"/>
  <c r="DD90" i="5"/>
  <c r="G91" i="5"/>
  <c r="B90" i="10"/>
  <c r="D90" i="7"/>
  <c r="J91" i="5"/>
  <c r="DC91" i="5" s="1"/>
  <c r="E90" i="10"/>
  <c r="G90" i="7"/>
  <c r="M91" i="5"/>
  <c r="H90" i="10"/>
  <c r="J90" i="7"/>
  <c r="H91" i="5"/>
  <c r="C90" i="10"/>
  <c r="E90" i="7"/>
  <c r="CU86" i="8"/>
  <c r="DH88" i="8"/>
  <c r="DI88" i="8" s="1"/>
  <c r="CK88" i="8"/>
  <c r="BW88" i="8"/>
  <c r="AC88" i="1" s="1"/>
  <c r="BH88" i="8"/>
  <c r="BU88" i="8" s="1"/>
  <c r="BI88" i="8"/>
  <c r="AH99" i="9"/>
  <c r="X88" i="8"/>
  <c r="DD88" i="8" s="1"/>
  <c r="E88" i="1"/>
  <c r="B88" i="9"/>
  <c r="Y88" i="9" s="1"/>
  <c r="AJ88" i="5"/>
  <c r="AP88" i="5" s="1"/>
  <c r="AI88" i="5"/>
  <c r="A88" i="11"/>
  <c r="AC88" i="8"/>
  <c r="BQ88" i="8" s="1"/>
  <c r="BT88" i="5"/>
  <c r="A88" i="10"/>
  <c r="AA88" i="10" s="1"/>
  <c r="B88" i="7"/>
  <c r="CZ90" i="5"/>
  <c r="AQ86" i="5"/>
  <c r="B86" i="14"/>
  <c r="DB86" i="8"/>
  <c r="C89" i="5"/>
  <c r="F89" i="5" s="1"/>
  <c r="AB90" i="1"/>
  <c r="DI90" i="5"/>
  <c r="DA89" i="5"/>
  <c r="DG89" i="5" s="1" a="1"/>
  <c r="DG89" i="5" s="1"/>
  <c r="AG99" i="9"/>
  <c r="AK99" i="9"/>
  <c r="AF1269" i="14"/>
  <c r="AF1270" i="14" s="1"/>
  <c r="N75" i="1"/>
  <c r="S92" i="2"/>
  <c r="N93" i="2"/>
  <c r="R93" i="2"/>
  <c r="Q92" i="2"/>
  <c r="J94" i="10"/>
  <c r="N94" i="5" s="1"/>
  <c r="P94" i="2"/>
  <c r="AN100" i="9" l="1"/>
  <c r="BK101" i="11" s="1"/>
  <c r="AI101" i="11" s="1"/>
  <c r="CX86" i="8"/>
  <c r="CY86" i="8" s="1"/>
  <c r="CV87" i="8"/>
  <c r="CW87" i="8" s="1"/>
  <c r="AS87" i="8"/>
  <c r="AQ115" i="9"/>
  <c r="CM115" i="8" s="1"/>
  <c r="AO88" i="5"/>
  <c r="AM88" i="5"/>
  <c r="AN88" i="5"/>
  <c r="AR88" i="5" s="1"/>
  <c r="AV89" i="5"/>
  <c r="AW89" i="5"/>
  <c r="AI87" i="7"/>
  <c r="CL89" i="8"/>
  <c r="AI111" i="9"/>
  <c r="AO111" i="8" s="1"/>
  <c r="G94" i="8"/>
  <c r="CF93" i="8"/>
  <c r="O93" i="2"/>
  <c r="BM93" i="5" a="1"/>
  <c r="BM93" i="5" s="1"/>
  <c r="AD91" i="1"/>
  <c r="AM100" i="9"/>
  <c r="K100" i="8" s="1"/>
  <c r="BR88" i="8"/>
  <c r="BS88" i="8"/>
  <c r="BI93" i="5" a="1"/>
  <c r="BI93" i="5" s="1"/>
  <c r="AZ93" i="5" a="1"/>
  <c r="AZ93" i="5" s="1"/>
  <c r="BF93" i="5" a="1"/>
  <c r="BF93" i="5" s="1"/>
  <c r="AE92" i="1" s="1"/>
  <c r="CV93" i="5"/>
  <c r="CU93" i="5"/>
  <c r="CR93" i="5"/>
  <c r="CS93" i="5"/>
  <c r="CT93" i="5"/>
  <c r="CW93" i="5"/>
  <c r="CQ93" i="5"/>
  <c r="AY93" i="5" a="1"/>
  <c r="AY93" i="5" s="1"/>
  <c r="BL93" i="5" a="1"/>
  <c r="BL93" i="5" s="1"/>
  <c r="BD93" i="5" a="1"/>
  <c r="BD93" i="5" s="1"/>
  <c r="BN93" i="5" a="1"/>
  <c r="BN93" i="5" s="1"/>
  <c r="BO93" i="5" a="1"/>
  <c r="BO93" i="5" s="1"/>
  <c r="BG93" i="5" a="1"/>
  <c r="BG93" i="5" s="1"/>
  <c r="BH93" i="5" a="1"/>
  <c r="BH93" i="5" s="1"/>
  <c r="BB93" i="5" a="1"/>
  <c r="BB93" i="5" s="1"/>
  <c r="BK93" i="5" a="1"/>
  <c r="BK93" i="5" s="1"/>
  <c r="BE93" i="5" a="1"/>
  <c r="BE93" i="5" s="1"/>
  <c r="BA93" i="5" a="1"/>
  <c r="BA93" i="5" s="1"/>
  <c r="BC93" i="5" a="1"/>
  <c r="BC93" i="5" s="1"/>
  <c r="BJ93" i="5" a="1"/>
  <c r="BJ93" i="5" s="1"/>
  <c r="BQ93" i="5" a="1"/>
  <c r="BQ93" i="5" s="1"/>
  <c r="V91" i="2"/>
  <c r="CU87" i="8"/>
  <c r="F96" i="8"/>
  <c r="BP92" i="5" a="1"/>
  <c r="BP92" i="5" s="1"/>
  <c r="J92" i="2" s="1"/>
  <c r="O97" i="1"/>
  <c r="CE87" i="8"/>
  <c r="BT88" i="8"/>
  <c r="BO88" i="8"/>
  <c r="BP88" i="8"/>
  <c r="BM88" i="8"/>
  <c r="BN88" i="8"/>
  <c r="BK88" i="8"/>
  <c r="BL88" i="8"/>
  <c r="BJ88" i="8"/>
  <c r="AC88" i="10"/>
  <c r="X88" i="10" s="1"/>
  <c r="AS92" i="5"/>
  <c r="AK92" i="11"/>
  <c r="DB91" i="5"/>
  <c r="DF91" i="5"/>
  <c r="AH92" i="11"/>
  <c r="DE91" i="5"/>
  <c r="Y90" i="1"/>
  <c r="DJ91" i="5"/>
  <c r="DH91" i="5"/>
  <c r="AJ92" i="1"/>
  <c r="W90" i="1"/>
  <c r="K94" i="11"/>
  <c r="A94" i="14"/>
  <c r="CA94" i="14" s="1"/>
  <c r="A94" i="5"/>
  <c r="A94" i="9"/>
  <c r="A94" i="8"/>
  <c r="A94" i="7"/>
  <c r="R94" i="7" s="1"/>
  <c r="A94" i="2"/>
  <c r="AE93" i="8"/>
  <c r="AU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DB87" i="8"/>
  <c r="AQ87" i="5"/>
  <c r="B91" i="5"/>
  <c r="BZ93" i="11"/>
  <c r="K92" i="10"/>
  <c r="AA92" i="7"/>
  <c r="AF92" i="8" s="1"/>
  <c r="AV92" i="8" s="1"/>
  <c r="L92" i="11"/>
  <c r="CS86" i="8"/>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H89" i="8"/>
  <c r="DI89" i="8" s="1"/>
  <c r="CK89" i="8"/>
  <c r="BW89" i="8"/>
  <c r="AC89" i="1" s="1"/>
  <c r="BX88" i="8"/>
  <c r="CD88" i="8" s="1"/>
  <c r="N88" i="7"/>
  <c r="BH89" i="8"/>
  <c r="BU89" i="8" s="1"/>
  <c r="BI89" i="8"/>
  <c r="AH100" i="9"/>
  <c r="A89" i="11"/>
  <c r="A89" i="10"/>
  <c r="AA89" i="10" s="1"/>
  <c r="B89" i="7"/>
  <c r="B89" i="9"/>
  <c r="Y89" i="9" s="1"/>
  <c r="AC89" i="8"/>
  <c r="BQ89" i="8" s="1"/>
  <c r="BT89" i="5"/>
  <c r="AJ89" i="5"/>
  <c r="AP89" i="5" s="1"/>
  <c r="X89" i="8"/>
  <c r="DD89" i="8" s="1"/>
  <c r="E89" i="1"/>
  <c r="AI89" i="5"/>
  <c r="AB87" i="11"/>
  <c r="Q87" i="8" s="1"/>
  <c r="AC87" i="11"/>
  <c r="U87" i="8" s="1"/>
  <c r="AD87" i="11"/>
  <c r="AI87" i="1" s="1"/>
  <c r="Y87" i="11"/>
  <c r="AH87" i="1" s="1"/>
  <c r="Z87" i="11"/>
  <c r="N88" i="11"/>
  <c r="AA87" i="11"/>
  <c r="AK87" i="1" s="1"/>
  <c r="C90" i="5"/>
  <c r="F90" i="5" s="1"/>
  <c r="AE88" i="7"/>
  <c r="AF88" i="7" s="1"/>
  <c r="Q88" i="7"/>
  <c r="CB88" i="8"/>
  <c r="CT88" i="8" s="1"/>
  <c r="BY88" i="8"/>
  <c r="CQ88" i="8" s="1"/>
  <c r="BZ88" i="8"/>
  <c r="CR88" i="8" s="1"/>
  <c r="CA88" i="8"/>
  <c r="CC88" i="8"/>
  <c r="CH88" i="8"/>
  <c r="CZ88" i="8" s="1"/>
  <c r="CZ91" i="5"/>
  <c r="CI88" i="8"/>
  <c r="DA88" i="8" s="1"/>
  <c r="C91" i="5"/>
  <c r="DA90" i="5"/>
  <c r="DG90" i="5" s="1" a="1"/>
  <c r="DG90" i="5" s="1"/>
  <c r="AB91" i="1"/>
  <c r="DI91" i="5"/>
  <c r="AG100" i="9"/>
  <c r="AK100" i="9"/>
  <c r="N1269" i="14"/>
  <c r="N1270" i="14" s="1"/>
  <c r="N76" i="1"/>
  <c r="S93" i="2"/>
  <c r="N94" i="2"/>
  <c r="R94" i="2"/>
  <c r="Q93" i="2"/>
  <c r="J95" i="10"/>
  <c r="N95" i="5" s="1"/>
  <c r="P95" i="2"/>
  <c r="AN101" i="9" l="1"/>
  <c r="BK102" i="11" s="1"/>
  <c r="AI102" i="11" s="1"/>
  <c r="CX87" i="8"/>
  <c r="CY87" i="8" s="1"/>
  <c r="CV88" i="8"/>
  <c r="CW88" i="8" s="1"/>
  <c r="AS88" i="8"/>
  <c r="AQ116" i="9"/>
  <c r="CM116" i="8" s="1"/>
  <c r="AO89" i="5"/>
  <c r="AM89" i="5"/>
  <c r="AN89" i="5"/>
  <c r="AR89" i="5" s="1"/>
  <c r="AV90" i="5"/>
  <c r="AW90" i="5"/>
  <c r="AG88" i="7"/>
  <c r="AI88" i="7" s="1"/>
  <c r="CL90" i="8"/>
  <c r="AI112" i="9"/>
  <c r="AO112" i="8" s="1"/>
  <c r="G95" i="8"/>
  <c r="CF94" i="8"/>
  <c r="O94" i="2"/>
  <c r="BN94" i="5" a="1"/>
  <c r="BN94" i="5" s="1"/>
  <c r="AM101" i="9"/>
  <c r="K101" i="8" s="1"/>
  <c r="BR89" i="8"/>
  <c r="BS89" i="8"/>
  <c r="AD92" i="1"/>
  <c r="BQ94" i="5" a="1"/>
  <c r="BQ94" i="5" s="1"/>
  <c r="BJ94" i="5" a="1"/>
  <c r="BJ94" i="5" s="1"/>
  <c r="BC94" i="5" a="1"/>
  <c r="BC94" i="5" s="1"/>
  <c r="BA94" i="5" a="1"/>
  <c r="BA94" i="5" s="1"/>
  <c r="BE94" i="5" a="1"/>
  <c r="BE94" i="5" s="1"/>
  <c r="BD94" i="5" a="1"/>
  <c r="BD94" i="5" s="1"/>
  <c r="BK94" i="5" a="1"/>
  <c r="BK94" i="5" s="1"/>
  <c r="BB94" i="5" a="1"/>
  <c r="BB94" i="5" s="1"/>
  <c r="BF94" i="5" a="1"/>
  <c r="BF94" i="5" s="1"/>
  <c r="AE93" i="1" s="1"/>
  <c r="CU94" i="5"/>
  <c r="CV94" i="5"/>
  <c r="CT94" i="5"/>
  <c r="CQ94" i="5"/>
  <c r="CR94" i="5"/>
  <c r="CS94" i="5"/>
  <c r="CW94" i="5"/>
  <c r="BL94" i="5" a="1"/>
  <c r="BL94" i="5" s="1"/>
  <c r="AY94" i="5" a="1"/>
  <c r="AY94" i="5" s="1"/>
  <c r="BH94" i="5" a="1"/>
  <c r="BH94" i="5" s="1"/>
  <c r="AZ94" i="5" a="1"/>
  <c r="AZ94" i="5" s="1"/>
  <c r="BG94" i="5" a="1"/>
  <c r="BG94" i="5" s="1"/>
  <c r="BI94" i="5" a="1"/>
  <c r="BI94" i="5" s="1"/>
  <c r="BO94" i="5" a="1"/>
  <c r="BO94" i="5" s="1"/>
  <c r="BM94" i="5" a="1"/>
  <c r="BM94" i="5" s="1"/>
  <c r="V92" i="2"/>
  <c r="CS87" i="8"/>
  <c r="F97" i="8"/>
  <c r="BP93" i="5" a="1"/>
  <c r="BP93" i="5" s="1"/>
  <c r="J93" i="2" s="1"/>
  <c r="O98" i="1"/>
  <c r="BX89" i="8"/>
  <c r="CE89" i="8" s="1"/>
  <c r="CX89" i="8" s="1"/>
  <c r="BT89" i="8"/>
  <c r="BO89" i="8"/>
  <c r="BP89" i="8"/>
  <c r="BM89" i="8"/>
  <c r="BN89" i="8"/>
  <c r="BK89" i="8"/>
  <c r="BL89" i="8"/>
  <c r="BJ89" i="8"/>
  <c r="AC89" i="10"/>
  <c r="X89" i="10" s="1"/>
  <c r="AS93" i="5"/>
  <c r="AK93" i="11"/>
  <c r="DF92" i="5"/>
  <c r="DB92" i="5"/>
  <c r="DE92" i="5"/>
  <c r="K95" i="11"/>
  <c r="A95" i="14"/>
  <c r="CA95" i="14" s="1"/>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W91" i="1"/>
  <c r="AE94" i="8"/>
  <c r="AU94" i="8"/>
  <c r="Y91" i="1"/>
  <c r="DJ92" i="5"/>
  <c r="F91" i="5"/>
  <c r="B92" i="5"/>
  <c r="BU92" i="5"/>
  <c r="B92" i="2"/>
  <c r="B92" i="1"/>
  <c r="BG92" i="1" s="1"/>
  <c r="AH92" i="5"/>
  <c r="BZ94" i="11"/>
  <c r="AA93" i="7"/>
  <c r="AF93" i="8" s="1"/>
  <c r="AV93" i="8" s="1"/>
  <c r="K93" i="10"/>
  <c r="L93" i="11"/>
  <c r="I93" i="5"/>
  <c r="D92" i="10"/>
  <c r="F92" i="7"/>
  <c r="H93" i="5"/>
  <c r="C92" i="10"/>
  <c r="E92" i="7"/>
  <c r="D92" i="7"/>
  <c r="G93" i="5"/>
  <c r="B92" i="10"/>
  <c r="L93" i="5"/>
  <c r="G92" i="10"/>
  <c r="I92" i="7"/>
  <c r="K93" i="5"/>
  <c r="F92" i="10"/>
  <c r="H92" i="7"/>
  <c r="DD92" i="5"/>
  <c r="M93" i="5"/>
  <c r="H92" i="10"/>
  <c r="J92" i="7"/>
  <c r="J93" i="5"/>
  <c r="DC93" i="5" s="1"/>
  <c r="E92" i="10"/>
  <c r="G92" i="7"/>
  <c r="CU88" i="8"/>
  <c r="D90" i="9"/>
  <c r="DH90" i="8"/>
  <c r="DI90" i="8" s="1"/>
  <c r="CE88" i="8"/>
  <c r="CK90" i="8"/>
  <c r="BW90" i="8"/>
  <c r="AC90" i="1" s="1"/>
  <c r="N89" i="7"/>
  <c r="BH90" i="8"/>
  <c r="BU90" i="8" s="1"/>
  <c r="BI90" i="8"/>
  <c r="AH101" i="9"/>
  <c r="AQ88" i="5"/>
  <c r="B88" i="14"/>
  <c r="CZ92" i="5"/>
  <c r="AE89" i="7"/>
  <c r="AF89" i="7" s="1"/>
  <c r="Q89" i="7"/>
  <c r="CI89" i="8"/>
  <c r="DA89" i="8" s="1"/>
  <c r="BT90" i="5"/>
  <c r="AC90" i="8"/>
  <c r="BQ90" i="8" s="1"/>
  <c r="A90" i="10"/>
  <c r="AA90" i="10" s="1"/>
  <c r="B90" i="7"/>
  <c r="E90" i="1"/>
  <c r="AJ90" i="5"/>
  <c r="AP90" i="5" s="1"/>
  <c r="X90" i="8"/>
  <c r="DD90" i="8" s="1"/>
  <c r="AI90" i="5"/>
  <c r="B90" i="9"/>
  <c r="Y90" i="9" s="1"/>
  <c r="A90" i="11"/>
  <c r="Y88" i="11"/>
  <c r="AH88" i="1" s="1"/>
  <c r="AA88" i="11"/>
  <c r="AK88" i="1" s="1"/>
  <c r="AC88" i="11"/>
  <c r="U88" i="8" s="1"/>
  <c r="AD88" i="11"/>
  <c r="AI88" i="1" s="1"/>
  <c r="Z88" i="11"/>
  <c r="N89" i="11"/>
  <c r="AB88" i="11"/>
  <c r="Q88" i="8" s="1"/>
  <c r="BY89" i="8"/>
  <c r="CQ89" i="8" s="1"/>
  <c r="CB89" i="8"/>
  <c r="CT89" i="8" s="1"/>
  <c r="BZ89" i="8"/>
  <c r="CR89" i="8" s="1"/>
  <c r="CH89" i="8"/>
  <c r="CZ89" i="8" s="1"/>
  <c r="CA89" i="8"/>
  <c r="CC89" i="8"/>
  <c r="DB88" i="8"/>
  <c r="AB92" i="1"/>
  <c r="DI92" i="5"/>
  <c r="DA91" i="5"/>
  <c r="DG91" i="5" s="1" a="1"/>
  <c r="DG91" i="5" s="1"/>
  <c r="AG101" i="9"/>
  <c r="AK101" i="9"/>
  <c r="N77" i="1"/>
  <c r="S94" i="2"/>
  <c r="N95" i="2"/>
  <c r="R95" i="2"/>
  <c r="Q94" i="2"/>
  <c r="J96" i="10"/>
  <c r="N96" i="5" s="1"/>
  <c r="P96" i="2"/>
  <c r="AN102" i="9" l="1"/>
  <c r="BK103" i="11" s="1"/>
  <c r="AI103" i="11" s="1"/>
  <c r="CX88" i="8"/>
  <c r="CY88" i="8" s="1"/>
  <c r="CV89" i="8"/>
  <c r="CW89" i="8" s="1"/>
  <c r="AS89" i="8"/>
  <c r="AQ117" i="9"/>
  <c r="CM117" i="8" s="1"/>
  <c r="AO90" i="5"/>
  <c r="AM90" i="5"/>
  <c r="AN90" i="5"/>
  <c r="AR90" i="5" s="1"/>
  <c r="AV91" i="5"/>
  <c r="AW91" i="5"/>
  <c r="AG89" i="7"/>
  <c r="AI89" i="7" s="1"/>
  <c r="CL91" i="8"/>
  <c r="AI113" i="9"/>
  <c r="AO113" i="8" s="1"/>
  <c r="G96" i="8"/>
  <c r="CF95" i="8"/>
  <c r="O95" i="2"/>
  <c r="AD93" i="1"/>
  <c r="AM102" i="9"/>
  <c r="K102" i="8" s="1"/>
  <c r="BR90" i="8"/>
  <c r="BS90" i="8"/>
  <c r="BF95" i="5" a="1"/>
  <c r="BF95" i="5" s="1"/>
  <c r="AE94" i="1" s="1"/>
  <c r="CV95" i="5"/>
  <c r="CU95" i="5"/>
  <c r="CQ95" i="5"/>
  <c r="CT95" i="5"/>
  <c r="CR95" i="5"/>
  <c r="CS95" i="5"/>
  <c r="CW95" i="5"/>
  <c r="AY95" i="5" a="1"/>
  <c r="AY95" i="5" s="1"/>
  <c r="BL95" i="5" a="1"/>
  <c r="BL95" i="5" s="1"/>
  <c r="BM95" i="5" a="1"/>
  <c r="BM95" i="5" s="1"/>
  <c r="BB95" i="5" a="1"/>
  <c r="BB95" i="5" s="1"/>
  <c r="BO95" i="5" a="1"/>
  <c r="BO95" i="5" s="1"/>
  <c r="BK95" i="5" a="1"/>
  <c r="BK95" i="5" s="1"/>
  <c r="BI95" i="5" a="1"/>
  <c r="BI95" i="5" s="1"/>
  <c r="BD95" i="5" a="1"/>
  <c r="BD95" i="5" s="1"/>
  <c r="BG95" i="5" a="1"/>
  <c r="BG95" i="5" s="1"/>
  <c r="BE95" i="5" a="1"/>
  <c r="BE95" i="5" s="1"/>
  <c r="AZ95" i="5" a="1"/>
  <c r="AZ95" i="5" s="1"/>
  <c r="BA95" i="5" a="1"/>
  <c r="BA95" i="5" s="1"/>
  <c r="BH95" i="5" a="1"/>
  <c r="BH95" i="5" s="1"/>
  <c r="BC95" i="5" a="1"/>
  <c r="BC95" i="5" s="1"/>
  <c r="BJ95" i="5" a="1"/>
  <c r="BJ95" i="5" s="1"/>
  <c r="BQ95" i="5" a="1"/>
  <c r="BQ95" i="5" s="1"/>
  <c r="BN95" i="5" a="1"/>
  <c r="BN95" i="5" s="1"/>
  <c r="V93" i="2"/>
  <c r="F98" i="8"/>
  <c r="BP94" i="5" a="1"/>
  <c r="BP94" i="5" s="1"/>
  <c r="J94" i="2" s="1"/>
  <c r="O99" i="1"/>
  <c r="CD89" i="8"/>
  <c r="BT90" i="8"/>
  <c r="BO90" i="8"/>
  <c r="BP90" i="8"/>
  <c r="BM90" i="8"/>
  <c r="BN90" i="8"/>
  <c r="BK90" i="8"/>
  <c r="BL90" i="8"/>
  <c r="BJ90" i="8"/>
  <c r="AC90" i="10"/>
  <c r="X90" i="10" s="1"/>
  <c r="AS94" i="5"/>
  <c r="AK94" i="11"/>
  <c r="BW91" i="8"/>
  <c r="DF93" i="5"/>
  <c r="DB93" i="5"/>
  <c r="Y92" i="1"/>
  <c r="DJ93" i="5"/>
  <c r="DH93" i="5"/>
  <c r="AH94" i="11"/>
  <c r="AM94" i="1"/>
  <c r="AE95" i="8"/>
  <c r="AU95" i="8"/>
  <c r="K96" i="11"/>
  <c r="A96" i="14"/>
  <c r="CA96" i="14" s="1"/>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W92" i="1"/>
  <c r="AJ94" i="1"/>
  <c r="BT91" i="5"/>
  <c r="B91" i="7"/>
  <c r="AE91" i="7" s="1"/>
  <c r="AF91" i="7" s="1"/>
  <c r="CK91" i="8"/>
  <c r="E91" i="1"/>
  <c r="B91" i="9"/>
  <c r="Y91" i="9" s="1"/>
  <c r="AC91" i="8"/>
  <c r="BQ91" i="8" s="1"/>
  <c r="DH91" i="8"/>
  <c r="DI91" i="8" s="1"/>
  <c r="A91" i="10"/>
  <c r="AA91" i="10" s="1"/>
  <c r="BI91" i="8"/>
  <c r="A91" i="11"/>
  <c r="Y90" i="11" s="1"/>
  <c r="AH90" i="1" s="1"/>
  <c r="AJ91" i="5"/>
  <c r="AP91" i="5" s="1"/>
  <c r="AI91" i="5"/>
  <c r="X91" i="8"/>
  <c r="DD91" i="8" s="1"/>
  <c r="BH91" i="8"/>
  <c r="BU91" i="8" s="1"/>
  <c r="BZ95" i="11"/>
  <c r="AA94" i="7"/>
  <c r="AF94" i="8" s="1"/>
  <c r="AV94" i="8" s="1"/>
  <c r="K94" i="10"/>
  <c r="L94" i="11"/>
  <c r="B93" i="5"/>
  <c r="B93" i="2"/>
  <c r="B93" i="1"/>
  <c r="BG93" i="1" s="1"/>
  <c r="AH93" i="5"/>
  <c r="BU93" i="5"/>
  <c r="CS88" i="8"/>
  <c r="K94" i="5"/>
  <c r="F93" i="10"/>
  <c r="H93" i="7"/>
  <c r="DD93" i="5"/>
  <c r="J94" i="5"/>
  <c r="DC94" i="5" s="1"/>
  <c r="E93" i="10"/>
  <c r="G93" i="7"/>
  <c r="H94" i="5"/>
  <c r="C93" i="10"/>
  <c r="E93" i="7"/>
  <c r="M94" i="5"/>
  <c r="H93" i="10"/>
  <c r="J93" i="7"/>
  <c r="L94" i="5"/>
  <c r="G93" i="10"/>
  <c r="I93" i="7"/>
  <c r="DE93" i="5"/>
  <c r="G94" i="5"/>
  <c r="D93" i="7"/>
  <c r="B93" i="10"/>
  <c r="I94" i="5"/>
  <c r="D93" i="10"/>
  <c r="F93" i="7"/>
  <c r="CU89" i="8"/>
  <c r="D91" i="9"/>
  <c r="BX90" i="8"/>
  <c r="CE90" i="8" s="1"/>
  <c r="CX90" i="8" s="1"/>
  <c r="N90" i="7"/>
  <c r="AH102" i="9"/>
  <c r="AQ89" i="5"/>
  <c r="C92" i="5"/>
  <c r="F92" i="5" s="1"/>
  <c r="AE90" i="7"/>
  <c r="AF90" i="7" s="1"/>
  <c r="Q90" i="7"/>
  <c r="DB89" i="8"/>
  <c r="CZ93" i="5"/>
  <c r="AC89" i="11"/>
  <c r="U89" i="8" s="1"/>
  <c r="AA89" i="11"/>
  <c r="AK89" i="1" s="1"/>
  <c r="Z89" i="11"/>
  <c r="AB89" i="11"/>
  <c r="Q89" i="8" s="1"/>
  <c r="AD89" i="11"/>
  <c r="AI89" i="1" s="1"/>
  <c r="Y89" i="11"/>
  <c r="AH89" i="1" s="1"/>
  <c r="N90" i="11"/>
  <c r="B89" i="14"/>
  <c r="CI90" i="8"/>
  <c r="DA90" i="8" s="1"/>
  <c r="CH90" i="8"/>
  <c r="CZ90" i="8" s="1"/>
  <c r="CC90" i="8"/>
  <c r="CA90" i="8"/>
  <c r="CB90" i="8"/>
  <c r="CT90" i="8" s="1"/>
  <c r="BY90" i="8"/>
  <c r="CQ90" i="8" s="1"/>
  <c r="BZ90" i="8"/>
  <c r="CR90" i="8" s="1"/>
  <c r="C93" i="5"/>
  <c r="DA92" i="5"/>
  <c r="DG92" i="5" s="1" a="1"/>
  <c r="DG92" i="5" s="1"/>
  <c r="AB93" i="1"/>
  <c r="DI93" i="5"/>
  <c r="AG102" i="9"/>
  <c r="AK102" i="9"/>
  <c r="N78" i="1"/>
  <c r="S95" i="2"/>
  <c r="N96" i="2"/>
  <c r="R96" i="2"/>
  <c r="Q95" i="2"/>
  <c r="P97" i="2"/>
  <c r="J97" i="10"/>
  <c r="N97" i="5" s="1"/>
  <c r="AN103" i="9" l="1"/>
  <c r="BK104" i="11" s="1"/>
  <c r="AI104" i="11" s="1"/>
  <c r="CV90" i="8"/>
  <c r="CW90" i="8" s="1"/>
  <c r="AS90" i="8"/>
  <c r="AQ118" i="9"/>
  <c r="CM118" i="8" s="1"/>
  <c r="AO91" i="5"/>
  <c r="AM91" i="5"/>
  <c r="AN91" i="5"/>
  <c r="AR91" i="5" s="1"/>
  <c r="AV92" i="5"/>
  <c r="AW92" i="5"/>
  <c r="AG90" i="7"/>
  <c r="AI90" i="7" s="1"/>
  <c r="AG91" i="7"/>
  <c r="CL92" i="8"/>
  <c r="CC91" i="8"/>
  <c r="AC91" i="1"/>
  <c r="AI114" i="9"/>
  <c r="AO114" i="8" s="1"/>
  <c r="G97" i="8"/>
  <c r="CF96" i="8"/>
  <c r="O96" i="2"/>
  <c r="BN96" i="5" a="1"/>
  <c r="BN96" i="5" s="1"/>
  <c r="BO96" i="5" a="1"/>
  <c r="BO96" i="5" s="1"/>
  <c r="BQ96" i="5" a="1"/>
  <c r="BQ96" i="5" s="1"/>
  <c r="BB96" i="5" a="1"/>
  <c r="BB96" i="5" s="1"/>
  <c r="BI96" i="5" a="1"/>
  <c r="BI96" i="5" s="1"/>
  <c r="BM96" i="5" a="1"/>
  <c r="BM96" i="5" s="1"/>
  <c r="BC96" i="5" a="1"/>
  <c r="BC96" i="5" s="1"/>
  <c r="BK96" i="5" a="1"/>
  <c r="BK96" i="5" s="1"/>
  <c r="AM103" i="9"/>
  <c r="K103" i="8" s="1"/>
  <c r="BR91" i="8"/>
  <c r="BS91" i="8"/>
  <c r="AD94" i="1"/>
  <c r="BJ96" i="5" a="1"/>
  <c r="BJ96" i="5" s="1"/>
  <c r="BH96" i="5" a="1"/>
  <c r="BH96" i="5" s="1"/>
  <c r="BA96" i="5" a="1"/>
  <c r="BA96" i="5" s="1"/>
  <c r="AZ96" i="5" a="1"/>
  <c r="AZ96" i="5" s="1"/>
  <c r="BE96" i="5" a="1"/>
  <c r="BE96" i="5" s="1"/>
  <c r="BG96" i="5" a="1"/>
  <c r="BG96" i="5" s="1"/>
  <c r="BF96" i="5" a="1"/>
  <c r="BF96" i="5" s="1"/>
  <c r="AE95" i="1" s="1"/>
  <c r="CV96" i="5"/>
  <c r="CT96" i="5"/>
  <c r="CS96" i="5"/>
  <c r="CR96" i="5"/>
  <c r="CU96" i="5"/>
  <c r="CQ96" i="5"/>
  <c r="CW96" i="5"/>
  <c r="AY96" i="5" a="1"/>
  <c r="AY96" i="5" s="1"/>
  <c r="BL96" i="5" a="1"/>
  <c r="BL96" i="5" s="1"/>
  <c r="BD96" i="5" a="1"/>
  <c r="BD96" i="5" s="1"/>
  <c r="V94" i="2"/>
  <c r="CY89" i="8"/>
  <c r="F99" i="8"/>
  <c r="BP95" i="5" a="1"/>
  <c r="BP95" i="5" s="1"/>
  <c r="J95" i="2" s="1"/>
  <c r="O100" i="1"/>
  <c r="BX91" i="8"/>
  <c r="CD91" i="8" s="1"/>
  <c r="BT91" i="8"/>
  <c r="BO91" i="8"/>
  <c r="BP91" i="8"/>
  <c r="BM91" i="8"/>
  <c r="BN91" i="8"/>
  <c r="BK91" i="8"/>
  <c r="BL91" i="8"/>
  <c r="BJ91" i="8"/>
  <c r="AC91" i="10"/>
  <c r="X91" i="10" s="1"/>
  <c r="AS95" i="5"/>
  <c r="AK95" i="11"/>
  <c r="BZ91" i="8"/>
  <c r="CR91" i="8" s="1"/>
  <c r="CA91" i="8"/>
  <c r="BY91" i="8"/>
  <c r="CQ91" i="8" s="1"/>
  <c r="CH91" i="8"/>
  <c r="CZ91" i="8" s="1"/>
  <c r="DB94" i="5"/>
  <c r="CB91" i="8"/>
  <c r="CT91" i="8" s="1"/>
  <c r="DF94" i="5"/>
  <c r="DE94" i="5"/>
  <c r="AM95" i="1"/>
  <c r="K97" i="11"/>
  <c r="A97" i="14"/>
  <c r="CA97" i="14" s="1"/>
  <c r="A97" i="8"/>
  <c r="A97" i="2"/>
  <c r="A97" i="5"/>
  <c r="A97" i="7"/>
  <c r="R97" i="7" s="1"/>
  <c r="A97" i="9"/>
  <c r="AU96" i="8"/>
  <c r="AE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W93" i="1"/>
  <c r="B91" i="14"/>
  <c r="CI91" i="8"/>
  <c r="DA91" i="8" s="1"/>
  <c r="F93" i="5"/>
  <c r="N91" i="7"/>
  <c r="Q91" i="7"/>
  <c r="AB90" i="11"/>
  <c r="Q90" i="8" s="1"/>
  <c r="Z90" i="11"/>
  <c r="D92" i="9"/>
  <c r="AA90" i="11"/>
  <c r="AK90" i="1" s="1"/>
  <c r="N91" i="11"/>
  <c r="CS89" i="8"/>
  <c r="AC90" i="11"/>
  <c r="U90" i="8" s="1"/>
  <c r="AD90" i="11"/>
  <c r="AI90" i="1" s="1"/>
  <c r="B94" i="2"/>
  <c r="B94" i="1"/>
  <c r="BG94" i="1" s="1"/>
  <c r="AH94" i="5"/>
  <c r="BU94" i="5"/>
  <c r="BZ96" i="11"/>
  <c r="AA95" i="7"/>
  <c r="AF95" i="8" s="1"/>
  <c r="AV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U90" i="8"/>
  <c r="DH92" i="8"/>
  <c r="DI92" i="8" s="1"/>
  <c r="CD90" i="8"/>
  <c r="CK92" i="8"/>
  <c r="BW92" i="8"/>
  <c r="BI92" i="8"/>
  <c r="BT92" i="5"/>
  <c r="BH92" i="8"/>
  <c r="BU92" i="8" s="1"/>
  <c r="AH103" i="9"/>
  <c r="A92" i="11"/>
  <c r="Y91" i="11" s="1"/>
  <c r="AH91" i="1" s="1"/>
  <c r="AI92" i="5"/>
  <c r="B92" i="9"/>
  <c r="Y92" i="9" s="1"/>
  <c r="B92" i="7"/>
  <c r="Q92" i="7" s="1"/>
  <c r="AC92" i="8"/>
  <c r="BQ92" i="8" s="1"/>
  <c r="A92" i="10"/>
  <c r="AA92" i="10" s="1"/>
  <c r="DB90" i="8"/>
  <c r="AJ92" i="5"/>
  <c r="AP92" i="5" s="1"/>
  <c r="X92" i="8"/>
  <c r="DD92" i="8" s="1"/>
  <c r="E92" i="1"/>
  <c r="B90" i="14"/>
  <c r="CZ94" i="5"/>
  <c r="AQ90" i="5"/>
  <c r="AB94" i="1"/>
  <c r="DI94" i="5"/>
  <c r="C94" i="5"/>
  <c r="DA93" i="5"/>
  <c r="DG93" i="5" s="1" a="1"/>
  <c r="DG93" i="5" s="1"/>
  <c r="AG103" i="9"/>
  <c r="AK103" i="9"/>
  <c r="N79" i="1"/>
  <c r="S96" i="2"/>
  <c r="N97" i="2"/>
  <c r="R97" i="2"/>
  <c r="Q96" i="2"/>
  <c r="J98" i="10"/>
  <c r="N98" i="5" s="1"/>
  <c r="P98" i="2"/>
  <c r="AN104" i="9" l="1"/>
  <c r="BK105" i="11" s="1"/>
  <c r="AI105" i="11" s="1"/>
  <c r="CV91" i="8"/>
  <c r="CW91" i="8" s="1"/>
  <c r="AS91" i="8"/>
  <c r="AQ119" i="9"/>
  <c r="CM119" i="8" s="1"/>
  <c r="AO92" i="5"/>
  <c r="AM92" i="5"/>
  <c r="AN92" i="5"/>
  <c r="AR92" i="5" s="1"/>
  <c r="AV93" i="5"/>
  <c r="AW93" i="5"/>
  <c r="AI91" i="7"/>
  <c r="CL93" i="8"/>
  <c r="CH92" i="8"/>
  <c r="CZ92" i="8" s="1"/>
  <c r="AC92" i="1"/>
  <c r="AI115" i="9"/>
  <c r="AO115" i="8" s="1"/>
  <c r="G98" i="8"/>
  <c r="CF97" i="8"/>
  <c r="O97" i="2"/>
  <c r="BM97" i="5" a="1"/>
  <c r="BM97" i="5" s="1"/>
  <c r="AD95" i="1"/>
  <c r="AZ97" i="5" a="1"/>
  <c r="AZ97" i="5" s="1"/>
  <c r="BF97" i="5" a="1"/>
  <c r="BF97" i="5" s="1"/>
  <c r="AE96" i="1" s="1"/>
  <c r="BG97" i="5" a="1"/>
  <c r="BG97" i="5" s="1"/>
  <c r="BD97" i="5" a="1"/>
  <c r="BD97" i="5" s="1"/>
  <c r="BE97" i="5" a="1"/>
  <c r="BE97" i="5" s="1"/>
  <c r="AM104" i="9"/>
  <c r="K104" i="8" s="1"/>
  <c r="BR92" i="8"/>
  <c r="BS92" i="8"/>
  <c r="BA97" i="5" a="1"/>
  <c r="BA97" i="5" s="1"/>
  <c r="BH97" i="5" a="1"/>
  <c r="BH97" i="5" s="1"/>
  <c r="BC97" i="5" a="1"/>
  <c r="BC97" i="5" s="1"/>
  <c r="BJ97" i="5" a="1"/>
  <c r="BJ97" i="5" s="1"/>
  <c r="BQ97" i="5" a="1"/>
  <c r="BQ97" i="5" s="1"/>
  <c r="BN97" i="5" a="1"/>
  <c r="BN97" i="5" s="1"/>
  <c r="BI97" i="5" a="1"/>
  <c r="BI97" i="5" s="1"/>
  <c r="CS97" i="5"/>
  <c r="CW97" i="5"/>
  <c r="CR97" i="5"/>
  <c r="CT97" i="5"/>
  <c r="CU97" i="5"/>
  <c r="CV97" i="5"/>
  <c r="CQ97" i="5"/>
  <c r="AY97" i="5" a="1"/>
  <c r="AY97" i="5" s="1"/>
  <c r="BL97" i="5" a="1"/>
  <c r="BL97" i="5" s="1"/>
  <c r="BB97" i="5" a="1"/>
  <c r="BB97" i="5" s="1"/>
  <c r="BO97" i="5" a="1"/>
  <c r="BO97" i="5" s="1"/>
  <c r="BK97" i="5" a="1"/>
  <c r="BK97" i="5" s="1"/>
  <c r="V95" i="2"/>
  <c r="CY90" i="8"/>
  <c r="CU91" i="8"/>
  <c r="F100" i="8"/>
  <c r="BP96" i="5" a="1"/>
  <c r="BP96" i="5" s="1"/>
  <c r="J96" i="2" s="1"/>
  <c r="O101" i="1"/>
  <c r="CE91" i="8"/>
  <c r="BX92" i="8"/>
  <c r="CE92" i="8" s="1"/>
  <c r="CX92" i="8" s="1"/>
  <c r="BT92" i="8"/>
  <c r="BO92" i="8"/>
  <c r="BP92" i="8"/>
  <c r="BM92" i="8"/>
  <c r="BN92" i="8"/>
  <c r="BK92" i="8"/>
  <c r="BL92" i="8"/>
  <c r="BJ92" i="8"/>
  <c r="AC92" i="10"/>
  <c r="X92" i="10" s="1"/>
  <c r="AS96" i="5"/>
  <c r="AK96" i="11"/>
  <c r="DB91" i="8"/>
  <c r="DB95" i="5"/>
  <c r="DE95" i="5"/>
  <c r="BW93" i="8"/>
  <c r="DF95" i="5"/>
  <c r="W94" i="1"/>
  <c r="AJ96" i="1"/>
  <c r="AU97" i="8"/>
  <c r="AE97" i="8"/>
  <c r="DH95" i="5"/>
  <c r="K98" i="11"/>
  <c r="A98" i="14"/>
  <c r="CA98" i="14" s="1"/>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Y93" i="9" s="1"/>
  <c r="BH93" i="8"/>
  <c r="BU93" i="8" s="1"/>
  <c r="X93" i="8"/>
  <c r="DD93" i="8" s="1"/>
  <c r="BT93" i="5"/>
  <c r="B93" i="7"/>
  <c r="AE93" i="7" s="1"/>
  <c r="AF93" i="7" s="1"/>
  <c r="A93" i="10"/>
  <c r="AA93" i="10" s="1"/>
  <c r="A93" i="11"/>
  <c r="N93" i="11" s="1"/>
  <c r="AI93" i="5"/>
  <c r="AJ93" i="5"/>
  <c r="AP93" i="5" s="1"/>
  <c r="DH93" i="8"/>
  <c r="DI93" i="8" s="1"/>
  <c r="E93" i="1"/>
  <c r="CK93" i="8"/>
  <c r="AC93" i="8"/>
  <c r="BQ93" i="8" s="1"/>
  <c r="BI93" i="8"/>
  <c r="AQ91" i="5"/>
  <c r="F94" i="5"/>
  <c r="B95" i="5"/>
  <c r="AH95" i="5"/>
  <c r="BU95" i="5"/>
  <c r="B95" i="2"/>
  <c r="B95" i="1"/>
  <c r="BG95" i="1" s="1"/>
  <c r="BZ97" i="11"/>
  <c r="K96" i="10"/>
  <c r="AA96" i="7"/>
  <c r="AF96" i="8" s="1"/>
  <c r="AV96" i="8" s="1"/>
  <c r="L96" i="11"/>
  <c r="J96" i="5"/>
  <c r="DC96" i="5" s="1"/>
  <c r="E95" i="10"/>
  <c r="G95" i="7"/>
  <c r="K96" i="5"/>
  <c r="F95" i="10"/>
  <c r="H95" i="7"/>
  <c r="DD95" i="5"/>
  <c r="M96" i="5"/>
  <c r="H95" i="10"/>
  <c r="J95" i="7"/>
  <c r="B95" i="10"/>
  <c r="G96" i="5"/>
  <c r="D95" i="7"/>
  <c r="I96" i="5"/>
  <c r="D95" i="10"/>
  <c r="F95" i="7"/>
  <c r="H96" i="5"/>
  <c r="C95" i="10"/>
  <c r="E95" i="7"/>
  <c r="L96" i="5"/>
  <c r="G95" i="10"/>
  <c r="I95" i="7"/>
  <c r="CS90" i="8"/>
  <c r="D93" i="9"/>
  <c r="N92" i="7"/>
  <c r="AH104" i="9"/>
  <c r="BZ92" i="8"/>
  <c r="CR92" i="8" s="1"/>
  <c r="BY92" i="8"/>
  <c r="CQ92" i="8" s="1"/>
  <c r="CA92" i="8"/>
  <c r="CB92" i="8"/>
  <c r="CT92" i="8" s="1"/>
  <c r="CC92" i="8"/>
  <c r="AA91" i="11"/>
  <c r="AK91" i="1" s="1"/>
  <c r="AB91" i="11"/>
  <c r="Q91" i="8" s="1"/>
  <c r="AD91" i="11"/>
  <c r="AI91" i="1" s="1"/>
  <c r="N92" i="11"/>
  <c r="AC91" i="11"/>
  <c r="U91" i="8" s="1"/>
  <c r="Z91" i="11"/>
  <c r="AE92" i="7"/>
  <c r="AF92" i="7" s="1"/>
  <c r="CI92" i="8"/>
  <c r="DA92" i="8" s="1"/>
  <c r="CZ95" i="5"/>
  <c r="DA94" i="5"/>
  <c r="DG94" i="5" s="1" a="1"/>
  <c r="DG94" i="5" s="1"/>
  <c r="AB95" i="1"/>
  <c r="DI95" i="5"/>
  <c r="AG104" i="9"/>
  <c r="AK104" i="9"/>
  <c r="N80" i="1"/>
  <c r="S97" i="2"/>
  <c r="N98" i="2"/>
  <c r="R98" i="2"/>
  <c r="Q97" i="2"/>
  <c r="J99" i="10"/>
  <c r="N99" i="5" s="1"/>
  <c r="P99" i="2"/>
  <c r="AN105" i="9" l="1"/>
  <c r="BK106" i="11" s="1"/>
  <c r="AI106" i="11" s="1"/>
  <c r="CX91" i="8"/>
  <c r="CY91" i="8" s="1"/>
  <c r="CV92" i="8"/>
  <c r="CW92" i="8" s="1"/>
  <c r="AS92" i="8"/>
  <c r="AQ120" i="9"/>
  <c r="CM120" i="8" s="1"/>
  <c r="AO93" i="5"/>
  <c r="AM93" i="5"/>
  <c r="AN93" i="5"/>
  <c r="AR93" i="5" s="1"/>
  <c r="AV94" i="5"/>
  <c r="AW94" i="5"/>
  <c r="AG93" i="7"/>
  <c r="AG92" i="7"/>
  <c r="AI92" i="7" s="1"/>
  <c r="CL94" i="8"/>
  <c r="DB92" i="8"/>
  <c r="CC93" i="8"/>
  <c r="AC93" i="1"/>
  <c r="AI116" i="9"/>
  <c r="AO116" i="8" s="1"/>
  <c r="G99" i="8"/>
  <c r="CF98" i="8"/>
  <c r="O98" i="2"/>
  <c r="BF98" i="5" a="1"/>
  <c r="BF98" i="5" s="1"/>
  <c r="AE97" i="1" s="1"/>
  <c r="AM105" i="9"/>
  <c r="K105" i="8" s="1"/>
  <c r="BR93" i="8"/>
  <c r="BS93" i="8"/>
  <c r="AD96" i="1"/>
  <c r="BI98" i="5" a="1"/>
  <c r="BI98" i="5" s="1"/>
  <c r="BN98" i="5" a="1"/>
  <c r="BN98" i="5" s="1"/>
  <c r="BQ98" i="5" a="1"/>
  <c r="BQ98" i="5" s="1"/>
  <c r="BK98" i="5" a="1"/>
  <c r="BK98" i="5" s="1"/>
  <c r="BJ98" i="5" a="1"/>
  <c r="BJ98" i="5" s="1"/>
  <c r="BC98" i="5" a="1"/>
  <c r="BC98" i="5" s="1"/>
  <c r="BO98" i="5" a="1"/>
  <c r="BO98" i="5" s="1"/>
  <c r="CQ98" i="5"/>
  <c r="CR98" i="5"/>
  <c r="CS98" i="5"/>
  <c r="CU98" i="5"/>
  <c r="CT98" i="5"/>
  <c r="CW98" i="5"/>
  <c r="CV98" i="5"/>
  <c r="BL98" i="5" a="1"/>
  <c r="BL98" i="5" s="1"/>
  <c r="AY98" i="5" a="1"/>
  <c r="AY98" i="5" s="1"/>
  <c r="BB98" i="5" a="1"/>
  <c r="BB98" i="5" s="1"/>
  <c r="BH98" i="5" a="1"/>
  <c r="BH98" i="5" s="1"/>
  <c r="BD98" i="5" a="1"/>
  <c r="BD98" i="5" s="1"/>
  <c r="BA98" i="5" a="1"/>
  <c r="BA98" i="5" s="1"/>
  <c r="BE98" i="5" a="1"/>
  <c r="BE98" i="5" s="1"/>
  <c r="AZ98" i="5" a="1"/>
  <c r="AZ98" i="5" s="1"/>
  <c r="BG98" i="5" a="1"/>
  <c r="BG98" i="5" s="1"/>
  <c r="BM98" i="5" a="1"/>
  <c r="BM98" i="5" s="1"/>
  <c r="V96" i="2"/>
  <c r="CS91" i="8"/>
  <c r="F101" i="8"/>
  <c r="BP97" i="5" a="1"/>
  <c r="BP97" i="5" s="1"/>
  <c r="J97" i="2" s="1"/>
  <c r="B94" i="7"/>
  <c r="AE94" i="7" s="1"/>
  <c r="AF94" i="7" s="1"/>
  <c r="O102" i="1"/>
  <c r="CD92" i="8"/>
  <c r="BX93" i="8"/>
  <c r="CE93" i="8" s="1"/>
  <c r="CX93" i="8" s="1"/>
  <c r="BT93" i="8"/>
  <c r="BO93" i="8"/>
  <c r="BP93" i="8"/>
  <c r="BM93" i="8"/>
  <c r="BN93" i="8"/>
  <c r="BK93" i="8"/>
  <c r="BL93" i="8"/>
  <c r="BJ93" i="8"/>
  <c r="AC93" i="10"/>
  <c r="X93" i="10" s="1"/>
  <c r="AS97" i="5"/>
  <c r="AK97" i="11"/>
  <c r="CA93" i="8"/>
  <c r="CB93" i="8"/>
  <c r="CT93" i="8" s="1"/>
  <c r="BY93" i="8"/>
  <c r="CQ93" i="8" s="1"/>
  <c r="BZ93" i="8"/>
  <c r="CR93" i="8" s="1"/>
  <c r="CH93" i="8"/>
  <c r="CZ93" i="8" s="1"/>
  <c r="AH97" i="11"/>
  <c r="AJ97" i="1"/>
  <c r="DF96" i="5"/>
  <c r="DE96" i="5"/>
  <c r="AU98" i="8"/>
  <c r="AE98" i="8"/>
  <c r="K99" i="11"/>
  <c r="A99" i="14"/>
  <c r="CA99" i="14" s="1"/>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W95" i="1"/>
  <c r="Q93" i="7"/>
  <c r="B93" i="14"/>
  <c r="AJ94" i="5"/>
  <c r="AP94" i="5" s="1"/>
  <c r="CI93" i="8"/>
  <c r="DA93" i="8" s="1"/>
  <c r="AC92" i="11"/>
  <c r="U92" i="8" s="1"/>
  <c r="AA92" i="11"/>
  <c r="AK92" i="1" s="1"/>
  <c r="Z92" i="11"/>
  <c r="AD92" i="11"/>
  <c r="AI92" i="1" s="1"/>
  <c r="AB92" i="11"/>
  <c r="Q92" i="8" s="1"/>
  <c r="Y92" i="11"/>
  <c r="AH92" i="1" s="1"/>
  <c r="D94" i="9"/>
  <c r="BT94" i="5"/>
  <c r="N93" i="7"/>
  <c r="A94" i="10"/>
  <c r="AA94" i="10" s="1"/>
  <c r="A94" i="11"/>
  <c r="AA93" i="11" s="1"/>
  <c r="AK93" i="1" s="1"/>
  <c r="BI94" i="8"/>
  <c r="BW94" i="8"/>
  <c r="AC94" i="8"/>
  <c r="BQ94" i="8" s="1"/>
  <c r="E94" i="1"/>
  <c r="AI94" i="5"/>
  <c r="X94" i="8"/>
  <c r="DD94" i="8" s="1"/>
  <c r="B94" i="9"/>
  <c r="Y94" i="9" s="1"/>
  <c r="CK94" i="8"/>
  <c r="DH94" i="8"/>
  <c r="DI94" i="8" s="1"/>
  <c r="BH94" i="8"/>
  <c r="BU94" i="8" s="1"/>
  <c r="AH96" i="5"/>
  <c r="BU96" i="5"/>
  <c r="B96" i="2"/>
  <c r="B96" i="1"/>
  <c r="BG96" i="1" s="1"/>
  <c r="BZ98" i="11"/>
  <c r="AA97" i="7"/>
  <c r="AF97" i="8" s="1"/>
  <c r="AV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U92" i="8"/>
  <c r="AH105" i="9"/>
  <c r="AQ92" i="5"/>
  <c r="B92" i="14"/>
  <c r="C95" i="5"/>
  <c r="F95" i="5" s="1"/>
  <c r="CZ96" i="5"/>
  <c r="AB96" i="1"/>
  <c r="DI96" i="5"/>
  <c r="C96" i="5"/>
  <c r="DA95" i="5"/>
  <c r="DG95" i="5" s="1" a="1"/>
  <c r="DG95" i="5" s="1"/>
  <c r="AG105" i="9"/>
  <c r="AK105" i="9"/>
  <c r="AD1269" i="14"/>
  <c r="AD1270" i="14" s="1"/>
  <c r="N81" i="1"/>
  <c r="S98" i="2"/>
  <c r="N99" i="2"/>
  <c r="R99" i="2"/>
  <c r="Q98" i="2"/>
  <c r="J100" i="10"/>
  <c r="N100" i="5" s="1"/>
  <c r="P100" i="2"/>
  <c r="AN106" i="9" l="1"/>
  <c r="BK107" i="11" s="1"/>
  <c r="AI107" i="11" s="1"/>
  <c r="CV93" i="8"/>
  <c r="CW93" i="8" s="1"/>
  <c r="AS93" i="8"/>
  <c r="AQ121" i="9"/>
  <c r="CM121" i="8" s="1"/>
  <c r="AO94" i="5"/>
  <c r="AM94" i="5"/>
  <c r="AN94" i="5"/>
  <c r="AR94" i="5" s="1"/>
  <c r="AV95" i="5"/>
  <c r="AW95" i="5"/>
  <c r="AI93" i="7"/>
  <c r="AG94" i="7"/>
  <c r="AI94" i="7" s="1"/>
  <c r="CL95" i="8"/>
  <c r="CH94" i="8"/>
  <c r="CZ94" i="8" s="1"/>
  <c r="AC94" i="1"/>
  <c r="AI117" i="9"/>
  <c r="AO117" i="8" s="1"/>
  <c r="G100" i="8"/>
  <c r="CF99" i="8"/>
  <c r="O99" i="2"/>
  <c r="BM99" i="5" a="1"/>
  <c r="BM99" i="5" s="1"/>
  <c r="BG99" i="5" a="1"/>
  <c r="BG99" i="5" s="1"/>
  <c r="AZ99" i="5" a="1"/>
  <c r="AZ99" i="5" s="1"/>
  <c r="BE99" i="5" a="1"/>
  <c r="BE99" i="5" s="1"/>
  <c r="AM106" i="9"/>
  <c r="K106" i="8" s="1"/>
  <c r="BR94" i="8"/>
  <c r="BS94" i="8"/>
  <c r="AD97" i="1"/>
  <c r="BO99" i="5" a="1"/>
  <c r="BO99" i="5" s="1"/>
  <c r="BC99" i="5" a="1"/>
  <c r="BC99" i="5" s="1"/>
  <c r="CT99" i="5"/>
  <c r="CS99" i="5"/>
  <c r="CU99" i="5"/>
  <c r="CQ99" i="5"/>
  <c r="CR99" i="5"/>
  <c r="CV99" i="5"/>
  <c r="CW99" i="5"/>
  <c r="BL99" i="5" a="1"/>
  <c r="BL99" i="5" s="1"/>
  <c r="AY99" i="5" a="1"/>
  <c r="AY99" i="5" s="1"/>
  <c r="BJ99" i="5" a="1"/>
  <c r="BJ99" i="5" s="1"/>
  <c r="BA99" i="5" a="1"/>
  <c r="BA99" i="5" s="1"/>
  <c r="BK99" i="5" a="1"/>
  <c r="BK99" i="5" s="1"/>
  <c r="BD99" i="5" a="1"/>
  <c r="BD99" i="5" s="1"/>
  <c r="BQ99" i="5" a="1"/>
  <c r="BQ99" i="5" s="1"/>
  <c r="BH99" i="5" a="1"/>
  <c r="BH99" i="5" s="1"/>
  <c r="BN99" i="5" a="1"/>
  <c r="BN99" i="5" s="1"/>
  <c r="BB99" i="5" a="1"/>
  <c r="BB99" i="5" s="1"/>
  <c r="BI99" i="5" a="1"/>
  <c r="BI99" i="5" s="1"/>
  <c r="BF99" i="5" a="1"/>
  <c r="BF99" i="5" s="1"/>
  <c r="AE98" i="1" s="1"/>
  <c r="Q94" i="7"/>
  <c r="V97" i="2"/>
  <c r="B94" i="14"/>
  <c r="CY92" i="8"/>
  <c r="CU93" i="8"/>
  <c r="F102" i="8"/>
  <c r="BP98" i="5" a="1"/>
  <c r="BP98" i="5" s="1"/>
  <c r="J98" i="2" s="1"/>
  <c r="O103" i="1"/>
  <c r="CD93" i="8"/>
  <c r="BX94" i="8"/>
  <c r="CE94" i="8" s="1"/>
  <c r="CX94" i="8" s="1"/>
  <c r="BT94" i="8"/>
  <c r="BO94" i="8"/>
  <c r="BP94" i="8"/>
  <c r="BM94" i="8"/>
  <c r="BN94" i="8"/>
  <c r="BK94" i="8"/>
  <c r="BL94" i="8"/>
  <c r="BJ94" i="8"/>
  <c r="AC94" i="10"/>
  <c r="X94" i="10" s="1"/>
  <c r="AS98" i="5"/>
  <c r="AM98" i="1"/>
  <c r="DB93" i="8"/>
  <c r="AH98" i="11"/>
  <c r="DB97" i="5"/>
  <c r="DF97" i="5"/>
  <c r="DE97" i="5"/>
  <c r="AF96" i="1"/>
  <c r="AE99" i="8"/>
  <c r="AU99" i="8"/>
  <c r="K100" i="11"/>
  <c r="A100" i="14"/>
  <c r="CA100" i="14" s="1"/>
  <c r="A100" i="7"/>
  <c r="R100" i="7" s="1"/>
  <c r="A100" i="9"/>
  <c r="A100" i="2"/>
  <c r="A100" i="8"/>
  <c r="A100" i="5"/>
  <c r="AK98" i="11"/>
  <c r="DH97" i="5"/>
  <c r="Y96" i="1"/>
  <c r="DJ97" i="5"/>
  <c r="W96" i="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N99" i="14" a="1"/>
  <c r="AN99" i="14" s="1"/>
  <c r="AT99" i="14" a="1"/>
  <c r="AT99" i="14" s="1"/>
  <c r="AA99" i="14" a="1"/>
  <c r="AA99" i="14" s="1"/>
  <c r="V99" i="14" a="1"/>
  <c r="V99" i="14" s="1"/>
  <c r="AW99" i="14" a="1"/>
  <c r="AW99" i="14" s="1"/>
  <c r="AQ93" i="5"/>
  <c r="BZ94" i="8"/>
  <c r="CR94" i="8" s="1"/>
  <c r="AD93" i="11"/>
  <c r="AI93" i="1" s="1"/>
  <c r="Z93" i="11"/>
  <c r="Y93" i="11"/>
  <c r="AH93" i="1" s="1"/>
  <c r="N94" i="11"/>
  <c r="AB93" i="11"/>
  <c r="Q93" i="8" s="1"/>
  <c r="AC93" i="11"/>
  <c r="U93" i="8" s="1"/>
  <c r="F96" i="5"/>
  <c r="N94" i="7"/>
  <c r="BY94" i="8"/>
  <c r="CQ94" i="8" s="1"/>
  <c r="CB94" i="8"/>
  <c r="CT94" i="8" s="1"/>
  <c r="CA94" i="8"/>
  <c r="CC94" i="8"/>
  <c r="CI94" i="8"/>
  <c r="DA94" i="8" s="1"/>
  <c r="D95" i="9"/>
  <c r="CS92" i="8"/>
  <c r="B97" i="5"/>
  <c r="B97" i="2"/>
  <c r="B97" i="1"/>
  <c r="BG97" i="1" s="1"/>
  <c r="BU97" i="5"/>
  <c r="AH97" i="5"/>
  <c r="BZ99" i="11"/>
  <c r="K98" i="10"/>
  <c r="AA98" i="7"/>
  <c r="AF98" i="8" s="1"/>
  <c r="AV98" i="8" s="1"/>
  <c r="L98" i="11"/>
  <c r="J98" i="5"/>
  <c r="DC98" i="5" s="1"/>
  <c r="E97" i="10"/>
  <c r="G97" i="7"/>
  <c r="H98" i="5"/>
  <c r="C97" i="10"/>
  <c r="E97" i="7"/>
  <c r="M98" i="5"/>
  <c r="H97" i="10"/>
  <c r="J97" i="7"/>
  <c r="L98" i="5"/>
  <c r="G97" i="10"/>
  <c r="I97" i="7"/>
  <c r="K98" i="5"/>
  <c r="F97" i="10"/>
  <c r="H97" i="7"/>
  <c r="DD97" i="5"/>
  <c r="I98" i="5"/>
  <c r="D97" i="10"/>
  <c r="F97" i="7"/>
  <c r="G98" i="5"/>
  <c r="D97" i="7"/>
  <c r="B97" i="10"/>
  <c r="DH95" i="8"/>
  <c r="DI95" i="8" s="1"/>
  <c r="CK95" i="8"/>
  <c r="BW95" i="8"/>
  <c r="BI95" i="8"/>
  <c r="A95" i="10"/>
  <c r="AA95" i="10" s="1"/>
  <c r="BH95" i="8"/>
  <c r="BU95" i="8" s="1"/>
  <c r="AH106" i="9"/>
  <c r="AJ95" i="5"/>
  <c r="AP95" i="5" s="1"/>
  <c r="AC95" i="8"/>
  <c r="BQ95" i="8" s="1"/>
  <c r="E95" i="1"/>
  <c r="BT95" i="5"/>
  <c r="A95" i="11"/>
  <c r="X95" i="8"/>
  <c r="DD95" i="8" s="1"/>
  <c r="AI95" i="5"/>
  <c r="B95" i="7"/>
  <c r="B95" i="9"/>
  <c r="Y95" i="9" s="1"/>
  <c r="CZ97" i="5"/>
  <c r="C97" i="5"/>
  <c r="DA96" i="5"/>
  <c r="DG96" i="5" s="1" a="1"/>
  <c r="DG96" i="5" s="1"/>
  <c r="AB97" i="1"/>
  <c r="DI97" i="5"/>
  <c r="AG106" i="9"/>
  <c r="AK106" i="9"/>
  <c r="AK1269" i="14"/>
  <c r="AK1270" i="14" s="1"/>
  <c r="N82" i="1"/>
  <c r="AI1269" i="14"/>
  <c r="AI1270" i="14" s="1"/>
  <c r="S99" i="2"/>
  <c r="N100" i="2"/>
  <c r="R100" i="2"/>
  <c r="Q99" i="2"/>
  <c r="P101" i="2"/>
  <c r="J101" i="10"/>
  <c r="N101" i="5" s="1"/>
  <c r="AN107" i="9" l="1"/>
  <c r="BK108" i="11" s="1"/>
  <c r="AI108" i="11" s="1"/>
  <c r="CV94" i="8"/>
  <c r="CW94" i="8" s="1"/>
  <c r="AS94" i="8"/>
  <c r="AQ122" i="9"/>
  <c r="CM122" i="8" s="1"/>
  <c r="AO95" i="5"/>
  <c r="AM95" i="5"/>
  <c r="AN95" i="5"/>
  <c r="AR95" i="5" s="1"/>
  <c r="AV96" i="5"/>
  <c r="AW96" i="5"/>
  <c r="CL96" i="8"/>
  <c r="DB94" i="8"/>
  <c r="CC95" i="8"/>
  <c r="AC95" i="1"/>
  <c r="AI118" i="9"/>
  <c r="AO118" i="8" s="1"/>
  <c r="G101" i="8"/>
  <c r="CF100" i="8"/>
  <c r="O100" i="2"/>
  <c r="BJ100" i="5" a="1"/>
  <c r="BJ100" i="5" s="1"/>
  <c r="AM107" i="9"/>
  <c r="K107" i="8" s="1"/>
  <c r="BR95" i="8"/>
  <c r="BS95" i="8"/>
  <c r="AD98" i="1"/>
  <c r="BF100" i="5" a="1"/>
  <c r="BF100" i="5" s="1"/>
  <c r="AE99" i="1" s="1"/>
  <c r="CS100" i="5"/>
  <c r="CT100" i="5"/>
  <c r="CR100" i="5"/>
  <c r="CV100" i="5"/>
  <c r="CW100" i="5"/>
  <c r="CQ100" i="5"/>
  <c r="CU100" i="5"/>
  <c r="AY100" i="5" a="1"/>
  <c r="AY100" i="5" s="1"/>
  <c r="BL100" i="5" a="1"/>
  <c r="BL100" i="5" s="1"/>
  <c r="BI100" i="5" a="1"/>
  <c r="BI100" i="5" s="1"/>
  <c r="BB100" i="5" a="1"/>
  <c r="BB100" i="5" s="1"/>
  <c r="BN100" i="5" a="1"/>
  <c r="BN100" i="5" s="1"/>
  <c r="BC100" i="5" a="1"/>
  <c r="BC100" i="5" s="1"/>
  <c r="BH100" i="5" a="1"/>
  <c r="BH100" i="5" s="1"/>
  <c r="BE100" i="5" a="1"/>
  <c r="BE100" i="5" s="1"/>
  <c r="BQ100" i="5" a="1"/>
  <c r="BQ100" i="5" s="1"/>
  <c r="BO100" i="5" a="1"/>
  <c r="BO100" i="5" s="1"/>
  <c r="BD100" i="5" a="1"/>
  <c r="BD100" i="5" s="1"/>
  <c r="AZ100" i="5" a="1"/>
  <c r="AZ100" i="5" s="1"/>
  <c r="BK100" i="5" a="1"/>
  <c r="BK100" i="5" s="1"/>
  <c r="BG100" i="5" a="1"/>
  <c r="BG100" i="5" s="1"/>
  <c r="BA100" i="5" a="1"/>
  <c r="BA100" i="5" s="1"/>
  <c r="BM100" i="5" a="1"/>
  <c r="BM100" i="5" s="1"/>
  <c r="V98" i="2"/>
  <c r="CS93" i="8"/>
  <c r="CY93" i="8"/>
  <c r="F103" i="8"/>
  <c r="CU94" i="8"/>
  <c r="BP99" i="5" a="1"/>
  <c r="BP99" i="5" s="1"/>
  <c r="J99" i="2" s="1"/>
  <c r="AJ96" i="5"/>
  <c r="AP96" i="5" s="1"/>
  <c r="O104" i="1"/>
  <c r="CD94" i="8"/>
  <c r="BX95" i="8"/>
  <c r="CD95" i="8" s="1"/>
  <c r="BT95" i="8"/>
  <c r="BO95" i="8"/>
  <c r="BP95" i="8"/>
  <c r="BM95" i="8"/>
  <c r="BN95" i="8"/>
  <c r="BK95" i="8"/>
  <c r="BL95" i="8"/>
  <c r="BJ95" i="8"/>
  <c r="AC95" i="10"/>
  <c r="X95" i="10" s="1"/>
  <c r="AS99" i="5"/>
  <c r="AH99" i="11"/>
  <c r="DH96" i="8"/>
  <c r="DI96" i="8" s="1"/>
  <c r="DB98" i="5"/>
  <c r="DE98" i="5"/>
  <c r="DF98" i="5"/>
  <c r="AJ99" i="1"/>
  <c r="W97" i="1"/>
  <c r="K101" i="11"/>
  <c r="A101" i="14"/>
  <c r="CA101" i="14" s="1"/>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U100" i="8"/>
  <c r="AE100" i="8"/>
  <c r="AM99" i="1"/>
  <c r="AK99" i="11"/>
  <c r="AQ94" i="5"/>
  <c r="E96" i="1"/>
  <c r="B96" i="7"/>
  <c r="Q96" i="7" s="1"/>
  <c r="CK96" i="8"/>
  <c r="A96" i="10"/>
  <c r="AA96" i="10" s="1"/>
  <c r="A96" i="11"/>
  <c r="N96" i="11" s="1"/>
  <c r="AI96" i="5"/>
  <c r="AC96" i="8"/>
  <c r="BQ96" i="8" s="1"/>
  <c r="BI96" i="8"/>
  <c r="BW96" i="8"/>
  <c r="B96" i="9"/>
  <c r="Y96" i="9" s="1"/>
  <c r="X96" i="8"/>
  <c r="DD96" i="8" s="1"/>
  <c r="BH96" i="8"/>
  <c r="BU96" i="8" s="1"/>
  <c r="BT96" i="5"/>
  <c r="F97" i="5"/>
  <c r="B98" i="2"/>
  <c r="B98" i="1"/>
  <c r="BG98" i="1" s="1"/>
  <c r="BU98" i="5"/>
  <c r="AH98" i="5"/>
  <c r="BZ100" i="11"/>
  <c r="K99" i="10"/>
  <c r="AA99" i="7"/>
  <c r="AF99" i="8" s="1"/>
  <c r="AV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N95" i="7"/>
  <c r="AH107" i="9"/>
  <c r="BY95" i="8"/>
  <c r="CQ95" i="8" s="1"/>
  <c r="CB95" i="8"/>
  <c r="CT95" i="8" s="1"/>
  <c r="CA95" i="8"/>
  <c r="CH95" i="8"/>
  <c r="CZ95" i="8" s="1"/>
  <c r="BZ95" i="8"/>
  <c r="CR95" i="8" s="1"/>
  <c r="CI95" i="8"/>
  <c r="DA95" i="8" s="1"/>
  <c r="AE95" i="7"/>
  <c r="AF95" i="7" s="1"/>
  <c r="Q95" i="7"/>
  <c r="AD94" i="11"/>
  <c r="AI94" i="1" s="1"/>
  <c r="AB94" i="11"/>
  <c r="Q94" i="8" s="1"/>
  <c r="N95" i="11"/>
  <c r="AA94" i="11"/>
  <c r="AK94" i="1" s="1"/>
  <c r="AC94" i="11"/>
  <c r="U94" i="8" s="1"/>
  <c r="Z94" i="11"/>
  <c r="Y94" i="11"/>
  <c r="AH94" i="1" s="1"/>
  <c r="CZ98" i="5"/>
  <c r="AB98" i="1"/>
  <c r="DI98" i="5"/>
  <c r="C98" i="5"/>
  <c r="DA97" i="5"/>
  <c r="DG97" i="5" s="1" a="1"/>
  <c r="DG97" i="5" s="1"/>
  <c r="AG107" i="9"/>
  <c r="AK107" i="9"/>
  <c r="N83" i="1"/>
  <c r="S100" i="2"/>
  <c r="N101" i="2"/>
  <c r="R101" i="2"/>
  <c r="Q100" i="2"/>
  <c r="J102" i="10"/>
  <c r="N102" i="5" s="1"/>
  <c r="P102" i="2"/>
  <c r="AN108" i="9" l="1"/>
  <c r="BK109" i="11" s="1"/>
  <c r="AI109" i="11" s="1"/>
  <c r="CV95" i="8"/>
  <c r="CW95" i="8" s="1"/>
  <c r="AS95" i="8"/>
  <c r="AQ123" i="9"/>
  <c r="CM123" i="8" s="1"/>
  <c r="AO96" i="5"/>
  <c r="AM96" i="5"/>
  <c r="AN96" i="5"/>
  <c r="AR96" i="5" s="1"/>
  <c r="AV97" i="5"/>
  <c r="AW97" i="5"/>
  <c r="AG95" i="7"/>
  <c r="AI95" i="7" s="1"/>
  <c r="CL97" i="8"/>
  <c r="CB96" i="8"/>
  <c r="CT96" i="8" s="1"/>
  <c r="AC96" i="1"/>
  <c r="AI119" i="9"/>
  <c r="AO119" i="8" s="1"/>
  <c r="G102" i="8"/>
  <c r="CF101" i="8"/>
  <c r="O101" i="2"/>
  <c r="BI101" i="5" a="1"/>
  <c r="BI101" i="5" s="1"/>
  <c r="BC101" i="5" a="1"/>
  <c r="BC101" i="5" s="1"/>
  <c r="BN101" i="5" a="1"/>
  <c r="BN101" i="5" s="1"/>
  <c r="BE101" i="5" a="1"/>
  <c r="BE101" i="5" s="1"/>
  <c r="AM108" i="9"/>
  <c r="K108" i="8" s="1"/>
  <c r="BR96" i="8"/>
  <c r="BS96" i="8"/>
  <c r="AD99" i="1"/>
  <c r="BB101" i="5" a="1"/>
  <c r="BB101" i="5" s="1"/>
  <c r="BM101" i="5" a="1"/>
  <c r="BM101" i="5" s="1"/>
  <c r="BA101" i="5" a="1"/>
  <c r="BA101" i="5" s="1"/>
  <c r="BG101" i="5" a="1"/>
  <c r="BG101" i="5" s="1"/>
  <c r="BK101" i="5" a="1"/>
  <c r="BK101" i="5" s="1"/>
  <c r="AZ101" i="5" a="1"/>
  <c r="AZ101" i="5" s="1"/>
  <c r="BD101" i="5" a="1"/>
  <c r="BD101" i="5" s="1"/>
  <c r="CT101" i="5"/>
  <c r="CS101" i="5"/>
  <c r="CV101" i="5"/>
  <c r="CR101" i="5"/>
  <c r="CW101" i="5"/>
  <c r="CU101" i="5"/>
  <c r="CQ101" i="5"/>
  <c r="AY101" i="5" a="1"/>
  <c r="AY101" i="5" s="1"/>
  <c r="BL101" i="5" a="1"/>
  <c r="BL101" i="5" s="1"/>
  <c r="BO101" i="5" a="1"/>
  <c r="BO101" i="5" s="1"/>
  <c r="BQ101" i="5" a="1"/>
  <c r="BQ101" i="5" s="1"/>
  <c r="BF101" i="5" a="1"/>
  <c r="BF101" i="5" s="1"/>
  <c r="AE100" i="1" s="1"/>
  <c r="BH101" i="5" a="1"/>
  <c r="BH101" i="5" s="1"/>
  <c r="BJ101" i="5" a="1"/>
  <c r="BJ101" i="5" s="1"/>
  <c r="V99" i="2"/>
  <c r="CS94" i="8"/>
  <c r="F104" i="8"/>
  <c r="AC96" i="10"/>
  <c r="X96" i="10" s="1"/>
  <c r="BP100" i="5" a="1"/>
  <c r="BP100" i="5" s="1"/>
  <c r="J100" i="2" s="1"/>
  <c r="O105" i="1"/>
  <c r="CY94" i="8"/>
  <c r="CE95" i="8"/>
  <c r="BX96" i="8"/>
  <c r="CD96" i="8" s="1"/>
  <c r="BT96" i="8"/>
  <c r="BO96" i="8"/>
  <c r="BP96" i="8"/>
  <c r="BM96" i="8"/>
  <c r="BN96" i="8"/>
  <c r="BK96" i="8"/>
  <c r="BL96" i="8"/>
  <c r="BJ96" i="8"/>
  <c r="AS100" i="5"/>
  <c r="AK100" i="11"/>
  <c r="AH100" i="11"/>
  <c r="CI96" i="8"/>
  <c r="DA96" i="8" s="1"/>
  <c r="BW97" i="8"/>
  <c r="DF99" i="5"/>
  <c r="AJ100" i="1"/>
  <c r="DB99" i="5"/>
  <c r="AM100" i="1"/>
  <c r="DE99" i="5"/>
  <c r="AE101" i="8"/>
  <c r="AU101" i="8"/>
  <c r="K102" i="11"/>
  <c r="A102" i="14"/>
  <c r="CA102" i="14" s="1"/>
  <c r="A102" i="5"/>
  <c r="A102" i="9"/>
  <c r="A102" i="8"/>
  <c r="A102" i="7"/>
  <c r="R102" i="7" s="1"/>
  <c r="A102" i="2"/>
  <c r="W98" i="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H96" i="8"/>
  <c r="CZ96" i="8" s="1"/>
  <c r="AE96" i="7"/>
  <c r="AF96" i="7" s="1"/>
  <c r="Y95" i="11"/>
  <c r="AH95" i="1" s="1"/>
  <c r="AC95" i="11"/>
  <c r="U95" i="8" s="1"/>
  <c r="AB95" i="11"/>
  <c r="Q95" i="8" s="1"/>
  <c r="Z95" i="11"/>
  <c r="CA96" i="8"/>
  <c r="BY96" i="8"/>
  <c r="CQ96" i="8" s="1"/>
  <c r="BZ96" i="8"/>
  <c r="CR96" i="8" s="1"/>
  <c r="CC96" i="8"/>
  <c r="D97" i="9"/>
  <c r="A97" i="10"/>
  <c r="AA97" i="10" s="1"/>
  <c r="AI97" i="5"/>
  <c r="AJ97" i="5"/>
  <c r="AP97" i="5" s="1"/>
  <c r="BT97" i="5"/>
  <c r="B97" i="9"/>
  <c r="Y97" i="9" s="1"/>
  <c r="E97" i="1"/>
  <c r="A97" i="11"/>
  <c r="AB96" i="11" s="1"/>
  <c r="Q96" i="8" s="1"/>
  <c r="X97" i="8"/>
  <c r="DD97" i="8" s="1"/>
  <c r="BI97" i="8"/>
  <c r="AC97" i="8"/>
  <c r="BQ97" i="8" s="1"/>
  <c r="B97" i="7"/>
  <c r="AE97" i="7" s="1"/>
  <c r="AF97" i="7" s="1"/>
  <c r="DH97" i="8"/>
  <c r="DI97" i="8" s="1"/>
  <c r="CK97" i="8"/>
  <c r="BH97" i="8"/>
  <c r="BU97" i="8" s="1"/>
  <c r="F98" i="5"/>
  <c r="B99" i="5"/>
  <c r="B99" i="2"/>
  <c r="B99" i="1"/>
  <c r="BG99" i="1" s="1"/>
  <c r="BU99" i="5"/>
  <c r="AH99" i="5"/>
  <c r="BZ101" i="11"/>
  <c r="AA100" i="7"/>
  <c r="AF100" i="8" s="1"/>
  <c r="AV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U95" i="8"/>
  <c r="AH108" i="9"/>
  <c r="AQ95" i="5"/>
  <c r="DB95" i="8"/>
  <c r="B95" i="14"/>
  <c r="CZ99" i="5"/>
  <c r="DA98" i="5"/>
  <c r="DG98" i="5" s="1" a="1"/>
  <c r="DG98" i="5" s="1"/>
  <c r="AB99" i="1"/>
  <c r="DI99" i="5"/>
  <c r="AG108" i="9"/>
  <c r="AK108" i="9"/>
  <c r="AC1269" i="14"/>
  <c r="AC1270" i="14" s="1"/>
  <c r="N84" i="1"/>
  <c r="Z1269" i="14"/>
  <c r="Z1270" i="14" s="1"/>
  <c r="S101" i="2"/>
  <c r="N102" i="2"/>
  <c r="R102" i="2"/>
  <c r="Q101" i="2"/>
  <c r="J103" i="10"/>
  <c r="N103" i="5" s="1"/>
  <c r="P103" i="2"/>
  <c r="AN109" i="9" l="1"/>
  <c r="BK110" i="11" s="1"/>
  <c r="AI110" i="11" s="1"/>
  <c r="CX95" i="8"/>
  <c r="CY95" i="8" s="1"/>
  <c r="CV96" i="8"/>
  <c r="CW96" i="8" s="1"/>
  <c r="AS96" i="8"/>
  <c r="AQ124" i="9"/>
  <c r="CM124" i="8" s="1"/>
  <c r="AO97" i="5"/>
  <c r="AM97" i="5"/>
  <c r="AN97" i="5"/>
  <c r="AR97" i="5" s="1"/>
  <c r="AV98" i="5"/>
  <c r="AW98" i="5"/>
  <c r="AG97" i="7"/>
  <c r="AG96" i="7"/>
  <c r="AI96" i="7" s="1"/>
  <c r="CL98" i="8"/>
  <c r="CC97" i="8"/>
  <c r="AC97" i="1"/>
  <c r="AI120" i="9"/>
  <c r="AO120" i="8" s="1"/>
  <c r="G103" i="8"/>
  <c r="CF102" i="8"/>
  <c r="O102" i="2"/>
  <c r="AD100" i="1"/>
  <c r="BC102" i="5" a="1"/>
  <c r="BC102" i="5" s="1"/>
  <c r="BJ102" i="5" a="1"/>
  <c r="BJ102" i="5" s="1"/>
  <c r="AM109" i="9"/>
  <c r="K109" i="8" s="1"/>
  <c r="BR97" i="8"/>
  <c r="BS97" i="8"/>
  <c r="BD102" i="5" a="1"/>
  <c r="BD102" i="5" s="1"/>
  <c r="AZ102" i="5" a="1"/>
  <c r="AZ102" i="5" s="1"/>
  <c r="BH102" i="5" a="1"/>
  <c r="BH102" i="5" s="1"/>
  <c r="BK102" i="5" a="1"/>
  <c r="BK102" i="5" s="1"/>
  <c r="BE102" i="5" a="1"/>
  <c r="BE102" i="5" s="1"/>
  <c r="BG102" i="5" a="1"/>
  <c r="BG102" i="5" s="1"/>
  <c r="BF102" i="5" a="1"/>
  <c r="BF102" i="5" s="1"/>
  <c r="AE101" i="1" s="1"/>
  <c r="BQ102" i="5" a="1"/>
  <c r="BQ102" i="5" s="1"/>
  <c r="BA102" i="5" a="1"/>
  <c r="BA102" i="5" s="1"/>
  <c r="BO102" i="5" a="1"/>
  <c r="BO102" i="5" s="1"/>
  <c r="BM102" i="5" a="1"/>
  <c r="BM102" i="5" s="1"/>
  <c r="CV102" i="5"/>
  <c r="CW102" i="5"/>
  <c r="CT102" i="5"/>
  <c r="CR102" i="5"/>
  <c r="CQ102" i="5"/>
  <c r="CS102" i="5"/>
  <c r="CU102" i="5"/>
  <c r="AY102" i="5" a="1"/>
  <c r="AY102" i="5" s="1"/>
  <c r="BL102" i="5" a="1"/>
  <c r="BL102" i="5" s="1"/>
  <c r="BI102" i="5" a="1"/>
  <c r="BI102" i="5" s="1"/>
  <c r="BB102" i="5" a="1"/>
  <c r="BB102" i="5" s="1"/>
  <c r="BN102" i="5" a="1"/>
  <c r="BN102" i="5" s="1"/>
  <c r="V100" i="2"/>
  <c r="AQ96" i="5"/>
  <c r="CU96" i="8"/>
  <c r="F105" i="8"/>
  <c r="BP101" i="5" a="1"/>
  <c r="BP101" i="5" s="1"/>
  <c r="J101" i="2" s="1"/>
  <c r="O106" i="1"/>
  <c r="CE96" i="8"/>
  <c r="BX97" i="8"/>
  <c r="CE97" i="8" s="1"/>
  <c r="CX97" i="8" s="1"/>
  <c r="BT97" i="8"/>
  <c r="BO97" i="8"/>
  <c r="BP97" i="8"/>
  <c r="BM97" i="8"/>
  <c r="BN97" i="8"/>
  <c r="BK97" i="8"/>
  <c r="BL97" i="8"/>
  <c r="BJ97" i="8"/>
  <c r="AC97" i="10"/>
  <c r="X97" i="10" s="1"/>
  <c r="AS101" i="5"/>
  <c r="DB96" i="8"/>
  <c r="AH101" i="11"/>
  <c r="DE100" i="5"/>
  <c r="CH97" i="8"/>
  <c r="CZ97" i="8" s="1"/>
  <c r="BY97" i="8"/>
  <c r="CQ97" i="8" s="1"/>
  <c r="CA97" i="8"/>
  <c r="CB97" i="8"/>
  <c r="CT97" i="8" s="1"/>
  <c r="BZ97" i="8"/>
  <c r="CR97" i="8" s="1"/>
  <c r="DB100" i="5"/>
  <c r="DF100" i="5"/>
  <c r="AM101" i="1"/>
  <c r="K103" i="11"/>
  <c r="A103" i="14"/>
  <c r="CA103" i="14" s="1"/>
  <c r="A103" i="5"/>
  <c r="A103" i="2"/>
  <c r="A103" i="9"/>
  <c r="A103" i="7"/>
  <c r="R103" i="7" s="1"/>
  <c r="A103" i="8"/>
  <c r="Y99" i="1"/>
  <c r="DJ100" i="5"/>
  <c r="AF99" i="1"/>
  <c r="AE102" i="8"/>
  <c r="AU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W99" i="1"/>
  <c r="B96" i="14"/>
  <c r="B97" i="14"/>
  <c r="Z96" i="11"/>
  <c r="N97" i="7"/>
  <c r="AD96" i="11"/>
  <c r="AI96" i="1" s="1"/>
  <c r="N97" i="11"/>
  <c r="Q97" i="7"/>
  <c r="AA96" i="11"/>
  <c r="AK96" i="1" s="1"/>
  <c r="CI97" i="8"/>
  <c r="DA97" i="8" s="1"/>
  <c r="AC96" i="11"/>
  <c r="U96" i="8" s="1"/>
  <c r="Y96" i="11"/>
  <c r="AH96" i="1" s="1"/>
  <c r="AC98" i="8"/>
  <c r="BQ98" i="8" s="1"/>
  <c r="D98" i="9"/>
  <c r="B98" i="9"/>
  <c r="Y98" i="9" s="1"/>
  <c r="BW98" i="8"/>
  <c r="AJ98" i="5"/>
  <c r="AP98" i="5" s="1"/>
  <c r="B100" i="5"/>
  <c r="E98" i="1"/>
  <c r="BI98" i="8"/>
  <c r="X98" i="8"/>
  <c r="DD98" i="8" s="1"/>
  <c r="BT98" i="5"/>
  <c r="A98" i="11"/>
  <c r="Y97" i="11" s="1"/>
  <c r="AH97" i="1" s="1"/>
  <c r="BH98" i="8"/>
  <c r="BU98" i="8" s="1"/>
  <c r="AI98" i="5"/>
  <c r="DH98" i="8"/>
  <c r="DI98" i="8" s="1"/>
  <c r="CK98" i="8"/>
  <c r="B98" i="7"/>
  <c r="Q98" i="7" s="1"/>
  <c r="A98" i="10"/>
  <c r="AA98" i="10" s="1"/>
  <c r="AH100" i="5"/>
  <c r="BU100" i="5"/>
  <c r="B100" i="1"/>
  <c r="BG100" i="1" s="1"/>
  <c r="B100" i="2"/>
  <c r="BZ102" i="11"/>
  <c r="AA101" i="7"/>
  <c r="AF101" i="8" s="1"/>
  <c r="AV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S95" i="8"/>
  <c r="AH109" i="9"/>
  <c r="CZ100" i="5"/>
  <c r="C99" i="5"/>
  <c r="F99" i="5" s="1"/>
  <c r="AB100" i="1"/>
  <c r="DI100" i="5"/>
  <c r="C100" i="5"/>
  <c r="DA99" i="5"/>
  <c r="DG99" i="5" s="1" a="1"/>
  <c r="DG99" i="5" s="1"/>
  <c r="AG109" i="9"/>
  <c r="AK109" i="9"/>
  <c r="N85" i="1"/>
  <c r="S102" i="2"/>
  <c r="N103" i="2"/>
  <c r="R103" i="2"/>
  <c r="Q102" i="2"/>
  <c r="J104" i="10"/>
  <c r="N104" i="5" s="1"/>
  <c r="P104" i="2"/>
  <c r="AN110" i="9" l="1"/>
  <c r="BK111" i="11" s="1"/>
  <c r="AI111" i="11" s="1"/>
  <c r="CX96" i="8"/>
  <c r="CY96" i="8" s="1"/>
  <c r="CV97" i="8"/>
  <c r="CW97" i="8" s="1"/>
  <c r="AI97" i="7"/>
  <c r="AS97" i="8"/>
  <c r="AQ125" i="9"/>
  <c r="CM125" i="8" s="1"/>
  <c r="AO98" i="5"/>
  <c r="AM98" i="5"/>
  <c r="AN98" i="5"/>
  <c r="AR98" i="5" s="1"/>
  <c r="AV99" i="5"/>
  <c r="AW99" i="5"/>
  <c r="CL99" i="8"/>
  <c r="CB98" i="8"/>
  <c r="CT98" i="8" s="1"/>
  <c r="AC98" i="1"/>
  <c r="AI121" i="9"/>
  <c r="AO121" i="8" s="1"/>
  <c r="G104" i="8"/>
  <c r="CF103" i="8"/>
  <c r="O103" i="2"/>
  <c r="BO103" i="5" a="1"/>
  <c r="BO103" i="5" s="1"/>
  <c r="AM110" i="9"/>
  <c r="K110" i="8" s="1"/>
  <c r="BR98" i="8"/>
  <c r="BS98" i="8"/>
  <c r="AD101" i="1"/>
  <c r="BM103" i="5" a="1"/>
  <c r="BM103" i="5" s="1"/>
  <c r="BA103" i="5" a="1"/>
  <c r="BA103" i="5" s="1"/>
  <c r="BQ103" i="5" a="1"/>
  <c r="BQ103" i="5" s="1"/>
  <c r="BN103" i="5" a="1"/>
  <c r="BN103" i="5" s="1"/>
  <c r="BF103" i="5" a="1"/>
  <c r="BF103" i="5" s="1"/>
  <c r="AE102" i="1" s="1"/>
  <c r="BB103" i="5" a="1"/>
  <c r="BB103" i="5" s="1"/>
  <c r="BG103" i="5" a="1"/>
  <c r="BG103" i="5" s="1"/>
  <c r="BI103" i="5" a="1"/>
  <c r="BI103" i="5" s="1"/>
  <c r="BE103" i="5" a="1"/>
  <c r="BE103" i="5" s="1"/>
  <c r="BK103" i="5" a="1"/>
  <c r="BK103" i="5" s="1"/>
  <c r="BH103" i="5" a="1"/>
  <c r="BH103" i="5" s="1"/>
  <c r="CQ103" i="5"/>
  <c r="CW103" i="5"/>
  <c r="CR103" i="5"/>
  <c r="CU103" i="5"/>
  <c r="CS103" i="5"/>
  <c r="CT103" i="5"/>
  <c r="CV103" i="5"/>
  <c r="BL103" i="5" a="1"/>
  <c r="BL103" i="5" s="1"/>
  <c r="AY103" i="5" a="1"/>
  <c r="AY103" i="5" s="1"/>
  <c r="AZ103" i="5" a="1"/>
  <c r="AZ103" i="5" s="1"/>
  <c r="BJ103" i="5" a="1"/>
  <c r="BJ103" i="5" s="1"/>
  <c r="BD103" i="5" a="1"/>
  <c r="BD103" i="5" s="1"/>
  <c r="BC103" i="5" a="1"/>
  <c r="BC103" i="5" s="1"/>
  <c r="V101" i="2"/>
  <c r="CS96" i="8"/>
  <c r="CU97" i="8"/>
  <c r="F106" i="8"/>
  <c r="BP102" i="5" a="1"/>
  <c r="BP102" i="5" s="1"/>
  <c r="J102" i="2" s="1"/>
  <c r="O107" i="1"/>
  <c r="CD97" i="8"/>
  <c r="BX98" i="8"/>
  <c r="CE98" i="8" s="1"/>
  <c r="CX98" i="8" s="1"/>
  <c r="BT98" i="8"/>
  <c r="BO98" i="8"/>
  <c r="BP98" i="8"/>
  <c r="BM98" i="8"/>
  <c r="BN98" i="8"/>
  <c r="BK98" i="8"/>
  <c r="BL98" i="8"/>
  <c r="BJ98" i="8"/>
  <c r="AC98" i="10"/>
  <c r="X98" i="10" s="1"/>
  <c r="AS102" i="5"/>
  <c r="AH102" i="11"/>
  <c r="DF101" i="5"/>
  <c r="DB97" i="8"/>
  <c r="DE101" i="5"/>
  <c r="DB101" i="5"/>
  <c r="AK102" i="11"/>
  <c r="AM102" i="1"/>
  <c r="W100" i="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E103" i="8"/>
  <c r="AU103" i="8"/>
  <c r="DH101" i="5"/>
  <c r="Y100" i="1"/>
  <c r="DJ101" i="5"/>
  <c r="K104" i="11"/>
  <c r="A104" i="14"/>
  <c r="CA104" i="14" s="1"/>
  <c r="A104" i="8"/>
  <c r="A104" i="2"/>
  <c r="A104" i="7"/>
  <c r="R104" i="7" s="1"/>
  <c r="A104" i="9"/>
  <c r="A104" i="5"/>
  <c r="AJ102" i="1"/>
  <c r="AQ97" i="5"/>
  <c r="N98" i="7"/>
  <c r="AD97" i="11"/>
  <c r="AI97" i="1" s="1"/>
  <c r="CH98" i="8"/>
  <c r="CZ98" i="8" s="1"/>
  <c r="CI98" i="8"/>
  <c r="DA98" i="8" s="1"/>
  <c r="CC98" i="8"/>
  <c r="BY98" i="8"/>
  <c r="CQ98" i="8" s="1"/>
  <c r="CA98" i="8"/>
  <c r="AE98" i="7"/>
  <c r="AF98" i="7" s="1"/>
  <c r="F100" i="5"/>
  <c r="BZ98" i="8"/>
  <c r="CR98" i="8" s="1"/>
  <c r="D99" i="9"/>
  <c r="Z97" i="11"/>
  <c r="B101" i="5"/>
  <c r="AA97" i="11"/>
  <c r="AK97" i="1" s="1"/>
  <c r="AB97" i="11"/>
  <c r="Q97" i="8" s="1"/>
  <c r="AC97" i="11"/>
  <c r="U97" i="8" s="1"/>
  <c r="N98" i="11"/>
  <c r="B101" i="2"/>
  <c r="B101" i="1"/>
  <c r="BG101" i="1" s="1"/>
  <c r="AH101" i="5"/>
  <c r="BU101" i="5"/>
  <c r="BZ103" i="11"/>
  <c r="AA102" i="7"/>
  <c r="AF102" i="8" s="1"/>
  <c r="AV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H99" i="8"/>
  <c r="DI99" i="8" s="1"/>
  <c r="CK99" i="8"/>
  <c r="BW99" i="8"/>
  <c r="AC99" i="1" s="1"/>
  <c r="BH99" i="8"/>
  <c r="BU99" i="8" s="1"/>
  <c r="BI99" i="8"/>
  <c r="AH110" i="9"/>
  <c r="CZ101" i="5"/>
  <c r="AC99" i="8"/>
  <c r="BQ99" i="8" s="1"/>
  <c r="BT99" i="5"/>
  <c r="AJ99" i="5"/>
  <c r="AP99" i="5" s="1"/>
  <c r="A99" i="10"/>
  <c r="AA99" i="10" s="1"/>
  <c r="B99" i="7"/>
  <c r="X99" i="8"/>
  <c r="DD99" i="8" s="1"/>
  <c r="E99" i="1"/>
  <c r="A99" i="11"/>
  <c r="AI99" i="5"/>
  <c r="B99" i="9"/>
  <c r="Y99" i="9" s="1"/>
  <c r="DA100" i="5"/>
  <c r="DG100" i="5" s="1" a="1"/>
  <c r="DG100" i="5" s="1"/>
  <c r="AB101" i="1"/>
  <c r="DI101" i="5"/>
  <c r="AG110" i="9"/>
  <c r="AK110" i="9"/>
  <c r="N86" i="1"/>
  <c r="S103" i="2"/>
  <c r="N104" i="2"/>
  <c r="R104" i="2"/>
  <c r="Q103" i="2"/>
  <c r="J105" i="10"/>
  <c r="N105" i="5" s="1"/>
  <c r="P105" i="2"/>
  <c r="AN111" i="9" l="1"/>
  <c r="BK112" i="11" s="1"/>
  <c r="AI112" i="11" s="1"/>
  <c r="CV98" i="8"/>
  <c r="CW98" i="8" s="1"/>
  <c r="AS98" i="8"/>
  <c r="AQ126" i="9"/>
  <c r="CM126" i="8" s="1"/>
  <c r="AO99" i="5"/>
  <c r="AM99" i="5"/>
  <c r="AN99" i="5"/>
  <c r="AR99" i="5" s="1"/>
  <c r="AV100" i="5"/>
  <c r="AW100" i="5"/>
  <c r="AG98" i="7"/>
  <c r="AI98" i="7" s="1"/>
  <c r="CL100" i="8"/>
  <c r="AI122" i="9"/>
  <c r="AO122" i="8" s="1"/>
  <c r="G105" i="8"/>
  <c r="CF104" i="8"/>
  <c r="O104" i="2"/>
  <c r="AM111" i="9"/>
  <c r="K111" i="8" s="1"/>
  <c r="BR99" i="8"/>
  <c r="BS99" i="8"/>
  <c r="AD102" i="1"/>
  <c r="CQ104" i="5"/>
  <c r="CW104" i="5"/>
  <c r="CS104" i="5"/>
  <c r="CV104" i="5"/>
  <c r="CT104" i="5"/>
  <c r="CR104" i="5"/>
  <c r="CU104" i="5"/>
  <c r="AY104" i="5" a="1"/>
  <c r="AY104" i="5" s="1"/>
  <c r="BL104" i="5" a="1"/>
  <c r="BL104" i="5" s="1"/>
  <c r="BH104" i="5" a="1"/>
  <c r="BH104" i="5" s="1"/>
  <c r="BC104" i="5" a="1"/>
  <c r="BC104" i="5" s="1"/>
  <c r="BK104" i="5" a="1"/>
  <c r="BK104" i="5" s="1"/>
  <c r="BE104" i="5" a="1"/>
  <c r="BE104" i="5" s="1"/>
  <c r="BD104" i="5" a="1"/>
  <c r="BD104" i="5" s="1"/>
  <c r="BI104" i="5" a="1"/>
  <c r="BI104" i="5" s="1"/>
  <c r="BO104" i="5" a="1"/>
  <c r="BO104" i="5" s="1"/>
  <c r="BG104" i="5" a="1"/>
  <c r="BG104" i="5" s="1"/>
  <c r="BJ104" i="5" a="1"/>
  <c r="BJ104" i="5" s="1"/>
  <c r="BB104" i="5" a="1"/>
  <c r="BB104" i="5" s="1"/>
  <c r="AZ104" i="5" a="1"/>
  <c r="AZ104" i="5" s="1"/>
  <c r="BF104" i="5" a="1"/>
  <c r="BF104" i="5" s="1"/>
  <c r="AE103" i="1" s="1"/>
  <c r="BN104" i="5" a="1"/>
  <c r="BN104" i="5" s="1"/>
  <c r="BQ104" i="5" a="1"/>
  <c r="BQ104" i="5" s="1"/>
  <c r="BA104" i="5" a="1"/>
  <c r="BA104" i="5" s="1"/>
  <c r="BM104" i="5" a="1"/>
  <c r="BM104" i="5" s="1"/>
  <c r="V102" i="2"/>
  <c r="CS97" i="8"/>
  <c r="CY97" i="8"/>
  <c r="CU98" i="8"/>
  <c r="F107" i="8"/>
  <c r="BP103" i="5" a="1"/>
  <c r="BP103" i="5" s="1"/>
  <c r="J103" i="2" s="1"/>
  <c r="DH100" i="8"/>
  <c r="DI100" i="8" s="1"/>
  <c r="O108" i="1"/>
  <c r="CD98" i="8"/>
  <c r="BT99" i="8"/>
  <c r="BO99" i="8"/>
  <c r="BP99" i="8"/>
  <c r="BM99" i="8"/>
  <c r="BN99" i="8"/>
  <c r="BK99" i="8"/>
  <c r="BL99" i="8"/>
  <c r="BJ99" i="8"/>
  <c r="AC99" i="10"/>
  <c r="X99" i="10" s="1"/>
  <c r="AS103" i="5"/>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U104" i="8"/>
  <c r="AE104" i="8"/>
  <c r="K105" i="11"/>
  <c r="A105" i="14"/>
  <c r="CA105" i="14" s="1"/>
  <c r="A105" i="8"/>
  <c r="A105" i="2"/>
  <c r="A105" i="9"/>
  <c r="A105" i="5"/>
  <c r="A105" i="7"/>
  <c r="R105" i="7" s="1"/>
  <c r="W101" i="1"/>
  <c r="AI100" i="5"/>
  <c r="B100" i="9"/>
  <c r="Y100" i="9" s="1"/>
  <c r="BI100" i="8"/>
  <c r="AJ100" i="5"/>
  <c r="AP100" i="5" s="1"/>
  <c r="A100" i="11"/>
  <c r="N100" i="11" s="1"/>
  <c r="BH100" i="8"/>
  <c r="BU100" i="8" s="1"/>
  <c r="X100" i="8"/>
  <c r="DD100" i="8" s="1"/>
  <c r="BW100" i="8"/>
  <c r="A100" i="10"/>
  <c r="AA100" i="10" s="1"/>
  <c r="BT100" i="5"/>
  <c r="CK100" i="8"/>
  <c r="E100" i="1"/>
  <c r="AC100" i="8"/>
  <c r="BQ100" i="8" s="1"/>
  <c r="B100" i="7"/>
  <c r="AE100" i="7" s="1"/>
  <c r="AF100" i="7" s="1"/>
  <c r="B98" i="14"/>
  <c r="DB98" i="8"/>
  <c r="AQ98" i="5"/>
  <c r="B102" i="5"/>
  <c r="B102" i="2"/>
  <c r="B102" i="1"/>
  <c r="BG102" i="1" s="1"/>
  <c r="AH102" i="5"/>
  <c r="BU102" i="5"/>
  <c r="BZ104" i="11"/>
  <c r="AA103" i="7"/>
  <c r="AF103" i="8" s="1"/>
  <c r="AV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X99" i="8"/>
  <c r="CE99" i="8" s="1"/>
  <c r="CX99" i="8" s="1"/>
  <c r="D100" i="9"/>
  <c r="N99" i="7"/>
  <c r="AH111" i="9"/>
  <c r="C101" i="5"/>
  <c r="F101" i="5" s="1"/>
  <c r="CC99" i="8"/>
  <c r="CA99" i="8"/>
  <c r="CB99" i="8"/>
  <c r="CT99" i="8" s="1"/>
  <c r="CH99" i="8"/>
  <c r="CZ99" i="8" s="1"/>
  <c r="BY99" i="8"/>
  <c r="CQ99" i="8" s="1"/>
  <c r="BZ99" i="8"/>
  <c r="CR99" i="8" s="1"/>
  <c r="CI99" i="8"/>
  <c r="DA99" i="8" s="1"/>
  <c r="AE99" i="7"/>
  <c r="AF99" i="7" s="1"/>
  <c r="Q99" i="7"/>
  <c r="CZ102" i="5"/>
  <c r="AB98" i="11"/>
  <c r="Q98" i="8" s="1"/>
  <c r="AA98" i="11"/>
  <c r="AK98" i="1" s="1"/>
  <c r="AC98" i="11"/>
  <c r="U98" i="8" s="1"/>
  <c r="Y98" i="11"/>
  <c r="AH98" i="1" s="1"/>
  <c r="AD98" i="11"/>
  <c r="AI98" i="1" s="1"/>
  <c r="Z98" i="11"/>
  <c r="N99" i="11"/>
  <c r="AB102" i="1"/>
  <c r="DI102" i="5"/>
  <c r="C102" i="5"/>
  <c r="DA101" i="5"/>
  <c r="DG101" i="5" s="1" a="1"/>
  <c r="DG101" i="5" s="1"/>
  <c r="AG111" i="9"/>
  <c r="AK111" i="9"/>
  <c r="N87" i="1"/>
  <c r="S104" i="2"/>
  <c r="N105" i="2"/>
  <c r="R105" i="2"/>
  <c r="Q104" i="2"/>
  <c r="J106" i="10"/>
  <c r="N106" i="5" s="1"/>
  <c r="P106" i="2"/>
  <c r="AN112" i="9" l="1"/>
  <c r="BK113" i="11" s="1"/>
  <c r="AI113" i="11" s="1"/>
  <c r="CV99" i="8"/>
  <c r="CW99" i="8" s="1"/>
  <c r="AS99" i="8"/>
  <c r="AQ127" i="9"/>
  <c r="CM127" i="8" s="1"/>
  <c r="AO100" i="5"/>
  <c r="AM100" i="5"/>
  <c r="AN100" i="5"/>
  <c r="AR100" i="5" s="1"/>
  <c r="AV101" i="5"/>
  <c r="AW101" i="5"/>
  <c r="AG99" i="7"/>
  <c r="AI99" i="7" s="1"/>
  <c r="AG100" i="7"/>
  <c r="CL101" i="8"/>
  <c r="CH100" i="8"/>
  <c r="CZ100" i="8" s="1"/>
  <c r="AC100" i="1"/>
  <c r="AI123" i="9"/>
  <c r="AO123" i="8" s="1"/>
  <c r="G106" i="8"/>
  <c r="CF105" i="8"/>
  <c r="O105" i="2"/>
  <c r="BO105" i="5" a="1"/>
  <c r="BO105" i="5" s="1"/>
  <c r="BI105" i="5" a="1"/>
  <c r="BI105" i="5" s="1"/>
  <c r="AM112" i="9"/>
  <c r="K112" i="8" s="1"/>
  <c r="BR100" i="8"/>
  <c r="BS100" i="8"/>
  <c r="AD103" i="1"/>
  <c r="BD105" i="5" a="1"/>
  <c r="BD105" i="5" s="1"/>
  <c r="CQ105" i="5"/>
  <c r="CW105" i="5"/>
  <c r="CR105" i="5"/>
  <c r="CV105" i="5"/>
  <c r="CT105" i="5"/>
  <c r="CU105" i="5"/>
  <c r="CS105" i="5"/>
  <c r="AY105" i="5" a="1"/>
  <c r="AY105" i="5" s="1"/>
  <c r="BL105" i="5" a="1"/>
  <c r="BL105" i="5" s="1"/>
  <c r="BE105" i="5" a="1"/>
  <c r="BE105" i="5" s="1"/>
  <c r="BK105" i="5" a="1"/>
  <c r="BK105" i="5" s="1"/>
  <c r="BC105" i="5" a="1"/>
  <c r="BC105" i="5" s="1"/>
  <c r="BM105" i="5" a="1"/>
  <c r="BM105" i="5" s="1"/>
  <c r="BH105" i="5" a="1"/>
  <c r="BH105" i="5" s="1"/>
  <c r="BA105" i="5" a="1"/>
  <c r="BA105" i="5" s="1"/>
  <c r="BQ105" i="5" a="1"/>
  <c r="BQ105" i="5" s="1"/>
  <c r="BN105" i="5" a="1"/>
  <c r="BN105" i="5" s="1"/>
  <c r="BF105" i="5" a="1"/>
  <c r="BF105" i="5" s="1"/>
  <c r="AE104" i="1" s="1"/>
  <c r="AZ105" i="5" a="1"/>
  <c r="AZ105" i="5" s="1"/>
  <c r="BB105" i="5" a="1"/>
  <c r="BB105" i="5" s="1"/>
  <c r="BJ105" i="5" a="1"/>
  <c r="BJ105" i="5" s="1"/>
  <c r="BG105" i="5" a="1"/>
  <c r="BG105" i="5" s="1"/>
  <c r="CS98" i="8"/>
  <c r="V103" i="2"/>
  <c r="CI100" i="8"/>
  <c r="DA100" i="8" s="1"/>
  <c r="CY98" i="8"/>
  <c r="F108" i="8"/>
  <c r="BP104" i="5" a="1"/>
  <c r="BP104" i="5" s="1"/>
  <c r="J104" i="2" s="1"/>
  <c r="O109" i="1"/>
  <c r="BX100" i="8"/>
  <c r="CE100" i="8" s="1"/>
  <c r="CX100" i="8" s="1"/>
  <c r="BT100" i="8"/>
  <c r="BO100" i="8"/>
  <c r="BP100" i="8"/>
  <c r="BM100" i="8"/>
  <c r="BN100" i="8"/>
  <c r="BK100" i="8"/>
  <c r="BL100" i="8"/>
  <c r="BJ100" i="8"/>
  <c r="AC100" i="10"/>
  <c r="X100" i="10" s="1"/>
  <c r="AS104" i="5"/>
  <c r="AK104" i="11"/>
  <c r="DB103" i="5"/>
  <c r="DE103" i="5"/>
  <c r="AH104" i="11"/>
  <c r="AJ104" i="1"/>
  <c r="DH103" i="5"/>
  <c r="K106" i="11"/>
  <c r="A106" i="14"/>
  <c r="CA106" i="14" s="1"/>
  <c r="A106" i="5"/>
  <c r="A106" i="7"/>
  <c r="R106" i="7" s="1"/>
  <c r="A106" i="8"/>
  <c r="A106" i="9"/>
  <c r="A106" i="2"/>
  <c r="Y102" i="1"/>
  <c r="DJ103" i="5"/>
  <c r="AU105" i="8"/>
  <c r="AE105" i="8"/>
  <c r="W102" i="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CC100" i="8"/>
  <c r="D101" i="9"/>
  <c r="N100" i="7"/>
  <c r="Y99" i="11"/>
  <c r="AH99" i="1" s="1"/>
  <c r="Z99" i="11"/>
  <c r="CA100" i="8"/>
  <c r="AC99" i="11"/>
  <c r="U99" i="8" s="1"/>
  <c r="AB99" i="11"/>
  <c r="Q99" i="8" s="1"/>
  <c r="AD99" i="11"/>
  <c r="AI99" i="1" s="1"/>
  <c r="BZ100" i="8"/>
  <c r="CR100" i="8" s="1"/>
  <c r="CB100" i="8"/>
  <c r="CT100" i="8" s="1"/>
  <c r="BY100" i="8"/>
  <c r="CQ100" i="8" s="1"/>
  <c r="B100" i="14"/>
  <c r="F102" i="5"/>
  <c r="BZ105" i="11"/>
  <c r="K104" i="10"/>
  <c r="AA104" i="7"/>
  <c r="AF104" i="8" s="1"/>
  <c r="AV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CD99" i="8"/>
  <c r="CU99" i="8"/>
  <c r="DH101" i="8"/>
  <c r="DI101" i="8" s="1"/>
  <c r="CK101" i="8"/>
  <c r="BW101" i="8"/>
  <c r="AC101" i="1" s="1"/>
  <c r="BI101" i="8"/>
  <c r="BH101" i="8"/>
  <c r="BU101" i="8" s="1"/>
  <c r="AH112" i="9"/>
  <c r="B101" i="7"/>
  <c r="AI101" i="5"/>
  <c r="A101" i="10"/>
  <c r="AA101" i="10" s="1"/>
  <c r="E101" i="1"/>
  <c r="BT101" i="5"/>
  <c r="X101" i="8"/>
  <c r="DD101" i="8" s="1"/>
  <c r="AC101" i="8"/>
  <c r="BQ101" i="8" s="1"/>
  <c r="AJ101" i="5"/>
  <c r="AP101" i="5" s="1"/>
  <c r="A101" i="11"/>
  <c r="B101" i="9"/>
  <c r="Y101" i="9" s="1"/>
  <c r="CZ103" i="5"/>
  <c r="DB99" i="8"/>
  <c r="B99" i="14"/>
  <c r="AQ99" i="5"/>
  <c r="DA102" i="5"/>
  <c r="DG102" i="5" s="1" a="1"/>
  <c r="DG102" i="5" s="1"/>
  <c r="AB103" i="1"/>
  <c r="DI103" i="5"/>
  <c r="AG112" i="9"/>
  <c r="AK112" i="9"/>
  <c r="N88" i="1"/>
  <c r="S105" i="2"/>
  <c r="N106" i="2"/>
  <c r="R106" i="2"/>
  <c r="Q105" i="2"/>
  <c r="P107" i="2"/>
  <c r="J107" i="10"/>
  <c r="N107" i="5" s="1"/>
  <c r="AN113" i="9" l="1"/>
  <c r="BK114" i="11" s="1"/>
  <c r="AI114" i="11" s="1"/>
  <c r="CV100" i="8"/>
  <c r="CW100" i="8" s="1"/>
  <c r="AS100" i="8"/>
  <c r="AQ128" i="9"/>
  <c r="CM128" i="8" s="1"/>
  <c r="AO101" i="5"/>
  <c r="AM101" i="5"/>
  <c r="AN101" i="5"/>
  <c r="AR101" i="5" s="1"/>
  <c r="AV102" i="5"/>
  <c r="AW102" i="5"/>
  <c r="AI100" i="7"/>
  <c r="CL102" i="8"/>
  <c r="DB100" i="8"/>
  <c r="AI124" i="9"/>
  <c r="AO124" i="8" s="1"/>
  <c r="G107" i="8"/>
  <c r="CF106" i="8"/>
  <c r="O106" i="2"/>
  <c r="BM106" i="5" a="1"/>
  <c r="BM106" i="5" s="1"/>
  <c r="BC106" i="5" a="1"/>
  <c r="BC106" i="5" s="1"/>
  <c r="AM113" i="9"/>
  <c r="K113" i="8" s="1"/>
  <c r="BR101" i="8"/>
  <c r="BS101" i="8"/>
  <c r="AD104" i="1"/>
  <c r="CR106" i="5"/>
  <c r="CQ106" i="5"/>
  <c r="CV106" i="5"/>
  <c r="CU106" i="5"/>
  <c r="CT106" i="5"/>
  <c r="CW106" i="5"/>
  <c r="CS106" i="5"/>
  <c r="BL106" i="5" a="1"/>
  <c r="BL106" i="5" s="1"/>
  <c r="AY106" i="5" a="1"/>
  <c r="AY106" i="5" s="1"/>
  <c r="BH106" i="5" a="1"/>
  <c r="BH106" i="5" s="1"/>
  <c r="BK106" i="5" a="1"/>
  <c r="BK106" i="5" s="1"/>
  <c r="BE106" i="5" a="1"/>
  <c r="BE106" i="5" s="1"/>
  <c r="BG106" i="5" a="1"/>
  <c r="BG106" i="5" s="1"/>
  <c r="BJ106" i="5" a="1"/>
  <c r="BJ106" i="5" s="1"/>
  <c r="BB106" i="5" a="1"/>
  <c r="BB106" i="5" s="1"/>
  <c r="AZ106" i="5" a="1"/>
  <c r="AZ106" i="5" s="1"/>
  <c r="BO106" i="5" a="1"/>
  <c r="BO106" i="5" s="1"/>
  <c r="BF106" i="5" a="1"/>
  <c r="BF106" i="5" s="1"/>
  <c r="AE105" i="1" s="1"/>
  <c r="BN106" i="5" a="1"/>
  <c r="BN106" i="5" s="1"/>
  <c r="BQ106" i="5" a="1"/>
  <c r="BQ106" i="5" s="1"/>
  <c r="BD106" i="5" a="1"/>
  <c r="BD106" i="5" s="1"/>
  <c r="BA106" i="5" a="1"/>
  <c r="BA106" i="5" s="1"/>
  <c r="BI106" i="5" a="1"/>
  <c r="BI106" i="5" s="1"/>
  <c r="V104" i="2"/>
  <c r="CY99" i="8"/>
  <c r="F109" i="8"/>
  <c r="CU100" i="8"/>
  <c r="BP105" i="5" a="1"/>
  <c r="BP105" i="5" s="1"/>
  <c r="J105" i="2" s="1"/>
  <c r="O110" i="1"/>
  <c r="CD100" i="8"/>
  <c r="BT101" i="8"/>
  <c r="BO101" i="8"/>
  <c r="BP101" i="8"/>
  <c r="BM101" i="8"/>
  <c r="BN101" i="8"/>
  <c r="BK101" i="8"/>
  <c r="BL101" i="8"/>
  <c r="BJ101" i="8"/>
  <c r="AC101" i="10"/>
  <c r="X101" i="10" s="1"/>
  <c r="AS105" i="5"/>
  <c r="BW102" i="8"/>
  <c r="DF104" i="5"/>
  <c r="DE104" i="5"/>
  <c r="AK105" i="11"/>
  <c r="AJ105" i="1"/>
  <c r="DB104" i="5"/>
  <c r="AF103" i="1"/>
  <c r="DH104" i="5"/>
  <c r="AU106" i="8"/>
  <c r="AE106" i="8"/>
  <c r="W103" i="1"/>
  <c r="Y103" i="1"/>
  <c r="DJ104" i="5"/>
  <c r="K107" i="11"/>
  <c r="A107" i="14"/>
  <c r="CA107" i="14" s="1"/>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BH102" i="8"/>
  <c r="BU102" i="8" s="1"/>
  <c r="A102" i="11"/>
  <c r="Y101" i="11" s="1"/>
  <c r="AH101" i="1" s="1"/>
  <c r="CS99" i="8"/>
  <c r="BT102" i="5"/>
  <c r="AI102" i="5"/>
  <c r="B102" i="7"/>
  <c r="AE102" i="7" s="1"/>
  <c r="AF102" i="7" s="1"/>
  <c r="A102" i="10"/>
  <c r="AA102" i="10" s="1"/>
  <c r="DH102" i="8"/>
  <c r="DI102" i="8" s="1"/>
  <c r="AC102" i="8"/>
  <c r="BQ102" i="8" s="1"/>
  <c r="B102" i="9"/>
  <c r="Y102" i="9" s="1"/>
  <c r="CK102" i="8"/>
  <c r="X102" i="8"/>
  <c r="DD102" i="8" s="1"/>
  <c r="AJ102" i="5"/>
  <c r="AP102" i="5" s="1"/>
  <c r="E102" i="1"/>
  <c r="BI102" i="8"/>
  <c r="B104" i="5"/>
  <c r="B104" i="1"/>
  <c r="BG104" i="1" s="1"/>
  <c r="AH104" i="5"/>
  <c r="BU104" i="5"/>
  <c r="B104" i="2"/>
  <c r="BZ106" i="11"/>
  <c r="K105" i="10"/>
  <c r="AA105" i="7"/>
  <c r="AF105" i="8" s="1"/>
  <c r="AV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D102" i="9"/>
  <c r="CI101" i="8"/>
  <c r="DA101" i="8" s="1"/>
  <c r="BX101" i="8"/>
  <c r="CD101" i="8" s="1"/>
  <c r="N101" i="7"/>
  <c r="AH113" i="9"/>
  <c r="AE101" i="7"/>
  <c r="AF101" i="7" s="1"/>
  <c r="Q101" i="7"/>
  <c r="CC101" i="8"/>
  <c r="BY101" i="8"/>
  <c r="CQ101" i="8" s="1"/>
  <c r="CA101" i="8"/>
  <c r="CH101" i="8"/>
  <c r="CZ101" i="8" s="1"/>
  <c r="CB101" i="8"/>
  <c r="CT101" i="8" s="1"/>
  <c r="BZ101" i="8"/>
  <c r="CR101" i="8" s="1"/>
  <c r="Y100" i="11"/>
  <c r="AH100" i="1" s="1"/>
  <c r="AB100" i="11"/>
  <c r="Q100" i="8" s="1"/>
  <c r="N101" i="11"/>
  <c r="Z100" i="11"/>
  <c r="AC100" i="11"/>
  <c r="U100" i="8" s="1"/>
  <c r="AD100" i="11"/>
  <c r="AI100" i="1" s="1"/>
  <c r="AA100" i="11"/>
  <c r="AK100" i="1" s="1"/>
  <c r="C103" i="5"/>
  <c r="F103" i="5" s="1"/>
  <c r="CZ104" i="5"/>
  <c r="AB104" i="1"/>
  <c r="DI104" i="5"/>
  <c r="C104" i="5"/>
  <c r="DA103" i="5"/>
  <c r="DG103" i="5" s="1" a="1"/>
  <c r="DG103" i="5" s="1"/>
  <c r="AG113" i="9"/>
  <c r="AK113" i="9"/>
  <c r="N89" i="1"/>
  <c r="S106" i="2"/>
  <c r="N107" i="2"/>
  <c r="R107" i="2"/>
  <c r="Q106" i="2"/>
  <c r="J108" i="10"/>
  <c r="N108" i="5" s="1"/>
  <c r="P108" i="2"/>
  <c r="AN114" i="9" l="1"/>
  <c r="BK115" i="11" s="1"/>
  <c r="AI115" i="11" s="1"/>
  <c r="CV101" i="8"/>
  <c r="CW101" i="8" s="1"/>
  <c r="AS101" i="8"/>
  <c r="AQ129" i="9"/>
  <c r="CM129" i="8" s="1"/>
  <c r="AO102" i="5"/>
  <c r="AM102" i="5"/>
  <c r="AN102" i="5"/>
  <c r="AR102" i="5" s="1"/>
  <c r="AV103" i="5"/>
  <c r="AW103" i="5"/>
  <c r="AG102" i="7"/>
  <c r="AG101" i="7"/>
  <c r="AI101" i="7" s="1"/>
  <c r="CL103" i="8"/>
  <c r="CA102" i="8"/>
  <c r="AC102" i="1"/>
  <c r="AI125" i="9"/>
  <c r="AO125" i="8" s="1"/>
  <c r="BG107" i="5" a="1"/>
  <c r="BG107" i="5" s="1"/>
  <c r="G108" i="8"/>
  <c r="CF107" i="8"/>
  <c r="O107" i="2"/>
  <c r="BI107" i="5" a="1"/>
  <c r="BI107" i="5" s="1"/>
  <c r="BC107" i="5" a="1"/>
  <c r="BC107" i="5" s="1"/>
  <c r="BM107" i="5" a="1"/>
  <c r="BM107" i="5" s="1"/>
  <c r="AM114" i="9"/>
  <c r="K114" i="8" s="1"/>
  <c r="BR102" i="8"/>
  <c r="BS102" i="8"/>
  <c r="AD105" i="1"/>
  <c r="BE107" i="5" a="1"/>
  <c r="BE107" i="5" s="1"/>
  <c r="BK107" i="5" a="1"/>
  <c r="BK107" i="5" s="1"/>
  <c r="BH107" i="5" a="1"/>
  <c r="BH107" i="5" s="1"/>
  <c r="BA107" i="5" a="1"/>
  <c r="BA107" i="5" s="1"/>
  <c r="BD107" i="5" a="1"/>
  <c r="BD107" i="5" s="1"/>
  <c r="BQ107" i="5" a="1"/>
  <c r="BQ107" i="5" s="1"/>
  <c r="CR107" i="5"/>
  <c r="CU107" i="5"/>
  <c r="CS107" i="5"/>
  <c r="CQ107" i="5"/>
  <c r="CT107" i="5"/>
  <c r="CV107" i="5"/>
  <c r="CW107" i="5"/>
  <c r="AY107" i="5" a="1"/>
  <c r="AY107" i="5" s="1"/>
  <c r="BL107" i="5" a="1"/>
  <c r="BL107" i="5" s="1"/>
  <c r="BN107" i="5" a="1"/>
  <c r="BN107" i="5" s="1"/>
  <c r="BF107" i="5" a="1"/>
  <c r="BF107" i="5" s="1"/>
  <c r="AE106" i="1" s="1"/>
  <c r="BO107" i="5" a="1"/>
  <c r="BO107" i="5" s="1"/>
  <c r="AZ107" i="5" a="1"/>
  <c r="AZ107" i="5" s="1"/>
  <c r="BB107" i="5" a="1"/>
  <c r="BB107" i="5" s="1"/>
  <c r="BJ107" i="5" a="1"/>
  <c r="BJ107" i="5" s="1"/>
  <c r="V105" i="2"/>
  <c r="CS100" i="8"/>
  <c r="CY100" i="8"/>
  <c r="F110" i="8"/>
  <c r="BP106" i="5" a="1"/>
  <c r="BP106" i="5" s="1"/>
  <c r="J106" i="2" s="1"/>
  <c r="O111" i="1"/>
  <c r="BX102" i="8"/>
  <c r="CE102" i="8" s="1"/>
  <c r="CX102" i="8" s="1"/>
  <c r="BT102" i="8"/>
  <c r="BO102" i="8"/>
  <c r="BP102" i="8"/>
  <c r="BM102" i="8"/>
  <c r="BN102" i="8"/>
  <c r="BK102" i="8"/>
  <c r="BL102" i="8"/>
  <c r="BJ102" i="8"/>
  <c r="AC102" i="10"/>
  <c r="X102" i="10" s="1"/>
  <c r="AS106" i="5"/>
  <c r="CH102" i="8"/>
  <c r="CZ102" i="8" s="1"/>
  <c r="CC102" i="8"/>
  <c r="BZ102" i="8"/>
  <c r="CR102" i="8" s="1"/>
  <c r="CB102" i="8"/>
  <c r="CT102" i="8" s="1"/>
  <c r="BY102" i="8"/>
  <c r="CQ102" i="8" s="1"/>
  <c r="AK106" i="11"/>
  <c r="AJ106" i="1"/>
  <c r="DF105" i="5"/>
  <c r="DB105" i="5"/>
  <c r="AU107" i="8"/>
  <c r="AE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CA108" i="14" s="1"/>
  <c r="A108" i="7"/>
  <c r="R108" i="7" s="1"/>
  <c r="A108" i="8"/>
  <c r="A108" i="2"/>
  <c r="A108" i="5"/>
  <c r="A108" i="9"/>
  <c r="DH105" i="5"/>
  <c r="Y104" i="1"/>
  <c r="DJ105" i="5"/>
  <c r="AF104" i="1"/>
  <c r="W104" i="1"/>
  <c r="AD101" i="11"/>
  <c r="AI101" i="1" s="1"/>
  <c r="Z101" i="11"/>
  <c r="N102" i="11"/>
  <c r="AB101" i="11"/>
  <c r="Q101" i="8" s="1"/>
  <c r="AC101" i="11"/>
  <c r="U101" i="8" s="1"/>
  <c r="AA101" i="11"/>
  <c r="AK101" i="1" s="1"/>
  <c r="F104" i="5"/>
  <c r="B102" i="14"/>
  <c r="Q102" i="7"/>
  <c r="D103" i="9"/>
  <c r="N102" i="7"/>
  <c r="CI102" i="8"/>
  <c r="DA102" i="8" s="1"/>
  <c r="B105" i="5"/>
  <c r="BZ107" i="11"/>
  <c r="K106" i="10"/>
  <c r="AA106" i="7"/>
  <c r="AF106" i="8" s="1"/>
  <c r="AV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U101" i="8"/>
  <c r="DB101" i="8"/>
  <c r="DH103" i="8"/>
  <c r="DI103" i="8" s="1"/>
  <c r="CK103" i="8"/>
  <c r="BW103" i="8"/>
  <c r="AC103" i="1" s="1"/>
  <c r="BI103" i="8"/>
  <c r="CE101" i="8"/>
  <c r="AJ103" i="5"/>
  <c r="AP103" i="5" s="1"/>
  <c r="BH103" i="8"/>
  <c r="BU103" i="8" s="1"/>
  <c r="AH114" i="9"/>
  <c r="B101" i="14"/>
  <c r="AQ101" i="5"/>
  <c r="X103" i="8"/>
  <c r="DD103" i="8" s="1"/>
  <c r="E103" i="1"/>
  <c r="B103" i="9"/>
  <c r="Y103" i="9" s="1"/>
  <c r="AI103" i="5"/>
  <c r="A103" i="11"/>
  <c r="AC103" i="8"/>
  <c r="BQ103" i="8" s="1"/>
  <c r="BT103" i="5"/>
  <c r="A103" i="10"/>
  <c r="AA103" i="10" s="1"/>
  <c r="B103" i="7"/>
  <c r="CZ105" i="5"/>
  <c r="C105" i="5"/>
  <c r="DA104" i="5"/>
  <c r="DG104" i="5" s="1" a="1"/>
  <c r="DG104" i="5" s="1"/>
  <c r="AB105" i="1"/>
  <c r="DI105" i="5"/>
  <c r="AG114" i="9"/>
  <c r="AK114" i="9"/>
  <c r="N90" i="1"/>
  <c r="S107" i="2"/>
  <c r="N108" i="2"/>
  <c r="R108" i="2"/>
  <c r="Q107" i="2"/>
  <c r="J109" i="10"/>
  <c r="N109" i="5" s="1"/>
  <c r="P109" i="2"/>
  <c r="AN115" i="9" l="1"/>
  <c r="BK116" i="11" s="1"/>
  <c r="AI116" i="11" s="1"/>
  <c r="CX101" i="8"/>
  <c r="CY101" i="8" s="1"/>
  <c r="CV102" i="8"/>
  <c r="CW102" i="8" s="1"/>
  <c r="AS102" i="8"/>
  <c r="AQ130" i="9"/>
  <c r="CM130" i="8" s="1"/>
  <c r="AO103" i="5"/>
  <c r="AM103" i="5"/>
  <c r="AN103" i="5"/>
  <c r="AR103" i="5" s="1"/>
  <c r="AI102" i="7"/>
  <c r="AV104" i="5"/>
  <c r="AW104" i="5"/>
  <c r="CL104" i="8"/>
  <c r="AI126" i="9"/>
  <c r="AO126" i="8" s="1"/>
  <c r="G109" i="8"/>
  <c r="CF108" i="8"/>
  <c r="O108" i="2"/>
  <c r="AM115" i="9"/>
  <c r="K115" i="8" s="1"/>
  <c r="BR103" i="8"/>
  <c r="BS103" i="8"/>
  <c r="AD106" i="1"/>
  <c r="CT108" i="5"/>
  <c r="CU108" i="5"/>
  <c r="CW108" i="5"/>
  <c r="CQ108" i="5"/>
  <c r="CS108" i="5"/>
  <c r="CV108" i="5"/>
  <c r="CR108" i="5"/>
  <c r="AY108" i="5" a="1"/>
  <c r="AY108" i="5" s="1"/>
  <c r="BL108" i="5" a="1"/>
  <c r="BL108" i="5" s="1"/>
  <c r="BJ108" i="5" a="1"/>
  <c r="BJ108" i="5" s="1"/>
  <c r="BQ108" i="5" a="1"/>
  <c r="BQ108" i="5" s="1"/>
  <c r="BB108" i="5" a="1"/>
  <c r="BB108" i="5" s="1"/>
  <c r="BD108" i="5" a="1"/>
  <c r="BD108" i="5" s="1"/>
  <c r="AZ108" i="5" a="1"/>
  <c r="AZ108" i="5" s="1"/>
  <c r="BM108" i="5" a="1"/>
  <c r="BM108" i="5" s="1"/>
  <c r="BA108" i="5" a="1"/>
  <c r="BA108" i="5" s="1"/>
  <c r="BO108" i="5" a="1"/>
  <c r="BO108" i="5" s="1"/>
  <c r="BH108" i="5" a="1"/>
  <c r="BH108" i="5" s="1"/>
  <c r="BF108" i="5" a="1"/>
  <c r="BF108" i="5" s="1"/>
  <c r="AE107" i="1" s="1"/>
  <c r="BI108" i="5" a="1"/>
  <c r="BI108" i="5" s="1"/>
  <c r="BN108" i="5" a="1"/>
  <c r="BN108" i="5" s="1"/>
  <c r="BG108" i="5" a="1"/>
  <c r="BG108" i="5" s="1"/>
  <c r="BK108" i="5" a="1"/>
  <c r="BK108" i="5" s="1"/>
  <c r="BE108" i="5" a="1"/>
  <c r="BE108" i="5" s="1"/>
  <c r="BC108" i="5" a="1"/>
  <c r="BC108" i="5" s="1"/>
  <c r="V106" i="2"/>
  <c r="CU102" i="8"/>
  <c r="F111" i="8"/>
  <c r="BP107" i="5" a="1"/>
  <c r="BP107" i="5" s="1"/>
  <c r="J107" i="2" s="1"/>
  <c r="DH104" i="8"/>
  <c r="DI104" i="8" s="1"/>
  <c r="O112" i="1"/>
  <c r="CD102" i="8"/>
  <c r="BX103" i="8"/>
  <c r="CD103" i="8" s="1"/>
  <c r="BT103" i="8"/>
  <c r="BO103" i="8"/>
  <c r="BP103" i="8"/>
  <c r="BM103" i="8"/>
  <c r="BN103" i="8"/>
  <c r="BK103" i="8"/>
  <c r="BL103" i="8"/>
  <c r="BJ103" i="8"/>
  <c r="AC103" i="10"/>
  <c r="X103" i="10" s="1"/>
  <c r="AS107" i="5"/>
  <c r="DB102" i="8"/>
  <c r="AK107" i="11"/>
  <c r="DE106" i="5"/>
  <c r="DB106" i="5"/>
  <c r="DF106" i="5"/>
  <c r="AM107" i="1"/>
  <c r="Y105" i="1"/>
  <c r="DJ106" i="5"/>
  <c r="W105" i="1"/>
  <c r="AU108" i="8"/>
  <c r="AE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CA109" i="14" s="1"/>
  <c r="A109" i="9"/>
  <c r="A109" i="8"/>
  <c r="A109" i="5"/>
  <c r="A109" i="7"/>
  <c r="R109" i="7" s="1"/>
  <c r="A109" i="2"/>
  <c r="DH106" i="5"/>
  <c r="AJ107" i="1"/>
  <c r="B104" i="7"/>
  <c r="Q104" i="7" s="1"/>
  <c r="AJ104" i="5"/>
  <c r="AP104" i="5" s="1"/>
  <c r="BT104" i="5"/>
  <c r="AI104" i="5"/>
  <c r="CK104" i="8"/>
  <c r="X104" i="8"/>
  <c r="DD104" i="8" s="1"/>
  <c r="A104" i="10"/>
  <c r="AA104" i="10" s="1"/>
  <c r="BI104" i="8"/>
  <c r="B104" i="9"/>
  <c r="Y104" i="9" s="1"/>
  <c r="AC104" i="8"/>
  <c r="BQ104" i="8" s="1"/>
  <c r="BH104" i="8"/>
  <c r="BU104" i="8" s="1"/>
  <c r="BW104" i="8"/>
  <c r="E104" i="1"/>
  <c r="A104" i="11"/>
  <c r="N104" i="11" s="1"/>
  <c r="AQ102" i="5"/>
  <c r="F105" i="5"/>
  <c r="CS101" i="8"/>
  <c r="B106" i="5"/>
  <c r="B106" i="2"/>
  <c r="B106" i="1"/>
  <c r="BG106" i="1" s="1"/>
  <c r="AH106" i="5"/>
  <c r="BU106" i="5"/>
  <c r="BZ108" i="11"/>
  <c r="K107" i="10"/>
  <c r="AA107" i="7"/>
  <c r="AF107" i="8" s="1"/>
  <c r="AV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D104" i="9"/>
  <c r="N103" i="7"/>
  <c r="AH115" i="9"/>
  <c r="AE103" i="7"/>
  <c r="AF103" i="7" s="1"/>
  <c r="Q103" i="7"/>
  <c r="CH103" i="8"/>
  <c r="CZ103" i="8" s="1"/>
  <c r="CA103" i="8"/>
  <c r="CB103" i="8"/>
  <c r="CT103" i="8" s="1"/>
  <c r="BZ103" i="8"/>
  <c r="CR103" i="8" s="1"/>
  <c r="CC103" i="8"/>
  <c r="BY103" i="8"/>
  <c r="CQ103" i="8" s="1"/>
  <c r="AD102" i="11"/>
  <c r="AI102" i="1" s="1"/>
  <c r="Z102" i="11"/>
  <c r="AB102" i="11"/>
  <c r="Q102" i="8" s="1"/>
  <c r="AA102" i="11"/>
  <c r="AK102" i="1" s="1"/>
  <c r="Y102" i="11"/>
  <c r="AH102" i="1" s="1"/>
  <c r="N103" i="11"/>
  <c r="AC102" i="11"/>
  <c r="U102" i="8" s="1"/>
  <c r="CI103" i="8"/>
  <c r="DA103" i="8" s="1"/>
  <c r="CZ106" i="5"/>
  <c r="AB106" i="1"/>
  <c r="DI106" i="5"/>
  <c r="C106" i="5"/>
  <c r="DA105" i="5"/>
  <c r="DG105" i="5" s="1" a="1"/>
  <c r="DG105" i="5" s="1"/>
  <c r="AG115" i="9"/>
  <c r="AK115" i="9"/>
  <c r="N91" i="1"/>
  <c r="S108" i="2"/>
  <c r="N109" i="2"/>
  <c r="R109" i="2"/>
  <c r="Q108" i="2"/>
  <c r="P110" i="2"/>
  <c r="J110" i="10"/>
  <c r="N110" i="5" s="1"/>
  <c r="AN116" i="9" l="1"/>
  <c r="BK117" i="11" s="1"/>
  <c r="AI117" i="11" s="1"/>
  <c r="CV103" i="8"/>
  <c r="CW103" i="8" s="1"/>
  <c r="AS103" i="8"/>
  <c r="AQ131" i="9"/>
  <c r="CM131" i="8" s="1"/>
  <c r="AO104" i="5"/>
  <c r="AM104" i="5"/>
  <c r="AN104" i="5"/>
  <c r="AR104" i="5" s="1"/>
  <c r="AV105" i="5"/>
  <c r="AW105" i="5"/>
  <c r="AG103" i="7"/>
  <c r="AI103" i="7" s="1"/>
  <c r="CL105" i="8"/>
  <c r="CB104" i="8"/>
  <c r="CT104" i="8" s="1"/>
  <c r="AC104" i="1"/>
  <c r="AI127" i="9"/>
  <c r="AO127" i="8" s="1"/>
  <c r="BH109" i="5" a="1"/>
  <c r="BH109" i="5" s="1"/>
  <c r="BJ109" i="5" a="1"/>
  <c r="BJ109" i="5" s="1"/>
  <c r="G110" i="8"/>
  <c r="CF109" i="8"/>
  <c r="O109" i="2"/>
  <c r="BC109" i="5" a="1"/>
  <c r="BC109" i="5" s="1"/>
  <c r="BD109" i="5" a="1"/>
  <c r="BD109" i="5" s="1"/>
  <c r="BA109" i="5" a="1"/>
  <c r="BA109" i="5" s="1"/>
  <c r="BM109" i="5" a="1"/>
  <c r="BM109" i="5" s="1"/>
  <c r="AM116" i="9"/>
  <c r="K116" i="8" s="1"/>
  <c r="BR104" i="8"/>
  <c r="BS104" i="8"/>
  <c r="AD107" i="1"/>
  <c r="AZ109" i="5" a="1"/>
  <c r="AZ109" i="5" s="1"/>
  <c r="BB109" i="5" a="1"/>
  <c r="BB109" i="5" s="1"/>
  <c r="BQ109" i="5" a="1"/>
  <c r="BQ109" i="5" s="1"/>
  <c r="BE109" i="5" a="1"/>
  <c r="BE109" i="5" s="1"/>
  <c r="CV109" i="5"/>
  <c r="CU109" i="5"/>
  <c r="CS109" i="5"/>
  <c r="CW109" i="5"/>
  <c r="CT109" i="5"/>
  <c r="CR109" i="5"/>
  <c r="CQ109" i="5"/>
  <c r="AY109" i="5" a="1"/>
  <c r="AY109" i="5" s="1"/>
  <c r="BL109" i="5" a="1"/>
  <c r="BL109" i="5" s="1"/>
  <c r="BK109" i="5" a="1"/>
  <c r="BK109" i="5" s="1"/>
  <c r="BG109" i="5" a="1"/>
  <c r="BG109" i="5" s="1"/>
  <c r="BN109" i="5" a="1"/>
  <c r="BN109" i="5" s="1"/>
  <c r="BI109" i="5" a="1"/>
  <c r="BI109" i="5" s="1"/>
  <c r="BF109" i="5" a="1"/>
  <c r="BF109" i="5" s="1"/>
  <c r="AE108" i="1" s="1"/>
  <c r="BO109" i="5" a="1"/>
  <c r="BO109" i="5" s="1"/>
  <c r="V107" i="2"/>
  <c r="CI104" i="8"/>
  <c r="DA104" i="8" s="1"/>
  <c r="CS102" i="8"/>
  <c r="CY102" i="8"/>
  <c r="F112" i="8"/>
  <c r="BP108" i="5" a="1"/>
  <c r="BP108" i="5" s="1"/>
  <c r="J108" i="2" s="1"/>
  <c r="O113" i="1"/>
  <c r="CE103" i="8"/>
  <c r="BX104" i="8"/>
  <c r="CD104" i="8" s="1"/>
  <c r="BT104" i="8"/>
  <c r="BO104" i="8"/>
  <c r="BP104" i="8"/>
  <c r="BM104" i="8"/>
  <c r="BN104" i="8"/>
  <c r="BK104" i="8"/>
  <c r="BL104" i="8"/>
  <c r="BJ104" i="8"/>
  <c r="AC104" i="10"/>
  <c r="X104" i="10" s="1"/>
  <c r="AS108" i="5"/>
  <c r="AK108" i="11"/>
  <c r="CK105" i="8"/>
  <c r="DF107" i="5"/>
  <c r="AH108" i="11"/>
  <c r="DB107" i="5"/>
  <c r="DE107" i="5"/>
  <c r="W106" i="1"/>
  <c r="K110" i="11"/>
  <c r="A110" i="14"/>
  <c r="CA110" i="14" s="1"/>
  <c r="A110" i="5"/>
  <c r="A110" i="9"/>
  <c r="A110" i="2"/>
  <c r="A110" i="8"/>
  <c r="A110" i="7"/>
  <c r="R110" i="7" s="1"/>
  <c r="AE109" i="8"/>
  <c r="AU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BT105" i="5"/>
  <c r="AE104" i="7"/>
  <c r="AF104" i="7" s="1"/>
  <c r="CH104" i="8"/>
  <c r="CZ104" i="8" s="1"/>
  <c r="D105" i="9"/>
  <c r="N104" i="7"/>
  <c r="AC105" i="8"/>
  <c r="BQ105" i="8" s="1"/>
  <c r="X105" i="8"/>
  <c r="DD105" i="8" s="1"/>
  <c r="AI105" i="5"/>
  <c r="B105" i="9"/>
  <c r="Y105" i="9" s="1"/>
  <c r="B105" i="7"/>
  <c r="AE105" i="7" s="1"/>
  <c r="AF105" i="7" s="1"/>
  <c r="BY104" i="8"/>
  <c r="CQ104" i="8" s="1"/>
  <c r="BZ104" i="8"/>
  <c r="CR104" i="8" s="1"/>
  <c r="CC104" i="8"/>
  <c r="CA104" i="8"/>
  <c r="AD103" i="11"/>
  <c r="AI103" i="1" s="1"/>
  <c r="AC103" i="11"/>
  <c r="U103" i="8" s="1"/>
  <c r="Y103" i="11"/>
  <c r="AH103" i="1" s="1"/>
  <c r="AA103" i="11"/>
  <c r="AK103" i="1" s="1"/>
  <c r="AB103" i="11"/>
  <c r="Q103" i="8" s="1"/>
  <c r="Z103" i="11"/>
  <c r="E105" i="1"/>
  <c r="A105" i="11"/>
  <c r="AD104" i="11" s="1"/>
  <c r="AI104" i="1" s="1"/>
  <c r="A105" i="10"/>
  <c r="AA105" i="10" s="1"/>
  <c r="AJ105" i="5"/>
  <c r="AP105" i="5" s="1"/>
  <c r="DH105" i="8"/>
  <c r="DI105" i="8" s="1"/>
  <c r="BI105" i="8"/>
  <c r="BW105" i="8"/>
  <c r="BH105" i="8"/>
  <c r="BU105" i="8" s="1"/>
  <c r="B107" i="5"/>
  <c r="B107" i="2"/>
  <c r="B107" i="1"/>
  <c r="BG107" i="1" s="1"/>
  <c r="AH107" i="5"/>
  <c r="BU107" i="5"/>
  <c r="BZ109" i="11"/>
  <c r="AA108" i="7"/>
  <c r="AF108" i="8" s="1"/>
  <c r="AV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U103" i="8"/>
  <c r="AQ103" i="5"/>
  <c r="AH116" i="9"/>
  <c r="DB103" i="8"/>
  <c r="B103" i="14"/>
  <c r="CZ107" i="5"/>
  <c r="C107" i="5"/>
  <c r="DA106" i="5"/>
  <c r="DG106" i="5" s="1" a="1"/>
  <c r="DG106" i="5" s="1"/>
  <c r="AB107" i="1"/>
  <c r="DI107" i="5"/>
  <c r="AG116" i="9"/>
  <c r="AK116" i="9"/>
  <c r="N92" i="1"/>
  <c r="S109" i="2"/>
  <c r="N110" i="2"/>
  <c r="R110" i="2"/>
  <c r="Q109" i="2"/>
  <c r="P111" i="2"/>
  <c r="J111" i="10"/>
  <c r="N111" i="5" s="1"/>
  <c r="AN117" i="9" l="1"/>
  <c r="BK118" i="11" s="1"/>
  <c r="AI118" i="11" s="1"/>
  <c r="CX103" i="8"/>
  <c r="CY103" i="8" s="1"/>
  <c r="CV104" i="8"/>
  <c r="CW104" i="8" s="1"/>
  <c r="AS104" i="8"/>
  <c r="AQ132" i="9"/>
  <c r="CM132" i="8" s="1"/>
  <c r="AO105" i="5"/>
  <c r="AM105" i="5"/>
  <c r="AN105" i="5"/>
  <c r="AR105" i="5" s="1"/>
  <c r="AV106" i="5"/>
  <c r="AW106" i="5"/>
  <c r="AG104" i="7"/>
  <c r="AI104" i="7" s="1"/>
  <c r="AG105" i="7"/>
  <c r="CL106" i="8"/>
  <c r="BY105" i="8"/>
  <c r="CQ105" i="8" s="1"/>
  <c r="AC105" i="1"/>
  <c r="AI128" i="9"/>
  <c r="AO128" i="8" s="1"/>
  <c r="BJ110" i="5" a="1"/>
  <c r="BJ110" i="5" s="1"/>
  <c r="BG110" i="5" a="1"/>
  <c r="BG110" i="5" s="1"/>
  <c r="BF110" i="5" a="1"/>
  <c r="BF110" i="5" s="1"/>
  <c r="AE109" i="1" s="1"/>
  <c r="G111" i="8"/>
  <c r="CF110" i="8"/>
  <c r="O110" i="2"/>
  <c r="BK110" i="5" a="1"/>
  <c r="BK110" i="5" s="1"/>
  <c r="BH110" i="5" a="1"/>
  <c r="BH110" i="5" s="1"/>
  <c r="BE110" i="5" a="1"/>
  <c r="BE110" i="5" s="1"/>
  <c r="BC110" i="5" a="1"/>
  <c r="BC110" i="5" s="1"/>
  <c r="BO110" i="5" a="1"/>
  <c r="BO110" i="5" s="1"/>
  <c r="BI110" i="5" a="1"/>
  <c r="BI110" i="5" s="1"/>
  <c r="AM117" i="9"/>
  <c r="K117" i="8" s="1"/>
  <c r="BR105" i="8"/>
  <c r="BS105" i="8"/>
  <c r="AD108" i="1"/>
  <c r="BN110" i="5" a="1"/>
  <c r="BN110" i="5" s="1"/>
  <c r="BQ110" i="5" a="1"/>
  <c r="BQ110" i="5" s="1"/>
  <c r="BA110" i="5" a="1"/>
  <c r="BA110" i="5" s="1"/>
  <c r="BD110" i="5" a="1"/>
  <c r="BD110" i="5" s="1"/>
  <c r="BB110" i="5" a="1"/>
  <c r="BB110" i="5" s="1"/>
  <c r="CU110" i="5"/>
  <c r="CV110" i="5"/>
  <c r="CT110" i="5"/>
  <c r="CQ110" i="5"/>
  <c r="CS110" i="5"/>
  <c r="CR110" i="5"/>
  <c r="CW110" i="5"/>
  <c r="AY110" i="5" a="1"/>
  <c r="AY110" i="5" s="1"/>
  <c r="BL110" i="5" a="1"/>
  <c r="BL110" i="5" s="1"/>
  <c r="BM110" i="5" a="1"/>
  <c r="BM110" i="5" s="1"/>
  <c r="AZ110" i="5" a="1"/>
  <c r="AZ110" i="5" s="1"/>
  <c r="DB104" i="8"/>
  <c r="V108" i="2"/>
  <c r="F113" i="8"/>
  <c r="CU104" i="8"/>
  <c r="BP109" i="5" a="1"/>
  <c r="BP109" i="5" s="1"/>
  <c r="J109" i="2" s="1"/>
  <c r="A106" i="10"/>
  <c r="AA106" i="10" s="1"/>
  <c r="O114" i="1"/>
  <c r="CE104" i="8"/>
  <c r="BX105" i="8"/>
  <c r="CD105" i="8" s="1"/>
  <c r="BT105" i="8"/>
  <c r="BO105" i="8"/>
  <c r="BP105" i="8"/>
  <c r="BM105" i="8"/>
  <c r="BN105" i="8"/>
  <c r="BK105" i="8"/>
  <c r="BL105" i="8"/>
  <c r="BJ105" i="8"/>
  <c r="AC105" i="10"/>
  <c r="X105" i="10" s="1"/>
  <c r="AS109" i="5"/>
  <c r="AK109" i="11"/>
  <c r="DB108" i="5"/>
  <c r="DF108" i="5"/>
  <c r="AJ109" i="1"/>
  <c r="AM109" i="1"/>
  <c r="W107" i="1"/>
  <c r="DH108" i="5"/>
  <c r="Y107" i="1"/>
  <c r="DJ108" i="5"/>
  <c r="AE110" i="8"/>
  <c r="AU110" i="8"/>
  <c r="AF107" i="1"/>
  <c r="AH109" i="11"/>
  <c r="K111" i="11"/>
  <c r="A111" i="14"/>
  <c r="CA111" i="14" s="1"/>
  <c r="A111" i="5"/>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B106" i="7"/>
  <c r="AE106" i="7" s="1"/>
  <c r="AF106" i="7" s="1"/>
  <c r="E106" i="1"/>
  <c r="AC106" i="8"/>
  <c r="BQ106" i="8" s="1"/>
  <c r="BI106" i="8"/>
  <c r="CK106" i="8"/>
  <c r="AQ104" i="5"/>
  <c r="AA104" i="11"/>
  <c r="AK104" i="1" s="1"/>
  <c r="X106" i="8"/>
  <c r="DD106" i="8" s="1"/>
  <c r="BH106" i="8"/>
  <c r="BU106" i="8" s="1"/>
  <c r="DH106" i="8"/>
  <c r="DI106" i="8" s="1"/>
  <c r="B106" i="9"/>
  <c r="Y106" i="9" s="1"/>
  <c r="BT106" i="5"/>
  <c r="AJ106" i="5"/>
  <c r="AP106" i="5" s="1"/>
  <c r="A106" i="11"/>
  <c r="AA105" i="11" s="1"/>
  <c r="AK105" i="1" s="1"/>
  <c r="AI106" i="5"/>
  <c r="BW106" i="8"/>
  <c r="B104" i="14"/>
  <c r="Y104" i="11"/>
  <c r="AH104" i="1" s="1"/>
  <c r="CI105" i="8"/>
  <c r="DA105" i="8" s="1"/>
  <c r="Q105" i="7"/>
  <c r="B105" i="14"/>
  <c r="N105" i="7"/>
  <c r="CA105" i="8"/>
  <c r="N105" i="11"/>
  <c r="AC104" i="11"/>
  <c r="U104" i="8" s="1"/>
  <c r="BZ105" i="8"/>
  <c r="CR105" i="8" s="1"/>
  <c r="CH105" i="8"/>
  <c r="CZ105" i="8" s="1"/>
  <c r="CB105" i="8"/>
  <c r="CT105" i="8" s="1"/>
  <c r="CC105" i="8"/>
  <c r="F107" i="5"/>
  <c r="Z104" i="11"/>
  <c r="AB104" i="11"/>
  <c r="Q104" i="8" s="1"/>
  <c r="D106" i="9"/>
  <c r="AH108" i="5"/>
  <c r="BU108" i="5"/>
  <c r="B108" i="1"/>
  <c r="BG108" i="1" s="1"/>
  <c r="B108" i="2"/>
  <c r="BZ110" i="11"/>
  <c r="AA109" i="7"/>
  <c r="AF109" i="8" s="1"/>
  <c r="AV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S103" i="8"/>
  <c r="AH117" i="9"/>
  <c r="CZ108" i="5"/>
  <c r="AB108" i="1"/>
  <c r="DI108" i="5"/>
  <c r="C108" i="5"/>
  <c r="DA107" i="5"/>
  <c r="DG107" i="5" s="1" a="1"/>
  <c r="DG107" i="5" s="1"/>
  <c r="AG117" i="9"/>
  <c r="AK117" i="9"/>
  <c r="N93" i="1"/>
  <c r="S110" i="2"/>
  <c r="N111" i="2"/>
  <c r="R111" i="2"/>
  <c r="Q110" i="2"/>
  <c r="J112" i="10"/>
  <c r="N112" i="5" s="1"/>
  <c r="P112" i="2"/>
  <c r="AN118" i="9" l="1"/>
  <c r="BK119" i="11" s="1"/>
  <c r="AI119" i="11" s="1"/>
  <c r="CX104" i="8"/>
  <c r="CY104" i="8" s="1"/>
  <c r="CV105" i="8"/>
  <c r="CW105" i="8" s="1"/>
  <c r="CU105" i="8"/>
  <c r="AS105" i="8"/>
  <c r="AQ133" i="9"/>
  <c r="CM133" i="8" s="1"/>
  <c r="AO106" i="5"/>
  <c r="AM106" i="5"/>
  <c r="AN106" i="5"/>
  <c r="AR106" i="5" s="1"/>
  <c r="AV107" i="5"/>
  <c r="AW107" i="5"/>
  <c r="AI105" i="7"/>
  <c r="AG106" i="7"/>
  <c r="CL107" i="8"/>
  <c r="CC106" i="8"/>
  <c r="AC106" i="1"/>
  <c r="AI129" i="9"/>
  <c r="AO129" i="8" s="1"/>
  <c r="G112" i="8"/>
  <c r="CF111" i="8"/>
  <c r="O111" i="2"/>
  <c r="BK111" i="5" a="1"/>
  <c r="BK111" i="5" s="1"/>
  <c r="BB111" i="5" a="1"/>
  <c r="BB111" i="5" s="1"/>
  <c r="BA111" i="5" a="1"/>
  <c r="BA111" i="5" s="1"/>
  <c r="AM118" i="9"/>
  <c r="K118" i="8" s="1"/>
  <c r="BR106" i="8"/>
  <c r="BS106" i="8"/>
  <c r="AD109" i="1"/>
  <c r="BD111" i="5" a="1"/>
  <c r="BD111" i="5" s="1"/>
  <c r="BQ111" i="5" a="1"/>
  <c r="BQ111" i="5" s="1"/>
  <c r="BG111" i="5" a="1"/>
  <c r="BG111" i="5" s="1"/>
  <c r="AZ111" i="5" a="1"/>
  <c r="AZ111" i="5" s="1"/>
  <c r="CV111" i="5"/>
  <c r="CR111" i="5"/>
  <c r="CU111" i="5"/>
  <c r="CQ111" i="5"/>
  <c r="CT111" i="5"/>
  <c r="CW111" i="5"/>
  <c r="CS111" i="5"/>
  <c r="AY111" i="5" a="1"/>
  <c r="AY111" i="5" s="1"/>
  <c r="BL111" i="5" a="1"/>
  <c r="BL111" i="5" s="1"/>
  <c r="BM111" i="5" a="1"/>
  <c r="BM111" i="5" s="1"/>
  <c r="BN111" i="5" a="1"/>
  <c r="BN111" i="5" s="1"/>
  <c r="BE111" i="5" a="1"/>
  <c r="BE111" i="5" s="1"/>
  <c r="BI111" i="5" a="1"/>
  <c r="BI111" i="5" s="1"/>
  <c r="BC111" i="5" a="1"/>
  <c r="BC111" i="5" s="1"/>
  <c r="BF111" i="5" a="1"/>
  <c r="BF111" i="5" s="1"/>
  <c r="AE110" i="1" s="1"/>
  <c r="BH111" i="5" a="1"/>
  <c r="BH111" i="5" s="1"/>
  <c r="BO111" i="5" a="1"/>
  <c r="BO111" i="5" s="1"/>
  <c r="BJ111" i="5" a="1"/>
  <c r="BJ111" i="5" s="1"/>
  <c r="V109" i="2"/>
  <c r="CS104" i="8"/>
  <c r="F114" i="8"/>
  <c r="BP110" i="5" a="1"/>
  <c r="BP110" i="5" s="1"/>
  <c r="J110" i="2" s="1"/>
  <c r="BI107" i="8"/>
  <c r="O115" i="1"/>
  <c r="CE105" i="8"/>
  <c r="BX106" i="8"/>
  <c r="CE106" i="8" s="1"/>
  <c r="CX106" i="8" s="1"/>
  <c r="BT106" i="8"/>
  <c r="BO106" i="8"/>
  <c r="BP106" i="8"/>
  <c r="BM106" i="8"/>
  <c r="BN106" i="8"/>
  <c r="BK106" i="8"/>
  <c r="BL106" i="8"/>
  <c r="BJ106" i="8"/>
  <c r="AC106" i="10"/>
  <c r="X106" i="10" s="1"/>
  <c r="AS110" i="5"/>
  <c r="AQ105" i="5"/>
  <c r="AK110" i="11"/>
  <c r="AH110" i="11"/>
  <c r="DB109" i="5"/>
  <c r="AJ110" i="1"/>
  <c r="DE109" i="5"/>
  <c r="DF109" i="5"/>
  <c r="W108" i="1"/>
  <c r="K112" i="11"/>
  <c r="A112" i="14"/>
  <c r="CA112" i="14" s="1"/>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E111" i="8"/>
  <c r="AU111" i="8"/>
  <c r="DH109" i="5"/>
  <c r="BW107" i="8"/>
  <c r="N106" i="7"/>
  <c r="CH106" i="8"/>
  <c r="CZ106" i="8" s="1"/>
  <c r="B106" i="14"/>
  <c r="CA106" i="8"/>
  <c r="Q106" i="7"/>
  <c r="CB106" i="8"/>
  <c r="CT106" i="8" s="1"/>
  <c r="BZ106" i="8"/>
  <c r="CR106" i="8" s="1"/>
  <c r="BY106" i="8"/>
  <c r="CQ106" i="8" s="1"/>
  <c r="AC105" i="11"/>
  <c r="U105" i="8" s="1"/>
  <c r="D107" i="9"/>
  <c r="CI106" i="8"/>
  <c r="DA106" i="8" s="1"/>
  <c r="N106" i="11"/>
  <c r="AB105" i="11"/>
  <c r="Q105" i="8" s="1"/>
  <c r="Y105" i="11"/>
  <c r="AH105" i="1" s="1"/>
  <c r="Z105" i="11"/>
  <c r="AD105" i="11"/>
  <c r="AI105" i="1" s="1"/>
  <c r="DB105" i="8"/>
  <c r="B107" i="9"/>
  <c r="Y107" i="9" s="1"/>
  <c r="CS105" i="8"/>
  <c r="AI107" i="5"/>
  <c r="BT107" i="5"/>
  <c r="X107" i="8"/>
  <c r="DD107" i="8" s="1"/>
  <c r="B107" i="7"/>
  <c r="AE107" i="7" s="1"/>
  <c r="AF107" i="7" s="1"/>
  <c r="BH107" i="8"/>
  <c r="BU107" i="8" s="1"/>
  <c r="AJ107" i="5"/>
  <c r="AP107" i="5" s="1"/>
  <c r="A107" i="10"/>
  <c r="AA107" i="10" s="1"/>
  <c r="DH107" i="8"/>
  <c r="DI107" i="8" s="1"/>
  <c r="AC107" i="8"/>
  <c r="BQ107" i="8" s="1"/>
  <c r="CK107" i="8"/>
  <c r="A107" i="11"/>
  <c r="AD106" i="11" s="1"/>
  <c r="AI106" i="1" s="1"/>
  <c r="E107" i="1"/>
  <c r="F108" i="5"/>
  <c r="B109" i="2"/>
  <c r="AH109" i="5"/>
  <c r="B109" i="1"/>
  <c r="BG109" i="1" s="1"/>
  <c r="BU109" i="5"/>
  <c r="BZ111" i="11"/>
  <c r="K110" i="10"/>
  <c r="AA110" i="7"/>
  <c r="AF110" i="8" s="1"/>
  <c r="AV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AH118" i="9"/>
  <c r="CZ109" i="5"/>
  <c r="DA108" i="5"/>
  <c r="DG108" i="5" s="1" a="1"/>
  <c r="DG108" i="5" s="1"/>
  <c r="AB109" i="1"/>
  <c r="DI109" i="5"/>
  <c r="AG118" i="9"/>
  <c r="AK118" i="9"/>
  <c r="N94" i="1"/>
  <c r="S111" i="2"/>
  <c r="N112" i="2"/>
  <c r="R112" i="2"/>
  <c r="Q111" i="2"/>
  <c r="P113" i="2"/>
  <c r="J113" i="10"/>
  <c r="N113" i="5" s="1"/>
  <c r="AN119" i="9" l="1"/>
  <c r="BK120" i="11" s="1"/>
  <c r="AI120" i="11" s="1"/>
  <c r="CX105" i="8"/>
  <c r="CY105" i="8" s="1"/>
  <c r="CV106" i="8"/>
  <c r="CW106" i="8" s="1"/>
  <c r="AS106" i="8"/>
  <c r="AQ134" i="9"/>
  <c r="CM134" i="8" s="1"/>
  <c r="AO107" i="5"/>
  <c r="AM107" i="5"/>
  <c r="AN107" i="5"/>
  <c r="AR107" i="5" s="1"/>
  <c r="AV108" i="5"/>
  <c r="AW108" i="5"/>
  <c r="AI106" i="7"/>
  <c r="AG107" i="7"/>
  <c r="CL108" i="8"/>
  <c r="CC107" i="8"/>
  <c r="AC107" i="1"/>
  <c r="AI130" i="9"/>
  <c r="AO130" i="8" s="1"/>
  <c r="G113" i="8"/>
  <c r="CF112" i="8"/>
  <c r="O112" i="2"/>
  <c r="AM119" i="9"/>
  <c r="K119" i="8" s="1"/>
  <c r="BR107" i="8"/>
  <c r="BS107" i="8"/>
  <c r="AD110" i="1"/>
  <c r="BJ112" i="5" a="1"/>
  <c r="BJ112" i="5" s="1"/>
  <c r="BO112" i="5" a="1"/>
  <c r="BO112" i="5" s="1"/>
  <c r="BH112" i="5" a="1"/>
  <c r="BH112" i="5" s="1"/>
  <c r="BF112" i="5" a="1"/>
  <c r="BF112" i="5" s="1"/>
  <c r="AE111" i="1" s="1"/>
  <c r="AZ112" i="5" a="1"/>
  <c r="AZ112" i="5" s="1"/>
  <c r="BC112" i="5" a="1"/>
  <c r="BC112" i="5" s="1"/>
  <c r="BG112" i="5" a="1"/>
  <c r="BG112" i="5" s="1"/>
  <c r="BI112" i="5" a="1"/>
  <c r="BI112" i="5" s="1"/>
  <c r="BQ112" i="5" a="1"/>
  <c r="BQ112" i="5" s="1"/>
  <c r="CV112" i="5"/>
  <c r="CT112" i="5"/>
  <c r="CS112" i="5"/>
  <c r="CQ112" i="5"/>
  <c r="CW112" i="5"/>
  <c r="CR112" i="5"/>
  <c r="CU112" i="5"/>
  <c r="AY112" i="5" a="1"/>
  <c r="AY112" i="5" s="1"/>
  <c r="BL112" i="5" a="1"/>
  <c r="BL112" i="5" s="1"/>
  <c r="BE112" i="5" a="1"/>
  <c r="BE112" i="5" s="1"/>
  <c r="BD112" i="5" a="1"/>
  <c r="BD112" i="5" s="1"/>
  <c r="BA112" i="5" a="1"/>
  <c r="BA112" i="5" s="1"/>
  <c r="BN112" i="5" a="1"/>
  <c r="BN112" i="5" s="1"/>
  <c r="BB112" i="5" a="1"/>
  <c r="BB112" i="5" s="1"/>
  <c r="BM112" i="5" a="1"/>
  <c r="BM112" i="5" s="1"/>
  <c r="BK112" i="5" a="1"/>
  <c r="BK112" i="5" s="1"/>
  <c r="V110" i="2"/>
  <c r="CU106" i="8"/>
  <c r="F115" i="8"/>
  <c r="BP111" i="5" a="1"/>
  <c r="BP111" i="5" s="1"/>
  <c r="J111" i="2" s="1"/>
  <c r="O116" i="1"/>
  <c r="CD106" i="8"/>
  <c r="BX107" i="8"/>
  <c r="CD107" i="8" s="1"/>
  <c r="BT107" i="8"/>
  <c r="BO107" i="8"/>
  <c r="BP107" i="8"/>
  <c r="BM107" i="8"/>
  <c r="BN107" i="8"/>
  <c r="BK107" i="8"/>
  <c r="BL107" i="8"/>
  <c r="BJ107" i="8"/>
  <c r="AC107" i="10"/>
  <c r="X107" i="10" s="1"/>
  <c r="AS111" i="5"/>
  <c r="AK111" i="11"/>
  <c r="CK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CA113" i="14" s="1"/>
  <c r="A113" i="8"/>
  <c r="A113" i="2"/>
  <c r="A113" i="9"/>
  <c r="A113" i="7"/>
  <c r="R113" i="7" s="1"/>
  <c r="A113" i="5"/>
  <c r="AF109" i="1"/>
  <c r="W109" i="1"/>
  <c r="Y109" i="1"/>
  <c r="DJ110" i="5"/>
  <c r="AU112" i="8"/>
  <c r="AE112" i="8"/>
  <c r="CB107" i="8"/>
  <c r="CT107" i="8" s="1"/>
  <c r="BY107" i="8"/>
  <c r="CQ107" i="8" s="1"/>
  <c r="CA107" i="8"/>
  <c r="BZ107" i="8"/>
  <c r="CR107" i="8" s="1"/>
  <c r="CH107" i="8"/>
  <c r="CZ107" i="8" s="1"/>
  <c r="DB106" i="8"/>
  <c r="AQ106" i="5"/>
  <c r="Z106" i="11"/>
  <c r="Q107" i="7"/>
  <c r="BT108" i="5"/>
  <c r="B108" i="7"/>
  <c r="AE108" i="7" s="1"/>
  <c r="AF108" i="7" s="1"/>
  <c r="A108" i="10"/>
  <c r="AA108" i="10" s="1"/>
  <c r="CI107" i="8"/>
  <c r="DA107" i="8" s="1"/>
  <c r="D108" i="9"/>
  <c r="A108" i="11"/>
  <c r="N108" i="11" s="1"/>
  <c r="AA106" i="11"/>
  <c r="AK106" i="1" s="1"/>
  <c r="AB106" i="11"/>
  <c r="Q106" i="8" s="1"/>
  <c r="AC106" i="11"/>
  <c r="U106" i="8" s="1"/>
  <c r="Y106" i="11"/>
  <c r="AH106" i="1" s="1"/>
  <c r="B107" i="14"/>
  <c r="N107" i="11"/>
  <c r="DH108" i="8"/>
  <c r="DI108" i="8" s="1"/>
  <c r="B108" i="9"/>
  <c r="Y108" i="9" s="1"/>
  <c r="N107" i="7"/>
  <c r="E108" i="1"/>
  <c r="X108" i="8"/>
  <c r="DD108" i="8" s="1"/>
  <c r="BI108" i="8"/>
  <c r="AI108" i="5"/>
  <c r="BW108" i="8"/>
  <c r="BH108" i="8"/>
  <c r="BU108" i="8" s="1"/>
  <c r="AJ108" i="5"/>
  <c r="AP108" i="5" s="1"/>
  <c r="AC108" i="8"/>
  <c r="BQ108" i="8" s="1"/>
  <c r="BZ112" i="11"/>
  <c r="AA111" i="7"/>
  <c r="AF111" i="8" s="1"/>
  <c r="AV111" i="8" s="1"/>
  <c r="K111" i="10"/>
  <c r="L111" i="11"/>
  <c r="B110" i="1"/>
  <c r="BG110" i="1" s="1"/>
  <c r="B110" i="2"/>
  <c r="AH110" i="5"/>
  <c r="BU110" i="5"/>
  <c r="B110" i="5"/>
  <c r="L111" i="5"/>
  <c r="G110" i="10"/>
  <c r="I110" i="7"/>
  <c r="I111" i="5"/>
  <c r="D110" i="10"/>
  <c r="F110" i="7"/>
  <c r="J111" i="5"/>
  <c r="DC111" i="5" s="1"/>
  <c r="E110" i="10"/>
  <c r="G110" i="7"/>
  <c r="G111" i="5"/>
  <c r="D110" i="7"/>
  <c r="B110" i="10"/>
  <c r="K111" i="5"/>
  <c r="F110" i="10"/>
  <c r="H110" i="7"/>
  <c r="DD110" i="5"/>
  <c r="M111" i="5"/>
  <c r="H110" i="10"/>
  <c r="J110" i="7"/>
  <c r="H111" i="5"/>
  <c r="C110" i="10"/>
  <c r="E110" i="7"/>
  <c r="AH119" i="9"/>
  <c r="CZ110" i="5"/>
  <c r="C109" i="5"/>
  <c r="F109" i="5" s="1"/>
  <c r="AB110" i="1"/>
  <c r="DI110" i="5"/>
  <c r="DA109" i="5"/>
  <c r="DG109" i="5" s="1" a="1"/>
  <c r="DG109" i="5" s="1"/>
  <c r="AG119" i="9"/>
  <c r="AK119" i="9"/>
  <c r="N95" i="1"/>
  <c r="S112" i="2"/>
  <c r="N113" i="2"/>
  <c r="R113" i="2"/>
  <c r="Q112" i="2"/>
  <c r="J114" i="10"/>
  <c r="N114" i="5" s="1"/>
  <c r="P114" i="2"/>
  <c r="AN120" i="9" l="1"/>
  <c r="BK121" i="11" s="1"/>
  <c r="AI121" i="11" s="1"/>
  <c r="CV107" i="8"/>
  <c r="CW107" i="8" s="1"/>
  <c r="AS107" i="8"/>
  <c r="AQ135" i="9"/>
  <c r="CM135" i="8" s="1"/>
  <c r="AO108" i="5"/>
  <c r="AM108" i="5"/>
  <c r="AN108" i="5"/>
  <c r="AR108" i="5" s="1"/>
  <c r="AV109" i="5"/>
  <c r="AW109" i="5"/>
  <c r="AI107" i="7"/>
  <c r="AG108" i="7"/>
  <c r="CL109" i="8"/>
  <c r="BZ108" i="8"/>
  <c r="CR108" i="8" s="1"/>
  <c r="AC108" i="1"/>
  <c r="AI131" i="9"/>
  <c r="AO131" i="8" s="1"/>
  <c r="G114" i="8"/>
  <c r="CF113" i="8"/>
  <c r="O113" i="2"/>
  <c r="AM120" i="9"/>
  <c r="K120" i="8" s="1"/>
  <c r="BR108" i="8"/>
  <c r="BS108" i="8"/>
  <c r="AD111" i="1"/>
  <c r="BK113" i="5" a="1"/>
  <c r="BK113" i="5" s="1"/>
  <c r="BQ113" i="5" a="1"/>
  <c r="BQ113" i="5" s="1"/>
  <c r="BM113" i="5" a="1"/>
  <c r="BM113" i="5" s="1"/>
  <c r="BI113" i="5" a="1"/>
  <c r="BI113" i="5" s="1"/>
  <c r="BB113" i="5" a="1"/>
  <c r="BB113" i="5" s="1"/>
  <c r="BG113" i="5" a="1"/>
  <c r="BG113" i="5" s="1"/>
  <c r="BN113" i="5" a="1"/>
  <c r="BN113" i="5" s="1"/>
  <c r="BC113" i="5" a="1"/>
  <c r="BC113" i="5" s="1"/>
  <c r="CQ113" i="5"/>
  <c r="CS113" i="5"/>
  <c r="CW113" i="5"/>
  <c r="CR113" i="5"/>
  <c r="CT113" i="5"/>
  <c r="CU113" i="5"/>
  <c r="CV113" i="5"/>
  <c r="AY113" i="5" a="1"/>
  <c r="AY113" i="5" s="1"/>
  <c r="BL113" i="5" a="1"/>
  <c r="BL113" i="5" s="1"/>
  <c r="BA113" i="5" a="1"/>
  <c r="BA113" i="5" s="1"/>
  <c r="BD113" i="5" a="1"/>
  <c r="BD113" i="5" s="1"/>
  <c r="AZ113" i="5" a="1"/>
  <c r="AZ113" i="5" s="1"/>
  <c r="BE113" i="5" a="1"/>
  <c r="BE113" i="5" s="1"/>
  <c r="BF113" i="5" a="1"/>
  <c r="BF113" i="5" s="1"/>
  <c r="AE112" i="1" s="1"/>
  <c r="BH113" i="5" a="1"/>
  <c r="BH113" i="5" s="1"/>
  <c r="BO113" i="5" a="1"/>
  <c r="BO113" i="5" s="1"/>
  <c r="BJ113" i="5" a="1"/>
  <c r="BJ113" i="5" s="1"/>
  <c r="CS106" i="8"/>
  <c r="V111" i="2"/>
  <c r="CY106" i="8"/>
  <c r="CU107" i="8"/>
  <c r="F116" i="8"/>
  <c r="BP112" i="5" a="1"/>
  <c r="BP112" i="5" s="1"/>
  <c r="J112" i="2" s="1"/>
  <c r="O117" i="1"/>
  <c r="CE107" i="8"/>
  <c r="BT108" i="8"/>
  <c r="BO108" i="8"/>
  <c r="BP108" i="8"/>
  <c r="BM108" i="8"/>
  <c r="BN108" i="8"/>
  <c r="BK108" i="8"/>
  <c r="BL108" i="8"/>
  <c r="BJ108" i="8"/>
  <c r="AC108" i="10"/>
  <c r="X108" i="10" s="1"/>
  <c r="AS112" i="5"/>
  <c r="AH112" i="11"/>
  <c r="AK112" i="11"/>
  <c r="DF111" i="5"/>
  <c r="DB111" i="5"/>
  <c r="AM112" i="1"/>
  <c r="DE111" i="5"/>
  <c r="W110" i="1"/>
  <c r="AU113" i="8"/>
  <c r="AE113" i="8"/>
  <c r="K114" i="11"/>
  <c r="A114" i="14"/>
  <c r="CA114" i="14" s="1"/>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DB107" i="8"/>
  <c r="AQ107" i="5"/>
  <c r="AA107" i="11"/>
  <c r="AK107" i="1" s="1"/>
  <c r="AB107" i="11"/>
  <c r="Q107" i="8" s="1"/>
  <c r="B108" i="14"/>
  <c r="Q108" i="7"/>
  <c r="AC107" i="11"/>
  <c r="U107" i="8" s="1"/>
  <c r="BY108" i="8"/>
  <c r="CQ108" i="8" s="1"/>
  <c r="Y107" i="11"/>
  <c r="AH107" i="1" s="1"/>
  <c r="CI108" i="8"/>
  <c r="DA108" i="8" s="1"/>
  <c r="AD107" i="11"/>
  <c r="AI107" i="1" s="1"/>
  <c r="Z107" i="11"/>
  <c r="CC108" i="8"/>
  <c r="CH108" i="8"/>
  <c r="CZ108" i="8" s="1"/>
  <c r="CA108" i="8"/>
  <c r="CB108" i="8"/>
  <c r="CT108" i="8" s="1"/>
  <c r="D109" i="9"/>
  <c r="N108" i="7"/>
  <c r="BX108" i="8"/>
  <c r="CD108" i="8" s="1"/>
  <c r="B111" i="2"/>
  <c r="B111" i="1"/>
  <c r="BG111" i="1" s="1"/>
  <c r="AH111" i="5"/>
  <c r="BU111" i="5"/>
  <c r="BZ113" i="11"/>
  <c r="K112" i="10"/>
  <c r="AA112" i="7"/>
  <c r="AF112" i="8" s="1"/>
  <c r="AV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H109" i="8"/>
  <c r="DI109" i="8" s="1"/>
  <c r="CK109" i="8"/>
  <c r="BW109" i="8"/>
  <c r="AC109" i="1" s="1"/>
  <c r="BH109" i="8"/>
  <c r="BU109" i="8" s="1"/>
  <c r="BI109" i="8"/>
  <c r="AH120" i="9"/>
  <c r="CZ111" i="5"/>
  <c r="BT109" i="5"/>
  <c r="A109" i="10"/>
  <c r="AA109" i="10" s="1"/>
  <c r="B109" i="7"/>
  <c r="AJ109" i="5"/>
  <c r="AP109" i="5" s="1"/>
  <c r="X109" i="8"/>
  <c r="DD109" i="8" s="1"/>
  <c r="E109" i="1"/>
  <c r="AI109" i="5"/>
  <c r="B109" i="9"/>
  <c r="Y109" i="9" s="1"/>
  <c r="A109" i="11"/>
  <c r="AC109" i="8"/>
  <c r="BQ109" i="8" s="1"/>
  <c r="C110" i="5"/>
  <c r="F110" i="5" s="1"/>
  <c r="DA110" i="5"/>
  <c r="DG110" i="5" s="1" a="1"/>
  <c r="DG110" i="5" s="1"/>
  <c r="AB111" i="1"/>
  <c r="DI111" i="5"/>
  <c r="AG120" i="9"/>
  <c r="AK120" i="9"/>
  <c r="N96" i="1"/>
  <c r="S113" i="2"/>
  <c r="N114" i="2"/>
  <c r="R114" i="2"/>
  <c r="Q113" i="2"/>
  <c r="J115" i="10"/>
  <c r="N115" i="5" s="1"/>
  <c r="P115" i="2"/>
  <c r="AN121" i="9" l="1"/>
  <c r="BK122" i="11" s="1"/>
  <c r="AI122" i="11" s="1"/>
  <c r="CX107" i="8"/>
  <c r="CY107" i="8" s="1"/>
  <c r="CV108" i="8"/>
  <c r="CW108" i="8" s="1"/>
  <c r="AS108" i="8"/>
  <c r="AQ136" i="9"/>
  <c r="CM136" i="8" s="1"/>
  <c r="AO109" i="5"/>
  <c r="AM109" i="5"/>
  <c r="AN109" i="5"/>
  <c r="AR109" i="5" s="1"/>
  <c r="AV110" i="5"/>
  <c r="AW110" i="5"/>
  <c r="AI108" i="7"/>
  <c r="CL110" i="8"/>
  <c r="AI132" i="9"/>
  <c r="AO132" i="8" s="1"/>
  <c r="G115" i="8"/>
  <c r="CF114" i="8"/>
  <c r="O114" i="2"/>
  <c r="AM121" i="9"/>
  <c r="K121" i="8" s="1"/>
  <c r="BR109" i="8"/>
  <c r="BS109" i="8"/>
  <c r="AD112" i="1"/>
  <c r="BJ114" i="5" a="1"/>
  <c r="BJ114" i="5" s="1"/>
  <c r="BO114" i="5" a="1"/>
  <c r="BO114" i="5" s="1"/>
  <c r="BC114" i="5" a="1"/>
  <c r="BC114" i="5" s="1"/>
  <c r="BH114" i="5" a="1"/>
  <c r="BH114" i="5" s="1"/>
  <c r="BN114" i="5" a="1"/>
  <c r="BN114" i="5" s="1"/>
  <c r="BF114" i="5" a="1"/>
  <c r="BF114" i="5" s="1"/>
  <c r="AE113" i="1" s="1"/>
  <c r="BG114" i="5" a="1"/>
  <c r="BG114" i="5" s="1"/>
  <c r="CQ114" i="5"/>
  <c r="CR114" i="5"/>
  <c r="CS114" i="5"/>
  <c r="CU114" i="5"/>
  <c r="CV114" i="5"/>
  <c r="CT114" i="5"/>
  <c r="CW114" i="5"/>
  <c r="AY114" i="5" a="1"/>
  <c r="AY114" i="5" s="1"/>
  <c r="BL114" i="5" a="1"/>
  <c r="BL114" i="5" s="1"/>
  <c r="BE114" i="5" a="1"/>
  <c r="BE114" i="5" s="1"/>
  <c r="BB114" i="5" a="1"/>
  <c r="BB114" i="5" s="1"/>
  <c r="AZ114" i="5" a="1"/>
  <c r="AZ114" i="5" s="1"/>
  <c r="BI114" i="5" a="1"/>
  <c r="BI114" i="5" s="1"/>
  <c r="BD114" i="5" a="1"/>
  <c r="BD114" i="5" s="1"/>
  <c r="BM114" i="5" a="1"/>
  <c r="BM114" i="5" s="1"/>
  <c r="BA114" i="5" a="1"/>
  <c r="BA114" i="5" s="1"/>
  <c r="BQ114" i="5" a="1"/>
  <c r="BQ114" i="5" s="1"/>
  <c r="BK114" i="5" a="1"/>
  <c r="BK114" i="5" s="1"/>
  <c r="V112" i="2"/>
  <c r="CS107" i="8"/>
  <c r="CU108" i="8"/>
  <c r="F117" i="8"/>
  <c r="BP113" i="5" a="1"/>
  <c r="BP113" i="5" s="1"/>
  <c r="J113" i="2" s="1"/>
  <c r="O118" i="1"/>
  <c r="BX109" i="8"/>
  <c r="CD109" i="8" s="1"/>
  <c r="BT109" i="8"/>
  <c r="BO109" i="8"/>
  <c r="BP109" i="8"/>
  <c r="BM109" i="8"/>
  <c r="BN109" i="8"/>
  <c r="BK109" i="8"/>
  <c r="BL109" i="8"/>
  <c r="BJ109" i="8"/>
  <c r="AC109" i="10"/>
  <c r="X109" i="10" s="1"/>
  <c r="AS113" i="5"/>
  <c r="AJ113" i="1"/>
  <c r="AK113" i="11"/>
  <c r="DB112" i="5"/>
  <c r="DE112" i="5"/>
  <c r="DF112" i="5"/>
  <c r="DH112" i="5"/>
  <c r="AH113" i="11"/>
  <c r="AF111" i="1"/>
  <c r="K115" i="11"/>
  <c r="A115" i="14"/>
  <c r="CA115" i="14" s="1"/>
  <c r="A115" i="7"/>
  <c r="R115" i="7" s="1"/>
  <c r="A115" i="9"/>
  <c r="A115" i="2"/>
  <c r="A115" i="5"/>
  <c r="A115" i="8"/>
  <c r="AM113" i="1"/>
  <c r="AU114" i="8"/>
  <c r="AE114" i="8"/>
  <c r="W111" i="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DB108" i="8"/>
  <c r="AQ108" i="5"/>
  <c r="CE108" i="8"/>
  <c r="B112" i="2"/>
  <c r="B112" i="1"/>
  <c r="BG112" i="1" s="1"/>
  <c r="AH112" i="5"/>
  <c r="BU112" i="5"/>
  <c r="BZ114" i="11"/>
  <c r="K113" i="10"/>
  <c r="AA113" i="7"/>
  <c r="AF113" i="8" s="1"/>
  <c r="AV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H110" i="8"/>
  <c r="DI110" i="8" s="1"/>
  <c r="CK110" i="8"/>
  <c r="BW110" i="8"/>
  <c r="AC110" i="1" s="1"/>
  <c r="N109" i="7"/>
  <c r="BH110" i="8"/>
  <c r="BU110" i="8" s="1"/>
  <c r="BI110" i="8"/>
  <c r="AH121" i="9"/>
  <c r="AC110" i="8"/>
  <c r="BQ110" i="8" s="1"/>
  <c r="BT110" i="5"/>
  <c r="A110" i="10"/>
  <c r="AA110" i="10" s="1"/>
  <c r="B110" i="7"/>
  <c r="X110" i="8"/>
  <c r="DD110" i="8" s="1"/>
  <c r="E110" i="1"/>
  <c r="AJ110" i="5"/>
  <c r="AP110" i="5" s="1"/>
  <c r="AI110" i="5"/>
  <c r="B110" i="9"/>
  <c r="Y110" i="9" s="1"/>
  <c r="A110" i="11"/>
  <c r="CZ112" i="5"/>
  <c r="N109" i="11"/>
  <c r="AC108" i="11"/>
  <c r="U108" i="8" s="1"/>
  <c r="Z108" i="11"/>
  <c r="AB108" i="11"/>
  <c r="Q108" i="8" s="1"/>
  <c r="AD108" i="11"/>
  <c r="AI108" i="1" s="1"/>
  <c r="AA108" i="11"/>
  <c r="AK108" i="1" s="1"/>
  <c r="Y108" i="11"/>
  <c r="AH108" i="1" s="1"/>
  <c r="CI109" i="8"/>
  <c r="DA109" i="8" s="1"/>
  <c r="AE109" i="7"/>
  <c r="AF109" i="7" s="1"/>
  <c r="Q109" i="7"/>
  <c r="C111" i="5"/>
  <c r="F111" i="5" s="1"/>
  <c r="CA109" i="8"/>
  <c r="CC109" i="8"/>
  <c r="CH109" i="8"/>
  <c r="CZ109" i="8" s="1"/>
  <c r="BY109" i="8"/>
  <c r="CQ109" i="8" s="1"/>
  <c r="CB109" i="8"/>
  <c r="CT109" i="8" s="1"/>
  <c r="BZ109" i="8"/>
  <c r="CR109" i="8" s="1"/>
  <c r="AB112" i="1"/>
  <c r="DI112" i="5"/>
  <c r="C112" i="5"/>
  <c r="DA111" i="5"/>
  <c r="DG111" i="5" s="1" a="1"/>
  <c r="DG111" i="5" s="1"/>
  <c r="AG121" i="9"/>
  <c r="AK121" i="9"/>
  <c r="N97" i="1"/>
  <c r="S114" i="2"/>
  <c r="N115" i="2"/>
  <c r="R115" i="2"/>
  <c r="Q114" i="2"/>
  <c r="P116" i="2"/>
  <c r="J116" i="10"/>
  <c r="N116" i="5" s="1"/>
  <c r="AN122" i="9" l="1"/>
  <c r="BK123" i="11" s="1"/>
  <c r="AI123" i="11" s="1"/>
  <c r="CX108" i="8"/>
  <c r="CY108" i="8" s="1"/>
  <c r="CV109" i="8"/>
  <c r="CW109" i="8" s="1"/>
  <c r="AS109" i="8"/>
  <c r="AO110" i="5"/>
  <c r="AM110" i="5"/>
  <c r="AN110" i="5"/>
  <c r="AR110" i="5" s="1"/>
  <c r="AV111" i="5"/>
  <c r="AW111" i="5"/>
  <c r="AG109" i="7"/>
  <c r="AI109" i="7" s="1"/>
  <c r="CL111" i="8"/>
  <c r="AI133" i="9"/>
  <c r="AO133" i="8" s="1"/>
  <c r="G116" i="8"/>
  <c r="CF115" i="8"/>
  <c r="O115" i="2"/>
  <c r="AM122" i="9"/>
  <c r="K122" i="8" s="1"/>
  <c r="BR110" i="8"/>
  <c r="BS110" i="8"/>
  <c r="AD113" i="1"/>
  <c r="BK115" i="5" a="1"/>
  <c r="BK115" i="5" s="1"/>
  <c r="BQ115" i="5" a="1"/>
  <c r="BQ115" i="5" s="1"/>
  <c r="BA115" i="5" a="1"/>
  <c r="BA115" i="5" s="1"/>
  <c r="BG115" i="5" a="1"/>
  <c r="BG115" i="5" s="1"/>
  <c r="BM115" i="5" a="1"/>
  <c r="BM115" i="5" s="1"/>
  <c r="BF115" i="5" a="1"/>
  <c r="BF115" i="5" s="1"/>
  <c r="AE114" i="1" s="1"/>
  <c r="BD115" i="5" a="1"/>
  <c r="BD115" i="5" s="1"/>
  <c r="BN115" i="5" a="1"/>
  <c r="BN115" i="5" s="1"/>
  <c r="BI115" i="5" a="1"/>
  <c r="BI115" i="5" s="1"/>
  <c r="BH115" i="5" a="1"/>
  <c r="BH115" i="5" s="1"/>
  <c r="AZ115" i="5" a="1"/>
  <c r="AZ115" i="5" s="1"/>
  <c r="BC115" i="5" a="1"/>
  <c r="BC115" i="5" s="1"/>
  <c r="CQ115" i="5"/>
  <c r="CT115" i="5"/>
  <c r="CS115" i="5"/>
  <c r="CV115" i="5"/>
  <c r="CW115" i="5"/>
  <c r="CR115" i="5"/>
  <c r="CU115" i="5"/>
  <c r="AY115" i="5" a="1"/>
  <c r="AY115" i="5" s="1"/>
  <c r="BL115" i="5" a="1"/>
  <c r="BL115" i="5" s="1"/>
  <c r="BB115" i="5" a="1"/>
  <c r="BB115" i="5" s="1"/>
  <c r="BO115" i="5" a="1"/>
  <c r="BO115" i="5" s="1"/>
  <c r="BE115" i="5" a="1"/>
  <c r="BE115" i="5" s="1"/>
  <c r="BJ115" i="5" a="1"/>
  <c r="BJ115" i="5" s="1"/>
  <c r="V113" i="2"/>
  <c r="CS108" i="8"/>
  <c r="F118" i="8"/>
  <c r="BP114" i="5" a="1"/>
  <c r="BP114" i="5" s="1"/>
  <c r="J114" i="2" s="1"/>
  <c r="O119" i="1"/>
  <c r="CE109" i="8"/>
  <c r="BT110" i="8"/>
  <c r="BO110" i="8"/>
  <c r="BP110" i="8"/>
  <c r="BM110" i="8"/>
  <c r="BN110" i="8"/>
  <c r="BK110" i="8"/>
  <c r="BL110" i="8"/>
  <c r="BJ110" i="8"/>
  <c r="AC110" i="10"/>
  <c r="X110" i="10" s="1"/>
  <c r="AS114" i="5"/>
  <c r="AK114" i="11"/>
  <c r="DE113" i="5"/>
  <c r="AH114" i="11"/>
  <c r="DB113" i="5"/>
  <c r="Y112" i="1"/>
  <c r="DJ113" i="5"/>
  <c r="K116" i="11"/>
  <c r="A116" i="14"/>
  <c r="CA116" i="14" s="1"/>
  <c r="A116" i="7"/>
  <c r="R116" i="7" s="1"/>
  <c r="A116" i="5"/>
  <c r="A116" i="9"/>
  <c r="A116" i="2"/>
  <c r="A116" i="8"/>
  <c r="AJ114" i="1"/>
  <c r="W112" i="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F112" i="1"/>
  <c r="AM114" i="1"/>
  <c r="DH113" i="5"/>
  <c r="AE115" i="8"/>
  <c r="AU115" i="8"/>
  <c r="B113" i="5"/>
  <c r="DF113" i="5"/>
  <c r="BZ115" i="11"/>
  <c r="K114" i="10"/>
  <c r="AA114" i="7"/>
  <c r="AF114" i="8" s="1"/>
  <c r="AV114" i="8" s="1"/>
  <c r="L114" i="11"/>
  <c r="B113" i="2"/>
  <c r="B113" i="1"/>
  <c r="BG113" i="1" s="1"/>
  <c r="AH113" i="5"/>
  <c r="BU113" i="5"/>
  <c r="F112" i="5"/>
  <c r="H114" i="5"/>
  <c r="C113" i="10"/>
  <c r="E113" i="7"/>
  <c r="L114" i="5"/>
  <c r="G113" i="10"/>
  <c r="I113" i="7"/>
  <c r="J114" i="5"/>
  <c r="E113" i="10"/>
  <c r="G113" i="7"/>
  <c r="I114" i="5"/>
  <c r="D113" i="10"/>
  <c r="F113" i="7"/>
  <c r="D113" i="7"/>
  <c r="G114" i="5"/>
  <c r="B113" i="10"/>
  <c r="M114" i="5"/>
  <c r="H113" i="10"/>
  <c r="J113" i="7"/>
  <c r="K114" i="5"/>
  <c r="F113" i="10"/>
  <c r="H113" i="7"/>
  <c r="DD113" i="5"/>
  <c r="CU109" i="8"/>
  <c r="D111" i="9"/>
  <c r="DH111" i="8"/>
  <c r="DI111" i="8" s="1"/>
  <c r="CK111" i="8"/>
  <c r="BW111" i="8"/>
  <c r="AC111" i="1" s="1"/>
  <c r="BX110" i="8"/>
  <c r="CE110" i="8" s="1"/>
  <c r="CX110" i="8" s="1"/>
  <c r="N110" i="7"/>
  <c r="BH111" i="8"/>
  <c r="BU111" i="8" s="1"/>
  <c r="BI111" i="8"/>
  <c r="AH122" i="9"/>
  <c r="AQ109" i="5"/>
  <c r="DB109" i="8"/>
  <c r="AB109" i="11"/>
  <c r="Q109" i="8" s="1"/>
  <c r="Y109" i="11"/>
  <c r="AH109" i="1" s="1"/>
  <c r="N110" i="11"/>
  <c r="AA109" i="11"/>
  <c r="AK109" i="1" s="1"/>
  <c r="AD109" i="11"/>
  <c r="AI109" i="1" s="1"/>
  <c r="Z109" i="11"/>
  <c r="AC109" i="11"/>
  <c r="U109" i="8" s="1"/>
  <c r="B109" i="14"/>
  <c r="CI110" i="8"/>
  <c r="DA110" i="8" s="1"/>
  <c r="Q110" i="7"/>
  <c r="AE110" i="7"/>
  <c r="AF110" i="7" s="1"/>
  <c r="CZ113" i="5"/>
  <c r="AJ111" i="5"/>
  <c r="AP111" i="5" s="1"/>
  <c r="X111" i="8"/>
  <c r="DD111" i="8" s="1"/>
  <c r="E111" i="1"/>
  <c r="B111" i="9"/>
  <c r="Y111" i="9" s="1"/>
  <c r="AI111" i="5"/>
  <c r="A111" i="11"/>
  <c r="AC111" i="8"/>
  <c r="BQ111" i="8" s="1"/>
  <c r="BT111" i="5"/>
  <c r="A111" i="10"/>
  <c r="AA111" i="10" s="1"/>
  <c r="B111" i="7"/>
  <c r="CC110" i="8"/>
  <c r="CA110" i="8"/>
  <c r="CB110" i="8"/>
  <c r="CT110" i="8" s="1"/>
  <c r="CH110" i="8"/>
  <c r="CZ110" i="8" s="1"/>
  <c r="BY110" i="8"/>
  <c r="CQ110" i="8" s="1"/>
  <c r="BZ110" i="8"/>
  <c r="CR110" i="8" s="1"/>
  <c r="DA112" i="5"/>
  <c r="DG112" i="5" s="1" a="1"/>
  <c r="DG112" i="5" s="1"/>
  <c r="AB113" i="1"/>
  <c r="DI113" i="5"/>
  <c r="AG122" i="9"/>
  <c r="AK122" i="9"/>
  <c r="N98" i="1"/>
  <c r="S115" i="2"/>
  <c r="N116" i="2"/>
  <c r="R116" i="2"/>
  <c r="Q115" i="2"/>
  <c r="P117" i="2"/>
  <c r="J117" i="10"/>
  <c r="N117" i="5" s="1"/>
  <c r="AN123" i="9" l="1"/>
  <c r="BK124" i="11" s="1"/>
  <c r="AI124" i="11" s="1"/>
  <c r="CX109" i="8"/>
  <c r="CY109" i="8" s="1"/>
  <c r="CV110" i="8"/>
  <c r="CW110" i="8" s="1"/>
  <c r="AS110" i="8"/>
  <c r="AO111" i="5"/>
  <c r="AM111" i="5"/>
  <c r="AN111" i="5"/>
  <c r="AR111" i="5" s="1"/>
  <c r="AV112" i="5"/>
  <c r="AW112" i="5"/>
  <c r="AG110" i="7"/>
  <c r="AI110" i="7" s="1"/>
  <c r="CL112" i="8"/>
  <c r="AI134" i="9"/>
  <c r="AO134" i="8" s="1"/>
  <c r="G117" i="8"/>
  <c r="CF116" i="8"/>
  <c r="O116" i="2"/>
  <c r="BF116" i="5" a="1"/>
  <c r="BF116" i="5" s="1"/>
  <c r="AE115" i="1" s="1"/>
  <c r="AM123" i="9"/>
  <c r="K123" i="8" s="1"/>
  <c r="BR111" i="8"/>
  <c r="BS111" i="8"/>
  <c r="AD114" i="1"/>
  <c r="CS116" i="5"/>
  <c r="CT116" i="5"/>
  <c r="CR116" i="5"/>
  <c r="CQ116" i="5"/>
  <c r="CU116" i="5"/>
  <c r="CW116" i="5"/>
  <c r="CV116" i="5"/>
  <c r="AY116" i="5" a="1"/>
  <c r="AY116" i="5" s="1"/>
  <c r="BL116" i="5" a="1"/>
  <c r="BL116" i="5" s="1"/>
  <c r="BC116" i="5" a="1"/>
  <c r="BC116" i="5" s="1"/>
  <c r="AZ116" i="5" a="1"/>
  <c r="AZ116" i="5" s="1"/>
  <c r="BJ116" i="5" a="1"/>
  <c r="BJ116" i="5" s="1"/>
  <c r="BH116" i="5" a="1"/>
  <c r="BH116" i="5" s="1"/>
  <c r="BE116" i="5" a="1"/>
  <c r="BE116" i="5" s="1"/>
  <c r="BI116" i="5" a="1"/>
  <c r="BI116" i="5" s="1"/>
  <c r="BO116" i="5" a="1"/>
  <c r="BO116" i="5" s="1"/>
  <c r="BN116" i="5" a="1"/>
  <c r="BN116" i="5" s="1"/>
  <c r="BB116" i="5" a="1"/>
  <c r="BB116" i="5" s="1"/>
  <c r="BD116" i="5" a="1"/>
  <c r="BD116" i="5" s="1"/>
  <c r="BM116" i="5" a="1"/>
  <c r="BM116" i="5" s="1"/>
  <c r="BG116" i="5" a="1"/>
  <c r="BG116" i="5" s="1"/>
  <c r="BA116" i="5" a="1"/>
  <c r="BA116" i="5" s="1"/>
  <c r="BQ116" i="5" a="1"/>
  <c r="BQ116" i="5" s="1"/>
  <c r="BK116" i="5" a="1"/>
  <c r="BK116" i="5" s="1"/>
  <c r="V114" i="2"/>
  <c r="F119" i="8"/>
  <c r="BP115" i="5" a="1"/>
  <c r="BP115" i="5" s="1"/>
  <c r="J115" i="2" s="1"/>
  <c r="O120" i="1"/>
  <c r="BX111" i="8"/>
  <c r="CD111" i="8" s="1"/>
  <c r="BT111" i="8"/>
  <c r="BO111" i="8"/>
  <c r="BP111" i="8"/>
  <c r="BM111" i="8"/>
  <c r="BN111" i="8"/>
  <c r="BK111" i="8"/>
  <c r="BL111" i="8"/>
  <c r="BJ111" i="8"/>
  <c r="AC111" i="10"/>
  <c r="X111" i="10" s="1"/>
  <c r="AS115" i="5"/>
  <c r="AK115" i="11"/>
  <c r="BW112" i="8"/>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W113" i="1"/>
  <c r="AM115" i="1"/>
  <c r="AH115" i="11"/>
  <c r="AF113" i="1"/>
  <c r="AU116" i="8"/>
  <c r="AE116" i="8"/>
  <c r="DH114" i="5"/>
  <c r="Y113" i="1"/>
  <c r="DJ114" i="5"/>
  <c r="K117" i="11"/>
  <c r="A117" i="14"/>
  <c r="CA117" i="14" s="1"/>
  <c r="A117" i="9"/>
  <c r="A117" i="8"/>
  <c r="A117" i="2"/>
  <c r="A117" i="5"/>
  <c r="A117" i="7"/>
  <c r="R117" i="7" s="1"/>
  <c r="AI112" i="5"/>
  <c r="BT112" i="5"/>
  <c r="BI112" i="8"/>
  <c r="CS109" i="8"/>
  <c r="E112" i="1"/>
  <c r="B112" i="7"/>
  <c r="AE112" i="7" s="1"/>
  <c r="AF112" i="7" s="1"/>
  <c r="X112" i="8"/>
  <c r="DD112" i="8" s="1"/>
  <c r="BH112" i="8"/>
  <c r="BU112" i="8" s="1"/>
  <c r="A112" i="10"/>
  <c r="AA112" i="10" s="1"/>
  <c r="DH112" i="8"/>
  <c r="DI112" i="8" s="1"/>
  <c r="B112" i="9"/>
  <c r="Y112" i="9" s="1"/>
  <c r="AC112" i="8"/>
  <c r="BQ112" i="8" s="1"/>
  <c r="CK112" i="8"/>
  <c r="AJ112" i="5"/>
  <c r="AP112" i="5" s="1"/>
  <c r="A112" i="11"/>
  <c r="N112" i="11" s="1"/>
  <c r="B114" i="2"/>
  <c r="B114" i="1"/>
  <c r="BG114" i="1" s="1"/>
  <c r="BU114" i="5"/>
  <c r="AH114" i="5"/>
  <c r="BZ116" i="11"/>
  <c r="K115" i="10"/>
  <c r="AA115" i="7"/>
  <c r="AF115" i="8" s="1"/>
  <c r="AV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U110" i="8"/>
  <c r="D112" i="9"/>
  <c r="CD110" i="8"/>
  <c r="N111" i="7"/>
  <c r="AH123" i="9"/>
  <c r="C113" i="5"/>
  <c r="F113" i="5" s="1"/>
  <c r="AQ110" i="5"/>
  <c r="AA110" i="11"/>
  <c r="AK110" i="1" s="1"/>
  <c r="Z110" i="11"/>
  <c r="AC110" i="11"/>
  <c r="U110" i="8" s="1"/>
  <c r="AD110" i="11"/>
  <c r="AI110" i="1" s="1"/>
  <c r="Y110" i="11"/>
  <c r="AH110" i="1" s="1"/>
  <c r="N111" i="11"/>
  <c r="AB110" i="11"/>
  <c r="Q110" i="8" s="1"/>
  <c r="CI111" i="8"/>
  <c r="DA111" i="8" s="1"/>
  <c r="Q111" i="7"/>
  <c r="AE111" i="7"/>
  <c r="AF111" i="7" s="1"/>
  <c r="BY111" i="8"/>
  <c r="CQ111" i="8" s="1"/>
  <c r="BZ111" i="8"/>
  <c r="CR111" i="8" s="1"/>
  <c r="CH111" i="8"/>
  <c r="CZ111" i="8" s="1"/>
  <c r="CC111" i="8"/>
  <c r="CA111" i="8"/>
  <c r="CB111" i="8"/>
  <c r="CT111" i="8" s="1"/>
  <c r="CZ114" i="5"/>
  <c r="DB110" i="8"/>
  <c r="B110" i="14"/>
  <c r="AB114" i="1"/>
  <c r="DI114" i="5"/>
  <c r="DA113" i="5"/>
  <c r="DG113" i="5" s="1" a="1"/>
  <c r="DG113" i="5" s="1"/>
  <c r="AG123" i="9"/>
  <c r="AK123" i="9"/>
  <c r="N99" i="1"/>
  <c r="S116" i="2"/>
  <c r="N117" i="2"/>
  <c r="R117" i="2"/>
  <c r="Q116" i="2"/>
  <c r="J118" i="10"/>
  <c r="N118" i="5" s="1"/>
  <c r="P118" i="2"/>
  <c r="AN124" i="9" l="1"/>
  <c r="BK125" i="11" s="1"/>
  <c r="AI125" i="11" s="1"/>
  <c r="CV111" i="8"/>
  <c r="CW111" i="8" s="1"/>
  <c r="AS111" i="8"/>
  <c r="AO112" i="5"/>
  <c r="AM112" i="5"/>
  <c r="AN112" i="5"/>
  <c r="AR112" i="5" s="1"/>
  <c r="AV113" i="5"/>
  <c r="AW113" i="5"/>
  <c r="AG112" i="7"/>
  <c r="AG111" i="7"/>
  <c r="AI111" i="7" s="1"/>
  <c r="CL113" i="8"/>
  <c r="CB112" i="8"/>
  <c r="CT112" i="8" s="1"/>
  <c r="AC112" i="1"/>
  <c r="AI135" i="9"/>
  <c r="AO135" i="8" s="1"/>
  <c r="BI117" i="5" a="1"/>
  <c r="BI117" i="5" s="1"/>
  <c r="G118" i="8"/>
  <c r="CF117" i="8"/>
  <c r="O117" i="2"/>
  <c r="BB117" i="5" a="1"/>
  <c r="BB117" i="5" s="1"/>
  <c r="BH117" i="5" a="1"/>
  <c r="BH117" i="5" s="1"/>
  <c r="BO117" i="5" a="1"/>
  <c r="BO117" i="5" s="1"/>
  <c r="BJ117" i="5" a="1"/>
  <c r="BJ117" i="5" s="1"/>
  <c r="AM124" i="9"/>
  <c r="K124" i="8" s="1"/>
  <c r="BR112" i="8"/>
  <c r="BS112" i="8"/>
  <c r="AD115" i="1"/>
  <c r="BE117" i="5" a="1"/>
  <c r="BE117" i="5" s="1"/>
  <c r="AZ117" i="5" a="1"/>
  <c r="AZ117" i="5" s="1"/>
  <c r="BK117" i="5" a="1"/>
  <c r="BK117" i="5" s="1"/>
  <c r="BC117" i="5" a="1"/>
  <c r="BC117" i="5" s="1"/>
  <c r="BQ117" i="5" a="1"/>
  <c r="BQ117" i="5" s="1"/>
  <c r="CW117" i="5"/>
  <c r="CU117" i="5"/>
  <c r="CT117" i="5"/>
  <c r="CS117" i="5"/>
  <c r="CV117" i="5"/>
  <c r="CR117" i="5"/>
  <c r="CQ117" i="5"/>
  <c r="AY117" i="5" a="1"/>
  <c r="AY117" i="5" s="1"/>
  <c r="BL117" i="5" a="1"/>
  <c r="BL117" i="5" s="1"/>
  <c r="BA117" i="5" a="1"/>
  <c r="BA117" i="5" s="1"/>
  <c r="BG117" i="5" a="1"/>
  <c r="BG117" i="5" s="1"/>
  <c r="BM117" i="5" a="1"/>
  <c r="BM117" i="5" s="1"/>
  <c r="BF117" i="5" a="1"/>
  <c r="BF117" i="5" s="1"/>
  <c r="AE116" i="1" s="1"/>
  <c r="BD117" i="5" a="1"/>
  <c r="BD117" i="5" s="1"/>
  <c r="BN117" i="5" a="1"/>
  <c r="BN117" i="5" s="1"/>
  <c r="V115" i="2"/>
  <c r="CY110" i="8"/>
  <c r="F120" i="8"/>
  <c r="BP116" i="5" a="1"/>
  <c r="BP116" i="5" s="1"/>
  <c r="J116" i="2" s="1"/>
  <c r="O121" i="1"/>
  <c r="CE111" i="8"/>
  <c r="BX112" i="8"/>
  <c r="CE112" i="8" s="1"/>
  <c r="CX112" i="8" s="1"/>
  <c r="BT112" i="8"/>
  <c r="BO112" i="8"/>
  <c r="BP112" i="8"/>
  <c r="BM112" i="8"/>
  <c r="BN112" i="8"/>
  <c r="BK112" i="8"/>
  <c r="BL112" i="8"/>
  <c r="BJ112" i="8"/>
  <c r="AC112" i="10"/>
  <c r="X112" i="10" s="1"/>
  <c r="AS116" i="5"/>
  <c r="CC112" i="8"/>
  <c r="CH112" i="8"/>
  <c r="CZ112" i="8" s="1"/>
  <c r="BZ112" i="8"/>
  <c r="CR112" i="8" s="1"/>
  <c r="BY112" i="8"/>
  <c r="CQ112" i="8" s="1"/>
  <c r="CA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W114" i="1"/>
  <c r="AF114" i="1"/>
  <c r="DH115" i="5"/>
  <c r="Y114" i="1"/>
  <c r="DJ115" i="5"/>
  <c r="K118" i="11"/>
  <c r="A118" i="14"/>
  <c r="CA118" i="14" s="1"/>
  <c r="A118" i="5"/>
  <c r="A118" i="9"/>
  <c r="A118" i="8"/>
  <c r="A118" i="2"/>
  <c r="A118" i="7"/>
  <c r="R118" i="7" s="1"/>
  <c r="AE117" i="8"/>
  <c r="AU117" i="8"/>
  <c r="CI112" i="8"/>
  <c r="DA112" i="8" s="1"/>
  <c r="AC111" i="11"/>
  <c r="U111" i="8" s="1"/>
  <c r="B112" i="14"/>
  <c r="N112" i="7"/>
  <c r="D113" i="9"/>
  <c r="Q112" i="7"/>
  <c r="CS110" i="8"/>
  <c r="Y111" i="11"/>
  <c r="AH111" i="1" s="1"/>
  <c r="Z111" i="11"/>
  <c r="AA111" i="11"/>
  <c r="AK111" i="1" s="1"/>
  <c r="B115" i="5"/>
  <c r="AB111" i="11"/>
  <c r="Q111" i="8" s="1"/>
  <c r="AD111" i="11"/>
  <c r="AI111" i="1" s="1"/>
  <c r="BU115" i="5"/>
  <c r="AH115" i="5"/>
  <c r="B115" i="2"/>
  <c r="B115" i="1"/>
  <c r="BG115" i="1" s="1"/>
  <c r="BZ117" i="11"/>
  <c r="AA116" i="7"/>
  <c r="AF116" i="8" s="1"/>
  <c r="AV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U111" i="8"/>
  <c r="DH113" i="8"/>
  <c r="DI113" i="8" s="1"/>
  <c r="CK113" i="8"/>
  <c r="BW113" i="8"/>
  <c r="AC113" i="1" s="1"/>
  <c r="BI113" i="8"/>
  <c r="AC113" i="8"/>
  <c r="BQ113" i="8" s="1"/>
  <c r="BH113" i="8"/>
  <c r="BU113" i="8" s="1"/>
  <c r="AH124" i="9"/>
  <c r="B113" i="9"/>
  <c r="Y113" i="9" s="1"/>
  <c r="AQ111" i="5"/>
  <c r="A113" i="10"/>
  <c r="AA113" i="10" s="1"/>
  <c r="BT113" i="5"/>
  <c r="A113" i="11"/>
  <c r="AI113" i="5"/>
  <c r="B113" i="7"/>
  <c r="AJ113" i="5"/>
  <c r="AP113" i="5" s="1"/>
  <c r="X113" i="8"/>
  <c r="DD113" i="8" s="1"/>
  <c r="E113" i="1"/>
  <c r="DB111" i="8"/>
  <c r="C114" i="5"/>
  <c r="F114" i="5" s="1"/>
  <c r="CZ115" i="5"/>
  <c r="B111" i="14"/>
  <c r="C115" i="5"/>
  <c r="DA114" i="5"/>
  <c r="DG114" i="5" s="1" a="1"/>
  <c r="DG114" i="5" s="1"/>
  <c r="AB115" i="1"/>
  <c r="DI115" i="5"/>
  <c r="AG124" i="9"/>
  <c r="AK124" i="9"/>
  <c r="N100" i="1"/>
  <c r="S117" i="2"/>
  <c r="N118" i="2"/>
  <c r="R118" i="2"/>
  <c r="Q117" i="2"/>
  <c r="P119" i="2"/>
  <c r="J119" i="10"/>
  <c r="N119" i="5" s="1"/>
  <c r="AI112" i="7" l="1"/>
  <c r="AN125" i="9"/>
  <c r="BK126" i="11" s="1"/>
  <c r="AI126" i="11" s="1"/>
  <c r="CX111" i="8"/>
  <c r="CY111" i="8" s="1"/>
  <c r="CV112" i="8"/>
  <c r="CW112" i="8" s="1"/>
  <c r="AS112" i="8"/>
  <c r="AO113" i="5"/>
  <c r="AM113" i="5"/>
  <c r="AN113" i="5"/>
  <c r="AR113" i="5" s="1"/>
  <c r="AV114" i="5"/>
  <c r="AW114" i="5"/>
  <c r="CL114" i="8"/>
  <c r="AI136" i="9"/>
  <c r="AO136" i="8" s="1"/>
  <c r="G119" i="8"/>
  <c r="CF118" i="8"/>
  <c r="O118" i="2"/>
  <c r="AM125" i="9"/>
  <c r="K125" i="8" s="1"/>
  <c r="BR113" i="8"/>
  <c r="BS113" i="8"/>
  <c r="AD116" i="1"/>
  <c r="CV118" i="5"/>
  <c r="CW118" i="5"/>
  <c r="CS118" i="5"/>
  <c r="CT118" i="5"/>
  <c r="CR118" i="5"/>
  <c r="CU118" i="5"/>
  <c r="CQ118" i="5"/>
  <c r="AY118" i="5" a="1"/>
  <c r="AY118" i="5" s="1"/>
  <c r="BL118" i="5" a="1"/>
  <c r="BL118" i="5" s="1"/>
  <c r="BN118" i="5" a="1"/>
  <c r="BN118" i="5" s="1"/>
  <c r="BB118" i="5" a="1"/>
  <c r="BB118" i="5" s="1"/>
  <c r="BD118" i="5" a="1"/>
  <c r="BD118" i="5" s="1"/>
  <c r="BF118" i="5" a="1"/>
  <c r="BF118" i="5" s="1"/>
  <c r="AE117" i="1" s="1"/>
  <c r="BQ118" i="5" a="1"/>
  <c r="BQ118" i="5" s="1"/>
  <c r="BJ118" i="5" a="1"/>
  <c r="BJ118" i="5" s="1"/>
  <c r="BC118" i="5" a="1"/>
  <c r="BC118" i="5" s="1"/>
  <c r="BM118" i="5" a="1"/>
  <c r="BM118" i="5" s="1"/>
  <c r="BK118" i="5" a="1"/>
  <c r="BK118" i="5" s="1"/>
  <c r="BO118" i="5" a="1"/>
  <c r="BO118" i="5" s="1"/>
  <c r="BH118" i="5" a="1"/>
  <c r="BH118" i="5" s="1"/>
  <c r="BG118" i="5" a="1"/>
  <c r="BG118" i="5" s="1"/>
  <c r="AZ118" i="5" a="1"/>
  <c r="AZ118" i="5" s="1"/>
  <c r="BA118" i="5" a="1"/>
  <c r="BA118" i="5" s="1"/>
  <c r="BE118" i="5" a="1"/>
  <c r="BE118" i="5" s="1"/>
  <c r="BI118" i="5" a="1"/>
  <c r="BI118" i="5" s="1"/>
  <c r="V116" i="2"/>
  <c r="CU112" i="8"/>
  <c r="F121" i="8"/>
  <c r="BP117" i="5" a="1"/>
  <c r="BP117" i="5" s="1"/>
  <c r="J117" i="2" s="1"/>
  <c r="O122" i="1"/>
  <c r="CD112" i="8"/>
  <c r="BX113" i="8"/>
  <c r="CD113" i="8" s="1"/>
  <c r="BT113" i="8"/>
  <c r="BO113" i="8"/>
  <c r="BP113" i="8"/>
  <c r="BM113" i="8"/>
  <c r="BN113" i="8"/>
  <c r="BK113" i="8"/>
  <c r="BL113" i="8"/>
  <c r="BJ113" i="8"/>
  <c r="AC113" i="10"/>
  <c r="X113" i="10" s="1"/>
  <c r="AS117" i="5"/>
  <c r="DB112" i="8"/>
  <c r="AK117" i="11"/>
  <c r="DE116" i="5"/>
  <c r="DB116" i="5"/>
  <c r="DF116" i="5"/>
  <c r="DH116" i="5"/>
  <c r="W115" i="1"/>
  <c r="AM117" i="1"/>
  <c r="K119" i="11"/>
  <c r="A119" i="14"/>
  <c r="CA119" i="14" s="1"/>
  <c r="A119" i="5"/>
  <c r="A119" i="8"/>
  <c r="A119" i="2"/>
  <c r="A119" i="9"/>
  <c r="A119" i="7"/>
  <c r="R119" i="7" s="1"/>
  <c r="AE118" i="8"/>
  <c r="AU118" i="8"/>
  <c r="AJ117" i="1"/>
  <c r="Y115" i="1"/>
  <c r="DJ116" i="5"/>
  <c r="AH117" i="11"/>
  <c r="AF115" i="1"/>
  <c r="AL118" i="14" a="1"/>
  <c r="AL118" i="14" s="1"/>
  <c r="AU118" i="14" a="1"/>
  <c r="AU118" i="14"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Q112" i="5"/>
  <c r="F115" i="5"/>
  <c r="B116" i="2"/>
  <c r="AH116" i="5"/>
  <c r="BU116" i="5"/>
  <c r="B116" i="1"/>
  <c r="BG116" i="1" s="1"/>
  <c r="BZ118" i="11"/>
  <c r="K117" i="10"/>
  <c r="AA117" i="7"/>
  <c r="AF117" i="8" s="1"/>
  <c r="AV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S111" i="8"/>
  <c r="D114" i="9"/>
  <c r="DH114" i="8"/>
  <c r="DI114" i="8" s="1"/>
  <c r="CK114" i="8"/>
  <c r="BW114" i="8"/>
  <c r="AC114" i="1" s="1"/>
  <c r="BI114" i="8"/>
  <c r="N113" i="7"/>
  <c r="B114" i="9"/>
  <c r="Y114" i="9" s="1"/>
  <c r="BH114" i="8"/>
  <c r="BU114" i="8" s="1"/>
  <c r="AH125" i="9"/>
  <c r="CI113" i="8"/>
  <c r="DA113" i="8" s="1"/>
  <c r="CC113" i="8"/>
  <c r="CH113" i="8"/>
  <c r="CZ113" i="8" s="1"/>
  <c r="CA113" i="8"/>
  <c r="CB113" i="8"/>
  <c r="CT113" i="8" s="1"/>
  <c r="BY113" i="8"/>
  <c r="CQ113" i="8" s="1"/>
  <c r="BZ113" i="8"/>
  <c r="CR113" i="8" s="1"/>
  <c r="Y112" i="11"/>
  <c r="AH112" i="1" s="1"/>
  <c r="AB112" i="11"/>
  <c r="Q112" i="8" s="1"/>
  <c r="AD112" i="11"/>
  <c r="AI112" i="1" s="1"/>
  <c r="N113" i="11"/>
  <c r="AA112" i="11"/>
  <c r="AK112" i="1" s="1"/>
  <c r="AC112" i="11"/>
  <c r="U112" i="8" s="1"/>
  <c r="Z112" i="11"/>
  <c r="AE113" i="7"/>
  <c r="AF113" i="7" s="1"/>
  <c r="Q113" i="7"/>
  <c r="BT114" i="5"/>
  <c r="AI114" i="5"/>
  <c r="E114" i="1"/>
  <c r="AC114" i="8"/>
  <c r="BQ114" i="8" s="1"/>
  <c r="B114" i="7"/>
  <c r="AJ114" i="5"/>
  <c r="AP114" i="5" s="1"/>
  <c r="A114" i="10"/>
  <c r="AA114" i="10" s="1"/>
  <c r="X114" i="8"/>
  <c r="DD114" i="8" s="1"/>
  <c r="A114" i="11"/>
  <c r="CZ116" i="5"/>
  <c r="AB116" i="1"/>
  <c r="DI116" i="5"/>
  <c r="C116" i="5"/>
  <c r="DA115" i="5"/>
  <c r="DG115" i="5" s="1" a="1"/>
  <c r="DG115" i="5" s="1"/>
  <c r="AG125" i="9"/>
  <c r="AK125" i="9"/>
  <c r="N101" i="1"/>
  <c r="S118" i="2"/>
  <c r="N119" i="2"/>
  <c r="R119" i="2"/>
  <c r="Q118" i="2"/>
  <c r="J120" i="10"/>
  <c r="N120" i="5" s="1"/>
  <c r="P120" i="2"/>
  <c r="AN126" i="9" l="1"/>
  <c r="BK127" i="11" s="1"/>
  <c r="AI127" i="11" s="1"/>
  <c r="CV113" i="8"/>
  <c r="CW113" i="8" s="1"/>
  <c r="AS113" i="8"/>
  <c r="AO114" i="5"/>
  <c r="AM114" i="5"/>
  <c r="AN114" i="5"/>
  <c r="AR114" i="5" s="1"/>
  <c r="AV115" i="5"/>
  <c r="AW115" i="5"/>
  <c r="AG113" i="7"/>
  <c r="AI113" i="7" s="1"/>
  <c r="CL115" i="8"/>
  <c r="G120" i="8"/>
  <c r="CF119" i="8"/>
  <c r="O119" i="2"/>
  <c r="BJ119" i="5" a="1"/>
  <c r="BJ119" i="5" s="1"/>
  <c r="AM126" i="9"/>
  <c r="K126" i="8" s="1"/>
  <c r="BR114" i="8"/>
  <c r="BS114" i="8"/>
  <c r="AD117" i="1"/>
  <c r="BQ119" i="5" a="1"/>
  <c r="BQ119" i="5" s="1"/>
  <c r="BF119" i="5" a="1"/>
  <c r="BF119" i="5" s="1"/>
  <c r="AE118" i="1" s="1"/>
  <c r="CW119" i="5"/>
  <c r="CQ119" i="5"/>
  <c r="CT119" i="5"/>
  <c r="CR119" i="5"/>
  <c r="CU119" i="5"/>
  <c r="CS119" i="5"/>
  <c r="CV119" i="5"/>
  <c r="AY119" i="5" a="1"/>
  <c r="AY119" i="5" s="1"/>
  <c r="BL119" i="5" a="1"/>
  <c r="BL119" i="5" s="1"/>
  <c r="BD119" i="5" a="1"/>
  <c r="BD119" i="5" s="1"/>
  <c r="BB119" i="5" a="1"/>
  <c r="BB119" i="5" s="1"/>
  <c r="BI119" i="5" a="1"/>
  <c r="BI119" i="5" s="1"/>
  <c r="BN119" i="5" a="1"/>
  <c r="BN119" i="5" s="1"/>
  <c r="BE119" i="5" a="1"/>
  <c r="BE119" i="5" s="1"/>
  <c r="BA119" i="5" a="1"/>
  <c r="BA119" i="5" s="1"/>
  <c r="AZ119" i="5" a="1"/>
  <c r="AZ119" i="5" s="1"/>
  <c r="BG119" i="5" a="1"/>
  <c r="BG119" i="5" s="1"/>
  <c r="BH119" i="5" a="1"/>
  <c r="BH119" i="5" s="1"/>
  <c r="BO119" i="5" a="1"/>
  <c r="BO119" i="5" s="1"/>
  <c r="BK119" i="5" a="1"/>
  <c r="BK119" i="5" s="1"/>
  <c r="BM119" i="5" a="1"/>
  <c r="BM119" i="5" s="1"/>
  <c r="BC119" i="5" a="1"/>
  <c r="BC119" i="5" s="1"/>
  <c r="V117" i="2"/>
  <c r="CS112" i="8"/>
  <c r="CY112" i="8"/>
  <c r="F122" i="8"/>
  <c r="BP118" i="5" a="1"/>
  <c r="BP118" i="5" s="1"/>
  <c r="J118" i="2" s="1"/>
  <c r="BH115" i="8"/>
  <c r="BU115" i="8" s="1"/>
  <c r="O123" i="1"/>
  <c r="CE113" i="8"/>
  <c r="BT114" i="8"/>
  <c r="BO114" i="8"/>
  <c r="BP114" i="8"/>
  <c r="BM114" i="8"/>
  <c r="BN114" i="8"/>
  <c r="BK114" i="8"/>
  <c r="BL114" i="8"/>
  <c r="BJ114" i="8"/>
  <c r="AC114" i="10"/>
  <c r="X114" i="10" s="1"/>
  <c r="AS118" i="5"/>
  <c r="AK118" i="11"/>
  <c r="DF117" i="5"/>
  <c r="AJ118" i="1"/>
  <c r="AH118" i="11"/>
  <c r="AM118" i="1"/>
  <c r="DB117" i="5"/>
  <c r="DE117" i="5"/>
  <c r="AF116" i="1"/>
  <c r="DH117" i="5"/>
  <c r="K120" i="11"/>
  <c r="A120" i="14"/>
  <c r="CA120" i="14" s="1"/>
  <c r="A120" i="8"/>
  <c r="A120" i="2"/>
  <c r="A120" i="5"/>
  <c r="A120" i="7"/>
  <c r="R120" i="7" s="1"/>
  <c r="A120" i="9"/>
  <c r="Y116" i="1"/>
  <c r="DJ117" i="5"/>
  <c r="AE119" i="8"/>
  <c r="AU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W116" i="1"/>
  <c r="AI115" i="5"/>
  <c r="B115" i="7"/>
  <c r="AE115" i="7" s="1"/>
  <c r="AF115" i="7" s="1"/>
  <c r="A115" i="11"/>
  <c r="Y114" i="11" s="1"/>
  <c r="AH114" i="1" s="1"/>
  <c r="BW115" i="8"/>
  <c r="AJ115" i="5"/>
  <c r="AP115" i="5" s="1"/>
  <c r="CK115" i="8"/>
  <c r="E115" i="1"/>
  <c r="A115" i="10"/>
  <c r="AA115" i="10" s="1"/>
  <c r="AC115" i="8"/>
  <c r="BQ115" i="8" s="1"/>
  <c r="BT115" i="5"/>
  <c r="DH115" i="8"/>
  <c r="DI115" i="8" s="1"/>
  <c r="B115" i="9"/>
  <c r="Y115" i="9" s="1"/>
  <c r="BI115" i="8"/>
  <c r="X115" i="8"/>
  <c r="DD115" i="8" s="1"/>
  <c r="F116" i="5"/>
  <c r="B117" i="5"/>
  <c r="AH117" i="5"/>
  <c r="BU117" i="5"/>
  <c r="B117" i="1"/>
  <c r="BG117" i="1" s="1"/>
  <c r="B117" i="2"/>
  <c r="BZ119" i="11"/>
  <c r="K118" i="10"/>
  <c r="AA118" i="7"/>
  <c r="AF118" i="8" s="1"/>
  <c r="AV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U113" i="8"/>
  <c r="D115" i="9"/>
  <c r="BX114" i="8"/>
  <c r="CD114" i="8" s="1"/>
  <c r="N114" i="7"/>
  <c r="AH126" i="9"/>
  <c r="AQ113" i="5"/>
  <c r="DB113" i="8"/>
  <c r="CI114" i="8"/>
  <c r="DA114" i="8" s="1"/>
  <c r="B113" i="14"/>
  <c r="CH114" i="8"/>
  <c r="CZ114" i="8" s="1"/>
  <c r="BZ114" i="8"/>
  <c r="CR114" i="8" s="1"/>
  <c r="CA114" i="8"/>
  <c r="CB114" i="8"/>
  <c r="CT114" i="8" s="1"/>
  <c r="BY114" i="8"/>
  <c r="CQ114" i="8" s="1"/>
  <c r="CC114" i="8"/>
  <c r="AE114" i="7"/>
  <c r="AF114" i="7" s="1"/>
  <c r="Q114" i="7"/>
  <c r="AC113" i="11"/>
  <c r="U113" i="8" s="1"/>
  <c r="Y113" i="11"/>
  <c r="AH113" i="1" s="1"/>
  <c r="AD113" i="11"/>
  <c r="AI113" i="1" s="1"/>
  <c r="Z113" i="11"/>
  <c r="AB113" i="11"/>
  <c r="Q113" i="8" s="1"/>
  <c r="N114" i="11"/>
  <c r="AA113" i="11"/>
  <c r="AK113" i="1" s="1"/>
  <c r="CZ117" i="5"/>
  <c r="C117" i="5"/>
  <c r="DA116" i="5"/>
  <c r="DG116" i="5" s="1" a="1"/>
  <c r="DG116" i="5" s="1"/>
  <c r="AB117" i="1"/>
  <c r="DI117" i="5"/>
  <c r="AG126" i="9"/>
  <c r="AK126" i="9"/>
  <c r="N102" i="1"/>
  <c r="S119" i="2"/>
  <c r="N120" i="2"/>
  <c r="R120" i="2"/>
  <c r="Q119" i="2"/>
  <c r="P121" i="2"/>
  <c r="J121" i="10"/>
  <c r="N121" i="5" s="1"/>
  <c r="AN127" i="9" l="1"/>
  <c r="BK128" i="11" s="1"/>
  <c r="AI128" i="11" s="1"/>
  <c r="CX113" i="8"/>
  <c r="CY113" i="8" s="1"/>
  <c r="CV114" i="8"/>
  <c r="CW114" i="8" s="1"/>
  <c r="AS114" i="8"/>
  <c r="AO115" i="5"/>
  <c r="AM115" i="5"/>
  <c r="AN115" i="5"/>
  <c r="AR115" i="5" s="1"/>
  <c r="AV116" i="5"/>
  <c r="AW116" i="5"/>
  <c r="AG115" i="7"/>
  <c r="AG114" i="7"/>
  <c r="AI114" i="7" s="1"/>
  <c r="CL116" i="8"/>
  <c r="CC115" i="8"/>
  <c r="AC115" i="1"/>
  <c r="G121" i="8"/>
  <c r="CF120" i="8"/>
  <c r="O120" i="2"/>
  <c r="BI120" i="5" a="1"/>
  <c r="BI120" i="5" s="1"/>
  <c r="BB120" i="5" a="1"/>
  <c r="BB120" i="5" s="1"/>
  <c r="AM127" i="9"/>
  <c r="K127" i="8" s="1"/>
  <c r="BR115" i="8"/>
  <c r="BS115" i="8"/>
  <c r="AD118" i="1"/>
  <c r="BD120" i="5" a="1"/>
  <c r="BD120" i="5" s="1"/>
  <c r="BC120" i="5" a="1"/>
  <c r="BC120" i="5" s="1"/>
  <c r="BM120" i="5" a="1"/>
  <c r="BM120" i="5" s="1"/>
  <c r="BK120" i="5" a="1"/>
  <c r="BK120" i="5" s="1"/>
  <c r="BO120" i="5" a="1"/>
  <c r="BO120" i="5" s="1"/>
  <c r="BH120" i="5" a="1"/>
  <c r="BH120" i="5" s="1"/>
  <c r="BG120" i="5" a="1"/>
  <c r="BG120" i="5" s="1"/>
  <c r="CQ120" i="5"/>
  <c r="CW120" i="5"/>
  <c r="CS120" i="5"/>
  <c r="CV120" i="5"/>
  <c r="CR120" i="5"/>
  <c r="CU120" i="5"/>
  <c r="CT120" i="5"/>
  <c r="AY120" i="5" a="1"/>
  <c r="AY120" i="5" s="1"/>
  <c r="BL120" i="5" a="1"/>
  <c r="BL120" i="5" s="1"/>
  <c r="AZ120" i="5" a="1"/>
  <c r="AZ120" i="5" s="1"/>
  <c r="BA120" i="5" a="1"/>
  <c r="BA120" i="5" s="1"/>
  <c r="BF120" i="5" a="1"/>
  <c r="BF120" i="5" s="1"/>
  <c r="AE119" i="1" s="1"/>
  <c r="BE120" i="5" a="1"/>
  <c r="BE120" i="5" s="1"/>
  <c r="BJ120" i="5" a="1"/>
  <c r="BJ120" i="5" s="1"/>
  <c r="BN120" i="5" a="1"/>
  <c r="BN120" i="5" s="1"/>
  <c r="BQ120" i="5" a="1"/>
  <c r="BQ120" i="5" s="1"/>
  <c r="V118" i="2"/>
  <c r="D116" i="9"/>
  <c r="BX115" i="8"/>
  <c r="CD115" i="8" s="1"/>
  <c r="F123" i="8"/>
  <c r="BT115" i="8"/>
  <c r="BP119" i="5" a="1"/>
  <c r="BP119" i="5" s="1"/>
  <c r="J119" i="2" s="1"/>
  <c r="O124" i="1"/>
  <c r="BO115" i="8"/>
  <c r="BP115" i="8"/>
  <c r="BM115" i="8"/>
  <c r="BN115" i="8"/>
  <c r="BK115" i="8"/>
  <c r="BL115" i="8"/>
  <c r="BJ115" i="8"/>
  <c r="AC115" i="10"/>
  <c r="X115" i="10" s="1"/>
  <c r="AS119" i="5"/>
  <c r="AK119" i="11"/>
  <c r="DE118" i="5"/>
  <c r="CK116" i="8"/>
  <c r="DB118" i="5"/>
  <c r="AM119" i="1"/>
  <c r="DF118" i="5"/>
  <c r="Y117" i="1"/>
  <c r="DJ118" i="5"/>
  <c r="AH119" i="11"/>
  <c r="W117" i="1"/>
  <c r="K121" i="11"/>
  <c r="A121" i="14"/>
  <c r="CA121" i="14" s="1"/>
  <c r="A121" i="8"/>
  <c r="A121" i="7"/>
  <c r="R121" i="7" s="1"/>
  <c r="A121" i="2"/>
  <c r="A121" i="5"/>
  <c r="A121" i="9"/>
  <c r="AU120" i="8"/>
  <c r="AE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U114" i="8" s="1"/>
  <c r="Z114" i="11"/>
  <c r="AD114" i="11"/>
  <c r="AI114" i="1" s="1"/>
  <c r="N115" i="11"/>
  <c r="Q115" i="7"/>
  <c r="AA114" i="11"/>
  <c r="AK114" i="1" s="1"/>
  <c r="AB114" i="11"/>
  <c r="Q114" i="8" s="1"/>
  <c r="A116" i="10"/>
  <c r="AA116" i="10" s="1"/>
  <c r="N115" i="7"/>
  <c r="BI116" i="8"/>
  <c r="BY115" i="8"/>
  <c r="CQ115" i="8" s="1"/>
  <c r="E116" i="1"/>
  <c r="A116" i="11"/>
  <c r="AC115" i="11" s="1"/>
  <c r="U115" i="8" s="1"/>
  <c r="CH115" i="8"/>
  <c r="CZ115" i="8" s="1"/>
  <c r="CI115" i="8"/>
  <c r="DA115" i="8" s="1"/>
  <c r="CB115" i="8"/>
  <c r="CT115" i="8" s="1"/>
  <c r="CA115" i="8"/>
  <c r="BZ115" i="8"/>
  <c r="CR115" i="8" s="1"/>
  <c r="DH116" i="8"/>
  <c r="DI116" i="8" s="1"/>
  <c r="X116" i="8"/>
  <c r="DD116" i="8" s="1"/>
  <c r="BH116" i="8"/>
  <c r="BU116" i="8" s="1"/>
  <c r="BW116" i="8"/>
  <c r="B116" i="7"/>
  <c r="AE116" i="7" s="1"/>
  <c r="AF116" i="7" s="1"/>
  <c r="AI116" i="5"/>
  <c r="BT116" i="5"/>
  <c r="B116" i="9"/>
  <c r="Y116" i="9" s="1"/>
  <c r="AC116" i="8"/>
  <c r="BQ116" i="8" s="1"/>
  <c r="AJ116" i="5"/>
  <c r="AP116" i="5" s="1"/>
  <c r="F117" i="5"/>
  <c r="B118" i="5"/>
  <c r="CS113" i="8"/>
  <c r="B118" i="2"/>
  <c r="B118" i="1"/>
  <c r="BG118" i="1" s="1"/>
  <c r="AH118" i="5"/>
  <c r="BU118" i="5"/>
  <c r="BZ120" i="11"/>
  <c r="K119" i="10"/>
  <c r="AA119" i="7"/>
  <c r="AF119" i="8" s="1"/>
  <c r="AV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U114" i="8"/>
  <c r="CE114" i="8"/>
  <c r="AH127" i="9"/>
  <c r="DB114" i="8"/>
  <c r="AQ114" i="5"/>
  <c r="B114" i="14"/>
  <c r="CZ118" i="5"/>
  <c r="AB118" i="1"/>
  <c r="DI118" i="5"/>
  <c r="DA117" i="5"/>
  <c r="DG117" i="5" s="1" a="1"/>
  <c r="DG117" i="5" s="1"/>
  <c r="AG127" i="9"/>
  <c r="AK127" i="9"/>
  <c r="N103" i="1"/>
  <c r="S120" i="2"/>
  <c r="N121" i="2"/>
  <c r="R121" i="2"/>
  <c r="Q120" i="2"/>
  <c r="J122" i="10"/>
  <c r="N122" i="5" s="1"/>
  <c r="P122" i="2"/>
  <c r="AN128" i="9" l="1"/>
  <c r="BK129" i="11" s="1"/>
  <c r="AI129" i="11" s="1"/>
  <c r="CX114" i="8"/>
  <c r="CY114" i="8" s="1"/>
  <c r="CV115" i="8"/>
  <c r="CW115" i="8" s="1"/>
  <c r="AS115" i="8"/>
  <c r="AI115" i="7"/>
  <c r="AO116" i="5"/>
  <c r="AM116" i="5"/>
  <c r="AN116" i="5"/>
  <c r="AR116" i="5" s="1"/>
  <c r="AV117" i="5"/>
  <c r="AW117" i="5"/>
  <c r="AG116" i="7"/>
  <c r="CL117" i="8"/>
  <c r="CC116" i="8"/>
  <c r="AC116" i="1"/>
  <c r="G122" i="8"/>
  <c r="CF121" i="8"/>
  <c r="O121" i="2"/>
  <c r="AM128" i="9"/>
  <c r="K128" i="8" s="1"/>
  <c r="BR116" i="8"/>
  <c r="BS116" i="8"/>
  <c r="BQ121" i="5" a="1"/>
  <c r="BQ121" i="5" s="1"/>
  <c r="BN121" i="5" a="1"/>
  <c r="BN121" i="5" s="1"/>
  <c r="BG121" i="5" a="1"/>
  <c r="BG121" i="5" s="1"/>
  <c r="BJ121" i="5" a="1"/>
  <c r="BJ121" i="5" s="1"/>
  <c r="BH121" i="5" a="1"/>
  <c r="BH121" i="5" s="1"/>
  <c r="BE121" i="5" a="1"/>
  <c r="BE121" i="5" s="1"/>
  <c r="BO121" i="5" a="1"/>
  <c r="BO121" i="5" s="1"/>
  <c r="BF121" i="5" a="1"/>
  <c r="BF121" i="5" s="1"/>
  <c r="AE120" i="1" s="1"/>
  <c r="BK121" i="5" a="1"/>
  <c r="BK121" i="5" s="1"/>
  <c r="CQ121" i="5"/>
  <c r="CW121" i="5"/>
  <c r="CR121" i="5"/>
  <c r="CT121" i="5"/>
  <c r="CV121" i="5"/>
  <c r="CU121" i="5"/>
  <c r="CS121" i="5"/>
  <c r="AY121" i="5" a="1"/>
  <c r="AY121" i="5" s="1"/>
  <c r="BL121" i="5" a="1"/>
  <c r="BL121" i="5" s="1"/>
  <c r="BA121" i="5" a="1"/>
  <c r="BA121" i="5" s="1"/>
  <c r="BM121" i="5" a="1"/>
  <c r="BM121" i="5" s="1"/>
  <c r="AD119" i="1"/>
  <c r="BB121" i="5" a="1"/>
  <c r="BB121" i="5" s="1"/>
  <c r="AZ121" i="5" a="1"/>
  <c r="AZ121" i="5" s="1"/>
  <c r="BC121" i="5" a="1"/>
  <c r="BC121" i="5" s="1"/>
  <c r="BI121" i="5" a="1"/>
  <c r="BI121" i="5" s="1"/>
  <c r="BD121" i="5" a="1"/>
  <c r="BD121" i="5" s="1"/>
  <c r="CE115" i="8"/>
  <c r="V119" i="2"/>
  <c r="CU115" i="8"/>
  <c r="F124" i="8"/>
  <c r="BP120" i="5" a="1"/>
  <c r="BP120" i="5" s="1"/>
  <c r="J120" i="2" s="1"/>
  <c r="DH117" i="8"/>
  <c r="DI117" i="8" s="1"/>
  <c r="O125" i="1"/>
  <c r="BX116" i="8"/>
  <c r="CE116" i="8" s="1"/>
  <c r="CX116" i="8" s="1"/>
  <c r="BT116" i="8"/>
  <c r="BO116" i="8"/>
  <c r="BP116" i="8"/>
  <c r="BM116" i="8"/>
  <c r="BN116" i="8"/>
  <c r="BK116" i="8"/>
  <c r="BL116" i="8"/>
  <c r="BJ116" i="8"/>
  <c r="AC116" i="10"/>
  <c r="X116" i="10" s="1"/>
  <c r="AK120" i="11"/>
  <c r="AS120" i="5"/>
  <c r="DE119" i="5"/>
  <c r="BH117" i="8"/>
  <c r="BU117" i="8" s="1"/>
  <c r="DF119" i="5"/>
  <c r="DB119" i="5"/>
  <c r="AF118" i="1"/>
  <c r="W118" i="1"/>
  <c r="K122" i="11"/>
  <c r="A122" i="14"/>
  <c r="CA122" i="14" s="1"/>
  <c r="A122" i="9"/>
  <c r="A122" i="7"/>
  <c r="R122" i="7" s="1"/>
  <c r="A122" i="2"/>
  <c r="A122" i="8"/>
  <c r="A122" i="5"/>
  <c r="DH119" i="5"/>
  <c r="AJ120" i="1"/>
  <c r="AU121" i="8"/>
  <c r="AE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Q115" i="8" s="1"/>
  <c r="Z115" i="11"/>
  <c r="BT117" i="5"/>
  <c r="Y115" i="11"/>
  <c r="AH115" i="1" s="1"/>
  <c r="AC117" i="8"/>
  <c r="BQ117" i="8" s="1"/>
  <c r="DB115" i="8"/>
  <c r="CI116" i="8"/>
  <c r="DA116" i="8" s="1"/>
  <c r="N116" i="7"/>
  <c r="B117" i="9"/>
  <c r="Y117" i="9" s="1"/>
  <c r="AI117" i="5"/>
  <c r="X117" i="8"/>
  <c r="DD117" i="8" s="1"/>
  <c r="E117" i="1"/>
  <c r="B117" i="7"/>
  <c r="AE117" i="7" s="1"/>
  <c r="AF117" i="7" s="1"/>
  <c r="A117" i="10"/>
  <c r="AA117" i="10" s="1"/>
  <c r="CS114" i="8"/>
  <c r="D117" i="9"/>
  <c r="B116" i="14"/>
  <c r="Q116" i="7"/>
  <c r="CB116" i="8"/>
  <c r="CT116" i="8" s="1"/>
  <c r="BW117" i="8"/>
  <c r="BI117" i="8"/>
  <c r="AJ117" i="5"/>
  <c r="AP117" i="5" s="1"/>
  <c r="A117" i="11"/>
  <c r="Z116" i="11" s="1"/>
  <c r="CK117" i="8"/>
  <c r="BY116" i="8"/>
  <c r="CQ116" i="8" s="1"/>
  <c r="CA116" i="8"/>
  <c r="BZ116" i="8"/>
  <c r="CR116" i="8" s="1"/>
  <c r="CH116" i="8"/>
  <c r="CZ116" i="8" s="1"/>
  <c r="B119" i="2"/>
  <c r="B119" i="1"/>
  <c r="BG119" i="1" s="1"/>
  <c r="AH119" i="5"/>
  <c r="BU119" i="5"/>
  <c r="BZ121" i="11"/>
  <c r="K120" i="10"/>
  <c r="AA120" i="7"/>
  <c r="AF120" i="8" s="1"/>
  <c r="AV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AH128" i="9"/>
  <c r="CZ119" i="5"/>
  <c r="C118" i="5"/>
  <c r="F118" i="5" s="1"/>
  <c r="C119" i="5"/>
  <c r="DA118" i="5"/>
  <c r="DG118" i="5" s="1" a="1"/>
  <c r="DG118" i="5" s="1"/>
  <c r="AB119" i="1"/>
  <c r="DI119" i="5"/>
  <c r="AG128" i="9"/>
  <c r="AK128" i="9"/>
  <c r="N104" i="1"/>
  <c r="S121" i="2"/>
  <c r="N122" i="2"/>
  <c r="R122" i="2"/>
  <c r="Q121" i="2"/>
  <c r="J123" i="10"/>
  <c r="N123" i="5" s="1"/>
  <c r="P123" i="2"/>
  <c r="AN129" i="9" l="1"/>
  <c r="BK130" i="11" s="1"/>
  <c r="AI130" i="11" s="1"/>
  <c r="CX115" i="8"/>
  <c r="CY115" i="8" s="1"/>
  <c r="CV116" i="8"/>
  <c r="CW116" i="8" s="1"/>
  <c r="AS116" i="8"/>
  <c r="AO117" i="5"/>
  <c r="AM117" i="5"/>
  <c r="AN117" i="5"/>
  <c r="AR117" i="5" s="1"/>
  <c r="AV118" i="5"/>
  <c r="AW118" i="5"/>
  <c r="AI116" i="7"/>
  <c r="AG117" i="7"/>
  <c r="CL118" i="8"/>
  <c r="BY117" i="8"/>
  <c r="CQ117" i="8" s="1"/>
  <c r="AC117" i="1"/>
  <c r="AD120" i="1"/>
  <c r="G123" i="8"/>
  <c r="CF122" i="8"/>
  <c r="O122" i="2"/>
  <c r="AM129" i="9"/>
  <c r="K129" i="8" s="1"/>
  <c r="BR117" i="8"/>
  <c r="BS117" i="8"/>
  <c r="BD122" i="5" a="1"/>
  <c r="BD122" i="5" s="1"/>
  <c r="BI122" i="5" a="1"/>
  <c r="BI122" i="5" s="1"/>
  <c r="BK122" i="5" a="1"/>
  <c r="BK122" i="5" s="1"/>
  <c r="BC122" i="5" a="1"/>
  <c r="BC122" i="5" s="1"/>
  <c r="BF122" i="5" a="1"/>
  <c r="BF122" i="5" s="1"/>
  <c r="AE121" i="1" s="1"/>
  <c r="AZ122" i="5" a="1"/>
  <c r="AZ122" i="5" s="1"/>
  <c r="BB122" i="5" a="1"/>
  <c r="BB122" i="5" s="1"/>
  <c r="BO122" i="5" a="1"/>
  <c r="BO122" i="5" s="1"/>
  <c r="BE122" i="5" a="1"/>
  <c r="BE122" i="5" s="1"/>
  <c r="BM122" i="5" a="1"/>
  <c r="BM122" i="5" s="1"/>
  <c r="BH122" i="5" a="1"/>
  <c r="BH122" i="5" s="1"/>
  <c r="CS122" i="5"/>
  <c r="CQ122" i="5"/>
  <c r="CR122" i="5"/>
  <c r="CV122" i="5"/>
  <c r="CU122" i="5"/>
  <c r="CT122" i="5"/>
  <c r="CW122" i="5"/>
  <c r="AY122" i="5" a="1"/>
  <c r="AY122" i="5" s="1"/>
  <c r="BL122" i="5" a="1"/>
  <c r="BL122" i="5" s="1"/>
  <c r="BA122" i="5" a="1"/>
  <c r="BA122" i="5" s="1"/>
  <c r="BJ122" i="5" a="1"/>
  <c r="BJ122" i="5" s="1"/>
  <c r="BG122" i="5" a="1"/>
  <c r="BG122" i="5" s="1"/>
  <c r="BN122" i="5" a="1"/>
  <c r="BN122" i="5" s="1"/>
  <c r="BQ122" i="5" a="1"/>
  <c r="BQ122" i="5" s="1"/>
  <c r="V120" i="2"/>
  <c r="CS115" i="8"/>
  <c r="CI117" i="8"/>
  <c r="DA117" i="8" s="1"/>
  <c r="CU116" i="8"/>
  <c r="F125" i="8"/>
  <c r="BP121" i="5" a="1"/>
  <c r="BP121" i="5" s="1"/>
  <c r="J121" i="2" s="1"/>
  <c r="O126" i="1"/>
  <c r="CD116" i="8"/>
  <c r="BX117" i="8"/>
  <c r="CD117" i="8" s="1"/>
  <c r="BT117" i="8"/>
  <c r="BO117" i="8"/>
  <c r="BP117" i="8"/>
  <c r="BM117" i="8"/>
  <c r="BN117" i="8"/>
  <c r="BK117" i="8"/>
  <c r="BL117" i="8"/>
  <c r="BJ117" i="8"/>
  <c r="AC117" i="10"/>
  <c r="X117" i="10" s="1"/>
  <c r="AK121" i="11"/>
  <c r="D118" i="9"/>
  <c r="AS121" i="5"/>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W119" i="1"/>
  <c r="AM121" i="1"/>
  <c r="AJ121" i="1"/>
  <c r="AH121" i="11"/>
  <c r="AU122" i="8"/>
  <c r="AE122" i="8"/>
  <c r="K123" i="11"/>
  <c r="A123" i="14"/>
  <c r="CA123" i="14" s="1"/>
  <c r="A123" i="7"/>
  <c r="R123" i="7" s="1"/>
  <c r="A123" i="5"/>
  <c r="A123" i="9"/>
  <c r="A123" i="2"/>
  <c r="A123" i="8"/>
  <c r="Y119" i="1"/>
  <c r="DJ120" i="5"/>
  <c r="AF119" i="1"/>
  <c r="DB116" i="8"/>
  <c r="CA117" i="8"/>
  <c r="N117" i="7"/>
  <c r="AQ116" i="5"/>
  <c r="Q117" i="7"/>
  <c r="B117" i="14"/>
  <c r="BZ117" i="8"/>
  <c r="CR117" i="8" s="1"/>
  <c r="CC117" i="8"/>
  <c r="CB117" i="8"/>
  <c r="CT117" i="8" s="1"/>
  <c r="AB116" i="11"/>
  <c r="Q116" i="8" s="1"/>
  <c r="Y116" i="11"/>
  <c r="AH116" i="1" s="1"/>
  <c r="AD116" i="11"/>
  <c r="AI116" i="1" s="1"/>
  <c r="AC116" i="11"/>
  <c r="U116" i="8" s="1"/>
  <c r="CH117" i="8"/>
  <c r="CZ117" i="8" s="1"/>
  <c r="AA116" i="11"/>
  <c r="AK116" i="1" s="1"/>
  <c r="N117" i="11"/>
  <c r="F119" i="5"/>
  <c r="B120" i="5"/>
  <c r="DC120" i="5"/>
  <c r="BU120" i="5"/>
  <c r="B120" i="2"/>
  <c r="B120" i="1"/>
  <c r="BG120" i="1" s="1"/>
  <c r="AH120" i="5"/>
  <c r="BZ122" i="11"/>
  <c r="K121" i="10"/>
  <c r="AA121" i="7"/>
  <c r="AF121" i="8" s="1"/>
  <c r="AV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H118" i="8"/>
  <c r="DI118" i="8" s="1"/>
  <c r="CK118" i="8"/>
  <c r="BW118" i="8"/>
  <c r="AC118" i="1" s="1"/>
  <c r="BH118" i="8"/>
  <c r="BU118" i="8" s="1"/>
  <c r="BI118" i="8"/>
  <c r="AH129" i="9"/>
  <c r="A118" i="10"/>
  <c r="AA118" i="10" s="1"/>
  <c r="B118" i="7"/>
  <c r="X118" i="8"/>
  <c r="DD118" i="8" s="1"/>
  <c r="E118" i="1"/>
  <c r="AJ118" i="5"/>
  <c r="AP118" i="5" s="1"/>
  <c r="B118" i="9"/>
  <c r="Y118" i="9" s="1"/>
  <c r="AI118" i="5"/>
  <c r="A118" i="11"/>
  <c r="AC118" i="8"/>
  <c r="BQ118" i="8" s="1"/>
  <c r="BT118" i="5"/>
  <c r="CZ120" i="5"/>
  <c r="AB120" i="1"/>
  <c r="DI120" i="5"/>
  <c r="DA119" i="5"/>
  <c r="DG119" i="5" s="1" a="1"/>
  <c r="DG119" i="5" s="1"/>
  <c r="AG129" i="9"/>
  <c r="AK129" i="9"/>
  <c r="N105" i="1"/>
  <c r="S122" i="2"/>
  <c r="N123" i="2"/>
  <c r="R123" i="2"/>
  <c r="Q122" i="2"/>
  <c r="P124" i="2"/>
  <c r="J124" i="10"/>
  <c r="N124" i="5" s="1"/>
  <c r="AN130" i="9" l="1"/>
  <c r="BK131" i="11" s="1"/>
  <c r="AI131" i="11" s="1"/>
  <c r="CV117" i="8"/>
  <c r="CW117" i="8" s="1"/>
  <c r="CU117" i="8"/>
  <c r="AS117" i="8"/>
  <c r="AO118" i="5"/>
  <c r="AM118" i="5"/>
  <c r="AN118" i="5"/>
  <c r="AR118" i="5" s="1"/>
  <c r="AI117" i="7"/>
  <c r="AV119" i="5"/>
  <c r="AW119" i="5"/>
  <c r="CL119" i="8"/>
  <c r="G124" i="8"/>
  <c r="CF123" i="8"/>
  <c r="O123" i="2"/>
  <c r="BH123" i="5" a="1"/>
  <c r="BH123" i="5" s="1"/>
  <c r="AM130" i="9"/>
  <c r="K130" i="8" s="1"/>
  <c r="BR118" i="8"/>
  <c r="BS118" i="8"/>
  <c r="AD121" i="1"/>
  <c r="BM123" i="5" a="1"/>
  <c r="BM123" i="5" s="1"/>
  <c r="BQ123" i="5" a="1"/>
  <c r="BQ123" i="5" s="1"/>
  <c r="BE123" i="5" a="1"/>
  <c r="BE123" i="5" s="1"/>
  <c r="BN123" i="5" a="1"/>
  <c r="BN123" i="5" s="1"/>
  <c r="BO123" i="5" a="1"/>
  <c r="BO123" i="5" s="1"/>
  <c r="CR123" i="5"/>
  <c r="CU123" i="5"/>
  <c r="CS123" i="5"/>
  <c r="CQ123" i="5"/>
  <c r="CT123" i="5"/>
  <c r="CV123" i="5"/>
  <c r="CW123" i="5"/>
  <c r="AY123" i="5" a="1"/>
  <c r="AY123" i="5" s="1"/>
  <c r="BL123" i="5" a="1"/>
  <c r="BL123" i="5" s="1"/>
  <c r="BG123" i="5" a="1"/>
  <c r="BG123" i="5" s="1"/>
  <c r="BB123" i="5" a="1"/>
  <c r="BB123" i="5" s="1"/>
  <c r="BJ123" i="5" a="1"/>
  <c r="BJ123" i="5" s="1"/>
  <c r="AZ123" i="5" a="1"/>
  <c r="AZ123" i="5" s="1"/>
  <c r="BA123" i="5" a="1"/>
  <c r="BA123" i="5" s="1"/>
  <c r="BF123" i="5" a="1"/>
  <c r="BF123" i="5" s="1"/>
  <c r="AE122" i="1" s="1"/>
  <c r="BC123" i="5" a="1"/>
  <c r="BC123" i="5" s="1"/>
  <c r="BK123" i="5" a="1"/>
  <c r="BK123" i="5" s="1"/>
  <c r="BI123" i="5" a="1"/>
  <c r="BI123" i="5" s="1"/>
  <c r="BD123" i="5" a="1"/>
  <c r="BD123" i="5" s="1"/>
  <c r="V121" i="2"/>
  <c r="DB117" i="8"/>
  <c r="CS116" i="8"/>
  <c r="CY116" i="8"/>
  <c r="F126" i="8"/>
  <c r="BP122" i="5" a="1"/>
  <c r="BP122" i="5" s="1"/>
  <c r="J122" i="2" s="1"/>
  <c r="O127" i="1"/>
  <c r="CE117" i="8"/>
  <c r="BX118" i="8"/>
  <c r="CE118" i="8" s="1"/>
  <c r="CX118" i="8" s="1"/>
  <c r="BT118" i="8"/>
  <c r="BO118" i="8"/>
  <c r="BP118" i="8"/>
  <c r="BM118" i="8"/>
  <c r="BN118" i="8"/>
  <c r="BK118" i="8"/>
  <c r="BL118" i="8"/>
  <c r="BJ118" i="8"/>
  <c r="AC118" i="10"/>
  <c r="X118" i="10" s="1"/>
  <c r="AK122" i="11"/>
  <c r="AS122" i="5"/>
  <c r="DE121" i="5"/>
  <c r="DB121" i="5"/>
  <c r="CK119" i="8"/>
  <c r="AJ122" i="1"/>
  <c r="AF120" i="1"/>
  <c r="DH121" i="5"/>
  <c r="K124" i="11"/>
  <c r="A124" i="14"/>
  <c r="CA124" i="14" s="1"/>
  <c r="A124" i="7"/>
  <c r="R124" i="7" s="1"/>
  <c r="A124" i="5"/>
  <c r="A124" i="9"/>
  <c r="A124" i="2"/>
  <c r="A124" i="8"/>
  <c r="AU123" i="8"/>
  <c r="AE123" i="8"/>
  <c r="W120" i="1"/>
  <c r="AM122" i="1"/>
  <c r="Y120" i="1"/>
  <c r="DJ121" i="5"/>
  <c r="AH122" i="11"/>
  <c r="AU123" i="14" a="1"/>
  <c r="AU123" i="14"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S117" i="8"/>
  <c r="AQ117" i="5"/>
  <c r="BI119" i="8"/>
  <c r="A119" i="10"/>
  <c r="AA119" i="10" s="1"/>
  <c r="A119" i="11"/>
  <c r="N119" i="11" s="1"/>
  <c r="E119" i="1"/>
  <c r="AI119" i="5"/>
  <c r="B119" i="9"/>
  <c r="Y119" i="9" s="1"/>
  <c r="BW119" i="8"/>
  <c r="B119" i="7"/>
  <c r="AE119" i="7" s="1"/>
  <c r="AF119" i="7" s="1"/>
  <c r="AJ119" i="5"/>
  <c r="AP119" i="5" s="1"/>
  <c r="AC119" i="8"/>
  <c r="BQ119" i="8" s="1"/>
  <c r="BH119" i="8"/>
  <c r="BU119" i="8" s="1"/>
  <c r="DH119" i="8"/>
  <c r="DI119" i="8" s="1"/>
  <c r="X119" i="8"/>
  <c r="DD119" i="8" s="1"/>
  <c r="BT119" i="5"/>
  <c r="B121" i="5"/>
  <c r="DF121" i="5"/>
  <c r="B121" i="2"/>
  <c r="B121" i="1"/>
  <c r="BG121" i="1" s="1"/>
  <c r="AH121" i="5"/>
  <c r="BU121" i="5"/>
  <c r="BZ123" i="11"/>
  <c r="K122" i="10"/>
  <c r="AA122" i="7"/>
  <c r="AF122" i="8" s="1"/>
  <c r="AV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N118" i="7"/>
  <c r="AH130" i="9"/>
  <c r="C120" i="5"/>
  <c r="F120" i="5" s="1"/>
  <c r="AC117" i="11"/>
  <c r="U117" i="8" s="1"/>
  <c r="AB117" i="11"/>
  <c r="Q117" i="8" s="1"/>
  <c r="AD117" i="11"/>
  <c r="AI117" i="1" s="1"/>
  <c r="AA117" i="11"/>
  <c r="AK117" i="1" s="1"/>
  <c r="N118" i="11"/>
  <c r="Z117" i="11"/>
  <c r="Y117" i="11"/>
  <c r="AH117" i="1" s="1"/>
  <c r="CI118" i="8"/>
  <c r="DA118" i="8" s="1"/>
  <c r="AE118" i="7"/>
  <c r="AF118" i="7" s="1"/>
  <c r="Q118" i="7"/>
  <c r="CZ121" i="5"/>
  <c r="BY118" i="8"/>
  <c r="CQ118" i="8" s="1"/>
  <c r="BZ118" i="8"/>
  <c r="CR118" i="8" s="1"/>
  <c r="CH118" i="8"/>
  <c r="CZ118" i="8" s="1"/>
  <c r="CC118" i="8"/>
  <c r="CA118" i="8"/>
  <c r="CB118" i="8"/>
  <c r="CT118" i="8" s="1"/>
  <c r="DA120" i="5"/>
  <c r="DG120" i="5" s="1" a="1"/>
  <c r="DG120" i="5" s="1"/>
  <c r="AB121" i="1"/>
  <c r="DI121" i="5"/>
  <c r="AG130" i="9"/>
  <c r="AK130" i="9"/>
  <c r="N106" i="1"/>
  <c r="S123" i="2"/>
  <c r="N124" i="2"/>
  <c r="R124" i="2"/>
  <c r="Q123" i="2"/>
  <c r="J125" i="10"/>
  <c r="N125" i="5" s="1"/>
  <c r="P125" i="2"/>
  <c r="AN131" i="9" l="1"/>
  <c r="BK132" i="11" s="1"/>
  <c r="AI132" i="11" s="1"/>
  <c r="CX117" i="8"/>
  <c r="CY117" i="8" s="1"/>
  <c r="CV118" i="8"/>
  <c r="CW118" i="8" s="1"/>
  <c r="AS118" i="8"/>
  <c r="AO119" i="5"/>
  <c r="AM119" i="5"/>
  <c r="AN119" i="5"/>
  <c r="AR119" i="5" s="1"/>
  <c r="AV120" i="5"/>
  <c r="AW120" i="5"/>
  <c r="AG119" i="7"/>
  <c r="AG118" i="7"/>
  <c r="AI118" i="7" s="1"/>
  <c r="CL120" i="8"/>
  <c r="CB119" i="8"/>
  <c r="CT119" i="8" s="1"/>
  <c r="AC119" i="1"/>
  <c r="G125" i="8"/>
  <c r="CF124" i="8"/>
  <c r="O124" i="2"/>
  <c r="BI124" i="5" a="1"/>
  <c r="BI124" i="5" s="1"/>
  <c r="BG124" i="5" a="1"/>
  <c r="BG124" i="5" s="1"/>
  <c r="BK124" i="5" a="1"/>
  <c r="BK124" i="5" s="1"/>
  <c r="BC124" i="5" a="1"/>
  <c r="BC124" i="5" s="1"/>
  <c r="BO124" i="5" a="1"/>
  <c r="BO124" i="5" s="1"/>
  <c r="BD124" i="5" a="1"/>
  <c r="BD124" i="5" s="1"/>
  <c r="BF124" i="5" a="1"/>
  <c r="BF124" i="5" s="1"/>
  <c r="AE123" i="1" s="1"/>
  <c r="AM131" i="9"/>
  <c r="K131" i="8" s="1"/>
  <c r="BR119" i="8"/>
  <c r="BS119" i="8"/>
  <c r="AD122" i="1"/>
  <c r="BA124" i="5" a="1"/>
  <c r="BA124" i="5" s="1"/>
  <c r="BN124" i="5" a="1"/>
  <c r="BN124" i="5" s="1"/>
  <c r="BE124" i="5" a="1"/>
  <c r="BE124" i="5" s="1"/>
  <c r="AZ124" i="5" a="1"/>
  <c r="AZ124" i="5" s="1"/>
  <c r="BQ124" i="5" a="1"/>
  <c r="BQ124" i="5" s="1"/>
  <c r="BJ124" i="5" a="1"/>
  <c r="BJ124" i="5" s="1"/>
  <c r="BM124" i="5" a="1"/>
  <c r="BM124" i="5" s="1"/>
  <c r="CS124" i="5"/>
  <c r="CT124" i="5"/>
  <c r="CV124" i="5"/>
  <c r="CQ124" i="5"/>
  <c r="CU124" i="5"/>
  <c r="CW124" i="5"/>
  <c r="CR124" i="5"/>
  <c r="AY124" i="5" a="1"/>
  <c r="AY124" i="5" s="1"/>
  <c r="BL124" i="5" a="1"/>
  <c r="BL124" i="5" s="1"/>
  <c r="BB124" i="5" a="1"/>
  <c r="BB124" i="5" s="1"/>
  <c r="BH124" i="5" a="1"/>
  <c r="BH124" i="5" s="1"/>
  <c r="V122" i="2"/>
  <c r="F127" i="8"/>
  <c r="BP123" i="5" a="1"/>
  <c r="BP123" i="5" s="1"/>
  <c r="J123" i="2" s="1"/>
  <c r="O128" i="1"/>
  <c r="CD118" i="8"/>
  <c r="AK123" i="11"/>
  <c r="BX119" i="8"/>
  <c r="CD119" i="8" s="1"/>
  <c r="BT119" i="8"/>
  <c r="BO119" i="8"/>
  <c r="BP119" i="8"/>
  <c r="BM119" i="8"/>
  <c r="BN119" i="8"/>
  <c r="BK119" i="8"/>
  <c r="BL119" i="8"/>
  <c r="BJ119" i="8"/>
  <c r="AC119" i="10"/>
  <c r="X119" i="10" s="1"/>
  <c r="AS123" i="5"/>
  <c r="DE122" i="5"/>
  <c r="DF122" i="5"/>
  <c r="DB122" i="5"/>
  <c r="AM123" i="1"/>
  <c r="AJ123" i="1"/>
  <c r="Y121" i="1"/>
  <c r="DJ122" i="5"/>
  <c r="AU124" i="8"/>
  <c r="AE124" i="8"/>
  <c r="DH122" i="5"/>
  <c r="AF121" i="1"/>
  <c r="K125" i="11"/>
  <c r="A125" i="14"/>
  <c r="CA125" i="14" s="1"/>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W121" i="1"/>
  <c r="BY119" i="8"/>
  <c r="CQ119" i="8" s="1"/>
  <c r="AD118" i="11"/>
  <c r="AI118" i="1" s="1"/>
  <c r="Z118" i="11"/>
  <c r="Y118" i="11"/>
  <c r="AH118" i="1" s="1"/>
  <c r="AC118" i="11"/>
  <c r="U118" i="8" s="1"/>
  <c r="AB118" i="11"/>
  <c r="Q118" i="8" s="1"/>
  <c r="B119" i="14"/>
  <c r="AA118" i="11"/>
  <c r="AK118" i="1" s="1"/>
  <c r="Q119" i="7"/>
  <c r="CA119" i="8"/>
  <c r="CC119" i="8"/>
  <c r="BZ119" i="8"/>
  <c r="CR119" i="8" s="1"/>
  <c r="CH119" i="8"/>
  <c r="CZ119" i="8" s="1"/>
  <c r="CI119" i="8"/>
  <c r="DA119" i="8" s="1"/>
  <c r="D120" i="9"/>
  <c r="N119" i="7"/>
  <c r="B122" i="5"/>
  <c r="B122" i="1"/>
  <c r="BG122" i="1" s="1"/>
  <c r="AH122" i="5"/>
  <c r="BU122" i="5"/>
  <c r="B122" i="2"/>
  <c r="BZ124" i="11"/>
  <c r="K123" i="10"/>
  <c r="AA123" i="7"/>
  <c r="AF123" i="8" s="1"/>
  <c r="AV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U118" i="8"/>
  <c r="DH120" i="8"/>
  <c r="DI120" i="8" s="1"/>
  <c r="CK120" i="8"/>
  <c r="BW120" i="8"/>
  <c r="AC120" i="1" s="1"/>
  <c r="BI120" i="8"/>
  <c r="B120" i="7"/>
  <c r="AE120" i="7" s="1"/>
  <c r="AF120" i="7" s="1"/>
  <c r="BH120" i="8"/>
  <c r="BU120" i="8" s="1"/>
  <c r="AH131" i="9"/>
  <c r="DB118" i="8"/>
  <c r="A120" i="11"/>
  <c r="AC119" i="11" s="1"/>
  <c r="U119" i="8" s="1"/>
  <c r="B120" i="9"/>
  <c r="Y120" i="9" s="1"/>
  <c r="E120" i="1"/>
  <c r="AC120" i="8"/>
  <c r="BQ120" i="8" s="1"/>
  <c r="AJ120" i="5"/>
  <c r="AP120" i="5" s="1"/>
  <c r="BT120" i="5"/>
  <c r="X120" i="8"/>
  <c r="DD120" i="8" s="1"/>
  <c r="AI120" i="5"/>
  <c r="A120" i="10"/>
  <c r="AA120" i="10" s="1"/>
  <c r="C121" i="5"/>
  <c r="F121" i="5" s="1"/>
  <c r="AQ118" i="5"/>
  <c r="B118" i="14"/>
  <c r="CZ122" i="5"/>
  <c r="AB122" i="1"/>
  <c r="DI122" i="5"/>
  <c r="DA121" i="5"/>
  <c r="DG121" i="5" s="1" a="1"/>
  <c r="DG121" i="5" s="1"/>
  <c r="AG131" i="9"/>
  <c r="AK131" i="9"/>
  <c r="N107" i="1"/>
  <c r="S124" i="2"/>
  <c r="N125" i="2"/>
  <c r="R125" i="2"/>
  <c r="Q124" i="2"/>
  <c r="P126" i="2"/>
  <c r="J126" i="10"/>
  <c r="N126" i="5" s="1"/>
  <c r="AI119" i="7" l="1"/>
  <c r="AN132" i="9"/>
  <c r="BK133" i="11" s="1"/>
  <c r="AI133" i="11" s="1"/>
  <c r="CV119" i="8"/>
  <c r="CW119" i="8" s="1"/>
  <c r="AS119" i="8"/>
  <c r="AO120" i="5"/>
  <c r="AM120" i="5"/>
  <c r="AN120" i="5"/>
  <c r="AR120" i="5" s="1"/>
  <c r="AV121" i="5"/>
  <c r="AW121" i="5"/>
  <c r="AG120" i="7"/>
  <c r="CL121" i="8"/>
  <c r="G126" i="8"/>
  <c r="CF125" i="8"/>
  <c r="O125" i="2"/>
  <c r="AZ125" i="5" a="1"/>
  <c r="AZ125" i="5" s="1"/>
  <c r="BM125" i="5" a="1"/>
  <c r="BM125" i="5" s="1"/>
  <c r="AM132" i="9"/>
  <c r="K132" i="8" s="1"/>
  <c r="BR120" i="8"/>
  <c r="BS120" i="8"/>
  <c r="AD123" i="1"/>
  <c r="BJ125" i="5" a="1"/>
  <c r="BJ125" i="5" s="1"/>
  <c r="BQ125" i="5" a="1"/>
  <c r="BQ125" i="5" s="1"/>
  <c r="BE125" i="5" a="1"/>
  <c r="BE125" i="5" s="1"/>
  <c r="BH125" i="5" a="1"/>
  <c r="BH125" i="5" s="1"/>
  <c r="BN125" i="5" a="1"/>
  <c r="BN125" i="5" s="1"/>
  <c r="BB125" i="5" a="1"/>
  <c r="BB125" i="5" s="1"/>
  <c r="BA125" i="5" a="1"/>
  <c r="BA125" i="5" s="1"/>
  <c r="CQ125" i="5"/>
  <c r="CS125" i="5"/>
  <c r="CV125" i="5"/>
  <c r="CU125" i="5"/>
  <c r="CR125" i="5"/>
  <c r="CT125" i="5"/>
  <c r="CW125" i="5"/>
  <c r="AY125" i="5" a="1"/>
  <c r="AY125" i="5" s="1"/>
  <c r="BL125" i="5" a="1"/>
  <c r="BL125" i="5" s="1"/>
  <c r="BO125" i="5" a="1"/>
  <c r="BO125" i="5" s="1"/>
  <c r="BF125" i="5" a="1"/>
  <c r="BF125" i="5" s="1"/>
  <c r="AE124" i="1" s="1"/>
  <c r="BC125" i="5" a="1"/>
  <c r="BC125" i="5" s="1"/>
  <c r="BK125" i="5" a="1"/>
  <c r="BK125" i="5" s="1"/>
  <c r="BI125" i="5" a="1"/>
  <c r="BI125" i="5" s="1"/>
  <c r="BD125" i="5" a="1"/>
  <c r="BD125" i="5" s="1"/>
  <c r="BG125" i="5" a="1"/>
  <c r="BG125" i="5" s="1"/>
  <c r="V123" i="2"/>
  <c r="CY118" i="8"/>
  <c r="CU119" i="8"/>
  <c r="F128" i="8"/>
  <c r="BP124" i="5" a="1"/>
  <c r="BP124" i="5" s="1"/>
  <c r="J124" i="2" s="1"/>
  <c r="O129" i="1"/>
  <c r="AK124" i="11"/>
  <c r="CE119" i="8"/>
  <c r="BT120" i="8"/>
  <c r="BO120" i="8"/>
  <c r="BP120" i="8"/>
  <c r="BM120" i="8"/>
  <c r="BN120" i="8"/>
  <c r="BK120" i="8"/>
  <c r="BL120" i="8"/>
  <c r="BJ120" i="8"/>
  <c r="AC120" i="10"/>
  <c r="X120" i="10" s="1"/>
  <c r="AS124" i="5"/>
  <c r="DE123" i="5"/>
  <c r="DF123" i="5"/>
  <c r="AJ124" i="1"/>
  <c r="AH124" i="11"/>
  <c r="AM124" i="1"/>
  <c r="W122" i="1"/>
  <c r="DB123" i="5"/>
  <c r="AF122" i="1"/>
  <c r="Y122" i="1"/>
  <c r="DJ123" i="5"/>
  <c r="AE125" i="8"/>
  <c r="AU125" i="8"/>
  <c r="K126" i="11"/>
  <c r="A126" i="14"/>
  <c r="CA126" i="14" s="1"/>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S118" i="8"/>
  <c r="AQ119" i="5"/>
  <c r="DB119" i="8"/>
  <c r="D121" i="9"/>
  <c r="B123" i="5"/>
  <c r="B123" i="2"/>
  <c r="B123" i="1"/>
  <c r="BG123" i="1" s="1"/>
  <c r="AH123" i="5"/>
  <c r="BU123" i="5"/>
  <c r="BZ125" i="11"/>
  <c r="K124" i="10"/>
  <c r="AA124" i="7"/>
  <c r="AF124" i="8" s="1"/>
  <c r="AV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X120" i="8"/>
  <c r="CD120" i="8" s="1"/>
  <c r="DH121" i="8"/>
  <c r="DI121" i="8" s="1"/>
  <c r="Q120" i="7"/>
  <c r="CK121" i="8"/>
  <c r="BW121" i="8"/>
  <c r="AC121" i="1" s="1"/>
  <c r="BI121" i="8"/>
  <c r="N120" i="7"/>
  <c r="B121" i="7"/>
  <c r="AE121" i="7" s="1"/>
  <c r="AF121" i="7" s="1"/>
  <c r="BH121" i="8"/>
  <c r="BU121" i="8" s="1"/>
  <c r="AH132" i="9"/>
  <c r="B120" i="14"/>
  <c r="AD119" i="11"/>
  <c r="AI119" i="1" s="1"/>
  <c r="AB119" i="11"/>
  <c r="Q119" i="8" s="1"/>
  <c r="Z119" i="11"/>
  <c r="AA119" i="11"/>
  <c r="AK119" i="1" s="1"/>
  <c r="Y119" i="11"/>
  <c r="AH119" i="1" s="1"/>
  <c r="N120" i="11"/>
  <c r="AI121" i="5"/>
  <c r="CI120" i="8"/>
  <c r="DA120" i="8" s="1"/>
  <c r="X121" i="8"/>
  <c r="DD121" i="8" s="1"/>
  <c r="A121" i="10"/>
  <c r="AA121" i="10" s="1"/>
  <c r="CB120" i="8"/>
  <c r="CT120" i="8" s="1"/>
  <c r="BY120" i="8"/>
  <c r="CQ120" i="8" s="1"/>
  <c r="CA120" i="8"/>
  <c r="BZ120" i="8"/>
  <c r="CR120" i="8" s="1"/>
  <c r="CC120" i="8"/>
  <c r="CH120" i="8"/>
  <c r="CZ120" i="8" s="1"/>
  <c r="B121" i="9"/>
  <c r="Y121" i="9" s="1"/>
  <c r="AC121" i="8"/>
  <c r="BQ121" i="8" s="1"/>
  <c r="AJ121" i="5"/>
  <c r="AP121" i="5" s="1"/>
  <c r="BT121" i="5"/>
  <c r="E121" i="1"/>
  <c r="A121" i="11"/>
  <c r="C122" i="5"/>
  <c r="F122" i="5" s="1"/>
  <c r="CZ123" i="5"/>
  <c r="DA122" i="5"/>
  <c r="DG122" i="5" s="1" a="1"/>
  <c r="DG122" i="5" s="1"/>
  <c r="AB123" i="1"/>
  <c r="DI123" i="5"/>
  <c r="AG132" i="9"/>
  <c r="AK132" i="9"/>
  <c r="N108" i="1"/>
  <c r="S125" i="2"/>
  <c r="N126" i="2"/>
  <c r="R126" i="2"/>
  <c r="Q125" i="2"/>
  <c r="P127" i="2"/>
  <c r="J127" i="10"/>
  <c r="N127" i="5" s="1"/>
  <c r="AN133" i="9" l="1"/>
  <c r="BK134" i="11" s="1"/>
  <c r="AI134" i="11" s="1"/>
  <c r="CX119" i="8"/>
  <c r="CY119" i="8" s="1"/>
  <c r="CV120" i="8"/>
  <c r="CW120" i="8" s="1"/>
  <c r="AS120" i="8"/>
  <c r="AO121" i="5"/>
  <c r="AM121" i="5"/>
  <c r="AN121" i="5"/>
  <c r="AR121" i="5" s="1"/>
  <c r="AV122" i="5"/>
  <c r="AW122" i="5"/>
  <c r="AI120" i="7"/>
  <c r="AG121" i="7"/>
  <c r="CL122" i="8"/>
  <c r="G127" i="8"/>
  <c r="CF126" i="8"/>
  <c r="O126" i="2"/>
  <c r="AM133" i="9"/>
  <c r="K133" i="8" s="1"/>
  <c r="BR121" i="8"/>
  <c r="BS121" i="8"/>
  <c r="AD124" i="1"/>
  <c r="BG126" i="5" a="1"/>
  <c r="BG126" i="5" s="1"/>
  <c r="BD126" i="5" a="1"/>
  <c r="BD126" i="5" s="1"/>
  <c r="BA126" i="5" a="1"/>
  <c r="BA126" i="5" s="1"/>
  <c r="BI126" i="5" a="1"/>
  <c r="BI126" i="5" s="1"/>
  <c r="BB126" i="5" a="1"/>
  <c r="BB126" i="5" s="1"/>
  <c r="BK126" i="5" a="1"/>
  <c r="BK126" i="5" s="1"/>
  <c r="CW126" i="5"/>
  <c r="CU126" i="5"/>
  <c r="CV126" i="5"/>
  <c r="CT126" i="5"/>
  <c r="CQ126" i="5"/>
  <c r="CS126" i="5"/>
  <c r="CR126" i="5"/>
  <c r="AY126" i="5" a="1"/>
  <c r="AY126" i="5" s="1"/>
  <c r="BL126" i="5" a="1"/>
  <c r="BL126" i="5" s="1"/>
  <c r="AZ126" i="5" a="1"/>
  <c r="AZ126" i="5" s="1"/>
  <c r="BN126" i="5" a="1"/>
  <c r="BN126" i="5" s="1"/>
  <c r="BC126" i="5" a="1"/>
  <c r="BC126" i="5" s="1"/>
  <c r="BH126" i="5" a="1"/>
  <c r="BH126" i="5" s="1"/>
  <c r="BF126" i="5" a="1"/>
  <c r="BF126" i="5" s="1"/>
  <c r="AE125" i="1" s="1"/>
  <c r="BE126" i="5" a="1"/>
  <c r="BE126" i="5" s="1"/>
  <c r="BO126" i="5" a="1"/>
  <c r="BO126" i="5" s="1"/>
  <c r="BQ126" i="5" a="1"/>
  <c r="BQ126" i="5" s="1"/>
  <c r="BM126" i="5" a="1"/>
  <c r="BM126" i="5" s="1"/>
  <c r="BJ126" i="5" a="1"/>
  <c r="BJ126" i="5" s="1"/>
  <c r="CS119" i="8"/>
  <c r="V124" i="2"/>
  <c r="F129" i="8"/>
  <c r="BP125" i="5" a="1"/>
  <c r="BP125" i="5" s="1"/>
  <c r="J125" i="2" s="1"/>
  <c r="O130" i="1"/>
  <c r="AK125" i="11"/>
  <c r="BX121" i="8"/>
  <c r="CE121" i="8" s="1"/>
  <c r="CX121" i="8" s="1"/>
  <c r="BT121" i="8"/>
  <c r="BO121" i="8"/>
  <c r="BP121" i="8"/>
  <c r="BM121" i="8"/>
  <c r="BN121" i="8"/>
  <c r="BK121" i="8"/>
  <c r="BL121" i="8"/>
  <c r="BJ121" i="8"/>
  <c r="AC121" i="10"/>
  <c r="X121" i="10" s="1"/>
  <c r="AS125" i="5"/>
  <c r="DB124" i="5"/>
  <c r="DF124" i="5"/>
  <c r="DE124" i="5"/>
  <c r="AJ125" i="1"/>
  <c r="AF123" i="1"/>
  <c r="AE126" i="8"/>
  <c r="AU126" i="8"/>
  <c r="W123" i="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CA127" i="14" s="1"/>
  <c r="A127" i="5"/>
  <c r="A127" i="8"/>
  <c r="A127" i="9"/>
  <c r="A127" i="2"/>
  <c r="A127" i="7"/>
  <c r="R127" i="7" s="1"/>
  <c r="AM125" i="1"/>
  <c r="DH124" i="5"/>
  <c r="B124" i="5"/>
  <c r="B124" i="1"/>
  <c r="BG124" i="1" s="1"/>
  <c r="B124" i="2"/>
  <c r="AH124" i="5"/>
  <c r="BU124" i="5"/>
  <c r="BZ126" i="11"/>
  <c r="AA125" i="7"/>
  <c r="AF125" i="8" s="1"/>
  <c r="AV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U120" i="8"/>
  <c r="D122" i="9"/>
  <c r="CE120" i="8"/>
  <c r="DH122" i="8"/>
  <c r="DI122" i="8" s="1"/>
  <c r="Q121" i="7"/>
  <c r="CK122" i="8"/>
  <c r="BW122" i="8"/>
  <c r="BI122" i="8"/>
  <c r="N121" i="7"/>
  <c r="BT122" i="5"/>
  <c r="BH122" i="8"/>
  <c r="BU122" i="8" s="1"/>
  <c r="AH133" i="9"/>
  <c r="B121" i="14"/>
  <c r="A122" i="10"/>
  <c r="AA122" i="10" s="1"/>
  <c r="DB120" i="8"/>
  <c r="E122" i="1"/>
  <c r="AI122" i="5"/>
  <c r="B122" i="9"/>
  <c r="Y122" i="9" s="1"/>
  <c r="AC122" i="8"/>
  <c r="BQ122" i="8" s="1"/>
  <c r="AJ122" i="5"/>
  <c r="AP122" i="5" s="1"/>
  <c r="A122" i="11"/>
  <c r="X122" i="8"/>
  <c r="DD122" i="8" s="1"/>
  <c r="B122" i="7"/>
  <c r="AQ120" i="5"/>
  <c r="CI121" i="8"/>
  <c r="DA121" i="8" s="1"/>
  <c r="CH121" i="8"/>
  <c r="CZ121" i="8" s="1"/>
  <c r="CA121" i="8"/>
  <c r="CB121" i="8"/>
  <c r="CT121" i="8" s="1"/>
  <c r="BY121" i="8"/>
  <c r="CQ121" i="8" s="1"/>
  <c r="CC121" i="8"/>
  <c r="BZ121" i="8"/>
  <c r="CR121" i="8" s="1"/>
  <c r="AD120" i="11"/>
  <c r="AI120" i="1" s="1"/>
  <c r="AC120" i="11"/>
  <c r="U120" i="8" s="1"/>
  <c r="AA120" i="11"/>
  <c r="AK120" i="1" s="1"/>
  <c r="AB120" i="11"/>
  <c r="Q120" i="8" s="1"/>
  <c r="Y120" i="11"/>
  <c r="AH120" i="1" s="1"/>
  <c r="Z120" i="11"/>
  <c r="N121" i="11"/>
  <c r="C123" i="5"/>
  <c r="F123" i="5" s="1"/>
  <c r="CZ124" i="5"/>
  <c r="AB124" i="1"/>
  <c r="DI124" i="5"/>
  <c r="C124" i="5"/>
  <c r="DA123" i="5"/>
  <c r="DG123" i="5" s="1" a="1"/>
  <c r="DG123" i="5" s="1"/>
  <c r="AG133" i="9"/>
  <c r="AK133" i="9"/>
  <c r="N109" i="1"/>
  <c r="S126" i="2"/>
  <c r="N127" i="2"/>
  <c r="R127" i="2"/>
  <c r="Q126" i="2"/>
  <c r="J128" i="10"/>
  <c r="N128" i="5" s="1"/>
  <c r="P128" i="2"/>
  <c r="AN134" i="9" l="1"/>
  <c r="BK135" i="11" s="1"/>
  <c r="AI135" i="11" s="1"/>
  <c r="CX120" i="8"/>
  <c r="CY120" i="8" s="1"/>
  <c r="CV121" i="8"/>
  <c r="CW121" i="8" s="1"/>
  <c r="AS121" i="8"/>
  <c r="AO122" i="5"/>
  <c r="AM122" i="5"/>
  <c r="AN122" i="5"/>
  <c r="AR122" i="5" s="1"/>
  <c r="AI121" i="7"/>
  <c r="AV123" i="5"/>
  <c r="AW123" i="5"/>
  <c r="CL123" i="8"/>
  <c r="CH122" i="8"/>
  <c r="CZ122" i="8" s="1"/>
  <c r="AC122" i="1"/>
  <c r="G128" i="8"/>
  <c r="CF127" i="8"/>
  <c r="O127" i="2"/>
  <c r="AZ127" i="5" a="1"/>
  <c r="AZ127" i="5" s="1"/>
  <c r="AM134" i="9"/>
  <c r="K134" i="8" s="1"/>
  <c r="BR122" i="8"/>
  <c r="BS122" i="8"/>
  <c r="AD125" i="1"/>
  <c r="BJ127" i="5" a="1"/>
  <c r="BJ127" i="5" s="1"/>
  <c r="BM127" i="5" a="1"/>
  <c r="BM127" i="5" s="1"/>
  <c r="BQ127" i="5" a="1"/>
  <c r="BQ127" i="5" s="1"/>
  <c r="BO127" i="5" a="1"/>
  <c r="BO127" i="5" s="1"/>
  <c r="BK127" i="5" a="1"/>
  <c r="BK127" i="5" s="1"/>
  <c r="BE127" i="5" a="1"/>
  <c r="BE127" i="5" s="1"/>
  <c r="BB127" i="5" a="1"/>
  <c r="BB127" i="5" s="1"/>
  <c r="BF127" i="5" a="1"/>
  <c r="BF127" i="5" s="1"/>
  <c r="AE126" i="1" s="1"/>
  <c r="BI127" i="5" a="1"/>
  <c r="BI127" i="5" s="1"/>
  <c r="CW127" i="5"/>
  <c r="CV127" i="5"/>
  <c r="CQ127" i="5"/>
  <c r="CU127" i="5"/>
  <c r="CT127" i="5"/>
  <c r="CR127" i="5"/>
  <c r="CS127" i="5"/>
  <c r="BL127" i="5" a="1"/>
  <c r="BL127" i="5" s="1"/>
  <c r="AY127" i="5" a="1"/>
  <c r="AY127" i="5" s="1"/>
  <c r="BH127" i="5" a="1"/>
  <c r="BH127" i="5" s="1"/>
  <c r="BA127" i="5" a="1"/>
  <c r="BA127" i="5" s="1"/>
  <c r="BC127" i="5" a="1"/>
  <c r="BC127" i="5" s="1"/>
  <c r="BD127" i="5" a="1"/>
  <c r="BD127" i="5" s="1"/>
  <c r="BN127" i="5" a="1"/>
  <c r="BN127" i="5" s="1"/>
  <c r="BG127" i="5" a="1"/>
  <c r="BG127" i="5" s="1"/>
  <c r="V125" i="2"/>
  <c r="F130" i="8"/>
  <c r="BP126" i="5" a="1"/>
  <c r="BP126" i="5" s="1"/>
  <c r="J126" i="2" s="1"/>
  <c r="AK126" i="11"/>
  <c r="O131" i="1"/>
  <c r="CD121" i="8"/>
  <c r="BT122" i="8"/>
  <c r="BO122" i="8"/>
  <c r="BP122" i="8"/>
  <c r="BM122" i="8"/>
  <c r="BN122" i="8"/>
  <c r="BK122" i="8"/>
  <c r="BL122" i="8"/>
  <c r="BJ122" i="8"/>
  <c r="AC122" i="10"/>
  <c r="X122" i="10" s="1"/>
  <c r="AS126" i="5"/>
  <c r="AH126" i="11"/>
  <c r="DE125" i="5"/>
  <c r="AM126" i="1"/>
  <c r="DF125" i="5"/>
  <c r="AE127" i="8"/>
  <c r="AU127" i="8"/>
  <c r="DH125" i="5"/>
  <c r="BA127" i="14" a="1"/>
  <c r="BA127" i="14" s="1"/>
  <c r="Z127" i="14" a="1"/>
  <c r="Z127" i="14" s="1"/>
  <c r="S127" i="14" a="1"/>
  <c r="S127" i="14" s="1"/>
  <c r="AE127" i="14" a="1"/>
  <c r="AE127" i="14" s="1"/>
  <c r="BV127" i="14" a="1"/>
  <c r="BV127" i="14" s="1"/>
  <c r="V127" i="14" a="1"/>
  <c r="V127" i="14" s="1"/>
  <c r="AV127" i="14" a="1"/>
  <c r="AV127" i="14" s="1"/>
  <c r="AU127" i="14" a="1"/>
  <c r="AU127" i="14"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CA128" i="14" s="1"/>
  <c r="A128" i="8"/>
  <c r="A128" i="5"/>
  <c r="A128" i="7"/>
  <c r="R128" i="7" s="1"/>
  <c r="A128" i="9"/>
  <c r="A128" i="2"/>
  <c r="W124" i="1"/>
  <c r="F124" i="5"/>
  <c r="B125" i="2"/>
  <c r="B125" i="1"/>
  <c r="BG125" i="1" s="1"/>
  <c r="AH125" i="5"/>
  <c r="BU125" i="5"/>
  <c r="BZ127" i="11"/>
  <c r="K126" i="10"/>
  <c r="AA126" i="7"/>
  <c r="AF126" i="8" s="1"/>
  <c r="AV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S120" i="8"/>
  <c r="CU121" i="8"/>
  <c r="D123" i="9"/>
  <c r="DH123" i="8"/>
  <c r="DI123" i="8" s="1"/>
  <c r="CK123" i="8"/>
  <c r="BW123" i="8"/>
  <c r="AC123" i="1" s="1"/>
  <c r="BX122" i="8"/>
  <c r="CE122" i="8" s="1"/>
  <c r="CX122" i="8" s="1"/>
  <c r="N122" i="7"/>
  <c r="BH123" i="8"/>
  <c r="BU123" i="8" s="1"/>
  <c r="BI123" i="8"/>
  <c r="AH134" i="9"/>
  <c r="AQ121" i="5"/>
  <c r="BZ122" i="8"/>
  <c r="CR122" i="8" s="1"/>
  <c r="BY122" i="8"/>
  <c r="CQ122" i="8" s="1"/>
  <c r="CC122" i="8"/>
  <c r="CB122" i="8"/>
  <c r="CT122" i="8" s="1"/>
  <c r="CA122" i="8"/>
  <c r="CI122" i="8"/>
  <c r="DA122" i="8" s="1"/>
  <c r="AB121" i="11"/>
  <c r="Q121" i="8" s="1"/>
  <c r="N122" i="11"/>
  <c r="AC121" i="11"/>
  <c r="U121" i="8" s="1"/>
  <c r="AA121" i="11"/>
  <c r="AK121" i="1" s="1"/>
  <c r="Z121" i="11"/>
  <c r="Y121" i="11"/>
  <c r="AH121" i="1" s="1"/>
  <c r="AD121" i="11"/>
  <c r="AI121" i="1" s="1"/>
  <c r="AE122" i="7"/>
  <c r="AF122" i="7" s="1"/>
  <c r="Q122" i="7"/>
  <c r="DB121" i="8"/>
  <c r="A123" i="11"/>
  <c r="AC123" i="8"/>
  <c r="BQ123" i="8" s="1"/>
  <c r="BT123" i="5"/>
  <c r="A123" i="10"/>
  <c r="AA123" i="10" s="1"/>
  <c r="B123" i="7"/>
  <c r="AJ123" i="5"/>
  <c r="AP123" i="5" s="1"/>
  <c r="E123" i="1"/>
  <c r="AI123" i="5"/>
  <c r="B123" i="9"/>
  <c r="Y123" i="9" s="1"/>
  <c r="X123" i="8"/>
  <c r="DD123" i="8" s="1"/>
  <c r="CZ125" i="5"/>
  <c r="DA124" i="5"/>
  <c r="DG124" i="5" s="1" a="1"/>
  <c r="DG124" i="5" s="1"/>
  <c r="AB125" i="1"/>
  <c r="DI125" i="5"/>
  <c r="AG134" i="9"/>
  <c r="AK134" i="9"/>
  <c r="N110" i="1"/>
  <c r="S127" i="2"/>
  <c r="N128" i="2"/>
  <c r="R128" i="2"/>
  <c r="Q127" i="2"/>
  <c r="P129" i="2"/>
  <c r="J129" i="10"/>
  <c r="N129" i="5" s="1"/>
  <c r="AN135" i="9" l="1"/>
  <c r="BK136" i="11" s="1"/>
  <c r="AI136" i="11" s="1"/>
  <c r="CV122" i="8"/>
  <c r="CW122" i="8" s="1"/>
  <c r="AS122" i="8"/>
  <c r="AO123" i="5"/>
  <c r="AM123" i="5"/>
  <c r="AN123" i="5"/>
  <c r="AR123" i="5" s="1"/>
  <c r="AV124" i="5"/>
  <c r="AW124" i="5"/>
  <c r="AG122" i="7"/>
  <c r="AI122" i="7" s="1"/>
  <c r="CL124" i="8"/>
  <c r="DB122" i="8"/>
  <c r="G129" i="8"/>
  <c r="CF128" i="8"/>
  <c r="O128" i="2"/>
  <c r="AM135" i="9"/>
  <c r="K135" i="8" s="1"/>
  <c r="BR123" i="8"/>
  <c r="BS123" i="8"/>
  <c r="CQ128" i="5"/>
  <c r="CR128" i="5"/>
  <c r="CW128" i="5"/>
  <c r="CU128" i="5"/>
  <c r="CV128" i="5"/>
  <c r="CT128" i="5"/>
  <c r="CS128" i="5"/>
  <c r="AY128" i="5" a="1"/>
  <c r="AY128" i="5" s="1"/>
  <c r="BL128" i="5" a="1"/>
  <c r="BL128" i="5" s="1"/>
  <c r="BG128" i="5" a="1"/>
  <c r="BG128" i="5" s="1"/>
  <c r="BI128" i="5" a="1"/>
  <c r="BI128" i="5" s="1"/>
  <c r="BN128" i="5" a="1"/>
  <c r="BN128" i="5" s="1"/>
  <c r="BF128" i="5" a="1"/>
  <c r="BF128" i="5" s="1"/>
  <c r="AE127" i="1" s="1"/>
  <c r="AD126" i="1"/>
  <c r="BB128" i="5" a="1"/>
  <c r="BB128" i="5" s="1"/>
  <c r="BD128" i="5" a="1"/>
  <c r="BD128" i="5" s="1"/>
  <c r="BE128" i="5" a="1"/>
  <c r="BE128" i="5" s="1"/>
  <c r="BC128" i="5" a="1"/>
  <c r="BC128" i="5" s="1"/>
  <c r="BK128" i="5" a="1"/>
  <c r="BK128" i="5" s="1"/>
  <c r="BA128" i="5" a="1"/>
  <c r="BA128" i="5" s="1"/>
  <c r="BO128" i="5" a="1"/>
  <c r="BO128" i="5" s="1"/>
  <c r="BH128" i="5" a="1"/>
  <c r="BH128" i="5" s="1"/>
  <c r="BQ128" i="5" a="1"/>
  <c r="BQ128" i="5" s="1"/>
  <c r="BM128" i="5" a="1"/>
  <c r="BM128" i="5" s="1"/>
  <c r="BJ128" i="5" a="1"/>
  <c r="BJ128" i="5" s="1"/>
  <c r="AZ128" i="5" a="1"/>
  <c r="AZ128" i="5" s="1"/>
  <c r="V126" i="2"/>
  <c r="CY121" i="8"/>
  <c r="F131" i="8"/>
  <c r="BP127" i="5" a="1"/>
  <c r="BP127" i="5" s="1"/>
  <c r="J127" i="2" s="1"/>
  <c r="AK127" i="11"/>
  <c r="E124" i="1"/>
  <c r="O132" i="1"/>
  <c r="BX123" i="8"/>
  <c r="CE123" i="8" s="1"/>
  <c r="CX123" i="8" s="1"/>
  <c r="BT123" i="8"/>
  <c r="BO123" i="8"/>
  <c r="BP123" i="8"/>
  <c r="BM123" i="8"/>
  <c r="BN123" i="8"/>
  <c r="BK123" i="8"/>
  <c r="BL123" i="8"/>
  <c r="BJ123" i="8"/>
  <c r="AC123" i="10"/>
  <c r="X123" i="10" s="1"/>
  <c r="AS127" i="5"/>
  <c r="AJ127" i="1"/>
  <c r="AH127" i="11"/>
  <c r="AM127" i="1"/>
  <c r="DF126" i="5"/>
  <c r="DE126" i="5"/>
  <c r="K129" i="11"/>
  <c r="A129" i="14"/>
  <c r="CA129" i="14" s="1"/>
  <c r="A129" i="8"/>
  <c r="A129" i="2"/>
  <c r="A129" i="9"/>
  <c r="A129" i="5"/>
  <c r="A129" i="7"/>
  <c r="R129" i="7" s="1"/>
  <c r="DB126" i="5"/>
  <c r="Y125" i="1"/>
  <c r="DJ126" i="5"/>
  <c r="DH126" i="5"/>
  <c r="AU128" i="8"/>
  <c r="AE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W125" i="1"/>
  <c r="B124" i="7"/>
  <c r="AE124" i="7" s="1"/>
  <c r="AF124" i="7" s="1"/>
  <c r="AC124" i="8"/>
  <c r="BQ124" i="8" s="1"/>
  <c r="BT124" i="5"/>
  <c r="BW124" i="8"/>
  <c r="A124" i="11"/>
  <c r="N124" i="11" s="1"/>
  <c r="DH124" i="8"/>
  <c r="DI124" i="8" s="1"/>
  <c r="AI124" i="5"/>
  <c r="BI124" i="8"/>
  <c r="CK124" i="8"/>
  <c r="B124" i="9"/>
  <c r="Y124" i="9" s="1"/>
  <c r="BH124" i="8"/>
  <c r="BU124" i="8" s="1"/>
  <c r="X124" i="8"/>
  <c r="DD124" i="8" s="1"/>
  <c r="AJ124" i="5"/>
  <c r="AP124" i="5" s="1"/>
  <c r="A124" i="10"/>
  <c r="AA124" i="10" s="1"/>
  <c r="CS121" i="8"/>
  <c r="B126" i="5"/>
  <c r="B126" i="2"/>
  <c r="B126" i="1"/>
  <c r="BG126" i="1" s="1"/>
  <c r="AH126" i="5"/>
  <c r="BU126" i="5"/>
  <c r="BZ128" i="11"/>
  <c r="K127" i="10"/>
  <c r="AA127" i="7"/>
  <c r="AF127" i="8" s="1"/>
  <c r="AV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U122" i="8"/>
  <c r="D124" i="9"/>
  <c r="CD122" i="8"/>
  <c r="N123" i="7"/>
  <c r="AH135" i="9"/>
  <c r="AQ122" i="5"/>
  <c r="B122" i="14"/>
  <c r="C125" i="5"/>
  <c r="F125" i="5" s="1"/>
  <c r="Q123" i="7"/>
  <c r="AE123" i="7"/>
  <c r="AF123" i="7" s="1"/>
  <c r="CZ126" i="5"/>
  <c r="Y122" i="11"/>
  <c r="AH122" i="1" s="1"/>
  <c r="AC122" i="11"/>
  <c r="U122" i="8" s="1"/>
  <c r="N123" i="11"/>
  <c r="Z122" i="11"/>
  <c r="AD122" i="11"/>
  <c r="AI122" i="1" s="1"/>
  <c r="AB122" i="11"/>
  <c r="Q122" i="8" s="1"/>
  <c r="AA122" i="11"/>
  <c r="AK122" i="1" s="1"/>
  <c r="CI123" i="8"/>
  <c r="DA123" i="8" s="1"/>
  <c r="CC123" i="8"/>
  <c r="CH123" i="8"/>
  <c r="CZ123" i="8" s="1"/>
  <c r="CA123" i="8"/>
  <c r="CB123" i="8"/>
  <c r="CT123" i="8" s="1"/>
  <c r="BY123" i="8"/>
  <c r="CQ123" i="8" s="1"/>
  <c r="BZ123" i="8"/>
  <c r="CR123" i="8" s="1"/>
  <c r="AB126" i="1"/>
  <c r="DI126" i="5"/>
  <c r="DA125" i="5"/>
  <c r="DG125" i="5" s="1" a="1"/>
  <c r="DG125" i="5" s="1"/>
  <c r="AG135" i="9"/>
  <c r="AK135" i="9"/>
  <c r="N111" i="1"/>
  <c r="S128" i="2"/>
  <c r="N129" i="2"/>
  <c r="R129" i="2"/>
  <c r="Q128" i="2"/>
  <c r="J130" i="10"/>
  <c r="N130" i="5" s="1"/>
  <c r="P130" i="2"/>
  <c r="AN136" i="9" l="1"/>
  <c r="CV123" i="8"/>
  <c r="CW123" i="8" s="1"/>
  <c r="AS123" i="8"/>
  <c r="AO124" i="5"/>
  <c r="AM124" i="5"/>
  <c r="AN124" i="5"/>
  <c r="AV125" i="5"/>
  <c r="AW125" i="5"/>
  <c r="AG123" i="7"/>
  <c r="AI123" i="7" s="1"/>
  <c r="AG124" i="7"/>
  <c r="CL125" i="8"/>
  <c r="BZ124" i="8"/>
  <c r="CR124" i="8" s="1"/>
  <c r="AC124" i="1"/>
  <c r="G130" i="8"/>
  <c r="CF129" i="8"/>
  <c r="O129" i="2"/>
  <c r="BN129" i="5" a="1"/>
  <c r="BN129" i="5" s="1"/>
  <c r="BB129" i="5" a="1"/>
  <c r="BB129" i="5" s="1"/>
  <c r="BI129" i="5" a="1"/>
  <c r="BI129" i="5" s="1"/>
  <c r="AM136" i="9"/>
  <c r="K136" i="8" s="1"/>
  <c r="BR124" i="8"/>
  <c r="BS124" i="8"/>
  <c r="AD127" i="1"/>
  <c r="CQ129" i="5"/>
  <c r="CS129" i="5"/>
  <c r="CW129" i="5"/>
  <c r="CR129" i="5"/>
  <c r="CT129" i="5"/>
  <c r="CU129" i="5"/>
  <c r="CV129" i="5"/>
  <c r="AY129" i="5" a="1"/>
  <c r="AY129" i="5" s="1"/>
  <c r="BL129" i="5" a="1"/>
  <c r="BL129" i="5" s="1"/>
  <c r="BF129" i="5" a="1"/>
  <c r="BF129" i="5" s="1"/>
  <c r="AE128" i="1" s="1"/>
  <c r="AZ129" i="5" a="1"/>
  <c r="AZ129" i="5" s="1"/>
  <c r="BG129" i="5" a="1"/>
  <c r="BG129" i="5" s="1"/>
  <c r="BJ129" i="5" a="1"/>
  <c r="BJ129" i="5" s="1"/>
  <c r="BM129" i="5" a="1"/>
  <c r="BM129" i="5" s="1"/>
  <c r="BQ129" i="5" a="1"/>
  <c r="BQ129" i="5" s="1"/>
  <c r="BH129" i="5" a="1"/>
  <c r="BH129" i="5" s="1"/>
  <c r="BO129" i="5" a="1"/>
  <c r="BO129" i="5" s="1"/>
  <c r="BA129" i="5" a="1"/>
  <c r="BA129" i="5" s="1"/>
  <c r="BK129" i="5" a="1"/>
  <c r="BK129" i="5" s="1"/>
  <c r="BC129" i="5" a="1"/>
  <c r="BC129" i="5" s="1"/>
  <c r="BE129" i="5" a="1"/>
  <c r="BE129" i="5" s="1"/>
  <c r="BD129" i="5" a="1"/>
  <c r="BD129" i="5" s="1"/>
  <c r="V127" i="2"/>
  <c r="CY122" i="8"/>
  <c r="F132" i="8"/>
  <c r="AK128" i="11"/>
  <c r="BP128" i="5" a="1"/>
  <c r="BP128" i="5" s="1"/>
  <c r="J128" i="2" s="1"/>
  <c r="O133" i="1"/>
  <c r="CD123" i="8"/>
  <c r="BT124" i="8"/>
  <c r="BO124" i="8"/>
  <c r="BP124" i="8"/>
  <c r="BM124" i="8"/>
  <c r="BN124" i="8"/>
  <c r="BK124" i="8"/>
  <c r="BL124" i="8"/>
  <c r="BJ124" i="8"/>
  <c r="AC124" i="10"/>
  <c r="X124" i="10" s="1"/>
  <c r="AR124" i="5"/>
  <c r="AS128" i="5"/>
  <c r="DF127" i="5"/>
  <c r="DB127" i="5"/>
  <c r="DE127" i="5"/>
  <c r="W126" i="1"/>
  <c r="AM128" i="1"/>
  <c r="AJ128" i="1"/>
  <c r="Y126" i="1"/>
  <c r="DJ127" i="5"/>
  <c r="AH128" i="11"/>
  <c r="AU129" i="8"/>
  <c r="AE129" i="8"/>
  <c r="K130" i="11"/>
  <c r="A130" i="14"/>
  <c r="CA130" i="14" s="1"/>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U123" i="8" s="1"/>
  <c r="B124" i="14"/>
  <c r="Q124" i="7"/>
  <c r="AD123" i="11"/>
  <c r="AI123" i="1" s="1"/>
  <c r="Y123" i="11"/>
  <c r="AH123" i="1" s="1"/>
  <c r="AB123" i="11"/>
  <c r="Q123" i="8" s="1"/>
  <c r="AA123" i="11"/>
  <c r="AK123" i="1" s="1"/>
  <c r="CA124" i="8"/>
  <c r="CI124" i="8"/>
  <c r="DA124" i="8" s="1"/>
  <c r="CC124" i="8"/>
  <c r="CH124" i="8"/>
  <c r="CZ124" i="8" s="1"/>
  <c r="CB124" i="8"/>
  <c r="CT124" i="8" s="1"/>
  <c r="BY124" i="8"/>
  <c r="CQ124" i="8" s="1"/>
  <c r="BX124" i="8"/>
  <c r="CE124" i="8" s="1"/>
  <c r="CX124" i="8" s="1"/>
  <c r="D125" i="9"/>
  <c r="CS122" i="8"/>
  <c r="BU127" i="5"/>
  <c r="AH127" i="5"/>
  <c r="B127" i="2"/>
  <c r="B127" i="1"/>
  <c r="BG127" i="1" s="1"/>
  <c r="B127" i="5"/>
  <c r="BZ129" i="11"/>
  <c r="K128" i="10"/>
  <c r="AA128" i="7"/>
  <c r="AF128" i="8" s="1"/>
  <c r="AV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U123" i="8"/>
  <c r="DH125" i="8"/>
  <c r="DI125" i="8" s="1"/>
  <c r="CK125" i="8"/>
  <c r="BW125" i="8"/>
  <c r="AC125" i="1" s="1"/>
  <c r="BI125" i="8"/>
  <c r="AI125" i="5"/>
  <c r="BH125" i="8"/>
  <c r="BU125" i="8" s="1"/>
  <c r="AH136" i="9"/>
  <c r="AC125" i="8"/>
  <c r="BQ125" i="8" s="1"/>
  <c r="B125" i="9"/>
  <c r="Y125" i="9" s="1"/>
  <c r="E125" i="1"/>
  <c r="AJ125" i="5"/>
  <c r="AP125" i="5" s="1"/>
  <c r="B125" i="7"/>
  <c r="X125" i="8"/>
  <c r="DD125" i="8" s="1"/>
  <c r="BT125" i="5"/>
  <c r="AQ123" i="5"/>
  <c r="A125" i="11"/>
  <c r="A125" i="10"/>
  <c r="AA125" i="10" s="1"/>
  <c r="DB123" i="8"/>
  <c r="CZ127" i="5"/>
  <c r="C126" i="5"/>
  <c r="F126" i="5" s="1"/>
  <c r="B123" i="14"/>
  <c r="DA126" i="5"/>
  <c r="DG126" i="5" s="1" a="1"/>
  <c r="DG126" i="5" s="1"/>
  <c r="AB127" i="1"/>
  <c r="DI127" i="5"/>
  <c r="AG136" i="9"/>
  <c r="AK136" i="9"/>
  <c r="N112" i="1"/>
  <c r="S129" i="2"/>
  <c r="N130" i="2"/>
  <c r="R130" i="2"/>
  <c r="Q129" i="2"/>
  <c r="J131" i="10"/>
  <c r="N131" i="5" s="1"/>
  <c r="P131" i="2"/>
  <c r="CV124" i="8" l="1"/>
  <c r="CW124" i="8" s="1"/>
  <c r="AS124" i="8"/>
  <c r="AO125" i="5"/>
  <c r="AM125" i="5"/>
  <c r="AN125" i="5"/>
  <c r="AR125" i="5" s="1"/>
  <c r="AV126" i="5"/>
  <c r="AW126" i="5"/>
  <c r="AI124" i="7"/>
  <c r="CL126" i="8"/>
  <c r="G131" i="8"/>
  <c r="CF130" i="8"/>
  <c r="O130" i="2"/>
  <c r="BN130" i="5" a="1"/>
  <c r="BN130" i="5" s="1"/>
  <c r="AD128" i="1"/>
  <c r="BQ130" i="5" a="1"/>
  <c r="BQ130" i="5" s="1"/>
  <c r="BM130" i="5" a="1"/>
  <c r="BM130" i="5" s="1"/>
  <c r="BR125" i="8"/>
  <c r="BS125" i="8"/>
  <c r="BJ130" i="5" a="1"/>
  <c r="BJ130" i="5" s="1"/>
  <c r="BG130" i="5" a="1"/>
  <c r="BG130" i="5" s="1"/>
  <c r="AZ130" i="5" a="1"/>
  <c r="AZ130" i="5" s="1"/>
  <c r="BF130" i="5" a="1"/>
  <c r="BF130" i="5" s="1"/>
  <c r="AE129" i="1" s="1"/>
  <c r="BD130" i="5" a="1"/>
  <c r="BD130" i="5" s="1"/>
  <c r="BB130" i="5" a="1"/>
  <c r="BB130" i="5" s="1"/>
  <c r="BE130" i="5" a="1"/>
  <c r="BE130" i="5" s="1"/>
  <c r="BC130" i="5" a="1"/>
  <c r="BC130" i="5" s="1"/>
  <c r="CQ130" i="5"/>
  <c r="CR130" i="5"/>
  <c r="CS130" i="5"/>
  <c r="CU130" i="5"/>
  <c r="CT130" i="5"/>
  <c r="CW130" i="5"/>
  <c r="CV130" i="5"/>
  <c r="AY130" i="5" a="1"/>
  <c r="AY130" i="5" s="1"/>
  <c r="BL130" i="5" a="1"/>
  <c r="BL130" i="5" s="1"/>
  <c r="BK130" i="5" a="1"/>
  <c r="BK130" i="5" s="1"/>
  <c r="BI130" i="5" a="1"/>
  <c r="BI130" i="5" s="1"/>
  <c r="BA130" i="5" a="1"/>
  <c r="BA130" i="5" s="1"/>
  <c r="BO130" i="5" a="1"/>
  <c r="BO130" i="5" s="1"/>
  <c r="BH130" i="5" a="1"/>
  <c r="BH130" i="5" s="1"/>
  <c r="V128" i="2"/>
  <c r="AK129" i="11"/>
  <c r="CY123" i="8"/>
  <c r="CU124" i="8"/>
  <c r="F133" i="8"/>
  <c r="BP129" i="5" a="1"/>
  <c r="BP129" i="5" s="1"/>
  <c r="J129" i="2" s="1"/>
  <c r="O134" i="1"/>
  <c r="BX125" i="8"/>
  <c r="CE125" i="8" s="1"/>
  <c r="CX125" i="8" s="1"/>
  <c r="BT125" i="8"/>
  <c r="BO125" i="8"/>
  <c r="BP125" i="8"/>
  <c r="BM125" i="8"/>
  <c r="BN125" i="8"/>
  <c r="BK125" i="8"/>
  <c r="BL125" i="8"/>
  <c r="BJ125" i="8"/>
  <c r="AC125" i="10"/>
  <c r="X125" i="10" s="1"/>
  <c r="AS129" i="5"/>
  <c r="DB128" i="5"/>
  <c r="AJ129" i="1"/>
  <c r="DE128" i="5"/>
  <c r="DF128" i="5"/>
  <c r="AF127" i="1"/>
  <c r="Y127" i="1"/>
  <c r="DJ128" i="5"/>
  <c r="K131" i="11"/>
  <c r="A131" i="14"/>
  <c r="CA131" i="14" s="1"/>
  <c r="A131" i="7"/>
  <c r="R131" i="7" s="1"/>
  <c r="A131" i="8"/>
  <c r="A131" i="2"/>
  <c r="A131" i="5"/>
  <c r="A131" i="9"/>
  <c r="DH128" i="5"/>
  <c r="AH129" i="11"/>
  <c r="AU130" i="8"/>
  <c r="AE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W127" i="1"/>
  <c r="CD124" i="8"/>
  <c r="AQ124" i="5"/>
  <c r="DB124" i="8"/>
  <c r="CS123" i="8"/>
  <c r="BZ130" i="11"/>
  <c r="K129" i="10"/>
  <c r="AA129" i="7"/>
  <c r="AF129" i="8" s="1"/>
  <c r="AV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D126" i="9"/>
  <c r="DH126" i="8"/>
  <c r="DI126" i="8" s="1"/>
  <c r="CK126" i="8"/>
  <c r="BW126" i="8"/>
  <c r="AC126" i="1" s="1"/>
  <c r="N125" i="7"/>
  <c r="BH126" i="8"/>
  <c r="BU126" i="8" s="1"/>
  <c r="BI126" i="8"/>
  <c r="Q125" i="7"/>
  <c r="AE125" i="7"/>
  <c r="AF125" i="7" s="1"/>
  <c r="CI125" i="8"/>
  <c r="DA125" i="8" s="1"/>
  <c r="CH125" i="8"/>
  <c r="CZ125" i="8" s="1"/>
  <c r="CA125" i="8"/>
  <c r="CB125" i="8"/>
  <c r="CT125" i="8" s="1"/>
  <c r="BY125" i="8"/>
  <c r="CQ125" i="8" s="1"/>
  <c r="BZ125" i="8"/>
  <c r="CR125" i="8" s="1"/>
  <c r="CC125" i="8"/>
  <c r="AA124" i="11"/>
  <c r="AK124" i="1" s="1"/>
  <c r="N125" i="11"/>
  <c r="Z124" i="11"/>
  <c r="AC124" i="11"/>
  <c r="U124" i="8" s="1"/>
  <c r="AD124" i="11"/>
  <c r="AI124" i="1" s="1"/>
  <c r="AB124" i="11"/>
  <c r="Q124" i="8" s="1"/>
  <c r="Y124" i="11"/>
  <c r="AH124" i="1" s="1"/>
  <c r="A126" i="11"/>
  <c r="AC126" i="8"/>
  <c r="BQ126" i="8" s="1"/>
  <c r="BT126" i="5"/>
  <c r="A126" i="10"/>
  <c r="AA126" i="10" s="1"/>
  <c r="B126" i="7"/>
  <c r="E126" i="1"/>
  <c r="B126" i="9"/>
  <c r="Y126" i="9" s="1"/>
  <c r="X126" i="8"/>
  <c r="DD126" i="8" s="1"/>
  <c r="AJ126" i="5"/>
  <c r="AP126" i="5" s="1"/>
  <c r="AI126" i="5"/>
  <c r="C127" i="5"/>
  <c r="F127" i="5" s="1"/>
  <c r="CZ128" i="5"/>
  <c r="AB128" i="1"/>
  <c r="DI128" i="5"/>
  <c r="DA127" i="5"/>
  <c r="DG127" i="5" s="1" a="1"/>
  <c r="DG127" i="5" s="1"/>
  <c r="N113" i="1"/>
  <c r="S130" i="2"/>
  <c r="N131" i="2"/>
  <c r="R131" i="2"/>
  <c r="Q130" i="2"/>
  <c r="J132" i="10"/>
  <c r="N132" i="5" s="1"/>
  <c r="P132" i="2"/>
  <c r="CV125" i="8" l="1"/>
  <c r="CW125" i="8" s="1"/>
  <c r="AS125" i="8"/>
  <c r="AO126" i="5"/>
  <c r="AM126" i="5"/>
  <c r="AN126" i="5"/>
  <c r="AR126" i="5" s="1"/>
  <c r="AV127" i="5"/>
  <c r="AW127" i="5"/>
  <c r="AG125" i="7"/>
  <c r="AI125" i="7" s="1"/>
  <c r="CL127" i="8"/>
  <c r="G132" i="8"/>
  <c r="CF131" i="8"/>
  <c r="O131" i="2"/>
  <c r="AD129" i="1"/>
  <c r="BR126" i="8"/>
  <c r="BS126" i="8"/>
  <c r="BC131" i="5" a="1"/>
  <c r="BC131" i="5" s="1"/>
  <c r="BH131" i="5" a="1"/>
  <c r="BH131" i="5" s="1"/>
  <c r="BE131" i="5" a="1"/>
  <c r="BE131" i="5" s="1"/>
  <c r="CQ131" i="5"/>
  <c r="CT131" i="5"/>
  <c r="CS131" i="5"/>
  <c r="CV131" i="5"/>
  <c r="CW131" i="5"/>
  <c r="CR131" i="5"/>
  <c r="CU131" i="5"/>
  <c r="AY131" i="5" a="1"/>
  <c r="AY131" i="5" s="1"/>
  <c r="BL131" i="5" a="1"/>
  <c r="BL131" i="5" s="1"/>
  <c r="BO131" i="5" a="1"/>
  <c r="BO131" i="5" s="1"/>
  <c r="BQ131" i="5" a="1"/>
  <c r="BQ131" i="5" s="1"/>
  <c r="BA131" i="5" a="1"/>
  <c r="BA131" i="5" s="1"/>
  <c r="BB131" i="5" a="1"/>
  <c r="BB131" i="5" s="1"/>
  <c r="BI131" i="5" a="1"/>
  <c r="BI131" i="5" s="1"/>
  <c r="BD131" i="5" a="1"/>
  <c r="BD131" i="5" s="1"/>
  <c r="BK131" i="5" a="1"/>
  <c r="BK131" i="5" s="1"/>
  <c r="BF131" i="5" a="1"/>
  <c r="BF131" i="5" s="1"/>
  <c r="AE130" i="1" s="1"/>
  <c r="AZ131" i="5" a="1"/>
  <c r="AZ131" i="5" s="1"/>
  <c r="BG131" i="5" a="1"/>
  <c r="BG131" i="5" s="1"/>
  <c r="BJ131" i="5" a="1"/>
  <c r="BJ131" i="5" s="1"/>
  <c r="BM131" i="5" a="1"/>
  <c r="BM131" i="5" s="1"/>
  <c r="BN131" i="5" a="1"/>
  <c r="BN131" i="5" s="1"/>
  <c r="AK130" i="11"/>
  <c r="V129" i="2"/>
  <c r="CS124" i="8"/>
  <c r="F134" i="8"/>
  <c r="BP130" i="5" a="1"/>
  <c r="BP130" i="5" s="1"/>
  <c r="J130" i="2" s="1"/>
  <c r="O135" i="1"/>
  <c r="CD125" i="8"/>
  <c r="BT126" i="8"/>
  <c r="BO126" i="8"/>
  <c r="BP126" i="8"/>
  <c r="BM126" i="8"/>
  <c r="BN126" i="8"/>
  <c r="BK126" i="8"/>
  <c r="BL126" i="8"/>
  <c r="BJ126" i="8"/>
  <c r="AC126" i="10"/>
  <c r="X126" i="10" s="1"/>
  <c r="AS130" i="5"/>
  <c r="DE129" i="5"/>
  <c r="DB129" i="5"/>
  <c r="AH130" i="11"/>
  <c r="DH129" i="5"/>
  <c r="W128" i="1"/>
  <c r="AE131" i="8"/>
  <c r="AU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CA132" i="14" s="1"/>
  <c r="A132" i="7"/>
  <c r="R132" i="7" s="1"/>
  <c r="A132" i="9"/>
  <c r="A132" i="2"/>
  <c r="A132" i="8"/>
  <c r="A132" i="5"/>
  <c r="CY124" i="8"/>
  <c r="BU129" i="5"/>
  <c r="AH129" i="5"/>
  <c r="B129" i="2"/>
  <c r="B129" i="1"/>
  <c r="BG129" i="1" s="1"/>
  <c r="BZ131" i="11"/>
  <c r="AA130" i="7"/>
  <c r="AF130" i="8" s="1"/>
  <c r="AV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U125" i="8"/>
  <c r="D127" i="9"/>
  <c r="DH127" i="8"/>
  <c r="DI127" i="8" s="1"/>
  <c r="CK127" i="8"/>
  <c r="BW127" i="8"/>
  <c r="AC127" i="1" s="1"/>
  <c r="AQ125" i="5"/>
  <c r="BX126" i="8"/>
  <c r="CE126" i="8" s="1"/>
  <c r="CX126" i="8" s="1"/>
  <c r="N126" i="7"/>
  <c r="BH127" i="8"/>
  <c r="BU127" i="8" s="1"/>
  <c r="BI127" i="8"/>
  <c r="B125" i="14"/>
  <c r="DB125" i="8"/>
  <c r="Q126" i="7"/>
  <c r="AE126" i="7"/>
  <c r="AF126" i="7" s="1"/>
  <c r="C128" i="5"/>
  <c r="F128" i="5" s="1"/>
  <c r="AC127" i="8"/>
  <c r="BQ127" i="8" s="1"/>
  <c r="BT127" i="5"/>
  <c r="A127" i="10"/>
  <c r="AA127" i="10" s="1"/>
  <c r="B127" i="7"/>
  <c r="X127" i="8"/>
  <c r="DD127" i="8" s="1"/>
  <c r="E127" i="1"/>
  <c r="AJ127" i="5"/>
  <c r="AP127" i="5" s="1"/>
  <c r="B127" i="9"/>
  <c r="Y127" i="9" s="1"/>
  <c r="AI127" i="5"/>
  <c r="A127" i="11"/>
  <c r="CC126" i="8"/>
  <c r="CH126" i="8"/>
  <c r="CZ126" i="8" s="1"/>
  <c r="CB126" i="8"/>
  <c r="CT126" i="8" s="1"/>
  <c r="CA126" i="8"/>
  <c r="BY126" i="8"/>
  <c r="CQ126" i="8" s="1"/>
  <c r="BZ126" i="8"/>
  <c r="CR126" i="8" s="1"/>
  <c r="CZ129" i="5"/>
  <c r="N126" i="11"/>
  <c r="AB125" i="11"/>
  <c r="Q125" i="8" s="1"/>
  <c r="AA125" i="11"/>
  <c r="AK125" i="1" s="1"/>
  <c r="Y125" i="11"/>
  <c r="AH125" i="1" s="1"/>
  <c r="AD125" i="11"/>
  <c r="AI125" i="1" s="1"/>
  <c r="AC125" i="11"/>
  <c r="U125" i="8" s="1"/>
  <c r="Z125" i="11"/>
  <c r="CI126" i="8"/>
  <c r="DA126" i="8" s="1"/>
  <c r="DA128" i="5"/>
  <c r="DG128" i="5" s="1" a="1"/>
  <c r="DG128" i="5" s="1"/>
  <c r="AB129" i="1"/>
  <c r="DI129" i="5"/>
  <c r="N114" i="1"/>
  <c r="S131" i="2"/>
  <c r="N132" i="2"/>
  <c r="R132" i="2"/>
  <c r="Q131" i="2"/>
  <c r="P133" i="2"/>
  <c r="J133" i="10"/>
  <c r="N133" i="5" s="1"/>
  <c r="CV126" i="8" l="1"/>
  <c r="CW126" i="8" s="1"/>
  <c r="AS126" i="8"/>
  <c r="AO127" i="5"/>
  <c r="AM127" i="5"/>
  <c r="AN127" i="5"/>
  <c r="AR127" i="5" s="1"/>
  <c r="AV128" i="5"/>
  <c r="AW128" i="5"/>
  <c r="AG126" i="7"/>
  <c r="AI126" i="7" s="1"/>
  <c r="CL128" i="8"/>
  <c r="G133" i="8"/>
  <c r="CF132" i="8"/>
  <c r="O132" i="2"/>
  <c r="BB132" i="5" a="1"/>
  <c r="BB132" i="5" s="1"/>
  <c r="BA132" i="5" a="1"/>
  <c r="BA132" i="5" s="1"/>
  <c r="BR127" i="8"/>
  <c r="BS127" i="8"/>
  <c r="AD130" i="1"/>
  <c r="BQ132" i="5" a="1"/>
  <c r="BQ132" i="5" s="1"/>
  <c r="BO132" i="5" a="1"/>
  <c r="BO132" i="5" s="1"/>
  <c r="BN132" i="5" a="1"/>
  <c r="BN132" i="5" s="1"/>
  <c r="BM132" i="5" a="1"/>
  <c r="BM132" i="5" s="1"/>
  <c r="BJ132" i="5" a="1"/>
  <c r="BJ132" i="5" s="1"/>
  <c r="CU132" i="5"/>
  <c r="CS132" i="5"/>
  <c r="CT132" i="5"/>
  <c r="CR132" i="5"/>
  <c r="CW132" i="5"/>
  <c r="CQ132" i="5"/>
  <c r="CV132" i="5"/>
  <c r="AY132" i="5" a="1"/>
  <c r="AY132" i="5" s="1"/>
  <c r="BL132" i="5" a="1"/>
  <c r="BL132" i="5" s="1"/>
  <c r="BG132" i="5" a="1"/>
  <c r="BG132" i="5" s="1"/>
  <c r="AZ132" i="5" a="1"/>
  <c r="AZ132" i="5" s="1"/>
  <c r="BF132" i="5" a="1"/>
  <c r="BF132" i="5" s="1"/>
  <c r="AE131" i="1" s="1"/>
  <c r="BK132" i="5" a="1"/>
  <c r="BK132" i="5" s="1"/>
  <c r="BE132" i="5" a="1"/>
  <c r="BE132" i="5" s="1"/>
  <c r="BD132" i="5" a="1"/>
  <c r="BD132" i="5" s="1"/>
  <c r="BH132" i="5" a="1"/>
  <c r="BH132" i="5" s="1"/>
  <c r="BI132" i="5" a="1"/>
  <c r="BI132" i="5" s="1"/>
  <c r="BC132" i="5" a="1"/>
  <c r="BC132" i="5" s="1"/>
  <c r="V130" i="2"/>
  <c r="CY125" i="8"/>
  <c r="F135" i="8"/>
  <c r="BP131" i="5" a="1"/>
  <c r="BP131" i="5" s="1"/>
  <c r="J131" i="2" s="1"/>
  <c r="O136" i="1"/>
  <c r="BX127" i="8"/>
  <c r="CD127" i="8" s="1"/>
  <c r="BT127" i="8"/>
  <c r="BO127" i="8"/>
  <c r="BP127" i="8"/>
  <c r="BM127" i="8"/>
  <c r="BN127" i="8"/>
  <c r="BK127" i="8"/>
  <c r="BL127" i="8"/>
  <c r="BJ127" i="8"/>
  <c r="AC127" i="10"/>
  <c r="X127" i="10" s="1"/>
  <c r="AS131" i="5"/>
  <c r="AH131" i="11"/>
  <c r="DF130" i="5"/>
  <c r="AK131" i="11"/>
  <c r="DB130" i="5"/>
  <c r="AF129" i="1"/>
  <c r="Y129" i="1"/>
  <c r="DJ130" i="5"/>
  <c r="DE130" i="5"/>
  <c r="AU132" i="8"/>
  <c r="AE132" i="8"/>
  <c r="AJ131" i="1"/>
  <c r="AM131" i="1"/>
  <c r="W129" i="1"/>
  <c r="K133" i="11"/>
  <c r="A133" i="14"/>
  <c r="CA133" i="14" s="1"/>
  <c r="A133" i="9"/>
  <c r="A133" i="7"/>
  <c r="R133" i="7" s="1"/>
  <c r="A133" i="8"/>
  <c r="A133" i="2"/>
  <c r="A133" i="5"/>
  <c r="BH132" i="14" a="1"/>
  <c r="BH132" i="14" s="1"/>
  <c r="BK132" i="14" a="1"/>
  <c r="BK132" i="14" s="1"/>
  <c r="AU132" i="14" a="1"/>
  <c r="AU132" i="14"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Z132" i="11"/>
  <c r="K131" i="10"/>
  <c r="AA131" i="7"/>
  <c r="AF131" i="8" s="1"/>
  <c r="AV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S125" i="8"/>
  <c r="CU126" i="8"/>
  <c r="D128" i="9"/>
  <c r="CD126" i="8"/>
  <c r="DH128" i="8"/>
  <c r="DI128" i="8" s="1"/>
  <c r="CK128" i="8"/>
  <c r="BW128" i="8"/>
  <c r="AC128" i="1" s="1"/>
  <c r="N127" i="7"/>
  <c r="BH128" i="8"/>
  <c r="BU128" i="8" s="1"/>
  <c r="BI128" i="8"/>
  <c r="DB126" i="8"/>
  <c r="C129" i="5"/>
  <c r="F129" i="5" s="1"/>
  <c r="AA126" i="11"/>
  <c r="AK126" i="1" s="1"/>
  <c r="Z126" i="11"/>
  <c r="AD126" i="11"/>
  <c r="AI126" i="1" s="1"/>
  <c r="AB126" i="11"/>
  <c r="Q126" i="8" s="1"/>
  <c r="AC126" i="11"/>
  <c r="U126" i="8" s="1"/>
  <c r="Y126" i="11"/>
  <c r="AH126" i="1" s="1"/>
  <c r="N127" i="11"/>
  <c r="CZ130" i="5"/>
  <c r="AI128" i="5"/>
  <c r="A128" i="11"/>
  <c r="AC128" i="8"/>
  <c r="BQ128" i="8" s="1"/>
  <c r="BT128" i="5"/>
  <c r="A128" i="10"/>
  <c r="AA128" i="10" s="1"/>
  <c r="B128" i="7"/>
  <c r="X128" i="8"/>
  <c r="DD128" i="8" s="1"/>
  <c r="E128" i="1"/>
  <c r="AJ128" i="5"/>
  <c r="AP128" i="5" s="1"/>
  <c r="B128" i="9"/>
  <c r="Y128" i="9" s="1"/>
  <c r="CI127" i="8"/>
  <c r="DA127" i="8" s="1"/>
  <c r="B126" i="14"/>
  <c r="AQ126" i="5"/>
  <c r="BY127" i="8"/>
  <c r="CQ127" i="8" s="1"/>
  <c r="BZ127" i="8"/>
  <c r="CR127" i="8" s="1"/>
  <c r="CA127" i="8"/>
  <c r="CC127" i="8"/>
  <c r="CH127" i="8"/>
  <c r="CZ127" i="8" s="1"/>
  <c r="CB127" i="8"/>
  <c r="CT127" i="8" s="1"/>
  <c r="AE127" i="7"/>
  <c r="AF127" i="7" s="1"/>
  <c r="Q127" i="7"/>
  <c r="AB130" i="1"/>
  <c r="DI130" i="5"/>
  <c r="DA129" i="5"/>
  <c r="DG129" i="5" s="1" a="1"/>
  <c r="DG129" i="5" s="1"/>
  <c r="N115" i="1"/>
  <c r="S132" i="2"/>
  <c r="N133" i="2"/>
  <c r="R133" i="2"/>
  <c r="Q132" i="2"/>
  <c r="J134" i="10"/>
  <c r="N134" i="5" s="1"/>
  <c r="P134" i="2"/>
  <c r="CV127" i="8" l="1"/>
  <c r="CW127" i="8" s="1"/>
  <c r="AS127" i="8"/>
  <c r="AO128" i="5"/>
  <c r="AM128" i="5"/>
  <c r="AN128" i="5"/>
  <c r="AR128" i="5" s="1"/>
  <c r="AV129" i="5"/>
  <c r="AW129" i="5"/>
  <c r="AG127" i="7"/>
  <c r="AI127" i="7" s="1"/>
  <c r="CL129" i="8"/>
  <c r="G134" i="8"/>
  <c r="CF133" i="8"/>
  <c r="O133" i="2"/>
  <c r="BR128" i="8"/>
  <c r="BS128" i="8"/>
  <c r="AD131" i="1"/>
  <c r="BC133" i="5" a="1"/>
  <c r="BC133" i="5" s="1"/>
  <c r="BI133" i="5" a="1"/>
  <c r="BI133" i="5" s="1"/>
  <c r="BH133" i="5" a="1"/>
  <c r="BH133" i="5" s="1"/>
  <c r="BD133" i="5" a="1"/>
  <c r="BD133" i="5" s="1"/>
  <c r="BJ133" i="5" a="1"/>
  <c r="BJ133" i="5" s="1"/>
  <c r="BM133" i="5" a="1"/>
  <c r="BM133" i="5" s="1"/>
  <c r="CU133" i="5"/>
  <c r="CW133" i="5"/>
  <c r="CT133" i="5"/>
  <c r="CS133" i="5"/>
  <c r="CV133" i="5"/>
  <c r="CQ133" i="5"/>
  <c r="CR133" i="5"/>
  <c r="AY133" i="5" a="1"/>
  <c r="AY133" i="5" s="1"/>
  <c r="BL133" i="5" a="1"/>
  <c r="BL133" i="5" s="1"/>
  <c r="BE133" i="5" a="1"/>
  <c r="BE133" i="5" s="1"/>
  <c r="BN133" i="5" a="1"/>
  <c r="BN133" i="5" s="1"/>
  <c r="BK133" i="5" a="1"/>
  <c r="BK133" i="5" s="1"/>
  <c r="BA133" i="5" a="1"/>
  <c r="BA133" i="5" s="1"/>
  <c r="BF133" i="5" a="1"/>
  <c r="BF133" i="5" s="1"/>
  <c r="AE132" i="1" s="1"/>
  <c r="BO133" i="5" a="1"/>
  <c r="BO133" i="5" s="1"/>
  <c r="AZ133" i="5" a="1"/>
  <c r="AZ133" i="5" s="1"/>
  <c r="BB133" i="5" a="1"/>
  <c r="BB133" i="5" s="1"/>
  <c r="BG133" i="5" a="1"/>
  <c r="BG133" i="5" s="1"/>
  <c r="BQ133" i="5" a="1"/>
  <c r="BQ133" i="5" s="1"/>
  <c r="V131" i="2"/>
  <c r="CY126" i="8"/>
  <c r="F136" i="8"/>
  <c r="AE136" i="1" s="1"/>
  <c r="BP132" i="5" a="1"/>
  <c r="BP132" i="5" s="1"/>
  <c r="J132" i="2" s="1"/>
  <c r="CE127" i="8"/>
  <c r="BX128" i="8"/>
  <c r="CD128" i="8" s="1"/>
  <c r="BT128" i="8"/>
  <c r="BO128" i="8"/>
  <c r="BP128" i="8"/>
  <c r="BM128" i="8"/>
  <c r="BN128" i="8"/>
  <c r="BK128" i="8"/>
  <c r="BL128" i="8"/>
  <c r="BJ128" i="8"/>
  <c r="AC128" i="10"/>
  <c r="X128" i="10" s="1"/>
  <c r="AS132" i="5"/>
  <c r="AH132" i="11"/>
  <c r="DF131" i="5"/>
  <c r="AM132" i="1"/>
  <c r="K134" i="11"/>
  <c r="A134" i="14"/>
  <c r="CA134" i="14" s="1"/>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W130" i="1"/>
  <c r="AJ132" i="1"/>
  <c r="AF130" i="1"/>
  <c r="AE133" i="8"/>
  <c r="AU133" i="8"/>
  <c r="CS126" i="8"/>
  <c r="B131" i="2"/>
  <c r="B131" i="1"/>
  <c r="BG131" i="1" s="1"/>
  <c r="AH131" i="5"/>
  <c r="BU131" i="5"/>
  <c r="BZ133" i="11"/>
  <c r="K132" i="10"/>
  <c r="AA132" i="7"/>
  <c r="AF132" i="8" s="1"/>
  <c r="AV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U127" i="8"/>
  <c r="D129" i="9"/>
  <c r="DH129" i="8"/>
  <c r="DI129" i="8" s="1"/>
  <c r="CK129" i="8"/>
  <c r="BW129" i="8"/>
  <c r="AC129" i="1" s="1"/>
  <c r="N128" i="7"/>
  <c r="BH129" i="8"/>
  <c r="BU129" i="8" s="1"/>
  <c r="BI129" i="8"/>
  <c r="DB127" i="8"/>
  <c r="B127" i="14"/>
  <c r="CZ131" i="5"/>
  <c r="AB127" i="11"/>
  <c r="Q127" i="8" s="1"/>
  <c r="N128" i="11"/>
  <c r="AA127" i="11"/>
  <c r="AK127" i="1" s="1"/>
  <c r="Z127" i="11"/>
  <c r="AD127" i="11"/>
  <c r="AI127" i="1" s="1"/>
  <c r="AC127" i="11"/>
  <c r="U127" i="8" s="1"/>
  <c r="Y127" i="11"/>
  <c r="AH127" i="1" s="1"/>
  <c r="C130" i="5"/>
  <c r="F130" i="5" s="1"/>
  <c r="X129" i="8"/>
  <c r="DD129" i="8" s="1"/>
  <c r="B129" i="9"/>
  <c r="Y129" i="9" s="1"/>
  <c r="A129" i="10"/>
  <c r="AA129" i="10" s="1"/>
  <c r="AJ129" i="5"/>
  <c r="AP129" i="5" s="1"/>
  <c r="AI129" i="5"/>
  <c r="A129" i="11"/>
  <c r="AC129" i="8"/>
  <c r="BQ129" i="8" s="1"/>
  <c r="BT129" i="5"/>
  <c r="B129" i="7"/>
  <c r="E129" i="1"/>
  <c r="CC128" i="8"/>
  <c r="CH128" i="8"/>
  <c r="CZ128" i="8" s="1"/>
  <c r="CA128" i="8"/>
  <c r="CB128" i="8"/>
  <c r="CT128" i="8" s="1"/>
  <c r="BY128" i="8"/>
  <c r="CQ128" i="8" s="1"/>
  <c r="BZ128" i="8"/>
  <c r="CR128" i="8" s="1"/>
  <c r="CI128" i="8"/>
  <c r="DA128" i="8" s="1"/>
  <c r="AQ127" i="5"/>
  <c r="Q128" i="7"/>
  <c r="AE128" i="7"/>
  <c r="AF128" i="7" s="1"/>
  <c r="DA130" i="5"/>
  <c r="DG130" i="5" s="1" a="1"/>
  <c r="DG130" i="5" s="1"/>
  <c r="AB131" i="1"/>
  <c r="DI131" i="5"/>
  <c r="N116" i="1"/>
  <c r="S133" i="2"/>
  <c r="N134" i="2"/>
  <c r="R134" i="2"/>
  <c r="Q133" i="2"/>
  <c r="P135" i="2"/>
  <c r="J135" i="10"/>
  <c r="N135" i="5" s="1"/>
  <c r="CX127" i="8" l="1"/>
  <c r="CY127" i="8" s="1"/>
  <c r="CV128" i="8"/>
  <c r="CW128" i="8" s="1"/>
  <c r="AS128" i="8"/>
  <c r="AO129" i="5"/>
  <c r="AM129" i="5"/>
  <c r="AN129" i="5"/>
  <c r="AR129" i="5" s="1"/>
  <c r="AV130" i="5"/>
  <c r="AW130" i="5"/>
  <c r="AG128" i="7"/>
  <c r="AI128" i="7" s="1"/>
  <c r="CL130" i="8"/>
  <c r="G135" i="8"/>
  <c r="CF134" i="8"/>
  <c r="O134" i="2"/>
  <c r="BR129" i="8"/>
  <c r="BS129" i="8"/>
  <c r="AD132" i="1"/>
  <c r="BQ134" i="5" a="1"/>
  <c r="BQ134" i="5" s="1"/>
  <c r="BG134" i="5" a="1"/>
  <c r="BG134" i="5" s="1"/>
  <c r="CS134" i="5"/>
  <c r="CU134" i="5"/>
  <c r="CV134" i="5"/>
  <c r="CW134" i="5"/>
  <c r="CQ134" i="5"/>
  <c r="CT134" i="5"/>
  <c r="CR134" i="5"/>
  <c r="AY134" i="5" a="1"/>
  <c r="AY134" i="5" s="1"/>
  <c r="BL134" i="5" a="1"/>
  <c r="BL134" i="5" s="1"/>
  <c r="BB134" i="5" a="1"/>
  <c r="BB134" i="5" s="1"/>
  <c r="AZ134" i="5" a="1"/>
  <c r="AZ134" i="5" s="1"/>
  <c r="BM134" i="5" a="1"/>
  <c r="BM134" i="5" s="1"/>
  <c r="BO134" i="5" a="1"/>
  <c r="BO134" i="5" s="1"/>
  <c r="BJ134" i="5" a="1"/>
  <c r="BJ134" i="5" s="1"/>
  <c r="BF134" i="5" a="1"/>
  <c r="BF134" i="5" s="1"/>
  <c r="AE133" i="1" s="1"/>
  <c r="BD134" i="5" a="1"/>
  <c r="BD134" i="5" s="1"/>
  <c r="BA134" i="5" a="1"/>
  <c r="BA134" i="5" s="1"/>
  <c r="BH134" i="5" a="1"/>
  <c r="BH134" i="5" s="1"/>
  <c r="BK134" i="5" a="1"/>
  <c r="BK134" i="5" s="1"/>
  <c r="BN134" i="5" a="1"/>
  <c r="BN134" i="5" s="1"/>
  <c r="BE134" i="5" a="1"/>
  <c r="BE134" i="5" s="1"/>
  <c r="BI134" i="5" a="1"/>
  <c r="BI134" i="5" s="1"/>
  <c r="BC134" i="5" a="1"/>
  <c r="BC134" i="5" s="1"/>
  <c r="BP133" i="5" a="1"/>
  <c r="BP133" i="5" s="1"/>
  <c r="J133" i="2" s="1"/>
  <c r="CE128" i="8"/>
  <c r="BX129" i="8"/>
  <c r="CE129" i="8" s="1"/>
  <c r="CX129" i="8" s="1"/>
  <c r="BT129" i="8"/>
  <c r="BO129" i="8"/>
  <c r="BP129" i="8"/>
  <c r="BM129" i="8"/>
  <c r="BN129" i="8"/>
  <c r="BK129" i="8"/>
  <c r="BL129" i="8"/>
  <c r="BJ129" i="8"/>
  <c r="AC129" i="10"/>
  <c r="X129" i="10" s="1"/>
  <c r="AH133" i="11"/>
  <c r="DE132" i="5"/>
  <c r="AK133" i="11"/>
  <c r="AM133" i="1"/>
  <c r="DB132" i="5"/>
  <c r="DF132" i="5"/>
  <c r="AE134" i="8"/>
  <c r="AU134" i="8"/>
  <c r="AT134" i="14" a="1"/>
  <c r="AT134" i="14" s="1"/>
  <c r="BR134" i="14" a="1"/>
  <c r="BR134" i="14" s="1"/>
  <c r="R134" i="14" a="1"/>
  <c r="R134" i="14" s="1"/>
  <c r="AL134" i="1" s="1"/>
  <c r="Q134" i="14" a="1"/>
  <c r="Q134" i="14" s="1"/>
  <c r="AO134" i="14" a="1"/>
  <c r="AO134" i="14" s="1"/>
  <c r="BT134" i="14" a="1"/>
  <c r="BT134" i="14" s="1"/>
  <c r="BK134" i="14" a="1"/>
  <c r="BK134" i="14" s="1"/>
  <c r="AU134" i="14" a="1"/>
  <c r="AU134" i="14"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CA135" i="14" s="1"/>
  <c r="A135" i="5"/>
  <c r="A135" i="9"/>
  <c r="A135" i="7"/>
  <c r="R135" i="7" s="1"/>
  <c r="A135" i="8"/>
  <c r="A135" i="2"/>
  <c r="Y131" i="1"/>
  <c r="DJ132" i="5"/>
  <c r="DH132" i="5"/>
  <c r="AF131" i="1"/>
  <c r="W131" i="1"/>
  <c r="AJ133" i="1"/>
  <c r="CS127" i="8"/>
  <c r="BU132" i="5"/>
  <c r="AH132" i="5"/>
  <c r="B132" i="2"/>
  <c r="B132" i="1"/>
  <c r="BG132" i="1" s="1"/>
  <c r="BZ134" i="11"/>
  <c r="K133" i="10"/>
  <c r="AA133" i="7"/>
  <c r="AF133" i="8" s="1"/>
  <c r="AV133" i="8" s="1"/>
  <c r="L133" i="11"/>
  <c r="L133" i="5"/>
  <c r="G132" i="10"/>
  <c r="I132" i="7"/>
  <c r="K133" i="5"/>
  <c r="F132" i="10"/>
  <c r="H132" i="7"/>
  <c r="DD132" i="5"/>
  <c r="J133" i="5"/>
  <c r="E132" i="10"/>
  <c r="G132" i="7"/>
  <c r="H133" i="5"/>
  <c r="C132" i="10"/>
  <c r="E132" i="7"/>
  <c r="I133" i="5"/>
  <c r="D132" i="10"/>
  <c r="F132" i="7"/>
  <c r="M133" i="5"/>
  <c r="H132" i="10"/>
  <c r="J132" i="7"/>
  <c r="CU128" i="8"/>
  <c r="N136" i="2"/>
  <c r="D130" i="9"/>
  <c r="DH130" i="8"/>
  <c r="DI130" i="8" s="1"/>
  <c r="R136" i="2"/>
  <c r="CK130" i="8"/>
  <c r="BW130" i="8"/>
  <c r="AC130" i="1" s="1"/>
  <c r="N129" i="7"/>
  <c r="BH130" i="8"/>
  <c r="BU130" i="8" s="1"/>
  <c r="BI130" i="8"/>
  <c r="G132" i="5"/>
  <c r="X130" i="8"/>
  <c r="DD130" i="8" s="1"/>
  <c r="B130" i="9"/>
  <c r="Y130" i="9" s="1"/>
  <c r="AJ130" i="5"/>
  <c r="AP130" i="5" s="1"/>
  <c r="AI130" i="5"/>
  <c r="BT130" i="5"/>
  <c r="A130" i="11"/>
  <c r="AC130" i="8"/>
  <c r="BQ130" i="8" s="1"/>
  <c r="B130" i="7"/>
  <c r="A130" i="10"/>
  <c r="AA130" i="10" s="1"/>
  <c r="E130" i="1"/>
  <c r="DB128" i="8"/>
  <c r="AA128" i="11"/>
  <c r="AK128" i="1" s="1"/>
  <c r="AC128" i="11"/>
  <c r="U128" i="8" s="1"/>
  <c r="AB128" i="11"/>
  <c r="Q128" i="8" s="1"/>
  <c r="Y128" i="11"/>
  <c r="AH128" i="1" s="1"/>
  <c r="AD128" i="11"/>
  <c r="AI128" i="1" s="1"/>
  <c r="N129" i="11"/>
  <c r="Z128" i="11"/>
  <c r="CA129" i="8"/>
  <c r="CB129" i="8"/>
  <c r="CT129" i="8" s="1"/>
  <c r="BZ129" i="8"/>
  <c r="CR129" i="8" s="1"/>
  <c r="BY129" i="8"/>
  <c r="CQ129" i="8" s="1"/>
  <c r="CH129" i="8"/>
  <c r="CZ129" i="8" s="1"/>
  <c r="CC129" i="8"/>
  <c r="C131" i="5"/>
  <c r="F131" i="5" s="1"/>
  <c r="CI129" i="8"/>
  <c r="DA129" i="8" s="1"/>
  <c r="B128" i="14"/>
  <c r="AQ128" i="5"/>
  <c r="AE129" i="7"/>
  <c r="AF129" i="7" s="1"/>
  <c r="Q129" i="7"/>
  <c r="AB132" i="1"/>
  <c r="DI132" i="5"/>
  <c r="DA131" i="5"/>
  <c r="DG131" i="5" s="1" a="1"/>
  <c r="DG131" i="5" s="1"/>
  <c r="N117" i="1"/>
  <c r="S134" i="2"/>
  <c r="N135" i="2"/>
  <c r="R135" i="2"/>
  <c r="Q134" i="2"/>
  <c r="J136" i="10"/>
  <c r="N136" i="5" s="1"/>
  <c r="P136" i="2"/>
  <c r="CX128" i="8" l="1"/>
  <c r="CY128" i="8" s="1"/>
  <c r="CV129" i="8"/>
  <c r="CW129" i="8" s="1"/>
  <c r="AS129" i="8"/>
  <c r="AO130" i="5"/>
  <c r="AM130" i="5"/>
  <c r="AN130" i="5"/>
  <c r="AR130" i="5" s="1"/>
  <c r="AV131" i="5"/>
  <c r="AW131" i="5"/>
  <c r="AG129" i="7"/>
  <c r="AI129" i="7" s="1"/>
  <c r="CL131" i="8"/>
  <c r="G136" i="8"/>
  <c r="CF135" i="8"/>
  <c r="O135" i="2"/>
  <c r="BJ135" i="5" a="1"/>
  <c r="BJ135" i="5" s="1"/>
  <c r="BO135" i="5" a="1"/>
  <c r="BO135" i="5" s="1"/>
  <c r="BR130" i="8"/>
  <c r="BS130" i="8"/>
  <c r="AD133" i="1"/>
  <c r="BM135" i="5" a="1"/>
  <c r="BM135" i="5" s="1"/>
  <c r="AZ135" i="5" a="1"/>
  <c r="AZ135" i="5" s="1"/>
  <c r="CQ135" i="5"/>
  <c r="CU135" i="5"/>
  <c r="CW135" i="5"/>
  <c r="CR135" i="5"/>
  <c r="CS135" i="5"/>
  <c r="CT135" i="5"/>
  <c r="CV135" i="5"/>
  <c r="AY135" i="5" a="1"/>
  <c r="AY135" i="5" s="1"/>
  <c r="BL135" i="5" a="1"/>
  <c r="BL135" i="5" s="1"/>
  <c r="BB135" i="5" a="1"/>
  <c r="BB135" i="5" s="1"/>
  <c r="BC135" i="5" a="1"/>
  <c r="BC135" i="5" s="1"/>
  <c r="BI135" i="5" a="1"/>
  <c r="BI135" i="5" s="1"/>
  <c r="BE135" i="5" a="1"/>
  <c r="BE135" i="5" s="1"/>
  <c r="BN135" i="5" a="1"/>
  <c r="BN135" i="5" s="1"/>
  <c r="BK135" i="5" a="1"/>
  <c r="BK135" i="5" s="1"/>
  <c r="BH135" i="5" a="1"/>
  <c r="BH135" i="5" s="1"/>
  <c r="BA135" i="5" a="1"/>
  <c r="BA135" i="5" s="1"/>
  <c r="BD135" i="5" a="1"/>
  <c r="BD135" i="5" s="1"/>
  <c r="BG135" i="5" a="1"/>
  <c r="BG135" i="5" s="1"/>
  <c r="BF135" i="5" a="1"/>
  <c r="BF135" i="5" s="1"/>
  <c r="AE134" i="1" s="1"/>
  <c r="BQ135" i="5" a="1"/>
  <c r="BQ135" i="5" s="1"/>
  <c r="AS133" i="5"/>
  <c r="V132" i="2"/>
  <c r="BP134" i="5" a="1"/>
  <c r="BP134" i="5" s="1"/>
  <c r="J134" i="2" s="1"/>
  <c r="CD129" i="8"/>
  <c r="BX130" i="8"/>
  <c r="CD130" i="8" s="1"/>
  <c r="BT130" i="8"/>
  <c r="BO130" i="8"/>
  <c r="BP130" i="8"/>
  <c r="BM130" i="8"/>
  <c r="BN130" i="8"/>
  <c r="BK130" i="8"/>
  <c r="BL130" i="8"/>
  <c r="BJ130" i="8"/>
  <c r="AC130" i="10"/>
  <c r="X130" i="10" s="1"/>
  <c r="AH134" i="11"/>
  <c r="AJ134" i="1"/>
  <c r="AK134" i="11"/>
  <c r="DH133" i="5"/>
  <c r="K136" i="11"/>
  <c r="A136" i="14"/>
  <c r="CA136" i="14" s="1"/>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BK135" i="14" a="1"/>
  <c r="BK135" i="14" s="1"/>
  <c r="U135" i="14" a="1"/>
  <c r="U135" i="14" s="1"/>
  <c r="DB133" i="5"/>
  <c r="Y132" i="1"/>
  <c r="DJ133" i="5"/>
  <c r="W132" i="1"/>
  <c r="AE135" i="8"/>
  <c r="AU135" i="8"/>
  <c r="AM134" i="1"/>
  <c r="AF132" i="1"/>
  <c r="DF133" i="5"/>
  <c r="DE133" i="5"/>
  <c r="B133" i="2"/>
  <c r="BU133" i="5"/>
  <c r="B133" i="1"/>
  <c r="BG133" i="1" s="1"/>
  <c r="AH133" i="5"/>
  <c r="BZ135" i="11"/>
  <c r="K134" i="10"/>
  <c r="AA134" i="7"/>
  <c r="AF134" i="8" s="1"/>
  <c r="AV134" i="8" s="1"/>
  <c r="L134" i="11"/>
  <c r="I134" i="5"/>
  <c r="D133" i="10"/>
  <c r="F133" i="7"/>
  <c r="J134" i="5"/>
  <c r="DC134" i="5" s="1"/>
  <c r="E133" i="10"/>
  <c r="G133" i="7"/>
  <c r="H134" i="5"/>
  <c r="C133" i="10"/>
  <c r="E133" i="7"/>
  <c r="K134" i="5"/>
  <c r="F133" i="10"/>
  <c r="H133" i="7"/>
  <c r="DD133" i="5"/>
  <c r="M134" i="5"/>
  <c r="H133" i="10"/>
  <c r="J133" i="7"/>
  <c r="DC133" i="5"/>
  <c r="L134" i="5"/>
  <c r="G133" i="10"/>
  <c r="I133" i="7"/>
  <c r="CS128" i="8"/>
  <c r="CU129" i="8"/>
  <c r="D131" i="9"/>
  <c r="DH131" i="8"/>
  <c r="DI131" i="8" s="1"/>
  <c r="CK131" i="8"/>
  <c r="BW131" i="8"/>
  <c r="AC131" i="1" s="1"/>
  <c r="N130" i="7"/>
  <c r="BH131" i="8"/>
  <c r="BU131" i="8" s="1"/>
  <c r="BI131" i="8"/>
  <c r="CZ132" i="5"/>
  <c r="D132" i="7"/>
  <c r="B132" i="10"/>
  <c r="G133" i="5"/>
  <c r="B132" i="5"/>
  <c r="AQ129" i="5"/>
  <c r="CI130" i="8"/>
  <c r="DA130" i="8" s="1"/>
  <c r="B129" i="14"/>
  <c r="AE130" i="7"/>
  <c r="AF130" i="7" s="1"/>
  <c r="Q130" i="7"/>
  <c r="N130" i="11"/>
  <c r="AD129" i="11"/>
  <c r="AI129" i="1" s="1"/>
  <c r="Z129" i="11"/>
  <c r="AB129" i="11"/>
  <c r="Q129" i="8" s="1"/>
  <c r="AA129" i="11"/>
  <c r="AK129" i="1" s="1"/>
  <c r="AC129" i="11"/>
  <c r="U129" i="8" s="1"/>
  <c r="Y129" i="11"/>
  <c r="AH129" i="1" s="1"/>
  <c r="AC131" i="8"/>
  <c r="BQ131" i="8" s="1"/>
  <c r="B131" i="9"/>
  <c r="Y131" i="9" s="1"/>
  <c r="E131" i="1"/>
  <c r="A131" i="10"/>
  <c r="AA131" i="10" s="1"/>
  <c r="BT131" i="5"/>
  <c r="AJ131" i="5"/>
  <c r="AP131" i="5" s="1"/>
  <c r="X131" i="8"/>
  <c r="DD131" i="8" s="1"/>
  <c r="B131" i="7"/>
  <c r="AI131" i="5"/>
  <c r="A131" i="11"/>
  <c r="C132" i="5"/>
  <c r="BZ130" i="8"/>
  <c r="CR130" i="8" s="1"/>
  <c r="CC130" i="8"/>
  <c r="CH130" i="8"/>
  <c r="CZ130" i="8" s="1"/>
  <c r="CA130" i="8"/>
  <c r="BY130" i="8"/>
  <c r="CQ130" i="8" s="1"/>
  <c r="CB130" i="8"/>
  <c r="CT130" i="8" s="1"/>
  <c r="DB129" i="8"/>
  <c r="DA132" i="5"/>
  <c r="AB133" i="1"/>
  <c r="DI133" i="5"/>
  <c r="N118" i="1"/>
  <c r="S135" i="2"/>
  <c r="S136" i="2"/>
  <c r="Q135" i="2"/>
  <c r="Q136" i="2"/>
  <c r="CV130" i="8" l="1"/>
  <c r="CW130" i="8" s="1"/>
  <c r="AS130" i="8"/>
  <c r="AO131" i="5"/>
  <c r="AM131" i="5"/>
  <c r="AN131" i="5"/>
  <c r="AR131" i="5" s="1"/>
  <c r="AG130" i="7"/>
  <c r="AI130" i="7" s="1"/>
  <c r="CF136" i="8"/>
  <c r="O136" i="2"/>
  <c r="BO136" i="5" a="1"/>
  <c r="BO136" i="5" s="1"/>
  <c r="BE136" i="5" a="1"/>
  <c r="BE136" i="5" s="1"/>
  <c r="BR131" i="8"/>
  <c r="BS131" i="8"/>
  <c r="AD134" i="1"/>
  <c r="BI136" i="5" a="1"/>
  <c r="BI136" i="5" s="1"/>
  <c r="BC136" i="5" a="1"/>
  <c r="BC136" i="5" s="1"/>
  <c r="BB136" i="5" a="1"/>
  <c r="BB136" i="5" s="1"/>
  <c r="BQ136" i="5" a="1"/>
  <c r="BQ136" i="5" s="1"/>
  <c r="BF136" i="5" a="1"/>
  <c r="BF136" i="5" s="1"/>
  <c r="AE135" i="1" s="1"/>
  <c r="CQ136" i="5"/>
  <c r="CW136" i="5"/>
  <c r="CS136" i="5"/>
  <c r="CV136" i="5"/>
  <c r="CR136" i="5"/>
  <c r="CU136" i="5"/>
  <c r="CT136" i="5"/>
  <c r="AY136" i="5" a="1"/>
  <c r="AY136" i="5" s="1"/>
  <c r="BL136" i="5" a="1"/>
  <c r="BL136" i="5" s="1"/>
  <c r="BG136" i="5" a="1"/>
  <c r="BG136" i="5" s="1"/>
  <c r="BD136" i="5" a="1"/>
  <c r="BD136" i="5" s="1"/>
  <c r="BA136" i="5" a="1"/>
  <c r="BA136" i="5" s="1"/>
  <c r="BH136" i="5" a="1"/>
  <c r="BH136" i="5" s="1"/>
  <c r="BJ136" i="5" a="1"/>
  <c r="BJ136" i="5" s="1"/>
  <c r="BK136" i="5" a="1"/>
  <c r="BK136" i="5" s="1"/>
  <c r="AZ136" i="5" a="1"/>
  <c r="AZ136" i="5" s="1"/>
  <c r="BN136" i="5" a="1"/>
  <c r="BN136" i="5" s="1"/>
  <c r="BM136" i="5" a="1"/>
  <c r="BM136" i="5" s="1"/>
  <c r="AS134" i="5"/>
  <c r="V133" i="2"/>
  <c r="CY129" i="8"/>
  <c r="BP135" i="5" a="1"/>
  <c r="BP135" i="5" s="1"/>
  <c r="J135" i="2" s="1"/>
  <c r="DG132" i="5" a="1"/>
  <c r="DG132" i="5" s="1"/>
  <c r="CE130" i="8"/>
  <c r="BT131" i="8"/>
  <c r="BO131" i="8"/>
  <c r="BP131" i="8"/>
  <c r="BM131" i="8"/>
  <c r="BN131" i="8"/>
  <c r="BK131" i="8"/>
  <c r="BL131" i="8"/>
  <c r="BJ131" i="8"/>
  <c r="AC131" i="10"/>
  <c r="X131" i="10" s="1"/>
  <c r="AH135" i="11"/>
  <c r="AJ135" i="1"/>
  <c r="DE134" i="5"/>
  <c r="W133" i="1"/>
  <c r="AU136" i="8"/>
  <c r="AE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Z136" i="11"/>
  <c r="K135" i="10"/>
  <c r="AA135" i="7"/>
  <c r="AF135" i="8" s="1"/>
  <c r="AV135" i="8" s="1"/>
  <c r="L135" i="11"/>
  <c r="H135" i="5"/>
  <c r="C134" i="10"/>
  <c r="E134" i="7"/>
  <c r="M135" i="5"/>
  <c r="H134" i="10"/>
  <c r="J134" i="7"/>
  <c r="J135" i="5"/>
  <c r="DC135" i="5" s="1"/>
  <c r="E134" i="10"/>
  <c r="G134" i="7"/>
  <c r="L135" i="5"/>
  <c r="G134" i="10"/>
  <c r="I134" i="7"/>
  <c r="K135" i="5"/>
  <c r="F134" i="10"/>
  <c r="H134" i="7"/>
  <c r="DD134" i="5"/>
  <c r="I135" i="5"/>
  <c r="D134" i="10"/>
  <c r="F134" i="7"/>
  <c r="CS129" i="8"/>
  <c r="CU130" i="8"/>
  <c r="D132" i="9"/>
  <c r="BX131" i="8"/>
  <c r="CD131" i="8" s="1"/>
  <c r="N131" i="7"/>
  <c r="CZ133" i="5"/>
  <c r="F132" i="5"/>
  <c r="D133" i="7"/>
  <c r="B133" i="10"/>
  <c r="G134" i="5"/>
  <c r="B133" i="5"/>
  <c r="AQ130" i="5"/>
  <c r="DB130" i="8"/>
  <c r="C133" i="5"/>
  <c r="AE131" i="7"/>
  <c r="AF131" i="7" s="1"/>
  <c r="Q131" i="7"/>
  <c r="B130" i="14"/>
  <c r="CH131" i="8"/>
  <c r="CZ131" i="8" s="1"/>
  <c r="CA131" i="8"/>
  <c r="CB131" i="8"/>
  <c r="CT131" i="8" s="1"/>
  <c r="BY131" i="8"/>
  <c r="CQ131" i="8" s="1"/>
  <c r="BZ131" i="8"/>
  <c r="CR131" i="8" s="1"/>
  <c r="CC131" i="8"/>
  <c r="AD130" i="11"/>
  <c r="AI130" i="1" s="1"/>
  <c r="AC130" i="11"/>
  <c r="U130" i="8" s="1"/>
  <c r="AB130" i="11"/>
  <c r="Q130" i="8" s="1"/>
  <c r="Y130" i="11"/>
  <c r="AH130" i="1" s="1"/>
  <c r="N131" i="11"/>
  <c r="Z130" i="11"/>
  <c r="AA130" i="11"/>
  <c r="AK130" i="1" s="1"/>
  <c r="CI131" i="8"/>
  <c r="DA131" i="8" s="1"/>
  <c r="AB134" i="1"/>
  <c r="DI134" i="5"/>
  <c r="DA133" i="5"/>
  <c r="N119" i="1"/>
  <c r="CX130" i="8" l="1"/>
  <c r="CY130" i="8" s="1"/>
  <c r="CV131" i="8"/>
  <c r="CW131" i="8" s="1"/>
  <c r="AS131" i="8"/>
  <c r="AV132" i="5"/>
  <c r="AW132" i="5"/>
  <c r="AG131" i="7"/>
  <c r="AI131" i="7" s="1"/>
  <c r="CL132" i="8"/>
  <c r="AD135" i="1"/>
  <c r="AS135" i="5"/>
  <c r="V134" i="2"/>
  <c r="BP136" i="5" a="1"/>
  <c r="BP136" i="5" s="1"/>
  <c r="J136" i="2" s="1"/>
  <c r="DG133" i="5" a="1"/>
  <c r="DG133" i="5" s="1"/>
  <c r="AH136" i="11"/>
  <c r="AK136" i="11"/>
  <c r="DF135" i="5"/>
  <c r="DE135" i="5"/>
  <c r="AM136" i="1"/>
  <c r="DB135" i="5"/>
  <c r="DH136" i="5"/>
  <c r="DH135" i="5"/>
  <c r="AF135" i="1"/>
  <c r="AF134" i="1"/>
  <c r="Y134" i="1"/>
  <c r="DJ135" i="5"/>
  <c r="W135" i="1"/>
  <c r="W134" i="1"/>
  <c r="AJ136" i="1"/>
  <c r="CS130" i="8"/>
  <c r="AH135" i="5"/>
  <c r="BU135" i="5"/>
  <c r="B135" i="2"/>
  <c r="B135" i="1"/>
  <c r="BG135" i="1" s="1"/>
  <c r="AA136" i="7"/>
  <c r="AF136" i="8" s="1"/>
  <c r="AV136" i="8" s="1"/>
  <c r="K136" i="10"/>
  <c r="L136" i="11"/>
  <c r="J136" i="5"/>
  <c r="DC136" i="5" s="1"/>
  <c r="E135" i="10"/>
  <c r="G135" i="7"/>
  <c r="K136" i="5"/>
  <c r="F135" i="10"/>
  <c r="H135" i="7"/>
  <c r="DD135" i="5"/>
  <c r="M136" i="5"/>
  <c r="H135" i="10"/>
  <c r="J135" i="7"/>
  <c r="I136" i="5"/>
  <c r="D135" i="10"/>
  <c r="F135" i="7"/>
  <c r="L136" i="5"/>
  <c r="G135" i="10"/>
  <c r="I135" i="7"/>
  <c r="H136" i="5"/>
  <c r="C135" i="10"/>
  <c r="E135" i="7"/>
  <c r="CU131" i="8"/>
  <c r="DH132" i="8"/>
  <c r="DI132" i="8" s="1"/>
  <c r="CE131" i="8"/>
  <c r="CK132" i="8"/>
  <c r="BW132" i="8"/>
  <c r="BI132" i="8"/>
  <c r="BH132" i="8"/>
  <c r="BU132" i="8" s="1"/>
  <c r="B132" i="7"/>
  <c r="Q132" i="7" s="1"/>
  <c r="BT132" i="5"/>
  <c r="A132" i="11"/>
  <c r="AD131" i="11" s="1"/>
  <c r="AI131" i="1" s="1"/>
  <c r="AI132" i="5"/>
  <c r="X132" i="8"/>
  <c r="DD132" i="8" s="1"/>
  <c r="B132" i="9"/>
  <c r="Y132" i="9" s="1"/>
  <c r="A132" i="10"/>
  <c r="AA132" i="10" s="1"/>
  <c r="AJ132" i="5"/>
  <c r="AP132" i="5" s="1"/>
  <c r="AC132" i="8"/>
  <c r="BQ132" i="8" s="1"/>
  <c r="E132" i="1"/>
  <c r="F133" i="5"/>
  <c r="D134" i="7"/>
  <c r="B134" i="10"/>
  <c r="G135" i="5"/>
  <c r="B134" i="5"/>
  <c r="CZ134" i="5"/>
  <c r="AQ131" i="5"/>
  <c r="C134" i="5"/>
  <c r="B131" i="14"/>
  <c r="DB131" i="8"/>
  <c r="DA134" i="5"/>
  <c r="AB135" i="1"/>
  <c r="DI135" i="5"/>
  <c r="N120" i="1"/>
  <c r="W136" i="1"/>
  <c r="CX131" i="8" l="1"/>
  <c r="CY131" i="8" s="1"/>
  <c r="AO132" i="5"/>
  <c r="AM132" i="5"/>
  <c r="AN132" i="5"/>
  <c r="AV133" i="5"/>
  <c r="AW133" i="5"/>
  <c r="CL133" i="8"/>
  <c r="CC132" i="8"/>
  <c r="AC132" i="1"/>
  <c r="BR132" i="8"/>
  <c r="BS132" i="8"/>
  <c r="AS136" i="5"/>
  <c r="V135" i="2"/>
  <c r="DG134" i="5" a="1"/>
  <c r="DG134" i="5" s="1"/>
  <c r="BX132" i="8"/>
  <c r="CE132" i="8" s="1"/>
  <c r="CX132" i="8" s="1"/>
  <c r="BT132" i="8"/>
  <c r="BO132" i="8"/>
  <c r="BP132" i="8"/>
  <c r="BM132" i="8"/>
  <c r="BN132" i="8"/>
  <c r="BK132" i="8"/>
  <c r="BL132" i="8"/>
  <c r="BJ132" i="8"/>
  <c r="AC132" i="10"/>
  <c r="X132" i="10" s="1"/>
  <c r="AR132" i="5"/>
  <c r="DF136" i="5"/>
  <c r="DE136" i="5"/>
  <c r="Y135" i="1"/>
  <c r="DJ136" i="5"/>
  <c r="DB136" i="5"/>
  <c r="CS131" i="8"/>
  <c r="B136" i="2"/>
  <c r="AH136" i="5"/>
  <c r="BU136" i="5"/>
  <c r="B136" i="1"/>
  <c r="BG136" i="1" s="1"/>
  <c r="I136" i="7"/>
  <c r="G136" i="10"/>
  <c r="H136" i="7"/>
  <c r="F136" i="10"/>
  <c r="DD136" i="5"/>
  <c r="F136" i="7"/>
  <c r="D136" i="10"/>
  <c r="H136" i="10"/>
  <c r="J136" i="7"/>
  <c r="C136" i="10"/>
  <c r="E136" i="7"/>
  <c r="E136" i="10"/>
  <c r="G136" i="7"/>
  <c r="D133" i="9"/>
  <c r="CI132" i="8"/>
  <c r="DA132" i="8" s="1"/>
  <c r="DH133" i="8"/>
  <c r="DI133" i="8" s="1"/>
  <c r="CK133" i="8"/>
  <c r="BW133" i="8"/>
  <c r="BI133" i="8"/>
  <c r="N132" i="7"/>
  <c r="BH133" i="8"/>
  <c r="BU133" i="8" s="1"/>
  <c r="CZ135" i="5"/>
  <c r="AA131" i="11"/>
  <c r="AK131" i="1" s="1"/>
  <c r="Y131" i="11"/>
  <c r="AH131" i="1" s="1"/>
  <c r="AC131" i="11"/>
  <c r="U131" i="8" s="1"/>
  <c r="Z131" i="11"/>
  <c r="N132" i="11"/>
  <c r="AB131" i="11"/>
  <c r="Q131" i="8" s="1"/>
  <c r="A133" i="11"/>
  <c r="N133" i="11" s="1"/>
  <c r="B133" i="9"/>
  <c r="Y133" i="9" s="1"/>
  <c r="AI133" i="5"/>
  <c r="AJ133" i="5"/>
  <c r="AP133" i="5" s="1"/>
  <c r="AE132" i="7"/>
  <c r="AF132" i="7" s="1"/>
  <c r="BY132" i="8"/>
  <c r="CQ132" i="8" s="1"/>
  <c r="BT133" i="5"/>
  <c r="E133" i="1"/>
  <c r="CB132" i="8"/>
  <c r="CT132" i="8" s="1"/>
  <c r="BZ132" i="8"/>
  <c r="CR132" i="8" s="1"/>
  <c r="CA132" i="8"/>
  <c r="CH132" i="8"/>
  <c r="CZ132" i="8" s="1"/>
  <c r="X133" i="8"/>
  <c r="DD133" i="8" s="1"/>
  <c r="AC133" i="8"/>
  <c r="BQ133" i="8" s="1"/>
  <c r="A133" i="10"/>
  <c r="AA133" i="10" s="1"/>
  <c r="B133" i="7"/>
  <c r="AE133" i="7" s="1"/>
  <c r="AF133" i="7" s="1"/>
  <c r="F134" i="5"/>
  <c r="B135" i="10"/>
  <c r="D135" i="7"/>
  <c r="G136" i="5"/>
  <c r="B135" i="5"/>
  <c r="C135" i="5"/>
  <c r="AB136" i="1"/>
  <c r="DI136" i="5"/>
  <c r="DA135" i="5"/>
  <c r="N121" i="1"/>
  <c r="CV132" i="8" l="1"/>
  <c r="CW132" i="8" s="1"/>
  <c r="AS132" i="8"/>
  <c r="AO133" i="5"/>
  <c r="AM133" i="5"/>
  <c r="AN133" i="5"/>
  <c r="AV134" i="5"/>
  <c r="AW134" i="5"/>
  <c r="AG133" i="7"/>
  <c r="AG132" i="7"/>
  <c r="AI132" i="7" s="1"/>
  <c r="CL134" i="8"/>
  <c r="CC133" i="8"/>
  <c r="AC133" i="1"/>
  <c r="BR133" i="8"/>
  <c r="BS133" i="8"/>
  <c r="CZ136" i="5"/>
  <c r="V136" i="2"/>
  <c r="CD132" i="8"/>
  <c r="DG135" i="5" a="1"/>
  <c r="DG135" i="5" s="1"/>
  <c r="BX133" i="8"/>
  <c r="CE133" i="8" s="1"/>
  <c r="CX133" i="8" s="1"/>
  <c r="BT133" i="8"/>
  <c r="BO133" i="8"/>
  <c r="BP133" i="8"/>
  <c r="BM133" i="8"/>
  <c r="BN133" i="8"/>
  <c r="BK133" i="8"/>
  <c r="BL133" i="8"/>
  <c r="BJ133" i="8"/>
  <c r="AC133" i="10"/>
  <c r="X133" i="10" s="1"/>
  <c r="CU132" i="8"/>
  <c r="DB132" i="8"/>
  <c r="CI133" i="8"/>
  <c r="DA133" i="8" s="1"/>
  <c r="D134" i="9"/>
  <c r="DH134" i="8"/>
  <c r="DI134" i="8" s="1"/>
  <c r="CK134" i="8"/>
  <c r="BW134" i="8"/>
  <c r="BI134" i="8"/>
  <c r="N133" i="7"/>
  <c r="A134" i="10"/>
  <c r="AA134" i="10" s="1"/>
  <c r="BH134" i="8"/>
  <c r="BU134" i="8" s="1"/>
  <c r="BY133" i="8"/>
  <c r="CQ133" i="8" s="1"/>
  <c r="CH133" i="8"/>
  <c r="CZ133" i="8" s="1"/>
  <c r="AQ132" i="5"/>
  <c r="CB133" i="8"/>
  <c r="CT133" i="8" s="1"/>
  <c r="CA133" i="8"/>
  <c r="BZ133" i="8"/>
  <c r="CR133" i="8" s="1"/>
  <c r="AA132" i="11"/>
  <c r="AK132" i="1" s="1"/>
  <c r="Z132" i="11"/>
  <c r="AD132" i="11"/>
  <c r="AI132" i="1" s="1"/>
  <c r="AC132" i="11"/>
  <c r="U132" i="8" s="1"/>
  <c r="Y132" i="11"/>
  <c r="AH132" i="1" s="1"/>
  <c r="AB132" i="11"/>
  <c r="Q132" i="8" s="1"/>
  <c r="A134" i="11"/>
  <c r="Y133" i="11" s="1"/>
  <c r="AH133" i="1" s="1"/>
  <c r="B132" i="14"/>
  <c r="E134" i="1"/>
  <c r="AJ134" i="5"/>
  <c r="AP134" i="5" s="1"/>
  <c r="AC134" i="8"/>
  <c r="BQ134" i="8" s="1"/>
  <c r="Q133" i="7"/>
  <c r="F135" i="5"/>
  <c r="AI134" i="5"/>
  <c r="BT134" i="5"/>
  <c r="B134" i="7"/>
  <c r="Q134" i="7" s="1"/>
  <c r="X134" i="8"/>
  <c r="DD134" i="8" s="1"/>
  <c r="B134" i="9"/>
  <c r="Y134" i="9" s="1"/>
  <c r="B136" i="5"/>
  <c r="B136" i="10"/>
  <c r="D136" i="7"/>
  <c r="C136" i="5"/>
  <c r="B133" i="14"/>
  <c r="DA136" i="5"/>
  <c r="N122" i="1"/>
  <c r="CV133" i="8" l="1"/>
  <c r="CW133" i="8" s="1"/>
  <c r="AS133" i="8"/>
  <c r="AR133" i="5"/>
  <c r="AO134" i="5"/>
  <c r="AM134" i="5"/>
  <c r="AN134" i="5"/>
  <c r="AR134" i="5" s="1"/>
  <c r="AV135" i="5"/>
  <c r="AW135" i="5"/>
  <c r="AI133" i="7"/>
  <c r="CL135" i="8"/>
  <c r="CC134" i="8"/>
  <c r="AC134" i="1"/>
  <c r="DG136" i="5" a="1"/>
  <c r="DG136" i="5" s="1"/>
  <c r="BR134" i="8"/>
  <c r="BS134" i="8"/>
  <c r="CY132" i="8"/>
  <c r="CD133" i="8"/>
  <c r="BX134" i="8"/>
  <c r="CD134" i="8" s="1"/>
  <c r="BT134" i="8"/>
  <c r="BO134" i="8"/>
  <c r="BP134" i="8"/>
  <c r="BM134" i="8"/>
  <c r="BN134" i="8"/>
  <c r="BK134" i="8"/>
  <c r="BL134" i="8"/>
  <c r="BJ134" i="8"/>
  <c r="AC134" i="10"/>
  <c r="X134" i="10" s="1"/>
  <c r="CS132" i="8"/>
  <c r="CU133" i="8"/>
  <c r="DB133" i="8"/>
  <c r="D135" i="9"/>
  <c r="AQ133" i="5"/>
  <c r="DH135" i="8"/>
  <c r="DI135" i="8" s="1"/>
  <c r="CK135" i="8"/>
  <c r="BW135" i="8"/>
  <c r="BI135" i="8"/>
  <c r="N134" i="7"/>
  <c r="BH135" i="8"/>
  <c r="BU135" i="8" s="1"/>
  <c r="BZ134" i="8"/>
  <c r="CR134" i="8" s="1"/>
  <c r="AB133" i="11"/>
  <c r="Q133" i="8" s="1"/>
  <c r="N134" i="11"/>
  <c r="AA133" i="11"/>
  <c r="AK133" i="1" s="1"/>
  <c r="AC133" i="11"/>
  <c r="U133" i="8" s="1"/>
  <c r="Z133" i="11"/>
  <c r="AD133" i="11"/>
  <c r="AI133" i="1" s="1"/>
  <c r="CB134" i="8"/>
  <c r="CT134" i="8" s="1"/>
  <c r="AC135" i="8"/>
  <c r="BQ135" i="8" s="1"/>
  <c r="CA134" i="8"/>
  <c r="E135" i="1"/>
  <c r="B135" i="9"/>
  <c r="Y135" i="9" s="1"/>
  <c r="BY134" i="8"/>
  <c r="CQ134" i="8" s="1"/>
  <c r="CH134" i="8"/>
  <c r="CZ134" i="8" s="1"/>
  <c r="X135" i="8"/>
  <c r="DD135" i="8" s="1"/>
  <c r="B135" i="7"/>
  <c r="Q135" i="7" s="1"/>
  <c r="AJ135" i="5"/>
  <c r="AP135" i="5" s="1"/>
  <c r="A135" i="11"/>
  <c r="Y134" i="11" s="1"/>
  <c r="AH134" i="1" s="1"/>
  <c r="BT135" i="5"/>
  <c r="A135" i="10"/>
  <c r="AA135" i="10" s="1"/>
  <c r="AI135" i="5"/>
  <c r="AE134" i="7"/>
  <c r="AF134" i="7" s="1"/>
  <c r="CI134" i="8"/>
  <c r="DA134" i="8" s="1"/>
  <c r="F136" i="5"/>
  <c r="AA1269" i="14"/>
  <c r="AA1270" i="14" s="1"/>
  <c r="N123" i="1"/>
  <c r="CV134" i="8" l="1"/>
  <c r="CW134" i="8" s="1"/>
  <c r="AS134" i="8"/>
  <c r="AO135" i="5"/>
  <c r="AM135" i="5"/>
  <c r="AN135" i="5"/>
  <c r="AR135" i="5" s="1"/>
  <c r="AV136" i="5"/>
  <c r="AW136" i="5"/>
  <c r="AG134" i="7"/>
  <c r="AI134" i="7" s="1"/>
  <c r="CL136" i="8"/>
  <c r="CB135" i="8"/>
  <c r="CT135" i="8" s="1"/>
  <c r="AC135" i="1"/>
  <c r="BR135" i="8"/>
  <c r="BS135" i="8"/>
  <c r="CE134" i="8"/>
  <c r="CY133" i="8"/>
  <c r="BX135" i="8"/>
  <c r="CD135" i="8" s="1"/>
  <c r="BT135" i="8"/>
  <c r="BO135" i="8"/>
  <c r="BP135" i="8"/>
  <c r="BM135" i="8"/>
  <c r="BN135" i="8"/>
  <c r="BK135" i="8"/>
  <c r="BL135" i="8"/>
  <c r="BJ135" i="8"/>
  <c r="AC135" i="10"/>
  <c r="X135" i="10" s="1"/>
  <c r="CS133" i="8"/>
  <c r="CU134" i="8"/>
  <c r="BY135" i="8"/>
  <c r="CQ135" i="8" s="1"/>
  <c r="D136" i="9"/>
  <c r="CA135" i="8"/>
  <c r="DH136" i="8"/>
  <c r="DI136" i="8" s="1"/>
  <c r="BZ135" i="8"/>
  <c r="CR135" i="8" s="1"/>
  <c r="CH135" i="8"/>
  <c r="CZ135" i="8" s="1"/>
  <c r="CK136" i="8"/>
  <c r="BW136" i="8"/>
  <c r="BI136" i="8"/>
  <c r="N135" i="7"/>
  <c r="CC135" i="8"/>
  <c r="BH136" i="8"/>
  <c r="BU136" i="8" s="1"/>
  <c r="B134" i="14"/>
  <c r="AQ134" i="5"/>
  <c r="AE135" i="7"/>
  <c r="AF135" i="7" s="1"/>
  <c r="E136" i="1"/>
  <c r="DB134" i="8"/>
  <c r="AC134" i="11"/>
  <c r="U134" i="8" s="1"/>
  <c r="N135" i="11"/>
  <c r="AB134" i="11"/>
  <c r="Q134" i="8" s="1"/>
  <c r="AA134" i="11"/>
  <c r="AK134" i="1" s="1"/>
  <c r="Z134" i="11"/>
  <c r="AD134" i="11"/>
  <c r="AI134" i="1" s="1"/>
  <c r="CI135" i="8"/>
  <c r="DA135" i="8" s="1"/>
  <c r="AJ136" i="5"/>
  <c r="AP136" i="5" s="1"/>
  <c r="A136" i="10"/>
  <c r="AA136" i="10" s="1"/>
  <c r="AC136" i="8"/>
  <c r="BQ136" i="8" s="1"/>
  <c r="X136" i="8"/>
  <c r="DD136" i="8" s="1"/>
  <c r="A136" i="11"/>
  <c r="AA135" i="11" s="1"/>
  <c r="AK135" i="1" s="1"/>
  <c r="AI136" i="5"/>
  <c r="B136" i="7"/>
  <c r="AE136" i="7" s="1"/>
  <c r="AF136" i="7" s="1"/>
  <c r="BT136" i="5"/>
  <c r="AB136" i="11" s="1"/>
  <c r="Q136" i="8" s="1"/>
  <c r="B136" i="9"/>
  <c r="Y136" i="9"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CX134" i="8" l="1"/>
  <c r="CY134" i="8" s="1"/>
  <c r="CV135" i="8"/>
  <c r="CW135" i="8" s="1"/>
  <c r="AS135" i="8"/>
  <c r="AO136" i="5"/>
  <c r="AM136" i="5"/>
  <c r="AN136" i="5"/>
  <c r="AR136" i="5" s="1"/>
  <c r="AG136" i="7"/>
  <c r="AG135" i="7"/>
  <c r="AI135" i="7" s="1"/>
  <c r="CA136" i="8"/>
  <c r="AC136" i="1"/>
  <c r="BR136" i="8"/>
  <c r="BS136" i="8"/>
  <c r="CE135" i="8"/>
  <c r="BX136" i="8"/>
  <c r="CD136" i="8" s="1"/>
  <c r="BT136" i="8"/>
  <c r="BO136" i="8"/>
  <c r="BP136" i="8"/>
  <c r="BM136" i="8"/>
  <c r="BN136" i="8"/>
  <c r="BK136" i="8"/>
  <c r="BL136" i="8"/>
  <c r="BJ136" i="8"/>
  <c r="AC136" i="10"/>
  <c r="X136" i="10" s="1"/>
  <c r="BY136" i="8"/>
  <c r="CQ136" i="8" s="1"/>
  <c r="CS134" i="8"/>
  <c r="CU135" i="8"/>
  <c r="CH136" i="8"/>
  <c r="CZ136" i="8" s="1"/>
  <c r="CC136" i="8"/>
  <c r="BZ136" i="8"/>
  <c r="CR136" i="8" s="1"/>
  <c r="DB135" i="8"/>
  <c r="CB136" i="8"/>
  <c r="CT136" i="8" s="1"/>
  <c r="N136" i="7"/>
  <c r="B135" i="14"/>
  <c r="AQ135" i="5"/>
  <c r="AA136" i="11"/>
  <c r="AK136" i="1" s="1"/>
  <c r="Y136" i="11"/>
  <c r="AH136" i="1" s="1"/>
  <c r="AC136" i="11"/>
  <c r="U136" i="8" s="1"/>
  <c r="AD136" i="11"/>
  <c r="AI136" i="1" s="1"/>
  <c r="Z136" i="11"/>
  <c r="Q136" i="7"/>
  <c r="CI136" i="8"/>
  <c r="DA136" i="8" s="1"/>
  <c r="Z135" i="11"/>
  <c r="AD135" i="11"/>
  <c r="AI135" i="1" s="1"/>
  <c r="AB135" i="11"/>
  <c r="Q135" i="8" s="1"/>
  <c r="Y135" i="11"/>
  <c r="AH135" i="1" s="1"/>
  <c r="AC135" i="11"/>
  <c r="U135" i="8" s="1"/>
  <c r="N136" i="11"/>
  <c r="B136" i="14"/>
  <c r="AI52" i="7"/>
  <c r="AH52" i="7"/>
  <c r="AI46" i="7"/>
  <c r="AH46" i="7"/>
  <c r="AI53" i="7"/>
  <c r="AH53" i="7"/>
  <c r="AI51" i="7"/>
  <c r="AH51" i="7"/>
  <c r="AI59" i="7"/>
  <c r="AH59" i="7"/>
  <c r="AI45" i="7"/>
  <c r="AH45" i="7"/>
  <c r="AI56" i="7"/>
  <c r="AH56" i="7"/>
  <c r="AI58" i="7"/>
  <c r="AH58" i="7"/>
  <c r="AI49" i="7"/>
  <c r="AH49" i="7"/>
  <c r="AI57" i="7"/>
  <c r="AH57" i="7"/>
  <c r="AI48" i="7"/>
  <c r="AH48" i="7"/>
  <c r="AH4" i="7"/>
  <c r="AI54" i="7"/>
  <c r="AH54" i="7"/>
  <c r="AI55" i="7"/>
  <c r="AH55" i="7"/>
  <c r="AI44" i="7"/>
  <c r="AH44" i="7"/>
  <c r="AI50" i="7"/>
  <c r="AH50" i="7"/>
  <c r="AI47" i="7"/>
  <c r="AH47" i="7"/>
  <c r="N125" i="1"/>
  <c r="AH121" i="7"/>
  <c r="CX135" i="8" l="1"/>
  <c r="CY135" i="8" s="1"/>
  <c r="CV136" i="8"/>
  <c r="CW136" i="8" s="1"/>
  <c r="AS136" i="8"/>
  <c r="AI136" i="7"/>
  <c r="I65" i="4"/>
  <c r="CU136" i="8"/>
  <c r="CE136" i="8"/>
  <c r="CS135" i="8"/>
  <c r="DB136" i="8"/>
  <c r="AQ136" i="5"/>
  <c r="N126" i="1"/>
  <c r="AH122" i="7"/>
  <c r="CX136" i="8" l="1"/>
  <c r="CY136" i="8" s="1"/>
  <c r="CS136" i="8"/>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T5" i="8" l="1"/>
  <c r="AW5" i="1" s="1"/>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AT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T6" i="8"/>
  <c r="AW6" i="1" s="1"/>
  <c r="AU6" i="1" l="1"/>
  <c r="AU4" i="1"/>
  <c r="J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L4" i="1"/>
  <c r="E4" i="11" s="1"/>
  <c r="AT7" i="8"/>
  <c r="AW7" i="1" s="1"/>
  <c r="AQ4" i="1" l="1"/>
  <c r="I67" i="4"/>
  <c r="AT4" i="1"/>
  <c r="H4" i="1" s="1"/>
  <c r="AL4" i="5"/>
  <c r="AU7" i="1"/>
  <c r="AT7" i="1"/>
  <c r="D4" i="11"/>
  <c r="M7" i="1"/>
  <c r="F7" i="11" s="1"/>
  <c r="BM4" i="1"/>
  <c r="L5" i="1"/>
  <c r="E5" i="11" s="1"/>
  <c r="AT8" i="8"/>
  <c r="AW8" i="1" s="1"/>
  <c r="AK4" i="5" l="1"/>
  <c r="V4" i="10"/>
  <c r="AU8" i="1"/>
  <c r="AT8" i="1"/>
  <c r="BK4" i="1"/>
  <c r="M8" i="1"/>
  <c r="F8" i="11" s="1"/>
  <c r="C4" i="11"/>
  <c r="AC4" i="7"/>
  <c r="AJ4" i="7" s="1"/>
  <c r="AQ4" i="8"/>
  <c r="BI4" i="1"/>
  <c r="L6" i="1"/>
  <c r="E6" i="11" s="1"/>
  <c r="BM5" i="1"/>
  <c r="AT9" i="8"/>
  <c r="AW9" i="1" s="1"/>
  <c r="AU9" i="1" l="1"/>
  <c r="AT9" i="1"/>
  <c r="M9" i="1"/>
  <c r="F9" i="11" s="1"/>
  <c r="L7" i="1"/>
  <c r="E7" i="11" s="1"/>
  <c r="BM6" i="1"/>
  <c r="AT10" i="8"/>
  <c r="AW10" i="1" s="1"/>
  <c r="AU10" i="1" l="1"/>
  <c r="AT10" i="1"/>
  <c r="M10" i="1"/>
  <c r="F10" i="11" s="1"/>
  <c r="BM7" i="1"/>
  <c r="L8" i="1"/>
  <c r="E8" i="11" s="1"/>
  <c r="AT11" i="8"/>
  <c r="AW11" i="1" s="1"/>
  <c r="AT11" i="1" l="1"/>
  <c r="AU11" i="1"/>
  <c r="M11" i="1"/>
  <c r="F11" i="11" s="1"/>
  <c r="BM8" i="1"/>
  <c r="L9" i="1"/>
  <c r="E9" i="11" s="1"/>
  <c r="AT12" i="8"/>
  <c r="AW12" i="1" s="1"/>
  <c r="AU12" i="1" l="1"/>
  <c r="AT12" i="1"/>
  <c r="M12" i="1"/>
  <c r="F12" i="11" s="1"/>
  <c r="BM9" i="1"/>
  <c r="L10" i="1"/>
  <c r="AT13" i="8"/>
  <c r="AW13" i="1" s="1"/>
  <c r="AU13" i="1" l="1"/>
  <c r="AT13" i="1"/>
  <c r="M13" i="1"/>
  <c r="F13" i="11" s="1"/>
  <c r="L11" i="1"/>
  <c r="E11" i="11" s="1"/>
  <c r="E10" i="11"/>
  <c r="BM10" i="1"/>
  <c r="AT14" i="8"/>
  <c r="AW14" i="1" s="1"/>
  <c r="AU14" i="1" l="1"/>
  <c r="AT14" i="1"/>
  <c r="M14" i="1"/>
  <c r="F14" i="11" s="1"/>
  <c r="L12" i="1"/>
  <c r="E12" i="11" s="1"/>
  <c r="BM11" i="1"/>
  <c r="AT15" i="8"/>
  <c r="AW15" i="1" s="1"/>
  <c r="AU15" i="1" l="1"/>
  <c r="AT15" i="1"/>
  <c r="M15" i="1"/>
  <c r="F15" i="11" s="1"/>
  <c r="BM12" i="1"/>
  <c r="L13" i="1"/>
  <c r="BM13" i="1" s="1"/>
  <c r="AT16" i="8"/>
  <c r="AW16" i="1" s="1"/>
  <c r="AU16" i="1" l="1"/>
  <c r="AT16" i="1"/>
  <c r="M16" i="1"/>
  <c r="F16" i="11" s="1"/>
  <c r="L14" i="1"/>
  <c r="BM14" i="1" s="1"/>
  <c r="E13" i="11"/>
  <c r="AT17" i="8"/>
  <c r="AW17" i="1" s="1"/>
  <c r="AU17" i="1" l="1"/>
  <c r="AT17" i="1"/>
  <c r="M17" i="1"/>
  <c r="F17" i="11" s="1"/>
  <c r="L15" i="1"/>
  <c r="E15" i="11" s="1"/>
  <c r="E14" i="11"/>
  <c r="AT18" i="8"/>
  <c r="AW18" i="1" s="1"/>
  <c r="AU18" i="1" l="1"/>
  <c r="AT18" i="1"/>
  <c r="M18" i="1"/>
  <c r="F18" i="11" s="1"/>
  <c r="L16" i="1"/>
  <c r="BM16" i="1" s="1"/>
  <c r="BM15" i="1"/>
  <c r="AT19" i="8"/>
  <c r="AW19" i="1" s="1"/>
  <c r="AU19" i="1" l="1"/>
  <c r="AT19" i="1"/>
  <c r="M19" i="1"/>
  <c r="F19" i="11" s="1"/>
  <c r="L17" i="1"/>
  <c r="E16" i="11"/>
  <c r="AT20" i="8"/>
  <c r="AW20" i="1" s="1"/>
  <c r="AU20" i="1" l="1"/>
  <c r="AT20" i="1"/>
  <c r="M20" i="1"/>
  <c r="F20" i="11" s="1"/>
  <c r="E17" i="11"/>
  <c r="L18" i="1"/>
  <c r="L19" i="1" s="1"/>
  <c r="BM17" i="1"/>
  <c r="AT21" i="8"/>
  <c r="AW21" i="1" s="1"/>
  <c r="AU21" i="1" l="1"/>
  <c r="AT21" i="1"/>
  <c r="M21" i="1"/>
  <c r="F21" i="11" s="1"/>
  <c r="E19" i="11"/>
  <c r="BM19" i="1"/>
  <c r="L20" i="1"/>
  <c r="E20" i="11" s="1"/>
  <c r="E18" i="11"/>
  <c r="BM18" i="1"/>
  <c r="AT22" i="8"/>
  <c r="AW22" i="1" s="1"/>
  <c r="AT22" i="1" l="1"/>
  <c r="AU22" i="1"/>
  <c r="M22" i="1"/>
  <c r="F22" i="11" s="1"/>
  <c r="BM20" i="1"/>
  <c r="L21" i="1"/>
  <c r="E21" i="11" s="1"/>
  <c r="AT23" i="8"/>
  <c r="AW23" i="1" s="1"/>
  <c r="AU23" i="1" l="1"/>
  <c r="AT23" i="1"/>
  <c r="M23" i="1"/>
  <c r="F23" i="11" s="1"/>
  <c r="BM21" i="1"/>
  <c r="L22" i="1"/>
  <c r="E22" i="11" s="1"/>
  <c r="AT24" i="8"/>
  <c r="AW24" i="1" s="1"/>
  <c r="AU24" i="1" l="1"/>
  <c r="AT24" i="1"/>
  <c r="M24" i="1"/>
  <c r="F24" i="11" s="1"/>
  <c r="BM22" i="1"/>
  <c r="L23" i="1"/>
  <c r="E23" i="11" s="1"/>
  <c r="AT25" i="8"/>
  <c r="AW25" i="1" s="1"/>
  <c r="AU25" i="1" l="1"/>
  <c r="AT25" i="1"/>
  <c r="M25" i="1"/>
  <c r="F25" i="11" s="1"/>
  <c r="L24" i="1"/>
  <c r="E24" i="11" s="1"/>
  <c r="BM23" i="1"/>
  <c r="AT26" i="8"/>
  <c r="AW26" i="1" s="1"/>
  <c r="AU26" i="1" l="1"/>
  <c r="AT26" i="1"/>
  <c r="M26" i="1"/>
  <c r="F26" i="11" s="1"/>
  <c r="L25" i="1"/>
  <c r="E25" i="11" s="1"/>
  <c r="BM24" i="1"/>
  <c r="AT27" i="8"/>
  <c r="AW27" i="1" s="1"/>
  <c r="AU27" i="1" l="1"/>
  <c r="AT27" i="1"/>
  <c r="M27" i="1"/>
  <c r="F27" i="11" s="1"/>
  <c r="L26" i="1"/>
  <c r="E26" i="11" s="1"/>
  <c r="BM25" i="1"/>
  <c r="AT28" i="8"/>
  <c r="AW28" i="1" s="1"/>
  <c r="AU28" i="1" l="1"/>
  <c r="AT28" i="1"/>
  <c r="M28" i="1"/>
  <c r="F28" i="11" s="1"/>
  <c r="BM26" i="1"/>
  <c r="L27" i="1"/>
  <c r="E27" i="11" s="1"/>
  <c r="AT29" i="8"/>
  <c r="AW29" i="1" s="1"/>
  <c r="AU29" i="1" l="1"/>
  <c r="AT29" i="1"/>
  <c r="M29" i="1"/>
  <c r="F29" i="11" s="1"/>
  <c r="L28" i="1"/>
  <c r="E28" i="11" s="1"/>
  <c r="BM27" i="1"/>
  <c r="AT30" i="8"/>
  <c r="AW30" i="1" s="1"/>
  <c r="AU30" i="1" l="1"/>
  <c r="AT30" i="1"/>
  <c r="M30" i="1"/>
  <c r="F30" i="11" s="1"/>
  <c r="L29" i="1"/>
  <c r="E29" i="11" s="1"/>
  <c r="BM28" i="1"/>
  <c r="AT31" i="8"/>
  <c r="AW31" i="1" s="1"/>
  <c r="AU31" i="1" l="1"/>
  <c r="AT31" i="1"/>
  <c r="M31" i="1"/>
  <c r="F31" i="11" s="1"/>
  <c r="L30" i="1"/>
  <c r="E30" i="11" s="1"/>
  <c r="BM29" i="1"/>
  <c r="AT32" i="8"/>
  <c r="AW32" i="1" s="1"/>
  <c r="M32" i="1" l="1"/>
  <c r="F32" i="11" s="1"/>
  <c r="AU32" i="1"/>
  <c r="AT32" i="1"/>
  <c r="L31" i="1"/>
  <c r="E31" i="11" s="1"/>
  <c r="BM30" i="1"/>
  <c r="AT33" i="8"/>
  <c r="AW33" i="1" s="1"/>
  <c r="M33" i="1" l="1"/>
  <c r="F33" i="11" s="1"/>
  <c r="AU33" i="1"/>
  <c r="AT33" i="1"/>
  <c r="L32" i="1"/>
  <c r="E32" i="11" s="1"/>
  <c r="BM31" i="1"/>
  <c r="AT34" i="8"/>
  <c r="AW34" i="1" s="1"/>
  <c r="M34" i="1" l="1"/>
  <c r="F34" i="11" s="1"/>
  <c r="AU34" i="1"/>
  <c r="AT34" i="1"/>
  <c r="L33" i="1"/>
  <c r="E33" i="11" s="1"/>
  <c r="BM32" i="1"/>
  <c r="AT35" i="8"/>
  <c r="AW35" i="1" s="1"/>
  <c r="M35" i="1" l="1"/>
  <c r="F35" i="11" s="1"/>
  <c r="AU35" i="1"/>
  <c r="AT35" i="1"/>
  <c r="L34" i="1"/>
  <c r="E34" i="11" s="1"/>
  <c r="BM33" i="1"/>
  <c r="AT36" i="8"/>
  <c r="AW36" i="1" s="1"/>
  <c r="M36" i="1" l="1"/>
  <c r="F36" i="11" s="1"/>
  <c r="AU36" i="1"/>
  <c r="AT36" i="1"/>
  <c r="L35" i="1"/>
  <c r="E35" i="11" s="1"/>
  <c r="BM34" i="1"/>
  <c r="AT37" i="8"/>
  <c r="AW37" i="1" s="1"/>
  <c r="M37" i="1" l="1"/>
  <c r="F37" i="11" s="1"/>
  <c r="AU37" i="1"/>
  <c r="AT37" i="1"/>
  <c r="L36" i="1"/>
  <c r="E36" i="11" s="1"/>
  <c r="BM35" i="1"/>
  <c r="AT38" i="8"/>
  <c r="AW38" i="1" s="1"/>
  <c r="M38" i="1" l="1"/>
  <c r="F38" i="11" s="1"/>
  <c r="AU38" i="1"/>
  <c r="AT38" i="1"/>
  <c r="BM36" i="1"/>
  <c r="L37" i="1"/>
  <c r="E37" i="11" s="1"/>
  <c r="AT39" i="8"/>
  <c r="AW39" i="1" s="1"/>
  <c r="M39" i="1" l="1"/>
  <c r="F39" i="11" s="1"/>
  <c r="AU39" i="1"/>
  <c r="AT39" i="1"/>
  <c r="BM37" i="1"/>
  <c r="L38" i="1"/>
  <c r="E38" i="11" s="1"/>
  <c r="AT40" i="8"/>
  <c r="AW40" i="1" s="1"/>
  <c r="M40" i="1" l="1"/>
  <c r="F40" i="11" s="1"/>
  <c r="AU40" i="1"/>
  <c r="L39" i="1"/>
  <c r="E39" i="11" s="1"/>
  <c r="AT40" i="1"/>
  <c r="BM38" i="1"/>
  <c r="AT41" i="8"/>
  <c r="AW41" i="1" s="1"/>
  <c r="M41" i="1" l="1"/>
  <c r="F41" i="11" s="1"/>
  <c r="L40" i="1"/>
  <c r="E40" i="11" s="1"/>
  <c r="BM39" i="1"/>
  <c r="AU41" i="1"/>
  <c r="AT41" i="1"/>
  <c r="AT42" i="8"/>
  <c r="AW42" i="1" s="1"/>
  <c r="M42" i="1" l="1"/>
  <c r="F42" i="11" s="1"/>
  <c r="BM40" i="1"/>
  <c r="L41" i="1"/>
  <c r="E41" i="11" s="1"/>
  <c r="AU42" i="1"/>
  <c r="AT42" i="1"/>
  <c r="AT43" i="8"/>
  <c r="AW43" i="1" s="1"/>
  <c r="M43" i="1" l="1"/>
  <c r="F43" i="11" s="1"/>
  <c r="L42" i="1"/>
  <c r="E42" i="11" s="1"/>
  <c r="BM41" i="1"/>
  <c r="AU43" i="1"/>
  <c r="AT43" i="1"/>
  <c r="AT44" i="8"/>
  <c r="AW44" i="1" s="1"/>
  <c r="M44" i="1" l="1"/>
  <c r="F44" i="11" s="1"/>
  <c r="BM42" i="1"/>
  <c r="L43" i="1"/>
  <c r="E43" i="11" s="1"/>
  <c r="AU44" i="1"/>
  <c r="AT44" i="1"/>
  <c r="AT45" i="8"/>
  <c r="AW45" i="1" s="1"/>
  <c r="M45" i="1" l="1"/>
  <c r="F45" i="11" s="1"/>
  <c r="L44" i="1"/>
  <c r="E44" i="11" s="1"/>
  <c r="BM43" i="1"/>
  <c r="AU45" i="1"/>
  <c r="AT45" i="1"/>
  <c r="AT46" i="8"/>
  <c r="AW46" i="1" s="1"/>
  <c r="M46" i="1" l="1"/>
  <c r="F46" i="11" s="1"/>
  <c r="L45" i="1"/>
  <c r="E45" i="11" s="1"/>
  <c r="BM44" i="1"/>
  <c r="AU46" i="1"/>
  <c r="AT46" i="1"/>
  <c r="AT47" i="8"/>
  <c r="AW47" i="1" s="1"/>
  <c r="M47" i="1" l="1"/>
  <c r="F47" i="11" s="1"/>
  <c r="BM45" i="1"/>
  <c r="L46" i="1"/>
  <c r="E46" i="11" s="1"/>
  <c r="AT47" i="1"/>
  <c r="AU47" i="1"/>
  <c r="AT48" i="8"/>
  <c r="AW48" i="1" s="1"/>
  <c r="M48" i="1" l="1"/>
  <c r="F48" i="11" s="1"/>
  <c r="BM46" i="1"/>
  <c r="L47" i="1"/>
  <c r="E47" i="11" s="1"/>
  <c r="AU48" i="1"/>
  <c r="AT48" i="1"/>
  <c r="AT49" i="8"/>
  <c r="AW49" i="1" s="1"/>
  <c r="M49" i="1" l="1"/>
  <c r="F49" i="11" s="1"/>
  <c r="L48" i="1"/>
  <c r="E48" i="11" s="1"/>
  <c r="BM47" i="1"/>
  <c r="AU49" i="1"/>
  <c r="AT49" i="1"/>
  <c r="AT50" i="8"/>
  <c r="AW50" i="1" s="1"/>
  <c r="M50" i="1" l="1"/>
  <c r="F50" i="11" s="1"/>
  <c r="L49" i="1"/>
  <c r="E49" i="11" s="1"/>
  <c r="BM48" i="1"/>
  <c r="AU50" i="1"/>
  <c r="AT50" i="1"/>
  <c r="AT51" i="8"/>
  <c r="AW51" i="1" s="1"/>
  <c r="M51" i="1" l="1"/>
  <c r="F51" i="11" s="1"/>
  <c r="L50" i="1"/>
  <c r="E50" i="11" s="1"/>
  <c r="BM49" i="1"/>
  <c r="AU51" i="1"/>
  <c r="AT51" i="1"/>
  <c r="I66" i="4"/>
  <c r="AT52" i="8"/>
  <c r="AW52" i="1" s="1"/>
  <c r="L51" i="1" l="1"/>
  <c r="E51" i="11" s="1"/>
  <c r="BM50" i="1"/>
  <c r="M52" i="1"/>
  <c r="AT52" i="1"/>
  <c r="AU52" i="1"/>
  <c r="AT53" i="8"/>
  <c r="AW53" i="1" s="1"/>
  <c r="F52" i="11" l="1"/>
  <c r="B68" i="4"/>
  <c r="L52" i="1"/>
  <c r="BM51" i="1"/>
  <c r="M53" i="1"/>
  <c r="F53" i="11" s="1"/>
  <c r="AU53" i="1"/>
  <c r="AT53" i="1"/>
  <c r="AT54" i="8"/>
  <c r="AW54" i="1" s="1"/>
  <c r="E52" i="11" l="1"/>
  <c r="B67" i="4"/>
  <c r="M54" i="1"/>
  <c r="F54" i="11" s="1"/>
  <c r="L53" i="1"/>
  <c r="E53" i="11" s="1"/>
  <c r="BM52" i="1"/>
  <c r="AU54" i="1"/>
  <c r="AT54" i="1"/>
  <c r="AT55" i="8"/>
  <c r="AW55" i="1" s="1"/>
  <c r="M55" i="1" l="1"/>
  <c r="F55" i="11" s="1"/>
  <c r="L54" i="1"/>
  <c r="E54" i="11" s="1"/>
  <c r="BM53" i="1"/>
  <c r="AU55" i="1"/>
  <c r="AT55" i="1"/>
  <c r="AT56" i="8"/>
  <c r="AW56" i="1" s="1"/>
  <c r="L55" i="1" l="1"/>
  <c r="E55" i="11" s="1"/>
  <c r="BM54" i="1"/>
  <c r="M56" i="1"/>
  <c r="F56" i="11" s="1"/>
  <c r="AU56" i="1"/>
  <c r="AT56" i="1"/>
  <c r="AT57" i="8"/>
  <c r="AW57" i="1" s="1"/>
  <c r="BM55" i="1" l="1"/>
  <c r="L56" i="1"/>
  <c r="E56" i="11" s="1"/>
  <c r="M57" i="1"/>
  <c r="F57" i="11" s="1"/>
  <c r="AU57" i="1"/>
  <c r="AT57" i="1"/>
  <c r="AT58" i="8"/>
  <c r="AW58" i="1" s="1"/>
  <c r="M58" i="1" l="1"/>
  <c r="F58" i="11" s="1"/>
  <c r="L57" i="1"/>
  <c r="E57" i="11" s="1"/>
  <c r="BM56" i="1"/>
  <c r="AU58" i="1"/>
  <c r="AT58" i="1"/>
  <c r="AT59" i="8"/>
  <c r="AW59" i="1" s="1"/>
  <c r="M59" i="1" l="1"/>
  <c r="F59" i="11" s="1"/>
  <c r="L58" i="1"/>
  <c r="E58" i="11" s="1"/>
  <c r="BM57" i="1"/>
  <c r="AT59" i="1"/>
  <c r="AU59" i="1"/>
  <c r="AT60" i="8"/>
  <c r="AW60" i="1" s="1"/>
  <c r="M60" i="1" l="1"/>
  <c r="F60" i="11" s="1"/>
  <c r="L59" i="1"/>
  <c r="E59" i="11" s="1"/>
  <c r="BM58" i="1"/>
  <c r="AU60" i="1"/>
  <c r="AT60" i="1"/>
  <c r="AT61" i="8"/>
  <c r="AW61" i="1" s="1"/>
  <c r="M61" i="1" l="1"/>
  <c r="F61" i="11" s="1"/>
  <c r="BM59" i="1"/>
  <c r="L60" i="1"/>
  <c r="E60" i="11" s="1"/>
  <c r="AU61" i="1"/>
  <c r="AT61" i="1"/>
  <c r="AT62" i="8"/>
  <c r="AW62" i="1" s="1"/>
  <c r="M62" i="1" l="1"/>
  <c r="F62" i="11" s="1"/>
  <c r="L61" i="1"/>
  <c r="E61" i="11" s="1"/>
  <c r="BM60" i="1"/>
  <c r="AU62" i="1"/>
  <c r="AT62" i="1"/>
  <c r="AT63" i="8"/>
  <c r="AW63" i="1" s="1"/>
  <c r="M63" i="1" l="1"/>
  <c r="F63" i="11" s="1"/>
  <c r="BM61" i="1"/>
  <c r="L62" i="1"/>
  <c r="E62" i="11" s="1"/>
  <c r="AU63" i="1"/>
  <c r="AT63" i="1"/>
  <c r="AT64" i="8"/>
  <c r="AW64" i="1" s="1"/>
  <c r="M64" i="1" l="1"/>
  <c r="F64" i="11" s="1"/>
  <c r="L63" i="1"/>
  <c r="E63" i="11" s="1"/>
  <c r="BM62" i="1"/>
  <c r="AU64" i="1"/>
  <c r="AT64" i="1"/>
  <c r="AT65" i="8"/>
  <c r="AW65" i="1" s="1"/>
  <c r="L64" i="1" l="1"/>
  <c r="E64" i="11" s="1"/>
  <c r="BM63" i="1"/>
  <c r="M65" i="1"/>
  <c r="F65" i="11" s="1"/>
  <c r="AU65" i="1"/>
  <c r="AT65" i="1"/>
  <c r="AT66" i="8"/>
  <c r="AW66" i="1" s="1"/>
  <c r="L65" i="1" l="1"/>
  <c r="E65" i="11" s="1"/>
  <c r="BM64" i="1"/>
  <c r="M66" i="1"/>
  <c r="F66" i="11" s="1"/>
  <c r="AU66" i="1"/>
  <c r="AT66" i="1"/>
  <c r="AT67" i="8"/>
  <c r="AW67" i="1" s="1"/>
  <c r="L66" i="1" l="1"/>
  <c r="E66" i="11" s="1"/>
  <c r="BM65" i="1"/>
  <c r="M67" i="1"/>
  <c r="F67" i="11" s="1"/>
  <c r="AU67" i="1"/>
  <c r="AT67" i="1"/>
  <c r="AT68" i="8"/>
  <c r="AW68" i="1" s="1"/>
  <c r="L67" i="1" l="1"/>
  <c r="E67" i="11" s="1"/>
  <c r="BM66" i="1"/>
  <c r="M68" i="1"/>
  <c r="F68" i="11" s="1"/>
  <c r="AU68" i="1"/>
  <c r="AT68" i="1"/>
  <c r="AT69" i="8"/>
  <c r="AW69" i="1" s="1"/>
  <c r="BM67" i="1" l="1"/>
  <c r="L68" i="1"/>
  <c r="E68" i="11" s="1"/>
  <c r="M69" i="1"/>
  <c r="F69" i="11" s="1"/>
  <c r="AU69" i="1"/>
  <c r="AT69" i="1"/>
  <c r="AT70" i="8"/>
  <c r="AW70" i="1" s="1"/>
  <c r="BM68" i="1" l="1"/>
  <c r="L69" i="1"/>
  <c r="E69" i="11" s="1"/>
  <c r="M70" i="1"/>
  <c r="F70" i="11" s="1"/>
  <c r="AU70" i="1"/>
  <c r="AT70" i="1"/>
  <c r="AT71" i="8"/>
  <c r="AW71" i="1" s="1"/>
  <c r="BM69" i="1" l="1"/>
  <c r="L70" i="1"/>
  <c r="E70" i="11" s="1"/>
  <c r="M71" i="1"/>
  <c r="F71" i="11" s="1"/>
  <c r="AU71" i="1"/>
  <c r="AT71" i="1"/>
  <c r="AT72" i="8"/>
  <c r="AW72" i="1" s="1"/>
  <c r="BM70" i="1" l="1"/>
  <c r="L71" i="1"/>
  <c r="E71" i="11" s="1"/>
  <c r="M72" i="1"/>
  <c r="F72" i="11" s="1"/>
  <c r="AU72" i="1"/>
  <c r="AT72" i="1"/>
  <c r="AT73" i="8"/>
  <c r="AW73" i="1" s="1"/>
  <c r="L72" i="1" l="1"/>
  <c r="E72" i="11" s="1"/>
  <c r="BM71" i="1"/>
  <c r="M73" i="1"/>
  <c r="F73" i="11" s="1"/>
  <c r="AT73" i="1"/>
  <c r="AU73" i="1"/>
  <c r="AT74" i="8"/>
  <c r="AW74" i="1" s="1"/>
  <c r="L73" i="1" l="1"/>
  <c r="E73" i="11" s="1"/>
  <c r="BM72" i="1"/>
  <c r="M74" i="1"/>
  <c r="F74" i="11" s="1"/>
  <c r="AT74" i="1"/>
  <c r="AU74" i="1"/>
  <c r="AT75" i="8"/>
  <c r="AW75" i="1" s="1"/>
  <c r="L74" i="1" l="1"/>
  <c r="E74" i="11" s="1"/>
  <c r="BM73" i="1"/>
  <c r="M75" i="1"/>
  <c r="F75" i="11" s="1"/>
  <c r="AU75" i="1"/>
  <c r="AT75" i="1"/>
  <c r="AT76" i="8"/>
  <c r="AW76" i="1" s="1"/>
  <c r="I69" i="4"/>
  <c r="L75" i="1" l="1"/>
  <c r="E75" i="11" s="1"/>
  <c r="BM74" i="1"/>
  <c r="M76" i="1"/>
  <c r="F76" i="11" s="1"/>
  <c r="AU76" i="1"/>
  <c r="AT76" i="1"/>
  <c r="AT77" i="8"/>
  <c r="AW77" i="1" s="1"/>
  <c r="L76" i="1" l="1"/>
  <c r="E76" i="11" s="1"/>
  <c r="BM75" i="1"/>
  <c r="M77" i="1"/>
  <c r="F77" i="11" s="1"/>
  <c r="AU77" i="1"/>
  <c r="AT77" i="1"/>
  <c r="AT78" i="8"/>
  <c r="AW78" i="1" s="1"/>
  <c r="L77" i="1" l="1"/>
  <c r="E77" i="11" s="1"/>
  <c r="BM76" i="1"/>
  <c r="M78" i="1"/>
  <c r="F78" i="11" s="1"/>
  <c r="AU78" i="1"/>
  <c r="AT78" i="1"/>
  <c r="AT79" i="8"/>
  <c r="AW79" i="1" s="1"/>
  <c r="L78" i="1" l="1"/>
  <c r="E78" i="11" s="1"/>
  <c r="BM77" i="1"/>
  <c r="M79" i="1"/>
  <c r="F79" i="11" s="1"/>
  <c r="AU79" i="1"/>
  <c r="AT79" i="1"/>
  <c r="AT80" i="8"/>
  <c r="AW80" i="1" s="1"/>
  <c r="BM78" i="1" l="1"/>
  <c r="L79" i="1"/>
  <c r="E79" i="11" s="1"/>
  <c r="M80" i="1"/>
  <c r="F80" i="11" s="1"/>
  <c r="AU80" i="1"/>
  <c r="AT80" i="1"/>
  <c r="AT81" i="8"/>
  <c r="AW81" i="1" s="1"/>
  <c r="L80" i="1" l="1"/>
  <c r="E80" i="11" s="1"/>
  <c r="BM79" i="1"/>
  <c r="M81" i="1"/>
  <c r="F81" i="11" s="1"/>
  <c r="AU81" i="1"/>
  <c r="AT81" i="1"/>
  <c r="AT82" i="8"/>
  <c r="AW82" i="1" s="1"/>
  <c r="L81" i="1" l="1"/>
  <c r="E81" i="11" s="1"/>
  <c r="BM80" i="1"/>
  <c r="M82" i="1"/>
  <c r="F82" i="11" s="1"/>
  <c r="AU82" i="1"/>
  <c r="AT82" i="1"/>
  <c r="AT83" i="8"/>
  <c r="AW83" i="1" s="1"/>
  <c r="BM81" i="1" l="1"/>
  <c r="L82" i="1"/>
  <c r="E82" i="11" s="1"/>
  <c r="M83" i="1"/>
  <c r="F83" i="11" s="1"/>
  <c r="AT83" i="1"/>
  <c r="AU83" i="1"/>
  <c r="AT84" i="8"/>
  <c r="AW84" i="1" s="1"/>
  <c r="BM82" i="1" l="1"/>
  <c r="L83" i="1"/>
  <c r="E83" i="11" s="1"/>
  <c r="M84" i="1"/>
  <c r="F84" i="11" s="1"/>
  <c r="AU84" i="1"/>
  <c r="AT84" i="1"/>
  <c r="AT85" i="8"/>
  <c r="AW85" i="1" s="1"/>
  <c r="L84" i="1" l="1"/>
  <c r="E84" i="11" s="1"/>
  <c r="BM83" i="1"/>
  <c r="M85" i="1"/>
  <c r="F85" i="11" s="1"/>
  <c r="AU85" i="1"/>
  <c r="AT85" i="1"/>
  <c r="AT86" i="8"/>
  <c r="AW86" i="1" s="1"/>
  <c r="L85" i="1" l="1"/>
  <c r="E85" i="11" s="1"/>
  <c r="BM84" i="1"/>
  <c r="M86" i="1"/>
  <c r="F86" i="11" s="1"/>
  <c r="AU86" i="1"/>
  <c r="AT86" i="1"/>
  <c r="AT87" i="8"/>
  <c r="AW87" i="1" s="1"/>
  <c r="P1269" i="14"/>
  <c r="P1270" i="14" s="1"/>
  <c r="L86" i="1" l="1"/>
  <c r="E86" i="11" s="1"/>
  <c r="BM85" i="1"/>
  <c r="M87" i="1"/>
  <c r="F87" i="11" s="1"/>
  <c r="AU87" i="1"/>
  <c r="AT87" i="1"/>
  <c r="O1269" i="14"/>
  <c r="O1270" i="14" s="1"/>
  <c r="AT88" i="8"/>
  <c r="AW88" i="1" s="1"/>
  <c r="AL1269" i="14"/>
  <c r="AL1270" i="14" s="1"/>
  <c r="L87" i="1" l="1"/>
  <c r="E87" i="11" s="1"/>
  <c r="BM86" i="1"/>
  <c r="M88" i="1"/>
  <c r="F88" i="11" s="1"/>
  <c r="AU88" i="1"/>
  <c r="AT88" i="1"/>
  <c r="AJ1269" i="14"/>
  <c r="AJ1270" i="14" s="1"/>
  <c r="AT89" i="8"/>
  <c r="AW89" i="1" s="1"/>
  <c r="L88" i="1" l="1"/>
  <c r="E88" i="11" s="1"/>
  <c r="BM87" i="1"/>
  <c r="M89" i="1"/>
  <c r="F89" i="11" s="1"/>
  <c r="AU89" i="1"/>
  <c r="AT89" i="1"/>
  <c r="AT90" i="8"/>
  <c r="AW90" i="1" s="1"/>
  <c r="BM88" i="1" l="1"/>
  <c r="L89" i="1"/>
  <c r="E89" i="11" s="1"/>
  <c r="M90" i="1"/>
  <c r="F90" i="11" s="1"/>
  <c r="AU90" i="1"/>
  <c r="AT90" i="1"/>
  <c r="AT91" i="8"/>
  <c r="AW91" i="1" s="1"/>
  <c r="BM89" i="1" l="1"/>
  <c r="L90" i="1"/>
  <c r="E90" i="11" s="1"/>
  <c r="M91" i="1"/>
  <c r="F91" i="11" s="1"/>
  <c r="AT91" i="1"/>
  <c r="AU91" i="1"/>
  <c r="AT92" i="8"/>
  <c r="AW92" i="1" s="1"/>
  <c r="L91" i="1" l="1"/>
  <c r="E91" i="11" s="1"/>
  <c r="BM90" i="1"/>
  <c r="M92" i="1"/>
  <c r="F92" i="11" s="1"/>
  <c r="AU92" i="1"/>
  <c r="AT92" i="1"/>
  <c r="AT93" i="8"/>
  <c r="AW93" i="1" s="1"/>
  <c r="BM91" i="1" l="1"/>
  <c r="L92" i="1"/>
  <c r="E92" i="11" s="1"/>
  <c r="M93" i="1"/>
  <c r="F93" i="11" s="1"/>
  <c r="AU93" i="1"/>
  <c r="AT93" i="1"/>
  <c r="AT94" i="8"/>
  <c r="AW94" i="1" s="1"/>
  <c r="L93" i="1" l="1"/>
  <c r="E93" i="11" s="1"/>
  <c r="BM92" i="1"/>
  <c r="M94" i="1"/>
  <c r="F94" i="11" s="1"/>
  <c r="AU94" i="1"/>
  <c r="AT94" i="1"/>
  <c r="AT95" i="8"/>
  <c r="AW95" i="1" s="1"/>
  <c r="L94" i="1" l="1"/>
  <c r="E94" i="11" s="1"/>
  <c r="BM93" i="1"/>
  <c r="M95" i="1"/>
  <c r="F95" i="11" s="1"/>
  <c r="AU95" i="1"/>
  <c r="AT95" i="1"/>
  <c r="AT96" i="8"/>
  <c r="AW96" i="1" s="1"/>
  <c r="BM94" i="1" l="1"/>
  <c r="L95" i="1"/>
  <c r="E95" i="11" s="1"/>
  <c r="M96" i="1"/>
  <c r="F96" i="11" s="1"/>
  <c r="AU96" i="1"/>
  <c r="AT96" i="1"/>
  <c r="AT97" i="8"/>
  <c r="AW97" i="1" s="1"/>
  <c r="L96" i="1" l="1"/>
  <c r="E96" i="11" s="1"/>
  <c r="BM95" i="1"/>
  <c r="M97" i="1"/>
  <c r="F97" i="11" s="1"/>
  <c r="AU97" i="1"/>
  <c r="AT97" i="1"/>
  <c r="AT98" i="8"/>
  <c r="AW98" i="1" s="1"/>
  <c r="L97" i="1" l="1"/>
  <c r="E97" i="11" s="1"/>
  <c r="BM96" i="1"/>
  <c r="M98" i="1"/>
  <c r="F98" i="11" s="1"/>
  <c r="AU98" i="1"/>
  <c r="AT98" i="1"/>
  <c r="AT99" i="8"/>
  <c r="AW99" i="1" s="1"/>
  <c r="BM97" i="1" l="1"/>
  <c r="L98" i="1"/>
  <c r="E98" i="11" s="1"/>
  <c r="M99" i="1"/>
  <c r="F99" i="11" s="1"/>
  <c r="AU99" i="1"/>
  <c r="AT99" i="1"/>
  <c r="AT100" i="8"/>
  <c r="AW100" i="1" s="1"/>
  <c r="L99" i="1" l="1"/>
  <c r="E99" i="11" s="1"/>
  <c r="BM98" i="1"/>
  <c r="M100" i="1"/>
  <c r="F100" i="11" s="1"/>
  <c r="AU100" i="1"/>
  <c r="AT100" i="1"/>
  <c r="AT101" i="8"/>
  <c r="AW101" i="1" s="1"/>
  <c r="BM99" i="1" l="1"/>
  <c r="L100" i="1"/>
  <c r="E100" i="11" s="1"/>
  <c r="M101" i="1"/>
  <c r="F101" i="11" s="1"/>
  <c r="AT101" i="1"/>
  <c r="AU101" i="1"/>
  <c r="AT102" i="8"/>
  <c r="AW102" i="1" s="1"/>
  <c r="L101" i="1" l="1"/>
  <c r="E101" i="11" s="1"/>
  <c r="BM100" i="1"/>
  <c r="M102" i="1"/>
  <c r="F102" i="11" s="1"/>
  <c r="AU102" i="1"/>
  <c r="AT102" i="1"/>
  <c r="AT103" i="8"/>
  <c r="AW103" i="1" s="1"/>
  <c r="L102" i="1" l="1"/>
  <c r="E102" i="11" s="1"/>
  <c r="BM101" i="1"/>
  <c r="M103" i="1"/>
  <c r="F103" i="11" s="1"/>
  <c r="AU103" i="1"/>
  <c r="AT103" i="1"/>
  <c r="AT104" i="8"/>
  <c r="AW104" i="1" s="1"/>
  <c r="L103" i="1" l="1"/>
  <c r="E103" i="11" s="1"/>
  <c r="BM102" i="1"/>
  <c r="M104" i="1"/>
  <c r="F104" i="11" s="1"/>
  <c r="AU104" i="1"/>
  <c r="AT104" i="1"/>
  <c r="AT105" i="8"/>
  <c r="AW105" i="1" s="1"/>
  <c r="L104" i="1" l="1"/>
  <c r="E104" i="11" s="1"/>
  <c r="BM103" i="1"/>
  <c r="M105" i="1"/>
  <c r="F105" i="11" s="1"/>
  <c r="AU105" i="1"/>
  <c r="AT105" i="1"/>
  <c r="AT106" i="8"/>
  <c r="AW106" i="1" s="1"/>
  <c r="L105" i="1" l="1"/>
  <c r="E105" i="11" s="1"/>
  <c r="BM104" i="1"/>
  <c r="M106" i="1"/>
  <c r="F106" i="11" s="1"/>
  <c r="AU106" i="1"/>
  <c r="AT106" i="1"/>
  <c r="AT107" i="8"/>
  <c r="AW107" i="1" s="1"/>
  <c r="L106" i="1" l="1"/>
  <c r="E106" i="11" s="1"/>
  <c r="BM105" i="1"/>
  <c r="M107" i="1"/>
  <c r="F107" i="11" s="1"/>
  <c r="AU107" i="1"/>
  <c r="AT107" i="1"/>
  <c r="AT108" i="8"/>
  <c r="AW108" i="1" s="1"/>
  <c r="L107" i="1" l="1"/>
  <c r="E107" i="11" s="1"/>
  <c r="BM106" i="1"/>
  <c r="M108" i="1"/>
  <c r="F108" i="11" s="1"/>
  <c r="AT108" i="1"/>
  <c r="AU108" i="1"/>
  <c r="AT109" i="8"/>
  <c r="AW109" i="1" s="1"/>
  <c r="BM107" i="1" l="1"/>
  <c r="L108" i="1"/>
  <c r="E108" i="11" s="1"/>
  <c r="M109" i="1"/>
  <c r="F109" i="11" s="1"/>
  <c r="AT109" i="1"/>
  <c r="AU109" i="1"/>
  <c r="AT110" i="8"/>
  <c r="AW110" i="1" s="1"/>
  <c r="L109" i="1" l="1"/>
  <c r="E109" i="11" s="1"/>
  <c r="BM108" i="1"/>
  <c r="M110" i="1"/>
  <c r="F110" i="11" s="1"/>
  <c r="AU110" i="1"/>
  <c r="AT110" i="1"/>
  <c r="AT111" i="8"/>
  <c r="AW111" i="1" s="1"/>
  <c r="L110" i="1" l="1"/>
  <c r="E110" i="11" s="1"/>
  <c r="BM109" i="1"/>
  <c r="M111" i="1"/>
  <c r="F111" i="11" s="1"/>
  <c r="AU111" i="1"/>
  <c r="AT111" i="1"/>
  <c r="AT112" i="8"/>
  <c r="AW112" i="1" s="1"/>
  <c r="L111" i="1" l="1"/>
  <c r="E111" i="11" s="1"/>
  <c r="BM110" i="1"/>
  <c r="M112" i="1"/>
  <c r="F112" i="11" s="1"/>
  <c r="AU112" i="1"/>
  <c r="AT112" i="1"/>
  <c r="AT113" i="8"/>
  <c r="AW113" i="1" s="1"/>
  <c r="L112" i="1" l="1"/>
  <c r="E112" i="11" s="1"/>
  <c r="BM111" i="1"/>
  <c r="M113" i="1"/>
  <c r="F113" i="11" s="1"/>
  <c r="AU113" i="1"/>
  <c r="AT113" i="1"/>
  <c r="AT114" i="8"/>
  <c r="AW114" i="1" s="1"/>
  <c r="L113" i="1" l="1"/>
  <c r="E113" i="11" s="1"/>
  <c r="BM112" i="1"/>
  <c r="M114" i="1"/>
  <c r="F114" i="11" s="1"/>
  <c r="AU114" i="1"/>
  <c r="AT114" i="1"/>
  <c r="AT115" i="8"/>
  <c r="AW115" i="1" s="1"/>
  <c r="L114" i="1" l="1"/>
  <c r="E114" i="11" s="1"/>
  <c r="BM113" i="1"/>
  <c r="M115" i="1"/>
  <c r="F115" i="11" s="1"/>
  <c r="AU115" i="1"/>
  <c r="AT115" i="1"/>
  <c r="AT116" i="8"/>
  <c r="AW116" i="1" s="1"/>
  <c r="BM114" i="1" l="1"/>
  <c r="L115" i="1"/>
  <c r="E115" i="11" s="1"/>
  <c r="M116" i="1"/>
  <c r="F116" i="11" s="1"/>
  <c r="AU116" i="1"/>
  <c r="AT116" i="1"/>
  <c r="AT117" i="8"/>
  <c r="AW117" i="1" s="1"/>
  <c r="L116" i="1" l="1"/>
  <c r="E116" i="11" s="1"/>
  <c r="BM115" i="1"/>
  <c r="M117" i="1"/>
  <c r="F117" i="11" s="1"/>
  <c r="AU117" i="1"/>
  <c r="AT117" i="1"/>
  <c r="AT118" i="8"/>
  <c r="AW118" i="1" s="1"/>
  <c r="L117" i="1" l="1"/>
  <c r="E117" i="11" s="1"/>
  <c r="BM116" i="1"/>
  <c r="M118" i="1"/>
  <c r="F118" i="11" s="1"/>
  <c r="AU118" i="1"/>
  <c r="AT118" i="1"/>
  <c r="AT119" i="8"/>
  <c r="AW119" i="1" s="1"/>
  <c r="BM117" i="1" l="1"/>
  <c r="L118" i="1"/>
  <c r="E118" i="11" s="1"/>
  <c r="M119" i="1"/>
  <c r="F119" i="11" s="1"/>
  <c r="AU119" i="1"/>
  <c r="AT119" i="1"/>
  <c r="AT120" i="8"/>
  <c r="AW120" i="1" s="1"/>
  <c r="L119" i="1" l="1"/>
  <c r="E119" i="11" s="1"/>
  <c r="BM118" i="1"/>
  <c r="M120" i="1"/>
  <c r="F120" i="11" s="1"/>
  <c r="AT120" i="1"/>
  <c r="AU120" i="1"/>
  <c r="AT121" i="8"/>
  <c r="AW121" i="1" s="1"/>
  <c r="L120" i="1" l="1"/>
  <c r="E120" i="11" s="1"/>
  <c r="BM119" i="1"/>
  <c r="M121" i="1"/>
  <c r="F121" i="11" s="1"/>
  <c r="AU121" i="1"/>
  <c r="AT121" i="1"/>
  <c r="AT122" i="8"/>
  <c r="AW122" i="1" s="1"/>
  <c r="L121" i="1" l="1"/>
  <c r="E121" i="11" s="1"/>
  <c r="BM120" i="1"/>
  <c r="M122" i="1"/>
  <c r="F122" i="11" s="1"/>
  <c r="AU122" i="1"/>
  <c r="AT122" i="1"/>
  <c r="AT123" i="8"/>
  <c r="AW123" i="1" s="1"/>
  <c r="L122" i="1" l="1"/>
  <c r="E122" i="11" s="1"/>
  <c r="BM121" i="1"/>
  <c r="M123" i="1"/>
  <c r="F123" i="11" s="1"/>
  <c r="AU123" i="1"/>
  <c r="AT123" i="1"/>
  <c r="AT124" i="8"/>
  <c r="AW124" i="1" s="1"/>
  <c r="L123" i="1" l="1"/>
  <c r="E123" i="11" s="1"/>
  <c r="BM122" i="1"/>
  <c r="M124" i="1"/>
  <c r="F124" i="11" s="1"/>
  <c r="AT124" i="1"/>
  <c r="AU124" i="1"/>
  <c r="AT125" i="8"/>
  <c r="AW125" i="1" s="1"/>
  <c r="L124" i="1" l="1"/>
  <c r="E124" i="11" s="1"/>
  <c r="BM123" i="1"/>
  <c r="M125" i="1"/>
  <c r="F125" i="11" s="1"/>
  <c r="AU125" i="1"/>
  <c r="AT125" i="1"/>
  <c r="AT126" i="8"/>
  <c r="AW126" i="1" s="1"/>
  <c r="BM124" i="1" l="1"/>
  <c r="L125" i="1"/>
  <c r="E125" i="11" s="1"/>
  <c r="M126" i="1"/>
  <c r="F126" i="11" s="1"/>
  <c r="AT126" i="1"/>
  <c r="AU126" i="1"/>
  <c r="AT127" i="8"/>
  <c r="AW127" i="1" s="1"/>
  <c r="L126" i="1" l="1"/>
  <c r="E126" i="11" s="1"/>
  <c r="BM125" i="1"/>
  <c r="M127" i="1"/>
  <c r="F127" i="11" s="1"/>
  <c r="AU127" i="1"/>
  <c r="AT127" i="1"/>
  <c r="AT128" i="8"/>
  <c r="AW128" i="1" s="1"/>
  <c r="BM126" i="1" l="1"/>
  <c r="L127" i="1"/>
  <c r="E127" i="11" s="1"/>
  <c r="M128" i="1"/>
  <c r="F128" i="11" s="1"/>
  <c r="AU128" i="1"/>
  <c r="AT128" i="1"/>
  <c r="AT129" i="8"/>
  <c r="AW129" i="1" s="1"/>
  <c r="BM127" i="1" l="1"/>
  <c r="L128" i="1"/>
  <c r="E128" i="11" s="1"/>
  <c r="M129" i="1"/>
  <c r="F129" i="11" s="1"/>
  <c r="AU129" i="1"/>
  <c r="AT129" i="1"/>
  <c r="AT130" i="8"/>
  <c r="AW130" i="1" s="1"/>
  <c r="L129" i="1" l="1"/>
  <c r="E129" i="11" s="1"/>
  <c r="BM128" i="1"/>
  <c r="M130" i="1"/>
  <c r="F130" i="11" s="1"/>
  <c r="AU130" i="1"/>
  <c r="AT130" i="1"/>
  <c r="AT131" i="8"/>
  <c r="AW131" i="1" s="1"/>
  <c r="BM129" i="1" l="1"/>
  <c r="L130" i="1"/>
  <c r="E130" i="11" s="1"/>
  <c r="M131" i="1"/>
  <c r="F131" i="11" s="1"/>
  <c r="AU131" i="1"/>
  <c r="AT131" i="1"/>
  <c r="AT132" i="8"/>
  <c r="AW132" i="1" s="1"/>
  <c r="L131" i="1" l="1"/>
  <c r="E131" i="11" s="1"/>
  <c r="BM130" i="1"/>
  <c r="M132" i="1"/>
  <c r="F132" i="11" s="1"/>
  <c r="AT132" i="1"/>
  <c r="AU132" i="1"/>
  <c r="AT133" i="8"/>
  <c r="AW133" i="1" s="1"/>
  <c r="L132" i="1" l="1"/>
  <c r="E132" i="11" s="1"/>
  <c r="BM131" i="1"/>
  <c r="M133" i="1"/>
  <c r="F133" i="11" s="1"/>
  <c r="AU133" i="1"/>
  <c r="AT133" i="1"/>
  <c r="AT134" i="8"/>
  <c r="AW134" i="1" s="1"/>
  <c r="BM132" i="1" l="1"/>
  <c r="L133" i="1"/>
  <c r="E133" i="11" s="1"/>
  <c r="M134" i="1"/>
  <c r="F134" i="11" s="1"/>
  <c r="AU134" i="1"/>
  <c r="AT134" i="1"/>
  <c r="AB1269" i="14"/>
  <c r="AB1270" i="14" s="1"/>
  <c r="AT135" i="8"/>
  <c r="AW135" i="1" s="1"/>
  <c r="L134" i="1" l="1"/>
  <c r="E134" i="11" s="1"/>
  <c r="BM133" i="1"/>
  <c r="M135" i="1"/>
  <c r="F135" i="11" s="1"/>
  <c r="AU135" i="1"/>
  <c r="AT135" i="1"/>
  <c r="AT136" i="8"/>
  <c r="AW136" i="1" s="1"/>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R12" i="8"/>
  <c r="R13" i="8"/>
  <c r="R14" i="8"/>
  <c r="R19" i="8"/>
  <c r="R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R18" i="8"/>
  <c r="R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R17" i="8"/>
  <c r="R11" i="8"/>
  <c r="R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R15" i="8"/>
  <c r="R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R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AC4" i="2"/>
  <c r="R20" i="8"/>
  <c r="R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R16" i="8"/>
  <c r="R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U4" i="2" l="1"/>
  <c r="B33" i="6"/>
  <c r="C4" i="2" s="1"/>
  <c r="H4" i="2" s="1"/>
  <c r="BM135" i="1"/>
  <c r="L136" i="1"/>
  <c r="E136" i="11" s="1"/>
  <c r="K4" i="1"/>
  <c r="AR4" i="8" s="1"/>
  <c r="F4" i="2" l="1"/>
  <c r="J4" i="11" s="1"/>
  <c r="F4" i="9" s="1"/>
  <c r="S4" i="8"/>
  <c r="V4" i="8" s="1"/>
  <c r="F4" i="1"/>
  <c r="I4" i="2"/>
  <c r="AA4" i="1" s="1"/>
  <c r="S4" i="1" s="1"/>
  <c r="H5" i="1" s="1"/>
  <c r="AK5" i="5" s="1"/>
  <c r="BM136" i="1"/>
  <c r="AR4" i="1"/>
  <c r="V4" i="1" s="1"/>
  <c r="K5" i="1" s="1"/>
  <c r="AR5" i="1" s="1"/>
  <c r="V5" i="1" s="1"/>
  <c r="K6" i="1" s="1"/>
  <c r="AR6" i="1" s="1"/>
  <c r="C4" i="9"/>
  <c r="BL4" i="1"/>
  <c r="E41" i="4"/>
  <c r="E40" i="4"/>
  <c r="P4" i="7" l="1"/>
  <c r="G4" i="2"/>
  <c r="Z4" i="2" s="1"/>
  <c r="AA5" i="8" s="1"/>
  <c r="AP4" i="1"/>
  <c r="T4" i="1" s="1"/>
  <c r="I5" i="1" s="1"/>
  <c r="BJ5" i="1" s="1"/>
  <c r="T4" i="8"/>
  <c r="W4" i="8" s="1"/>
  <c r="O4" i="7"/>
  <c r="I4" i="11"/>
  <c r="AQ5" i="8"/>
  <c r="AC5" i="7"/>
  <c r="BI5" i="1"/>
  <c r="C5" i="11"/>
  <c r="V5" i="10"/>
  <c r="C5" i="9"/>
  <c r="BL5" i="1"/>
  <c r="L24" i="11"/>
  <c r="AV24" i="8"/>
  <c r="L25" i="11"/>
  <c r="AV25" i="8"/>
  <c r="L27" i="11"/>
  <c r="AV27" i="8"/>
  <c r="L26" i="11"/>
  <c r="AV26" i="8"/>
  <c r="BL6" i="1"/>
  <c r="V6" i="1"/>
  <c r="K7" i="1" s="1"/>
  <c r="AR7" i="1" s="1"/>
  <c r="C6" i="9"/>
  <c r="E18" i="4"/>
  <c r="C4" i="8" l="1"/>
  <c r="AO5" i="1"/>
  <c r="AH26" i="5"/>
  <c r="BU26" i="5"/>
  <c r="AH27" i="5"/>
  <c r="BU27" i="5"/>
  <c r="AH25" i="5"/>
  <c r="BU25" i="5"/>
  <c r="AH24" i="5"/>
  <c r="BU24" i="5"/>
  <c r="B25" i="2"/>
  <c r="B25" i="1"/>
  <c r="BG25" i="1" s="1"/>
  <c r="B27" i="2"/>
  <c r="B27" i="1"/>
  <c r="BG27" i="1" s="1"/>
  <c r="B26" i="2"/>
  <c r="B26" i="1"/>
  <c r="BG26" i="1" s="1"/>
  <c r="B24" i="2"/>
  <c r="B24" i="1"/>
  <c r="BG24" i="1" s="1"/>
  <c r="C7" i="9"/>
  <c r="V7" i="1"/>
  <c r="K8" i="1" s="1"/>
  <c r="AR8" i="1" s="1"/>
  <c r="BL7" i="1"/>
  <c r="Y4" i="2" l="1"/>
  <c r="X4" i="2" s="1"/>
  <c r="B5" i="8"/>
  <c r="E5" i="2"/>
  <c r="L5" i="2" s="1"/>
  <c r="AB5" i="7"/>
  <c r="AJ5" i="7" s="1"/>
  <c r="AW5" i="8"/>
  <c r="H5" i="11"/>
  <c r="L28" i="11"/>
  <c r="AV28" i="8"/>
  <c r="C8" i="9"/>
  <c r="V8" i="1"/>
  <c r="K9" i="1" s="1"/>
  <c r="AR9" i="1" s="1"/>
  <c r="BL8" i="1"/>
  <c r="AH28" i="5" l="1"/>
  <c r="BU28" i="5"/>
  <c r="B28" i="2"/>
  <c r="B28" i="1"/>
  <c r="BG28" i="1" s="1"/>
  <c r="V9" i="1"/>
  <c r="K10" i="1" s="1"/>
  <c r="AR10" i="1" s="1"/>
  <c r="BL9" i="1"/>
  <c r="C9" i="9"/>
  <c r="C10" i="9" l="1"/>
  <c r="BL10" i="1"/>
  <c r="V10" i="1"/>
  <c r="K11" i="1" s="1"/>
  <c r="AR11" i="1" s="1"/>
  <c r="BL11" i="1" l="1"/>
  <c r="V11" i="1"/>
  <c r="K12" i="1" s="1"/>
  <c r="AR12" i="1" s="1"/>
  <c r="C11" i="9"/>
  <c r="V12" i="1" l="1"/>
  <c r="K13" i="1" s="1"/>
  <c r="AR13" i="1" s="1"/>
  <c r="C12" i="9"/>
  <c r="BL12" i="1"/>
  <c r="V13" i="1" l="1"/>
  <c r="K14" i="1" s="1"/>
  <c r="AR14" i="1" s="1"/>
  <c r="C13" i="9"/>
  <c r="BL13" i="1"/>
  <c r="C14" i="9" l="1"/>
  <c r="V14" i="1"/>
  <c r="K15" i="1" s="1"/>
  <c r="AR15" i="1" s="1"/>
  <c r="BL14" i="1"/>
  <c r="BL15" i="1" l="1"/>
  <c r="C15" i="9"/>
  <c r="V15" i="1"/>
  <c r="K16" i="1" s="1"/>
  <c r="AR16" i="1" s="1"/>
  <c r="V16" i="1" l="1"/>
  <c r="K17" i="1" s="1"/>
  <c r="AR17" i="1" s="1"/>
  <c r="C16" i="9"/>
  <c r="BL16" i="1"/>
  <c r="V17" i="1" l="1"/>
  <c r="K18" i="1" s="1"/>
  <c r="AR18" i="1" s="1"/>
  <c r="C17" i="9"/>
  <c r="BL17" i="1"/>
  <c r="V18" i="1" l="1"/>
  <c r="K19" i="1" s="1"/>
  <c r="AR19" i="1" s="1"/>
  <c r="BL18" i="1"/>
  <c r="C18" i="9"/>
  <c r="V19" i="1" l="1"/>
  <c r="K20" i="1" s="1"/>
  <c r="AR20" i="1" s="1"/>
  <c r="C19" i="9"/>
  <c r="BL19" i="1"/>
  <c r="V20" i="1" l="1"/>
  <c r="K21" i="1" s="1"/>
  <c r="AR21" i="1" s="1"/>
  <c r="C20" i="9"/>
  <c r="BL20" i="1"/>
  <c r="BL21" i="1" l="1"/>
  <c r="V21" i="1"/>
  <c r="K22" i="1" s="1"/>
  <c r="AR22" i="1" s="1"/>
  <c r="C21" i="9"/>
  <c r="V22" i="1" l="1"/>
  <c r="K23" i="1" s="1"/>
  <c r="AR23" i="1" s="1"/>
  <c r="C22" i="9"/>
  <c r="BL22" i="1"/>
  <c r="C23" i="9" l="1"/>
  <c r="V23" i="1"/>
  <c r="K24" i="1" s="1"/>
  <c r="AR24" i="1" s="1"/>
  <c r="BL23" i="1"/>
  <c r="BL24" i="1" l="1"/>
  <c r="V24" i="1"/>
  <c r="K25" i="1" s="1"/>
  <c r="AR25" i="1" s="1"/>
  <c r="C24" i="9"/>
  <c r="C25" i="9" l="1"/>
  <c r="V25" i="1"/>
  <c r="K26" i="1" s="1"/>
  <c r="AR26" i="1" s="1"/>
  <c r="BL25" i="1"/>
  <c r="V26" i="1" l="1"/>
  <c r="K27" i="1" s="1"/>
  <c r="AR27" i="1" s="1"/>
  <c r="C26" i="9"/>
  <c r="BL26" i="1"/>
  <c r="C27" i="9" l="1"/>
  <c r="BL27" i="1"/>
  <c r="V27" i="1"/>
  <c r="K28" i="1" s="1"/>
  <c r="AR28" i="1" s="1"/>
  <c r="BL28" i="1" l="1"/>
  <c r="C28" i="9"/>
  <c r="V28" i="1"/>
  <c r="K29" i="1" s="1"/>
  <c r="AR29" i="1" s="1"/>
  <c r="C29" i="9" l="1"/>
  <c r="V29" i="1"/>
  <c r="K30" i="1" s="1"/>
  <c r="AR30" i="1" s="1"/>
  <c r="BL29" i="1"/>
  <c r="V30" i="1" l="1"/>
  <c r="K31" i="1" s="1"/>
  <c r="AR31" i="1" s="1"/>
  <c r="C30" i="9"/>
  <c r="BL30" i="1"/>
  <c r="V31" i="1" l="1"/>
  <c r="K32" i="1" s="1"/>
  <c r="AR32" i="1" s="1"/>
  <c r="BL31" i="1"/>
  <c r="C31" i="9"/>
  <c r="C32" i="9" l="1"/>
  <c r="V32" i="1"/>
  <c r="K33" i="1" s="1"/>
  <c r="AR33" i="1" s="1"/>
  <c r="BL32" i="1"/>
  <c r="BL33" i="1" l="1"/>
  <c r="V33" i="1"/>
  <c r="K34" i="1" s="1"/>
  <c r="AR34" i="1" s="1"/>
  <c r="C33" i="9"/>
  <c r="V34" i="1" l="1"/>
  <c r="K35" i="1" s="1"/>
  <c r="AR35" i="1" s="1"/>
  <c r="C34" i="9"/>
  <c r="BL34" i="1"/>
  <c r="BL35" i="1" l="1"/>
  <c r="C35" i="9"/>
  <c r="V35" i="1"/>
  <c r="K36" i="1" s="1"/>
  <c r="AR36" i="1" s="1"/>
  <c r="V36" i="1" l="1"/>
  <c r="K37" i="1" s="1"/>
  <c r="AR37" i="1" s="1"/>
  <c r="C36" i="9"/>
  <c r="BL36" i="1"/>
  <c r="V37" i="1" l="1"/>
  <c r="K38" i="1" s="1"/>
  <c r="AR38" i="1" s="1"/>
  <c r="C37" i="9"/>
  <c r="BL37" i="1"/>
  <c r="BL38" i="1" l="1"/>
  <c r="V38" i="1"/>
  <c r="K39" i="1" s="1"/>
  <c r="AR39" i="1" s="1"/>
  <c r="C38" i="9"/>
  <c r="BL39" i="1" l="1"/>
  <c r="V39" i="1"/>
  <c r="K40" i="1" s="1"/>
  <c r="AR40" i="1" s="1"/>
  <c r="C39" i="9"/>
  <c r="BL40" i="1" l="1"/>
  <c r="C40" i="9"/>
  <c r="V40" i="1"/>
  <c r="K41" i="1" s="1"/>
  <c r="AR41" i="1" s="1"/>
  <c r="BL41" i="1" l="1"/>
  <c r="C41" i="9"/>
  <c r="V41" i="1"/>
  <c r="K42" i="1" s="1"/>
  <c r="AR42" i="1" s="1"/>
  <c r="V42" i="1" l="1"/>
  <c r="K43" i="1" s="1"/>
  <c r="AR43" i="1" s="1"/>
  <c r="BL42" i="1"/>
  <c r="C42" i="9"/>
  <c r="C43" i="9" l="1"/>
  <c r="V43" i="1"/>
  <c r="K44" i="1" s="1"/>
  <c r="AR44" i="1" s="1"/>
  <c r="BL43" i="1"/>
  <c r="C44" i="9" l="1"/>
  <c r="BL44" i="1"/>
  <c r="V44" i="1"/>
  <c r="K45" i="1" s="1"/>
  <c r="AR45" i="1" s="1"/>
  <c r="C45" i="9" l="1"/>
  <c r="BL45" i="1"/>
  <c r="V45" i="1"/>
  <c r="K46" i="1" s="1"/>
  <c r="AR46" i="1" s="1"/>
  <c r="BL46" i="1" l="1"/>
  <c r="V46" i="1"/>
  <c r="K47" i="1" s="1"/>
  <c r="AR47" i="1" s="1"/>
  <c r="C46" i="9"/>
  <c r="V47" i="1" l="1"/>
  <c r="K48" i="1" s="1"/>
  <c r="AR48" i="1" s="1"/>
  <c r="BL47" i="1"/>
  <c r="C47" i="9"/>
  <c r="BL48" i="1" l="1"/>
  <c r="C48" i="9"/>
  <c r="V48" i="1"/>
  <c r="K49" i="1" s="1"/>
  <c r="AR49" i="1" s="1"/>
  <c r="V49" i="1" l="1"/>
  <c r="K50" i="1" s="1"/>
  <c r="AR50" i="1" s="1"/>
  <c r="C49" i="9"/>
  <c r="BL49" i="1"/>
  <c r="C50" i="9" l="1"/>
  <c r="BL50" i="1"/>
  <c r="V50" i="1"/>
  <c r="K51" i="1" s="1"/>
  <c r="AR51" i="1" s="1"/>
  <c r="BL51" i="1" l="1"/>
  <c r="V51" i="1"/>
  <c r="K52" i="1" s="1"/>
  <c r="C51" i="9"/>
  <c r="AR52" i="1" l="1"/>
  <c r="V52" i="1" s="1"/>
  <c r="K53" i="1" s="1"/>
  <c r="AR53" i="1" s="1"/>
  <c r="B66" i="4"/>
  <c r="C52" i="9"/>
  <c r="BL52" i="1"/>
  <c r="V53" i="1" l="1"/>
  <c r="K54" i="1" s="1"/>
  <c r="AR54" i="1" s="1"/>
  <c r="BL53" i="1"/>
  <c r="C53" i="9"/>
  <c r="V54" i="1" l="1"/>
  <c r="K55" i="1" s="1"/>
  <c r="AR55" i="1" s="1"/>
  <c r="C54" i="9"/>
  <c r="BL54" i="1"/>
  <c r="C55" i="9" l="1"/>
  <c r="V55" i="1"/>
  <c r="K56" i="1" s="1"/>
  <c r="AR56" i="1" s="1"/>
  <c r="BL55" i="1"/>
  <c r="V56" i="1" l="1"/>
  <c r="K57" i="1" s="1"/>
  <c r="AR57" i="1" s="1"/>
  <c r="BL56" i="1"/>
  <c r="C56" i="9"/>
  <c r="V57" i="1" l="1"/>
  <c r="K58" i="1" s="1"/>
  <c r="AR58" i="1" s="1"/>
  <c r="BL57" i="1"/>
  <c r="C57" i="9"/>
  <c r="BL58" i="1" l="1"/>
  <c r="V58" i="1"/>
  <c r="K59" i="1" s="1"/>
  <c r="AR59" i="1" s="1"/>
  <c r="C58" i="9"/>
  <c r="BL59" i="1" l="1"/>
  <c r="C59" i="9"/>
  <c r="V59" i="1"/>
  <c r="K60" i="1" s="1"/>
  <c r="AR60" i="1" s="1"/>
  <c r="V60" i="1" l="1"/>
  <c r="K61" i="1" s="1"/>
  <c r="AR61" i="1" s="1"/>
  <c r="BL60" i="1"/>
  <c r="C60" i="9"/>
  <c r="C61" i="9" l="1"/>
  <c r="V61" i="1"/>
  <c r="K62" i="1" s="1"/>
  <c r="AR62" i="1" s="1"/>
  <c r="BL61" i="1"/>
  <c r="BL62" i="1" l="1"/>
  <c r="C62" i="9"/>
  <c r="V62" i="1"/>
  <c r="K63" i="1" s="1"/>
  <c r="AR63" i="1" s="1"/>
  <c r="C63" i="9" l="1"/>
  <c r="V63" i="1"/>
  <c r="K64" i="1" s="1"/>
  <c r="AR64" i="1" s="1"/>
  <c r="BL63" i="1"/>
  <c r="V64" i="1" l="1"/>
  <c r="K65" i="1" s="1"/>
  <c r="AR65" i="1" s="1"/>
  <c r="BL64" i="1"/>
  <c r="C64" i="9"/>
  <c r="BL65" i="1" l="1"/>
  <c r="C65" i="9"/>
  <c r="V65" i="1"/>
  <c r="K66" i="1" s="1"/>
  <c r="AR66" i="1" s="1"/>
  <c r="V66" i="1" l="1"/>
  <c r="K67" i="1" s="1"/>
  <c r="AR67" i="1" s="1"/>
  <c r="C66" i="9"/>
  <c r="BL66" i="1"/>
  <c r="V67" i="1" l="1"/>
  <c r="K68" i="1" s="1"/>
  <c r="AR68" i="1" s="1"/>
  <c r="BL67" i="1"/>
  <c r="C67" i="9"/>
  <c r="V68" i="1" l="1"/>
  <c r="K69" i="1" s="1"/>
  <c r="AR69" i="1" s="1"/>
  <c r="C68" i="9"/>
  <c r="BL68" i="1"/>
  <c r="V69" i="1" l="1"/>
  <c r="K70" i="1" s="1"/>
  <c r="AR70" i="1" s="1"/>
  <c r="C69" i="9"/>
  <c r="BL69" i="1"/>
  <c r="BL70" i="1" l="1"/>
  <c r="V70" i="1"/>
  <c r="K71" i="1" s="1"/>
  <c r="AR71" i="1" s="1"/>
  <c r="C70" i="9"/>
  <c r="C71" i="9" l="1"/>
  <c r="BL71" i="1"/>
  <c r="V71" i="1"/>
  <c r="K72" i="1" s="1"/>
  <c r="AR72" i="1" s="1"/>
  <c r="C72" i="9" l="1"/>
  <c r="BL72" i="1"/>
  <c r="V72" i="1"/>
  <c r="K73" i="1" s="1"/>
  <c r="AR73" i="1" s="1"/>
  <c r="V73" i="1" l="1"/>
  <c r="K74" i="1" s="1"/>
  <c r="AR74" i="1" s="1"/>
  <c r="BL73" i="1"/>
  <c r="C73" i="9"/>
  <c r="C74" i="9" l="1"/>
  <c r="BL74" i="1"/>
  <c r="V74" i="1"/>
  <c r="K75" i="1" s="1"/>
  <c r="AR75" i="1" s="1"/>
  <c r="V75" i="1" l="1"/>
  <c r="K76" i="1" s="1"/>
  <c r="AR76" i="1" s="1"/>
  <c r="BL75" i="1"/>
  <c r="C75" i="9"/>
  <c r="C76" i="9" l="1"/>
  <c r="BL76" i="1"/>
  <c r="V76" i="1"/>
  <c r="K77" i="1" s="1"/>
  <c r="AR77" i="1" s="1"/>
  <c r="C77" i="9" l="1"/>
  <c r="V77" i="1"/>
  <c r="K78" i="1" s="1"/>
  <c r="AR78" i="1" s="1"/>
  <c r="BL77" i="1"/>
  <c r="V78" i="1" l="1"/>
  <c r="K79" i="1" s="1"/>
  <c r="AR79" i="1" s="1"/>
  <c r="BL78" i="1"/>
  <c r="C78" i="9"/>
  <c r="V79" i="1" l="1"/>
  <c r="K80" i="1" s="1"/>
  <c r="AR80" i="1" s="1"/>
  <c r="BL79" i="1"/>
  <c r="C79" i="9"/>
  <c r="V80" i="1" l="1"/>
  <c r="K81" i="1" s="1"/>
  <c r="AR81" i="1" s="1"/>
  <c r="BL80" i="1"/>
  <c r="C80" i="9"/>
  <c r="V81" i="1" l="1"/>
  <c r="K82" i="1" s="1"/>
  <c r="AR82" i="1" s="1"/>
  <c r="C81" i="9"/>
  <c r="BL81" i="1"/>
  <c r="V82" i="1" l="1"/>
  <c r="K83" i="1" s="1"/>
  <c r="AR83" i="1" s="1"/>
  <c r="C82" i="9"/>
  <c r="BL82" i="1"/>
  <c r="BL83" i="1" l="1"/>
  <c r="C83" i="9"/>
  <c r="V83" i="1"/>
  <c r="K84" i="1" s="1"/>
  <c r="AR84" i="1" s="1"/>
  <c r="V84" i="1" l="1"/>
  <c r="K85" i="1" s="1"/>
  <c r="AR85" i="1" s="1"/>
  <c r="BL84" i="1"/>
  <c r="C84" i="9"/>
  <c r="C85" i="9" l="1"/>
  <c r="BL85" i="1"/>
  <c r="V85" i="1"/>
  <c r="K86" i="1" s="1"/>
  <c r="AR86" i="1" s="1"/>
  <c r="C86" i="9" l="1"/>
  <c r="BL86" i="1"/>
  <c r="V86" i="1"/>
  <c r="K87" i="1" s="1"/>
  <c r="AR87" i="1" s="1"/>
  <c r="V87" i="1" l="1"/>
  <c r="K88" i="1" s="1"/>
  <c r="AR88" i="1" s="1"/>
  <c r="C87" i="9"/>
  <c r="BL87" i="1"/>
  <c r="BL88" i="1" l="1"/>
  <c r="V88" i="1"/>
  <c r="K89" i="1" s="1"/>
  <c r="AR89" i="1" s="1"/>
  <c r="C88" i="9"/>
  <c r="BL89" i="1" l="1"/>
  <c r="C89" i="9"/>
  <c r="V89" i="1"/>
  <c r="K90" i="1" s="1"/>
  <c r="AR90" i="1" s="1"/>
  <c r="BL90" i="1" l="1"/>
  <c r="V90" i="1"/>
  <c r="K91" i="1" s="1"/>
  <c r="AR91" i="1" s="1"/>
  <c r="C90" i="9"/>
  <c r="V91" i="1" l="1"/>
  <c r="K92" i="1" s="1"/>
  <c r="AR92" i="1" s="1"/>
  <c r="C91" i="9"/>
  <c r="BL91" i="1"/>
  <c r="C92" i="9" l="1"/>
  <c r="V92" i="1"/>
  <c r="K93" i="1" s="1"/>
  <c r="AR93" i="1" s="1"/>
  <c r="BL92" i="1"/>
  <c r="BL93" i="1" l="1"/>
  <c r="C93" i="9"/>
  <c r="V93" i="1"/>
  <c r="K94" i="1" s="1"/>
  <c r="AR94" i="1" s="1"/>
  <c r="C94" i="9" l="1"/>
  <c r="V94" i="1"/>
  <c r="K95" i="1" s="1"/>
  <c r="AR95" i="1" s="1"/>
  <c r="BL94" i="1"/>
  <c r="C95" i="9" l="1"/>
  <c r="V95" i="1"/>
  <c r="K96" i="1" s="1"/>
  <c r="AR96" i="1" s="1"/>
  <c r="BL95" i="1"/>
  <c r="C96" i="9" l="1"/>
  <c r="BL96" i="1"/>
  <c r="V96" i="1"/>
  <c r="K97" i="1" s="1"/>
  <c r="AR97" i="1" s="1"/>
  <c r="BL97" i="1" l="1"/>
  <c r="C97" i="9"/>
  <c r="V97" i="1"/>
  <c r="K98" i="1" s="1"/>
  <c r="AR98" i="1" s="1"/>
  <c r="C98" i="9" l="1"/>
  <c r="BL98" i="1"/>
  <c r="V98" i="1"/>
  <c r="K99" i="1" s="1"/>
  <c r="AR99" i="1" s="1"/>
  <c r="V99" i="1" l="1"/>
  <c r="K100" i="1" s="1"/>
  <c r="AR100" i="1" s="1"/>
  <c r="C99" i="9"/>
  <c r="BL99" i="1"/>
  <c r="BL100" i="1" l="1"/>
  <c r="C100" i="9"/>
  <c r="V100" i="1"/>
  <c r="K101" i="1" s="1"/>
  <c r="AR101" i="1" s="1"/>
  <c r="V101" i="1" l="1"/>
  <c r="K102" i="1" s="1"/>
  <c r="AR102" i="1" s="1"/>
  <c r="C101" i="9"/>
  <c r="BL101" i="1"/>
  <c r="BL102" i="1" l="1"/>
  <c r="V102" i="1"/>
  <c r="K103" i="1" s="1"/>
  <c r="AR103" i="1" s="1"/>
  <c r="C102" i="9"/>
  <c r="V103" i="1" l="1"/>
  <c r="K104" i="1" s="1"/>
  <c r="AR104" i="1" s="1"/>
  <c r="C103" i="9"/>
  <c r="BL103" i="1"/>
  <c r="C104" i="9" l="1"/>
  <c r="V104" i="1"/>
  <c r="K105" i="1" s="1"/>
  <c r="AR105" i="1" s="1"/>
  <c r="BL104" i="1"/>
  <c r="BL105" i="1" l="1"/>
  <c r="V105" i="1"/>
  <c r="K106" i="1" s="1"/>
  <c r="AR106" i="1" s="1"/>
  <c r="C105" i="9"/>
  <c r="V106" i="1" l="1"/>
  <c r="K107" i="1" s="1"/>
  <c r="AR107" i="1" s="1"/>
  <c r="BL106" i="1"/>
  <c r="C106" i="9"/>
  <c r="C107" i="9" l="1"/>
  <c r="BL107" i="1"/>
  <c r="V107" i="1"/>
  <c r="K108" i="1" s="1"/>
  <c r="AR108" i="1" s="1"/>
  <c r="C108" i="9" l="1"/>
  <c r="V108" i="1"/>
  <c r="K109" i="1" s="1"/>
  <c r="AR109" i="1" s="1"/>
  <c r="BL108" i="1"/>
  <c r="BL109" i="1" l="1"/>
  <c r="V109" i="1"/>
  <c r="K110" i="1" s="1"/>
  <c r="AR110" i="1" s="1"/>
  <c r="C109" i="9"/>
  <c r="C110" i="9" l="1"/>
  <c r="BL110" i="1"/>
  <c r="V110" i="1"/>
  <c r="K111" i="1" s="1"/>
  <c r="AR111" i="1" s="1"/>
  <c r="BL111" i="1" l="1"/>
  <c r="C111" i="9"/>
  <c r="V111" i="1"/>
  <c r="K112" i="1" s="1"/>
  <c r="AR112" i="1" s="1"/>
  <c r="V112" i="1" l="1"/>
  <c r="K113" i="1" s="1"/>
  <c r="AR113" i="1" s="1"/>
  <c r="C112" i="9"/>
  <c r="BL112" i="1"/>
  <c r="V113" i="1" l="1"/>
  <c r="K114" i="1" s="1"/>
  <c r="AR114" i="1" s="1"/>
  <c r="BL113" i="1"/>
  <c r="C113" i="9"/>
  <c r="BL114" i="1" l="1"/>
  <c r="V114" i="1"/>
  <c r="K115" i="1" s="1"/>
  <c r="AR115" i="1" s="1"/>
  <c r="C114" i="9"/>
  <c r="C115" i="9" l="1"/>
  <c r="V115" i="1"/>
  <c r="K116" i="1" s="1"/>
  <c r="AR116" i="1" s="1"/>
  <c r="BL115" i="1"/>
  <c r="BL116" i="1" l="1"/>
  <c r="C116" i="9"/>
  <c r="V116" i="1"/>
  <c r="K117" i="1" s="1"/>
  <c r="AR117" i="1" s="1"/>
  <c r="C117" i="9" l="1"/>
  <c r="BL117" i="1"/>
  <c r="V117" i="1"/>
  <c r="K118" i="1" s="1"/>
  <c r="AR118" i="1" s="1"/>
  <c r="C118" i="9" l="1"/>
  <c r="V118" i="1"/>
  <c r="K119" i="1" s="1"/>
  <c r="AR119" i="1" s="1"/>
  <c r="BL118" i="1"/>
  <c r="V119" i="1" l="1"/>
  <c r="K120" i="1" s="1"/>
  <c r="AR120" i="1" s="1"/>
  <c r="BL119" i="1"/>
  <c r="C119" i="9"/>
  <c r="BL120" i="1" l="1"/>
  <c r="V120" i="1"/>
  <c r="K121" i="1" s="1"/>
  <c r="AR121" i="1" s="1"/>
  <c r="C120" i="9"/>
  <c r="V121" i="1" l="1"/>
  <c r="K122" i="1" s="1"/>
  <c r="AR122" i="1" s="1"/>
  <c r="BL121" i="1"/>
  <c r="C121" i="9"/>
  <c r="V122" i="1" l="1"/>
  <c r="K123" i="1" s="1"/>
  <c r="AR123" i="1" s="1"/>
  <c r="BL122" i="1"/>
  <c r="C122" i="9"/>
  <c r="V123" i="1" l="1"/>
  <c r="K124" i="1" s="1"/>
  <c r="AR124" i="1" s="1"/>
  <c r="C123" i="9"/>
  <c r="BL123" i="1"/>
  <c r="BL124" i="1" l="1"/>
  <c r="V124" i="1"/>
  <c r="K125" i="1" s="1"/>
  <c r="AR125" i="1" s="1"/>
  <c r="C124" i="9"/>
  <c r="V125" i="1" l="1"/>
  <c r="K126" i="1" s="1"/>
  <c r="AR126" i="1" s="1"/>
  <c r="C125" i="9"/>
  <c r="BL125" i="1"/>
  <c r="V126" i="1" l="1"/>
  <c r="K127" i="1" s="1"/>
  <c r="AR127" i="1" s="1"/>
  <c r="BL126" i="1"/>
  <c r="C126" i="9"/>
  <c r="C127" i="9" l="1"/>
  <c r="V127" i="1"/>
  <c r="K128" i="1" s="1"/>
  <c r="AR128" i="1" s="1"/>
  <c r="BL127" i="1"/>
  <c r="BL128" i="1" l="1"/>
  <c r="V128" i="1"/>
  <c r="K129" i="1" s="1"/>
  <c r="AR129" i="1" s="1"/>
  <c r="C128" i="9"/>
  <c r="V129" i="1" l="1"/>
  <c r="K130" i="1" s="1"/>
  <c r="AR130" i="1" s="1"/>
  <c r="BL129" i="1"/>
  <c r="C129" i="9"/>
  <c r="C130" i="9" l="1"/>
  <c r="V130" i="1"/>
  <c r="K131" i="1" s="1"/>
  <c r="AR131" i="1" s="1"/>
  <c r="BL130" i="1"/>
  <c r="BL131" i="1" l="1"/>
  <c r="C131" i="9"/>
  <c r="V131" i="1"/>
  <c r="K132" i="1" s="1"/>
  <c r="AR132" i="1" s="1"/>
  <c r="BL132" i="1" l="1"/>
  <c r="C132" i="9"/>
  <c r="V132" i="1"/>
  <c r="K133" i="1" s="1"/>
  <c r="AR133" i="1" s="1"/>
  <c r="V133" i="1" l="1"/>
  <c r="K134" i="1" s="1"/>
  <c r="AR134" i="1" s="1"/>
  <c r="BL133" i="1"/>
  <c r="C133" i="9"/>
  <c r="BL134" i="1" l="1"/>
  <c r="C134" i="9"/>
  <c r="V134" i="1"/>
  <c r="K135" i="1" s="1"/>
  <c r="AR135" i="1" s="1"/>
  <c r="V135" i="1" l="1"/>
  <c r="K136" i="1" s="1"/>
  <c r="AR136" i="1" s="1"/>
  <c r="C135" i="9"/>
  <c r="BL135" i="1"/>
  <c r="C136" i="9" l="1"/>
  <c r="BL136" i="1"/>
  <c r="V136" i="1"/>
  <c r="J64" i="4" l="1"/>
  <c r="J66" i="4" l="1"/>
  <c r="J68" i="4"/>
  <c r="J65" i="4"/>
  <c r="J67" i="4"/>
  <c r="L25" i="14" l="1"/>
  <c r="Q26" i="1" s="1"/>
  <c r="L84" i="14"/>
  <c r="Q85" i="1" s="1"/>
  <c r="L108" i="14"/>
  <c r="Q109" i="1" s="1"/>
  <c r="L44" i="14"/>
  <c r="Q45" i="1" s="1"/>
  <c r="L69" i="14"/>
  <c r="Q70" i="1" s="1"/>
  <c r="L106" i="14"/>
  <c r="Q107" i="1" s="1"/>
  <c r="L59" i="14"/>
  <c r="Q60" i="1" s="1"/>
  <c r="L19" i="14"/>
  <c r="Q20" i="1" s="1"/>
  <c r="L33" i="14"/>
  <c r="Q34" i="1" s="1"/>
  <c r="L93" i="14"/>
  <c r="Q94" i="1" s="1"/>
  <c r="L70" i="14"/>
  <c r="Q71" i="1" s="1"/>
  <c r="L134" i="14"/>
  <c r="Q135" i="1" s="1"/>
  <c r="L104" i="14"/>
  <c r="Q105" i="1" s="1"/>
  <c r="L79" i="14"/>
  <c r="Q80" i="1" s="1"/>
  <c r="L58" i="14"/>
  <c r="Q59" i="1" s="1"/>
  <c r="L52" i="14"/>
  <c r="Q53" i="1" s="1"/>
  <c r="L9" i="14"/>
  <c r="Q10" i="1" s="1"/>
  <c r="L88" i="14"/>
  <c r="Q89" i="1" s="1"/>
  <c r="L62" i="14"/>
  <c r="Q63" i="1" s="1"/>
  <c r="L132" i="14"/>
  <c r="Q133" i="1" s="1"/>
  <c r="L23" i="14"/>
  <c r="Q24" i="1" s="1"/>
  <c r="L60" i="14"/>
  <c r="Q61" i="1" s="1"/>
  <c r="L42" i="14"/>
  <c r="Q43" i="1" s="1"/>
  <c r="L37" i="14"/>
  <c r="Q38" i="1" s="1"/>
  <c r="L47" i="14"/>
  <c r="Q48" i="1" s="1"/>
  <c r="L34" i="14"/>
  <c r="Q35" i="1" s="1"/>
  <c r="L29" i="14"/>
  <c r="Q30" i="1" s="1"/>
  <c r="L124" i="14"/>
  <c r="Q125" i="1" s="1"/>
  <c r="L116" i="14"/>
  <c r="Q117" i="1" s="1"/>
  <c r="L15" i="14"/>
  <c r="Q16" i="1" s="1"/>
  <c r="L13" i="14"/>
  <c r="Q14" i="1" s="1"/>
  <c r="L109" i="14"/>
  <c r="Q110" i="1" s="1"/>
  <c r="L16" i="14"/>
  <c r="Q17" i="1" s="1"/>
  <c r="L74" i="14"/>
  <c r="Q75" i="1" s="1"/>
  <c r="L6" i="14"/>
  <c r="Q7" i="1" s="1"/>
  <c r="L30" i="14"/>
  <c r="Q31" i="1" s="1"/>
  <c r="L67" i="14"/>
  <c r="Q68" i="1" s="1"/>
  <c r="L65" i="14"/>
  <c r="Q66" i="1" s="1"/>
  <c r="L56" i="14"/>
  <c r="Q57" i="1" s="1"/>
  <c r="L110" i="14"/>
  <c r="Q111" i="1" s="1"/>
  <c r="L10" i="14"/>
  <c r="Q11" i="1" s="1"/>
  <c r="L18" i="14"/>
  <c r="Q19" i="1" s="1"/>
  <c r="L130" i="14"/>
  <c r="Q131" i="1" s="1"/>
  <c r="L115" i="14"/>
  <c r="Q116" i="1" s="1"/>
  <c r="L77" i="14"/>
  <c r="Q78" i="1" s="1"/>
  <c r="L107" i="14"/>
  <c r="Q108" i="1" s="1"/>
  <c r="L14" i="14"/>
  <c r="Q15" i="1" s="1"/>
  <c r="L100" i="14"/>
  <c r="Q101" i="1" s="1"/>
  <c r="L76" i="14"/>
  <c r="Q77" i="1" s="1"/>
  <c r="L68" i="14"/>
  <c r="Q69" i="1" s="1"/>
  <c r="L80" i="14"/>
  <c r="Q81" i="1" s="1"/>
  <c r="L43" i="14"/>
  <c r="Q44" i="1" s="1"/>
  <c r="L83" i="14"/>
  <c r="Q84" i="1" s="1"/>
  <c r="L131" i="14"/>
  <c r="Q132" i="1" s="1"/>
  <c r="L54" i="14"/>
  <c r="Q55" i="1" s="1"/>
  <c r="L113" i="14"/>
  <c r="Q114" i="1" s="1"/>
  <c r="L21" i="14"/>
  <c r="Q22" i="1" s="1"/>
  <c r="L12" i="14"/>
  <c r="Q13" i="1" s="1"/>
  <c r="L36" i="14"/>
  <c r="Q37" i="1" s="1"/>
  <c r="L57" i="14"/>
  <c r="Q58" i="1" s="1"/>
  <c r="L82" i="14"/>
  <c r="Q83" i="1" s="1"/>
  <c r="L121" i="14"/>
  <c r="Q122" i="1" s="1"/>
  <c r="L55" i="14"/>
  <c r="Q56" i="1" s="1"/>
  <c r="L96" i="14"/>
  <c r="Q97" i="1" s="1"/>
  <c r="L123" i="14"/>
  <c r="Q124" i="1" s="1"/>
  <c r="L119" i="14"/>
  <c r="Q120" i="1" s="1"/>
  <c r="L31" i="14"/>
  <c r="Q32" i="1" s="1"/>
  <c r="L22" i="14"/>
  <c r="Q23" i="1" s="1"/>
  <c r="L122" i="14"/>
  <c r="Q123" i="1" s="1"/>
  <c r="L133" i="14"/>
  <c r="Q134" i="1" s="1"/>
  <c r="L95" i="14"/>
  <c r="Q96" i="1" s="1"/>
  <c r="L48" i="14"/>
  <c r="Q49" i="1" s="1"/>
  <c r="L27" i="14"/>
  <c r="Q28" i="1" s="1"/>
  <c r="L101" i="14"/>
  <c r="Q102" i="1" s="1"/>
  <c r="L81" i="14"/>
  <c r="Q82" i="1" s="1"/>
  <c r="L136" i="14"/>
  <c r="L66" i="14"/>
  <c r="Q67" i="1" s="1"/>
  <c r="L114" i="14"/>
  <c r="Q115" i="1" s="1"/>
  <c r="L73" i="14"/>
  <c r="Q74" i="1" s="1"/>
  <c r="L38" i="14"/>
  <c r="Q39" i="1" s="1"/>
  <c r="L97" i="14"/>
  <c r="Q98" i="1" s="1"/>
  <c r="L50" i="14"/>
  <c r="Q51" i="1" s="1"/>
  <c r="L20" i="14"/>
  <c r="Q21" i="1" s="1"/>
  <c r="L86" i="14"/>
  <c r="Q87" i="1" s="1"/>
  <c r="L53" i="14"/>
  <c r="Q54" i="1" s="1"/>
  <c r="L63" i="14"/>
  <c r="Q64" i="1" s="1"/>
  <c r="L17" i="14"/>
  <c r="Q18" i="1" s="1"/>
  <c r="L92" i="14"/>
  <c r="Q93" i="1" s="1"/>
  <c r="L91" i="14"/>
  <c r="Q92" i="1" s="1"/>
  <c r="L127" i="14"/>
  <c r="Q128" i="1" s="1"/>
  <c r="L71" i="14"/>
  <c r="Q72" i="1" s="1"/>
  <c r="L28" i="14"/>
  <c r="Q29" i="1" s="1"/>
  <c r="L40" i="14"/>
  <c r="Q41" i="1" s="1"/>
  <c r="L24" i="14"/>
  <c r="Q25" i="1" s="1"/>
  <c r="L78" i="14"/>
  <c r="Q79" i="1" s="1"/>
  <c r="L87" i="14"/>
  <c r="Q88" i="1" s="1"/>
  <c r="L103" i="14"/>
  <c r="Q104" i="1" s="1"/>
  <c r="L129" i="14"/>
  <c r="Q130" i="1" s="1"/>
  <c r="L135" i="14"/>
  <c r="Q136" i="1" s="1"/>
  <c r="L41" i="14"/>
  <c r="Q42" i="1" s="1"/>
  <c r="L126" i="14"/>
  <c r="Q127" i="1" s="1"/>
  <c r="L61" i="14"/>
  <c r="Q62" i="1" s="1"/>
  <c r="U4" i="1"/>
  <c r="J5" i="1" s="1"/>
  <c r="L90" i="14"/>
  <c r="Q91" i="1" s="1"/>
  <c r="L5" i="14"/>
  <c r="Q6" i="1" s="1"/>
  <c r="L89" i="14"/>
  <c r="Q90" i="1" s="1"/>
  <c r="L64" i="14"/>
  <c r="Q65" i="1" s="1"/>
  <c r="L51" i="14"/>
  <c r="Q52" i="1" s="1"/>
  <c r="L98" i="14"/>
  <c r="Q99" i="1" s="1"/>
  <c r="L125" i="14"/>
  <c r="Q126" i="1" s="1"/>
  <c r="L75" i="14"/>
  <c r="Q76" i="1" s="1"/>
  <c r="L94" i="14"/>
  <c r="Q95" i="1" s="1"/>
  <c r="L111" i="14"/>
  <c r="Q112" i="1" s="1"/>
  <c r="L49" i="14"/>
  <c r="Q50" i="1" s="1"/>
  <c r="L112" i="14"/>
  <c r="Q113" i="1" s="1"/>
  <c r="L32" i="14"/>
  <c r="Q33" i="1" s="1"/>
  <c r="L99" i="14"/>
  <c r="Q100" i="1" s="1"/>
  <c r="L128" i="14"/>
  <c r="Q129" i="1" s="1"/>
  <c r="L85" i="14"/>
  <c r="Q86" i="1" s="1"/>
  <c r="L46" i="14"/>
  <c r="Q47" i="1" s="1"/>
  <c r="L118" i="14"/>
  <c r="Q119" i="1" s="1"/>
  <c r="L105" i="14"/>
  <c r="Q106" i="1" s="1"/>
  <c r="L39" i="14"/>
  <c r="Q40" i="1" s="1"/>
  <c r="L7" i="14"/>
  <c r="Q8" i="1" s="1"/>
  <c r="L35" i="14"/>
  <c r="Q36" i="1" s="1"/>
  <c r="L120" i="14"/>
  <c r="Q121" i="1" s="1"/>
  <c r="L102" i="14"/>
  <c r="Q103" i="1" s="1"/>
  <c r="L45" i="14"/>
  <c r="Q46" i="1" s="1"/>
  <c r="L117" i="14"/>
  <c r="Q118" i="1" s="1"/>
  <c r="L11" i="14"/>
  <c r="Q12" i="1" s="1"/>
  <c r="L26" i="14"/>
  <c r="Q27" i="1" s="1"/>
  <c r="L8" i="14"/>
  <c r="Q9" i="1" s="1"/>
  <c r="L4" i="14"/>
  <c r="Q5" i="1" s="1"/>
  <c r="L72" i="14"/>
  <c r="Q73" i="1" s="1"/>
  <c r="AQ5" i="1" l="1"/>
  <c r="U5" i="1" s="1"/>
  <c r="J6" i="1" s="1"/>
  <c r="D130" i="14"/>
  <c r="D29" i="14"/>
  <c r="D70" i="14"/>
  <c r="D7" i="14"/>
  <c r="D127" i="14"/>
  <c r="D101" i="14"/>
  <c r="D12" i="14"/>
  <c r="D18" i="14"/>
  <c r="D34" i="14"/>
  <c r="D93" i="14"/>
  <c r="D51" i="14"/>
  <c r="D5" i="14"/>
  <c r="D91" i="14"/>
  <c r="D27" i="14"/>
  <c r="D21" i="14"/>
  <c r="D10" i="14"/>
  <c r="D47" i="14"/>
  <c r="D33" i="14"/>
  <c r="D39" i="14"/>
  <c r="D90" i="14"/>
  <c r="D92" i="14"/>
  <c r="D48" i="14"/>
  <c r="D113" i="14"/>
  <c r="D110" i="14"/>
  <c r="D37" i="14"/>
  <c r="D19" i="14"/>
  <c r="D17" i="14"/>
  <c r="D95" i="14"/>
  <c r="D54" i="14"/>
  <c r="D56" i="14"/>
  <c r="D42" i="14"/>
  <c r="D59" i="14"/>
  <c r="D115" i="14"/>
  <c r="D63" i="14"/>
  <c r="D133" i="14"/>
  <c r="D131" i="14"/>
  <c r="D65" i="14"/>
  <c r="D60" i="14"/>
  <c r="D106" i="14"/>
  <c r="D81" i="14"/>
  <c r="D99" i="14"/>
  <c r="D126" i="14"/>
  <c r="D53" i="14"/>
  <c r="D122" i="14"/>
  <c r="D83" i="14"/>
  <c r="D67" i="14"/>
  <c r="D23" i="14"/>
  <c r="D69" i="14"/>
  <c r="D124" i="14"/>
  <c r="D72" i="14"/>
  <c r="D32" i="14"/>
  <c r="D41" i="14"/>
  <c r="D86" i="14"/>
  <c r="D22" i="14"/>
  <c r="D43" i="14"/>
  <c r="D30" i="14"/>
  <c r="D132" i="14"/>
  <c r="D44" i="14"/>
  <c r="D71" i="14"/>
  <c r="D8" i="14"/>
  <c r="D112" i="14"/>
  <c r="D135" i="14"/>
  <c r="D20" i="14"/>
  <c r="D31" i="14"/>
  <c r="D80" i="14"/>
  <c r="D6" i="14"/>
  <c r="D62" i="14"/>
  <c r="D108" i="14"/>
  <c r="D57" i="14"/>
  <c r="D85" i="14"/>
  <c r="D49" i="14"/>
  <c r="D129" i="14"/>
  <c r="D50" i="14"/>
  <c r="D119" i="14"/>
  <c r="D68" i="14"/>
  <c r="D74" i="14"/>
  <c r="D88" i="14"/>
  <c r="D84" i="14"/>
  <c r="D36" i="14"/>
  <c r="D117" i="14"/>
  <c r="D103" i="14"/>
  <c r="D97" i="14"/>
  <c r="D123" i="14"/>
  <c r="D76" i="14"/>
  <c r="D16" i="14"/>
  <c r="D9" i="14"/>
  <c r="D25" i="14"/>
  <c r="D136" i="14"/>
  <c r="D118" i="14"/>
  <c r="D11" i="14"/>
  <c r="D45" i="14"/>
  <c r="D94" i="14"/>
  <c r="D87" i="14"/>
  <c r="D38" i="14"/>
  <c r="D96" i="14"/>
  <c r="D100" i="14"/>
  <c r="D109" i="14"/>
  <c r="D52" i="14"/>
  <c r="D134" i="14"/>
  <c r="D46" i="14"/>
  <c r="D111" i="14"/>
  <c r="D78" i="14"/>
  <c r="D73" i="14"/>
  <c r="D55" i="14"/>
  <c r="D14" i="14"/>
  <c r="D13" i="14"/>
  <c r="D58" i="14"/>
  <c r="D28" i="14"/>
  <c r="D105" i="14"/>
  <c r="D26" i="14"/>
  <c r="D75" i="14"/>
  <c r="D125" i="14"/>
  <c r="D24" i="14"/>
  <c r="D114" i="14"/>
  <c r="D121" i="14"/>
  <c r="D107" i="14"/>
  <c r="D15" i="14"/>
  <c r="D79" i="14"/>
  <c r="D64" i="14"/>
  <c r="D128" i="14"/>
  <c r="D102" i="14"/>
  <c r="D120" i="14"/>
  <c r="D35" i="14"/>
  <c r="D98" i="14"/>
  <c r="D40" i="14"/>
  <c r="D66" i="14"/>
  <c r="D82" i="14"/>
  <c r="D77" i="14"/>
  <c r="D116" i="14"/>
  <c r="D104" i="14"/>
  <c r="K89" i="14"/>
  <c r="D89" i="14"/>
  <c r="K61" i="14"/>
  <c r="D61" i="14"/>
  <c r="D4" i="14"/>
  <c r="K26" i="14"/>
  <c r="AR5" i="8"/>
  <c r="K24" i="14"/>
  <c r="K51" i="14"/>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AQ6" i="1" l="1"/>
  <c r="P5" i="1"/>
  <c r="P6" i="1" s="1"/>
  <c r="P7" i="1" s="1"/>
  <c r="P8" i="1" s="1"/>
  <c r="P9" i="1" s="1"/>
  <c r="P10" i="1" s="1"/>
  <c r="P11" i="1" s="1"/>
  <c r="P12" i="1" s="1"/>
  <c r="P13" i="1" s="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AR6" i="8"/>
  <c r="AL6" i="5"/>
  <c r="BK6" i="1"/>
  <c r="D5" i="11"/>
  <c r="C4" i="14"/>
  <c r="U6" i="1" l="1"/>
  <c r="J7" i="1" s="1"/>
  <c r="D6" i="11"/>
  <c r="AQ7" i="1" l="1"/>
  <c r="U7" i="1" s="1"/>
  <c r="J8" i="1" s="1"/>
  <c r="AR7" i="8"/>
  <c r="AL7" i="5"/>
  <c r="D7" i="11"/>
  <c r="BK7" i="1"/>
  <c r="AQ8" i="1" l="1"/>
  <c r="U8" i="1" s="1"/>
  <c r="J9" i="1" s="1"/>
  <c r="AR8" i="8"/>
  <c r="AL8" i="5"/>
  <c r="BK8" i="1"/>
  <c r="D8" i="11"/>
  <c r="C5" i="14"/>
  <c r="AQ9" i="1" l="1"/>
  <c r="U9" i="1" s="1"/>
  <c r="J10" i="1" s="1"/>
  <c r="AR9" i="8"/>
  <c r="AL9" i="5"/>
  <c r="D9" i="11"/>
  <c r="BK9" i="1"/>
  <c r="C6" i="14"/>
  <c r="AQ10" i="1" l="1"/>
  <c r="U10" i="1" s="1"/>
  <c r="J11" i="1" s="1"/>
  <c r="AR10" i="8"/>
  <c r="AL10" i="5"/>
  <c r="BK10" i="1"/>
  <c r="D10" i="11"/>
  <c r="C7" i="14"/>
  <c r="AQ11" i="1" l="1"/>
  <c r="U11" i="1" s="1"/>
  <c r="J12" i="1" s="1"/>
  <c r="AR11" i="8"/>
  <c r="AL11" i="5"/>
  <c r="BK11" i="1"/>
  <c r="D11" i="11"/>
  <c r="C8" i="14"/>
  <c r="AQ12" i="1" l="1"/>
  <c r="AR12" i="8"/>
  <c r="AL12" i="5"/>
  <c r="C13" i="14"/>
  <c r="C9" i="14"/>
  <c r="U12" i="1" l="1"/>
  <c r="J13" i="1" s="1"/>
  <c r="BK12" i="1"/>
  <c r="D12" i="11"/>
  <c r="C14" i="14"/>
  <c r="C10" i="14"/>
  <c r="AQ13" i="1" l="1"/>
  <c r="AR13" i="8"/>
  <c r="AL13" i="5"/>
  <c r="C11" i="14"/>
  <c r="U13" i="1" l="1"/>
  <c r="J14" i="1" s="1"/>
  <c r="BK13" i="1"/>
  <c r="D13" i="11"/>
  <c r="C12" i="14"/>
  <c r="AQ14" i="1" l="1"/>
  <c r="U14" i="1" s="1"/>
  <c r="J15" i="1" s="1"/>
  <c r="AR14" i="8"/>
  <c r="AL14" i="5"/>
  <c r="BK14" i="1"/>
  <c r="D14" i="11"/>
  <c r="C16" i="14"/>
  <c r="AQ15" i="1" l="1"/>
  <c r="U15" i="1" s="1"/>
  <c r="J16" i="1" s="1"/>
  <c r="AR15" i="8"/>
  <c r="AL15" i="5"/>
  <c r="BK15" i="1"/>
  <c r="D15" i="11"/>
  <c r="C17" i="14"/>
  <c r="AQ16" i="1" l="1"/>
  <c r="AR16" i="8"/>
  <c r="AL16" i="5"/>
  <c r="C18" i="14"/>
  <c r="BK16" i="1" l="1"/>
  <c r="U16" i="1"/>
  <c r="J17" i="1" s="1"/>
  <c r="D16" i="11"/>
  <c r="C19" i="14"/>
  <c r="AQ17" i="1" l="1"/>
  <c r="AR17" i="8"/>
  <c r="AL17" i="5"/>
  <c r="C20" i="14"/>
  <c r="BK17" i="1" l="1"/>
  <c r="U17" i="1"/>
  <c r="J18" i="1" s="1"/>
  <c r="D17" i="11"/>
  <c r="C21" i="14"/>
  <c r="AQ18" i="1" l="1"/>
  <c r="AR18" i="8"/>
  <c r="AL18" i="5"/>
  <c r="C22" i="14"/>
  <c r="BK18" i="1" l="1"/>
  <c r="U18" i="1"/>
  <c r="J19" i="1" s="1"/>
  <c r="D18" i="11"/>
  <c r="C25" i="14"/>
  <c r="C23" i="14"/>
  <c r="AQ19" i="1" l="1"/>
  <c r="AR19" i="8"/>
  <c r="AL19" i="5"/>
  <c r="C24" i="14"/>
  <c r="U19" i="1" l="1"/>
  <c r="J20" i="1" s="1"/>
  <c r="BK19" i="1"/>
  <c r="D19" i="11"/>
  <c r="C27" i="14"/>
  <c r="AQ20" i="1" l="1"/>
  <c r="AR20" i="8"/>
  <c r="AL20" i="5"/>
  <c r="C28" i="14"/>
  <c r="BK20" i="1" l="1"/>
  <c r="U20" i="1"/>
  <c r="J21" i="1" s="1"/>
  <c r="D20" i="11"/>
  <c r="C29" i="14"/>
  <c r="AQ21" i="1" l="1"/>
  <c r="AR21" i="8"/>
  <c r="AL21" i="5"/>
  <c r="C30" i="14"/>
  <c r="U21" i="1" l="1"/>
  <c r="J22" i="1" s="1"/>
  <c r="BK21" i="1"/>
  <c r="D21" i="11"/>
  <c r="C31" i="14"/>
  <c r="AQ22" i="1" l="1"/>
  <c r="U22" i="1" s="1"/>
  <c r="J23" i="1" s="1"/>
  <c r="AR22" i="8"/>
  <c r="AL22" i="5"/>
  <c r="D22" i="11"/>
  <c r="BK22" i="1"/>
  <c r="C32" i="14"/>
  <c r="AQ23" i="1" l="1"/>
  <c r="AR23" i="8"/>
  <c r="AL23" i="5"/>
  <c r="C33" i="14"/>
  <c r="BK23" i="1" l="1"/>
  <c r="U23" i="1"/>
  <c r="J24" i="1" s="1"/>
  <c r="D23" i="11"/>
  <c r="C34" i="14"/>
  <c r="AQ24" i="1" l="1"/>
  <c r="AR24" i="8"/>
  <c r="AL24" i="5"/>
  <c r="C35" i="14"/>
  <c r="BK24" i="1" l="1"/>
  <c r="U24" i="1"/>
  <c r="J25" i="1" s="1"/>
  <c r="D24" i="11"/>
  <c r="AQ25" i="1" l="1"/>
  <c r="AR25" i="8"/>
  <c r="AL25" i="5"/>
  <c r="C37" i="14"/>
  <c r="BK25" i="1" l="1"/>
  <c r="U25" i="1"/>
  <c r="J26" i="1" s="1"/>
  <c r="D25" i="11"/>
  <c r="C38" i="14"/>
  <c r="AQ26" i="1" l="1"/>
  <c r="AR26" i="8"/>
  <c r="AL26" i="5"/>
  <c r="C39" i="14"/>
  <c r="BK26" i="1" l="1"/>
  <c r="U26" i="1"/>
  <c r="J27" i="1" s="1"/>
  <c r="D26" i="11"/>
  <c r="C40" i="14"/>
  <c r="AQ27" i="1" l="1"/>
  <c r="AR27" i="8"/>
  <c r="AL27" i="5"/>
  <c r="C41" i="14"/>
  <c r="U27" i="1" l="1"/>
  <c r="J28" i="1" s="1"/>
  <c r="BK27" i="1"/>
  <c r="D27" i="11"/>
  <c r="C42" i="14"/>
  <c r="AQ28" i="1" l="1"/>
  <c r="AR28" i="8"/>
  <c r="AL28" i="5"/>
  <c r="C43" i="14"/>
  <c r="U28" i="1" l="1"/>
  <c r="J29" i="1" s="1"/>
  <c r="BK28" i="1"/>
  <c r="D28" i="11"/>
  <c r="C44" i="14"/>
  <c r="AQ29" i="1" l="1"/>
  <c r="U29" i="1" s="1"/>
  <c r="J30" i="1" s="1"/>
  <c r="AR29" i="8"/>
  <c r="AL29" i="5"/>
  <c r="BK29" i="1"/>
  <c r="D29" i="11"/>
  <c r="C46" i="14"/>
  <c r="AQ30" i="1" l="1"/>
  <c r="AR30" i="8"/>
  <c r="AL30" i="5"/>
  <c r="C47" i="14"/>
  <c r="BK30" i="1" l="1"/>
  <c r="U30" i="1"/>
  <c r="J31" i="1" s="1"/>
  <c r="D30" i="11"/>
  <c r="C48" i="14"/>
  <c r="AQ31" i="1" l="1"/>
  <c r="AR31" i="8"/>
  <c r="AL31" i="5"/>
  <c r="C49" i="14"/>
  <c r="U31" i="1" l="1"/>
  <c r="J32" i="1" s="1"/>
  <c r="BK31" i="1"/>
  <c r="D31" i="11"/>
  <c r="C50" i="14"/>
  <c r="AQ32" i="1" l="1"/>
  <c r="AR32" i="8"/>
  <c r="AL32" i="5"/>
  <c r="C51" i="14"/>
  <c r="U32" i="1" l="1"/>
  <c r="J33" i="1" s="1"/>
  <c r="BK32" i="1"/>
  <c r="D32" i="11"/>
  <c r="C52" i="14"/>
  <c r="AQ33" i="1" l="1"/>
  <c r="U33" i="1" s="1"/>
  <c r="J34" i="1" s="1"/>
  <c r="AR33" i="8"/>
  <c r="AL33" i="5"/>
  <c r="BK33" i="1"/>
  <c r="D33" i="11"/>
  <c r="C54" i="14"/>
  <c r="AQ34" i="1" l="1"/>
  <c r="AR34" i="8"/>
  <c r="AL34" i="5"/>
  <c r="C55" i="14"/>
  <c r="U34" i="1" l="1"/>
  <c r="J35" i="1" s="1"/>
  <c r="BK34" i="1"/>
  <c r="D34" i="11"/>
  <c r="C56" i="14"/>
  <c r="AQ35" i="1" l="1"/>
  <c r="AR35" i="8"/>
  <c r="AL35" i="5"/>
  <c r="C57" i="14"/>
  <c r="U35" i="1" l="1"/>
  <c r="J36" i="1" s="1"/>
  <c r="BK35" i="1"/>
  <c r="D35" i="11"/>
  <c r="C58" i="14"/>
  <c r="AQ36" i="1" l="1"/>
  <c r="AR36" i="8"/>
  <c r="AL36" i="5"/>
  <c r="C59" i="14"/>
  <c r="U36" i="1" l="1"/>
  <c r="J37" i="1" s="1"/>
  <c r="BK36" i="1"/>
  <c r="D36" i="11"/>
  <c r="AQ37" i="1" l="1"/>
  <c r="AR37" i="8"/>
  <c r="AL37" i="5"/>
  <c r="C61" i="14"/>
  <c r="U37" i="1" l="1"/>
  <c r="J38" i="1" s="1"/>
  <c r="BK37" i="1"/>
  <c r="D37" i="11"/>
  <c r="C62" i="14"/>
  <c r="AQ38" i="1" l="1"/>
  <c r="AR38" i="8"/>
  <c r="AL38" i="5"/>
  <c r="C63" i="14"/>
  <c r="U38" i="1" l="1"/>
  <c r="J39" i="1" s="1"/>
  <c r="BK38" i="1"/>
  <c r="D38" i="11"/>
  <c r="C64" i="14"/>
  <c r="AQ39" i="1" l="1"/>
  <c r="AR39" i="8"/>
  <c r="AL39" i="5"/>
  <c r="C65" i="14"/>
  <c r="BK39" i="1" l="1"/>
  <c r="U39" i="1"/>
  <c r="J40" i="1" s="1"/>
  <c r="D39" i="11"/>
  <c r="AQ40" i="1" l="1"/>
  <c r="AR40" i="8"/>
  <c r="AL40" i="5"/>
  <c r="C67" i="14"/>
  <c r="U40" i="1" l="1"/>
  <c r="J41" i="1" s="1"/>
  <c r="BK40" i="1"/>
  <c r="D40" i="11"/>
  <c r="C68" i="14"/>
  <c r="AQ41" i="1" l="1"/>
  <c r="AR41" i="8"/>
  <c r="AL41" i="5"/>
  <c r="C69" i="14"/>
  <c r="C15" i="14"/>
  <c r="BK41" i="1" l="1"/>
  <c r="U41" i="1"/>
  <c r="J42" i="1" s="1"/>
  <c r="D41" i="11"/>
  <c r="C70" i="14"/>
  <c r="C26" i="14"/>
  <c r="AQ42" i="1" l="1"/>
  <c r="AR42" i="8"/>
  <c r="AL42" i="5"/>
  <c r="C36" i="14"/>
  <c r="BK42" i="1" l="1"/>
  <c r="U42" i="1"/>
  <c r="J43" i="1" s="1"/>
  <c r="D42" i="11"/>
  <c r="C45" i="14"/>
  <c r="C72" i="14"/>
  <c r="AQ43" i="1" l="1"/>
  <c r="AR43" i="8"/>
  <c r="AL43" i="5"/>
  <c r="C73" i="14"/>
  <c r="C53" i="14"/>
  <c r="U43" i="1" l="1"/>
  <c r="J44" i="1" s="1"/>
  <c r="BK43" i="1"/>
  <c r="D43" i="11"/>
  <c r="C74" i="14"/>
  <c r="C60" i="14"/>
  <c r="AQ44" i="1" l="1"/>
  <c r="AR44" i="8"/>
  <c r="AL44" i="5"/>
  <c r="C66" i="14"/>
  <c r="U44" i="1" l="1"/>
  <c r="J45" i="1" s="1"/>
  <c r="BK44" i="1"/>
  <c r="D44" i="11"/>
  <c r="C76" i="14"/>
  <c r="C71" i="14"/>
  <c r="AQ45" i="1" l="1"/>
  <c r="AR45" i="8"/>
  <c r="AL45" i="5"/>
  <c r="C77" i="14"/>
  <c r="C75" i="14"/>
  <c r="U45" i="1" l="1"/>
  <c r="J46" i="1" s="1"/>
  <c r="BK45" i="1"/>
  <c r="D45" i="11"/>
  <c r="C78" i="14"/>
  <c r="AQ46" i="1" l="1"/>
  <c r="AR46" i="8"/>
  <c r="AL46" i="5"/>
  <c r="C79" i="14"/>
  <c r="BK46" i="1" l="1"/>
  <c r="U46" i="1"/>
  <c r="J47" i="1" s="1"/>
  <c r="D46" i="11"/>
  <c r="C80" i="14"/>
  <c r="AQ47" i="1" l="1"/>
  <c r="AR47" i="8"/>
  <c r="AL47" i="5"/>
  <c r="C81" i="14"/>
  <c r="U47" i="1" l="1"/>
  <c r="J48" i="1" s="1"/>
  <c r="BK47" i="1"/>
  <c r="D47" i="11"/>
  <c r="C82" i="14"/>
  <c r="AQ48" i="1" l="1"/>
  <c r="AR48" i="8"/>
  <c r="AL48" i="5"/>
  <c r="C83" i="14"/>
  <c r="U48" i="1" l="1"/>
  <c r="J49" i="1" s="1"/>
  <c r="BK48" i="1"/>
  <c r="D48" i="11"/>
  <c r="C84" i="14"/>
  <c r="AQ49" i="1" l="1"/>
  <c r="AR49" i="8"/>
  <c r="AL49" i="5"/>
  <c r="C85" i="14"/>
  <c r="U49" i="1" l="1"/>
  <c r="J50" i="1" s="1"/>
  <c r="BK49" i="1"/>
  <c r="D49" i="11"/>
  <c r="C86" i="14"/>
  <c r="AQ50" i="1" l="1"/>
  <c r="AR50" i="8"/>
  <c r="AL50" i="5"/>
  <c r="C87" i="14"/>
  <c r="BK50" i="1" l="1"/>
  <c r="U50" i="1"/>
  <c r="J51" i="1" s="1"/>
  <c r="D50" i="11"/>
  <c r="C88" i="14"/>
  <c r="AQ51" i="1" l="1"/>
  <c r="AR51" i="8"/>
  <c r="AL51" i="5"/>
  <c r="C89" i="14"/>
  <c r="BK51" i="1" l="1"/>
  <c r="U51" i="1"/>
  <c r="J52" i="1" s="1"/>
  <c r="D51" i="11"/>
  <c r="C90" i="14"/>
  <c r="AQ52" i="1" l="1"/>
  <c r="B65" i="4"/>
  <c r="AR52" i="8"/>
  <c r="AL52" i="5"/>
  <c r="C91" i="14"/>
  <c r="U52" i="1" l="1"/>
  <c r="J53" i="1" s="1"/>
  <c r="BK52" i="1"/>
  <c r="D52" i="11"/>
  <c r="C92" i="14"/>
  <c r="AQ53" i="1" l="1"/>
  <c r="AR53" i="8"/>
  <c r="AL53" i="5"/>
  <c r="C93" i="14"/>
  <c r="U53" i="1" l="1"/>
  <c r="J54" i="1" s="1"/>
  <c r="BK53" i="1"/>
  <c r="D53" i="11"/>
  <c r="C94" i="14"/>
  <c r="AQ54" i="1" l="1"/>
  <c r="AR54" i="8"/>
  <c r="AL54" i="5"/>
  <c r="C95" i="14"/>
  <c r="BK54" i="1" l="1"/>
  <c r="U54" i="1"/>
  <c r="J55" i="1" s="1"/>
  <c r="D54" i="11"/>
  <c r="C96" i="14"/>
  <c r="AQ55" i="1" l="1"/>
  <c r="AR55" i="8"/>
  <c r="AL55" i="5"/>
  <c r="C97" i="14"/>
  <c r="BK55" i="1" l="1"/>
  <c r="U55" i="1"/>
  <c r="J56" i="1" s="1"/>
  <c r="D55" i="11"/>
  <c r="C98" i="14"/>
  <c r="AQ56" i="1" l="1"/>
  <c r="AR56" i="8"/>
  <c r="AL56" i="5"/>
  <c r="C99" i="14"/>
  <c r="BK56" i="1" l="1"/>
  <c r="U56" i="1"/>
  <c r="J57" i="1" s="1"/>
  <c r="D56" i="11"/>
  <c r="C100" i="14"/>
  <c r="AQ57" i="1" l="1"/>
  <c r="AR57" i="8"/>
  <c r="AL57" i="5"/>
  <c r="C101" i="14"/>
  <c r="U57" i="1" l="1"/>
  <c r="J58" i="1" s="1"/>
  <c r="BK57" i="1"/>
  <c r="D57" i="11"/>
  <c r="C102" i="14"/>
  <c r="AQ58" i="1" l="1"/>
  <c r="AR58" i="8"/>
  <c r="AL58" i="5"/>
  <c r="C103" i="14"/>
  <c r="U58" i="1" l="1"/>
  <c r="J59" i="1" s="1"/>
  <c r="BK58" i="1"/>
  <c r="D58" i="11"/>
  <c r="C104" i="14"/>
  <c r="AQ59" i="1" l="1"/>
  <c r="AR59" i="8"/>
  <c r="AL59" i="5"/>
  <c r="C105" i="14"/>
  <c r="U59" i="1" l="1"/>
  <c r="J60" i="1" s="1"/>
  <c r="BK59" i="1"/>
  <c r="D59" i="11"/>
  <c r="C106" i="14"/>
  <c r="AQ60" i="1" l="1"/>
  <c r="AR60" i="8"/>
  <c r="AL60" i="5"/>
  <c r="C107" i="14"/>
  <c r="U60" i="1" l="1"/>
  <c r="J61" i="1" s="1"/>
  <c r="BK60" i="1"/>
  <c r="D60" i="11"/>
  <c r="C108" i="14"/>
  <c r="AQ61" i="1" l="1"/>
  <c r="AR61" i="8"/>
  <c r="AL61" i="5"/>
  <c r="C109" i="14"/>
  <c r="BK61" i="1" l="1"/>
  <c r="U61" i="1"/>
  <c r="J62" i="1" s="1"/>
  <c r="D61" i="11"/>
  <c r="C110" i="14"/>
  <c r="AQ62" i="1" l="1"/>
  <c r="AR62" i="8"/>
  <c r="AL62" i="5"/>
  <c r="C111" i="14"/>
  <c r="U62" i="1" l="1"/>
  <c r="J63" i="1" s="1"/>
  <c r="BK62" i="1"/>
  <c r="D62" i="11"/>
  <c r="C112" i="14"/>
  <c r="AQ63" i="1" l="1"/>
  <c r="AR63" i="8"/>
  <c r="AL63" i="5"/>
  <c r="C113" i="14"/>
  <c r="BK63" i="1" l="1"/>
  <c r="U63" i="1"/>
  <c r="J64" i="1" s="1"/>
  <c r="D63" i="11"/>
  <c r="C114" i="14"/>
  <c r="AQ64" i="1" l="1"/>
  <c r="AR64" i="8"/>
  <c r="AL64" i="5"/>
  <c r="C115" i="14"/>
  <c r="BK64" i="1" l="1"/>
  <c r="U64" i="1"/>
  <c r="J65" i="1" s="1"/>
  <c r="D64" i="11"/>
  <c r="C116" i="14"/>
  <c r="AQ65" i="1" l="1"/>
  <c r="AR65" i="8"/>
  <c r="AL65" i="5"/>
  <c r="C117" i="14"/>
  <c r="U65" i="1" l="1"/>
  <c r="J66" i="1" s="1"/>
  <c r="BK65" i="1"/>
  <c r="D65" i="11"/>
  <c r="C118" i="14"/>
  <c r="AQ66" i="1" l="1"/>
  <c r="AR66" i="8"/>
  <c r="AL66" i="5"/>
  <c r="C119" i="14"/>
  <c r="U66" i="1" l="1"/>
  <c r="J67" i="1" s="1"/>
  <c r="BK66" i="1"/>
  <c r="D66" i="11"/>
  <c r="C120" i="14"/>
  <c r="AQ67" i="1" l="1"/>
  <c r="AR67" i="8"/>
  <c r="AL67" i="5"/>
  <c r="C121" i="14"/>
  <c r="U67" i="1" l="1"/>
  <c r="J68" i="1" s="1"/>
  <c r="BK67" i="1"/>
  <c r="D67" i="11"/>
  <c r="C122" i="14"/>
  <c r="AQ68" i="1" l="1"/>
  <c r="AR68" i="8"/>
  <c r="AL68" i="5"/>
  <c r="C123" i="14"/>
  <c r="U68" i="1" l="1"/>
  <c r="J69" i="1" s="1"/>
  <c r="BK68" i="1"/>
  <c r="D68" i="11"/>
  <c r="C124" i="14"/>
  <c r="AQ69" i="1" l="1"/>
  <c r="AR69" i="8"/>
  <c r="AL69" i="5"/>
  <c r="C125" i="14"/>
  <c r="U69" i="1" l="1"/>
  <c r="J70" i="1" s="1"/>
  <c r="BK69" i="1"/>
  <c r="D69" i="11"/>
  <c r="C126" i="14"/>
  <c r="AQ70" i="1" l="1"/>
  <c r="AR70" i="8"/>
  <c r="AL70" i="5"/>
  <c r="C127" i="14"/>
  <c r="U70" i="1" l="1"/>
  <c r="J71" i="1" s="1"/>
  <c r="BK70" i="1"/>
  <c r="D70" i="11"/>
  <c r="C128" i="14"/>
  <c r="AQ71" i="1" l="1"/>
  <c r="AR71" i="8"/>
  <c r="AL71" i="5"/>
  <c r="C129" i="14"/>
  <c r="U71" i="1" l="1"/>
  <c r="J72" i="1" s="1"/>
  <c r="BK71" i="1"/>
  <c r="D71" i="11"/>
  <c r="C130" i="14"/>
  <c r="AQ72" i="1" l="1"/>
  <c r="AR72" i="8"/>
  <c r="AL72" i="5"/>
  <c r="C131" i="14"/>
  <c r="U72" i="1" l="1"/>
  <c r="J73" i="1" s="1"/>
  <c r="BK72" i="1"/>
  <c r="D72" i="11"/>
  <c r="C132" i="14"/>
  <c r="AQ73" i="1" l="1"/>
  <c r="AR73" i="8"/>
  <c r="AL73" i="5"/>
  <c r="C133" i="14"/>
  <c r="U73" i="1" l="1"/>
  <c r="J74" i="1" s="1"/>
  <c r="BK73" i="1"/>
  <c r="D73" i="11"/>
  <c r="C134" i="14"/>
  <c r="AQ74" i="1" l="1"/>
  <c r="AR74" i="8"/>
  <c r="AL74" i="5"/>
  <c r="C136" i="14"/>
  <c r="C135" i="14"/>
  <c r="U74" i="1" l="1"/>
  <c r="J75" i="1" s="1"/>
  <c r="BK74" i="1"/>
  <c r="D74" i="11"/>
  <c r="AQ75" i="1" l="1"/>
  <c r="AR75" i="8"/>
  <c r="AL75" i="5"/>
  <c r="BK75" i="1" l="1"/>
  <c r="U75" i="1"/>
  <c r="J76" i="1" s="1"/>
  <c r="D75" i="11"/>
  <c r="AQ76" i="1" l="1"/>
  <c r="U76" i="1" s="1"/>
  <c r="J77" i="1" s="1"/>
  <c r="AR76" i="8"/>
  <c r="AL76" i="5"/>
  <c r="BK76" i="1"/>
  <c r="D76" i="11"/>
  <c r="AQ77" i="1" l="1"/>
  <c r="U77" i="1" s="1"/>
  <c r="J78" i="1" s="1"/>
  <c r="AR77" i="8"/>
  <c r="AL77" i="5"/>
  <c r="BK77" i="1"/>
  <c r="D77" i="11"/>
  <c r="AQ78" i="1" l="1"/>
  <c r="U78" i="1" s="1"/>
  <c r="J79" i="1" s="1"/>
  <c r="AR78" i="8"/>
  <c r="AL78" i="5"/>
  <c r="BK78" i="1"/>
  <c r="D78" i="11"/>
  <c r="AQ79" i="1" l="1"/>
  <c r="U79" i="1" s="1"/>
  <c r="J80" i="1" s="1"/>
  <c r="AR79" i="8"/>
  <c r="AL79" i="5"/>
  <c r="BK79" i="1"/>
  <c r="D79" i="11"/>
  <c r="AQ80" i="1" l="1"/>
  <c r="U80" i="1" s="1"/>
  <c r="J81" i="1" s="1"/>
  <c r="AR80" i="8"/>
  <c r="AL80" i="5"/>
  <c r="BK80" i="1"/>
  <c r="D80" i="11"/>
  <c r="AQ81" i="1" l="1"/>
  <c r="U81" i="1" s="1"/>
  <c r="J82" i="1" s="1"/>
  <c r="AR81" i="8"/>
  <c r="AL81" i="5"/>
  <c r="BK81" i="1"/>
  <c r="D81" i="11"/>
  <c r="AQ82" i="1" l="1"/>
  <c r="U82" i="1" s="1"/>
  <c r="J83" i="1" s="1"/>
  <c r="AR82" i="8"/>
  <c r="AL82" i="5"/>
  <c r="BK82" i="1"/>
  <c r="D82" i="11"/>
  <c r="AQ83" i="1" l="1"/>
  <c r="U83" i="1" s="1"/>
  <c r="J84" i="1" s="1"/>
  <c r="AR83" i="8"/>
  <c r="AL83" i="5"/>
  <c r="BK83" i="1"/>
  <c r="D83" i="11"/>
  <c r="AQ84" i="1" l="1"/>
  <c r="U84" i="1" s="1"/>
  <c r="J85" i="1" s="1"/>
  <c r="AR84" i="8"/>
  <c r="AL84" i="5"/>
  <c r="BK84" i="1"/>
  <c r="D84" i="11"/>
  <c r="AQ85" i="1" l="1"/>
  <c r="U85" i="1" s="1"/>
  <c r="J86" i="1" s="1"/>
  <c r="AR85" i="8"/>
  <c r="AL85" i="5"/>
  <c r="BK85" i="1"/>
  <c r="D85" i="11"/>
  <c r="AQ86" i="1" l="1"/>
  <c r="U86" i="1" s="1"/>
  <c r="J87" i="1" s="1"/>
  <c r="AR86" i="8"/>
  <c r="AL86" i="5"/>
  <c r="BK86" i="1"/>
  <c r="D86" i="11"/>
  <c r="AQ87" i="1" l="1"/>
  <c r="U87" i="1" s="1"/>
  <c r="J88" i="1" s="1"/>
  <c r="AR87" i="8"/>
  <c r="AL87" i="5"/>
  <c r="BK87" i="1"/>
  <c r="D87" i="11"/>
  <c r="AQ88" i="1" l="1"/>
  <c r="U88" i="1" s="1"/>
  <c r="J89" i="1" s="1"/>
  <c r="AR88" i="8"/>
  <c r="AL88" i="5"/>
  <c r="BK88" i="1"/>
  <c r="D88" i="11"/>
  <c r="AQ89" i="1" l="1"/>
  <c r="U89" i="1" s="1"/>
  <c r="J90" i="1" s="1"/>
  <c r="AR89" i="8"/>
  <c r="AL89" i="5"/>
  <c r="BK89" i="1"/>
  <c r="D89" i="11"/>
  <c r="AQ90" i="1" l="1"/>
  <c r="U90" i="1" s="1"/>
  <c r="J91" i="1" s="1"/>
  <c r="AR90" i="8"/>
  <c r="AL90" i="5"/>
  <c r="BK90" i="1"/>
  <c r="D90" i="11"/>
  <c r="AQ91" i="1" l="1"/>
  <c r="U91" i="1" s="1"/>
  <c r="J92" i="1" s="1"/>
  <c r="AR91" i="8"/>
  <c r="AL91" i="5"/>
  <c r="BK91" i="1"/>
  <c r="D91" i="11"/>
  <c r="AQ92" i="1" l="1"/>
  <c r="U92" i="1" s="1"/>
  <c r="J93" i="1" s="1"/>
  <c r="AR92" i="8"/>
  <c r="AL92" i="5"/>
  <c r="BK92" i="1"/>
  <c r="D92" i="11"/>
  <c r="AQ93" i="1" l="1"/>
  <c r="U93" i="1" s="1"/>
  <c r="J94" i="1" s="1"/>
  <c r="AR93" i="8"/>
  <c r="AL93" i="5"/>
  <c r="BK93" i="1"/>
  <c r="D93" i="11"/>
  <c r="AQ94" i="1" l="1"/>
  <c r="U94" i="1" s="1"/>
  <c r="J95" i="1" s="1"/>
  <c r="AR94" i="8"/>
  <c r="AL94" i="5"/>
  <c r="BK94" i="1"/>
  <c r="D94" i="11"/>
  <c r="AQ95" i="1" l="1"/>
  <c r="U95" i="1" s="1"/>
  <c r="J96" i="1" s="1"/>
  <c r="AR95" i="8"/>
  <c r="AL95" i="5"/>
  <c r="BK95" i="1"/>
  <c r="D95" i="11"/>
  <c r="AQ96" i="1" l="1"/>
  <c r="U96" i="1" s="1"/>
  <c r="J97" i="1" s="1"/>
  <c r="AR96" i="8"/>
  <c r="AL96" i="5"/>
  <c r="BK96" i="1"/>
  <c r="D96" i="11"/>
  <c r="AQ97" i="1" l="1"/>
  <c r="U97" i="1" s="1"/>
  <c r="J98" i="1" s="1"/>
  <c r="AR97" i="8"/>
  <c r="AL97" i="5"/>
  <c r="BK97" i="1"/>
  <c r="D97" i="11"/>
  <c r="AQ98" i="1" l="1"/>
  <c r="U98" i="1" s="1"/>
  <c r="J99" i="1" s="1"/>
  <c r="AR98" i="8"/>
  <c r="AL98" i="5"/>
  <c r="BK98" i="1"/>
  <c r="D98" i="11"/>
  <c r="AQ99" i="1" l="1"/>
  <c r="U99" i="1" s="1"/>
  <c r="J100" i="1" s="1"/>
  <c r="AR99" i="8"/>
  <c r="AL99" i="5"/>
  <c r="BK99" i="1"/>
  <c r="D99" i="11"/>
  <c r="AQ100" i="1" l="1"/>
  <c r="U100" i="1" s="1"/>
  <c r="J101" i="1" s="1"/>
  <c r="AR100" i="8"/>
  <c r="AL100" i="5"/>
  <c r="BK100" i="1"/>
  <c r="D100" i="11"/>
  <c r="AQ101" i="1" l="1"/>
  <c r="U101" i="1" s="1"/>
  <c r="J102" i="1" s="1"/>
  <c r="AR101" i="8"/>
  <c r="AL101" i="5"/>
  <c r="BK101" i="1"/>
  <c r="D101" i="11"/>
  <c r="AQ102" i="1" l="1"/>
  <c r="U102" i="1" s="1"/>
  <c r="J103" i="1" s="1"/>
  <c r="AR102" i="8"/>
  <c r="AL102" i="5"/>
  <c r="BK102" i="1"/>
  <c r="D102" i="11"/>
  <c r="AQ103" i="1" l="1"/>
  <c r="U103" i="1" s="1"/>
  <c r="J104" i="1" s="1"/>
  <c r="AR103" i="8"/>
  <c r="AL103" i="5"/>
  <c r="BK103" i="1"/>
  <c r="D103" i="11"/>
  <c r="AQ104" i="1" l="1"/>
  <c r="U104" i="1" s="1"/>
  <c r="J105" i="1" s="1"/>
  <c r="AR104" i="8"/>
  <c r="AL104" i="5"/>
  <c r="BK104" i="1"/>
  <c r="D104" i="11"/>
  <c r="AQ105" i="1" l="1"/>
  <c r="U105" i="1" s="1"/>
  <c r="J106" i="1" s="1"/>
  <c r="AR105" i="8"/>
  <c r="AL105" i="5"/>
  <c r="BK105" i="1"/>
  <c r="D105" i="11"/>
  <c r="AQ106" i="1" l="1"/>
  <c r="U106" i="1" s="1"/>
  <c r="J107" i="1" s="1"/>
  <c r="AR106" i="8"/>
  <c r="AL106" i="5"/>
  <c r="BK106" i="1"/>
  <c r="D106" i="11"/>
  <c r="AQ107" i="1" l="1"/>
  <c r="U107" i="1" s="1"/>
  <c r="J108" i="1" s="1"/>
  <c r="AR107" i="8"/>
  <c r="AL107" i="5"/>
  <c r="BK107" i="1"/>
  <c r="D107" i="11"/>
  <c r="AQ108" i="1" l="1"/>
  <c r="U108" i="1" s="1"/>
  <c r="J109" i="1" s="1"/>
  <c r="AR108" i="8"/>
  <c r="AL108" i="5"/>
  <c r="BK108" i="1"/>
  <c r="D108" i="11"/>
  <c r="AQ109" i="1" l="1"/>
  <c r="U109" i="1" s="1"/>
  <c r="J110" i="1" s="1"/>
  <c r="AR109" i="8"/>
  <c r="AL109" i="5"/>
  <c r="BK109" i="1"/>
  <c r="D109" i="11"/>
  <c r="AQ110" i="1" l="1"/>
  <c r="U110" i="1" s="1"/>
  <c r="J111" i="1" s="1"/>
  <c r="AR110" i="8"/>
  <c r="AL110" i="5"/>
  <c r="BK110" i="1"/>
  <c r="D110" i="11"/>
  <c r="AQ111" i="1" l="1"/>
  <c r="U111" i="1" s="1"/>
  <c r="J112" i="1" s="1"/>
  <c r="AR111" i="8"/>
  <c r="AL111" i="5"/>
  <c r="BK111" i="1"/>
  <c r="D111" i="11"/>
  <c r="AQ112" i="1" l="1"/>
  <c r="U112" i="1" s="1"/>
  <c r="J113" i="1" s="1"/>
  <c r="AR112" i="8"/>
  <c r="AL112" i="5"/>
  <c r="BK112" i="1"/>
  <c r="D112" i="11"/>
  <c r="AQ113" i="1" l="1"/>
  <c r="U113" i="1" s="1"/>
  <c r="J114" i="1" s="1"/>
  <c r="AR113" i="8"/>
  <c r="AL113" i="5"/>
  <c r="BK113" i="1"/>
  <c r="D113" i="11"/>
  <c r="AQ114" i="1" l="1"/>
  <c r="U114" i="1" s="1"/>
  <c r="J115" i="1" s="1"/>
  <c r="AR114" i="8"/>
  <c r="AL114" i="5"/>
  <c r="BK114" i="1"/>
  <c r="D114" i="11"/>
  <c r="AQ115" i="1" l="1"/>
  <c r="U115" i="1" s="1"/>
  <c r="J116" i="1" s="1"/>
  <c r="AR115" i="8"/>
  <c r="AL115" i="5"/>
  <c r="BK115" i="1"/>
  <c r="D115" i="11"/>
  <c r="AQ116" i="1" l="1"/>
  <c r="U116" i="1" s="1"/>
  <c r="J117" i="1" s="1"/>
  <c r="AR116" i="8"/>
  <c r="AL116" i="5"/>
  <c r="BK116" i="1"/>
  <c r="D116" i="11"/>
  <c r="AQ117" i="1" l="1"/>
  <c r="U117" i="1" s="1"/>
  <c r="J118" i="1" s="1"/>
  <c r="AR117" i="8"/>
  <c r="AL117" i="5"/>
  <c r="BK117" i="1"/>
  <c r="D117" i="11"/>
  <c r="AQ118" i="1" l="1"/>
  <c r="U118" i="1" s="1"/>
  <c r="J119" i="1" s="1"/>
  <c r="AR118" i="8"/>
  <c r="AL118" i="5"/>
  <c r="BK118" i="1"/>
  <c r="D118" i="11"/>
  <c r="AQ119" i="1" l="1"/>
  <c r="U119" i="1" s="1"/>
  <c r="J120" i="1" s="1"/>
  <c r="AR119" i="8"/>
  <c r="AL119" i="5"/>
  <c r="BK119" i="1"/>
  <c r="D119" i="11"/>
  <c r="AQ120" i="1" l="1"/>
  <c r="U120" i="1" s="1"/>
  <c r="J121" i="1" s="1"/>
  <c r="AR120" i="8"/>
  <c r="AL120" i="5"/>
  <c r="BK120" i="1"/>
  <c r="D120" i="11"/>
  <c r="AQ121" i="1" l="1"/>
  <c r="U121" i="1" s="1"/>
  <c r="J122" i="1" s="1"/>
  <c r="AR121" i="8"/>
  <c r="AL121" i="5"/>
  <c r="BK121" i="1"/>
  <c r="D121" i="11"/>
  <c r="AQ122" i="1" l="1"/>
  <c r="U122" i="1" s="1"/>
  <c r="J123" i="1" s="1"/>
  <c r="AR122" i="8"/>
  <c r="AL122" i="5"/>
  <c r="BK122" i="1"/>
  <c r="D122" i="11"/>
  <c r="AQ123" i="1" l="1"/>
  <c r="U123" i="1" s="1"/>
  <c r="J124" i="1" s="1"/>
  <c r="AR123" i="8"/>
  <c r="AL123" i="5"/>
  <c r="BK123" i="1"/>
  <c r="D123" i="11"/>
  <c r="AQ124" i="1" l="1"/>
  <c r="U124" i="1" s="1"/>
  <c r="J125" i="1" s="1"/>
  <c r="AR124" i="8"/>
  <c r="AL124" i="5"/>
  <c r="BK124" i="1"/>
  <c r="D124" i="11"/>
  <c r="AQ125" i="1" l="1"/>
  <c r="U125" i="1" s="1"/>
  <c r="J126" i="1" s="1"/>
  <c r="AR125" i="8"/>
  <c r="AL125" i="5"/>
  <c r="BK125" i="1"/>
  <c r="D125" i="11"/>
  <c r="AQ126" i="1" l="1"/>
  <c r="U126" i="1" s="1"/>
  <c r="J127" i="1" s="1"/>
  <c r="AR126" i="8"/>
  <c r="AL126" i="5"/>
  <c r="BK126" i="1"/>
  <c r="D126" i="11"/>
  <c r="AQ127" i="1" l="1"/>
  <c r="U127" i="1" s="1"/>
  <c r="J128" i="1" s="1"/>
  <c r="AR127" i="8"/>
  <c r="AL127" i="5"/>
  <c r="BK127" i="1"/>
  <c r="D127" i="11"/>
  <c r="AQ128" i="1" l="1"/>
  <c r="U128" i="1" s="1"/>
  <c r="J129" i="1" s="1"/>
  <c r="AR128" i="8"/>
  <c r="AL128" i="5"/>
  <c r="BK128" i="1"/>
  <c r="D128" i="11"/>
  <c r="AQ129" i="1" l="1"/>
  <c r="U129" i="1" s="1"/>
  <c r="J130" i="1" s="1"/>
  <c r="AR129" i="8"/>
  <c r="AL129" i="5"/>
  <c r="BK129" i="1"/>
  <c r="D129" i="11"/>
  <c r="AQ130" i="1" l="1"/>
  <c r="U130" i="1" s="1"/>
  <c r="J131" i="1" s="1"/>
  <c r="AR130" i="8"/>
  <c r="AL130" i="5"/>
  <c r="BK130" i="1"/>
  <c r="D130" i="11"/>
  <c r="AQ131" i="1" l="1"/>
  <c r="U131" i="1" s="1"/>
  <c r="J132" i="1" s="1"/>
  <c r="AR131" i="8"/>
  <c r="AL131" i="5"/>
  <c r="BK131" i="1"/>
  <c r="D131" i="11"/>
  <c r="AQ132" i="1" l="1"/>
  <c r="U132" i="1" s="1"/>
  <c r="J133" i="1" s="1"/>
  <c r="AR132" i="8"/>
  <c r="AL132" i="5"/>
  <c r="BK132" i="1"/>
  <c r="D132" i="11"/>
  <c r="AQ133" i="1" l="1"/>
  <c r="U133" i="1" s="1"/>
  <c r="J134" i="1" s="1"/>
  <c r="AR133" i="8"/>
  <c r="AL133" i="5"/>
  <c r="BK133" i="1"/>
  <c r="D133" i="11"/>
  <c r="AQ134" i="1" l="1"/>
  <c r="U134" i="1" s="1"/>
  <c r="J135" i="1" s="1"/>
  <c r="AR134" i="8"/>
  <c r="AL134" i="5"/>
  <c r="BK134" i="1"/>
  <c r="D134" i="11"/>
  <c r="AQ135" i="1" l="1"/>
  <c r="U135" i="1" s="1"/>
  <c r="J136" i="1" s="1"/>
  <c r="AR135" i="8"/>
  <c r="AL135" i="5"/>
  <c r="BK135" i="1"/>
  <c r="D135" i="11"/>
  <c r="AQ136" i="1" l="1"/>
  <c r="U136" i="1" s="1"/>
  <c r="AR136" i="8"/>
  <c r="AL136" i="5"/>
  <c r="BK136" i="1"/>
  <c r="D136" i="11"/>
  <c r="D5" i="2" l="1"/>
  <c r="U5" i="2" s="1"/>
  <c r="W4" i="2" l="1"/>
  <c r="C5" i="2" l="1"/>
  <c r="S5" i="8" s="1"/>
  <c r="H5" i="2" l="1"/>
  <c r="F5" i="2"/>
  <c r="G5" i="2" s="1"/>
  <c r="Z5" i="2" s="1"/>
  <c r="AA6" i="8" s="1"/>
  <c r="F5" i="1"/>
  <c r="I5" i="2"/>
  <c r="AA5" i="1" s="1"/>
  <c r="S5" i="1" s="1"/>
  <c r="H6" i="1" s="1"/>
  <c r="T5" i="8"/>
  <c r="W5" i="8" s="1"/>
  <c r="V5" i="8"/>
  <c r="AK6" i="5" l="1"/>
  <c r="J5" i="11"/>
  <c r="P5" i="7" s="1"/>
  <c r="AP5" i="1"/>
  <c r="T5" i="1" s="1"/>
  <c r="I6" i="1" s="1"/>
  <c r="AO6" i="1" s="1"/>
  <c r="B6" i="8"/>
  <c r="O5" i="7"/>
  <c r="I5" i="11"/>
  <c r="AC6" i="7"/>
  <c r="C6" i="11"/>
  <c r="V6" i="10"/>
  <c r="AQ6" i="8"/>
  <c r="BI6" i="1"/>
  <c r="C5" i="8"/>
  <c r="F5" i="9" l="1"/>
  <c r="BJ6" i="1"/>
  <c r="H6" i="11"/>
  <c r="AW6" i="8"/>
  <c r="E6" i="2"/>
  <c r="L6" i="2" s="1"/>
  <c r="AB6" i="7"/>
  <c r="AJ6" i="7" s="1"/>
  <c r="D6" i="2"/>
  <c r="U6" i="2" s="1"/>
  <c r="Y5" i="2"/>
  <c r="X5" i="2" s="1"/>
  <c r="W5" i="2" l="1"/>
  <c r="C6" i="2" l="1"/>
  <c r="S6" i="8" l="1"/>
  <c r="V6" i="8" s="1"/>
  <c r="I6" i="2"/>
  <c r="AA6" i="1" s="1"/>
  <c r="S6" i="1" s="1"/>
  <c r="H7" i="1" s="1"/>
  <c r="H6" i="2"/>
  <c r="F6" i="2"/>
  <c r="F6" i="1"/>
  <c r="AK7" i="5" l="1"/>
  <c r="T6" i="8"/>
  <c r="W6" i="8" s="1"/>
  <c r="AP6" i="1"/>
  <c r="T6" i="1" s="1"/>
  <c r="I7" i="1" s="1"/>
  <c r="G6" i="2"/>
  <c r="Z6" i="2" s="1"/>
  <c r="AA7" i="8" s="1"/>
  <c r="J6" i="11"/>
  <c r="P6" i="7" s="1"/>
  <c r="O6" i="7"/>
  <c r="I6" i="11"/>
  <c r="AQ7" i="8"/>
  <c r="V7" i="10"/>
  <c r="C7" i="11"/>
  <c r="BI7" i="1"/>
  <c r="AC7" i="7"/>
  <c r="F6" i="9" l="1"/>
  <c r="C6" i="8"/>
  <c r="AO7" i="1"/>
  <c r="BJ7" i="1"/>
  <c r="AB7" i="7" l="1"/>
  <c r="AJ7" i="7" s="1"/>
  <c r="AW7" i="8"/>
  <c r="B7" i="8"/>
  <c r="D7" i="2" s="1"/>
  <c r="E7" i="2"/>
  <c r="L7" i="2" s="1"/>
  <c r="H7" i="11"/>
  <c r="Y6" i="2"/>
  <c r="X6" i="2" s="1"/>
  <c r="U7" i="2" l="1"/>
  <c r="W6" i="2" s="1"/>
  <c r="C7" i="2" s="1"/>
  <c r="I7" i="2" l="1"/>
  <c r="AA7" i="1" s="1"/>
  <c r="S7" i="1" s="1"/>
  <c r="H8" i="1" s="1"/>
  <c r="S7" i="8"/>
  <c r="V7" i="8" s="1"/>
  <c r="F7" i="1"/>
  <c r="H7" i="2"/>
  <c r="F7" i="2"/>
  <c r="AP7" i="1" s="1"/>
  <c r="AK8" i="5" l="1"/>
  <c r="I7" i="11"/>
  <c r="V8" i="10"/>
  <c r="O7" i="7"/>
  <c r="C8" i="11"/>
  <c r="BI8" i="1"/>
  <c r="AQ8" i="8"/>
  <c r="AC8" i="7"/>
  <c r="T7" i="8"/>
  <c r="W7" i="8" s="1"/>
  <c r="T7" i="1"/>
  <c r="I8" i="1" s="1"/>
  <c r="AO8" i="1" s="1"/>
  <c r="J7" i="11"/>
  <c r="G7" i="2"/>
  <c r="Z7" i="2" s="1"/>
  <c r="AA8" i="8" s="1"/>
  <c r="C7" i="8" l="1"/>
  <c r="F7" i="9"/>
  <c r="P7" i="7"/>
  <c r="BJ8" i="1"/>
  <c r="Y7" i="2" l="1"/>
  <c r="X7" i="2" s="1"/>
  <c r="B8" i="8" l="1"/>
  <c r="D8" i="2" s="1"/>
  <c r="AB8" i="7"/>
  <c r="AJ8" i="7" s="1"/>
  <c r="AW8" i="8"/>
  <c r="H8" i="11"/>
  <c r="E8" i="2"/>
  <c r="L8" i="2" s="1"/>
  <c r="U8" i="2" l="1"/>
  <c r="W7" i="2" s="1"/>
  <c r="C8" i="2" l="1"/>
  <c r="I8" i="2" l="1"/>
  <c r="AA8" i="1" s="1"/>
  <c r="S8" i="1" s="1"/>
  <c r="H9" i="1" s="1"/>
  <c r="S8" i="8"/>
  <c r="T8" i="8" s="1"/>
  <c r="W8" i="8" s="1"/>
  <c r="F8" i="2"/>
  <c r="H8" i="2"/>
  <c r="F8" i="1"/>
  <c r="I8" i="11" l="1"/>
  <c r="O8" i="7"/>
  <c r="J8" i="11"/>
  <c r="AP8" i="1"/>
  <c r="T8" i="1" s="1"/>
  <c r="I9" i="1" s="1"/>
  <c r="AO9" i="1" s="1"/>
  <c r="G8" i="2"/>
  <c r="Z8" i="2" s="1"/>
  <c r="V8" i="8"/>
  <c r="C9" i="11"/>
  <c r="BI9" i="1"/>
  <c r="V9" i="10"/>
  <c r="AC9" i="7"/>
  <c r="AK9" i="5"/>
  <c r="AQ9" i="8"/>
  <c r="P8" i="7"/>
  <c r="F8" i="9"/>
  <c r="AO9" i="8" l="1"/>
  <c r="E21" i="8" s="1"/>
  <c r="C8" i="8"/>
  <c r="BJ9" i="1"/>
  <c r="Y8" i="2"/>
  <c r="X8" i="2" s="1"/>
  <c r="AA9" i="8" l="1"/>
  <c r="H9" i="11" s="1"/>
  <c r="CG21" i="8"/>
  <c r="P21" i="8" s="1"/>
  <c r="M21" i="2"/>
  <c r="DF21" i="8"/>
  <c r="G21" i="1" s="1"/>
  <c r="N21" i="8" s="1"/>
  <c r="R21" i="8" l="1"/>
  <c r="AB9" i="7"/>
  <c r="AJ9" i="7" s="1"/>
  <c r="AW9" i="8"/>
  <c r="B9" i="8"/>
  <c r="D9" i="2" s="1"/>
  <c r="E9" i="2"/>
  <c r="L9" i="2" s="1"/>
  <c r="U9" i="2" l="1"/>
  <c r="W8" i="2" s="1"/>
  <c r="C9" i="2" s="1"/>
  <c r="F9" i="2" l="1"/>
  <c r="AP9" i="1" s="1"/>
  <c r="T9" i="1" s="1"/>
  <c r="I10" i="1" s="1"/>
  <c r="AO10" i="1" s="1"/>
  <c r="S9" i="8"/>
  <c r="T9" i="8" s="1"/>
  <c r="W9" i="8" s="1"/>
  <c r="F9" i="1"/>
  <c r="I9" i="2"/>
  <c r="I9" i="11" s="1"/>
  <c r="H9" i="2"/>
  <c r="G9" i="2" l="1"/>
  <c r="Z9" i="2" s="1"/>
  <c r="J9" i="11"/>
  <c r="P9" i="7" s="1"/>
  <c r="O9" i="7"/>
  <c r="AA9" i="1"/>
  <c r="S9" i="1" s="1"/>
  <c r="H10" i="1" s="1"/>
  <c r="V9" i="8"/>
  <c r="BJ10" i="1"/>
  <c r="AQ10" i="8" l="1"/>
  <c r="AO10" i="8"/>
  <c r="E22" i="8" s="1"/>
  <c r="F9" i="9"/>
  <c r="C9" i="8"/>
  <c r="AK10" i="5"/>
  <c r="V10" i="10"/>
  <c r="C10" i="11"/>
  <c r="BI10" i="1"/>
  <c r="AC10" i="7"/>
  <c r="Y9" i="2"/>
  <c r="X9" i="2" s="1"/>
  <c r="AA10" i="8" l="1"/>
  <c r="E10" i="2" s="1"/>
  <c r="L10" i="2" s="1"/>
  <c r="M22" i="2"/>
  <c r="CG22" i="8"/>
  <c r="P22" i="8" s="1"/>
  <c r="DF22" i="8"/>
  <c r="G22" i="1" s="1"/>
  <c r="N22" i="8" s="1"/>
  <c r="R22" i="8" l="1"/>
  <c r="H10" i="11"/>
  <c r="AB10" i="7"/>
  <c r="AJ10" i="7" s="1"/>
  <c r="B10" i="8"/>
  <c r="D10" i="2" s="1"/>
  <c r="U10" i="2" s="1"/>
  <c r="W9" i="2" s="1"/>
  <c r="C10" i="2" s="1"/>
  <c r="AW10" i="8"/>
  <c r="I10" i="2" l="1"/>
  <c r="AA10" i="1" s="1"/>
  <c r="S10" i="1" s="1"/>
  <c r="H11" i="1" s="1"/>
  <c r="S10" i="8"/>
  <c r="V10" i="8" s="1"/>
  <c r="F10" i="1"/>
  <c r="F10" i="2"/>
  <c r="AP10" i="1" s="1"/>
  <c r="H10" i="2"/>
  <c r="BI11" i="1" l="1"/>
  <c r="O10" i="7"/>
  <c r="I10" i="11"/>
  <c r="AC11" i="7"/>
  <c r="V11" i="10"/>
  <c r="AK11" i="5"/>
  <c r="C11" i="11"/>
  <c r="AQ11" i="8"/>
  <c r="T10" i="8"/>
  <c r="W10" i="8" s="1"/>
  <c r="G10" i="2"/>
  <c r="T10" i="1"/>
  <c r="I11" i="1" s="1"/>
  <c r="AO11" i="1" s="1"/>
  <c r="J10" i="11"/>
  <c r="AO11" i="8" l="1"/>
  <c r="E23" i="8" s="1"/>
  <c r="Z10" i="2"/>
  <c r="BJ11" i="1"/>
  <c r="P10" i="7"/>
  <c r="F10" i="9"/>
  <c r="C10" i="8"/>
  <c r="AA11" i="8" l="1"/>
  <c r="M23" i="2"/>
  <c r="DF23" i="8"/>
  <c r="G23" i="1" s="1"/>
  <c r="N23" i="8" s="1"/>
  <c r="CG23" i="8"/>
  <c r="P23" i="8" s="1"/>
  <c r="Y10" i="2"/>
  <c r="X10" i="2" s="1"/>
  <c r="R23" i="8" l="1"/>
  <c r="H11" i="11"/>
  <c r="AB11" i="7"/>
  <c r="AJ11" i="7" s="1"/>
  <c r="AW11" i="8"/>
  <c r="E11" i="2"/>
  <c r="L11" i="2" s="1"/>
  <c r="B11" i="8"/>
  <c r="D11" i="2" s="1"/>
  <c r="U11" i="2" l="1"/>
  <c r="W10" i="2" s="1"/>
  <c r="C11" i="2" s="1"/>
  <c r="S11" i="8" s="1"/>
  <c r="T11" i="8" l="1"/>
  <c r="W11" i="8" s="1"/>
  <c r="F11" i="2"/>
  <c r="F11" i="1"/>
  <c r="I11" i="2"/>
  <c r="AA11" i="1" s="1"/>
  <c r="S11" i="1" s="1"/>
  <c r="H12" i="1" s="1"/>
  <c r="H11" i="2"/>
  <c r="AC12" i="7" l="1"/>
  <c r="AP11" i="1"/>
  <c r="T11" i="1" s="1"/>
  <c r="I12" i="1" s="1"/>
  <c r="G11" i="2"/>
  <c r="J11" i="11"/>
  <c r="F11" i="9" s="1"/>
  <c r="I11" i="11"/>
  <c r="O11" i="7"/>
  <c r="V11" i="8"/>
  <c r="AK12" i="5"/>
  <c r="C12" i="11"/>
  <c r="BI12" i="1"/>
  <c r="AQ12" i="8"/>
  <c r="V12" i="10"/>
  <c r="AO12" i="8" l="1"/>
  <c r="E24" i="8" s="1"/>
  <c r="Z11" i="2"/>
  <c r="AA12" i="8" s="1"/>
  <c r="AO12" i="1"/>
  <c r="BJ12" i="1"/>
  <c r="C11" i="8"/>
  <c r="P11" i="7"/>
  <c r="Y11" i="2" l="1"/>
  <c r="X11" i="2" s="1"/>
  <c r="DF24" i="8"/>
  <c r="G24" i="1" s="1"/>
  <c r="N24" i="8" s="1"/>
  <c r="CG24" i="8"/>
  <c r="M24" i="2"/>
  <c r="H12" i="11" l="1"/>
  <c r="P24" i="8"/>
  <c r="R24" i="8" s="1"/>
  <c r="AW12" i="8"/>
  <c r="E12" i="2"/>
  <c r="L12" i="2" s="1"/>
  <c r="B12" i="8"/>
  <c r="D12" i="2" s="1"/>
  <c r="U12" i="2" s="1"/>
  <c r="W11" i="2" s="1"/>
  <c r="C12" i="2" s="1"/>
  <c r="AB12" i="7"/>
  <c r="AJ12" i="7" s="1"/>
  <c r="S12" i="8" l="1"/>
  <c r="V12" i="8" s="1"/>
  <c r="H12" i="2"/>
  <c r="F12" i="2"/>
  <c r="AP12" i="1" s="1"/>
  <c r="T12" i="1" s="1"/>
  <c r="I13" i="1" s="1"/>
  <c r="AO13" i="1" s="1"/>
  <c r="F12" i="1"/>
  <c r="I12" i="2"/>
  <c r="I12" i="11" s="1"/>
  <c r="T12" i="8" l="1"/>
  <c r="W12" i="8" s="1"/>
  <c r="G12" i="2"/>
  <c r="Z12" i="2" s="1"/>
  <c r="J12" i="11"/>
  <c r="F12" i="9" s="1"/>
  <c r="AA12" i="1"/>
  <c r="S12" i="1" s="1"/>
  <c r="H13" i="1" s="1"/>
  <c r="O12" i="7"/>
  <c r="BJ13" i="1"/>
  <c r="AK13" i="5" l="1"/>
  <c r="AO13" i="8"/>
  <c r="E25" i="8" s="1"/>
  <c r="C12" i="8"/>
  <c r="P12" i="7"/>
  <c r="AQ13" i="8"/>
  <c r="V13" i="10"/>
  <c r="BI13" i="1"/>
  <c r="C13" i="11"/>
  <c r="AC13" i="7"/>
  <c r="Y12" i="2"/>
  <c r="X12" i="2" s="1"/>
  <c r="AA13" i="8" l="1"/>
  <c r="H13" i="11" s="1"/>
  <c r="CG25" i="8"/>
  <c r="P25" i="8" s="1"/>
  <c r="M25" i="2"/>
  <c r="DF25" i="8"/>
  <c r="G25" i="1" s="1"/>
  <c r="N25" i="8" s="1"/>
  <c r="R25" i="8" l="1"/>
  <c r="B13" i="8"/>
  <c r="D13" i="2" s="1"/>
  <c r="AB13" i="7"/>
  <c r="AJ13" i="7" s="1"/>
  <c r="E13" i="2"/>
  <c r="L13" i="2" s="1"/>
  <c r="AW13" i="8"/>
  <c r="U13" i="2" l="1"/>
  <c r="W12" i="2" s="1"/>
  <c r="C13" i="2" s="1"/>
  <c r="S13" i="8" s="1"/>
  <c r="T13" i="8" s="1"/>
  <c r="W13" i="8" s="1"/>
  <c r="F13" i="1" l="1"/>
  <c r="F13" i="2"/>
  <c r="AP13" i="1" s="1"/>
  <c r="T13" i="1" s="1"/>
  <c r="I14" i="1" s="1"/>
  <c r="AO14" i="1" s="1"/>
  <c r="H13" i="2"/>
  <c r="I13" i="2"/>
  <c r="AA13" i="1" s="1"/>
  <c r="S13" i="1" s="1"/>
  <c r="H14" i="1" s="1"/>
  <c r="V13" i="8"/>
  <c r="G13" i="2" l="1"/>
  <c r="AQ14" i="8"/>
  <c r="J13" i="11"/>
  <c r="P13" i="7" s="1"/>
  <c r="O13" i="7"/>
  <c r="I13" i="11"/>
  <c r="BI14" i="1"/>
  <c r="V14" i="10"/>
  <c r="AK14" i="5"/>
  <c r="AC14" i="7"/>
  <c r="C14" i="11"/>
  <c r="BJ14" i="1"/>
  <c r="AO14" i="8" l="1"/>
  <c r="E26" i="8" s="1"/>
  <c r="Z13" i="2"/>
  <c r="C13" i="8"/>
  <c r="F13" i="9"/>
  <c r="AA14" i="8" l="1"/>
  <c r="H14" i="11" s="1"/>
  <c r="DF26" i="8"/>
  <c r="G26" i="1" s="1"/>
  <c r="N26" i="8" s="1"/>
  <c r="Y13" i="2"/>
  <c r="X13" i="2" s="1"/>
  <c r="M26" i="2"/>
  <c r="CG26" i="8"/>
  <c r="B14" i="8" l="1"/>
  <c r="D14" i="2" s="1"/>
  <c r="P26" i="8"/>
  <c r="R26" i="8" s="1"/>
  <c r="E14" i="2"/>
  <c r="L14" i="2" s="1"/>
  <c r="AW14" i="8"/>
  <c r="AB14" i="7"/>
  <c r="AJ14" i="7" s="1"/>
  <c r="U14" i="2" l="1"/>
  <c r="W13" i="2" s="1"/>
  <c r="C14" i="2" s="1"/>
  <c r="S14" i="8" s="1"/>
  <c r="F14" i="1" l="1"/>
  <c r="H14" i="2"/>
  <c r="F14" i="2"/>
  <c r="AP14" i="1" s="1"/>
  <c r="I14" i="2"/>
  <c r="AA14" i="1" l="1"/>
  <c r="S14" i="1" s="1"/>
  <c r="H15" i="1" s="1"/>
  <c r="I14" i="11"/>
  <c r="O14" i="7"/>
  <c r="T14" i="8"/>
  <c r="W14" i="8" s="1"/>
  <c r="V14" i="8"/>
  <c r="T14" i="1"/>
  <c r="I15" i="1" s="1"/>
  <c r="AO15" i="1" s="1"/>
  <c r="J14" i="11"/>
  <c r="G14" i="2"/>
  <c r="AO15" i="8" l="1"/>
  <c r="E27" i="8" s="1"/>
  <c r="Z14" i="2"/>
  <c r="BJ15" i="1"/>
  <c r="P14" i="7"/>
  <c r="F14" i="9"/>
  <c r="C14" i="8"/>
  <c r="AK15" i="5"/>
  <c r="AQ15" i="8"/>
  <c r="C15" i="11"/>
  <c r="BI15" i="1"/>
  <c r="V15" i="10"/>
  <c r="AC15" i="7"/>
  <c r="AA15" i="8" l="1"/>
  <c r="M27" i="2"/>
  <c r="DF27" i="8"/>
  <c r="G27" i="1" s="1"/>
  <c r="N27" i="8" s="1"/>
  <c r="CG27" i="8"/>
  <c r="P27" i="8" s="1"/>
  <c r="Y14" i="2"/>
  <c r="X14" i="2" s="1"/>
  <c r="R27" i="8" l="1"/>
  <c r="AB15" i="7"/>
  <c r="AJ15" i="7" s="1"/>
  <c r="H15" i="11"/>
  <c r="B15" i="8"/>
  <c r="D15" i="2" s="1"/>
  <c r="AW15" i="8"/>
  <c r="E15" i="2"/>
  <c r="L15" i="2" s="1"/>
  <c r="U15" i="2" l="1"/>
  <c r="W14" i="2" s="1"/>
  <c r="C15" i="2" s="1"/>
  <c r="I15" i="2" l="1"/>
  <c r="AA15" i="1" s="1"/>
  <c r="S15" i="1" s="1"/>
  <c r="H16" i="1" s="1"/>
  <c r="S15" i="8"/>
  <c r="V15" i="8" s="1"/>
  <c r="H15" i="2"/>
  <c r="F15" i="2"/>
  <c r="F15" i="1"/>
  <c r="I15" i="11" l="1"/>
  <c r="O15" i="7"/>
  <c r="G15" i="2"/>
  <c r="Z15" i="2" s="1"/>
  <c r="AP15" i="1"/>
  <c r="T15" i="1" s="1"/>
  <c r="I16" i="1" s="1"/>
  <c r="AO16" i="1" s="1"/>
  <c r="T15" i="8"/>
  <c r="W15" i="8" s="1"/>
  <c r="J15" i="11"/>
  <c r="F15" i="9" s="1"/>
  <c r="V16" i="10"/>
  <c r="C16" i="11"/>
  <c r="AC16" i="7"/>
  <c r="AK16" i="5"/>
  <c r="AQ16" i="8"/>
  <c r="BI16" i="1"/>
  <c r="C15" i="8" l="1"/>
  <c r="P15" i="7"/>
  <c r="AO16" i="8"/>
  <c r="E28" i="8" s="1"/>
  <c r="BJ16" i="1"/>
  <c r="Y15" i="2"/>
  <c r="X15" i="2" s="1"/>
  <c r="AA16" i="8" l="1"/>
  <c r="M28" i="2"/>
  <c r="CG28" i="8"/>
  <c r="P28" i="8" s="1"/>
  <c r="DF28" i="8"/>
  <c r="G28" i="1" s="1"/>
  <c r="N28" i="8" s="1"/>
  <c r="B16" i="8"/>
  <c r="D16" i="2" s="1"/>
  <c r="R28" i="8" l="1"/>
  <c r="E16" i="2"/>
  <c r="L16" i="2" s="1"/>
  <c r="AW16" i="8"/>
  <c r="H16" i="11"/>
  <c r="AB16" i="7"/>
  <c r="AJ16" i="7" s="1"/>
  <c r="U16" i="2" l="1"/>
  <c r="W15" i="2" s="1"/>
  <c r="C16" i="2" s="1"/>
  <c r="S16" i="8" s="1"/>
  <c r="F16" i="2" l="1"/>
  <c r="AP16" i="1" s="1"/>
  <c r="H16" i="2"/>
  <c r="F16" i="1"/>
  <c r="I16" i="2"/>
  <c r="AA16" i="1" l="1"/>
  <c r="S16" i="1" s="1"/>
  <c r="H17" i="1" s="1"/>
  <c r="I16" i="11"/>
  <c r="O16" i="7"/>
  <c r="T16" i="8"/>
  <c r="W16" i="8" s="1"/>
  <c r="V16" i="8"/>
  <c r="J16" i="11"/>
  <c r="T16" i="1"/>
  <c r="I17" i="1" s="1"/>
  <c r="AO17" i="1" s="1"/>
  <c r="G16" i="2"/>
  <c r="AO17" i="8" l="1"/>
  <c r="E29" i="8" s="1"/>
  <c r="Z16" i="2"/>
  <c r="C16" i="8"/>
  <c r="BJ17" i="1"/>
  <c r="P16" i="7"/>
  <c r="F16" i="9"/>
  <c r="BI17" i="1"/>
  <c r="V17" i="10"/>
  <c r="AC17" i="7"/>
  <c r="AQ17" i="8"/>
  <c r="AK17" i="5"/>
  <c r="C17" i="11"/>
  <c r="AA17" i="8" l="1"/>
  <c r="E30" i="8"/>
  <c r="E31" i="8" s="1"/>
  <c r="DF29" i="8"/>
  <c r="G29" i="1" s="1"/>
  <c r="N29" i="8" s="1"/>
  <c r="CG29" i="8"/>
  <c r="M29" i="2"/>
  <c r="B17" i="8"/>
  <c r="Y16" i="2"/>
  <c r="X16" i="2" s="1"/>
  <c r="CG30" i="8" l="1"/>
  <c r="DF30" i="8"/>
  <c r="G30" i="1" s="1"/>
  <c r="N30" i="8" s="1"/>
  <c r="M30" i="2"/>
  <c r="P29" i="8"/>
  <c r="R29" i="8" s="1"/>
  <c r="P30" i="8"/>
  <c r="R30" i="8" s="1"/>
  <c r="E32" i="8"/>
  <c r="M31" i="2"/>
  <c r="CG31" i="8"/>
  <c r="DF31" i="8"/>
  <c r="G31" i="1" s="1"/>
  <c r="N31" i="8" s="1"/>
  <c r="D17" i="2"/>
  <c r="H17" i="11"/>
  <c r="AW17" i="8"/>
  <c r="E17" i="2"/>
  <c r="L17" i="2" s="1"/>
  <c r="AB17" i="7"/>
  <c r="AJ17" i="7" s="1"/>
  <c r="P31" i="8" l="1"/>
  <c r="R31" i="8" s="1"/>
  <c r="E33" i="8"/>
  <c r="CG32" i="8"/>
  <c r="M32" i="2"/>
  <c r="DF32" i="8"/>
  <c r="G32" i="1" s="1"/>
  <c r="N32" i="8" s="1"/>
  <c r="U17" i="2"/>
  <c r="W16" i="2" s="1"/>
  <c r="P32" i="8" l="1"/>
  <c r="R32" i="8" s="1"/>
  <c r="E34" i="8"/>
  <c r="M33" i="2"/>
  <c r="CG33" i="8"/>
  <c r="DF33" i="8"/>
  <c r="G33" i="1" s="1"/>
  <c r="N33" i="8" s="1"/>
  <c r="C17" i="2"/>
  <c r="S17" i="8" s="1"/>
  <c r="P33" i="8" l="1"/>
  <c r="R33" i="8" s="1"/>
  <c r="E35" i="8"/>
  <c r="M34" i="2"/>
  <c r="CG34" i="8"/>
  <c r="DF34" i="8"/>
  <c r="G34" i="1" s="1"/>
  <c r="N34" i="8" s="1"/>
  <c r="F17" i="1"/>
  <c r="I17" i="2"/>
  <c r="F17" i="2"/>
  <c r="AP17" i="1" s="1"/>
  <c r="H17" i="2"/>
  <c r="P34" i="8" l="1"/>
  <c r="R34" i="8" s="1"/>
  <c r="E36" i="8"/>
  <c r="CG35" i="8"/>
  <c r="M35" i="2"/>
  <c r="DF35" i="8"/>
  <c r="G35" i="1" s="1"/>
  <c r="N35" i="8" s="1"/>
  <c r="J17" i="11"/>
  <c r="T17" i="1"/>
  <c r="I18" i="1" s="1"/>
  <c r="AO18" i="1" s="1"/>
  <c r="G17" i="2"/>
  <c r="Z17" i="2" s="1"/>
  <c r="AA18" i="8" s="1"/>
  <c r="T17" i="8"/>
  <c r="W17" i="8" s="1"/>
  <c r="V17" i="8"/>
  <c r="AA17" i="1"/>
  <c r="S17" i="1" s="1"/>
  <c r="H18" i="1" s="1"/>
  <c r="I17" i="11"/>
  <c r="O17" i="7"/>
  <c r="P35" i="8" l="1"/>
  <c r="R35" i="8" s="1"/>
  <c r="E37" i="8"/>
  <c r="M36" i="2"/>
  <c r="CG36" i="8"/>
  <c r="DF36" i="8"/>
  <c r="G36" i="1" s="1"/>
  <c r="N36" i="8" s="1"/>
  <c r="V18" i="10"/>
  <c r="AC18" i="7"/>
  <c r="BI18" i="1"/>
  <c r="AK18" i="5"/>
  <c r="C18" i="11"/>
  <c r="AQ18" i="8"/>
  <c r="C17" i="8"/>
  <c r="BJ18" i="1"/>
  <c r="F17" i="9"/>
  <c r="P17" i="7"/>
  <c r="P36" i="8" l="1"/>
  <c r="R36" i="8" s="1"/>
  <c r="E38" i="8"/>
  <c r="CG37" i="8"/>
  <c r="P37" i="8" s="1"/>
  <c r="M37" i="2"/>
  <c r="DF37" i="8"/>
  <c r="G37" i="1" s="1"/>
  <c r="N37" i="8" s="1"/>
  <c r="B18" i="8"/>
  <c r="Y17" i="2"/>
  <c r="X17" i="2" s="1"/>
  <c r="R37" i="8" l="1"/>
  <c r="E39" i="8"/>
  <c r="CG38" i="8"/>
  <c r="M38" i="2"/>
  <c r="DF38" i="8"/>
  <c r="G38" i="1" s="1"/>
  <c r="N38" i="8" s="1"/>
  <c r="D18" i="2"/>
  <c r="E18" i="2"/>
  <c r="L18" i="2" s="1"/>
  <c r="AW18" i="8"/>
  <c r="H18" i="11"/>
  <c r="AB18" i="7"/>
  <c r="AJ18" i="7" s="1"/>
  <c r="P38" i="8" l="1"/>
  <c r="R38" i="8" s="1"/>
  <c r="E40" i="8"/>
  <c r="M39" i="2"/>
  <c r="CG39" i="8"/>
  <c r="P39" i="8" s="1"/>
  <c r="DF39" i="8"/>
  <c r="G39" i="1" s="1"/>
  <c r="N39" i="8" s="1"/>
  <c r="U18" i="2"/>
  <c r="W17" i="2" s="1"/>
  <c r="R39" i="8" l="1"/>
  <c r="E41" i="8"/>
  <c r="CG40" i="8"/>
  <c r="M40" i="2"/>
  <c r="DF40" i="8"/>
  <c r="G40" i="1" s="1"/>
  <c r="N40" i="8" s="1"/>
  <c r="C18" i="2"/>
  <c r="S18" i="8" s="1"/>
  <c r="P40" i="8" l="1"/>
  <c r="R40" i="8" s="1"/>
  <c r="E42" i="8"/>
  <c r="M41" i="2"/>
  <c r="CG41" i="8"/>
  <c r="P41" i="8" s="1"/>
  <c r="DF41" i="8"/>
  <c r="G41" i="1" s="1"/>
  <c r="N41" i="8" s="1"/>
  <c r="F18" i="2"/>
  <c r="AP18" i="1" s="1"/>
  <c r="I18" i="2"/>
  <c r="AA18" i="1" s="1"/>
  <c r="S18" i="1" s="1"/>
  <c r="H19" i="1" s="1"/>
  <c r="H18" i="2"/>
  <c r="F18" i="1"/>
  <c r="R41" i="8" l="1"/>
  <c r="E43" i="8"/>
  <c r="CG42" i="8"/>
  <c r="M42" i="2"/>
  <c r="DF42" i="8"/>
  <c r="G42" i="1" s="1"/>
  <c r="N42" i="8" s="1"/>
  <c r="V18" i="8"/>
  <c r="T18" i="8"/>
  <c r="W18" i="8" s="1"/>
  <c r="V19" i="10"/>
  <c r="AC19" i="7"/>
  <c r="C19" i="11"/>
  <c r="AK19" i="5"/>
  <c r="AQ19" i="8"/>
  <c r="BI19" i="1"/>
  <c r="O18" i="7"/>
  <c r="I18" i="11"/>
  <c r="J18" i="11"/>
  <c r="T18" i="1"/>
  <c r="I19" i="1" s="1"/>
  <c r="AO19" i="1" s="1"/>
  <c r="G18" i="2"/>
  <c r="Z18" i="2" s="1"/>
  <c r="AA19" i="8" s="1"/>
  <c r="P42" i="8" l="1"/>
  <c r="R42" i="8" s="1"/>
  <c r="E44" i="8"/>
  <c r="M43" i="2"/>
  <c r="CG43" i="8"/>
  <c r="DF43" i="8"/>
  <c r="G43" i="1" s="1"/>
  <c r="N43" i="8" s="1"/>
  <c r="BJ19" i="1"/>
  <c r="C18" i="8"/>
  <c r="P18" i="7"/>
  <c r="F18" i="9"/>
  <c r="P43" i="8" l="1"/>
  <c r="R43" i="8" s="1"/>
  <c r="E45" i="8"/>
  <c r="CG44" i="8"/>
  <c r="M44" i="2"/>
  <c r="DF44" i="8"/>
  <c r="G44" i="1" s="1"/>
  <c r="N44" i="8" s="1"/>
  <c r="B19" i="8"/>
  <c r="Y18" i="2"/>
  <c r="X18" i="2" s="1"/>
  <c r="P44" i="8" l="1"/>
  <c r="R44" i="8" s="1"/>
  <c r="E46" i="8"/>
  <c r="CG45" i="8"/>
  <c r="M45" i="2"/>
  <c r="DF45" i="8"/>
  <c r="G45" i="1" s="1"/>
  <c r="N45" i="8" s="1"/>
  <c r="D19" i="2"/>
  <c r="H19" i="11"/>
  <c r="AB19" i="7"/>
  <c r="AJ19" i="7" s="1"/>
  <c r="E19" i="2"/>
  <c r="L19" i="2" s="1"/>
  <c r="AW19" i="8"/>
  <c r="P45" i="8" l="1"/>
  <c r="R45" i="8" s="1"/>
  <c r="CM46" i="8"/>
  <c r="E47" i="8"/>
  <c r="M46" i="2"/>
  <c r="CG46" i="8"/>
  <c r="DF46" i="8"/>
  <c r="G46" i="1" s="1"/>
  <c r="N46" i="8" s="1"/>
  <c r="U19" i="2"/>
  <c r="W18" i="2" s="1"/>
  <c r="CM47" i="8" l="1"/>
  <c r="P46" i="8"/>
  <c r="R46" i="8" s="1"/>
  <c r="E48" i="8"/>
  <c r="CG47" i="8"/>
  <c r="M47" i="2"/>
  <c r="DF47" i="8"/>
  <c r="G47" i="1" s="1"/>
  <c r="N47" i="8" s="1"/>
  <c r="C19" i="2"/>
  <c r="S19" i="8" s="1"/>
  <c r="CM48" i="8" l="1"/>
  <c r="P47" i="8"/>
  <c r="R47" i="8" s="1"/>
  <c r="E49" i="8"/>
  <c r="CG48" i="8"/>
  <c r="M48" i="2"/>
  <c r="DF48" i="8"/>
  <c r="G48" i="1" s="1"/>
  <c r="N48" i="8" s="1"/>
  <c r="H19" i="2"/>
  <c r="I19" i="2"/>
  <c r="F19" i="2"/>
  <c r="AP19" i="1" s="1"/>
  <c r="F19" i="1"/>
  <c r="CM49" i="8" l="1"/>
  <c r="P48" i="8"/>
  <c r="R48" i="8" s="1"/>
  <c r="E50" i="8"/>
  <c r="CG49" i="8"/>
  <c r="M49" i="2"/>
  <c r="DF49" i="8"/>
  <c r="G49" i="1" s="1"/>
  <c r="N49" i="8" s="1"/>
  <c r="I19" i="11"/>
  <c r="O19" i="7"/>
  <c r="T19" i="8"/>
  <c r="W19" i="8" s="1"/>
  <c r="V19" i="8"/>
  <c r="AA19" i="1"/>
  <c r="S19" i="1" s="1"/>
  <c r="H20" i="1" s="1"/>
  <c r="T19" i="1"/>
  <c r="I20" i="1" s="1"/>
  <c r="AO20" i="1" s="1"/>
  <c r="J19" i="11"/>
  <c r="G19" i="2"/>
  <c r="Z19" i="2" s="1"/>
  <c r="AA20" i="8" s="1"/>
  <c r="CM50" i="8" l="1"/>
  <c r="P49" i="8"/>
  <c r="R49" i="8" s="1"/>
  <c r="E51" i="8"/>
  <c r="M50" i="2"/>
  <c r="CG50" i="8"/>
  <c r="DF50" i="8"/>
  <c r="G50" i="1" s="1"/>
  <c r="N50" i="8" s="1"/>
  <c r="C19" i="8"/>
  <c r="F19" i="9"/>
  <c r="P19" i="7"/>
  <c r="AQ20" i="8"/>
  <c r="C20" i="11"/>
  <c r="AC20" i="7"/>
  <c r="AK20" i="5"/>
  <c r="BI20" i="1"/>
  <c r="V20" i="10"/>
  <c r="BJ20" i="1"/>
  <c r="CM51" i="8" l="1"/>
  <c r="P50" i="8"/>
  <c r="R50" i="8" s="1"/>
  <c r="E52" i="8"/>
  <c r="M51" i="2"/>
  <c r="CG51" i="8"/>
  <c r="P51" i="8" s="1"/>
  <c r="DF51" i="8"/>
  <c r="G51" i="1" s="1"/>
  <c r="N51" i="8" s="1"/>
  <c r="B20" i="8"/>
  <c r="Y19" i="2"/>
  <c r="X19" i="2" s="1"/>
  <c r="CM52" i="8" l="1"/>
  <c r="R51" i="8"/>
  <c r="B39" i="4"/>
  <c r="C98" i="4" s="1"/>
  <c r="E53" i="8"/>
  <c r="CG52" i="8"/>
  <c r="M52" i="2"/>
  <c r="DF52" i="8"/>
  <c r="G52" i="1" s="1"/>
  <c r="D20" i="2"/>
  <c r="H20" i="11"/>
  <c r="E20" i="2"/>
  <c r="L20" i="2" s="1"/>
  <c r="AW20" i="8"/>
  <c r="AB20" i="7"/>
  <c r="AJ20" i="7" s="1"/>
  <c r="P52" i="8" l="1"/>
  <c r="R52" i="8" s="1"/>
  <c r="CM53" i="8"/>
  <c r="N52" i="8"/>
  <c r="B59" i="4"/>
  <c r="E54" i="8"/>
  <c r="M53" i="2"/>
  <c r="CG53" i="8"/>
  <c r="DF53" i="8"/>
  <c r="G53" i="1" s="1"/>
  <c r="N53" i="8" s="1"/>
  <c r="U20" i="2"/>
  <c r="W19" i="2" s="1"/>
  <c r="P53" i="8" l="1"/>
  <c r="R53" i="8" s="1"/>
  <c r="CM54" i="8"/>
  <c r="E55" i="8"/>
  <c r="M54" i="2"/>
  <c r="CG54" i="8"/>
  <c r="DF54" i="8"/>
  <c r="G54" i="1" s="1"/>
  <c r="N54" i="8" s="1"/>
  <c r="C20" i="2"/>
  <c r="S20" i="8" s="1"/>
  <c r="CM55" i="8" l="1"/>
  <c r="P54" i="8"/>
  <c r="R54" i="8" s="1"/>
  <c r="E56" i="8"/>
  <c r="CG55" i="8"/>
  <c r="M55" i="2"/>
  <c r="DF55" i="8"/>
  <c r="G55" i="1" s="1"/>
  <c r="N55" i="8" s="1"/>
  <c r="F20" i="2"/>
  <c r="AP20" i="1" s="1"/>
  <c r="H20" i="2"/>
  <c r="F20" i="1"/>
  <c r="I20" i="2"/>
  <c r="AA20" i="1" s="1"/>
  <c r="S20" i="1" s="1"/>
  <c r="H21" i="1" s="1"/>
  <c r="P55" i="8" l="1"/>
  <c r="R55" i="8" s="1"/>
  <c r="CM56" i="8"/>
  <c r="E57" i="8"/>
  <c r="M56" i="2"/>
  <c r="CG56" i="8"/>
  <c r="DF56" i="8"/>
  <c r="G56" i="1" s="1"/>
  <c r="N56" i="8" s="1"/>
  <c r="AC21" i="7"/>
  <c r="C21" i="11"/>
  <c r="AQ21" i="8"/>
  <c r="BI21" i="1"/>
  <c r="AK21" i="5"/>
  <c r="V21" i="10"/>
  <c r="T20" i="8"/>
  <c r="W20" i="8" s="1"/>
  <c r="V20" i="8"/>
  <c r="J20" i="11"/>
  <c r="T20" i="1"/>
  <c r="I21" i="1" s="1"/>
  <c r="AO21" i="1" s="1"/>
  <c r="G20" i="2"/>
  <c r="Z20" i="2" s="1"/>
  <c r="AA21" i="8" s="1"/>
  <c r="I20" i="11"/>
  <c r="O20" i="7"/>
  <c r="P56" i="8" l="1"/>
  <c r="R56" i="8" s="1"/>
  <c r="CM57" i="8"/>
  <c r="E58" i="8"/>
  <c r="CM58" i="8" s="1"/>
  <c r="M57" i="2"/>
  <c r="CG57" i="8"/>
  <c r="DF57" i="8"/>
  <c r="G57" i="1" s="1"/>
  <c r="N57" i="8" s="1"/>
  <c r="F20" i="9"/>
  <c r="P20" i="7"/>
  <c r="BJ21" i="1"/>
  <c r="C20" i="8"/>
  <c r="P57" i="8" l="1"/>
  <c r="R57" i="8" s="1"/>
  <c r="E59" i="8"/>
  <c r="CM59" i="8" s="1"/>
  <c r="CG58" i="8"/>
  <c r="M58" i="2"/>
  <c r="DF58" i="8"/>
  <c r="G58" i="1" s="1"/>
  <c r="N58" i="8" s="1"/>
  <c r="B21" i="8"/>
  <c r="Y20" i="2"/>
  <c r="X20" i="2" s="1"/>
  <c r="P58" i="8" l="1"/>
  <c r="R58" i="8" s="1"/>
  <c r="E60" i="8"/>
  <c r="CM60" i="8" s="1"/>
  <c r="CG59" i="8"/>
  <c r="P59" i="8" s="1"/>
  <c r="M59" i="2"/>
  <c r="DF59" i="8"/>
  <c r="G59" i="1" s="1"/>
  <c r="N59" i="8" s="1"/>
  <c r="D21" i="2"/>
  <c r="AB21" i="7"/>
  <c r="AJ21" i="7" s="1"/>
  <c r="E21" i="2"/>
  <c r="L21" i="2" s="1"/>
  <c r="H21" i="11"/>
  <c r="AW21" i="8"/>
  <c r="R59" i="8" l="1"/>
  <c r="E61" i="8"/>
  <c r="CM61" i="8" s="1"/>
  <c r="M60" i="2"/>
  <c r="CG60" i="8"/>
  <c r="DF60" i="8"/>
  <c r="G60" i="1" s="1"/>
  <c r="N60" i="8" s="1"/>
  <c r="U21" i="2"/>
  <c r="W20" i="2" s="1"/>
  <c r="P60" i="8" l="1"/>
  <c r="R60" i="8" s="1"/>
  <c r="E62" i="8"/>
  <c r="CM62" i="8" s="1"/>
  <c r="M61" i="2"/>
  <c r="CG61" i="8"/>
  <c r="DF61" i="8"/>
  <c r="G61" i="1" s="1"/>
  <c r="N61" i="8" s="1"/>
  <c r="C21" i="2"/>
  <c r="S21" i="8" s="1"/>
  <c r="P61" i="8" l="1"/>
  <c r="R61" i="8" s="1"/>
  <c r="E63" i="8"/>
  <c r="CM63" i="8" s="1"/>
  <c r="M62" i="2"/>
  <c r="CG62" i="8"/>
  <c r="DF62" i="8"/>
  <c r="G62" i="1" s="1"/>
  <c r="N62" i="8" s="1"/>
  <c r="F21" i="2"/>
  <c r="AP21" i="1" s="1"/>
  <c r="F21" i="1"/>
  <c r="H21" i="2"/>
  <c r="I21" i="2"/>
  <c r="P62" i="8" l="1"/>
  <c r="R62" i="8" s="1"/>
  <c r="M63" i="2"/>
  <c r="CG63" i="8"/>
  <c r="DF63" i="8"/>
  <c r="G63" i="1" s="1"/>
  <c r="N63" i="8" s="1"/>
  <c r="AA21" i="1"/>
  <c r="S21" i="1" s="1"/>
  <c r="H22" i="1" s="1"/>
  <c r="O21" i="7"/>
  <c r="I21" i="11"/>
  <c r="J21" i="11"/>
  <c r="T21" i="1"/>
  <c r="I22" i="1" s="1"/>
  <c r="AO22" i="1" s="1"/>
  <c r="G21" i="2"/>
  <c r="Z21" i="2" s="1"/>
  <c r="AA22" i="8" s="1"/>
  <c r="T21" i="8"/>
  <c r="W21" i="8" s="1"/>
  <c r="V21" i="8"/>
  <c r="P63" i="8" l="1"/>
  <c r="R63" i="8" s="1"/>
  <c r="C21" i="8"/>
  <c r="F21" i="9"/>
  <c r="P21" i="7"/>
  <c r="BJ22" i="1"/>
  <c r="V22" i="10"/>
  <c r="BI22" i="1"/>
  <c r="AC22" i="7"/>
  <c r="AQ22" i="8"/>
  <c r="C22" i="11"/>
  <c r="AK22" i="5"/>
  <c r="B22" i="8" l="1"/>
  <c r="Y21" i="2"/>
  <c r="X21" i="2" s="1"/>
  <c r="D22" i="2" l="1"/>
  <c r="E22" i="2"/>
  <c r="L22" i="2" s="1"/>
  <c r="H22" i="11"/>
  <c r="AB22" i="7"/>
  <c r="AJ22" i="7" s="1"/>
  <c r="AW22" i="8"/>
  <c r="U22" i="2" l="1"/>
  <c r="W21" i="2" s="1"/>
  <c r="C22" i="2" l="1"/>
  <c r="S22" i="8" s="1"/>
  <c r="H22" i="2" l="1"/>
  <c r="F22" i="1"/>
  <c r="I22" i="2"/>
  <c r="I22" i="11" s="1"/>
  <c r="V22" i="8"/>
  <c r="F22" i="2"/>
  <c r="G22" i="2" l="1"/>
  <c r="AP22" i="1"/>
  <c r="T22" i="1" s="1"/>
  <c r="I23" i="1" s="1"/>
  <c r="AO23" i="1" s="1"/>
  <c r="AA22" i="1"/>
  <c r="S22" i="1" s="1"/>
  <c r="H23" i="1" s="1"/>
  <c r="O22" i="7"/>
  <c r="T22" i="8"/>
  <c r="W22" i="8" s="1"/>
  <c r="J22" i="11"/>
  <c r="P22" i="7" s="1"/>
  <c r="Z22" i="2" l="1"/>
  <c r="AA23" i="8" s="1"/>
  <c r="C23" i="11"/>
  <c r="C22" i="8"/>
  <c r="F22" i="9"/>
  <c r="AC23" i="7"/>
  <c r="V23" i="10"/>
  <c r="AK23" i="5"/>
  <c r="BI23" i="1"/>
  <c r="AQ23" i="8"/>
  <c r="BJ23" i="1"/>
  <c r="AB23" i="7" l="1"/>
  <c r="AJ23" i="7" s="1"/>
  <c r="Y22" i="2"/>
  <c r="X22" i="2" s="1"/>
  <c r="H23" i="11" l="1"/>
  <c r="E23" i="2"/>
  <c r="L23" i="2" s="1"/>
  <c r="AW23" i="8"/>
  <c r="B23" i="8"/>
  <c r="D23" i="2" s="1"/>
  <c r="U23" i="2" s="1"/>
  <c r="W22" i="2" s="1"/>
  <c r="C23" i="2" l="1"/>
  <c r="S23" i="8" s="1"/>
  <c r="I23" i="2" l="1"/>
  <c r="AA23" i="1" s="1"/>
  <c r="S23" i="1" s="1"/>
  <c r="H24" i="1" s="1"/>
  <c r="H23" i="2"/>
  <c r="F23" i="1"/>
  <c r="F23" i="2"/>
  <c r="AP23" i="1" s="1"/>
  <c r="T23" i="1" l="1"/>
  <c r="I24" i="1" s="1"/>
  <c r="AO24" i="1" s="1"/>
  <c r="J23" i="11"/>
  <c r="G23" i="2"/>
  <c r="Z23" i="2" s="1"/>
  <c r="AA24" i="8" s="1"/>
  <c r="AQ24" i="8"/>
  <c r="AK24" i="5"/>
  <c r="AC24" i="7"/>
  <c r="V24" i="10"/>
  <c r="BI24" i="1"/>
  <c r="C24" i="11"/>
  <c r="O23" i="7"/>
  <c r="I23" i="11"/>
  <c r="V23" i="8"/>
  <c r="T23" i="8"/>
  <c r="W23" i="8" s="1"/>
  <c r="C23" i="8" l="1"/>
  <c r="F23" i="9"/>
  <c r="P23" i="7"/>
  <c r="BJ24" i="1"/>
  <c r="B24" i="8" l="1"/>
  <c r="Y23" i="2"/>
  <c r="X23" i="2" s="1"/>
  <c r="D24" i="2" l="1"/>
  <c r="H24" i="11"/>
  <c r="E24" i="2"/>
  <c r="L24" i="2" s="1"/>
  <c r="AW24" i="8"/>
  <c r="AB24" i="7"/>
  <c r="AJ24" i="7" s="1"/>
  <c r="U24" i="2" l="1"/>
  <c r="W23" i="2" s="1"/>
  <c r="C24" i="2" l="1"/>
  <c r="S24" i="8" s="1"/>
  <c r="H24" i="2" l="1"/>
  <c r="F24" i="1"/>
  <c r="F24" i="2"/>
  <c r="AP24" i="1" s="1"/>
  <c r="I24" i="2"/>
  <c r="AA24" i="1" s="1"/>
  <c r="S24" i="1" s="1"/>
  <c r="H25" i="1" s="1"/>
  <c r="AQ25" i="8" l="1"/>
  <c r="V25" i="10"/>
  <c r="AK25" i="5"/>
  <c r="BI25" i="1"/>
  <c r="AC25" i="7"/>
  <c r="C25" i="11"/>
  <c r="I24" i="11"/>
  <c r="O24" i="7"/>
  <c r="T24" i="1"/>
  <c r="I25" i="1" s="1"/>
  <c r="AO25" i="1" s="1"/>
  <c r="J24" i="11"/>
  <c r="G24" i="2"/>
  <c r="Z24" i="2" s="1"/>
  <c r="AA25" i="8" s="1"/>
  <c r="T24" i="8"/>
  <c r="W24" i="8" s="1"/>
  <c r="V24" i="8"/>
  <c r="BJ25" i="1" l="1"/>
  <c r="C24" i="8"/>
  <c r="P24" i="7"/>
  <c r="F24" i="9"/>
  <c r="Y24" i="2" l="1"/>
  <c r="X24" i="2" s="1"/>
  <c r="B25" i="8"/>
  <c r="D25" i="2" l="1"/>
  <c r="E25" i="2"/>
  <c r="L25" i="2" s="1"/>
  <c r="H25" i="11"/>
  <c r="AW25" i="8"/>
  <c r="AB25" i="7"/>
  <c r="AJ25" i="7" s="1"/>
  <c r="U25" i="2" l="1"/>
  <c r="W24" i="2" s="1"/>
  <c r="C25" i="2" l="1"/>
  <c r="S25" i="8" s="1"/>
  <c r="I25" i="2" l="1"/>
  <c r="AA25" i="1" s="1"/>
  <c r="S25" i="1" s="1"/>
  <c r="H26" i="1" s="1"/>
  <c r="H25" i="2"/>
  <c r="F25" i="2"/>
  <c r="AP25" i="1" s="1"/>
  <c r="F25" i="1"/>
  <c r="AQ26" i="8" l="1"/>
  <c r="V26" i="10"/>
  <c r="BI26" i="1"/>
  <c r="C26" i="11"/>
  <c r="AK26" i="5"/>
  <c r="AC26" i="7"/>
  <c r="V25" i="8"/>
  <c r="T25" i="8"/>
  <c r="W25" i="8" s="1"/>
  <c r="T25" i="1"/>
  <c r="I26" i="1" s="1"/>
  <c r="AO26" i="1" s="1"/>
  <c r="J25" i="11"/>
  <c r="G25" i="2"/>
  <c r="Z25" i="2" s="1"/>
  <c r="AA26" i="8" s="1"/>
  <c r="I25" i="11"/>
  <c r="O25" i="7"/>
  <c r="C25" i="8" l="1"/>
  <c r="P25" i="7"/>
  <c r="F25" i="9"/>
  <c r="BJ26" i="1"/>
  <c r="B26" i="8" l="1"/>
  <c r="Y25" i="2"/>
  <c r="X25" i="2" s="1"/>
  <c r="D26" i="2" l="1"/>
  <c r="AW26" i="8"/>
  <c r="AB26" i="7"/>
  <c r="AJ26" i="7" s="1"/>
  <c r="E26" i="2"/>
  <c r="L26" i="2" s="1"/>
  <c r="H26" i="11"/>
  <c r="U26" i="2" l="1"/>
  <c r="W25" i="2" s="1"/>
  <c r="C26" i="2" l="1"/>
  <c r="S26" i="8" s="1"/>
  <c r="F26" i="2" l="1"/>
  <c r="AP26" i="1" s="1"/>
  <c r="H26" i="2"/>
  <c r="F26" i="1"/>
  <c r="I26" i="2"/>
  <c r="AA26" i="1" s="1"/>
  <c r="S26" i="1" s="1"/>
  <c r="T26" i="1" l="1"/>
  <c r="I27" i="1" s="1"/>
  <c r="AO27" i="1" s="1"/>
  <c r="J26" i="11"/>
  <c r="G26" i="2"/>
  <c r="Z26" i="2" s="1"/>
  <c r="AA27" i="8" s="1"/>
  <c r="T26" i="8"/>
  <c r="W26" i="8" s="1"/>
  <c r="V26" i="8"/>
  <c r="I26" i="11"/>
  <c r="O26" i="7"/>
  <c r="P26" i="7" l="1"/>
  <c r="F26" i="9"/>
  <c r="BJ27" i="1"/>
  <c r="C26" i="8"/>
  <c r="B27" i="8" l="1"/>
  <c r="Y26" i="2"/>
  <c r="X26" i="2" s="1"/>
  <c r="D27" i="2" l="1"/>
  <c r="AB27" i="7"/>
  <c r="H27" i="11"/>
  <c r="AW27" i="8"/>
  <c r="E27" i="2"/>
  <c r="L27" i="2" s="1"/>
  <c r="U27" i="2" l="1"/>
  <c r="W26" i="2" s="1"/>
  <c r="C27" i="2" l="1"/>
  <c r="S27" i="8" s="1"/>
  <c r="H27" i="2" l="1"/>
  <c r="F27" i="2"/>
  <c r="AP27" i="1" s="1"/>
  <c r="F27" i="1"/>
  <c r="I27" i="2"/>
  <c r="AA27" i="1" s="1"/>
  <c r="S27" i="1" s="1"/>
  <c r="H27" i="1"/>
  <c r="H28" i="1" l="1"/>
  <c r="AC27" i="7"/>
  <c r="AJ27" i="7" s="1"/>
  <c r="C27" i="11"/>
  <c r="V27" i="10"/>
  <c r="AQ27" i="8"/>
  <c r="BI27" i="1"/>
  <c r="AK27" i="5"/>
  <c r="V27" i="8"/>
  <c r="T27" i="8"/>
  <c r="W27" i="8" s="1"/>
  <c r="I27" i="11"/>
  <c r="O27" i="7"/>
  <c r="T27" i="1"/>
  <c r="I28" i="1" s="1"/>
  <c r="AO28" i="1" s="1"/>
  <c r="J27" i="11"/>
  <c r="G27" i="2"/>
  <c r="Z27" i="2" s="1"/>
  <c r="AA28" i="8" s="1"/>
  <c r="C28" i="11" l="1"/>
  <c r="AC28" i="7"/>
  <c r="BI28" i="1"/>
  <c r="V28" i="10"/>
  <c r="AK28" i="5"/>
  <c r="AQ28" i="8"/>
  <c r="C27" i="8"/>
  <c r="P27" i="7"/>
  <c r="F27" i="9"/>
  <c r="BJ28" i="1"/>
  <c r="Y27" i="2" l="1"/>
  <c r="X27" i="2" s="1"/>
  <c r="B28" i="8"/>
  <c r="D28" i="2" l="1"/>
  <c r="E28" i="2"/>
  <c r="L28" i="2" s="1"/>
  <c r="H28" i="11"/>
  <c r="AB28" i="7"/>
  <c r="AJ28" i="7" s="1"/>
  <c r="AW28" i="8"/>
  <c r="U28" i="2" l="1"/>
  <c r="W27" i="2" s="1"/>
  <c r="C28" i="2" l="1"/>
  <c r="S28" i="8" s="1"/>
  <c r="F28" i="2" l="1"/>
  <c r="AP28" i="1" s="1"/>
  <c r="H28" i="2"/>
  <c r="F28" i="1"/>
  <c r="I28" i="2"/>
  <c r="AA28" i="1" l="1"/>
  <c r="S28" i="1" s="1"/>
  <c r="H29" i="1" s="1"/>
  <c r="I28" i="11"/>
  <c r="O28" i="7"/>
  <c r="V28" i="8"/>
  <c r="T28" i="8"/>
  <c r="W28" i="8" s="1"/>
  <c r="T28" i="1"/>
  <c r="I29" i="1" s="1"/>
  <c r="AO29" i="1" s="1"/>
  <c r="J28" i="11"/>
  <c r="G28" i="2"/>
  <c r="Z28" i="2" s="1"/>
  <c r="AA29" i="8" s="1"/>
  <c r="P28" i="7" l="1"/>
  <c r="F28" i="9"/>
  <c r="BJ29" i="1"/>
  <c r="C28" i="8"/>
  <c r="BI29" i="1"/>
  <c r="C29" i="11"/>
  <c r="V29" i="10"/>
  <c r="AQ29" i="8"/>
  <c r="AK29" i="5"/>
  <c r="AC29" i="7"/>
  <c r="B29" i="8" l="1"/>
  <c r="Y28" i="2"/>
  <c r="X28" i="2" s="1"/>
  <c r="D29" i="2" l="1"/>
  <c r="AB29" i="7"/>
  <c r="AJ29" i="7" s="1"/>
  <c r="H29" i="11"/>
  <c r="AW29" i="8"/>
  <c r="E29" i="2"/>
  <c r="L29" i="2" s="1"/>
  <c r="U29" i="2" l="1"/>
  <c r="W28" i="2" s="1"/>
  <c r="C29" i="2" l="1"/>
  <c r="S29" i="8" s="1"/>
  <c r="I29" i="2" l="1"/>
  <c r="AA29" i="1" s="1"/>
  <c r="S29" i="1" s="1"/>
  <c r="H30" i="1" s="1"/>
  <c r="F29" i="2"/>
  <c r="AP29" i="1" s="1"/>
  <c r="F29" i="1"/>
  <c r="H29" i="2"/>
  <c r="O29" i="7" l="1"/>
  <c r="I29" i="11"/>
  <c r="V29" i="8"/>
  <c r="T29" i="8"/>
  <c r="W29" i="8" s="1"/>
  <c r="BI30" i="1"/>
  <c r="AQ30" i="8"/>
  <c r="C30" i="11"/>
  <c r="AC30" i="7"/>
  <c r="AK30" i="5"/>
  <c r="V30" i="10"/>
  <c r="J29" i="11"/>
  <c r="T29" i="1"/>
  <c r="I30" i="1" s="1"/>
  <c r="AO30" i="1" s="1"/>
  <c r="G29" i="2"/>
  <c r="Z29" i="2" s="1"/>
  <c r="AA30" i="8" s="1"/>
  <c r="BJ30" i="1" l="1"/>
  <c r="C29" i="8"/>
  <c r="F29" i="9"/>
  <c r="P29" i="7"/>
  <c r="B30" i="8" l="1"/>
  <c r="Y29" i="2"/>
  <c r="X29" i="2" s="1"/>
  <c r="D30" i="2" l="1"/>
  <c r="H30" i="11"/>
  <c r="E30" i="2"/>
  <c r="L30" i="2" s="1"/>
  <c r="AW30" i="8"/>
  <c r="AB30" i="7"/>
  <c r="AJ30" i="7" s="1"/>
  <c r="U30" i="2" l="1"/>
  <c r="W29" i="2" s="1"/>
  <c r="C30" i="2" l="1"/>
  <c r="S30" i="8" s="1"/>
  <c r="H30" i="2" l="1"/>
  <c r="F30" i="2"/>
  <c r="AP30" i="1" s="1"/>
  <c r="F30" i="1"/>
  <c r="I30" i="2"/>
  <c r="AA30" i="1" l="1"/>
  <c r="S30" i="1" s="1"/>
  <c r="H31" i="1" s="1"/>
  <c r="O30" i="7"/>
  <c r="I30" i="11"/>
  <c r="T30" i="1"/>
  <c r="I31" i="1" s="1"/>
  <c r="AO31" i="1" s="1"/>
  <c r="J30" i="11"/>
  <c r="G30" i="2"/>
  <c r="Z30" i="2" s="1"/>
  <c r="AA31" i="8" s="1"/>
  <c r="V30" i="8"/>
  <c r="T30" i="8"/>
  <c r="W30" i="8" s="1"/>
  <c r="BJ31" i="1" l="1"/>
  <c r="F30" i="9"/>
  <c r="P30" i="7"/>
  <c r="C30" i="8"/>
  <c r="V31" i="10"/>
  <c r="C31" i="11"/>
  <c r="AK31" i="5"/>
  <c r="AQ31" i="8"/>
  <c r="BI31" i="1"/>
  <c r="AC31" i="7"/>
  <c r="B31" i="8" l="1"/>
  <c r="Y30" i="2"/>
  <c r="X30" i="2" s="1"/>
  <c r="D31" i="2" l="1"/>
  <c r="AB31" i="7"/>
  <c r="AJ31" i="7" s="1"/>
  <c r="AW31" i="8"/>
  <c r="H31" i="11"/>
  <c r="E31" i="2"/>
  <c r="L31" i="2" s="1"/>
  <c r="U31" i="2" l="1"/>
  <c r="W30" i="2" s="1"/>
  <c r="C31" i="2" l="1"/>
  <c r="S31" i="8" s="1"/>
  <c r="F31" i="1" l="1"/>
  <c r="I31" i="2"/>
  <c r="H31" i="2"/>
  <c r="F31" i="2"/>
  <c r="AP31" i="1" s="1"/>
  <c r="J31" i="11" l="1"/>
  <c r="T31" i="1"/>
  <c r="I32" i="1" s="1"/>
  <c r="AO32" i="1" s="1"/>
  <c r="G31" i="2"/>
  <c r="Z31" i="2" s="1"/>
  <c r="AA32" i="8" s="1"/>
  <c r="AA31" i="1"/>
  <c r="S31" i="1" s="1"/>
  <c r="H32" i="1" s="1"/>
  <c r="O31" i="7"/>
  <c r="I31" i="11"/>
  <c r="V31" i="8"/>
  <c r="T31" i="8"/>
  <c r="W31" i="8" s="1"/>
  <c r="C31" i="8" l="1"/>
  <c r="AQ32" i="8"/>
  <c r="C32" i="11"/>
  <c r="V32" i="10"/>
  <c r="AC32" i="7"/>
  <c r="BI32" i="1"/>
  <c r="AK32" i="5"/>
  <c r="BJ32" i="1"/>
  <c r="F31" i="9"/>
  <c r="P31" i="7"/>
  <c r="B32" i="8" l="1"/>
  <c r="Y31" i="2"/>
  <c r="X31" i="2" s="1"/>
  <c r="D32" i="2" l="1"/>
  <c r="AB32" i="7"/>
  <c r="AJ32" i="7" s="1"/>
  <c r="H32" i="11"/>
  <c r="E32" i="2"/>
  <c r="L32" i="2" s="1"/>
  <c r="AW32" i="8"/>
  <c r="U32" i="2" l="1"/>
  <c r="W31" i="2" s="1"/>
  <c r="C32" i="2" l="1"/>
  <c r="S32" i="8" s="1"/>
  <c r="H32" i="2" l="1"/>
  <c r="F32" i="2"/>
  <c r="AP32" i="1" s="1"/>
  <c r="F32" i="1"/>
  <c r="I32" i="2"/>
  <c r="V32" i="8" l="1"/>
  <c r="T32" i="8"/>
  <c r="W32" i="8" s="1"/>
  <c r="J32" i="11"/>
  <c r="T32" i="1"/>
  <c r="I33" i="1" s="1"/>
  <c r="AO33" i="1" s="1"/>
  <c r="G32" i="2"/>
  <c r="Z32" i="2" s="1"/>
  <c r="AA33" i="8" s="1"/>
  <c r="AA32" i="1"/>
  <c r="S32" i="1" s="1"/>
  <c r="H33" i="1" s="1"/>
  <c r="O32" i="7"/>
  <c r="I32" i="11"/>
  <c r="C32" i="8" l="1"/>
  <c r="BJ33" i="1"/>
  <c r="V33" i="10"/>
  <c r="BI33" i="1"/>
  <c r="C33" i="11"/>
  <c r="AK33" i="5"/>
  <c r="AC33" i="7"/>
  <c r="AQ33" i="8"/>
  <c r="P32" i="7"/>
  <c r="F32" i="9"/>
  <c r="B33" i="8" l="1"/>
  <c r="Y32" i="2"/>
  <c r="X32" i="2" s="1"/>
  <c r="D33" i="2" l="1"/>
  <c r="AB33" i="7"/>
  <c r="AJ33" i="7" s="1"/>
  <c r="E33" i="2"/>
  <c r="L33" i="2" s="1"/>
  <c r="H33" i="11"/>
  <c r="AW33" i="8"/>
  <c r="U33" i="2" l="1"/>
  <c r="W32" i="2" s="1"/>
  <c r="C33" i="2" l="1"/>
  <c r="S33" i="8" s="1"/>
  <c r="H33" i="2" l="1"/>
  <c r="F33" i="2"/>
  <c r="AP33" i="1" s="1"/>
  <c r="I33" i="2"/>
  <c r="F33" i="1"/>
  <c r="I33" i="11" l="1"/>
  <c r="O33" i="7"/>
  <c r="T33" i="8"/>
  <c r="W33" i="8" s="1"/>
  <c r="V33" i="8"/>
  <c r="AA33" i="1"/>
  <c r="S33" i="1" s="1"/>
  <c r="H34" i="1" s="1"/>
  <c r="T33" i="1"/>
  <c r="I34" i="1" s="1"/>
  <c r="AO34" i="1" s="1"/>
  <c r="J33" i="11"/>
  <c r="G33" i="2"/>
  <c r="Z33" i="2" s="1"/>
  <c r="AA34" i="8" s="1"/>
  <c r="BJ34" i="1" l="1"/>
  <c r="BI34" i="1"/>
  <c r="V34" i="10"/>
  <c r="AK34" i="5"/>
  <c r="AQ34" i="8"/>
  <c r="AC34" i="7"/>
  <c r="C34" i="11"/>
  <c r="C33" i="8"/>
  <c r="F33" i="9"/>
  <c r="P33" i="7"/>
  <c r="B34" i="8" l="1"/>
  <c r="Y33" i="2"/>
  <c r="X33" i="2" s="1"/>
  <c r="D34" i="2" l="1"/>
  <c r="AW34" i="8"/>
  <c r="H34" i="11"/>
  <c r="E34" i="2"/>
  <c r="L34" i="2" s="1"/>
  <c r="AB34" i="7"/>
  <c r="AJ34" i="7" s="1"/>
  <c r="U34" i="2" l="1"/>
  <c r="W33" i="2" s="1"/>
  <c r="C34" i="2" l="1"/>
  <c r="S34" i="8" s="1"/>
  <c r="I34" i="2" l="1"/>
  <c r="H34" i="2"/>
  <c r="F34" i="2"/>
  <c r="AP34" i="1" s="1"/>
  <c r="F34" i="1"/>
  <c r="T34" i="8" l="1"/>
  <c r="W34" i="8" s="1"/>
  <c r="V34" i="8"/>
  <c r="AA34" i="1"/>
  <c r="S34" i="1" s="1"/>
  <c r="H35" i="1" s="1"/>
  <c r="I34" i="11"/>
  <c r="O34" i="7"/>
  <c r="J34" i="11"/>
  <c r="T34" i="1"/>
  <c r="I35" i="1" s="1"/>
  <c r="AO35" i="1" s="1"/>
  <c r="G34" i="2"/>
  <c r="Z34" i="2" s="1"/>
  <c r="AA35" i="8" s="1"/>
  <c r="C34" i="8" l="1"/>
  <c r="P34" i="7"/>
  <c r="F34" i="9"/>
  <c r="BJ35" i="1"/>
  <c r="C35" i="11"/>
  <c r="AQ35" i="8"/>
  <c r="BI35" i="1"/>
  <c r="V35" i="10"/>
  <c r="AC35" i="7"/>
  <c r="AK35" i="5"/>
  <c r="B35" i="8" l="1"/>
  <c r="Y34" i="2"/>
  <c r="X34" i="2" s="1"/>
  <c r="D35" i="2" l="1"/>
  <c r="AW35" i="8"/>
  <c r="AB35" i="7"/>
  <c r="AJ35" i="7" s="1"/>
  <c r="E35" i="2"/>
  <c r="L35" i="2" s="1"/>
  <c r="H35" i="11"/>
  <c r="U35" i="2" l="1"/>
  <c r="W34" i="2" s="1"/>
  <c r="C35" i="2" l="1"/>
  <c r="S35" i="8" s="1"/>
  <c r="H35" i="2" l="1"/>
  <c r="F35" i="1"/>
  <c r="I35" i="2"/>
  <c r="F35" i="2"/>
  <c r="AP35" i="1" s="1"/>
  <c r="AA35" i="1" l="1"/>
  <c r="S35" i="1" s="1"/>
  <c r="H36" i="1" s="1"/>
  <c r="I35" i="11"/>
  <c r="O35" i="7"/>
  <c r="T35" i="1"/>
  <c r="I36" i="1" s="1"/>
  <c r="AO36" i="1" s="1"/>
  <c r="J35" i="11"/>
  <c r="G35" i="2"/>
  <c r="Z35" i="2" s="1"/>
  <c r="AA36" i="8" s="1"/>
  <c r="V35" i="8"/>
  <c r="T35" i="8"/>
  <c r="W35" i="8" s="1"/>
  <c r="BJ36" i="1" l="1"/>
  <c r="C35" i="8"/>
  <c r="P35" i="7"/>
  <c r="F35" i="9"/>
  <c r="AQ36" i="8"/>
  <c r="C36" i="11"/>
  <c r="AK36" i="5"/>
  <c r="BI36" i="1"/>
  <c r="V36" i="10"/>
  <c r="AC36" i="7"/>
  <c r="B36" i="8" l="1"/>
  <c r="Y35" i="2"/>
  <c r="X35" i="2" s="1"/>
  <c r="D36" i="2" l="1"/>
  <c r="E36" i="2"/>
  <c r="L36" i="2" s="1"/>
  <c r="AW36" i="8"/>
  <c r="H36" i="11"/>
  <c r="AB36" i="7"/>
  <c r="AJ36" i="7" s="1"/>
  <c r="U36" i="2" l="1"/>
  <c r="W35" i="2" s="1"/>
  <c r="C36" i="2" l="1"/>
  <c r="S36" i="8" s="1"/>
  <c r="H36" i="2" l="1"/>
  <c r="I36" i="2"/>
  <c r="F36" i="2"/>
  <c r="AP36" i="1" s="1"/>
  <c r="F36" i="1"/>
  <c r="T36" i="1" l="1"/>
  <c r="I37" i="1" s="1"/>
  <c r="AO37" i="1" s="1"/>
  <c r="J36" i="11"/>
  <c r="G36" i="2"/>
  <c r="Z36" i="2" s="1"/>
  <c r="AA37" i="8" s="1"/>
  <c r="V36" i="8"/>
  <c r="T36" i="8"/>
  <c r="W36" i="8" s="1"/>
  <c r="AA36" i="1"/>
  <c r="S36" i="1" s="1"/>
  <c r="H37" i="1" s="1"/>
  <c r="I36" i="11"/>
  <c r="O36" i="7"/>
  <c r="AK37" i="5" l="1"/>
  <c r="AQ37" i="8"/>
  <c r="C37" i="11"/>
  <c r="V37" i="10"/>
  <c r="AC37" i="7"/>
  <c r="BI37" i="1"/>
  <c r="C36" i="8"/>
  <c r="P36" i="7"/>
  <c r="F36" i="9"/>
  <c r="BJ37" i="1"/>
  <c r="B37" i="8" l="1"/>
  <c r="Y36" i="2"/>
  <c r="X36" i="2" s="1"/>
  <c r="D37" i="2" l="1"/>
  <c r="AW37" i="8"/>
  <c r="H37" i="11"/>
  <c r="AB37" i="7"/>
  <c r="AJ37" i="7" s="1"/>
  <c r="E37" i="2"/>
  <c r="L37" i="2" s="1"/>
  <c r="U37" i="2" l="1"/>
  <c r="W36" i="2" s="1"/>
  <c r="C37" i="2" l="1"/>
  <c r="S37" i="8" s="1"/>
  <c r="H37" i="2" l="1"/>
  <c r="I37" i="2"/>
  <c r="F37" i="2"/>
  <c r="AP37" i="1" s="1"/>
  <c r="F37" i="1"/>
  <c r="T37" i="1" l="1"/>
  <c r="I38" i="1" s="1"/>
  <c r="AO38" i="1" s="1"/>
  <c r="J37" i="11"/>
  <c r="G37" i="2"/>
  <c r="Z37" i="2" s="1"/>
  <c r="AA38" i="8" s="1"/>
  <c r="V37" i="8"/>
  <c r="T37" i="8"/>
  <c r="W37" i="8" s="1"/>
  <c r="AA37" i="1"/>
  <c r="S37" i="1" s="1"/>
  <c r="H38" i="1" s="1"/>
  <c r="I37" i="11"/>
  <c r="O37" i="7"/>
  <c r="V38" i="10" l="1"/>
  <c r="AQ38" i="8"/>
  <c r="AC38" i="7"/>
  <c r="C38" i="11"/>
  <c r="AK38" i="5"/>
  <c r="BI38" i="1"/>
  <c r="C37" i="8"/>
  <c r="P37" i="7"/>
  <c r="F37" i="9"/>
  <c r="BJ38" i="1"/>
  <c r="B38" i="8" l="1"/>
  <c r="Y37" i="2"/>
  <c r="X37" i="2" s="1"/>
  <c r="D38" i="2" l="1"/>
  <c r="AB38" i="7"/>
  <c r="AJ38" i="7" s="1"/>
  <c r="H38" i="11"/>
  <c r="AW38" i="8"/>
  <c r="E38" i="2"/>
  <c r="L38" i="2" s="1"/>
  <c r="U38" i="2" l="1"/>
  <c r="W37" i="2" s="1"/>
  <c r="C38" i="2" l="1"/>
  <c r="S38" i="8" s="1"/>
  <c r="F38" i="1" l="1"/>
  <c r="I38" i="2"/>
  <c r="F38" i="2"/>
  <c r="AP38" i="1" s="1"/>
  <c r="H38" i="2"/>
  <c r="J38" i="11" l="1"/>
  <c r="T38" i="1"/>
  <c r="I39" i="1" s="1"/>
  <c r="AO39" i="1" s="1"/>
  <c r="G38" i="2"/>
  <c r="Z38" i="2" s="1"/>
  <c r="AA39" i="8" s="1"/>
  <c r="T38" i="8"/>
  <c r="W38" i="8" s="1"/>
  <c r="V38" i="8"/>
  <c r="AA38" i="1"/>
  <c r="S38" i="1" s="1"/>
  <c r="H39" i="1" s="1"/>
  <c r="I38" i="11"/>
  <c r="O38" i="7"/>
  <c r="C38" i="8" l="1"/>
  <c r="BJ39" i="1"/>
  <c r="AQ39" i="8"/>
  <c r="AC39" i="7"/>
  <c r="V39" i="10"/>
  <c r="C39" i="11"/>
  <c r="AK39" i="5"/>
  <c r="BI39" i="1"/>
  <c r="P38" i="7"/>
  <c r="F38" i="9"/>
  <c r="B39" i="8" l="1"/>
  <c r="Y38" i="2"/>
  <c r="X38" i="2" s="1"/>
  <c r="D39" i="2" l="1"/>
  <c r="H39" i="11"/>
  <c r="AB39" i="7"/>
  <c r="AJ39" i="7" s="1"/>
  <c r="E39" i="2"/>
  <c r="L39" i="2" s="1"/>
  <c r="AW39" i="8"/>
  <c r="U39" i="2" l="1"/>
  <c r="W38" i="2" s="1"/>
  <c r="C39" i="2" l="1"/>
  <c r="S39" i="8" s="1"/>
  <c r="H39" i="2" l="1"/>
  <c r="F39" i="2"/>
  <c r="AP39" i="1" s="1"/>
  <c r="I39" i="2"/>
  <c r="F39" i="1"/>
  <c r="T39" i="8" l="1"/>
  <c r="W39" i="8" s="1"/>
  <c r="V39" i="8"/>
  <c r="J39" i="11"/>
  <c r="T39" i="1"/>
  <c r="I40" i="1" s="1"/>
  <c r="AO40" i="1" s="1"/>
  <c r="G39" i="2"/>
  <c r="Z39" i="2" s="1"/>
  <c r="AA40" i="8" s="1"/>
  <c r="AA39" i="1"/>
  <c r="S39" i="1" s="1"/>
  <c r="I39" i="11"/>
  <c r="O39" i="7"/>
  <c r="C39" i="8" l="1"/>
  <c r="BJ40" i="1"/>
  <c r="F39" i="9"/>
  <c r="P39" i="7"/>
  <c r="B40" i="8" l="1"/>
  <c r="Y39" i="2"/>
  <c r="X39" i="2" s="1"/>
  <c r="D40" i="2" l="1"/>
  <c r="E40" i="2"/>
  <c r="L40" i="2" s="1"/>
  <c r="H40" i="11"/>
  <c r="AW40" i="8"/>
  <c r="AB40" i="7"/>
  <c r="U40" i="2" l="1"/>
  <c r="W39" i="2" s="1"/>
  <c r="C40" i="2" l="1"/>
  <c r="S40" i="8" l="1"/>
  <c r="H40" i="1"/>
  <c r="I40" i="2"/>
  <c r="H40" i="2"/>
  <c r="F40" i="2"/>
  <c r="AP40" i="1" s="1"/>
  <c r="F40" i="1"/>
  <c r="I58" i="4" l="1"/>
  <c r="J58" i="4"/>
  <c r="C40" i="11"/>
  <c r="AQ40" i="8"/>
  <c r="AC40" i="7"/>
  <c r="AJ40" i="7" s="1"/>
  <c r="BI40" i="1"/>
  <c r="V40" i="10"/>
  <c r="AK40" i="5"/>
  <c r="O40" i="7"/>
  <c r="I40" i="11"/>
  <c r="T40" i="1"/>
  <c r="I41" i="1" s="1"/>
  <c r="AO41" i="1" s="1"/>
  <c r="J40" i="11"/>
  <c r="G40" i="2"/>
  <c r="Z40" i="2" s="1"/>
  <c r="AA41" i="8" s="1"/>
  <c r="AA40" i="1"/>
  <c r="S40" i="1" s="1"/>
  <c r="H41" i="1" s="1"/>
  <c r="V40" i="8"/>
  <c r="T40" i="8"/>
  <c r="W40" i="8" s="1"/>
  <c r="BJ41" i="1" l="1"/>
  <c r="AC41" i="7"/>
  <c r="V41" i="10"/>
  <c r="C41" i="11"/>
  <c r="AK41" i="5"/>
  <c r="AQ41" i="8"/>
  <c r="BI41" i="1"/>
  <c r="P40" i="7"/>
  <c r="F40" i="9"/>
  <c r="C40" i="8"/>
  <c r="B41" i="8" l="1"/>
  <c r="Y40" i="2"/>
  <c r="X40" i="2" s="1"/>
  <c r="D41" i="2" l="1"/>
  <c r="E41" i="2"/>
  <c r="L41" i="2" s="1"/>
  <c r="AB41" i="7"/>
  <c r="AJ41" i="7" s="1"/>
  <c r="AW41" i="8"/>
  <c r="H41" i="11"/>
  <c r="U41" i="2" l="1"/>
  <c r="W40" i="2" s="1"/>
  <c r="C41" i="2" l="1"/>
  <c r="S41" i="8" s="1"/>
  <c r="F41" i="2" l="1"/>
  <c r="I41" i="2"/>
  <c r="O41" i="7" s="1"/>
  <c r="F41" i="1"/>
  <c r="H41" i="2"/>
  <c r="V41" i="8"/>
  <c r="T41" i="8"/>
  <c r="W41" i="8" s="1"/>
  <c r="G41" i="2" l="1"/>
  <c r="AP41" i="1"/>
  <c r="T41" i="1" s="1"/>
  <c r="I42" i="1" s="1"/>
  <c r="AO42" i="1" s="1"/>
  <c r="J41" i="11"/>
  <c r="P41" i="7" s="1"/>
  <c r="I41" i="11"/>
  <c r="AA41" i="1"/>
  <c r="S41" i="1" s="1"/>
  <c r="H42" i="1" s="1"/>
  <c r="Z41" i="2" l="1"/>
  <c r="AA42" i="8" s="1"/>
  <c r="AK42" i="5"/>
  <c r="C41" i="8"/>
  <c r="F41" i="9"/>
  <c r="BJ42" i="1"/>
  <c r="AC42" i="7"/>
  <c r="BI42" i="1"/>
  <c r="C42" i="11"/>
  <c r="AQ42" i="8"/>
  <c r="V42" i="10"/>
  <c r="H42" i="11" l="1"/>
  <c r="Y41" i="2"/>
  <c r="X41" i="2" s="1"/>
  <c r="E42" i="2" l="1"/>
  <c r="L42" i="2" s="1"/>
  <c r="AW42" i="8"/>
  <c r="AB42" i="7"/>
  <c r="AJ42" i="7" s="1"/>
  <c r="B42" i="8"/>
  <c r="D42" i="2" s="1"/>
  <c r="U42" i="2" s="1"/>
  <c r="W41" i="2" s="1"/>
  <c r="C42" i="2" l="1"/>
  <c r="S42" i="8" s="1"/>
  <c r="I42" i="2" l="1"/>
  <c r="F42" i="2"/>
  <c r="AP42" i="1" s="1"/>
  <c r="H42" i="2"/>
  <c r="F42" i="1"/>
  <c r="T42" i="1" l="1"/>
  <c r="I43" i="1" s="1"/>
  <c r="AO43" i="1" s="1"/>
  <c r="J42" i="11"/>
  <c r="G42" i="2"/>
  <c r="Z42" i="2" s="1"/>
  <c r="AA43" i="8" s="1"/>
  <c r="T42" i="8"/>
  <c r="W42" i="8" s="1"/>
  <c r="V42" i="8"/>
  <c r="AA42" i="1"/>
  <c r="S42" i="1" s="1"/>
  <c r="H43" i="1" s="1"/>
  <c r="O42" i="7"/>
  <c r="I42" i="11"/>
  <c r="I59" i="4" l="1"/>
  <c r="J59" i="4"/>
  <c r="C42" i="8"/>
  <c r="AC43" i="7"/>
  <c r="AK43" i="5"/>
  <c r="BI43" i="1"/>
  <c r="C43" i="11"/>
  <c r="AQ43" i="8"/>
  <c r="V43" i="10"/>
  <c r="P42" i="7"/>
  <c r="F42" i="9"/>
  <c r="BJ43" i="1"/>
  <c r="B43" i="8" l="1"/>
  <c r="Y42" i="2"/>
  <c r="X42" i="2" s="1"/>
  <c r="D43" i="2" l="1"/>
  <c r="H43" i="11"/>
  <c r="AW43" i="8"/>
  <c r="E43" i="2"/>
  <c r="L43" i="2" s="1"/>
  <c r="AB43" i="7"/>
  <c r="AJ43" i="7" s="1"/>
  <c r="U43" i="2" l="1"/>
  <c r="W42" i="2" s="1"/>
  <c r="C43" i="2" l="1"/>
  <c r="S43" i="8" s="1"/>
  <c r="I43" i="2" l="1"/>
  <c r="AA43" i="1" s="1"/>
  <c r="S43" i="1" s="1"/>
  <c r="H44" i="1" s="1"/>
  <c r="F43" i="2"/>
  <c r="AP43" i="1" s="1"/>
  <c r="F43" i="1"/>
  <c r="H43" i="2"/>
  <c r="AK44" i="5" l="1"/>
  <c r="BI44" i="1"/>
  <c r="C44" i="11"/>
  <c r="AQ44" i="8"/>
  <c r="V44" i="10"/>
  <c r="AC44" i="7"/>
  <c r="J43" i="11"/>
  <c r="T43" i="1"/>
  <c r="I44" i="1" s="1"/>
  <c r="AO44" i="1" s="1"/>
  <c r="G43" i="2"/>
  <c r="Z43" i="2" s="1"/>
  <c r="AA44" i="8" s="1"/>
  <c r="V43" i="8"/>
  <c r="T43" i="8"/>
  <c r="W43" i="8" s="1"/>
  <c r="I43" i="11"/>
  <c r="O43" i="7"/>
  <c r="P43" i="7" l="1"/>
  <c r="F43" i="9"/>
  <c r="BJ44" i="1"/>
  <c r="C43" i="8"/>
  <c r="B44" i="8" l="1"/>
  <c r="Y43" i="2"/>
  <c r="X43" i="2" s="1"/>
  <c r="D44" i="2" l="1"/>
  <c r="H44" i="11"/>
  <c r="E44" i="2"/>
  <c r="L44" i="2" s="1"/>
  <c r="AW44" i="8"/>
  <c r="AB44" i="7"/>
  <c r="AJ44" i="7" s="1"/>
  <c r="U44" i="2" l="1"/>
  <c r="W43" i="2" s="1"/>
  <c r="C44" i="2" l="1"/>
  <c r="S44" i="8" s="1"/>
  <c r="F44" i="1" l="1"/>
  <c r="I44" i="2"/>
  <c r="AA44" i="1" s="1"/>
  <c r="S44" i="1" s="1"/>
  <c r="H45" i="1" s="1"/>
  <c r="H44" i="2"/>
  <c r="F44" i="2"/>
  <c r="AP44" i="1" s="1"/>
  <c r="T44" i="1" l="1"/>
  <c r="I45" i="1" s="1"/>
  <c r="AO45" i="1" s="1"/>
  <c r="J44" i="11"/>
  <c r="G44" i="2"/>
  <c r="Z44" i="2" s="1"/>
  <c r="AA45" i="8" s="1"/>
  <c r="V44" i="8"/>
  <c r="T44" i="8"/>
  <c r="W44" i="8" s="1"/>
  <c r="AQ45" i="8"/>
  <c r="AC45" i="7"/>
  <c r="V45" i="10"/>
  <c r="C45" i="11"/>
  <c r="BI45" i="1"/>
  <c r="AK45" i="5"/>
  <c r="I44" i="11"/>
  <c r="O44" i="7"/>
  <c r="C44" i="8" l="1"/>
  <c r="P44" i="7"/>
  <c r="F44" i="9"/>
  <c r="BJ45" i="1"/>
  <c r="B45" i="8" l="1"/>
  <c r="Y44" i="2"/>
  <c r="X44" i="2" s="1"/>
  <c r="D45" i="2" l="1"/>
  <c r="AW45" i="8"/>
  <c r="H45" i="11"/>
  <c r="AB45" i="7"/>
  <c r="AJ45" i="7" s="1"/>
  <c r="E45" i="2"/>
  <c r="L45" i="2" s="1"/>
  <c r="U45" i="2" l="1"/>
  <c r="W44" i="2" s="1"/>
  <c r="C45" i="2" l="1"/>
  <c r="S45" i="8" s="1"/>
  <c r="H45" i="2" l="1"/>
  <c r="F45" i="1"/>
  <c r="F45" i="2"/>
  <c r="AP45" i="1" s="1"/>
  <c r="I45" i="2"/>
  <c r="T45" i="1" l="1"/>
  <c r="I46" i="1" s="1"/>
  <c r="AO46" i="1" s="1"/>
  <c r="J45" i="11"/>
  <c r="G45" i="2"/>
  <c r="Z45" i="2" s="1"/>
  <c r="AA46" i="8" s="1"/>
  <c r="I45" i="11"/>
  <c r="O45" i="7"/>
  <c r="T45" i="8"/>
  <c r="W45" i="8" s="1"/>
  <c r="V45" i="8"/>
  <c r="AA45" i="1"/>
  <c r="S45" i="1" s="1"/>
  <c r="H46" i="1" s="1"/>
  <c r="AQ46" i="8" l="1"/>
  <c r="BI46" i="1"/>
  <c r="AK46" i="5"/>
  <c r="V46" i="10"/>
  <c r="C46" i="11"/>
  <c r="AC46" i="7"/>
  <c r="C45" i="8"/>
  <c r="P45" i="7"/>
  <c r="F45" i="9"/>
  <c r="BJ46" i="1"/>
  <c r="B46" i="8" l="1"/>
  <c r="Y45" i="2"/>
  <c r="X45" i="2" s="1"/>
  <c r="D46" i="2" l="1"/>
  <c r="E46" i="2"/>
  <c r="L46" i="2" s="1"/>
  <c r="AW46" i="8"/>
  <c r="H46" i="11"/>
  <c r="AB46" i="7"/>
  <c r="AJ46" i="7" s="1"/>
  <c r="U46" i="2" l="1"/>
  <c r="W45" i="2" s="1"/>
  <c r="C46" i="2" l="1"/>
  <c r="S46" i="8" s="1"/>
  <c r="F46" i="1" l="1"/>
  <c r="F46" i="2"/>
  <c r="AP46" i="1" s="1"/>
  <c r="I46" i="2"/>
  <c r="AA46" i="1" s="1"/>
  <c r="S46" i="1" s="1"/>
  <c r="H47" i="1" s="1"/>
  <c r="H46" i="2"/>
  <c r="T46" i="8" l="1"/>
  <c r="W46" i="8" s="1"/>
  <c r="V46" i="8"/>
  <c r="AC47" i="7"/>
  <c r="C47" i="11"/>
  <c r="AQ47" i="8"/>
  <c r="AK47" i="5"/>
  <c r="BI47" i="1"/>
  <c r="V47" i="10"/>
  <c r="J46" i="11"/>
  <c r="T46" i="1"/>
  <c r="I47" i="1" s="1"/>
  <c r="AO47" i="1" s="1"/>
  <c r="G46" i="2"/>
  <c r="Z46" i="2" s="1"/>
  <c r="AA47" i="8" s="1"/>
  <c r="I46" i="11"/>
  <c r="O46" i="7"/>
  <c r="BJ47" i="1" l="1"/>
  <c r="C46" i="8"/>
  <c r="F46" i="9"/>
  <c r="P46" i="7"/>
  <c r="B47" i="8" l="1"/>
  <c r="Y46" i="2"/>
  <c r="X46" i="2" s="1"/>
  <c r="D47" i="2" l="1"/>
  <c r="H47" i="11"/>
  <c r="AB47" i="7"/>
  <c r="AJ47" i="7" s="1"/>
  <c r="AW47" i="8"/>
  <c r="E47" i="2"/>
  <c r="L47" i="2" s="1"/>
  <c r="U47" i="2" l="1"/>
  <c r="W46" i="2" s="1"/>
  <c r="C47" i="2" l="1"/>
  <c r="S47" i="8" s="1"/>
  <c r="I47" i="2" l="1"/>
  <c r="F47" i="2"/>
  <c r="AP47" i="1" s="1"/>
  <c r="F47" i="1"/>
  <c r="H47" i="2"/>
  <c r="V47" i="8" l="1"/>
  <c r="T47" i="8"/>
  <c r="W47" i="8" s="1"/>
  <c r="AA47" i="1"/>
  <c r="S47" i="1" s="1"/>
  <c r="H48" i="1" s="1"/>
  <c r="I47" i="11"/>
  <c r="O47" i="7"/>
  <c r="T47" i="1"/>
  <c r="I48" i="1" s="1"/>
  <c r="AO48" i="1" s="1"/>
  <c r="J47" i="11"/>
  <c r="G47" i="2"/>
  <c r="Z47" i="2" s="1"/>
  <c r="AA48" i="8" s="1"/>
  <c r="F47" i="9" l="1"/>
  <c r="P47" i="7"/>
  <c r="C47" i="8"/>
  <c r="BJ48" i="1"/>
  <c r="AK48" i="5"/>
  <c r="AC48" i="7"/>
  <c r="BI48" i="1"/>
  <c r="AQ48" i="8"/>
  <c r="C48" i="11"/>
  <c r="V48" i="10"/>
  <c r="B48" i="8" l="1"/>
  <c r="Y47" i="2"/>
  <c r="X47" i="2" s="1"/>
  <c r="D48" i="2" l="1"/>
  <c r="AW48" i="8"/>
  <c r="E48" i="2"/>
  <c r="L48" i="2" s="1"/>
  <c r="AB48" i="7"/>
  <c r="AJ48" i="7" s="1"/>
  <c r="H48" i="11"/>
  <c r="U48" i="2" l="1"/>
  <c r="W47" i="2" s="1"/>
  <c r="C48" i="2" l="1"/>
  <c r="S48" i="8" s="1"/>
  <c r="F48" i="1" l="1"/>
  <c r="I48" i="2"/>
  <c r="AA48" i="1" s="1"/>
  <c r="S48" i="1" s="1"/>
  <c r="H49" i="1" s="1"/>
  <c r="H48" i="2"/>
  <c r="F48" i="2"/>
  <c r="AP48" i="1" s="1"/>
  <c r="O48" i="7" l="1"/>
  <c r="I48" i="11"/>
  <c r="V48" i="8"/>
  <c r="T48" i="8"/>
  <c r="W48" i="8" s="1"/>
  <c r="J48" i="11"/>
  <c r="T48" i="1"/>
  <c r="I49" i="1" s="1"/>
  <c r="AO49" i="1" s="1"/>
  <c r="G48" i="2"/>
  <c r="Z48" i="2" s="1"/>
  <c r="AA49" i="8" s="1"/>
  <c r="C49" i="11"/>
  <c r="AK49" i="5"/>
  <c r="AC49" i="7"/>
  <c r="AQ49" i="8"/>
  <c r="V49" i="10"/>
  <c r="BI49" i="1"/>
  <c r="C48" i="8" l="1"/>
  <c r="F48" i="9"/>
  <c r="P48" i="7"/>
  <c r="BJ49" i="1"/>
  <c r="B49" i="8" l="1"/>
  <c r="Y48" i="2"/>
  <c r="X48" i="2" s="1"/>
  <c r="D49" i="2" l="1"/>
  <c r="H49" i="11"/>
  <c r="E49" i="2"/>
  <c r="L49" i="2" s="1"/>
  <c r="AB49" i="7"/>
  <c r="AJ49" i="7" s="1"/>
  <c r="AW49" i="8"/>
  <c r="U49" i="2" l="1"/>
  <c r="W48" i="2" s="1"/>
  <c r="C49" i="2" l="1"/>
  <c r="S49" i="8" s="1"/>
  <c r="F49" i="2" l="1"/>
  <c r="AP49" i="1" s="1"/>
  <c r="H49" i="2"/>
  <c r="F49" i="1"/>
  <c r="I49" i="2"/>
  <c r="AA49" i="1" l="1"/>
  <c r="S49" i="1" s="1"/>
  <c r="H50" i="1" s="1"/>
  <c r="O49" i="7"/>
  <c r="I49" i="11"/>
  <c r="J49" i="11"/>
  <c r="T49" i="1"/>
  <c r="I50" i="1" s="1"/>
  <c r="AO50" i="1" s="1"/>
  <c r="G49" i="2"/>
  <c r="Z49" i="2" s="1"/>
  <c r="AA50" i="8" s="1"/>
  <c r="V49" i="8"/>
  <c r="T49" i="8"/>
  <c r="W49" i="8" s="1"/>
  <c r="C49" i="8" l="1"/>
  <c r="BJ50" i="1"/>
  <c r="F49" i="9"/>
  <c r="P49" i="7"/>
  <c r="AC50" i="7"/>
  <c r="C50" i="11"/>
  <c r="BI50" i="1"/>
  <c r="AK50" i="5"/>
  <c r="AQ50" i="8"/>
  <c r="V50" i="10"/>
  <c r="B50" i="8" l="1"/>
  <c r="Y49" i="2"/>
  <c r="X49" i="2" s="1"/>
  <c r="D50" i="2" l="1"/>
  <c r="AW50" i="8"/>
  <c r="H50" i="11"/>
  <c r="E50" i="2"/>
  <c r="L50" i="2" s="1"/>
  <c r="AB50" i="7"/>
  <c r="AJ50" i="7" s="1"/>
  <c r="U50" i="2" l="1"/>
  <c r="W49" i="2" s="1"/>
  <c r="C50" i="2" l="1"/>
  <c r="S50" i="8" s="1"/>
  <c r="F50" i="2" l="1"/>
  <c r="AP50" i="1" s="1"/>
  <c r="I50" i="2"/>
  <c r="H50" i="2"/>
  <c r="F50" i="1"/>
  <c r="T50" i="8" l="1"/>
  <c r="W50" i="8" s="1"/>
  <c r="V50" i="8"/>
  <c r="AA50" i="1"/>
  <c r="S50" i="1" s="1"/>
  <c r="I50" i="11"/>
  <c r="O50" i="7"/>
  <c r="J50" i="11"/>
  <c r="T50" i="1"/>
  <c r="I51" i="1" s="1"/>
  <c r="AO51" i="1" s="1"/>
  <c r="G50" i="2"/>
  <c r="Z50" i="2" s="1"/>
  <c r="AA51" i="8" s="1"/>
  <c r="C50" i="8" l="1"/>
  <c r="BJ51" i="1"/>
  <c r="P50" i="7"/>
  <c r="F50" i="9"/>
  <c r="B51" i="8" l="1"/>
  <c r="Y50" i="2"/>
  <c r="X50" i="2" s="1"/>
  <c r="D51" i="2" l="1"/>
  <c r="AB51" i="7"/>
  <c r="H51" i="11"/>
  <c r="AW51" i="8"/>
  <c r="E51" i="2"/>
  <c r="L51" i="2" s="1"/>
  <c r="U51" i="2" l="1"/>
  <c r="W50" i="2" s="1"/>
  <c r="C51" i="2" l="1"/>
  <c r="S51" i="8" s="1"/>
  <c r="F51" i="2" l="1"/>
  <c r="AP51" i="1" s="1"/>
  <c r="I51" i="2"/>
  <c r="AA51" i="1" s="1"/>
  <c r="S51" i="1" s="1"/>
  <c r="H51" i="2"/>
  <c r="F51" i="1"/>
  <c r="H51" i="1"/>
  <c r="AK51" i="5" l="1"/>
  <c r="BI51" i="1"/>
  <c r="V51" i="10"/>
  <c r="AC51" i="7"/>
  <c r="AJ51" i="7" s="1"/>
  <c r="AQ51" i="8"/>
  <c r="C51" i="11"/>
  <c r="T51" i="8"/>
  <c r="W51" i="8" s="1"/>
  <c r="V51" i="8"/>
  <c r="O51" i="7"/>
  <c r="I51" i="11"/>
  <c r="J51" i="11"/>
  <c r="T51" i="1"/>
  <c r="I52" i="1" s="1"/>
  <c r="G51" i="2"/>
  <c r="Z51" i="2" s="1"/>
  <c r="AA52" i="8" s="1"/>
  <c r="AO52" i="1" l="1"/>
  <c r="B64" i="4"/>
  <c r="E64" i="8"/>
  <c r="BJ52" i="1"/>
  <c r="F51" i="9"/>
  <c r="P51" i="7"/>
  <c r="C51" i="8"/>
  <c r="CG64" i="8" l="1"/>
  <c r="P64" i="8" s="1"/>
  <c r="M64" i="2"/>
  <c r="DF64" i="8"/>
  <c r="G64" i="1" s="1"/>
  <c r="N64" i="8" s="1"/>
  <c r="Y51" i="2"/>
  <c r="X51" i="2" s="1"/>
  <c r="B52" i="8" l="1"/>
  <c r="D52" i="2" s="1"/>
  <c r="F44" i="4"/>
  <c r="R64" i="8"/>
  <c r="E52" i="2"/>
  <c r="L52" i="2" s="1"/>
  <c r="AB52" i="7"/>
  <c r="AW52" i="8"/>
  <c r="H52" i="11"/>
  <c r="U52" i="2" l="1"/>
  <c r="W51" i="2" s="1"/>
  <c r="C52" i="2" l="1"/>
  <c r="B57" i="4" s="1"/>
  <c r="F52" i="1" l="1"/>
  <c r="S52" i="8"/>
  <c r="V52" i="8" s="1"/>
  <c r="H52" i="1"/>
  <c r="F52" i="2"/>
  <c r="H52" i="2"/>
  <c r="I52" i="2"/>
  <c r="AA52" i="1" s="1"/>
  <c r="S52" i="1" s="1"/>
  <c r="B62" i="4" s="1"/>
  <c r="I60" i="4" l="1"/>
  <c r="J60" i="4"/>
  <c r="BI52" i="1"/>
  <c r="B63" i="4"/>
  <c r="AP52" i="1"/>
  <c r="T52" i="1" s="1"/>
  <c r="I53" i="1" s="1"/>
  <c r="G52" i="2"/>
  <c r="Z52" i="2" s="1"/>
  <c r="AA53" i="8" s="1"/>
  <c r="H53" i="1"/>
  <c r="T52" i="8"/>
  <c r="W52" i="8" s="1"/>
  <c r="O52" i="7"/>
  <c r="J52" i="11"/>
  <c r="P52" i="7" s="1"/>
  <c r="I52" i="11"/>
  <c r="C52" i="11"/>
  <c r="AK52" i="5"/>
  <c r="V52" i="10"/>
  <c r="AQ52" i="8"/>
  <c r="AC52" i="7"/>
  <c r="AJ52" i="7" s="1"/>
  <c r="AQ53" i="8" l="1"/>
  <c r="AO53" i="1"/>
  <c r="BJ53" i="1"/>
  <c r="C52" i="8"/>
  <c r="C53" i="11"/>
  <c r="AK53" i="5"/>
  <c r="V53" i="10"/>
  <c r="BI53" i="1"/>
  <c r="AC53" i="7"/>
  <c r="F52" i="9"/>
  <c r="Y52" i="2"/>
  <c r="X52" i="2" s="1"/>
  <c r="E65" i="8" l="1"/>
  <c r="B53" i="8"/>
  <c r="D53" i="2" s="1"/>
  <c r="CG65" i="8" l="1"/>
  <c r="P65" i="8" s="1"/>
  <c r="DF65" i="8"/>
  <c r="G65" i="1" s="1"/>
  <c r="N65" i="8" s="1"/>
  <c r="M65" i="2"/>
  <c r="AB53" i="7"/>
  <c r="AJ53" i="7" s="1"/>
  <c r="AW53" i="8"/>
  <c r="E53" i="2"/>
  <c r="L53" i="2" s="1"/>
  <c r="H53" i="11"/>
  <c r="R65" i="8" l="1"/>
  <c r="U53" i="2"/>
  <c r="W52" i="2" s="1"/>
  <c r="C53" i="2" s="1"/>
  <c r="S53" i="8" s="1"/>
  <c r="F53" i="2" l="1"/>
  <c r="AP53" i="1" s="1"/>
  <c r="F53" i="1"/>
  <c r="I53" i="2"/>
  <c r="H53" i="2"/>
  <c r="T53" i="8" l="1"/>
  <c r="W53" i="8" s="1"/>
  <c r="V53" i="8"/>
  <c r="AA53" i="1"/>
  <c r="S53" i="1" s="1"/>
  <c r="H54" i="1" s="1"/>
  <c r="I53" i="11"/>
  <c r="O53" i="7"/>
  <c r="T53" i="1"/>
  <c r="I54" i="1" s="1"/>
  <c r="AO54" i="1" s="1"/>
  <c r="J53" i="11"/>
  <c r="G53" i="2"/>
  <c r="Z53" i="2" s="1"/>
  <c r="AA54" i="8" s="1"/>
  <c r="P53" i="7" l="1"/>
  <c r="F53" i="9"/>
  <c r="C54" i="11"/>
  <c r="AC54" i="7"/>
  <c r="AQ54" i="8"/>
  <c r="BI54" i="1"/>
  <c r="V54" i="10"/>
  <c r="AK54" i="5"/>
  <c r="C53" i="8"/>
  <c r="BJ54" i="1"/>
  <c r="E66" i="8" l="1"/>
  <c r="B54" i="8"/>
  <c r="Y53" i="2"/>
  <c r="X53" i="2" s="1"/>
  <c r="CG66" i="8" l="1"/>
  <c r="P66" i="8" s="1"/>
  <c r="M66" i="2"/>
  <c r="DF66" i="8"/>
  <c r="G66" i="1" s="1"/>
  <c r="N66" i="8" s="1"/>
  <c r="D54" i="2"/>
  <c r="E54" i="2"/>
  <c r="L54" i="2" s="1"/>
  <c r="AW54" i="8"/>
  <c r="AB54" i="7"/>
  <c r="AJ54" i="7" s="1"/>
  <c r="H54" i="11"/>
  <c r="R66" i="8" l="1"/>
  <c r="U54" i="2"/>
  <c r="W53" i="2" s="1"/>
  <c r="C54" i="2" l="1"/>
  <c r="S54" i="8" s="1"/>
  <c r="H54" i="2" l="1"/>
  <c r="I54" i="2"/>
  <c r="AA54" i="1" s="1"/>
  <c r="S54" i="1" s="1"/>
  <c r="H55" i="1" s="1"/>
  <c r="F54" i="2"/>
  <c r="AP54" i="1" s="1"/>
  <c r="F54" i="1"/>
  <c r="J54" i="11" l="1"/>
  <c r="T54" i="1"/>
  <c r="I55" i="1" s="1"/>
  <c r="AO55" i="1" s="1"/>
  <c r="G54" i="2"/>
  <c r="Z54" i="2" s="1"/>
  <c r="AA55" i="8" s="1"/>
  <c r="O54" i="7"/>
  <c r="I54" i="11"/>
  <c r="AQ55" i="8"/>
  <c r="AC55" i="7"/>
  <c r="C55" i="11"/>
  <c r="V55" i="10"/>
  <c r="AK55" i="5"/>
  <c r="BI55" i="1"/>
  <c r="T54" i="8"/>
  <c r="W54" i="8" s="1"/>
  <c r="V54" i="8"/>
  <c r="C54" i="8" l="1"/>
  <c r="BJ55" i="1"/>
  <c r="F54" i="9"/>
  <c r="P54" i="7"/>
  <c r="E67" i="8" l="1"/>
  <c r="B55" i="8"/>
  <c r="Y54" i="2"/>
  <c r="X54" i="2" s="1"/>
  <c r="CG67" i="8" l="1"/>
  <c r="P67" i="8" s="1"/>
  <c r="M67" i="2"/>
  <c r="DF67" i="8"/>
  <c r="G67" i="1" s="1"/>
  <c r="N67" i="8" s="1"/>
  <c r="D55" i="2"/>
  <c r="AB55" i="7"/>
  <c r="AJ55" i="7" s="1"/>
  <c r="H55" i="11"/>
  <c r="E55" i="2"/>
  <c r="L55" i="2" s="1"/>
  <c r="AW55" i="8"/>
  <c r="R67" i="8" l="1"/>
  <c r="U55" i="2"/>
  <c r="W54" i="2" s="1"/>
  <c r="C55" i="2" l="1"/>
  <c r="S55" i="8" s="1"/>
  <c r="I55" i="2" l="1"/>
  <c r="AA55" i="1" s="1"/>
  <c r="S55" i="1" s="1"/>
  <c r="H56" i="1" s="1"/>
  <c r="H55" i="2"/>
  <c r="F55" i="2"/>
  <c r="AP55" i="1" s="1"/>
  <c r="F55" i="1"/>
  <c r="T55" i="1" l="1"/>
  <c r="I56" i="1" s="1"/>
  <c r="AO56" i="1" s="1"/>
  <c r="J55" i="11"/>
  <c r="G55" i="2"/>
  <c r="Z55" i="2" s="1"/>
  <c r="AA56" i="8" s="1"/>
  <c r="AK56" i="5"/>
  <c r="AQ56" i="8"/>
  <c r="AC56" i="7"/>
  <c r="BI56" i="1"/>
  <c r="V56" i="10"/>
  <c r="C56" i="11"/>
  <c r="I55" i="11"/>
  <c r="O55" i="7"/>
  <c r="V55" i="8"/>
  <c r="T55" i="8"/>
  <c r="W55" i="8" s="1"/>
  <c r="C55" i="8" l="1"/>
  <c r="P55" i="7"/>
  <c r="F55" i="9"/>
  <c r="BJ56" i="1"/>
  <c r="E68" i="8" l="1"/>
  <c r="B56" i="8"/>
  <c r="Y55" i="2"/>
  <c r="X55" i="2" s="1"/>
  <c r="CG68" i="8" l="1"/>
  <c r="P68" i="8" s="1"/>
  <c r="M68" i="2"/>
  <c r="DF68" i="8"/>
  <c r="G68" i="1" s="1"/>
  <c r="N68" i="8" s="1"/>
  <c r="D56" i="2"/>
  <c r="E56" i="2"/>
  <c r="L56" i="2" s="1"/>
  <c r="AW56" i="8"/>
  <c r="H56" i="11"/>
  <c r="AB56" i="7"/>
  <c r="AJ56" i="7" s="1"/>
  <c r="R68" i="8" l="1"/>
  <c r="U56" i="2"/>
  <c r="W55" i="2" s="1"/>
  <c r="C56" i="2" l="1"/>
  <c r="S56" i="8" s="1"/>
  <c r="F56" i="1" l="1"/>
  <c r="F56" i="2"/>
  <c r="AP56" i="1" s="1"/>
  <c r="I56" i="2"/>
  <c r="H56" i="2"/>
  <c r="T56" i="8" l="1"/>
  <c r="W56" i="8" s="1"/>
  <c r="V56" i="8"/>
  <c r="J56" i="11"/>
  <c r="T56" i="1"/>
  <c r="I57" i="1" s="1"/>
  <c r="AO57" i="1" s="1"/>
  <c r="G56" i="2"/>
  <c r="Z56" i="2" s="1"/>
  <c r="AA57" i="8" s="1"/>
  <c r="AA56" i="1"/>
  <c r="S56" i="1" s="1"/>
  <c r="H57" i="1" s="1"/>
  <c r="O56" i="7"/>
  <c r="I56" i="11"/>
  <c r="BJ57" i="1" l="1"/>
  <c r="P56" i="7"/>
  <c r="F56" i="9"/>
  <c r="BI57" i="1"/>
  <c r="V57" i="10"/>
  <c r="AQ57" i="8"/>
  <c r="AK57" i="5"/>
  <c r="AC57" i="7"/>
  <c r="C57" i="11"/>
  <c r="C56" i="8"/>
  <c r="E69" i="8" l="1"/>
  <c r="B57" i="8"/>
  <c r="Y56" i="2"/>
  <c r="X56" i="2" s="1"/>
  <c r="CG69" i="8" l="1"/>
  <c r="P69" i="8" s="1"/>
  <c r="DF69" i="8"/>
  <c r="G69" i="1" s="1"/>
  <c r="N69" i="8" s="1"/>
  <c r="M69" i="2"/>
  <c r="D57" i="2"/>
  <c r="AB57" i="7"/>
  <c r="AJ57" i="7" s="1"/>
  <c r="AW57" i="8"/>
  <c r="E57" i="2"/>
  <c r="L57" i="2" s="1"/>
  <c r="H57" i="11"/>
  <c r="R69" i="8" l="1"/>
  <c r="U57" i="2"/>
  <c r="W56" i="2" s="1"/>
  <c r="C57" i="2" l="1"/>
  <c r="S57" i="8" s="1"/>
  <c r="H57" i="2" l="1"/>
  <c r="F57" i="2"/>
  <c r="AP57" i="1" s="1"/>
  <c r="I57" i="2"/>
  <c r="F57" i="1"/>
  <c r="T57" i="8" l="1"/>
  <c r="W57" i="8" s="1"/>
  <c r="V57" i="8"/>
  <c r="J57" i="11"/>
  <c r="T57" i="1"/>
  <c r="I58" i="1" s="1"/>
  <c r="AO58" i="1" s="1"/>
  <c r="G57" i="2"/>
  <c r="Z57" i="2" s="1"/>
  <c r="AA58" i="8" s="1"/>
  <c r="AA57" i="1"/>
  <c r="S57" i="1" s="1"/>
  <c r="H58" i="1" s="1"/>
  <c r="O57" i="7"/>
  <c r="I57" i="11"/>
  <c r="C58" i="11" l="1"/>
  <c r="AQ58" i="8"/>
  <c r="V58" i="10"/>
  <c r="BI58" i="1"/>
  <c r="AK58" i="5"/>
  <c r="AC58" i="7"/>
  <c r="C57" i="8"/>
  <c r="BJ58" i="1"/>
  <c r="F57" i="9"/>
  <c r="P57" i="7"/>
  <c r="E70" i="8" l="1"/>
  <c r="Y57" i="2"/>
  <c r="X57" i="2" s="1"/>
  <c r="M70" i="2" l="1"/>
  <c r="DF70" i="8"/>
  <c r="G70" i="1" s="1"/>
  <c r="N70" i="8" s="1"/>
  <c r="CG70" i="8"/>
  <c r="P70" i="8" s="1"/>
  <c r="B58" i="8"/>
  <c r="D58" i="2" s="1"/>
  <c r="H58" i="11"/>
  <c r="AB58" i="7"/>
  <c r="AJ58" i="7" s="1"/>
  <c r="E58" i="2"/>
  <c r="L58" i="2" s="1"/>
  <c r="AW58" i="8"/>
  <c r="R70" i="8" l="1"/>
  <c r="U58" i="2"/>
  <c r="W57" i="2" s="1"/>
  <c r="C58" i="2" l="1"/>
  <c r="S58" i="8" s="1"/>
  <c r="F58" i="1" l="1"/>
  <c r="H58" i="2"/>
  <c r="F58" i="2"/>
  <c r="AP58" i="1" s="1"/>
  <c r="I58" i="2"/>
  <c r="AA58" i="1" s="1"/>
  <c r="S58" i="1" s="1"/>
  <c r="H59" i="1" s="1"/>
  <c r="AK59" i="5" l="1"/>
  <c r="AC59" i="7"/>
  <c r="C59" i="11"/>
  <c r="AQ59" i="8"/>
  <c r="V59" i="10"/>
  <c r="BI59" i="1"/>
  <c r="I58" i="11"/>
  <c r="O58" i="7"/>
  <c r="J58" i="11"/>
  <c r="T58" i="1"/>
  <c r="I59" i="1" s="1"/>
  <c r="AO59" i="1" s="1"/>
  <c r="G58" i="2"/>
  <c r="Z58" i="2" s="1"/>
  <c r="AA59" i="8" s="1"/>
  <c r="T58" i="8"/>
  <c r="W58" i="8" s="1"/>
  <c r="V58" i="8"/>
  <c r="BJ59" i="1" l="1"/>
  <c r="C58" i="8"/>
  <c r="P58" i="7"/>
  <c r="F58" i="9"/>
  <c r="B59" i="8" l="1"/>
  <c r="Y58" i="2"/>
  <c r="X58" i="2" s="1"/>
  <c r="E59" i="2" l="1"/>
  <c r="L59" i="2" s="1"/>
  <c r="H59" i="11"/>
  <c r="AB59" i="7"/>
  <c r="AJ59" i="7" s="1"/>
  <c r="AW59" i="8"/>
  <c r="D59" i="2"/>
  <c r="U59" i="2" l="1"/>
  <c r="W58" i="2" s="1"/>
  <c r="C59" i="2" l="1"/>
  <c r="S59" i="8" s="1"/>
  <c r="F59" i="1" l="1"/>
  <c r="I59" i="2"/>
  <c r="AA59" i="1" s="1"/>
  <c r="S59" i="1" s="1"/>
  <c r="H60" i="1" s="1"/>
  <c r="H59" i="2"/>
  <c r="F59" i="2"/>
  <c r="AP59" i="1" s="1"/>
  <c r="T59" i="1" l="1"/>
  <c r="I60" i="1" s="1"/>
  <c r="AO60" i="1" s="1"/>
  <c r="J59" i="11"/>
  <c r="G59" i="2"/>
  <c r="Z59" i="2" s="1"/>
  <c r="AA60" i="8" s="1"/>
  <c r="V60" i="10"/>
  <c r="AC60" i="7"/>
  <c r="C60" i="11"/>
  <c r="BI60" i="1"/>
  <c r="AQ60" i="8"/>
  <c r="AK60" i="5"/>
  <c r="V59" i="8"/>
  <c r="T59" i="8"/>
  <c r="W59" i="8" s="1"/>
  <c r="I59" i="11"/>
  <c r="O59" i="7"/>
  <c r="C59" i="8" l="1"/>
  <c r="P59" i="7"/>
  <c r="F59" i="9"/>
  <c r="BJ60" i="1"/>
  <c r="E71" i="8" l="1"/>
  <c r="Y59" i="2"/>
  <c r="X59" i="2" s="1"/>
  <c r="CG71" i="8" l="1"/>
  <c r="P71" i="8" s="1"/>
  <c r="M71" i="2"/>
  <c r="DF71" i="8"/>
  <c r="G71" i="1" s="1"/>
  <c r="N71" i="8" s="1"/>
  <c r="B60" i="8"/>
  <c r="D60" i="2" s="1"/>
  <c r="H60" i="11"/>
  <c r="AW60" i="8"/>
  <c r="AB60" i="7"/>
  <c r="AJ60" i="7" s="1"/>
  <c r="E60" i="2"/>
  <c r="L60" i="2" s="1"/>
  <c r="R71" i="8" l="1"/>
  <c r="U60" i="2"/>
  <c r="W59" i="2" s="1"/>
  <c r="C60" i="2" l="1"/>
  <c r="S60" i="8" s="1"/>
  <c r="H60" i="2" l="1"/>
  <c r="F60" i="1"/>
  <c r="F60" i="2"/>
  <c r="AP60" i="1" s="1"/>
  <c r="I60" i="2"/>
  <c r="O60" i="7" l="1"/>
  <c r="AA60" i="1"/>
  <c r="S60" i="1" s="1"/>
  <c r="H61" i="1" s="1"/>
  <c r="I60" i="11"/>
  <c r="G60" i="2"/>
  <c r="Z60" i="2" s="1"/>
  <c r="AA61" i="8" s="1"/>
  <c r="J60" i="11"/>
  <c r="T60" i="1"/>
  <c r="I61" i="1" s="1"/>
  <c r="AO61" i="1" s="1"/>
  <c r="V60" i="8"/>
  <c r="T60" i="8"/>
  <c r="W60" i="8" s="1"/>
  <c r="BJ61" i="1" l="1"/>
  <c r="P60" i="7"/>
  <c r="F60" i="9"/>
  <c r="C60" i="8"/>
  <c r="C61" i="11"/>
  <c r="AQ61" i="8"/>
  <c r="AK61" i="5"/>
  <c r="BI61" i="1"/>
  <c r="AC61" i="7"/>
  <c r="V61" i="10"/>
  <c r="E72" i="8" l="1"/>
  <c r="Y60" i="2"/>
  <c r="X60" i="2" s="1"/>
  <c r="AW61" i="8" l="1"/>
  <c r="AB61" i="7"/>
  <c r="AJ61" i="7" s="1"/>
  <c r="H61" i="11"/>
  <c r="B61" i="8"/>
  <c r="D61" i="2" s="1"/>
  <c r="E61" i="2"/>
  <c r="L61" i="2" s="1"/>
  <c r="CG72" i="8"/>
  <c r="P72" i="8" s="1"/>
  <c r="DF72" i="8"/>
  <c r="G72" i="1" s="1"/>
  <c r="N72" i="8" s="1"/>
  <c r="M72" i="2"/>
  <c r="R72" i="8" l="1"/>
  <c r="U61" i="2"/>
  <c r="W60" i="2" s="1"/>
  <c r="C61" i="2" s="1"/>
  <c r="S61" i="8" s="1"/>
  <c r="I61" i="2" l="1"/>
  <c r="AA61" i="1" s="1"/>
  <c r="S61" i="1" s="1"/>
  <c r="H62" i="1" s="1"/>
  <c r="V61" i="8"/>
  <c r="F61" i="2"/>
  <c r="H61" i="2"/>
  <c r="F61" i="1"/>
  <c r="AC62" i="7" l="1"/>
  <c r="G61" i="2"/>
  <c r="Z61" i="2" s="1"/>
  <c r="AA62" i="8" s="1"/>
  <c r="AP61" i="1"/>
  <c r="T61" i="1" s="1"/>
  <c r="I62" i="1" s="1"/>
  <c r="AO62" i="1" s="1"/>
  <c r="J61" i="11"/>
  <c r="P61" i="7" s="1"/>
  <c r="O61" i="7"/>
  <c r="I61" i="11"/>
  <c r="AQ62" i="8"/>
  <c r="BI62" i="1"/>
  <c r="AK62" i="5"/>
  <c r="V62" i="10"/>
  <c r="C62" i="11"/>
  <c r="T61" i="8"/>
  <c r="W61" i="8" s="1"/>
  <c r="C61" i="8" l="1"/>
  <c r="F61" i="9"/>
  <c r="BJ62" i="1"/>
  <c r="E73" i="8"/>
  <c r="Y61" i="2"/>
  <c r="X61" i="2" s="1"/>
  <c r="M73" i="2" l="1"/>
  <c r="DF73" i="8"/>
  <c r="G73" i="1" s="1"/>
  <c r="N73" i="8" s="1"/>
  <c r="CG73" i="8"/>
  <c r="P73" i="8" s="1"/>
  <c r="B62" i="8"/>
  <c r="D62" i="2" s="1"/>
  <c r="E62" i="2"/>
  <c r="L62" i="2" s="1"/>
  <c r="AB62" i="7"/>
  <c r="AJ62" i="7" s="1"/>
  <c r="AW62" i="8"/>
  <c r="H62" i="11"/>
  <c r="R73" i="8" l="1"/>
  <c r="U62" i="2"/>
  <c r="W61" i="2" s="1"/>
  <c r="C62" i="2" l="1"/>
  <c r="S62" i="8" s="1"/>
  <c r="F62" i="2" l="1"/>
  <c r="AP62" i="1" s="1"/>
  <c r="I62" i="2"/>
  <c r="AA62" i="1" s="1"/>
  <c r="S62" i="1" s="1"/>
  <c r="H63" i="1" s="1"/>
  <c r="H62" i="2"/>
  <c r="F62" i="1"/>
  <c r="T62" i="8" l="1"/>
  <c r="W62" i="8" s="1"/>
  <c r="V62" i="8"/>
  <c r="I62" i="11"/>
  <c r="O62" i="7"/>
  <c r="AC63" i="7"/>
  <c r="V63" i="10"/>
  <c r="AK63" i="5"/>
  <c r="BI63" i="1"/>
  <c r="AQ63" i="8"/>
  <c r="C63" i="11"/>
  <c r="J62" i="11"/>
  <c r="T62" i="1"/>
  <c r="I63" i="1" s="1"/>
  <c r="AO63" i="1" s="1"/>
  <c r="G62" i="2"/>
  <c r="Z62" i="2" s="1"/>
  <c r="AA63" i="8" s="1"/>
  <c r="BJ63" i="1" l="1"/>
  <c r="P62" i="7"/>
  <c r="F62" i="9"/>
  <c r="C62" i="8"/>
  <c r="E74" i="8" l="1"/>
  <c r="Y62" i="2"/>
  <c r="X62" i="2" s="1"/>
  <c r="DF74" i="8" l="1"/>
  <c r="G74" i="1" s="1"/>
  <c r="N74" i="8" s="1"/>
  <c r="CG74" i="8"/>
  <c r="P74" i="8" s="1"/>
  <c r="M74" i="2"/>
  <c r="B63" i="8"/>
  <c r="D63" i="2" s="1"/>
  <c r="E63" i="2"/>
  <c r="L63" i="2" s="1"/>
  <c r="H63" i="11"/>
  <c r="AW63" i="8"/>
  <c r="AB63" i="7"/>
  <c r="AJ63" i="7" s="1"/>
  <c r="R74" i="8" l="1"/>
  <c r="U63" i="2"/>
  <c r="W62" i="2" s="1"/>
  <c r="C63" i="2" l="1"/>
  <c r="S63" i="8" s="1"/>
  <c r="F63" i="2" l="1"/>
  <c r="AP63" i="1" s="1"/>
  <c r="I63" i="2"/>
  <c r="AA63" i="1" s="1"/>
  <c r="S63" i="1" s="1"/>
  <c r="H64" i="1" s="1"/>
  <c r="F63" i="1"/>
  <c r="H63" i="2"/>
  <c r="J63" i="11" l="1"/>
  <c r="T63" i="1"/>
  <c r="I64" i="1" s="1"/>
  <c r="AO64" i="1" s="1"/>
  <c r="G63" i="2"/>
  <c r="Z63" i="2" s="1"/>
  <c r="AA64" i="8" s="1"/>
  <c r="C64" i="11"/>
  <c r="AQ64" i="8"/>
  <c r="V64" i="10"/>
  <c r="AK64" i="5"/>
  <c r="AC64" i="7"/>
  <c r="BI64" i="1"/>
  <c r="I63" i="11"/>
  <c r="O63" i="7"/>
  <c r="V63" i="8"/>
  <c r="T63" i="8"/>
  <c r="W63" i="8" s="1"/>
  <c r="BJ64" i="1" l="1"/>
  <c r="C63" i="8"/>
  <c r="P63" i="7"/>
  <c r="F63" i="9"/>
  <c r="E75" i="8" l="1"/>
  <c r="Y63" i="2"/>
  <c r="X63" i="2" s="1"/>
  <c r="CG75" i="8" l="1"/>
  <c r="P75" i="8" s="1"/>
  <c r="B64" i="8"/>
  <c r="D64" i="2" s="1"/>
  <c r="DF75" i="8"/>
  <c r="G75" i="1" s="1"/>
  <c r="N75" i="8" s="1"/>
  <c r="M75" i="2"/>
  <c r="E64" i="2"/>
  <c r="L64" i="2" s="1"/>
  <c r="AB64" i="7"/>
  <c r="AJ64" i="7" s="1"/>
  <c r="H64" i="11"/>
  <c r="M28" i="7"/>
  <c r="AW64" i="8"/>
  <c r="R75" i="8" l="1"/>
  <c r="U64" i="2"/>
  <c r="W63" i="2" s="1"/>
  <c r="C64" i="2" l="1"/>
  <c r="S64" i="8" s="1"/>
  <c r="F64" i="1" l="1"/>
  <c r="H64" i="2"/>
  <c r="I64" i="2"/>
  <c r="AA64" i="1" s="1"/>
  <c r="S64" i="1" s="1"/>
  <c r="H65" i="1" s="1"/>
  <c r="F64" i="2"/>
  <c r="AP64" i="1" s="1"/>
  <c r="C65" i="11" l="1"/>
  <c r="AK65" i="5"/>
  <c r="AQ65" i="8"/>
  <c r="V65" i="10"/>
  <c r="BI65" i="1"/>
  <c r="AC65" i="7"/>
  <c r="O64" i="7"/>
  <c r="I64" i="11"/>
  <c r="T64" i="8"/>
  <c r="W64" i="8" s="1"/>
  <c r="V64" i="8"/>
  <c r="T64" i="1"/>
  <c r="I65" i="1" s="1"/>
  <c r="AO65" i="1" s="1"/>
  <c r="J64" i="11"/>
  <c r="G64" i="2"/>
  <c r="Z64" i="2" s="1"/>
  <c r="AA65" i="8" s="1"/>
  <c r="F64" i="9" l="1"/>
  <c r="P64" i="7"/>
  <c r="C64" i="8"/>
  <c r="BJ65" i="1"/>
  <c r="E76" i="8" l="1"/>
  <c r="Y64" i="2"/>
  <c r="X64" i="2" s="1"/>
  <c r="DF76" i="8" l="1"/>
  <c r="G76" i="1" s="1"/>
  <c r="N76" i="8" s="1"/>
  <c r="CG76" i="8"/>
  <c r="P76" i="8" s="1"/>
  <c r="M76" i="2"/>
  <c r="E77" i="8"/>
  <c r="B65" i="8"/>
  <c r="D65" i="2" s="1"/>
  <c r="H65" i="11"/>
  <c r="E65" i="2"/>
  <c r="L65" i="2" s="1"/>
  <c r="AB65" i="7"/>
  <c r="AJ65" i="7" s="1"/>
  <c r="AW65" i="8"/>
  <c r="U65" i="2" l="1"/>
  <c r="W64" i="2" s="1"/>
  <c r="C39" i="4"/>
  <c r="C93" i="4"/>
  <c r="C42" i="4" s="1"/>
  <c r="E42" i="4" s="1"/>
  <c r="R76" i="8"/>
  <c r="F39" i="4"/>
  <c r="H39" i="4" s="1"/>
  <c r="H43" i="4" s="1"/>
  <c r="J52" i="4" s="1"/>
  <c r="DF77" i="8"/>
  <c r="G77" i="1" s="1"/>
  <c r="N77" i="8" s="1"/>
  <c r="CG77" i="8"/>
  <c r="P77" i="8" s="1"/>
  <c r="M77" i="2"/>
  <c r="E78" i="8"/>
  <c r="B60" i="4" l="1"/>
  <c r="C43" i="4"/>
  <c r="I51" i="4" s="1"/>
  <c r="E39" i="4"/>
  <c r="E43" i="4" s="1"/>
  <c r="B61" i="4" s="1"/>
  <c r="R77" i="8"/>
  <c r="F43" i="4"/>
  <c r="I52" i="4" s="1"/>
  <c r="M78" i="2"/>
  <c r="E79" i="8"/>
  <c r="DF78" i="8"/>
  <c r="G78" i="1" s="1"/>
  <c r="N78" i="8" s="1"/>
  <c r="CG78" i="8"/>
  <c r="P78" i="8" s="1"/>
  <c r="C65" i="2"/>
  <c r="S65" i="8" s="1"/>
  <c r="J51" i="4" l="1"/>
  <c r="R78" i="8"/>
  <c r="CG79" i="8"/>
  <c r="P79" i="8" s="1"/>
  <c r="E80" i="8"/>
  <c r="M79" i="2"/>
  <c r="DF79" i="8"/>
  <c r="G79" i="1" s="1"/>
  <c r="N79" i="8" s="1"/>
  <c r="I65" i="2"/>
  <c r="AA65" i="1" s="1"/>
  <c r="S65" i="1" s="1"/>
  <c r="H66" i="1" s="1"/>
  <c r="F65" i="1"/>
  <c r="H65" i="2"/>
  <c r="F65" i="2"/>
  <c r="AP65" i="1" s="1"/>
  <c r="R79" i="8" l="1"/>
  <c r="DF80" i="8"/>
  <c r="G80" i="1" s="1"/>
  <c r="N80" i="8" s="1"/>
  <c r="M80" i="2"/>
  <c r="CG80" i="8"/>
  <c r="P80" i="8" s="1"/>
  <c r="E81" i="8"/>
  <c r="AC66" i="7"/>
  <c r="C66" i="11"/>
  <c r="V66" i="10"/>
  <c r="AK66" i="5"/>
  <c r="AQ66" i="8"/>
  <c r="BI66" i="1"/>
  <c r="T65" i="1"/>
  <c r="I66" i="1" s="1"/>
  <c r="AO66" i="1" s="1"/>
  <c r="J65" i="11"/>
  <c r="G65" i="2"/>
  <c r="Z65" i="2" s="1"/>
  <c r="AA66" i="8" s="1"/>
  <c r="T65" i="8"/>
  <c r="W65" i="8" s="1"/>
  <c r="V65" i="8"/>
  <c r="I65" i="11"/>
  <c r="O65" i="7"/>
  <c r="R80" i="8" l="1"/>
  <c r="DF81" i="8"/>
  <c r="G81" i="1" s="1"/>
  <c r="N81" i="8" s="1"/>
  <c r="CG81" i="8"/>
  <c r="P81" i="8" s="1"/>
  <c r="M81" i="2"/>
  <c r="E82" i="8"/>
  <c r="C65" i="8"/>
  <c r="BJ66" i="1"/>
  <c r="F65" i="9"/>
  <c r="P65" i="7"/>
  <c r="R81" i="8" l="1"/>
  <c r="CG82" i="8"/>
  <c r="P82" i="8" s="1"/>
  <c r="M82" i="2"/>
  <c r="DF82" i="8"/>
  <c r="G82" i="1" s="1"/>
  <c r="N82" i="8" s="1"/>
  <c r="Y65" i="2"/>
  <c r="X65" i="2" s="1"/>
  <c r="R82" i="8" l="1"/>
  <c r="B66" i="8"/>
  <c r="D66" i="2" s="1"/>
  <c r="AB66" i="7"/>
  <c r="AJ66" i="7" s="1"/>
  <c r="H66" i="11"/>
  <c r="AW66" i="8"/>
  <c r="E66" i="2"/>
  <c r="L66" i="2" s="1"/>
  <c r="U66" i="2" l="1"/>
  <c r="W65" i="2" s="1"/>
  <c r="C66" i="2" l="1"/>
  <c r="S66" i="8" s="1"/>
  <c r="I66" i="2" l="1"/>
  <c r="AA66" i="1" s="1"/>
  <c r="S66" i="1" s="1"/>
  <c r="H67" i="1" s="1"/>
  <c r="F66" i="2"/>
  <c r="AP66" i="1" s="1"/>
  <c r="H66" i="2"/>
  <c r="F66" i="1"/>
  <c r="AC67" i="7" l="1"/>
  <c r="C67" i="11"/>
  <c r="BI67" i="1"/>
  <c r="V67" i="10"/>
  <c r="AK67" i="5"/>
  <c r="AQ67" i="8"/>
  <c r="M26" i="7" s="1"/>
  <c r="V66" i="8"/>
  <c r="T66" i="8"/>
  <c r="W66" i="8" s="1"/>
  <c r="T66" i="1"/>
  <c r="I67" i="1" s="1"/>
  <c r="AO67" i="1" s="1"/>
  <c r="J66" i="11"/>
  <c r="G66" i="2"/>
  <c r="Z66" i="2" s="1"/>
  <c r="AA67" i="8" s="1"/>
  <c r="O66" i="7"/>
  <c r="I66" i="11"/>
  <c r="C66" i="8" l="1"/>
  <c r="P66" i="7"/>
  <c r="F66" i="9"/>
  <c r="BJ67" i="1"/>
  <c r="Y66" i="2" l="1"/>
  <c r="X66" i="2" s="1"/>
  <c r="B67" i="8" l="1"/>
  <c r="D67" i="2" s="1"/>
  <c r="H67" i="11"/>
  <c r="E67" i="2"/>
  <c r="L67" i="2" s="1"/>
  <c r="AB67" i="7"/>
  <c r="AJ67" i="7" s="1"/>
  <c r="AW67" i="8"/>
  <c r="U67" i="2" l="1"/>
  <c r="W66" i="2" s="1"/>
  <c r="C67" i="2" l="1"/>
  <c r="S67" i="8" s="1"/>
  <c r="I67" i="2" l="1"/>
  <c r="AA67" i="1" s="1"/>
  <c r="S67" i="1" s="1"/>
  <c r="H68" i="1" s="1"/>
  <c r="H67" i="2"/>
  <c r="F67" i="2"/>
  <c r="AP67" i="1" s="1"/>
  <c r="F67" i="1"/>
  <c r="AK68" i="5" l="1"/>
  <c r="BI68" i="1"/>
  <c r="V68" i="10"/>
  <c r="C68" i="11"/>
  <c r="AQ68" i="8"/>
  <c r="AC68" i="7"/>
  <c r="T67" i="8"/>
  <c r="W67" i="8" s="1"/>
  <c r="V67" i="8"/>
  <c r="T67" i="1"/>
  <c r="I68" i="1" s="1"/>
  <c r="AO68" i="1" s="1"/>
  <c r="J67" i="11"/>
  <c r="G67" i="2"/>
  <c r="Z67" i="2" s="1"/>
  <c r="AA68" i="8" s="1"/>
  <c r="I67" i="11"/>
  <c r="O67" i="7"/>
  <c r="P67" i="7" l="1"/>
  <c r="F67" i="9"/>
  <c r="C67" i="8"/>
  <c r="BJ68" i="1"/>
  <c r="Y67" i="2" l="1"/>
  <c r="X67" i="2" s="1"/>
  <c r="B68" i="8" l="1"/>
  <c r="D68" i="2" s="1"/>
  <c r="H68" i="11"/>
  <c r="AB68" i="7"/>
  <c r="AJ68" i="7" s="1"/>
  <c r="AW68" i="8"/>
  <c r="E68" i="2"/>
  <c r="L68" i="2" s="1"/>
  <c r="U68" i="2" l="1"/>
  <c r="W67" i="2" s="1"/>
  <c r="C68" i="2" l="1"/>
  <c r="S68" i="8" s="1"/>
  <c r="I68" i="2" l="1"/>
  <c r="AA68" i="1" s="1"/>
  <c r="S68" i="1" s="1"/>
  <c r="H69" i="1" s="1"/>
  <c r="H68" i="2"/>
  <c r="F68" i="2"/>
  <c r="AP68" i="1" s="1"/>
  <c r="F68" i="1"/>
  <c r="V68" i="8" l="1"/>
  <c r="T68" i="8"/>
  <c r="W68" i="8" s="1"/>
  <c r="AC69" i="7"/>
  <c r="C69" i="11"/>
  <c r="AQ69" i="8"/>
  <c r="BI69" i="1"/>
  <c r="V69" i="10"/>
  <c r="AK69" i="5"/>
  <c r="T68" i="1"/>
  <c r="I69" i="1" s="1"/>
  <c r="AO69" i="1" s="1"/>
  <c r="J68" i="11"/>
  <c r="G68" i="2"/>
  <c r="Z68" i="2" s="1"/>
  <c r="AA69" i="8" s="1"/>
  <c r="I68" i="11"/>
  <c r="O68" i="7"/>
  <c r="BJ69" i="1" l="1"/>
  <c r="C68" i="8"/>
  <c r="P68" i="7"/>
  <c r="F68" i="9"/>
  <c r="Y68" i="2" l="1"/>
  <c r="X68" i="2" s="1"/>
  <c r="B69" i="8" l="1"/>
  <c r="D69" i="2" s="1"/>
  <c r="AB69" i="7"/>
  <c r="AJ69" i="7" s="1"/>
  <c r="AW69" i="8"/>
  <c r="H69" i="11"/>
  <c r="E69" i="2"/>
  <c r="L69" i="2" s="1"/>
  <c r="U69" i="2" l="1"/>
  <c r="W68" i="2" s="1"/>
  <c r="C69" i="2" l="1"/>
  <c r="S69" i="8" s="1"/>
  <c r="I69" i="2" l="1"/>
  <c r="AA69" i="1" s="1"/>
  <c r="S69" i="1" s="1"/>
  <c r="H70" i="1" s="1"/>
  <c r="H69" i="2"/>
  <c r="F69" i="1"/>
  <c r="F69" i="2"/>
  <c r="AP69" i="1" s="1"/>
  <c r="T69" i="1" l="1"/>
  <c r="I70" i="1" s="1"/>
  <c r="AO70" i="1" s="1"/>
  <c r="J69" i="11"/>
  <c r="G69" i="2"/>
  <c r="Z69" i="2" s="1"/>
  <c r="AA70" i="8" s="1"/>
  <c r="V69" i="8"/>
  <c r="T69" i="8"/>
  <c r="W69" i="8" s="1"/>
  <c r="AQ70" i="8"/>
  <c r="AK70" i="5"/>
  <c r="V70" i="10"/>
  <c r="C70" i="11"/>
  <c r="AC70" i="7"/>
  <c r="BI70" i="1"/>
  <c r="I69" i="11"/>
  <c r="O69" i="7"/>
  <c r="C69" i="8" l="1"/>
  <c r="P69" i="7"/>
  <c r="F69" i="9"/>
  <c r="BJ70" i="1"/>
  <c r="Y69" i="2" l="1"/>
  <c r="X69" i="2" s="1"/>
  <c r="B70" i="8" l="1"/>
  <c r="D70" i="2" s="1"/>
  <c r="H70" i="11"/>
  <c r="AW70" i="8"/>
  <c r="AB70" i="7"/>
  <c r="AJ70" i="7" s="1"/>
  <c r="E70" i="2"/>
  <c r="L70" i="2" s="1"/>
  <c r="U70" i="2" l="1"/>
  <c r="W69" i="2" s="1"/>
  <c r="C70" i="2" l="1"/>
  <c r="S70" i="8" s="1"/>
  <c r="F70" i="2" l="1"/>
  <c r="AP70" i="1" s="1"/>
  <c r="I70" i="2"/>
  <c r="F70" i="1"/>
  <c r="H70" i="2"/>
  <c r="T70" i="8" l="1"/>
  <c r="W70" i="8" s="1"/>
  <c r="V70" i="8"/>
  <c r="T70" i="1"/>
  <c r="I71" i="1" s="1"/>
  <c r="AO71" i="1" s="1"/>
  <c r="J70" i="11"/>
  <c r="G70" i="2"/>
  <c r="Z70" i="2" s="1"/>
  <c r="AA71" i="8" s="1"/>
  <c r="O70" i="7"/>
  <c r="I70" i="11"/>
  <c r="AA70" i="1"/>
  <c r="S70" i="1" s="1"/>
  <c r="H71" i="1" s="1"/>
  <c r="P70" i="7" l="1"/>
  <c r="F70" i="9"/>
  <c r="AC71" i="7"/>
  <c r="V71" i="10"/>
  <c r="AK71" i="5"/>
  <c r="BI71" i="1"/>
  <c r="AQ71" i="8"/>
  <c r="C71" i="11"/>
  <c r="C70" i="8"/>
  <c r="BJ71" i="1"/>
  <c r="Y70" i="2" l="1"/>
  <c r="X70" i="2" s="1"/>
  <c r="AW71" i="8" l="1"/>
  <c r="H71" i="11"/>
  <c r="AB71" i="7"/>
  <c r="AJ71" i="7" s="1"/>
  <c r="E71" i="2"/>
  <c r="L71" i="2" s="1"/>
  <c r="B71" i="8"/>
  <c r="D71" i="2" s="1"/>
  <c r="U71" i="2" l="1"/>
  <c r="W70" i="2" s="1"/>
  <c r="C71" i="2" l="1"/>
  <c r="S71" i="8" s="1"/>
  <c r="E83" i="8"/>
  <c r="DF83" i="8" l="1"/>
  <c r="G83" i="1" s="1"/>
  <c r="N83" i="8" s="1"/>
  <c r="M83" i="2"/>
  <c r="CG83" i="8"/>
  <c r="P83" i="8" s="1"/>
  <c r="F71" i="1"/>
  <c r="H71" i="2"/>
  <c r="F71" i="2"/>
  <c r="AP71" i="1" s="1"/>
  <c r="I71" i="2"/>
  <c r="AA71" i="1" s="1"/>
  <c r="S71" i="1" s="1"/>
  <c r="H72" i="1" s="1"/>
  <c r="R83" i="8" l="1"/>
  <c r="C72" i="11"/>
  <c r="BI72" i="1"/>
  <c r="AQ72" i="8"/>
  <c r="AC72" i="7"/>
  <c r="AK72" i="5"/>
  <c r="V72" i="10"/>
  <c r="V71" i="8"/>
  <c r="T71" i="8"/>
  <c r="W71" i="8" s="1"/>
  <c r="T71" i="1"/>
  <c r="I72" i="1" s="1"/>
  <c r="AO72" i="1" s="1"/>
  <c r="J71" i="11"/>
  <c r="G71" i="2"/>
  <c r="Z71" i="2" s="1"/>
  <c r="AA72" i="8" s="1"/>
  <c r="O71" i="7"/>
  <c r="I71" i="11"/>
  <c r="BJ72" i="1" l="1"/>
  <c r="C71" i="8"/>
  <c r="P71" i="7"/>
  <c r="F71" i="9"/>
  <c r="Y71" i="2" l="1"/>
  <c r="X71" i="2" s="1"/>
  <c r="E72" i="2" l="1"/>
  <c r="L72" i="2" s="1"/>
  <c r="H72" i="11"/>
  <c r="AW72" i="8"/>
  <c r="AB72" i="7"/>
  <c r="AJ72" i="7" s="1"/>
  <c r="B72" i="8"/>
  <c r="D72" i="2" s="1"/>
  <c r="U72" i="2" l="1"/>
  <c r="W71" i="2" s="1"/>
  <c r="E84" i="8" l="1"/>
  <c r="C72" i="2"/>
  <c r="S72" i="8" s="1"/>
  <c r="M84" i="2" l="1"/>
  <c r="CG84" i="8"/>
  <c r="P84" i="8" s="1"/>
  <c r="DF84" i="8"/>
  <c r="G84" i="1" s="1"/>
  <c r="N84" i="8" s="1"/>
  <c r="F72" i="2"/>
  <c r="AP72" i="1" s="1"/>
  <c r="I72" i="2"/>
  <c r="AA72" i="1" s="1"/>
  <c r="S72" i="1" s="1"/>
  <c r="H73" i="1" s="1"/>
  <c r="F72" i="1"/>
  <c r="H72" i="2"/>
  <c r="R84" i="8" l="1"/>
  <c r="AC73" i="7"/>
  <c r="AK73" i="5"/>
  <c r="C73" i="11"/>
  <c r="V73" i="10"/>
  <c r="BI73" i="1"/>
  <c r="AQ73" i="8"/>
  <c r="V72" i="8"/>
  <c r="T72" i="8"/>
  <c r="W72" i="8" s="1"/>
  <c r="O72" i="7"/>
  <c r="I72" i="11"/>
  <c r="T72" i="1"/>
  <c r="I73" i="1" s="1"/>
  <c r="AO73" i="1" s="1"/>
  <c r="J72" i="11"/>
  <c r="G72" i="2"/>
  <c r="Z72" i="2" s="1"/>
  <c r="AA73" i="8" s="1"/>
  <c r="P72" i="7" l="1"/>
  <c r="F72" i="9"/>
  <c r="BJ73" i="1"/>
  <c r="C72" i="8"/>
  <c r="Y72" i="2" l="1"/>
  <c r="X72" i="2" s="1"/>
  <c r="AB73" i="7" l="1"/>
  <c r="AJ73" i="7" s="1"/>
  <c r="AW73" i="8"/>
  <c r="E73" i="2"/>
  <c r="L73" i="2" s="1"/>
  <c r="H73" i="11"/>
  <c r="B73" i="8"/>
  <c r="D73" i="2" s="1"/>
  <c r="U73" i="2" s="1"/>
  <c r="W72" i="2" l="1"/>
  <c r="E85" i="8" l="1"/>
  <c r="C73" i="2"/>
  <c r="S73" i="8" s="1"/>
  <c r="M85" i="2" l="1"/>
  <c r="CG85" i="8"/>
  <c r="P85" i="8" s="1"/>
  <c r="DF85" i="8"/>
  <c r="G85" i="1" s="1"/>
  <c r="N85" i="8" s="1"/>
  <c r="I73" i="2"/>
  <c r="AA73" i="1" s="1"/>
  <c r="S73" i="1" s="1"/>
  <c r="H74" i="1" s="1"/>
  <c r="F73" i="1"/>
  <c r="H73" i="2"/>
  <c r="F73" i="2"/>
  <c r="AP73" i="1" s="1"/>
  <c r="R85" i="8" l="1"/>
  <c r="J73" i="11"/>
  <c r="T73" i="1"/>
  <c r="I74" i="1" s="1"/>
  <c r="AO74" i="1" s="1"/>
  <c r="G73" i="2"/>
  <c r="Z73" i="2" s="1"/>
  <c r="AA74" i="8" s="1"/>
  <c r="AQ74" i="8"/>
  <c r="AC74" i="7"/>
  <c r="C74" i="11"/>
  <c r="AK74" i="5"/>
  <c r="BI74" i="1"/>
  <c r="V74" i="10"/>
  <c r="T73" i="8"/>
  <c r="W73" i="8" s="1"/>
  <c r="V73" i="8"/>
  <c r="O73" i="7"/>
  <c r="I73" i="11"/>
  <c r="C73" i="8" l="1"/>
  <c r="BJ74" i="1"/>
  <c r="F73" i="9"/>
  <c r="P73" i="7"/>
  <c r="Y73" i="2" l="1"/>
  <c r="X73" i="2" s="1"/>
  <c r="E74" i="2" l="1"/>
  <c r="L74" i="2" s="1"/>
  <c r="AB74" i="7"/>
  <c r="AJ74" i="7" s="1"/>
  <c r="H74" i="11"/>
  <c r="AW74" i="8"/>
  <c r="B74" i="8"/>
  <c r="D74" i="2" s="1"/>
  <c r="U74" i="2" s="1"/>
  <c r="W73" i="2" l="1"/>
  <c r="E86" i="8" l="1"/>
  <c r="C74" i="2"/>
  <c r="S74" i="8" s="1"/>
  <c r="DF86" i="8" l="1"/>
  <c r="G86" i="1" s="1"/>
  <c r="N86" i="8" s="1"/>
  <c r="CG86" i="8"/>
  <c r="P86" i="8" s="1"/>
  <c r="M86" i="2"/>
  <c r="F74" i="2"/>
  <c r="AP74" i="1" s="1"/>
  <c r="F74" i="1"/>
  <c r="I74" i="2"/>
  <c r="H74" i="2"/>
  <c r="R86" i="8" l="1"/>
  <c r="T74" i="1"/>
  <c r="I75" i="1" s="1"/>
  <c r="AO75" i="1" s="1"/>
  <c r="J74" i="11"/>
  <c r="G74" i="2"/>
  <c r="Z74" i="2" s="1"/>
  <c r="AA75" i="8" s="1"/>
  <c r="I74" i="11"/>
  <c r="O74" i="7"/>
  <c r="AA74" i="1"/>
  <c r="S74" i="1" s="1"/>
  <c r="H75" i="1" s="1"/>
  <c r="V74" i="8"/>
  <c r="T74" i="8"/>
  <c r="W74" i="8" s="1"/>
  <c r="AC75" i="7" l="1"/>
  <c r="V75" i="10"/>
  <c r="BI75" i="1"/>
  <c r="C75" i="11"/>
  <c r="AK75" i="5"/>
  <c r="AQ75" i="8"/>
  <c r="C74" i="8"/>
  <c r="P74" i="7"/>
  <c r="F74" i="9"/>
  <c r="BJ75" i="1"/>
  <c r="Y74" i="2" l="1"/>
  <c r="X74" i="2" s="1"/>
  <c r="E75" i="2" l="1"/>
  <c r="L75" i="2" s="1"/>
  <c r="AB75" i="7"/>
  <c r="AJ75" i="7" s="1"/>
  <c r="AW75" i="8"/>
  <c r="H75" i="11"/>
  <c r="B75" i="8"/>
  <c r="D75" i="2" s="1"/>
  <c r="U75" i="2" l="1"/>
  <c r="W74" i="2" s="1"/>
  <c r="E87" i="8" l="1"/>
  <c r="C75" i="2"/>
  <c r="S75" i="8" s="1"/>
  <c r="M87" i="2" l="1"/>
  <c r="DF87" i="8"/>
  <c r="G87" i="1" s="1"/>
  <c r="N87" i="8" s="1"/>
  <c r="CG87" i="8"/>
  <c r="P87" i="8" s="1"/>
  <c r="I75" i="2"/>
  <c r="AA75" i="1" s="1"/>
  <c r="S75" i="1" s="1"/>
  <c r="H76" i="1" s="1"/>
  <c r="H75" i="2"/>
  <c r="F75" i="2"/>
  <c r="AP75" i="1" s="1"/>
  <c r="F75" i="1"/>
  <c r="R87" i="8" l="1"/>
  <c r="V76" i="10"/>
  <c r="AC76" i="7"/>
  <c r="AQ76" i="8"/>
  <c r="AK76" i="5"/>
  <c r="BI76" i="1"/>
  <c r="C76" i="11"/>
  <c r="T75" i="1"/>
  <c r="I76" i="1" s="1"/>
  <c r="AO76" i="1" s="1"/>
  <c r="J75" i="11"/>
  <c r="G75" i="2"/>
  <c r="Z75" i="2" s="1"/>
  <c r="AA76" i="8" s="1"/>
  <c r="V75" i="8"/>
  <c r="T75" i="8"/>
  <c r="W75" i="8" s="1"/>
  <c r="O75" i="7"/>
  <c r="I75" i="11"/>
  <c r="C75" i="8" l="1"/>
  <c r="F75" i="9"/>
  <c r="P75" i="7"/>
  <c r="BJ76" i="1"/>
  <c r="Y75" i="2" l="1"/>
  <c r="X75" i="2" s="1"/>
  <c r="E76" i="2" l="1"/>
  <c r="L76" i="2" s="1"/>
  <c r="H76" i="11"/>
  <c r="AW76" i="8"/>
  <c r="AB76" i="7"/>
  <c r="AJ76" i="7" s="1"/>
  <c r="B76" i="8"/>
  <c r="D76" i="2" s="1"/>
  <c r="U76" i="2" s="1"/>
  <c r="W75" i="2" l="1"/>
  <c r="H44" i="4"/>
  <c r="B44" i="4"/>
  <c r="B58" i="4" s="1"/>
  <c r="E88" i="8" l="1"/>
  <c r="C76" i="2"/>
  <c r="S76" i="8" s="1"/>
  <c r="DF88" i="8" l="1"/>
  <c r="G88" i="1" s="1"/>
  <c r="N88" i="8" s="1"/>
  <c r="M88" i="2"/>
  <c r="CG88" i="8"/>
  <c r="P88" i="8" s="1"/>
  <c r="E89" i="8"/>
  <c r="F45" i="4"/>
  <c r="H76" i="2"/>
  <c r="F76" i="2"/>
  <c r="AP76" i="1" s="1"/>
  <c r="F76" i="1"/>
  <c r="I76" i="2"/>
  <c r="R88" i="8" l="1"/>
  <c r="DF89" i="8"/>
  <c r="G89" i="1" s="1"/>
  <c r="N89" i="8" s="1"/>
  <c r="M89" i="2"/>
  <c r="CG89" i="8"/>
  <c r="P89" i="8" s="1"/>
  <c r="E90" i="8"/>
  <c r="T76" i="8"/>
  <c r="W76" i="8" s="1"/>
  <c r="V76" i="8"/>
  <c r="I76" i="11"/>
  <c r="O76" i="7"/>
  <c r="AA76" i="1"/>
  <c r="S76" i="1" s="1"/>
  <c r="J76" i="11"/>
  <c r="T76" i="1"/>
  <c r="I77" i="1" s="1"/>
  <c r="AO77" i="1" s="1"/>
  <c r="G76" i="2"/>
  <c r="Z76" i="2" s="1"/>
  <c r="AA77" i="8" s="1"/>
  <c r="H45" i="4"/>
  <c r="H46" i="4" s="1"/>
  <c r="F46" i="4"/>
  <c r="R89" i="8" l="1"/>
  <c r="DF90" i="8"/>
  <c r="G90" i="1" s="1"/>
  <c r="N90" i="8" s="1"/>
  <c r="M90" i="2"/>
  <c r="E91" i="8"/>
  <c r="CG90" i="8"/>
  <c r="P90" i="8" s="1"/>
  <c r="C76" i="8"/>
  <c r="M27" i="7"/>
  <c r="H77" i="1"/>
  <c r="BJ77" i="1"/>
  <c r="P76" i="7"/>
  <c r="F76" i="9"/>
  <c r="R90" i="8" l="1"/>
  <c r="DF91" i="8"/>
  <c r="G91" i="1" s="1"/>
  <c r="N91" i="8" s="1"/>
  <c r="M91" i="2"/>
  <c r="CG91" i="8"/>
  <c r="P91" i="8" s="1"/>
  <c r="E92" i="8"/>
  <c r="AK77" i="5"/>
  <c r="BI77" i="1"/>
  <c r="V77" i="10"/>
  <c r="C77" i="11"/>
  <c r="AQ77" i="8"/>
  <c r="AC77" i="7"/>
  <c r="Y76" i="2"/>
  <c r="X76" i="2" s="1"/>
  <c r="R91" i="8" l="1"/>
  <c r="M92" i="2"/>
  <c r="DF92" i="8"/>
  <c r="G92" i="1" s="1"/>
  <c r="N92" i="8" s="1"/>
  <c r="E93" i="8"/>
  <c r="CG92" i="8"/>
  <c r="P92" i="8" s="1"/>
  <c r="H77" i="11"/>
  <c r="AB77" i="7"/>
  <c r="AJ77" i="7" s="1"/>
  <c r="E77" i="2"/>
  <c r="L77" i="2" s="1"/>
  <c r="AW77" i="8"/>
  <c r="B77" i="8"/>
  <c r="D77" i="2" s="1"/>
  <c r="U77" i="2" l="1"/>
  <c r="W76" i="2" s="1"/>
  <c r="R92" i="8"/>
  <c r="DF93" i="8"/>
  <c r="G93" i="1" s="1"/>
  <c r="N93" i="8" s="1"/>
  <c r="CG93" i="8"/>
  <c r="P93" i="8" s="1"/>
  <c r="M93" i="2"/>
  <c r="E94" i="8"/>
  <c r="R93" i="8" l="1"/>
  <c r="DF94" i="8"/>
  <c r="G94" i="1" s="1"/>
  <c r="N94" i="8" s="1"/>
  <c r="E95" i="8"/>
  <c r="M94" i="2"/>
  <c r="CG94" i="8"/>
  <c r="P94" i="8" s="1"/>
  <c r="C77" i="2"/>
  <c r="S77" i="8" s="1"/>
  <c r="R94" i="8" l="1"/>
  <c r="DF95" i="8"/>
  <c r="G95" i="1" s="1"/>
  <c r="N95" i="8" s="1"/>
  <c r="CG95" i="8"/>
  <c r="P95" i="8" s="1"/>
  <c r="M95" i="2"/>
  <c r="E96" i="8"/>
  <c r="I77" i="2"/>
  <c r="F77" i="1"/>
  <c r="H77" i="2"/>
  <c r="F77" i="2"/>
  <c r="AP77" i="1" s="1"/>
  <c r="R95" i="8" l="1"/>
  <c r="M96" i="2"/>
  <c r="E97" i="8"/>
  <c r="DF96" i="8"/>
  <c r="G96" i="1" s="1"/>
  <c r="N96" i="8" s="1"/>
  <c r="CG96" i="8"/>
  <c r="P96" i="8" s="1"/>
  <c r="J77" i="11"/>
  <c r="T77" i="1"/>
  <c r="I78" i="1" s="1"/>
  <c r="AO78" i="1" s="1"/>
  <c r="G77" i="2"/>
  <c r="Z77" i="2" s="1"/>
  <c r="AA78" i="8" s="1"/>
  <c r="I77" i="11"/>
  <c r="O77" i="7"/>
  <c r="V77" i="8"/>
  <c r="T77" i="8"/>
  <c r="W77" i="8" s="1"/>
  <c r="AA77" i="1"/>
  <c r="S77" i="1" s="1"/>
  <c r="H78" i="1" s="1"/>
  <c r="R96" i="8" l="1"/>
  <c r="CG97" i="8"/>
  <c r="P97" i="8" s="1"/>
  <c r="E98" i="8"/>
  <c r="DF97" i="8"/>
  <c r="G97" i="1" s="1"/>
  <c r="N97" i="8" s="1"/>
  <c r="M97" i="2"/>
  <c r="AC78" i="7"/>
  <c r="AK78" i="5"/>
  <c r="V78" i="10"/>
  <c r="AQ78" i="8"/>
  <c r="BI78" i="1"/>
  <c r="C78" i="11"/>
  <c r="C77" i="8"/>
  <c r="BJ78" i="1"/>
  <c r="F77" i="9"/>
  <c r="P77" i="7"/>
  <c r="R97" i="8" l="1"/>
  <c r="CG98" i="8"/>
  <c r="P98" i="8" s="1"/>
  <c r="DF98" i="8"/>
  <c r="G98" i="1" s="1"/>
  <c r="N98" i="8" s="1"/>
  <c r="M98" i="2"/>
  <c r="E99" i="8"/>
  <c r="Y77" i="2"/>
  <c r="X77" i="2" s="1"/>
  <c r="R98" i="8" l="1"/>
  <c r="CG99" i="8"/>
  <c r="P99" i="8" s="1"/>
  <c r="DF99" i="8"/>
  <c r="G99" i="1" s="1"/>
  <c r="N99" i="8" s="1"/>
  <c r="M99" i="2"/>
  <c r="E100" i="8"/>
  <c r="AB78" i="7"/>
  <c r="AJ78" i="7" s="1"/>
  <c r="E78" i="2"/>
  <c r="L78" i="2" s="1"/>
  <c r="H78" i="11"/>
  <c r="AW78" i="8"/>
  <c r="B78" i="8"/>
  <c r="D78" i="2" s="1"/>
  <c r="U78" i="2" l="1"/>
  <c r="W77" i="2" s="1"/>
  <c r="R99" i="8"/>
  <c r="M100" i="2"/>
  <c r="DF100" i="8"/>
  <c r="G100" i="1" s="1"/>
  <c r="N100" i="8" s="1"/>
  <c r="E101" i="8"/>
  <c r="CG100" i="8"/>
  <c r="P100" i="8" s="1"/>
  <c r="R100" i="8" l="1"/>
  <c r="DF101" i="8"/>
  <c r="G101" i="1" s="1"/>
  <c r="N101" i="8" s="1"/>
  <c r="E102" i="8"/>
  <c r="CG101" i="8"/>
  <c r="P101" i="8" s="1"/>
  <c r="M101" i="2"/>
  <c r="C78" i="2"/>
  <c r="S78" i="8" s="1"/>
  <c r="R101" i="8" l="1"/>
  <c r="DF102" i="8"/>
  <c r="G102" i="1" s="1"/>
  <c r="N102" i="8" s="1"/>
  <c r="CG102" i="8"/>
  <c r="P102" i="8" s="1"/>
  <c r="M102" i="2"/>
  <c r="E103" i="8"/>
  <c r="F78" i="2"/>
  <c r="AP78" i="1" s="1"/>
  <c r="I78" i="2"/>
  <c r="F78" i="1"/>
  <c r="H78" i="2"/>
  <c r="R102" i="8" l="1"/>
  <c r="DF103" i="8"/>
  <c r="G103" i="1" s="1"/>
  <c r="N103" i="8" s="1"/>
  <c r="M103" i="2"/>
  <c r="E104" i="8"/>
  <c r="CG103" i="8"/>
  <c r="P103" i="8" s="1"/>
  <c r="O78" i="7"/>
  <c r="I78" i="11"/>
  <c r="T78" i="8"/>
  <c r="W78" i="8" s="1"/>
  <c r="V78" i="8"/>
  <c r="J78" i="11"/>
  <c r="T78" i="1"/>
  <c r="I79" i="1" s="1"/>
  <c r="AO79" i="1" s="1"/>
  <c r="G78" i="2"/>
  <c r="Z78" i="2" s="1"/>
  <c r="AA79" i="8" s="1"/>
  <c r="AA78" i="1"/>
  <c r="S78" i="1" s="1"/>
  <c r="H79" i="1" s="1"/>
  <c r="R103" i="8" l="1"/>
  <c r="DF104" i="8"/>
  <c r="G104" i="1" s="1"/>
  <c r="N104" i="8" s="1"/>
  <c r="CG104" i="8"/>
  <c r="P104" i="8" s="1"/>
  <c r="E105" i="8"/>
  <c r="M104" i="2"/>
  <c r="BJ79" i="1"/>
  <c r="C79" i="11"/>
  <c r="AC79" i="7"/>
  <c r="V79" i="10"/>
  <c r="AK79" i="5"/>
  <c r="AQ79" i="8"/>
  <c r="BI79" i="1"/>
  <c r="F78" i="9"/>
  <c r="P78" i="7"/>
  <c r="C78" i="8"/>
  <c r="R104" i="8" l="1"/>
  <c r="CG105" i="8"/>
  <c r="P105" i="8" s="1"/>
  <c r="M105" i="2"/>
  <c r="DF105" i="8"/>
  <c r="G105" i="1" s="1"/>
  <c r="N105" i="8" s="1"/>
  <c r="E106" i="8"/>
  <c r="Y78" i="2"/>
  <c r="X78" i="2" s="1"/>
  <c r="R105" i="8" l="1"/>
  <c r="M106" i="2"/>
  <c r="CG106" i="8"/>
  <c r="P106" i="8" s="1"/>
  <c r="E107" i="8"/>
  <c r="DF106" i="8"/>
  <c r="G106" i="1" s="1"/>
  <c r="N106" i="8" s="1"/>
  <c r="E79" i="2"/>
  <c r="L79" i="2" s="1"/>
  <c r="AW79" i="8"/>
  <c r="H79" i="11"/>
  <c r="AB79" i="7"/>
  <c r="AJ79" i="7" s="1"/>
  <c r="B79" i="8"/>
  <c r="D79" i="2" s="1"/>
  <c r="U79" i="2" l="1"/>
  <c r="W78" i="2" s="1"/>
  <c r="R106" i="8"/>
  <c r="E108" i="8"/>
  <c r="DF107" i="8"/>
  <c r="G107" i="1" s="1"/>
  <c r="N107" i="8" s="1"/>
  <c r="M107" i="2"/>
  <c r="CG107" i="8"/>
  <c r="P107" i="8" s="1"/>
  <c r="R107" i="8" l="1"/>
  <c r="DF108" i="8"/>
  <c r="G108" i="1" s="1"/>
  <c r="N108" i="8" s="1"/>
  <c r="CG108" i="8"/>
  <c r="P108" i="8" s="1"/>
  <c r="M108" i="2"/>
  <c r="E109" i="8"/>
  <c r="C79" i="2"/>
  <c r="S79" i="8" s="1"/>
  <c r="R108" i="8" l="1"/>
  <c r="DF109" i="8"/>
  <c r="G109" i="1" s="1"/>
  <c r="N109" i="8" s="1"/>
  <c r="M109" i="2"/>
  <c r="CG109" i="8"/>
  <c r="P109" i="8" s="1"/>
  <c r="E110" i="8"/>
  <c r="F79" i="2"/>
  <c r="AP79" i="1" s="1"/>
  <c r="F79" i="1"/>
  <c r="H79" i="2"/>
  <c r="I79" i="2"/>
  <c r="AA79" i="1" s="1"/>
  <c r="S79" i="1" s="1"/>
  <c r="H80" i="1" s="1"/>
  <c r="R109" i="8" l="1"/>
  <c r="M110" i="2"/>
  <c r="E111" i="8"/>
  <c r="DF110" i="8"/>
  <c r="G110" i="1" s="1"/>
  <c r="N110" i="8" s="1"/>
  <c r="CG110" i="8"/>
  <c r="P110" i="8" s="1"/>
  <c r="AC80" i="7"/>
  <c r="C80" i="11"/>
  <c r="AQ80" i="8"/>
  <c r="AK80" i="5"/>
  <c r="V80" i="10"/>
  <c r="BI80" i="1"/>
  <c r="O79" i="7"/>
  <c r="I79" i="11"/>
  <c r="V79" i="8"/>
  <c r="T79" i="8"/>
  <c r="W79" i="8" s="1"/>
  <c r="T79" i="1"/>
  <c r="I80" i="1" s="1"/>
  <c r="AO80" i="1" s="1"/>
  <c r="J79" i="11"/>
  <c r="G79" i="2"/>
  <c r="Z79" i="2" s="1"/>
  <c r="AA80" i="8" s="1"/>
  <c r="R110" i="8" l="1"/>
  <c r="DF111" i="8"/>
  <c r="G111" i="1" s="1"/>
  <c r="N111" i="8" s="1"/>
  <c r="M111" i="2"/>
  <c r="CG111" i="8"/>
  <c r="P111" i="8" s="1"/>
  <c r="E112" i="8"/>
  <c r="BJ80" i="1"/>
  <c r="C79" i="8"/>
  <c r="F79" i="9"/>
  <c r="P79" i="7"/>
  <c r="R111" i="8" l="1"/>
  <c r="CG112" i="8"/>
  <c r="P112" i="8" s="1"/>
  <c r="E113" i="8"/>
  <c r="M112" i="2"/>
  <c r="DF112" i="8"/>
  <c r="G112" i="1" s="1"/>
  <c r="N112" i="8" s="1"/>
  <c r="Y79" i="2"/>
  <c r="X79" i="2" s="1"/>
  <c r="R112" i="8" l="1"/>
  <c r="CG113" i="8"/>
  <c r="DF113" i="8"/>
  <c r="G113" i="1" s="1"/>
  <c r="N113" i="8" s="1"/>
  <c r="M113" i="2"/>
  <c r="E114" i="8"/>
  <c r="E80" i="2"/>
  <c r="L80" i="2" s="1"/>
  <c r="H80" i="11"/>
  <c r="AB80" i="7"/>
  <c r="AJ80" i="7" s="1"/>
  <c r="AW80" i="8"/>
  <c r="B80" i="8"/>
  <c r="D80" i="2" s="1"/>
  <c r="P113" i="8" l="1"/>
  <c r="R113" i="8" s="1"/>
  <c r="U80" i="2"/>
  <c r="W79" i="2" s="1"/>
  <c r="DF114" i="8"/>
  <c r="G114" i="1" s="1"/>
  <c r="N114" i="8" s="1"/>
  <c r="CG114" i="8"/>
  <c r="P114" i="8" s="1"/>
  <c r="M114" i="2"/>
  <c r="E115" i="8"/>
  <c r="R114" i="8" l="1"/>
  <c r="M115" i="2"/>
  <c r="E116" i="8"/>
  <c r="DF115" i="8"/>
  <c r="G115" i="1" s="1"/>
  <c r="N115" i="8" s="1"/>
  <c r="CG115" i="8"/>
  <c r="P115" i="8" s="1"/>
  <c r="C80" i="2"/>
  <c r="S80" i="8" s="1"/>
  <c r="R115" i="8" l="1"/>
  <c r="DF116" i="8"/>
  <c r="G116" i="1" s="1"/>
  <c r="N116" i="8" s="1"/>
  <c r="M116" i="2"/>
  <c r="CG116" i="8"/>
  <c r="P116" i="8" s="1"/>
  <c r="E117" i="8"/>
  <c r="I80" i="2"/>
  <c r="AA80" i="1" s="1"/>
  <c r="S80" i="1" s="1"/>
  <c r="H81" i="1" s="1"/>
  <c r="F80" i="2"/>
  <c r="AP80" i="1" s="1"/>
  <c r="F80" i="1"/>
  <c r="H80" i="2"/>
  <c r="R116" i="8" l="1"/>
  <c r="DF117" i="8"/>
  <c r="G117" i="1" s="1"/>
  <c r="N117" i="8" s="1"/>
  <c r="M117" i="2"/>
  <c r="E118" i="8"/>
  <c r="CG117" i="8"/>
  <c r="P117" i="8" s="1"/>
  <c r="AQ81" i="8"/>
  <c r="AC81" i="7"/>
  <c r="V81" i="10"/>
  <c r="AK81" i="5"/>
  <c r="BI81" i="1"/>
  <c r="C81" i="11"/>
  <c r="T80" i="1"/>
  <c r="I81" i="1" s="1"/>
  <c r="AO81" i="1" s="1"/>
  <c r="J80" i="11"/>
  <c r="G80" i="2"/>
  <c r="Z80" i="2" s="1"/>
  <c r="AA81" i="8" s="1"/>
  <c r="I80" i="11"/>
  <c r="O80" i="7"/>
  <c r="V80" i="8"/>
  <c r="T80" i="8"/>
  <c r="W80" i="8" s="1"/>
  <c r="R117" i="8" l="1"/>
  <c r="CG118" i="8"/>
  <c r="P118" i="8" s="1"/>
  <c r="DF118" i="8"/>
  <c r="G118" i="1" s="1"/>
  <c r="N118" i="8" s="1"/>
  <c r="M118" i="2"/>
  <c r="E119" i="8"/>
  <c r="C80" i="8"/>
  <c r="P80" i="7"/>
  <c r="F80" i="9"/>
  <c r="BJ81" i="1"/>
  <c r="R118" i="8" l="1"/>
  <c r="DF119" i="8"/>
  <c r="G119" i="1" s="1"/>
  <c r="N119" i="8" s="1"/>
  <c r="M119" i="2"/>
  <c r="CG119" i="8"/>
  <c r="P119" i="8" s="1"/>
  <c r="E120" i="8"/>
  <c r="Y80" i="2"/>
  <c r="X80" i="2" s="1"/>
  <c r="R119" i="8" l="1"/>
  <c r="DF120" i="8"/>
  <c r="G120" i="1" s="1"/>
  <c r="N120" i="8" s="1"/>
  <c r="E121" i="8"/>
  <c r="M120" i="2"/>
  <c r="CG120" i="8"/>
  <c r="P120" i="8" s="1"/>
  <c r="E81" i="2"/>
  <c r="L81" i="2" s="1"/>
  <c r="H81" i="11"/>
  <c r="AW81" i="8"/>
  <c r="AB81" i="7"/>
  <c r="AJ81" i="7" s="1"/>
  <c r="B81" i="8"/>
  <c r="D81" i="2" s="1"/>
  <c r="U81" i="2" s="1"/>
  <c r="R120" i="8" l="1"/>
  <c r="DF121" i="8"/>
  <c r="G121" i="1" s="1"/>
  <c r="N121" i="8" s="1"/>
  <c r="M121" i="2"/>
  <c r="CG121" i="8"/>
  <c r="P121" i="8" s="1"/>
  <c r="E122" i="8"/>
  <c r="W80" i="2"/>
  <c r="R121" i="8" l="1"/>
  <c r="CG122" i="8"/>
  <c r="P122" i="8" s="1"/>
  <c r="DF122" i="8"/>
  <c r="G122" i="1" s="1"/>
  <c r="N122" i="8" s="1"/>
  <c r="M122" i="2"/>
  <c r="E123" i="8"/>
  <c r="C81" i="2"/>
  <c r="S81" i="8" s="1"/>
  <c r="R122" i="8" l="1"/>
  <c r="DF123" i="8"/>
  <c r="G123" i="1" s="1"/>
  <c r="N123" i="8" s="1"/>
  <c r="M123" i="2"/>
  <c r="E124" i="8"/>
  <c r="CG123" i="8"/>
  <c r="P123" i="8" s="1"/>
  <c r="I81" i="2"/>
  <c r="AA81" i="1" s="1"/>
  <c r="S81" i="1" s="1"/>
  <c r="H82" i="1" s="1"/>
  <c r="H81" i="2"/>
  <c r="F81" i="1"/>
  <c r="F81" i="2"/>
  <c r="AP81" i="1" s="1"/>
  <c r="R123" i="8" l="1"/>
  <c r="M124" i="2"/>
  <c r="E125" i="8"/>
  <c r="DF124" i="8"/>
  <c r="G124" i="1" s="1"/>
  <c r="N124" i="8" s="1"/>
  <c r="CG124" i="8"/>
  <c r="P124" i="8" s="1"/>
  <c r="J81" i="11"/>
  <c r="T81" i="1"/>
  <c r="I82" i="1" s="1"/>
  <c r="AO82" i="1" s="1"/>
  <c r="G81" i="2"/>
  <c r="Z81" i="2" s="1"/>
  <c r="AA82" i="8" s="1"/>
  <c r="V81" i="8"/>
  <c r="T81" i="8"/>
  <c r="W81" i="8" s="1"/>
  <c r="V82" i="10"/>
  <c r="AQ82" i="8"/>
  <c r="AC82" i="7"/>
  <c r="AK82" i="5"/>
  <c r="C82" i="11"/>
  <c r="BI82" i="1"/>
  <c r="O81" i="7"/>
  <c r="I81" i="11"/>
  <c r="R124" i="8" l="1"/>
  <c r="DF125" i="8"/>
  <c r="G125" i="1" s="1"/>
  <c r="N125" i="8" s="1"/>
  <c r="CG125" i="8"/>
  <c r="P125" i="8" s="1"/>
  <c r="M125" i="2"/>
  <c r="E126" i="8"/>
  <c r="C81" i="8"/>
  <c r="BJ82" i="1"/>
  <c r="F81" i="9"/>
  <c r="P81" i="7"/>
  <c r="R125" i="8" l="1"/>
  <c r="CG126" i="8"/>
  <c r="P126" i="8" s="1"/>
  <c r="DF126" i="8"/>
  <c r="G126" i="1" s="1"/>
  <c r="N126" i="8" s="1"/>
  <c r="M126" i="2"/>
  <c r="E127" i="8"/>
  <c r="Y81" i="2"/>
  <c r="X81" i="2" s="1"/>
  <c r="R126" i="8" l="1"/>
  <c r="DF127" i="8"/>
  <c r="G127" i="1" s="1"/>
  <c r="N127" i="8" s="1"/>
  <c r="CG127" i="8"/>
  <c r="P127" i="8" s="1"/>
  <c r="E128" i="8"/>
  <c r="M127" i="2"/>
  <c r="AW82" i="8"/>
  <c r="H82" i="11"/>
  <c r="E82" i="2"/>
  <c r="L82" i="2" s="1"/>
  <c r="AB82" i="7"/>
  <c r="AJ82" i="7" s="1"/>
  <c r="B82" i="8"/>
  <c r="D82" i="2" s="1"/>
  <c r="U82" i="2" l="1"/>
  <c r="W81" i="2" s="1"/>
  <c r="R127" i="8"/>
  <c r="DF128" i="8"/>
  <c r="G128" i="1" s="1"/>
  <c r="N128" i="8" s="1"/>
  <c r="M128" i="2"/>
  <c r="CG128" i="8"/>
  <c r="P128" i="8" s="1"/>
  <c r="E129" i="8"/>
  <c r="R128" i="8" l="1"/>
  <c r="CG129" i="8"/>
  <c r="P129" i="8" s="1"/>
  <c r="DF129" i="8"/>
  <c r="G129" i="1" s="1"/>
  <c r="N129" i="8" s="1"/>
  <c r="M129" i="2"/>
  <c r="E130" i="8"/>
  <c r="C82" i="2"/>
  <c r="S82" i="8" s="1"/>
  <c r="R129" i="8" l="1"/>
  <c r="DF130" i="8"/>
  <c r="G130" i="1" s="1"/>
  <c r="N130" i="8" s="1"/>
  <c r="CG130" i="8"/>
  <c r="P130" i="8" s="1"/>
  <c r="M130" i="2"/>
  <c r="E131" i="8"/>
  <c r="I82" i="2"/>
  <c r="AA82" i="1" s="1"/>
  <c r="S82" i="1" s="1"/>
  <c r="H83" i="1" s="1"/>
  <c r="F82" i="2"/>
  <c r="AP82" i="1" s="1"/>
  <c r="H82" i="2"/>
  <c r="F82" i="1"/>
  <c r="R130" i="8" l="1"/>
  <c r="DF131" i="8"/>
  <c r="G131" i="1" s="1"/>
  <c r="N131" i="8" s="1"/>
  <c r="CG131" i="8"/>
  <c r="P131" i="8" s="1"/>
  <c r="M131" i="2"/>
  <c r="E132" i="8"/>
  <c r="AQ83" i="8"/>
  <c r="AK83" i="5"/>
  <c r="AC83" i="7"/>
  <c r="V83" i="10"/>
  <c r="BI83" i="1"/>
  <c r="C83" i="11"/>
  <c r="J82" i="11"/>
  <c r="T82" i="1"/>
  <c r="I83" i="1" s="1"/>
  <c r="AO83" i="1" s="1"/>
  <c r="G82" i="2"/>
  <c r="Z82" i="2" s="1"/>
  <c r="AA83" i="8" s="1"/>
  <c r="O82" i="7"/>
  <c r="I82" i="11"/>
  <c r="V82" i="8"/>
  <c r="T82" i="8"/>
  <c r="W82" i="8" s="1"/>
  <c r="R131" i="8" l="1"/>
  <c r="DF132" i="8"/>
  <c r="G132" i="1" s="1"/>
  <c r="N132" i="8" s="1"/>
  <c r="M132" i="2"/>
  <c r="CG132" i="8"/>
  <c r="P132" i="8" s="1"/>
  <c r="E133" i="8"/>
  <c r="C82" i="8"/>
  <c r="BJ83" i="1"/>
  <c r="P82" i="7"/>
  <c r="F82" i="9"/>
  <c r="R132" i="8" l="1"/>
  <c r="M133" i="2"/>
  <c r="CG133" i="8"/>
  <c r="P133" i="8" s="1"/>
  <c r="DF133" i="8"/>
  <c r="G133" i="1" s="1"/>
  <c r="N133" i="8" s="1"/>
  <c r="E134" i="8"/>
  <c r="Y82" i="2"/>
  <c r="X82" i="2" s="1"/>
  <c r="R133" i="8" l="1"/>
  <c r="DF134" i="8"/>
  <c r="G134" i="1" s="1"/>
  <c r="N134" i="8" s="1"/>
  <c r="CG134" i="8"/>
  <c r="P134" i="8" s="1"/>
  <c r="M134" i="2"/>
  <c r="E135" i="8"/>
  <c r="AB83" i="7"/>
  <c r="AJ83" i="7" s="1"/>
  <c r="E83" i="2"/>
  <c r="L83" i="2" s="1"/>
  <c r="AW83" i="8"/>
  <c r="H83" i="11"/>
  <c r="B83" i="8"/>
  <c r="D83" i="2" s="1"/>
  <c r="U83" i="2" s="1"/>
  <c r="R134" i="8" l="1"/>
  <c r="DF135" i="8"/>
  <c r="G135" i="1" s="1"/>
  <c r="N135" i="8" s="1"/>
  <c r="CG135" i="8"/>
  <c r="P135" i="8" s="1"/>
  <c r="M135" i="2"/>
  <c r="E136" i="8"/>
  <c r="W82" i="2"/>
  <c r="R135" i="8" l="1"/>
  <c r="DF136" i="8"/>
  <c r="G136" i="1" s="1"/>
  <c r="N136" i="8" s="1"/>
  <c r="AF139" i="8"/>
  <c r="CG136" i="8"/>
  <c r="P136" i="8" s="1"/>
  <c r="M136" i="2"/>
  <c r="C83" i="2"/>
  <c r="S83" i="8" s="1"/>
  <c r="R136" i="8" l="1"/>
  <c r="I83" i="2"/>
  <c r="F83" i="2"/>
  <c r="AP83" i="1" s="1"/>
  <c r="H83" i="2"/>
  <c r="F83" i="1"/>
  <c r="T83" i="1" l="1"/>
  <c r="I84" i="1" s="1"/>
  <c r="AO84" i="1" s="1"/>
  <c r="J83" i="11"/>
  <c r="G83" i="2"/>
  <c r="Z83" i="2" s="1"/>
  <c r="AA84" i="8" s="1"/>
  <c r="T83" i="8"/>
  <c r="W83" i="8" s="1"/>
  <c r="V83" i="8"/>
  <c r="I83" i="11"/>
  <c r="O83" i="7"/>
  <c r="AA83" i="1"/>
  <c r="S83" i="1" s="1"/>
  <c r="H84" i="1" s="1"/>
  <c r="C84" i="11" l="1"/>
  <c r="AK84" i="5"/>
  <c r="BI84" i="1"/>
  <c r="AC84" i="7"/>
  <c r="AQ84" i="8"/>
  <c r="V84" i="10"/>
  <c r="C83" i="8"/>
  <c r="P83" i="7"/>
  <c r="F83" i="9"/>
  <c r="BJ84" i="1"/>
  <c r="Y83" i="2" l="1"/>
  <c r="X83" i="2" s="1"/>
  <c r="E84" i="2" l="1"/>
  <c r="L84" i="2" s="1"/>
  <c r="H84" i="11"/>
  <c r="AW84" i="8"/>
  <c r="AB84" i="7"/>
  <c r="AJ84" i="7" s="1"/>
  <c r="B84" i="8"/>
  <c r="D84" i="2" s="1"/>
  <c r="U84" i="2" l="1"/>
  <c r="W83" i="2" s="1"/>
  <c r="C84" i="2" l="1"/>
  <c r="S84" i="8" s="1"/>
  <c r="F84" i="1" l="1"/>
  <c r="F84" i="2"/>
  <c r="AP84" i="1" s="1"/>
  <c r="H84" i="2"/>
  <c r="I84" i="2"/>
  <c r="O84" i="7" l="1"/>
  <c r="I84" i="11"/>
  <c r="AA84" i="1"/>
  <c r="S84" i="1" s="1"/>
  <c r="H85" i="1" s="1"/>
  <c r="V84" i="8"/>
  <c r="T84" i="8"/>
  <c r="W84" i="8" s="1"/>
  <c r="T84" i="1"/>
  <c r="I85" i="1" s="1"/>
  <c r="AO85" i="1" s="1"/>
  <c r="J84" i="11"/>
  <c r="G84" i="2"/>
  <c r="Z84" i="2" s="1"/>
  <c r="AA85" i="8" s="1"/>
  <c r="C84" i="8" l="1"/>
  <c r="P84" i="7"/>
  <c r="F84" i="9"/>
  <c r="BJ85" i="1"/>
  <c r="AC85" i="7"/>
  <c r="C85" i="11"/>
  <c r="BI85" i="1"/>
  <c r="V85" i="10"/>
  <c r="AQ85" i="8"/>
  <c r="AK85" i="5"/>
  <c r="Y84" i="2" l="1"/>
  <c r="X84" i="2" s="1"/>
  <c r="H85" i="11" l="1"/>
  <c r="AB85" i="7"/>
  <c r="AJ85" i="7" s="1"/>
  <c r="E85" i="2"/>
  <c r="L85" i="2" s="1"/>
  <c r="AW85" i="8"/>
  <c r="B85" i="8"/>
  <c r="D85" i="2" s="1"/>
  <c r="U85" i="2" s="1"/>
  <c r="W84" i="2" l="1"/>
  <c r="C85" i="2" l="1"/>
  <c r="S85" i="8" s="1"/>
  <c r="H85" i="2" l="1"/>
  <c r="F85" i="1"/>
  <c r="I85" i="2"/>
  <c r="F85" i="2"/>
  <c r="AP85" i="1" s="1"/>
  <c r="J85" i="11" l="1"/>
  <c r="T85" i="1"/>
  <c r="I86" i="1" s="1"/>
  <c r="AO86" i="1" s="1"/>
  <c r="G85" i="2"/>
  <c r="Z85" i="2" s="1"/>
  <c r="AA86" i="8" s="1"/>
  <c r="O85" i="7"/>
  <c r="I85" i="11"/>
  <c r="AA85" i="1"/>
  <c r="S85" i="1" s="1"/>
  <c r="H86" i="1" s="1"/>
  <c r="T85" i="8"/>
  <c r="W85" i="8" s="1"/>
  <c r="V85" i="8"/>
  <c r="BJ86" i="1" l="1"/>
  <c r="AQ86" i="8"/>
  <c r="AC86" i="7"/>
  <c r="C86" i="11"/>
  <c r="BI86" i="1"/>
  <c r="AK86" i="5"/>
  <c r="V86" i="10"/>
  <c r="C85" i="8"/>
  <c r="P85" i="7"/>
  <c r="F85" i="9"/>
  <c r="Y85" i="2" l="1"/>
  <c r="X85" i="2" s="1"/>
  <c r="AB86" i="7" l="1"/>
  <c r="AJ86" i="7" s="1"/>
  <c r="H86" i="11"/>
  <c r="E86" i="2"/>
  <c r="L86" i="2" s="1"/>
  <c r="AW86" i="8"/>
  <c r="B86" i="8"/>
  <c r="D86" i="2" s="1"/>
  <c r="U86" i="2" s="1"/>
  <c r="W85" i="2" l="1"/>
  <c r="C86" i="2" l="1"/>
  <c r="S86" i="8" s="1"/>
  <c r="I86" i="2" l="1"/>
  <c r="AA86" i="1" s="1"/>
  <c r="S86" i="1" s="1"/>
  <c r="H87" i="1" s="1"/>
  <c r="H86" i="2"/>
  <c r="F86" i="1"/>
  <c r="F86" i="2"/>
  <c r="AP86" i="1" s="1"/>
  <c r="T86" i="1" l="1"/>
  <c r="I87" i="1" s="1"/>
  <c r="AO87" i="1" s="1"/>
  <c r="J86" i="11"/>
  <c r="G86" i="2"/>
  <c r="Z86" i="2" s="1"/>
  <c r="AA87" i="8" s="1"/>
  <c r="AC87" i="7"/>
  <c r="AQ87" i="8"/>
  <c r="V87" i="10"/>
  <c r="AK87" i="5"/>
  <c r="BI87" i="1"/>
  <c r="C87" i="11"/>
  <c r="V86" i="8"/>
  <c r="T86" i="8"/>
  <c r="W86" i="8" s="1"/>
  <c r="O86" i="7"/>
  <c r="I86" i="11"/>
  <c r="C86" i="8" l="1"/>
  <c r="F86" i="9"/>
  <c r="P86" i="7"/>
  <c r="BJ87" i="1"/>
  <c r="Y86" i="2" l="1"/>
  <c r="X86" i="2" s="1"/>
  <c r="AW87" i="8" l="1"/>
  <c r="H87" i="11"/>
  <c r="AB87" i="7"/>
  <c r="AJ87" i="7" s="1"/>
  <c r="E87" i="2"/>
  <c r="L87" i="2" s="1"/>
  <c r="B87" i="8"/>
  <c r="D87" i="2" s="1"/>
  <c r="U87" i="2" s="1"/>
  <c r="W86" i="2" l="1"/>
  <c r="C87" i="2" l="1"/>
  <c r="S87" i="8" s="1"/>
  <c r="F87" i="2" l="1"/>
  <c r="AP87" i="1" s="1"/>
  <c r="I87" i="2"/>
  <c r="F87" i="1"/>
  <c r="H87" i="2"/>
  <c r="T87" i="8" l="1"/>
  <c r="W87" i="8" s="1"/>
  <c r="V87" i="8"/>
  <c r="T87" i="1"/>
  <c r="I88" i="1" s="1"/>
  <c r="AO88" i="1" s="1"/>
  <c r="J87" i="11"/>
  <c r="G87" i="2"/>
  <c r="Z87" i="2" s="1"/>
  <c r="AA88" i="8" s="1"/>
  <c r="I87" i="11"/>
  <c r="O87" i="7"/>
  <c r="AA87" i="1"/>
  <c r="S87" i="1" s="1"/>
  <c r="H88" i="1" s="1"/>
  <c r="BJ88" i="1" l="1"/>
  <c r="BI88" i="1"/>
  <c r="AC88" i="7"/>
  <c r="AQ88" i="8"/>
  <c r="V88" i="10"/>
  <c r="AK88" i="5"/>
  <c r="C88" i="11"/>
  <c r="C87" i="8"/>
  <c r="F87" i="9"/>
  <c r="P87" i="7"/>
  <c r="Y87" i="2" l="1"/>
  <c r="X87" i="2" s="1"/>
  <c r="E88" i="2" l="1"/>
  <c r="L88" i="2" s="1"/>
  <c r="AB88" i="7"/>
  <c r="AJ88" i="7" s="1"/>
  <c r="AW88" i="8"/>
  <c r="H88" i="11"/>
  <c r="B88" i="8"/>
  <c r="D88" i="2" s="1"/>
  <c r="U88" i="2" l="1"/>
  <c r="W87" i="2" s="1"/>
  <c r="C88" i="2" l="1"/>
  <c r="S88" i="8" s="1"/>
  <c r="F88" i="1" l="1"/>
  <c r="F88" i="2"/>
  <c r="AP88" i="1" s="1"/>
  <c r="H88" i="2"/>
  <c r="I88" i="2"/>
  <c r="V88" i="8" l="1"/>
  <c r="T88" i="8"/>
  <c r="W88" i="8" s="1"/>
  <c r="I88" i="11"/>
  <c r="O88" i="7"/>
  <c r="J88" i="11"/>
  <c r="T88" i="1"/>
  <c r="I89" i="1" s="1"/>
  <c r="AO89" i="1" s="1"/>
  <c r="G88" i="2"/>
  <c r="Z88" i="2" s="1"/>
  <c r="AA89" i="8" s="1"/>
  <c r="AA88" i="1"/>
  <c r="S88" i="1" s="1"/>
  <c r="H89" i="1" s="1"/>
  <c r="BJ89" i="1" l="1"/>
  <c r="BI89" i="1"/>
  <c r="V89" i="10"/>
  <c r="C89" i="11"/>
  <c r="AC89" i="7"/>
  <c r="AK89" i="5"/>
  <c r="AQ89" i="8"/>
  <c r="C88" i="8"/>
  <c r="P88" i="7"/>
  <c r="F88" i="9"/>
  <c r="Y88" i="2" l="1"/>
  <c r="X88" i="2" s="1"/>
  <c r="AW89" i="8" l="1"/>
  <c r="E89" i="2"/>
  <c r="L89" i="2" s="1"/>
  <c r="H89" i="11"/>
  <c r="AB89" i="7"/>
  <c r="AJ89" i="7" s="1"/>
  <c r="B89" i="8"/>
  <c r="D89" i="2" s="1"/>
  <c r="U89" i="2" s="1"/>
  <c r="W88" i="2" l="1"/>
  <c r="C89" i="2" l="1"/>
  <c r="S89" i="8" s="1"/>
  <c r="I89" i="2" l="1"/>
  <c r="AA89" i="1" s="1"/>
  <c r="S89" i="1" s="1"/>
  <c r="H90" i="1" s="1"/>
  <c r="F89" i="2"/>
  <c r="AP89" i="1" s="1"/>
  <c r="H89" i="2"/>
  <c r="F89" i="1"/>
  <c r="J89" i="11" l="1"/>
  <c r="T89" i="1"/>
  <c r="I90" i="1" s="1"/>
  <c r="AO90" i="1" s="1"/>
  <c r="G89" i="2"/>
  <c r="Z89" i="2" s="1"/>
  <c r="AA90" i="8" s="1"/>
  <c r="V90" i="10"/>
  <c r="C90" i="11"/>
  <c r="AK90" i="5"/>
  <c r="AC90" i="7"/>
  <c r="BI90" i="1"/>
  <c r="AQ90" i="8"/>
  <c r="I89" i="11"/>
  <c r="O89" i="7"/>
  <c r="T89" i="8"/>
  <c r="W89" i="8" s="1"/>
  <c r="V89" i="8"/>
  <c r="BJ90" i="1" l="1"/>
  <c r="C89" i="8"/>
  <c r="P89" i="7"/>
  <c r="F89" i="9"/>
  <c r="Y89" i="2" l="1"/>
  <c r="X89" i="2" s="1"/>
  <c r="E90" i="2" l="1"/>
  <c r="L90" i="2" s="1"/>
  <c r="AB90" i="7"/>
  <c r="AJ90" i="7" s="1"/>
  <c r="H90" i="11"/>
  <c r="AW90" i="8"/>
  <c r="B90" i="8"/>
  <c r="D90" i="2" s="1"/>
  <c r="U90" i="2" s="1"/>
  <c r="W89" i="2" l="1"/>
  <c r="C90" i="2" l="1"/>
  <c r="S90" i="8" s="1"/>
  <c r="F90" i="2" l="1"/>
  <c r="AP90" i="1" s="1"/>
  <c r="I90" i="2"/>
  <c r="AA90" i="1" s="1"/>
  <c r="S90" i="1" s="1"/>
  <c r="H91" i="1" s="1"/>
  <c r="F90" i="1"/>
  <c r="H90" i="2"/>
  <c r="AC91" i="7" l="1"/>
  <c r="AQ91" i="8"/>
  <c r="BI91" i="1"/>
  <c r="C91" i="11"/>
  <c r="V91" i="10"/>
  <c r="AK91" i="5"/>
  <c r="V90" i="8"/>
  <c r="T90" i="8"/>
  <c r="W90" i="8" s="1"/>
  <c r="O90" i="7"/>
  <c r="I90" i="11"/>
  <c r="J90" i="11"/>
  <c r="T90" i="1"/>
  <c r="I91" i="1" s="1"/>
  <c r="AO91" i="1" s="1"/>
  <c r="G90" i="2"/>
  <c r="Z90" i="2" s="1"/>
  <c r="AA91" i="8" s="1"/>
  <c r="BJ91" i="1" l="1"/>
  <c r="C90" i="8"/>
  <c r="F90" i="9"/>
  <c r="P90" i="7"/>
  <c r="Y90" i="2" l="1"/>
  <c r="X90" i="2" s="1"/>
  <c r="H91" i="11" l="1"/>
  <c r="AW91" i="8"/>
  <c r="AB91" i="7"/>
  <c r="AJ91" i="7" s="1"/>
  <c r="E91" i="2"/>
  <c r="L91" i="2" s="1"/>
  <c r="B91" i="8"/>
  <c r="D91" i="2" s="1"/>
  <c r="U91" i="2" l="1"/>
  <c r="W90" i="2" s="1"/>
  <c r="C91" i="2" l="1"/>
  <c r="S91" i="8" s="1"/>
  <c r="H91" i="2" l="1"/>
  <c r="F91" i="2"/>
  <c r="AP91" i="1" s="1"/>
  <c r="I91" i="2"/>
  <c r="F91" i="1"/>
  <c r="I91" i="11" l="1"/>
  <c r="O91" i="7"/>
  <c r="AA91" i="1"/>
  <c r="S91" i="1" s="1"/>
  <c r="H92" i="1" s="1"/>
  <c r="T91" i="8"/>
  <c r="W91" i="8" s="1"/>
  <c r="V91" i="8"/>
  <c r="T91" i="1"/>
  <c r="I92" i="1" s="1"/>
  <c r="AO92" i="1" s="1"/>
  <c r="J91" i="11"/>
  <c r="G91" i="2"/>
  <c r="Z91" i="2" s="1"/>
  <c r="AA92" i="8" s="1"/>
  <c r="C91" i="8" l="1"/>
  <c r="F91" i="9"/>
  <c r="P91" i="7"/>
  <c r="BJ92" i="1"/>
  <c r="C92" i="11"/>
  <c r="AQ92" i="8"/>
  <c r="AC92" i="7"/>
  <c r="V92" i="10"/>
  <c r="AK92" i="5"/>
  <c r="BI92" i="1"/>
  <c r="Y91" i="2" l="1"/>
  <c r="X91" i="2" s="1"/>
  <c r="E92" i="2" l="1"/>
  <c r="L92" i="2" s="1"/>
  <c r="AB92" i="7"/>
  <c r="AJ92" i="7" s="1"/>
  <c r="AW92" i="8"/>
  <c r="H92" i="11"/>
  <c r="B92" i="8"/>
  <c r="D92" i="2" s="1"/>
  <c r="U92" i="2" s="1"/>
  <c r="W91" i="2" l="1"/>
  <c r="C92" i="2" l="1"/>
  <c r="S92" i="8" s="1"/>
  <c r="I92" i="2" l="1"/>
  <c r="F92" i="1"/>
  <c r="H92" i="2"/>
  <c r="F92" i="2"/>
  <c r="AP92" i="1" s="1"/>
  <c r="T92" i="8" l="1"/>
  <c r="W92" i="8" s="1"/>
  <c r="V92" i="8"/>
  <c r="O92" i="7"/>
  <c r="I92" i="11"/>
  <c r="T92" i="1"/>
  <c r="I93" i="1" s="1"/>
  <c r="AO93" i="1" s="1"/>
  <c r="J92" i="11"/>
  <c r="G92" i="2"/>
  <c r="Z92" i="2" s="1"/>
  <c r="AA93" i="8" s="1"/>
  <c r="AA92" i="1"/>
  <c r="S92" i="1" s="1"/>
  <c r="H93" i="1" s="1"/>
  <c r="C93" i="11" l="1"/>
  <c r="AK93" i="5"/>
  <c r="AC93" i="7"/>
  <c r="AQ93" i="8"/>
  <c r="V93" i="10"/>
  <c r="BI93" i="1"/>
  <c r="C92" i="8"/>
  <c r="P92" i="7"/>
  <c r="F92" i="9"/>
  <c r="BJ93" i="1"/>
  <c r="Y92" i="2" l="1"/>
  <c r="X92" i="2" s="1"/>
  <c r="H93" i="11" l="1"/>
  <c r="AB93" i="7"/>
  <c r="AJ93" i="7" s="1"/>
  <c r="AW93" i="8"/>
  <c r="E93" i="2"/>
  <c r="L93" i="2" s="1"/>
  <c r="B93" i="8"/>
  <c r="D93" i="2" s="1"/>
  <c r="U93" i="2" s="1"/>
  <c r="W92" i="2" l="1"/>
  <c r="C93" i="2" l="1"/>
  <c r="S93" i="8" s="1"/>
  <c r="F93" i="1" l="1"/>
  <c r="H93" i="2"/>
  <c r="F93" i="2"/>
  <c r="AP93" i="1" s="1"/>
  <c r="I93" i="2"/>
  <c r="I93" i="11" l="1"/>
  <c r="O93" i="7"/>
  <c r="T93" i="8"/>
  <c r="W93" i="8" s="1"/>
  <c r="V93" i="8"/>
  <c r="J93" i="11"/>
  <c r="T93" i="1"/>
  <c r="I94" i="1" s="1"/>
  <c r="AO94" i="1" s="1"/>
  <c r="G93" i="2"/>
  <c r="Z93" i="2" s="1"/>
  <c r="AA94" i="8" s="1"/>
  <c r="AA93" i="1"/>
  <c r="S93" i="1" s="1"/>
  <c r="H94" i="1" s="1"/>
  <c r="P93" i="7" l="1"/>
  <c r="F93" i="9"/>
  <c r="AC94" i="7"/>
  <c r="AK94" i="5"/>
  <c r="C94" i="11"/>
  <c r="AQ94" i="8"/>
  <c r="V94" i="10"/>
  <c r="BI94" i="1"/>
  <c r="C93" i="8"/>
  <c r="BJ94" i="1"/>
  <c r="Y93" i="2" l="1"/>
  <c r="X93" i="2" s="1"/>
  <c r="E94" i="2" l="1"/>
  <c r="L94" i="2" s="1"/>
  <c r="H94" i="11"/>
  <c r="AW94" i="8"/>
  <c r="AB94" i="7"/>
  <c r="AJ94" i="7" s="1"/>
  <c r="B94" i="8"/>
  <c r="D94" i="2" s="1"/>
  <c r="U94" i="2" s="1"/>
  <c r="W93" i="2" l="1"/>
  <c r="C94" i="2" l="1"/>
  <c r="S94" i="8" s="1"/>
  <c r="F94" i="2" l="1"/>
  <c r="AP94" i="1" s="1"/>
  <c r="I94" i="2"/>
  <c r="AA94" i="1" s="1"/>
  <c r="S94" i="1" s="1"/>
  <c r="H95" i="1" s="1"/>
  <c r="F94" i="1"/>
  <c r="H94" i="2"/>
  <c r="BI95" i="1" l="1"/>
  <c r="V95" i="10"/>
  <c r="C95" i="11"/>
  <c r="AC95" i="7"/>
  <c r="AK95" i="5"/>
  <c r="AQ95" i="8"/>
  <c r="T94" i="8"/>
  <c r="W94" i="8" s="1"/>
  <c r="V94" i="8"/>
  <c r="I94" i="11"/>
  <c r="O94" i="7"/>
  <c r="T94" i="1"/>
  <c r="I95" i="1" s="1"/>
  <c r="AO95" i="1" s="1"/>
  <c r="J94" i="11"/>
  <c r="G94" i="2"/>
  <c r="Z94" i="2" s="1"/>
  <c r="AA95" i="8" s="1"/>
  <c r="BJ95" i="1" l="1"/>
  <c r="F94" i="9"/>
  <c r="P94" i="7"/>
  <c r="C94" i="8"/>
  <c r="Y94" i="2" l="1"/>
  <c r="X94" i="2" s="1"/>
  <c r="E95" i="2" l="1"/>
  <c r="L95" i="2" s="1"/>
  <c r="AW95" i="8"/>
  <c r="H95" i="11"/>
  <c r="AB95" i="7"/>
  <c r="AJ95" i="7" s="1"/>
  <c r="B95" i="8"/>
  <c r="D95" i="2" s="1"/>
  <c r="U95" i="2" s="1"/>
  <c r="W94" i="2" l="1"/>
  <c r="C95" i="2" l="1"/>
  <c r="S95" i="8" s="1"/>
  <c r="I95" i="2" l="1"/>
  <c r="F95" i="2"/>
  <c r="AP95" i="1" s="1"/>
  <c r="H95" i="2"/>
  <c r="F95" i="1"/>
  <c r="T95" i="1" l="1"/>
  <c r="I96" i="1" s="1"/>
  <c r="AO96" i="1" s="1"/>
  <c r="J95" i="11"/>
  <c r="G95" i="2"/>
  <c r="Z95" i="2" s="1"/>
  <c r="AA96" i="8" s="1"/>
  <c r="I95" i="11"/>
  <c r="O95" i="7"/>
  <c r="AA95" i="1"/>
  <c r="S95" i="1" s="1"/>
  <c r="H96" i="1" s="1"/>
  <c r="T95" i="8"/>
  <c r="W95" i="8" s="1"/>
  <c r="V95" i="8"/>
  <c r="AC96" i="7" l="1"/>
  <c r="AK96" i="5"/>
  <c r="AQ96" i="8"/>
  <c r="BI96" i="1"/>
  <c r="C96" i="11"/>
  <c r="V96" i="10"/>
  <c r="C95" i="8"/>
  <c r="F95" i="9"/>
  <c r="P95" i="7"/>
  <c r="BJ96" i="1"/>
  <c r="Y95" i="2" l="1"/>
  <c r="X95" i="2" s="1"/>
  <c r="AW96" i="8" l="1"/>
  <c r="AB96" i="7"/>
  <c r="AJ96" i="7" s="1"/>
  <c r="H96" i="11"/>
  <c r="E96" i="2"/>
  <c r="L96" i="2" s="1"/>
  <c r="B96" i="8"/>
  <c r="D96" i="2" s="1"/>
  <c r="U96" i="2" l="1"/>
  <c r="W95" i="2" s="1"/>
  <c r="C96" i="2" l="1"/>
  <c r="S96" i="8" s="1"/>
  <c r="I96" i="2" l="1"/>
  <c r="AA96" i="1" s="1"/>
  <c r="S96" i="1" s="1"/>
  <c r="H97" i="1" s="1"/>
  <c r="F96" i="1"/>
  <c r="H96" i="2"/>
  <c r="F96" i="2"/>
  <c r="AP96" i="1" s="1"/>
  <c r="J96" i="11" l="1"/>
  <c r="T96" i="1"/>
  <c r="I97" i="1" s="1"/>
  <c r="AO97" i="1" s="1"/>
  <c r="G96" i="2"/>
  <c r="Z96" i="2" s="1"/>
  <c r="AA97" i="8" s="1"/>
  <c r="AC97" i="7"/>
  <c r="V97" i="10"/>
  <c r="BI97" i="1"/>
  <c r="AK97" i="5"/>
  <c r="AQ97" i="8"/>
  <c r="C97" i="11"/>
  <c r="T96" i="8"/>
  <c r="W96" i="8" s="1"/>
  <c r="V96" i="8"/>
  <c r="I96" i="11"/>
  <c r="O96" i="7"/>
  <c r="BJ97" i="1" l="1"/>
  <c r="C96" i="8"/>
  <c r="P96" i="7"/>
  <c r="F96" i="9"/>
  <c r="Y96" i="2" l="1"/>
  <c r="X96" i="2" s="1"/>
  <c r="H97" i="11" l="1"/>
  <c r="E97" i="2"/>
  <c r="L97" i="2" s="1"/>
  <c r="AW97" i="8"/>
  <c r="AB97" i="7"/>
  <c r="AJ97" i="7" s="1"/>
  <c r="B97" i="8"/>
  <c r="D97" i="2" s="1"/>
  <c r="U97" i="2" s="1"/>
  <c r="W96" i="2" l="1"/>
  <c r="C97" i="2" l="1"/>
  <c r="S97" i="8" s="1"/>
  <c r="I97" i="2" l="1"/>
  <c r="AA97" i="1" s="1"/>
  <c r="S97" i="1" s="1"/>
  <c r="H98" i="1" s="1"/>
  <c r="H97" i="2"/>
  <c r="F97" i="1"/>
  <c r="F97" i="2"/>
  <c r="AP97" i="1" s="1"/>
  <c r="T97" i="1" l="1"/>
  <c r="I98" i="1" s="1"/>
  <c r="AO98" i="1" s="1"/>
  <c r="J97" i="11"/>
  <c r="G97" i="2"/>
  <c r="Z97" i="2" s="1"/>
  <c r="AA98" i="8" s="1"/>
  <c r="AC98" i="7"/>
  <c r="AK98" i="5"/>
  <c r="V98" i="10"/>
  <c r="AQ98" i="8"/>
  <c r="C98" i="11"/>
  <c r="BI98" i="1"/>
  <c r="T97" i="8"/>
  <c r="W97" i="8" s="1"/>
  <c r="V97" i="8"/>
  <c r="O97" i="7"/>
  <c r="I97" i="11"/>
  <c r="C97" i="8" l="1"/>
  <c r="F97" i="9"/>
  <c r="P97" i="7"/>
  <c r="BJ98" i="1"/>
  <c r="Y97" i="2" l="1"/>
  <c r="X97" i="2" s="1"/>
  <c r="E98" i="2" l="1"/>
  <c r="L98" i="2" s="1"/>
  <c r="H98" i="11"/>
  <c r="AW98" i="8"/>
  <c r="AB98" i="7"/>
  <c r="AJ98" i="7" s="1"/>
  <c r="B98" i="8"/>
  <c r="D98" i="2" s="1"/>
  <c r="U98" i="2" l="1"/>
  <c r="W97" i="2" s="1"/>
  <c r="C98" i="2" l="1"/>
  <c r="S98" i="8" s="1"/>
  <c r="F98" i="2" l="1"/>
  <c r="AP98" i="1" s="1"/>
  <c r="I98" i="2"/>
  <c r="AA98" i="1" s="1"/>
  <c r="S98" i="1" s="1"/>
  <c r="H99" i="1" s="1"/>
  <c r="F98" i="1"/>
  <c r="H98" i="2"/>
  <c r="V98" i="8" l="1"/>
  <c r="T98" i="8"/>
  <c r="W98" i="8" s="1"/>
  <c r="AC99" i="7"/>
  <c r="BI99" i="1"/>
  <c r="C99" i="11"/>
  <c r="AQ99" i="8"/>
  <c r="AK99" i="5"/>
  <c r="V99" i="10"/>
  <c r="I98" i="11"/>
  <c r="O98" i="7"/>
  <c r="T98" i="1"/>
  <c r="I99" i="1" s="1"/>
  <c r="AO99" i="1" s="1"/>
  <c r="J98" i="11"/>
  <c r="G98" i="2"/>
  <c r="Z98" i="2" s="1"/>
  <c r="AA99" i="8" s="1"/>
  <c r="BJ99" i="1" l="1"/>
  <c r="F98" i="9"/>
  <c r="P98" i="7"/>
  <c r="C98" i="8"/>
  <c r="Y98" i="2" l="1"/>
  <c r="X98" i="2" s="1"/>
  <c r="E99" i="2" l="1"/>
  <c r="L99" i="2" s="1"/>
  <c r="AB99" i="7"/>
  <c r="AJ99" i="7" s="1"/>
  <c r="H99" i="11"/>
  <c r="AW99" i="8"/>
  <c r="B99" i="8"/>
  <c r="D99" i="2" s="1"/>
  <c r="U99" i="2" l="1"/>
  <c r="W98" i="2" s="1"/>
  <c r="C99" i="2" l="1"/>
  <c r="S99" i="8" s="1"/>
  <c r="I99" i="2" l="1"/>
  <c r="AA99" i="1" s="1"/>
  <c r="S99" i="1" s="1"/>
  <c r="H100" i="1" s="1"/>
  <c r="F99" i="2"/>
  <c r="AP99" i="1" s="1"/>
  <c r="F99" i="1"/>
  <c r="H99" i="2"/>
  <c r="AC100" i="7" l="1"/>
  <c r="AK100" i="5"/>
  <c r="C100" i="11"/>
  <c r="V100" i="10"/>
  <c r="AQ100" i="8"/>
  <c r="BI100" i="1"/>
  <c r="T99" i="8"/>
  <c r="W99" i="8" s="1"/>
  <c r="V99" i="8"/>
  <c r="T99" i="1"/>
  <c r="I100" i="1" s="1"/>
  <c r="AO100" i="1" s="1"/>
  <c r="J99" i="11"/>
  <c r="G99" i="2"/>
  <c r="Z99" i="2" s="1"/>
  <c r="AA100" i="8" s="1"/>
  <c r="O99" i="7"/>
  <c r="I99" i="11"/>
  <c r="C99" i="8" l="1"/>
  <c r="BJ100" i="1"/>
  <c r="F99" i="9"/>
  <c r="P99" i="7"/>
  <c r="Y99" i="2" l="1"/>
  <c r="X99" i="2" s="1"/>
  <c r="E100" i="2" l="1"/>
  <c r="L100" i="2" s="1"/>
  <c r="H100" i="11"/>
  <c r="AB100" i="7"/>
  <c r="AJ100" i="7" s="1"/>
  <c r="AW100" i="8"/>
  <c r="B100" i="8"/>
  <c r="D100" i="2" s="1"/>
  <c r="U100" i="2" s="1"/>
  <c r="W99" i="2" l="1"/>
  <c r="C100" i="2" l="1"/>
  <c r="S100" i="8" s="1"/>
  <c r="F100" i="2" l="1"/>
  <c r="AP100" i="1" s="1"/>
  <c r="I100" i="2"/>
  <c r="AA100" i="1" s="1"/>
  <c r="S100" i="1" s="1"/>
  <c r="H101" i="1" s="1"/>
  <c r="F100" i="1"/>
  <c r="H100" i="2"/>
  <c r="AC101" i="7" l="1"/>
  <c r="BI101" i="1"/>
  <c r="AQ101" i="8"/>
  <c r="C101" i="11"/>
  <c r="V101" i="10"/>
  <c r="AK101" i="5"/>
  <c r="T100" i="8"/>
  <c r="W100" i="8" s="1"/>
  <c r="V100" i="8"/>
  <c r="J100" i="11"/>
  <c r="T100" i="1"/>
  <c r="I101" i="1" s="1"/>
  <c r="AO101" i="1" s="1"/>
  <c r="G100" i="2"/>
  <c r="Z100" i="2" s="1"/>
  <c r="AA101" i="8" s="1"/>
  <c r="O100" i="7"/>
  <c r="I100" i="11"/>
  <c r="BJ101" i="1" l="1"/>
  <c r="P100" i="7"/>
  <c r="F100" i="9"/>
  <c r="C100" i="8"/>
  <c r="Y100" i="2" l="1"/>
  <c r="X100" i="2" s="1"/>
  <c r="AW101" i="8" l="1"/>
  <c r="H101" i="11"/>
  <c r="AB101" i="7"/>
  <c r="AJ101" i="7" s="1"/>
  <c r="E101" i="2"/>
  <c r="L101" i="2" s="1"/>
  <c r="B101" i="8"/>
  <c r="D101" i="2" s="1"/>
  <c r="U101" i="2" l="1"/>
  <c r="W100" i="2" s="1"/>
  <c r="C101" i="2" l="1"/>
  <c r="S101" i="8" s="1"/>
  <c r="F101" i="1" l="1"/>
  <c r="I101" i="2"/>
  <c r="AA101" i="1" s="1"/>
  <c r="S101" i="1" s="1"/>
  <c r="H102" i="1" s="1"/>
  <c r="F101" i="2"/>
  <c r="AP101" i="1" s="1"/>
  <c r="H101" i="2"/>
  <c r="AC102" i="7" l="1"/>
  <c r="AQ102" i="8"/>
  <c r="V102" i="10"/>
  <c r="AK102" i="5"/>
  <c r="BI102" i="1"/>
  <c r="C102" i="11"/>
  <c r="T101" i="8"/>
  <c r="W101" i="8" s="1"/>
  <c r="V101" i="8"/>
  <c r="T101" i="1"/>
  <c r="I102" i="1" s="1"/>
  <c r="AO102" i="1" s="1"/>
  <c r="J101" i="11"/>
  <c r="G101" i="2"/>
  <c r="Z101" i="2" s="1"/>
  <c r="AA102" i="8" s="1"/>
  <c r="O101" i="7"/>
  <c r="I101" i="11"/>
  <c r="P101" i="7" l="1"/>
  <c r="F101" i="9"/>
  <c r="C101" i="8"/>
  <c r="BJ102" i="1"/>
  <c r="Y101" i="2" l="1"/>
  <c r="X101" i="2" s="1"/>
  <c r="AW102" i="8" l="1"/>
  <c r="AB102" i="7"/>
  <c r="AJ102" i="7" s="1"/>
  <c r="H102" i="11"/>
  <c r="E102" i="2"/>
  <c r="L102" i="2" s="1"/>
  <c r="B102" i="8"/>
  <c r="D102" i="2" s="1"/>
  <c r="U102" i="2" s="1"/>
  <c r="W101" i="2" l="1"/>
  <c r="C102" i="2" l="1"/>
  <c r="S102" i="8" s="1"/>
  <c r="I102" i="2" l="1"/>
  <c r="AA102" i="1" s="1"/>
  <c r="S102" i="1" s="1"/>
  <c r="H103" i="1" s="1"/>
  <c r="F102" i="2"/>
  <c r="AP102" i="1" s="1"/>
  <c r="H102" i="2"/>
  <c r="F102" i="1"/>
  <c r="V102" i="8" l="1"/>
  <c r="T102" i="8"/>
  <c r="W102" i="8" s="1"/>
  <c r="AC103" i="7"/>
  <c r="AK103" i="5"/>
  <c r="C103" i="11"/>
  <c r="AQ103" i="8"/>
  <c r="BI103" i="1"/>
  <c r="V103" i="10"/>
  <c r="J102" i="11"/>
  <c r="T102" i="1"/>
  <c r="I103" i="1" s="1"/>
  <c r="AO103" i="1" s="1"/>
  <c r="G102" i="2"/>
  <c r="Z102" i="2" s="1"/>
  <c r="AA103" i="8" s="1"/>
  <c r="O102" i="7"/>
  <c r="I102" i="11"/>
  <c r="C102" i="8" l="1"/>
  <c r="P102" i="7"/>
  <c r="F102" i="9"/>
  <c r="BJ103" i="1"/>
  <c r="Y102" i="2" l="1"/>
  <c r="X102" i="2" s="1"/>
  <c r="E103" i="2" l="1"/>
  <c r="L103" i="2" s="1"/>
  <c r="AW103" i="8"/>
  <c r="AB103" i="7"/>
  <c r="AJ103" i="7" s="1"/>
  <c r="H103" i="11"/>
  <c r="B103" i="8"/>
  <c r="D103" i="2" s="1"/>
  <c r="U103" i="2" l="1"/>
  <c r="W102" i="2" s="1"/>
  <c r="C103" i="2" l="1"/>
  <c r="S103" i="8" s="1"/>
  <c r="F103" i="1" l="1"/>
  <c r="H103" i="2"/>
  <c r="F103" i="2"/>
  <c r="AP103" i="1" s="1"/>
  <c r="I103" i="2"/>
  <c r="O103" i="7" l="1"/>
  <c r="I103" i="11"/>
  <c r="V103" i="8"/>
  <c r="T103" i="8"/>
  <c r="W103" i="8" s="1"/>
  <c r="T103" i="1"/>
  <c r="I104" i="1" s="1"/>
  <c r="AO104" i="1" s="1"/>
  <c r="J103" i="11"/>
  <c r="G103" i="2"/>
  <c r="Z103" i="2" s="1"/>
  <c r="AA104" i="8" s="1"/>
  <c r="AA103" i="1"/>
  <c r="S103" i="1" s="1"/>
  <c r="H104" i="1" s="1"/>
  <c r="C104" i="11" l="1"/>
  <c r="AC104" i="7"/>
  <c r="BI104" i="1"/>
  <c r="AK104" i="5"/>
  <c r="V104" i="10"/>
  <c r="AQ104" i="8"/>
  <c r="C103" i="8"/>
  <c r="P103" i="7"/>
  <c r="F103" i="9"/>
  <c r="BJ104" i="1"/>
  <c r="Y103" i="2" l="1"/>
  <c r="X103" i="2" s="1"/>
  <c r="E104" i="2" l="1"/>
  <c r="L104" i="2" s="1"/>
  <c r="AW104" i="8"/>
  <c r="H104" i="11"/>
  <c r="AB104" i="7"/>
  <c r="AJ104" i="7" s="1"/>
  <c r="B104" i="8"/>
  <c r="D104" i="2" s="1"/>
  <c r="U104" i="2" l="1"/>
  <c r="W103" i="2" s="1"/>
  <c r="C104" i="2" l="1"/>
  <c r="S104" i="8" s="1"/>
  <c r="F104" i="2" l="1"/>
  <c r="AP104" i="1" s="1"/>
  <c r="H104" i="2"/>
  <c r="F104" i="1"/>
  <c r="I104" i="2"/>
  <c r="I104" i="11" l="1"/>
  <c r="O104" i="7"/>
  <c r="J104" i="11"/>
  <c r="T104" i="1"/>
  <c r="I105" i="1" s="1"/>
  <c r="AO105" i="1" s="1"/>
  <c r="G104" i="2"/>
  <c r="Z104" i="2" s="1"/>
  <c r="AA105" i="8" s="1"/>
  <c r="AA104" i="1"/>
  <c r="S104" i="1" s="1"/>
  <c r="H105" i="1" s="1"/>
  <c r="V104" i="8"/>
  <c r="T104" i="8"/>
  <c r="W104" i="8" s="1"/>
  <c r="V105" i="10" l="1"/>
  <c r="AK105" i="5"/>
  <c r="BI105" i="1"/>
  <c r="AQ105" i="8"/>
  <c r="C105" i="11"/>
  <c r="AC105" i="7"/>
  <c r="C104" i="8"/>
  <c r="P104" i="7"/>
  <c r="F104" i="9"/>
  <c r="BJ105" i="1"/>
  <c r="Y104" i="2" l="1"/>
  <c r="X104" i="2" s="1"/>
  <c r="E105" i="2" l="1"/>
  <c r="L105" i="2" s="1"/>
  <c r="AB105" i="7"/>
  <c r="AJ105" i="7" s="1"/>
  <c r="H105" i="11"/>
  <c r="AW105" i="8"/>
  <c r="B105" i="8"/>
  <c r="D105" i="2" s="1"/>
  <c r="U105" i="2" l="1"/>
  <c r="W104" i="2" s="1"/>
  <c r="C105" i="2" l="1"/>
  <c r="S105" i="8" s="1"/>
  <c r="H105" i="2" l="1"/>
  <c r="F105" i="2"/>
  <c r="AP105" i="1" s="1"/>
  <c r="I105" i="2"/>
  <c r="AA105" i="1" s="1"/>
  <c r="S105" i="1" s="1"/>
  <c r="H106" i="1" s="1"/>
  <c r="F105" i="1"/>
  <c r="AK106" i="5" l="1"/>
  <c r="AC106" i="7"/>
  <c r="C106" i="11"/>
  <c r="V106" i="10"/>
  <c r="BI106" i="1"/>
  <c r="AQ106" i="8"/>
  <c r="O105" i="7"/>
  <c r="I105" i="11"/>
  <c r="T105" i="1"/>
  <c r="I106" i="1" s="1"/>
  <c r="AO106" i="1" s="1"/>
  <c r="J105" i="11"/>
  <c r="G105" i="2"/>
  <c r="Z105" i="2" s="1"/>
  <c r="AA106" i="8" s="1"/>
  <c r="T105" i="8"/>
  <c r="W105" i="8" s="1"/>
  <c r="V105" i="8"/>
  <c r="C105" i="8" l="1"/>
  <c r="BJ106" i="1"/>
  <c r="F105" i="9"/>
  <c r="P105" i="7"/>
  <c r="Y105" i="2" l="1"/>
  <c r="X105" i="2" s="1"/>
  <c r="E106" i="2" l="1"/>
  <c r="L106" i="2" s="1"/>
  <c r="H106" i="11"/>
  <c r="AW106" i="8"/>
  <c r="AB106" i="7"/>
  <c r="AJ106" i="7" s="1"/>
  <c r="B106" i="8"/>
  <c r="D106" i="2" s="1"/>
  <c r="U106" i="2" s="1"/>
  <c r="W105" i="2" l="1"/>
  <c r="C106" i="2" l="1"/>
  <c r="S106" i="8" s="1"/>
  <c r="I106" i="2" l="1"/>
  <c r="AA106" i="1" s="1"/>
  <c r="S106" i="1" s="1"/>
  <c r="H107" i="1" s="1"/>
  <c r="F106" i="1"/>
  <c r="H106" i="2"/>
  <c r="F106" i="2"/>
  <c r="AP106" i="1" s="1"/>
  <c r="T106" i="1" l="1"/>
  <c r="I107" i="1" s="1"/>
  <c r="AO107" i="1" s="1"/>
  <c r="J106" i="11"/>
  <c r="G106" i="2"/>
  <c r="Z106" i="2" s="1"/>
  <c r="AA107" i="8" s="1"/>
  <c r="AC107" i="7"/>
  <c r="AK107" i="5"/>
  <c r="AQ107" i="8"/>
  <c r="BI107" i="1"/>
  <c r="C107" i="11"/>
  <c r="V107" i="10"/>
  <c r="O106" i="7"/>
  <c r="I106" i="11"/>
  <c r="T106" i="8"/>
  <c r="W106" i="8" s="1"/>
  <c r="V106" i="8"/>
  <c r="C106" i="8" l="1"/>
  <c r="F106" i="9"/>
  <c r="P106" i="7"/>
  <c r="BJ107" i="1"/>
  <c r="Y106" i="2" l="1"/>
  <c r="X106" i="2" s="1"/>
  <c r="E107" i="2" l="1"/>
  <c r="L107" i="2" s="1"/>
  <c r="AB107" i="7"/>
  <c r="AJ107" i="7" s="1"/>
  <c r="AW107" i="8"/>
  <c r="H107" i="11"/>
  <c r="B107" i="8"/>
  <c r="D107" i="2" s="1"/>
  <c r="U107" i="2" l="1"/>
  <c r="W106" i="2" s="1"/>
  <c r="C107" i="2" l="1"/>
  <c r="S107" i="8" s="1"/>
  <c r="I107" i="2" l="1"/>
  <c r="F107" i="2"/>
  <c r="AP107" i="1" s="1"/>
  <c r="F107" i="1"/>
  <c r="H107" i="2"/>
  <c r="T107" i="1" l="1"/>
  <c r="I108" i="1" s="1"/>
  <c r="AO108" i="1" s="1"/>
  <c r="J107" i="11"/>
  <c r="G107" i="2"/>
  <c r="Z107" i="2" s="1"/>
  <c r="AA108" i="8" s="1"/>
  <c r="O107" i="7"/>
  <c r="I107" i="11"/>
  <c r="V107" i="8"/>
  <c r="T107" i="8"/>
  <c r="W107" i="8" s="1"/>
  <c r="AA107" i="1"/>
  <c r="S107" i="1" s="1"/>
  <c r="H108" i="1" s="1"/>
  <c r="AC108" i="7" l="1"/>
  <c r="V108" i="10"/>
  <c r="AK108" i="5"/>
  <c r="BI108" i="1"/>
  <c r="AQ108" i="8"/>
  <c r="C108" i="11"/>
  <c r="C107" i="8"/>
  <c r="P107" i="7"/>
  <c r="F107" i="9"/>
  <c r="BJ108" i="1"/>
  <c r="Y107" i="2" l="1"/>
  <c r="X107" i="2" s="1"/>
  <c r="E108" i="2" l="1"/>
  <c r="L108" i="2" s="1"/>
  <c r="H108" i="11"/>
  <c r="AW108" i="8"/>
  <c r="AB108" i="7"/>
  <c r="AJ108" i="7" s="1"/>
  <c r="B108" i="8"/>
  <c r="D108" i="2" s="1"/>
  <c r="U108" i="2" l="1"/>
  <c r="W107" i="2" s="1"/>
  <c r="C108" i="2" l="1"/>
  <c r="S108" i="8" s="1"/>
  <c r="F108" i="2" l="1"/>
  <c r="AP108" i="1" s="1"/>
  <c r="F108" i="1"/>
  <c r="H108" i="2"/>
  <c r="I108" i="2"/>
  <c r="AA108" i="1" s="1"/>
  <c r="S108" i="1" s="1"/>
  <c r="H109" i="1" s="1"/>
  <c r="BI109" i="1" l="1"/>
  <c r="C109" i="11"/>
  <c r="V109" i="10"/>
  <c r="AC109" i="7"/>
  <c r="AQ109" i="8"/>
  <c r="AK109" i="5"/>
  <c r="T108" i="1"/>
  <c r="I109" i="1" s="1"/>
  <c r="AO109" i="1" s="1"/>
  <c r="J108" i="11"/>
  <c r="G108" i="2"/>
  <c r="Z108" i="2" s="1"/>
  <c r="AA109" i="8" s="1"/>
  <c r="I108" i="11"/>
  <c r="O108" i="7"/>
  <c r="T108" i="8"/>
  <c r="W108" i="8" s="1"/>
  <c r="V108" i="8"/>
  <c r="C108" i="8" l="1"/>
  <c r="BJ109" i="1"/>
  <c r="P108" i="7"/>
  <c r="F108" i="9"/>
  <c r="Y108" i="2" l="1"/>
  <c r="X108" i="2" s="1"/>
  <c r="E109" i="2" l="1"/>
  <c r="L109" i="2" s="1"/>
  <c r="AW109" i="8"/>
  <c r="H109" i="11"/>
  <c r="AB109" i="7"/>
  <c r="AJ109" i="7" s="1"/>
  <c r="B109" i="8"/>
  <c r="D109" i="2" s="1"/>
  <c r="U109" i="2" l="1"/>
  <c r="W108" i="2" s="1"/>
  <c r="C109" i="2" l="1"/>
  <c r="S109" i="8" s="1"/>
  <c r="F109" i="2" l="1"/>
  <c r="AP109" i="1" s="1"/>
  <c r="I109" i="2"/>
  <c r="H109" i="2"/>
  <c r="F109" i="1"/>
  <c r="V109" i="8" l="1"/>
  <c r="T109" i="8"/>
  <c r="W109" i="8" s="1"/>
  <c r="J109" i="11"/>
  <c r="T109" i="1"/>
  <c r="I110" i="1" s="1"/>
  <c r="AO110" i="1" s="1"/>
  <c r="G109" i="2"/>
  <c r="Z109" i="2" s="1"/>
  <c r="AA110" i="8" s="1"/>
  <c r="I109" i="11"/>
  <c r="O109" i="7"/>
  <c r="AA109" i="1"/>
  <c r="S109" i="1" s="1"/>
  <c r="H110" i="1" s="1"/>
  <c r="C109" i="8" l="1"/>
  <c r="BJ110" i="1"/>
  <c r="C110" i="11"/>
  <c r="AQ110" i="8"/>
  <c r="AC110" i="7"/>
  <c r="AK110" i="5"/>
  <c r="BI110" i="1"/>
  <c r="V110" i="10"/>
  <c r="P109" i="7"/>
  <c r="F109" i="9"/>
  <c r="Y109" i="2" l="1"/>
  <c r="X109" i="2" s="1"/>
  <c r="AB110" i="7" l="1"/>
  <c r="AJ110" i="7" s="1"/>
  <c r="H110" i="11"/>
  <c r="AW110" i="8"/>
  <c r="E110" i="2"/>
  <c r="L110" i="2" s="1"/>
  <c r="B110" i="8"/>
  <c r="D110" i="2" s="1"/>
  <c r="U110" i="2" s="1"/>
  <c r="W109" i="2" l="1"/>
  <c r="C110" i="2" l="1"/>
  <c r="S110" i="8" s="1"/>
  <c r="I110" i="2" l="1"/>
  <c r="AA110" i="1" s="1"/>
  <c r="S110" i="1" s="1"/>
  <c r="H111" i="1" s="1"/>
  <c r="F110" i="2"/>
  <c r="AP110" i="1" s="1"/>
  <c r="H110" i="2"/>
  <c r="F110" i="1"/>
  <c r="J110" i="11" l="1"/>
  <c r="T110" i="1"/>
  <c r="I111" i="1" s="1"/>
  <c r="AO111" i="1" s="1"/>
  <c r="G110" i="2"/>
  <c r="Z110" i="2" s="1"/>
  <c r="AA111" i="8" s="1"/>
  <c r="BI111" i="1"/>
  <c r="AK111" i="5"/>
  <c r="AQ111" i="8"/>
  <c r="V111" i="10"/>
  <c r="AC111" i="7"/>
  <c r="C111" i="11"/>
  <c r="I110" i="11"/>
  <c r="O110" i="7"/>
  <c r="V110" i="8"/>
  <c r="T110" i="8"/>
  <c r="W110" i="8" s="1"/>
  <c r="BJ111" i="1" l="1"/>
  <c r="C110" i="8"/>
  <c r="P110" i="7"/>
  <c r="F110" i="9"/>
  <c r="Y110" i="2" l="1"/>
  <c r="X110" i="2" s="1"/>
  <c r="AB111" i="7" l="1"/>
  <c r="AJ111" i="7" s="1"/>
  <c r="AW111" i="8"/>
  <c r="E111" i="2"/>
  <c r="L111" i="2" s="1"/>
  <c r="H111" i="11"/>
  <c r="B111" i="8"/>
  <c r="D111" i="2" s="1"/>
  <c r="U111" i="2" l="1"/>
  <c r="W110" i="2" s="1"/>
  <c r="C111" i="2" l="1"/>
  <c r="S111" i="8" s="1"/>
  <c r="H111" i="2" l="1"/>
  <c r="F111" i="1"/>
  <c r="I111" i="2"/>
  <c r="F111" i="2"/>
  <c r="AP111" i="1" s="1"/>
  <c r="J111" i="11" l="1"/>
  <c r="T111" i="1"/>
  <c r="I112" i="1" s="1"/>
  <c r="AO112" i="1" s="1"/>
  <c r="G111" i="2"/>
  <c r="Z111" i="2" s="1"/>
  <c r="AA112" i="8" s="1"/>
  <c r="I111" i="11"/>
  <c r="O111" i="7"/>
  <c r="T111" i="8"/>
  <c r="W111" i="8" s="1"/>
  <c r="V111" i="8"/>
  <c r="AA111" i="1"/>
  <c r="S111" i="1" s="1"/>
  <c r="H112" i="1" s="1"/>
  <c r="BJ112" i="1" l="1"/>
  <c r="V112" i="10"/>
  <c r="BI112" i="1"/>
  <c r="AC112" i="7"/>
  <c r="AQ112" i="8"/>
  <c r="AK112" i="5"/>
  <c r="C112" i="11"/>
  <c r="C111" i="8"/>
  <c r="P111" i="7"/>
  <c r="F111" i="9"/>
  <c r="Y111" i="2" l="1"/>
  <c r="X111" i="2" s="1"/>
  <c r="H112" i="11" l="1"/>
  <c r="AW112" i="8"/>
  <c r="E112" i="2"/>
  <c r="L112" i="2" s="1"/>
  <c r="AB112" i="7"/>
  <c r="AJ112" i="7" s="1"/>
  <c r="B112" i="8"/>
  <c r="D112" i="2" s="1"/>
  <c r="U112" i="2" s="1"/>
  <c r="W111" i="2" l="1"/>
  <c r="C112" i="2" l="1"/>
  <c r="S112" i="8" s="1"/>
  <c r="F112" i="2" l="1"/>
  <c r="AP112" i="1" s="1"/>
  <c r="I112" i="2"/>
  <c r="H112" i="2"/>
  <c r="F112" i="1"/>
  <c r="J112" i="11" l="1"/>
  <c r="T112" i="1"/>
  <c r="I113" i="1" s="1"/>
  <c r="AO113" i="1" s="1"/>
  <c r="G112" i="2"/>
  <c r="Z112" i="2" s="1"/>
  <c r="AA113" i="8" s="1"/>
  <c r="V112" i="8"/>
  <c r="T112" i="8"/>
  <c r="W112" i="8" s="1"/>
  <c r="O112" i="7"/>
  <c r="I112" i="11"/>
  <c r="AA112" i="1"/>
  <c r="S112" i="1" s="1"/>
  <c r="H113" i="1" s="1"/>
  <c r="BJ113" i="1" l="1"/>
  <c r="AC113" i="7"/>
  <c r="BI113" i="1"/>
  <c r="AK113" i="5"/>
  <c r="V113" i="10"/>
  <c r="C113" i="11"/>
  <c r="AQ113" i="8"/>
  <c r="C112" i="8"/>
  <c r="P112" i="7"/>
  <c r="F112" i="9"/>
  <c r="Y112" i="2" l="1"/>
  <c r="X112" i="2" s="1"/>
  <c r="E113" i="2" l="1"/>
  <c r="L113" i="2" s="1"/>
  <c r="AB113" i="7"/>
  <c r="AJ113" i="7" s="1"/>
  <c r="H113" i="11"/>
  <c r="AW113" i="8"/>
  <c r="B113" i="8"/>
  <c r="D113" i="2" s="1"/>
  <c r="U113" i="2" s="1"/>
  <c r="W112" i="2" l="1"/>
  <c r="C113" i="2" l="1"/>
  <c r="S113" i="8" s="1"/>
  <c r="F113" i="2" l="1"/>
  <c r="AP113" i="1" s="1"/>
  <c r="F113" i="1"/>
  <c r="H113" i="2"/>
  <c r="I113" i="2"/>
  <c r="O113" i="7" l="1"/>
  <c r="I113" i="11"/>
  <c r="J113" i="11"/>
  <c r="T113" i="1"/>
  <c r="I114" i="1" s="1"/>
  <c r="AO114" i="1" s="1"/>
  <c r="G113" i="2"/>
  <c r="Z113" i="2" s="1"/>
  <c r="AA114" i="8" s="1"/>
  <c r="AA113" i="1"/>
  <c r="S113" i="1" s="1"/>
  <c r="H114" i="1" s="1"/>
  <c r="T113" i="8"/>
  <c r="W113" i="8" s="1"/>
  <c r="V113" i="8"/>
  <c r="AC114" i="7" l="1"/>
  <c r="V114" i="10"/>
  <c r="AQ114" i="8"/>
  <c r="BI114" i="1"/>
  <c r="C114" i="11"/>
  <c r="AK114" i="5"/>
  <c r="C113" i="8"/>
  <c r="BJ114" i="1"/>
  <c r="P113" i="7"/>
  <c r="F113" i="9"/>
  <c r="Y113" i="2" l="1"/>
  <c r="X113" i="2" s="1"/>
  <c r="E114" i="2" l="1"/>
  <c r="L114" i="2" s="1"/>
  <c r="H114" i="11"/>
  <c r="AW114" i="8"/>
  <c r="AB114" i="7"/>
  <c r="AJ114" i="7" s="1"/>
  <c r="B114" i="8"/>
  <c r="D114" i="2" s="1"/>
  <c r="U114" i="2" s="1"/>
  <c r="W113" i="2" l="1"/>
  <c r="C114" i="2" l="1"/>
  <c r="S114" i="8" s="1"/>
  <c r="H114" i="2" l="1"/>
  <c r="F114" i="1"/>
  <c r="F114" i="2"/>
  <c r="AP114" i="1" s="1"/>
  <c r="I114" i="2"/>
  <c r="AA114" i="1" s="1"/>
  <c r="S114" i="1" s="1"/>
  <c r="H115" i="1" s="1"/>
  <c r="AK115" i="5" l="1"/>
  <c r="AQ115" i="8"/>
  <c r="BI115" i="1"/>
  <c r="C115" i="11"/>
  <c r="AC115" i="7"/>
  <c r="V115" i="10"/>
  <c r="O114" i="7"/>
  <c r="I114" i="11"/>
  <c r="J114" i="11"/>
  <c r="T114" i="1"/>
  <c r="I115" i="1" s="1"/>
  <c r="AO115" i="1" s="1"/>
  <c r="G114" i="2"/>
  <c r="Z114" i="2" s="1"/>
  <c r="AA115" i="8" s="1"/>
  <c r="V114" i="8"/>
  <c r="T114" i="8"/>
  <c r="W114" i="8" s="1"/>
  <c r="BJ115" i="1" l="1"/>
  <c r="C114" i="8"/>
  <c r="P114" i="7"/>
  <c r="F114" i="9"/>
  <c r="Y114" i="2" l="1"/>
  <c r="X114" i="2" s="1"/>
  <c r="AB115" i="7" l="1"/>
  <c r="AJ115" i="7" s="1"/>
  <c r="H115" i="11"/>
  <c r="AW115" i="8"/>
  <c r="E115" i="2"/>
  <c r="L115" i="2" s="1"/>
  <c r="B115" i="8"/>
  <c r="D115" i="2" s="1"/>
  <c r="U115" i="2" l="1"/>
  <c r="W114" i="2" s="1"/>
  <c r="C115" i="2" l="1"/>
  <c r="S115" i="8" s="1"/>
  <c r="I115" i="2" l="1"/>
  <c r="AA115" i="1" s="1"/>
  <c r="S115" i="1" s="1"/>
  <c r="H116" i="1" s="1"/>
  <c r="H115" i="2"/>
  <c r="F115" i="1"/>
  <c r="F115" i="2"/>
  <c r="AP115" i="1" s="1"/>
  <c r="J115" i="11" l="1"/>
  <c r="T115" i="1"/>
  <c r="I116" i="1" s="1"/>
  <c r="AO116" i="1" s="1"/>
  <c r="G115" i="2"/>
  <c r="Z115" i="2" s="1"/>
  <c r="AA116" i="8" s="1"/>
  <c r="T115" i="8"/>
  <c r="W115" i="8" s="1"/>
  <c r="V115" i="8"/>
  <c r="AC116" i="7"/>
  <c r="AQ116" i="8"/>
  <c r="V116" i="10"/>
  <c r="BI116" i="1"/>
  <c r="AK116" i="5"/>
  <c r="C116" i="11"/>
  <c r="O115" i="7"/>
  <c r="I115" i="11"/>
  <c r="C115" i="8" l="1"/>
  <c r="BJ116" i="1"/>
  <c r="F115" i="9"/>
  <c r="P115" i="7"/>
  <c r="Y115" i="2" l="1"/>
  <c r="X115" i="2" s="1"/>
  <c r="H116" i="11" l="1"/>
  <c r="AB116" i="7"/>
  <c r="AJ116" i="7" s="1"/>
  <c r="AW116" i="8"/>
  <c r="E116" i="2"/>
  <c r="L116" i="2" s="1"/>
  <c r="B116" i="8"/>
  <c r="D116" i="2" s="1"/>
  <c r="U116" i="2" l="1"/>
  <c r="W115" i="2" s="1"/>
  <c r="C116" i="2" l="1"/>
  <c r="S116" i="8" s="1"/>
  <c r="F116" i="1" l="1"/>
  <c r="H116" i="2"/>
  <c r="I116" i="2"/>
  <c r="F116" i="2"/>
  <c r="AP116" i="1" s="1"/>
  <c r="J116" i="11" l="1"/>
  <c r="T116" i="1"/>
  <c r="I117" i="1" s="1"/>
  <c r="AO117" i="1" s="1"/>
  <c r="G116" i="2"/>
  <c r="Z116" i="2" s="1"/>
  <c r="AA117" i="8" s="1"/>
  <c r="I116" i="11"/>
  <c r="O116" i="7"/>
  <c r="V116" i="8"/>
  <c r="T116" i="8"/>
  <c r="W116" i="8" s="1"/>
  <c r="AA116" i="1"/>
  <c r="S116" i="1" s="1"/>
  <c r="H117" i="1" s="1"/>
  <c r="AC117" i="7" l="1"/>
  <c r="AQ117" i="8"/>
  <c r="AK117" i="5"/>
  <c r="BI117" i="1"/>
  <c r="C117" i="11"/>
  <c r="V117" i="10"/>
  <c r="C116" i="8"/>
  <c r="BJ117" i="1"/>
  <c r="F116" i="9"/>
  <c r="P116" i="7"/>
  <c r="Y116" i="2" l="1"/>
  <c r="X116" i="2" s="1"/>
  <c r="E117" i="2" l="1"/>
  <c r="L117" i="2" s="1"/>
  <c r="AB117" i="7"/>
  <c r="AJ117" i="7" s="1"/>
  <c r="H117" i="11"/>
  <c r="AW117" i="8"/>
  <c r="B117" i="8"/>
  <c r="D117" i="2" s="1"/>
  <c r="U117" i="2" l="1"/>
  <c r="W116" i="2" s="1"/>
  <c r="C117" i="2" l="1"/>
  <c r="S117" i="8" s="1"/>
  <c r="I117" i="2" l="1"/>
  <c r="AA117" i="1" s="1"/>
  <c r="S117" i="1" s="1"/>
  <c r="H118" i="1" s="1"/>
  <c r="F117" i="2"/>
  <c r="AP117" i="1" s="1"/>
  <c r="F117" i="1"/>
  <c r="H117" i="2"/>
  <c r="V118" i="10" l="1"/>
  <c r="AC118" i="7"/>
  <c r="C118" i="11"/>
  <c r="AK118" i="5"/>
  <c r="BI118" i="1"/>
  <c r="AQ118" i="8"/>
  <c r="V117" i="8"/>
  <c r="T117" i="8"/>
  <c r="W117" i="8" s="1"/>
  <c r="J117" i="11"/>
  <c r="T117" i="1"/>
  <c r="I118" i="1" s="1"/>
  <c r="AO118" i="1" s="1"/>
  <c r="G117" i="2"/>
  <c r="Z117" i="2" s="1"/>
  <c r="AA118" i="8" s="1"/>
  <c r="I117" i="11"/>
  <c r="O117" i="7"/>
  <c r="P117" i="7" l="1"/>
  <c r="F117" i="9"/>
  <c r="BJ118" i="1"/>
  <c r="C117" i="8"/>
  <c r="Y117" i="2" l="1"/>
  <c r="X117" i="2" s="1"/>
  <c r="E118" i="2" l="1"/>
  <c r="L118" i="2" s="1"/>
  <c r="AB118" i="7"/>
  <c r="AJ118" i="7" s="1"/>
  <c r="H118" i="11"/>
  <c r="AW118" i="8"/>
  <c r="B118" i="8"/>
  <c r="D118" i="2" s="1"/>
  <c r="U118" i="2" s="1"/>
  <c r="W117" i="2" l="1"/>
  <c r="C118" i="2" l="1"/>
  <c r="S118" i="8" s="1"/>
  <c r="I118" i="2" l="1"/>
  <c r="AA118" i="1" s="1"/>
  <c r="S118" i="1" s="1"/>
  <c r="H119" i="1" s="1"/>
  <c r="F118" i="2"/>
  <c r="AP118" i="1" s="1"/>
  <c r="F118" i="1"/>
  <c r="H118" i="2"/>
  <c r="T118" i="1" l="1"/>
  <c r="I119" i="1" s="1"/>
  <c r="AO119" i="1" s="1"/>
  <c r="J118" i="11"/>
  <c r="G118" i="2"/>
  <c r="Z118" i="2" s="1"/>
  <c r="AA119" i="8" s="1"/>
  <c r="C119" i="11"/>
  <c r="BI119" i="1"/>
  <c r="AC119" i="7"/>
  <c r="V119" i="10"/>
  <c r="AQ119" i="8"/>
  <c r="AK119" i="5"/>
  <c r="V118" i="8"/>
  <c r="T118" i="8"/>
  <c r="W118" i="8" s="1"/>
  <c r="O118" i="7"/>
  <c r="I118" i="11"/>
  <c r="C118" i="8" l="1"/>
  <c r="P118" i="7"/>
  <c r="F118" i="9"/>
  <c r="BJ119" i="1"/>
  <c r="Y118" i="2" l="1"/>
  <c r="X118" i="2" s="1"/>
  <c r="E119" i="2" l="1"/>
  <c r="L119" i="2" s="1"/>
  <c r="H119" i="11"/>
  <c r="AB119" i="7"/>
  <c r="AJ119" i="7" s="1"/>
  <c r="AW119" i="8"/>
  <c r="B119" i="8"/>
  <c r="D119" i="2" s="1"/>
  <c r="U119" i="2" l="1"/>
  <c r="W118" i="2" s="1"/>
  <c r="C119" i="2" l="1"/>
  <c r="S119" i="8" s="1"/>
  <c r="I119" i="2" l="1"/>
  <c r="AA119" i="1" s="1"/>
  <c r="S119" i="1" s="1"/>
  <c r="H120" i="1" s="1"/>
  <c r="F119" i="2"/>
  <c r="AP119" i="1" s="1"/>
  <c r="H119" i="2"/>
  <c r="F119" i="1"/>
  <c r="J119" i="11" l="1"/>
  <c r="T119" i="1"/>
  <c r="I120" i="1" s="1"/>
  <c r="AO120" i="1" s="1"/>
  <c r="G119" i="2"/>
  <c r="Z119" i="2" s="1"/>
  <c r="AA120" i="8" s="1"/>
  <c r="T119" i="8"/>
  <c r="W119" i="8" s="1"/>
  <c r="V119" i="8"/>
  <c r="AC120" i="7"/>
  <c r="BI120" i="1"/>
  <c r="V120" i="10"/>
  <c r="AQ120" i="8"/>
  <c r="C120" i="11"/>
  <c r="AK120" i="5"/>
  <c r="O119" i="7"/>
  <c r="I119" i="11"/>
  <c r="BJ120" i="1" l="1"/>
  <c r="C119" i="8"/>
  <c r="F119" i="9"/>
  <c r="P119" i="7"/>
  <c r="Y119" i="2" l="1"/>
  <c r="X119" i="2" s="1"/>
  <c r="E120" i="2" l="1"/>
  <c r="L120" i="2" s="1"/>
  <c r="AW120" i="8"/>
  <c r="AB120" i="7"/>
  <c r="AJ120" i="7" s="1"/>
  <c r="H120" i="11"/>
  <c r="B120" i="8"/>
  <c r="D120" i="2" s="1"/>
  <c r="U120" i="2" s="1"/>
  <c r="W119" i="2" l="1"/>
  <c r="C120" i="2" l="1"/>
  <c r="S120" i="8" s="1"/>
  <c r="I120" i="2" l="1"/>
  <c r="F120" i="2"/>
  <c r="AP120" i="1" s="1"/>
  <c r="F120" i="1"/>
  <c r="H120" i="2"/>
  <c r="V120" i="8" l="1"/>
  <c r="T120" i="8"/>
  <c r="W120" i="8" s="1"/>
  <c r="O120" i="7"/>
  <c r="I120" i="11"/>
  <c r="T120" i="1"/>
  <c r="I121" i="1" s="1"/>
  <c r="AO121" i="1" s="1"/>
  <c r="J120" i="11"/>
  <c r="G120" i="2"/>
  <c r="Z120" i="2" s="1"/>
  <c r="AA121" i="8" s="1"/>
  <c r="AA120" i="1"/>
  <c r="S120" i="1" s="1"/>
  <c r="H121" i="1" s="1"/>
  <c r="AC121" i="7" l="1"/>
  <c r="AQ121" i="8"/>
  <c r="BI121" i="1"/>
  <c r="C121" i="11"/>
  <c r="V121" i="10"/>
  <c r="AK121" i="5"/>
  <c r="P120" i="7"/>
  <c r="F120" i="9"/>
  <c r="C120" i="8"/>
  <c r="BJ121" i="1"/>
  <c r="Y120" i="2" l="1"/>
  <c r="X120" i="2" s="1"/>
  <c r="E121" i="2" l="1"/>
  <c r="L121" i="2" s="1"/>
  <c r="AW121" i="8"/>
  <c r="H121" i="11"/>
  <c r="AB121" i="7"/>
  <c r="AJ121" i="7" s="1"/>
  <c r="B121" i="8"/>
  <c r="D121" i="2" s="1"/>
  <c r="U121" i="2" l="1"/>
  <c r="W120" i="2" s="1"/>
  <c r="C121" i="2" l="1"/>
  <c r="S121" i="8" s="1"/>
  <c r="I121" i="2" l="1"/>
  <c r="F121" i="2"/>
  <c r="AP121" i="1" s="1"/>
  <c r="H121" i="2"/>
  <c r="F121" i="1"/>
  <c r="V121" i="8" l="1"/>
  <c r="T121" i="8"/>
  <c r="W121" i="8" s="1"/>
  <c r="T121" i="1"/>
  <c r="I122" i="1" s="1"/>
  <c r="AO122" i="1" s="1"/>
  <c r="J121" i="11"/>
  <c r="G121" i="2"/>
  <c r="Z121" i="2" s="1"/>
  <c r="AA122" i="8" s="1"/>
  <c r="O121" i="7"/>
  <c r="I121" i="11"/>
  <c r="AA121" i="1"/>
  <c r="S121" i="1" s="1"/>
  <c r="H122" i="1" s="1"/>
  <c r="AC122" i="7" l="1"/>
  <c r="AQ122" i="8"/>
  <c r="C122" i="11"/>
  <c r="AK122" i="5"/>
  <c r="V122" i="10"/>
  <c r="BI122" i="1"/>
  <c r="C121" i="8"/>
  <c r="P121" i="7"/>
  <c r="F121" i="9"/>
  <c r="BJ122" i="1"/>
  <c r="Y121" i="2" l="1"/>
  <c r="X121" i="2" s="1"/>
  <c r="E122" i="2" l="1"/>
  <c r="L122" i="2" s="1"/>
  <c r="AW122" i="8"/>
  <c r="H122" i="11"/>
  <c r="AB122" i="7"/>
  <c r="AJ122" i="7" s="1"/>
  <c r="B122" i="8"/>
  <c r="D122" i="2" s="1"/>
  <c r="U122" i="2" s="1"/>
  <c r="W121" i="2" l="1"/>
  <c r="C122" i="2" l="1"/>
  <c r="S122" i="8" s="1"/>
  <c r="I122" i="2" l="1"/>
  <c r="F122" i="1"/>
  <c r="H122" i="2"/>
  <c r="F122" i="2"/>
  <c r="AP122" i="1" s="1"/>
  <c r="T122" i="1" l="1"/>
  <c r="I123" i="1" s="1"/>
  <c r="AO123" i="1" s="1"/>
  <c r="J122" i="11"/>
  <c r="G122" i="2"/>
  <c r="Z122" i="2" s="1"/>
  <c r="AA123" i="8" s="1"/>
  <c r="V122" i="8"/>
  <c r="T122" i="8"/>
  <c r="W122" i="8" s="1"/>
  <c r="O122" i="7"/>
  <c r="I122" i="11"/>
  <c r="AA122" i="1"/>
  <c r="S122" i="1" s="1"/>
  <c r="H123" i="1" s="1"/>
  <c r="C122" i="8" l="1"/>
  <c r="AC123" i="7"/>
  <c r="AK123" i="5"/>
  <c r="C123" i="11"/>
  <c r="BI123" i="1"/>
  <c r="V123" i="10"/>
  <c r="AQ123" i="8"/>
  <c r="P122" i="7"/>
  <c r="F122" i="9"/>
  <c r="BJ123" i="1"/>
  <c r="Y122" i="2" l="1"/>
  <c r="X122" i="2" s="1"/>
  <c r="E123" i="2" l="1"/>
  <c r="L123" i="2" s="1"/>
  <c r="AW123" i="8"/>
  <c r="AB123" i="7"/>
  <c r="AJ123" i="7" s="1"/>
  <c r="H123" i="11"/>
  <c r="B123" i="8"/>
  <c r="D123" i="2" s="1"/>
  <c r="U123" i="2" l="1"/>
  <c r="W122" i="2" s="1"/>
  <c r="C123" i="2" l="1"/>
  <c r="S123" i="8" s="1"/>
  <c r="F123" i="2" l="1"/>
  <c r="AP123" i="1" s="1"/>
  <c r="I123" i="2"/>
  <c r="F123" i="1"/>
  <c r="H123" i="2"/>
  <c r="O123" i="7" l="1"/>
  <c r="I123" i="11"/>
  <c r="AA123" i="1"/>
  <c r="S123" i="1" s="1"/>
  <c r="H124" i="1" s="1"/>
  <c r="J123" i="11"/>
  <c r="T123" i="1"/>
  <c r="I124" i="1" s="1"/>
  <c r="AO124" i="1" s="1"/>
  <c r="G123" i="2"/>
  <c r="Z123" i="2" s="1"/>
  <c r="AA124" i="8" s="1"/>
  <c r="V123" i="8"/>
  <c r="T123" i="8"/>
  <c r="W123" i="8" s="1"/>
  <c r="BJ124" i="1" l="1"/>
  <c r="C123" i="8"/>
  <c r="F123" i="9"/>
  <c r="P123" i="7"/>
  <c r="AC124" i="7"/>
  <c r="BI124" i="1"/>
  <c r="V124" i="10"/>
  <c r="AK124" i="5"/>
  <c r="AQ124" i="8"/>
  <c r="C124" i="11"/>
  <c r="Y123" i="2" l="1"/>
  <c r="X123" i="2" s="1"/>
  <c r="E124" i="2" l="1"/>
  <c r="L124" i="2" s="1"/>
  <c r="H124" i="11"/>
  <c r="AW124" i="8"/>
  <c r="AB124" i="7"/>
  <c r="AJ124" i="7" s="1"/>
  <c r="B124" i="8"/>
  <c r="D124" i="2" s="1"/>
  <c r="U124" i="2" s="1"/>
  <c r="W123" i="2" l="1"/>
  <c r="C124" i="2" l="1"/>
  <c r="S124" i="8" s="1"/>
  <c r="F124" i="2" l="1"/>
  <c r="AP124" i="1" s="1"/>
  <c r="F124" i="1"/>
  <c r="H124" i="2"/>
  <c r="I124" i="2"/>
  <c r="I124" i="11" l="1"/>
  <c r="O124" i="7"/>
  <c r="AA124" i="1"/>
  <c r="S124" i="1" s="1"/>
  <c r="H125" i="1" s="1"/>
  <c r="J124" i="11"/>
  <c r="T124" i="1"/>
  <c r="I125" i="1" s="1"/>
  <c r="AO125" i="1" s="1"/>
  <c r="G124" i="2"/>
  <c r="Z124" i="2" s="1"/>
  <c r="AA125" i="8" s="1"/>
  <c r="T124" i="8"/>
  <c r="W124" i="8" s="1"/>
  <c r="V124" i="8"/>
  <c r="C124" i="8" l="1"/>
  <c r="BJ125" i="1"/>
  <c r="F124" i="9"/>
  <c r="P124" i="7"/>
  <c r="AC125" i="7"/>
  <c r="BI125" i="1"/>
  <c r="V125" i="10"/>
  <c r="C125" i="11"/>
  <c r="AQ125" i="8"/>
  <c r="AK125" i="5"/>
  <c r="Y124" i="2" l="1"/>
  <c r="X124" i="2" s="1"/>
  <c r="AW125" i="8" l="1"/>
  <c r="E125" i="2"/>
  <c r="L125" i="2" s="1"/>
  <c r="H125" i="11"/>
  <c r="AB125" i="7"/>
  <c r="AJ125" i="7" s="1"/>
  <c r="B125" i="8"/>
  <c r="D125" i="2" s="1"/>
  <c r="U125" i="2" l="1"/>
  <c r="W124" i="2" s="1"/>
  <c r="C125" i="2" l="1"/>
  <c r="S125" i="8" s="1"/>
  <c r="H125" i="2" l="1"/>
  <c r="F125" i="1"/>
  <c r="I125" i="2"/>
  <c r="F125" i="2"/>
  <c r="AP125" i="1" s="1"/>
  <c r="J125" i="11" l="1"/>
  <c r="T125" i="1"/>
  <c r="I126" i="1" s="1"/>
  <c r="AO126" i="1" s="1"/>
  <c r="G125" i="2"/>
  <c r="Z125" i="2" s="1"/>
  <c r="AA126" i="8" s="1"/>
  <c r="O125" i="7"/>
  <c r="I125" i="11"/>
  <c r="V125" i="8"/>
  <c r="T125" i="8"/>
  <c r="W125" i="8" s="1"/>
  <c r="AA125" i="1"/>
  <c r="S125" i="1" s="1"/>
  <c r="H126" i="1" s="1"/>
  <c r="AC126" i="7" l="1"/>
  <c r="AQ126" i="8"/>
  <c r="AK126" i="5"/>
  <c r="C126" i="11"/>
  <c r="V126" i="10"/>
  <c r="BI126" i="1"/>
  <c r="C125" i="8"/>
  <c r="BJ126" i="1"/>
  <c r="F125" i="9"/>
  <c r="P125" i="7"/>
  <c r="Y125" i="2" l="1"/>
  <c r="X125" i="2" s="1"/>
  <c r="AB126" i="7" l="1"/>
  <c r="AJ126" i="7" s="1"/>
  <c r="AW126" i="8"/>
  <c r="H126" i="11"/>
  <c r="E126" i="2"/>
  <c r="L126" i="2" s="1"/>
  <c r="B126" i="8"/>
  <c r="D126" i="2" s="1"/>
  <c r="U126" i="2" s="1"/>
  <c r="W125" i="2" l="1"/>
  <c r="C126" i="2" l="1"/>
  <c r="S126" i="8" s="1"/>
  <c r="F126" i="2" l="1"/>
  <c r="AP126" i="1" s="1"/>
  <c r="F126" i="1"/>
  <c r="H126" i="2"/>
  <c r="I126" i="2"/>
  <c r="V126" i="8" l="1"/>
  <c r="T126" i="8"/>
  <c r="W126" i="8" s="1"/>
  <c r="T126" i="1"/>
  <c r="I127" i="1" s="1"/>
  <c r="AO127" i="1" s="1"/>
  <c r="J126" i="11"/>
  <c r="G126" i="2"/>
  <c r="Z126" i="2" s="1"/>
  <c r="AA127" i="8" s="1"/>
  <c r="O126" i="7"/>
  <c r="I126" i="11"/>
  <c r="AA126" i="1"/>
  <c r="S126" i="1" s="1"/>
  <c r="H127" i="1" s="1"/>
  <c r="F126" i="9" l="1"/>
  <c r="P126" i="7"/>
  <c r="AK127" i="5"/>
  <c r="AC127" i="7"/>
  <c r="C127" i="11"/>
  <c r="AQ127" i="8"/>
  <c r="BI127" i="1"/>
  <c r="V127" i="10"/>
  <c r="C126" i="8"/>
  <c r="BJ127" i="1"/>
  <c r="Y126" i="2" l="1"/>
  <c r="X126" i="2" s="1"/>
  <c r="AB127" i="7" l="1"/>
  <c r="AJ127" i="7" s="1"/>
  <c r="H127" i="11"/>
  <c r="E127" i="2"/>
  <c r="L127" i="2" s="1"/>
  <c r="AW127" i="8"/>
  <c r="B127" i="8"/>
  <c r="D127" i="2" s="1"/>
  <c r="U127" i="2" l="1"/>
  <c r="W126" i="2" s="1"/>
  <c r="C127" i="2" l="1"/>
  <c r="S127" i="8" s="1"/>
  <c r="I127" i="2" l="1"/>
  <c r="AA127" i="1" s="1"/>
  <c r="S127" i="1" s="1"/>
  <c r="H128" i="1" s="1"/>
  <c r="F127" i="2"/>
  <c r="AP127" i="1" s="1"/>
  <c r="F127" i="1"/>
  <c r="H127" i="2"/>
  <c r="T127" i="8" l="1"/>
  <c r="W127" i="8" s="1"/>
  <c r="V127" i="8"/>
  <c r="J127" i="11"/>
  <c r="T127" i="1"/>
  <c r="I128" i="1" s="1"/>
  <c r="AO128" i="1" s="1"/>
  <c r="G127" i="2"/>
  <c r="Z127" i="2" s="1"/>
  <c r="AA128" i="8" s="1"/>
  <c r="AK128" i="5"/>
  <c r="BI128" i="1"/>
  <c r="AC128" i="7"/>
  <c r="C128" i="11"/>
  <c r="V128" i="10"/>
  <c r="AQ128" i="8"/>
  <c r="O127" i="7"/>
  <c r="I127" i="11"/>
  <c r="C127" i="8" l="1"/>
  <c r="BJ128" i="1"/>
  <c r="F127" i="9"/>
  <c r="P127" i="7"/>
  <c r="Y127" i="2" l="1"/>
  <c r="X127" i="2" s="1"/>
  <c r="AB128" i="7" l="1"/>
  <c r="AJ128" i="7" s="1"/>
  <c r="AW128" i="8"/>
  <c r="H128" i="11"/>
  <c r="E128" i="2"/>
  <c r="L128" i="2" s="1"/>
  <c r="B128" i="8"/>
  <c r="D128" i="2" s="1"/>
  <c r="U128" i="2" s="1"/>
  <c r="W127" i="2" l="1"/>
  <c r="C128" i="2" l="1"/>
  <c r="S128" i="8" s="1"/>
  <c r="F128" i="2" l="1"/>
  <c r="AP128" i="1" s="1"/>
  <c r="I128" i="2"/>
  <c r="AA128" i="1" s="1"/>
  <c r="S128" i="1" s="1"/>
  <c r="H129" i="1" s="1"/>
  <c r="F128" i="1"/>
  <c r="H128" i="2"/>
  <c r="AC129" i="7" l="1"/>
  <c r="V129" i="10"/>
  <c r="C129" i="11"/>
  <c r="AQ129" i="8"/>
  <c r="AK129" i="5"/>
  <c r="BI129" i="1"/>
  <c r="V128" i="8"/>
  <c r="T128" i="8"/>
  <c r="W128" i="8" s="1"/>
  <c r="J128" i="11"/>
  <c r="T128" i="1"/>
  <c r="I129" i="1" s="1"/>
  <c r="AO129" i="1" s="1"/>
  <c r="G128" i="2"/>
  <c r="Z128" i="2" s="1"/>
  <c r="AA129" i="8" s="1"/>
  <c r="I128" i="11"/>
  <c r="O128" i="7"/>
  <c r="BJ129" i="1" l="1"/>
  <c r="C128" i="8"/>
  <c r="P128" i="7"/>
  <c r="F128" i="9"/>
  <c r="Y128" i="2" l="1"/>
  <c r="X128" i="2" s="1"/>
  <c r="H129" i="11" l="1"/>
  <c r="AB129" i="7"/>
  <c r="AJ129" i="7" s="1"/>
  <c r="AW129" i="8"/>
  <c r="E129" i="2"/>
  <c r="L129" i="2" s="1"/>
  <c r="B129" i="8"/>
  <c r="D129" i="2" s="1"/>
  <c r="U129" i="2" l="1"/>
  <c r="W128" i="2" s="1"/>
  <c r="C129" i="2" l="1"/>
  <c r="S129" i="8" s="1"/>
  <c r="I129" i="2" l="1"/>
  <c r="AA129" i="1" s="1"/>
  <c r="S129" i="1" s="1"/>
  <c r="H130" i="1" s="1"/>
  <c r="F129" i="1"/>
  <c r="H129" i="2"/>
  <c r="F129" i="2"/>
  <c r="AP129" i="1" s="1"/>
  <c r="J129" i="11" l="1"/>
  <c r="T129" i="1"/>
  <c r="I130" i="1" s="1"/>
  <c r="AO130" i="1" s="1"/>
  <c r="G129" i="2"/>
  <c r="Z129" i="2" s="1"/>
  <c r="AA130" i="8" s="1"/>
  <c r="V129" i="8"/>
  <c r="T129" i="8"/>
  <c r="W129" i="8" s="1"/>
  <c r="AC130" i="7"/>
  <c r="V130" i="10"/>
  <c r="BI130" i="1"/>
  <c r="AK130" i="5"/>
  <c r="AQ130" i="8"/>
  <c r="C130" i="11"/>
  <c r="O129" i="7"/>
  <c r="I129" i="11"/>
  <c r="BJ130" i="1" l="1"/>
  <c r="C129" i="8"/>
  <c r="F129" i="9"/>
  <c r="P129" i="7"/>
  <c r="Y129" i="2" l="1"/>
  <c r="X129" i="2" s="1"/>
  <c r="E130" i="2" l="1"/>
  <c r="L130" i="2" s="1"/>
  <c r="H130" i="11"/>
  <c r="AW130" i="8"/>
  <c r="AB130" i="7"/>
  <c r="AJ130" i="7" s="1"/>
  <c r="B130" i="8"/>
  <c r="D130" i="2" s="1"/>
  <c r="U130" i="2" s="1"/>
  <c r="W129" i="2" l="1"/>
  <c r="C130" i="2" l="1"/>
  <c r="S130" i="8" s="1"/>
  <c r="I130" i="2" l="1"/>
  <c r="AA130" i="1" s="1"/>
  <c r="S130" i="1" s="1"/>
  <c r="H131" i="1" s="1"/>
  <c r="F130" i="2"/>
  <c r="AP130" i="1" s="1"/>
  <c r="H130" i="2"/>
  <c r="F130" i="1"/>
  <c r="V130" i="8" l="1"/>
  <c r="T130" i="8"/>
  <c r="W130" i="8" s="1"/>
  <c r="AC131" i="7"/>
  <c r="C131" i="11"/>
  <c r="BI131" i="1"/>
  <c r="AQ131" i="8"/>
  <c r="AK131" i="5"/>
  <c r="V131" i="10"/>
  <c r="T130" i="1"/>
  <c r="I131" i="1" s="1"/>
  <c r="AO131" i="1" s="1"/>
  <c r="J130" i="11"/>
  <c r="G130" i="2"/>
  <c r="Z130" i="2" s="1"/>
  <c r="AA131" i="8" s="1"/>
  <c r="O130" i="7"/>
  <c r="I130" i="11"/>
  <c r="F130" i="9" l="1"/>
  <c r="P130" i="7"/>
  <c r="C130" i="8"/>
  <c r="BJ131" i="1"/>
  <c r="Y130" i="2" l="1"/>
  <c r="X130" i="2" s="1"/>
  <c r="E131" i="2" l="1"/>
  <c r="L131" i="2" s="1"/>
  <c r="AW131" i="8"/>
  <c r="H131" i="11"/>
  <c r="AB131" i="7"/>
  <c r="AJ131" i="7" s="1"/>
  <c r="B131" i="8"/>
  <c r="D131" i="2" s="1"/>
  <c r="U131" i="2" s="1"/>
  <c r="W130" i="2" l="1"/>
  <c r="C131" i="2" l="1"/>
  <c r="S131" i="8" s="1"/>
  <c r="I131" i="2" l="1"/>
  <c r="AA131" i="1" s="1"/>
  <c r="S131" i="1" s="1"/>
  <c r="H132" i="1" s="1"/>
  <c r="F131" i="1"/>
  <c r="H131" i="2"/>
  <c r="F131" i="2"/>
  <c r="AP131" i="1" s="1"/>
  <c r="J131" i="11" l="1"/>
  <c r="T131" i="1"/>
  <c r="I132" i="1" s="1"/>
  <c r="AO132" i="1" s="1"/>
  <c r="G131" i="2"/>
  <c r="Z131" i="2" s="1"/>
  <c r="AA132" i="8" s="1"/>
  <c r="V131" i="8"/>
  <c r="T131" i="8"/>
  <c r="W131" i="8" s="1"/>
  <c r="BI132" i="1"/>
  <c r="AC132" i="7"/>
  <c r="V132" i="10"/>
  <c r="C132" i="11"/>
  <c r="AK132" i="5"/>
  <c r="AQ132" i="8"/>
  <c r="I131" i="11"/>
  <c r="O131" i="7"/>
  <c r="BJ132" i="1" l="1"/>
  <c r="C131" i="8"/>
  <c r="F131" i="9"/>
  <c r="P131" i="7"/>
  <c r="Y131" i="2" l="1"/>
  <c r="X131" i="2" s="1"/>
  <c r="AW132" i="8" l="1"/>
  <c r="AB132" i="7"/>
  <c r="AJ132" i="7" s="1"/>
  <c r="E132" i="2"/>
  <c r="L132" i="2" s="1"/>
  <c r="H132" i="11"/>
  <c r="B132" i="8"/>
  <c r="D132" i="2" s="1"/>
  <c r="U132" i="2" s="1"/>
  <c r="W131" i="2" l="1"/>
  <c r="C132" i="2" l="1"/>
  <c r="S132" i="8" s="1"/>
  <c r="I132" i="2" l="1"/>
  <c r="F132" i="2"/>
  <c r="AP132" i="1" s="1"/>
  <c r="F132" i="1"/>
  <c r="H132" i="2"/>
  <c r="V132" i="8" l="1"/>
  <c r="T132" i="8"/>
  <c r="W132" i="8" s="1"/>
  <c r="T132" i="1"/>
  <c r="I133" i="1" s="1"/>
  <c r="AO133" i="1" s="1"/>
  <c r="J132" i="11"/>
  <c r="G132" i="2"/>
  <c r="Z132" i="2" s="1"/>
  <c r="AA133" i="8" s="1"/>
  <c r="O132" i="7"/>
  <c r="I132" i="11"/>
  <c r="AA132" i="1"/>
  <c r="S132" i="1" s="1"/>
  <c r="H133" i="1" s="1"/>
  <c r="AC133" i="7" l="1"/>
  <c r="BI133" i="1"/>
  <c r="AK133" i="5"/>
  <c r="C133" i="11"/>
  <c r="V133" i="10"/>
  <c r="AQ133" i="8"/>
  <c r="C132" i="8"/>
  <c r="P132" i="7"/>
  <c r="F132" i="9"/>
  <c r="BJ133" i="1"/>
  <c r="Y132" i="2" l="1"/>
  <c r="X132" i="2" s="1"/>
  <c r="E133" i="2" l="1"/>
  <c r="L133" i="2" s="1"/>
  <c r="AB133" i="7"/>
  <c r="AJ133" i="7" s="1"/>
  <c r="H133" i="11"/>
  <c r="AW133" i="8"/>
  <c r="B133" i="8"/>
  <c r="D133" i="2" s="1"/>
  <c r="U133" i="2" l="1"/>
  <c r="W132" i="2" s="1"/>
  <c r="C133" i="2" l="1"/>
  <c r="S133" i="8" s="1"/>
  <c r="I133" i="2" l="1"/>
  <c r="AA133" i="1" s="1"/>
  <c r="S133" i="1" s="1"/>
  <c r="H134" i="1" s="1"/>
  <c r="F133" i="2"/>
  <c r="AP133" i="1" s="1"/>
  <c r="F133" i="1"/>
  <c r="H133" i="2"/>
  <c r="BI134" i="1" l="1"/>
  <c r="AQ134" i="8"/>
  <c r="V134" i="10"/>
  <c r="C134" i="11"/>
  <c r="AK134" i="5"/>
  <c r="AC134" i="7"/>
  <c r="J133" i="11"/>
  <c r="T133" i="1"/>
  <c r="I134" i="1" s="1"/>
  <c r="AO134" i="1" s="1"/>
  <c r="G133" i="2"/>
  <c r="Z133" i="2" s="1"/>
  <c r="AA134" i="8" s="1"/>
  <c r="V133" i="8"/>
  <c r="T133" i="8"/>
  <c r="W133" i="8" s="1"/>
  <c r="O133" i="7"/>
  <c r="I133" i="11"/>
  <c r="F133" i="9" l="1"/>
  <c r="P133" i="7"/>
  <c r="BJ134" i="1"/>
  <c r="C133" i="8"/>
  <c r="Y133" i="2" l="1"/>
  <c r="X133" i="2" s="1"/>
  <c r="E134" i="2" l="1"/>
  <c r="L134" i="2" s="1"/>
  <c r="AW134" i="8"/>
  <c r="H134" i="11"/>
  <c r="AB134" i="7"/>
  <c r="AJ134" i="7" s="1"/>
  <c r="B134" i="8"/>
  <c r="D134" i="2" s="1"/>
  <c r="U134" i="2" s="1"/>
  <c r="W133" i="2" l="1"/>
  <c r="C134" i="2" l="1"/>
  <c r="S134" i="8" s="1"/>
  <c r="H134" i="2" l="1"/>
  <c r="I134" i="2"/>
  <c r="F134" i="1"/>
  <c r="F134" i="2"/>
  <c r="AP134" i="1" s="1"/>
  <c r="T134" i="8" l="1"/>
  <c r="W134" i="8" s="1"/>
  <c r="V134" i="8"/>
  <c r="J134" i="11"/>
  <c r="T134" i="1"/>
  <c r="I135" i="1" s="1"/>
  <c r="AO135" i="1" s="1"/>
  <c r="G134" i="2"/>
  <c r="Z134" i="2" s="1"/>
  <c r="AA135" i="8" s="1"/>
  <c r="O134" i="7"/>
  <c r="I134" i="11"/>
  <c r="AA134" i="1"/>
  <c r="S134" i="1" s="1"/>
  <c r="H135" i="1" s="1"/>
  <c r="BJ135" i="1" l="1"/>
  <c r="C135" i="11"/>
  <c r="AC135" i="7"/>
  <c r="AK135" i="5"/>
  <c r="V135" i="10"/>
  <c r="AQ135" i="8"/>
  <c r="BI135" i="1"/>
  <c r="C134" i="8"/>
  <c r="P134" i="7"/>
  <c r="F134" i="9"/>
  <c r="Y134" i="2" l="1"/>
  <c r="X134" i="2" s="1"/>
  <c r="E135" i="2" l="1"/>
  <c r="L135" i="2" s="1"/>
  <c r="H135" i="11"/>
  <c r="AW135" i="8"/>
  <c r="AB135" i="7"/>
  <c r="AJ135" i="7" s="1"/>
  <c r="B135" i="8"/>
  <c r="D135" i="2" s="1"/>
  <c r="U135" i="2" s="1"/>
  <c r="W134" i="2" l="1"/>
  <c r="C135" i="2" l="1"/>
  <c r="S135" i="8" s="1"/>
  <c r="F135" i="2" l="1"/>
  <c r="AP135" i="1" s="1"/>
  <c r="I135" i="2"/>
  <c r="F135" i="1"/>
  <c r="H135" i="2"/>
  <c r="T135" i="8" l="1"/>
  <c r="W135" i="8" s="1"/>
  <c r="V135" i="8"/>
  <c r="O135" i="7"/>
  <c r="I135" i="11"/>
  <c r="AA135" i="1"/>
  <c r="S135" i="1" s="1"/>
  <c r="H136" i="1" s="1"/>
  <c r="T135" i="1"/>
  <c r="I136" i="1" s="1"/>
  <c r="AO136" i="1" s="1"/>
  <c r="J135" i="11"/>
  <c r="G135" i="2"/>
  <c r="Z135" i="2" s="1"/>
  <c r="AA136" i="8" s="1"/>
  <c r="C135" i="8" l="1"/>
  <c r="F135" i="9"/>
  <c r="P135" i="7"/>
  <c r="BJ136" i="1"/>
  <c r="V136" i="10"/>
  <c r="BI136" i="1"/>
  <c r="C136" i="11"/>
  <c r="AQ136" i="8"/>
  <c r="AK136" i="5"/>
  <c r="AC136" i="7"/>
  <c r="Y135" i="2" l="1"/>
  <c r="X135" i="2" s="1"/>
  <c r="E136" i="2" l="1"/>
  <c r="L136" i="2" s="1"/>
  <c r="AW136" i="8"/>
  <c r="AB136" i="7"/>
  <c r="AJ136" i="7" s="1"/>
  <c r="H136" i="11"/>
  <c r="B136" i="8"/>
  <c r="D136" i="2" s="1"/>
  <c r="U136" i="2" s="1"/>
  <c r="W135" i="2" l="1"/>
  <c r="C136" i="2" l="1"/>
  <c r="S136" i="8" s="1"/>
  <c r="F136" i="1" l="1"/>
  <c r="H136" i="2"/>
  <c r="I136" i="2"/>
  <c r="F136" i="2"/>
  <c r="AP136" i="1" s="1"/>
  <c r="O136" i="7" l="1"/>
  <c r="I136" i="11"/>
  <c r="AA136" i="1"/>
  <c r="S136" i="1" s="1"/>
  <c r="J136" i="11"/>
  <c r="T136" i="1"/>
  <c r="G136" i="2"/>
  <c r="Z136" i="2" s="1"/>
  <c r="T136" i="8"/>
  <c r="W136" i="8" s="1"/>
  <c r="V136" i="8"/>
  <c r="C136" i="8" l="1"/>
  <c r="P136" i="7"/>
  <c r="F136" i="9"/>
  <c r="Y136" i="2" l="1"/>
  <c r="X136" i="2" s="1"/>
  <c r="W136"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<sst xmlns="http://schemas.openxmlformats.org/spreadsheetml/2006/main" count="3098" uniqueCount="1170">
  <si>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</si>
  <si>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</si>
  <si>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</si>
  <si>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</si>
  <si>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</si>
  <si>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</si>
  <si>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</si>
  <si>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</si>
  <si>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</si>
  <si>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</si>
  <si>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</si>
  <si>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</si>
  <si>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</si>
  <si>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</si>
  <si>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</si>
  <si>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</si>
  <si>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</si>
  <si>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</si>
  <si>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</si>
  <si>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</si>
  <si>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</si>
  <si>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</si>
  <si>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</si>
  <si>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</si>
  <si>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</si>
  <si>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</si>
  <si>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</si>
  <si>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</si>
  <si>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</si>
  <si>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</si>
  <si>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</si>
  <si>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</si>
  <si>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</si>
  <si>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</si>
  <si>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</si>
  <si>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</si>
  <si>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</si>
  <si>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</si>
  <si>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</si>
  <si>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</si>
  <si>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</si>
  <si>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</si>
  <si>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</si>
  <si>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</si>
  <si>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</si>
  <si>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</si>
  <si>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</si>
  <si>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</si>
  <si>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</si>
  <si>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</si>
  <si>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</si>
  <si>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</si>
  <si>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</si>
  <si>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</si>
  <si>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</si>
  <si>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</si>
  <si>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</si>
  <si>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</si>
  <si>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</si>
  <si>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</si>
  <si>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</si>
  <si>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</si>
  <si>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</si>
  <si>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</si>
  <si>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</si>
  <si>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</si>
  <si>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</si>
  <si>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</si>
  <si>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</si>
  <si>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</si>
  <si>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</si>
  <si>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</si>
  <si>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</si>
  <si>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</si>
  <si>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</si>
  <si>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</si>
  <si>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</si>
  <si>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</si>
  <si>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</si>
  <si>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</si>
  <si>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</si>
  <si>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</si>
  <si>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</si>
  <si>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</si>
  <si>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</si>
  <si>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</si>
  <si>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</si>
  <si>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</si>
  <si>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</si>
  <si>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</si>
  <si>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</si>
  <si>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</si>
  <si>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</si>
  <si>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</si>
  <si>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</si>
  <si>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</si>
  <si>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</si>
  <si>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</si>
  <si>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</si>
  <si>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</si>
  <si>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</si>
  <si>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</si>
  <si>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</si>
  <si>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</si>
  <si>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</si>
  <si>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</si>
  <si>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</si>
  <si>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</si>
  <si>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</si>
  <si>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</si>
  <si>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</si>
  <si>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</si>
  <si>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</si>
  <si>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</si>
  <si>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</si>
  <si>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</si>
  <si>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</si>
  <si>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Crossbowman</t>
  </si>
  <si>
    <t>Blademaster</t>
  </si>
  <si>
    <t>Soldier</t>
  </si>
  <si>
    <t>Miner</t>
  </si>
  <si>
    <t>Cleric</t>
  </si>
  <si>
    <t>Warrior</t>
  </si>
  <si>
    <t>Ranger</t>
  </si>
  <si>
    <t>Mystic</t>
  </si>
  <si>
    <t>Druid</t>
  </si>
  <si>
    <t>Slinger</t>
  </si>
  <si>
    <t>Defender</t>
  </si>
  <si>
    <t>Staff Master</t>
  </si>
  <si>
    <t>Master Thief</t>
  </si>
  <si>
    <t>Suicide Squad</t>
  </si>
  <si>
    <t>Tinker</t>
  </si>
  <si>
    <t>Rockapult</t>
  </si>
  <si>
    <t>Juggernaut</t>
  </si>
  <si>
    <t>Kraken</t>
  </si>
  <si>
    <t>Sirens</t>
  </si>
  <si>
    <t>Leviathan</t>
  </si>
  <si>
    <t>Satyr</t>
  </si>
  <si>
    <t>Sprite</t>
  </si>
  <si>
    <t>Dryad</t>
  </si>
  <si>
    <t>Centaur</t>
  </si>
  <si>
    <t>Raider</t>
  </si>
  <si>
    <t>Shaman</t>
  </si>
  <si>
    <t>Orc</t>
  </si>
  <si>
    <t>Wolf Rider</t>
  </si>
  <si>
    <t>Swordsman</t>
  </si>
  <si>
    <t>Gargoyle</t>
  </si>
  <si>
    <t>Adept</t>
  </si>
  <si>
    <t>Spirit Warrior</t>
  </si>
  <si>
    <t>Banshee</t>
  </si>
  <si>
    <t>Scavenger</t>
  </si>
  <si>
    <t>Ratman</t>
  </si>
  <si>
    <t>Werewolf</t>
  </si>
  <si>
    <t>Garou</t>
  </si>
  <si>
    <t>Underling</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</si>
  <si>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</si>
  <si>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</si>
  <si>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</si>
  <si>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</si>
  <si>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</si>
  <si>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</si>
  <si>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</si>
  <si>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</si>
  <si>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</si>
  <si>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</si>
  <si>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</si>
  <si>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</si>
  <si>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</si>
  <si>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</si>
  <si>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</si>
  <si>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</si>
  <si>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</si>
  <si>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</si>
  <si>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</si>
  <si>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</si>
  <si>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</si>
  <si>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</si>
  <si>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</si>
  <si>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</si>
  <si>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</si>
  <si>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</si>
  <si>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</si>
  <si>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</si>
  <si>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</si>
  <si>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</si>
  <si>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</si>
  <si>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</si>
  <si>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</si>
  <si>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</si>
  <si>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</si>
  <si>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</si>
  <si>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</si>
  <si>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</si>
  <si>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</si>
  <si>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</si>
  <si>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</si>
  <si>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</si>
  <si>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</si>
  <si>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</si>
  <si>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</si>
  <si>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</si>
  <si>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</si>
  <si>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</si>
  <si>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</si>
  <si>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</si>
  <si>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</si>
  <si>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</si>
  <si>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</si>
  <si>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</si>
  <si>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</si>
  <si>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</si>
  <si>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</si>
  <si>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</si>
  <si>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</si>
  <si>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</si>
  <si>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</si>
  <si>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</si>
  <si>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</si>
  <si>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</si>
  <si>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</si>
  <si>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</si>
  <si>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</si>
  <si>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</si>
  <si>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</si>
  <si>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</si>
  <si>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</si>
  <si>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</si>
  <si>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</si>
  <si>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</si>
  <si>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</si>
  <si>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</si>
  <si>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</si>
  <si>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</si>
  <si>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</si>
  <si>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</si>
  <si>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</si>
  <si>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</si>
  <si>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</si>
  <si>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</si>
  <si>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</si>
  <si>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</si>
  <si>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</si>
  <si>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</si>
  <si>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</si>
  <si>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</si>
  <si>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</si>
  <si>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</si>
  <si>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</si>
  <si>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</si>
  <si>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</si>
  <si>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</si>
  <si>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</si>
  <si>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</si>
  <si>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</si>
  <si>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</si>
  <si>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</si>
  <si>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</si>
  <si>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</si>
  <si>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</si>
  <si>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</si>
  <si>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</si>
  <si>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</si>
  <si>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</si>
  <si>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</si>
  <si>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</si>
  <si>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</si>
  <si>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</si>
  <si>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</si>
  <si>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</si>
  <si>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</si>
  <si>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</si>
  <si>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</si>
  <si>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</si>
  <si>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</si>
  <si>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</si>
  <si>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</si>
  <si>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</si>
  <si>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</si>
  <si>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</si>
  <si>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</si>
  <si>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</si>
  <si>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</si>
  <si>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</si>
  <si>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</si>
  <si>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</si>
  <si>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</si>
  <si>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</si>
  <si>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</si>
  <si>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</si>
  <si>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</si>
  <si>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</si>
  <si>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</si>
  <si>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</si>
  <si>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</si>
  <si>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</si>
  <si>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</si>
  <si>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</si>
  <si>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</si>
  <si>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</si>
  <si>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</si>
  <si>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</si>
  <si>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</si>
  <si>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</si>
  <si>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</si>
  <si>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</si>
  <si>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</si>
  <si>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</si>
  <si>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</si>
  <si>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</si>
  <si>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</si>
  <si>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</si>
  <si>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</si>
  <si>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</si>
  <si>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</si>
  <si>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</si>
  <si>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</si>
  <si>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</si>
  <si>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</si>
  <si>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</si>
  <si>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</si>
  <si>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</si>
  <si>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</si>
  <si>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</si>
  <si>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</si>
  <si>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</si>
  <si>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</si>
  <si>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</si>
  <si>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</si>
  <si>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</si>
  <si>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</si>
  <si>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</si>
  <si>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</si>
  <si>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</si>
  <si>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</si>
  <si>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</si>
  <si>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</si>
  <si>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</si>
  <si>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</si>
  <si>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</si>
  <si>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</si>
  <si>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</si>
  <si>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</si>
  <si>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</si>
  <si>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</si>
  <si>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</si>
  <si>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</si>
  <si>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</si>
  <si>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</si>
  <si>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</si>
  <si>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</si>
  <si>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</si>
  <si>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</si>
  <si>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</si>
  <si>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</si>
  <si>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</si>
  <si>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</si>
  <si>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</si>
  <si>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</si>
  <si>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</si>
  <si>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</si>
  <si>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</si>
  <si>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</si>
  <si>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</si>
  <si>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</si>
  <si>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</si>
  <si>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</si>
  <si>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</si>
  <si>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</si>
  <si>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</si>
  <si>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</si>
  <si>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</si>
  <si>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</si>
  <si>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</si>
  <si>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</si>
  <si>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</si>
  <si>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</si>
  <si>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</si>
  <si>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</si>
  <si>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</si>
  <si>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</si>
  <si>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</si>
  <si>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</si>
  <si>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</si>
  <si>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</si>
  <si>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</si>
  <si>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</si>
  <si>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</si>
  <si>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</si>
  <si>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</si>
  <si>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</si>
  <si>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</si>
  <si>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</si>
  <si>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</si>
  <si>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</si>
  <si>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</si>
  <si>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</si>
  <si>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</si>
  <si>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</si>
  <si>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</si>
  <si>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</si>
  <si>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</si>
  <si>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</si>
  <si>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</si>
  <si>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</si>
  <si>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</si>
  <si>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</si>
  <si>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</si>
  <si>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</si>
  <si>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</si>
  <si>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</si>
  <si>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</si>
  <si>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</si>
  <si>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</si>
  <si>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</si>
  <si>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</si>
  <si>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</si>
  <si>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</si>
  <si>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</si>
  <si>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</si>
  <si>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</si>
  <si>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</si>
  <si>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</si>
  <si>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</si>
  <si>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</si>
  <si>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</si>
  <si>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</si>
  <si>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</si>
  <si>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</si>
  <si>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</si>
  <si>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</si>
  <si>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</si>
  <si>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</si>
  <si>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</si>
  <si>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</si>
  <si>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</si>
  <si>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</si>
  <si>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</si>
  <si>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</si>
  <si>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</si>
  <si>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</si>
  <si>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</si>
  <si>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</si>
  <si>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</si>
  <si>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</si>
  <si>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</si>
  <si>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</si>
  <si>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</si>
  <si>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</si>
  <si>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</si>
  <si>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</si>
  <si>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</si>
  <si>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</si>
  <si>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</si>
  <si>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</si>
  <si>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</si>
  <si>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</si>
  <si>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</si>
  <si>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</si>
  <si>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</si>
  <si>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</si>
  <si>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</si>
  <si>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</si>
  <si>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</si>
  <si>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</si>
  <si>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</si>
  <si>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</si>
  <si>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forest</t>
  </si>
  <si>
    <t>mountain</t>
  </si>
  <si>
    <t>Minimum Cost</t>
  </si>
  <si>
    <t>per acre</t>
  </si>
  <si>
    <t>Log Hour:</t>
  </si>
  <si>
    <t>Draft</t>
  </si>
  <si>
    <t>Raw Defense</t>
  </si>
  <si>
    <t>Mod Defense</t>
  </si>
  <si>
    <t>Non Draft</t>
  </si>
  <si>
    <t>Wizard Guilds</t>
  </si>
  <si>
    <t>WGs</t>
  </si>
  <si>
    <t>additional</t>
  </si>
  <si>
    <t>Non-HomeRax</t>
  </si>
  <si>
    <t>FHs</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</si>
  <si>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</si>
  <si>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</si>
  <si>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</si>
  <si>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</si>
  <si>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</si>
  <si>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</si>
  <si>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</si>
  <si>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</si>
  <si>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</si>
  <si>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</si>
  <si>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</si>
  <si>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</si>
  <si>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</si>
  <si>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</si>
  <si>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</si>
  <si>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</si>
  <si>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</si>
  <si>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</si>
  <si>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</si>
  <si>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</si>
  <si>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</si>
  <si>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</si>
  <si>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</si>
  <si>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</si>
  <si>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</si>
  <si>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</si>
  <si>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</si>
  <si>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</si>
  <si>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</si>
  <si>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</si>
  <si>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</si>
  <si>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</si>
  <si>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</si>
  <si>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</si>
  <si>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</si>
  <si>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</si>
  <si>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</si>
  <si>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</si>
  <si>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</si>
  <si>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</si>
  <si>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</si>
  <si>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</si>
  <si>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</si>
  <si>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</si>
  <si>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</si>
  <si>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</si>
  <si>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</si>
  <si>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</si>
  <si>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</si>
  <si>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</si>
  <si>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</si>
  <si>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</si>
  <si>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</si>
  <si>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</si>
  <si>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ForestHaven</t>
  </si>
  <si>
    <t>Dwarf/Gnome</t>
  </si>
  <si>
    <t>1-1</t>
  </si>
  <si>
    <t>+2.5% food production</t>
  </si>
  <si>
    <t>1-2</t>
  </si>
  <si>
    <t>1-3</t>
  </si>
  <si>
    <t>+5% lumber production</t>
  </si>
  <si>
    <t>1-4</t>
  </si>
  <si>
    <t>1-5</t>
  </si>
  <si>
    <t>1-6</t>
  </si>
  <si>
    <t>1-7</t>
  </si>
  <si>
    <t>1-8</t>
  </si>
  <si>
    <t>1-9</t>
  </si>
  <si>
    <t>-2.5% food consumption</t>
  </si>
  <si>
    <t>1-10</t>
  </si>
  <si>
    <t>-10% spell cost</t>
  </si>
  <si>
    <t>1-11</t>
  </si>
  <si>
    <t>2-1</t>
  </si>
  <si>
    <t>2-2</t>
  </si>
  <si>
    <t>2-3</t>
  </si>
  <si>
    <t>-5% construction platinum cost</t>
  </si>
  <si>
    <t>2-4</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</si>
  <si>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</si>
  <si>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</si>
  <si>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</si>
  <si>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</si>
  <si>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</si>
  <si>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</si>
  <si>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</si>
  <si>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</si>
  <si>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</si>
  <si>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</si>
  <si>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</si>
  <si>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</si>
  <si>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</si>
  <si>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</si>
  <si>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</si>
  <si>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3-5</t>
  </si>
  <si>
    <t>3-6</t>
  </si>
  <si>
    <t>3-7</t>
  </si>
  <si>
    <t>3-8</t>
  </si>
  <si>
    <t>3-9</t>
  </si>
  <si>
    <t>4-1</t>
  </si>
  <si>
    <t>4-2</t>
  </si>
  <si>
    <t>4-3</t>
  </si>
  <si>
    <t>4-4</t>
  </si>
  <si>
    <t>4-5</t>
  </si>
  <si>
    <t>4-6</t>
  </si>
  <si>
    <t>-20% assassinate/disband damage</t>
  </si>
  <si>
    <t>4-7</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</si>
  <si>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</si>
  <si>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</si>
  <si>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</si>
  <si>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</si>
  <si>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</si>
  <si>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</si>
  <si>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</si>
  <si>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</si>
  <si>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</si>
  <si>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</si>
  <si>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</si>
  <si>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</si>
  <si>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</si>
  <si>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</si>
  <si>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</si>
  <si>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</si>
  <si>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</si>
  <si>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</si>
  <si>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</si>
  <si>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</si>
  <si>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</si>
  <si>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</si>
  <si>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</si>
  <si>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</si>
  <si>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</si>
  <si>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</si>
  <si>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</si>
  <si>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</si>
  <si>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</si>
  <si>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</si>
  <si>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</si>
  <si>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</si>
  <si>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</si>
  <si>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</si>
  <si>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</si>
  <si>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</si>
  <si>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</si>
  <si>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</si>
  <si>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</si>
  <si>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</si>
  <si>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</si>
  <si>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</si>
  <si>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</si>
  <si>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</si>
  <si>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</si>
  <si>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</si>
  <si>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</si>
  <si>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</si>
  <si>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</si>
  <si>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</si>
  <si>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</si>
  <si>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</si>
  <si>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</si>
  <si>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</si>
  <si>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</si>
  <si>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</si>
  <si>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</si>
  <si>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</si>
  <si>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</si>
  <si>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</si>
  <si>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</si>
  <si>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</si>
  <si>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</si>
  <si>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</si>
  <si>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</si>
  <si>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</si>
  <si>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</si>
  <si>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</si>
  <si>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</si>
  <si>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</si>
  <si>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</si>
  <si>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</si>
  <si>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</si>
  <si>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</si>
  <si>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</si>
  <si>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</si>
  <si>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</si>
  <si>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</si>
  <si>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</si>
  <si>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</si>
  <si>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</si>
  <si>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</si>
  <si>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</si>
  <si>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</si>
  <si>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</si>
  <si>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</si>
  <si>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</si>
  <si>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</si>
  <si>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</si>
  <si>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</si>
  <si>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</si>
  <si>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</si>
  <si>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</si>
  <si>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</si>
  <si>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</si>
  <si>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</si>
  <si>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</si>
  <si>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</si>
  <si>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</si>
  <si>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</si>
  <si>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</si>
  <si>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</si>
  <si>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</si>
  <si>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</si>
  <si>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</si>
  <si>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</si>
  <si>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</si>
  <si>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</si>
  <si>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</si>
  <si>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</si>
  <si>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</si>
  <si>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</si>
  <si>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</si>
  <si>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</si>
  <si>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</si>
  <si>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</si>
  <si>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</si>
  <si>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</si>
  <si>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</si>
  <si>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</si>
  <si>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</si>
  <si>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</si>
  <si>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</si>
  <si>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</si>
  <si>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</si>
  <si>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</si>
  <si>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</si>
  <si>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</si>
  <si>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</si>
  <si>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</si>
  <si>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</si>
  <si>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</si>
  <si>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</si>
  <si>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</si>
  <si>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</si>
  <si>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</si>
  <si>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</si>
  <si>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</si>
  <si>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</si>
  <si>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</si>
  <si>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</si>
  <si>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</si>
  <si>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</si>
  <si>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</si>
  <si>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</si>
  <si>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</si>
  <si>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</si>
  <si>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</si>
  <si>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</si>
  <si>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</si>
  <si>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construction lumber cost</t>
  </si>
  <si>
    <t>-15% food decay, lumber rot, mana drain</t>
  </si>
  <si>
    <t>-2.5% explore platinum cost, -1 explore draftee cost</t>
  </si>
  <si>
    <t>-7.5% explore platinum cost, -2 explore draftee cost</t>
  </si>
  <si>
    <t>+7.5% prestige gain, -5% casualties</t>
  </si>
  <si>
    <t>+0.75% max population, -7.5% casualties</t>
  </si>
  <si>
    <t>Prestige bonus on Food Production is 60% more effective</t>
  </si>
  <si>
    <t>-10% food decay, lumber rot, mana drain</t>
  </si>
  <si>
    <t xml:space="preserve"> +15% exchange rates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</si>
  <si>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</si>
  <si>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</si>
  <si>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</si>
  <si>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</si>
  <si>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</si>
  <si>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</si>
  <si>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</si>
  <si>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</si>
  <si>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</si>
  <si>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</si>
  <si>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</si>
  <si>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</si>
  <si>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</si>
  <si>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</si>
  <si>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</si>
  <si>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</si>
  <si>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</si>
  <si>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</si>
  <si>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</si>
  <si>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</si>
  <si>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</si>
  <si>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</si>
  <si>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</si>
  <si>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</si>
  <si>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</si>
  <si>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</si>
  <si>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Column36</t>
  </si>
  <si>
    <t>Column37</t>
  </si>
  <si>
    <t>Column38</t>
  </si>
  <si>
    <t>Column46</t>
  </si>
  <si>
    <t>Column48</t>
  </si>
  <si>
    <t>Train Unit 1</t>
  </si>
  <si>
    <t>Train Unit 2</t>
  </si>
  <si>
    <t>Train Unit 3</t>
  </si>
  <si>
    <t>Train Unit 4</t>
  </si>
  <si>
    <t>Train Spies</t>
  </si>
  <si>
    <t>Train Wiz</t>
  </si>
  <si>
    <t>….</t>
  </si>
  <si>
    <t>…..</t>
  </si>
  <si>
    <t>…...</t>
  </si>
  <si>
    <t>Release Draft</t>
  </si>
  <si>
    <t>Release Unit 1</t>
  </si>
  <si>
    <t>Release Unit 2</t>
  </si>
  <si>
    <t>Release Unit 3</t>
  </si>
  <si>
    <t>Release Unit 4</t>
  </si>
  <si>
    <t>Release Spies</t>
  </si>
  <si>
    <t>Release Wizards</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</si>
  <si>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</si>
  <si>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</si>
  <si>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</si>
  <si>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</si>
  <si>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</si>
  <si>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</si>
  <si>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</si>
  <si>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</si>
  <si>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</si>
  <si>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</si>
  <si>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</si>
  <si>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</si>
  <si>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</si>
  <si>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</si>
  <si>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</si>
  <si>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</si>
  <si>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</si>
  <si>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</si>
  <si>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</si>
  <si>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</si>
  <si>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</si>
  <si>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</si>
  <si>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</si>
  <si>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</si>
  <si>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</si>
  <si>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</si>
  <si>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</si>
  <si>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</si>
  <si>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</si>
  <si>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</si>
  <si>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</si>
  <si>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</si>
  <si>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</si>
  <si>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</si>
  <si>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</si>
  <si>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</si>
  <si>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</si>
  <si>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</si>
  <si>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</si>
  <si>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</si>
  <si>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</si>
  <si>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</si>
  <si>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</si>
  <si>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</si>
  <si>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</si>
  <si>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</si>
  <si>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</si>
  <si>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</si>
  <si>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</si>
  <si>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</si>
  <si>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</si>
  <si>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</si>
  <si>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</si>
  <si>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</si>
  <si>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</si>
  <si>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</si>
  <si>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</si>
  <si>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</si>
  <si>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</si>
  <si>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</si>
  <si>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</si>
  <si>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</si>
  <si>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</si>
  <si>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</si>
  <si>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</si>
  <si>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</si>
  <si>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</si>
  <si>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</si>
  <si>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</si>
  <si>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</si>
  <si>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</si>
  <si>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</si>
  <si>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</si>
  <si>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</si>
  <si>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</si>
  <si>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</si>
  <si>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</si>
  <si>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</si>
  <si>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</si>
  <si>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</si>
  <si>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</si>
  <si>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</si>
  <si>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</si>
  <si>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</si>
  <si>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</si>
  <si>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</si>
  <si>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</si>
  <si>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</si>
  <si>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</si>
  <si>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</si>
  <si>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</si>
  <si>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</si>
  <si>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</si>
  <si>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</si>
  <si>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</si>
  <si>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</si>
  <si>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</si>
  <si>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</si>
  <si>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</si>
  <si>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</si>
  <si>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</si>
  <si>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</si>
  <si>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</si>
  <si>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</si>
  <si>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</si>
  <si>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</si>
  <si>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</si>
  <si>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</si>
  <si>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</si>
  <si>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</si>
  <si>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</si>
  <si>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</si>
  <si>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</si>
  <si>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</si>
  <si>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</si>
  <si>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</si>
  <si>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</si>
  <si>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</si>
  <si>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</si>
  <si>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</si>
  <si>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</si>
  <si>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</si>
  <si>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</si>
  <si>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</si>
  <si>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</si>
  <si>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</si>
  <si>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</si>
  <si>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</si>
  <si>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</si>
  <si>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</si>
  <si>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</si>
  <si>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Gaia's Blessing</t>
  </si>
  <si>
    <t>Active Howling</t>
  </si>
  <si>
    <t>Active Alchemists Flame</t>
  </si>
  <si>
    <t>Number</t>
  </si>
  <si>
    <t>Sum of tech</t>
  </si>
  <si>
    <t>Σ Keep</t>
  </si>
  <si>
    <t>Σ Forges</t>
  </si>
  <si>
    <t>Σ Walls</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</si>
  <si>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</si>
  <si>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</si>
  <si>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</si>
  <si>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</si>
  <si>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</si>
  <si>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</si>
  <si>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</si>
  <si>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</si>
  <si>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</si>
  <si>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</si>
  <si>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</si>
  <si>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</si>
  <si>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</si>
  <si>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</si>
  <si>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</si>
  <si>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</si>
  <si>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</si>
  <si>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</si>
  <si>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</si>
  <si>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</si>
  <si>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</si>
  <si>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</si>
  <si>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</si>
  <si>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</si>
  <si>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</si>
  <si>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</si>
  <si>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</si>
  <si>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</si>
  <si>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</si>
  <si>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</si>
  <si>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</si>
  <si>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</si>
  <si>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</si>
  <si>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</si>
  <si>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</si>
  <si>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</si>
  <si>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</si>
  <si>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</si>
  <si>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</si>
  <si>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</si>
  <si>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</si>
  <si>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</si>
  <si>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</si>
  <si>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</si>
  <si>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</si>
  <si>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</si>
  <si>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</si>
  <si>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</si>
  <si>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</si>
  <si>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</si>
  <si>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</si>
  <si>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</si>
  <si>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</si>
  <si>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</si>
  <si>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</si>
  <si>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</si>
  <si>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</si>
  <si>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</si>
  <si>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</si>
  <si>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</si>
  <si>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</si>
  <si>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</si>
  <si>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</si>
  <si>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</si>
  <si>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</si>
  <si>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</si>
  <si>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</si>
  <si>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</si>
  <si>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</si>
  <si>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</si>
  <si>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</si>
  <si>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</si>
  <si>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</si>
  <si>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</si>
  <si>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</si>
  <si>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</si>
  <si>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</si>
  <si>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</si>
  <si>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</si>
  <si>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</si>
  <si>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</si>
  <si>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</si>
  <si>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</si>
  <si>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</si>
  <si>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</si>
  <si>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</si>
  <si>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</si>
  <si>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</si>
  <si>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</si>
  <si>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</si>
  <si>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</si>
  <si>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</si>
  <si>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</si>
  <si>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</si>
  <si>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</si>
  <si>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</si>
  <si>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</si>
  <si>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</si>
  <si>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</si>
  <si>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</si>
  <si>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</si>
  <si>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</si>
  <si>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</si>
  <si>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</si>
  <si>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</si>
  <si>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</si>
  <si>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</si>
  <si>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</si>
  <si>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</si>
  <si>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</si>
  <si>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</si>
  <si>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</si>
  <si>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</si>
  <si>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-1.75% military training cost</t>
  </si>
  <si>
    <t>+2.5% gem production, +7.5% ore production</t>
  </si>
  <si>
    <t>+2.5% food production, -12.5% lightning bolt damage</t>
  </si>
  <si>
    <t>+1 spy/wizard strength regen</t>
  </si>
  <si>
    <t>+1.25 spy refresh rate</t>
  </si>
  <si>
    <t>Menace</t>
  </si>
  <si>
    <t>Reforestation</t>
  </si>
  <si>
    <t>Anti-Magic Sigils</t>
  </si>
  <si>
    <t>Wavehack's Expertise</t>
  </si>
  <si>
    <t>Field Surgery</t>
  </si>
  <si>
    <t>Tributary System</t>
  </si>
  <si>
    <t xml:space="preserve"> food production, -12.5</t>
  </si>
  <si>
    <t>Select the tech by typing in column F (Select tech). Type in the hour at which you want to manage that tech.</t>
  </si>
  <si>
    <t>Schools</t>
  </si>
  <si>
    <t>RP/school%</t>
  </si>
  <si>
    <t>Explore Cost</t>
  </si>
  <si>
    <t>Spellblade</t>
  </si>
  <si>
    <t>Adept-DP</t>
  </si>
  <si>
    <t>Lancer</t>
  </si>
  <si>
    <t>Horse Archer</t>
  </si>
  <si>
    <t>Disclaimer: The Spellblade costs 10 gems/unit. This cost is not included in the sim.</t>
  </si>
  <si>
    <t>Favorable Terrain</t>
  </si>
  <si>
    <t>Active Favorable Terrain</t>
  </si>
  <si>
    <t>Offense (max)</t>
  </si>
  <si>
    <t>Favorable Terrain Bonus</t>
  </si>
  <si>
    <r>
      <t xml:space="preserve">Hello and welcome to the OpenDominion Excel Simulator. Start by selecting your desired race from the dropdown menu in cell B14. On all the sheets you'll see </t>
    </r>
    <r>
      <rPr>
        <sz val="10"/>
        <color theme="9" tint="-0.249977111117893"/>
        <rFont val="Arial"/>
        <family val="2"/>
      </rPr>
      <t>orange</t>
    </r>
    <r>
      <rPr>
        <sz val="10"/>
        <color indexed="8"/>
        <rFont val="Arial"/>
        <family val="2"/>
      </rPr>
      <t xml:space="preserve"> boxes like the ones below. Try filling in some numbers and see how things change. Some sheets have off-colored highlighted rows between orange sections; this is just for highlighting purposes and can be interacted with all the same.</t>
    </r>
    <r>
      <rPr>
        <b/>
        <sz val="10"/>
        <color rgb="FF000000"/>
        <rFont val="Arial"/>
        <family val="2"/>
      </rPr>
      <t xml:space="preserve"> In general, do NOT mess with non-orange cells</t>
    </r>
    <r>
      <rPr>
        <sz val="10"/>
        <color indexed="8"/>
        <rFont val="Arial"/>
        <family val="2"/>
      </rPr>
      <t>. Make sure to check out all the sheets in the workbook. Row 4 represents hour 1, row 5 is hour 2, etc. When you want to "take" or "cast" something, like a daily bonus or spell, fill in a "1" in the appropriate field. Remember that for copy/pasting you'll want to use special paste-formulas or paste-values to not break the many interactions between cells. Happy simming! -Yami</t>
    </r>
  </si>
  <si>
    <t>Goblin / Orc/Hum</t>
  </si>
  <si>
    <t>Killing Rage / Bloodrage / Crusade</t>
  </si>
  <si>
    <t>Alchemist Frost</t>
  </si>
  <si>
    <t>Train AM</t>
  </si>
  <si>
    <t>Train AS</t>
  </si>
  <si>
    <t>Archspies</t>
  </si>
  <si>
    <t>Release AS</t>
  </si>
  <si>
    <t>Release AM</t>
  </si>
  <si>
    <t>ASs Cost</t>
  </si>
  <si>
    <t>Archspy</t>
  </si>
  <si>
    <t xml:space="preserve"> + 1 spy</t>
  </si>
  <si>
    <t>raw mana prod, +1.5 per war dec (max 5)</t>
  </si>
  <si>
    <t>def spy power</t>
  </si>
  <si>
    <t>-10% construction platinum cost</t>
  </si>
  <si>
    <t>+10% mana production. +5% wizard power</t>
  </si>
  <si>
    <t>-5% construction platinum cost, -2.5% explore platinum cost</t>
  </si>
  <si>
    <t>+2% platinum production</t>
  </si>
  <si>
    <t>+4% platinum production</t>
  </si>
  <si>
    <t>+5% mana production</t>
  </si>
  <si>
    <t>-5% construction platinum cost, -10% construction lumber cost, +3 boat capacity</t>
  </si>
  <si>
    <t>Necromancer</t>
  </si>
  <si>
    <t>Tunneler</t>
  </si>
  <si>
    <t>Taskmaster</t>
  </si>
  <si>
    <t>FrostMage</t>
  </si>
  <si>
    <t>Merman</t>
  </si>
  <si>
    <t>Voodoo Mage</t>
  </si>
  <si>
    <r>
      <rPr>
        <b/>
        <sz val="10"/>
        <rFont val="Arial"/>
        <family val="2"/>
      </rPr>
      <t>Blackreign</t>
    </r>
    <r>
      <rPr>
        <sz val="10"/>
        <rFont val="Arial"/>
        <family val="2"/>
      </rPr>
      <t xml:space="preserve"> - The original creator of this sheet we all know and love
</t>
    </r>
    <r>
      <rPr>
        <b/>
        <sz val="10"/>
        <rFont val="Arial"/>
        <family val="2"/>
      </rPr>
      <t>Mickles</t>
    </r>
    <r>
      <rPr>
        <sz val="10"/>
        <rFont val="Arial"/>
        <family val="2"/>
      </rPr>
      <t xml:space="preserve"> - For adding LOG gen and allowing us to export strats without copying the entire workbook
</t>
    </r>
    <r>
      <rPr>
        <b/>
        <sz val="10"/>
        <rFont val="Arial"/>
        <family val="2"/>
      </rPr>
      <t xml:space="preserve">Thing Fish - </t>
    </r>
    <r>
      <rPr>
        <sz val="10"/>
        <rFont val="Arial"/>
        <family val="2"/>
      </rPr>
      <t>For taking the time to bring the excel sim into the 21st century with a complete conversion to tables</t>
    </r>
    <r>
      <rPr>
        <b/>
        <sz val="10"/>
        <rFont val="Arial"/>
        <family val="2"/>
      </rPr>
      <t xml:space="preserve">
AgFx &amp; Tidnab - </t>
    </r>
    <r>
      <rPr>
        <sz val="10"/>
        <rFont val="Arial"/>
        <family val="2"/>
      </rPr>
      <t>For adding Mac compatibility</t>
    </r>
  </si>
  <si>
    <t>Bonus Jobs</t>
  </si>
  <si>
    <t>+1% max population</t>
  </si>
  <si>
    <t>Spires</t>
  </si>
  <si>
    <t>Σ Spires</t>
  </si>
  <si>
    <t>Σ Harbor</t>
  </si>
  <si>
    <t>Zombie</t>
  </si>
  <si>
    <t>Crypt Lord</t>
  </si>
  <si>
    <t>Abomination</t>
  </si>
  <si>
    <t>Death and Decay</t>
  </si>
  <si>
    <t>Active DnD</t>
  </si>
  <si>
    <t>DnD_Zombies</t>
  </si>
  <si>
    <t>Vampire</t>
  </si>
  <si>
    <t>Dire Bat</t>
  </si>
  <si>
    <t>Ghoul</t>
  </si>
  <si>
    <t>Kindred</t>
  </si>
  <si>
    <t>Bloodreaver</t>
  </si>
  <si>
    <t>Deep Pockets</t>
  </si>
  <si>
    <t xml:space="preserve"> +15% resources gained from theft</t>
  </si>
  <si>
    <t>resources gained from theft</t>
  </si>
  <si>
    <t xml:space="preserve">  2</t>
  </si>
  <si>
    <t>Phantom</t>
  </si>
  <si>
    <t>Ghost</t>
  </si>
  <si>
    <t>Spectre</t>
  </si>
  <si>
    <t>Wisp</t>
  </si>
  <si>
    <t>Sentinel</t>
  </si>
  <si>
    <t>Variable Unit Production</t>
  </si>
  <si>
    <t>Homeland%</t>
  </si>
  <si>
    <t>Demon</t>
  </si>
  <si>
    <t>Succubus</t>
  </si>
  <si>
    <t>Abyssal Fiend</t>
  </si>
  <si>
    <t>Archdemon</t>
  </si>
  <si>
    <t>Demonic Pact</t>
  </si>
  <si>
    <t>food consumption</t>
  </si>
  <si>
    <t>Imp OP if paired with Archdemon</t>
  </si>
  <si>
    <t>Infernal Imp</t>
  </si>
  <si>
    <t xml:space="preserve">Draftees    </t>
  </si>
  <si>
    <t>Assassin</t>
  </si>
  <si>
    <t>Diamond Mine</t>
  </si>
  <si>
    <t>Factory</t>
  </si>
  <si>
    <t>Gryphon Nest</t>
  </si>
  <si>
    <t>Guard Tower</t>
  </si>
  <si>
    <t>Masonry</t>
  </si>
  <si>
    <t>Ore Mine</t>
  </si>
  <si>
    <t>School</t>
  </si>
  <si>
    <t>Shrine</t>
  </si>
  <si>
    <t>Smithy</t>
  </si>
  <si>
    <t>Temple</t>
  </si>
  <si>
    <t>Wizard Guild</t>
  </si>
  <si>
    <r>
      <t xml:space="preserve">You have </t>
    </r>
    <r>
      <rPr>
        <b/>
        <sz val="10"/>
        <rFont val="Arial"/>
        <family val="2"/>
      </rPr>
      <t>350</t>
    </r>
    <r>
      <rPr>
        <sz val="10"/>
        <rFont val="Arial"/>
        <family val="2"/>
      </rPr>
      <t xml:space="preserve"> starting acres to construct:</t>
    </r>
  </si>
  <si>
    <t>Starting Acres</t>
  </si>
  <si>
    <r>
      <t xml:space="preserve">Don't be alarmed by all the numbers, everything will become clear shortly. Above you can see columns, and on your left you see the rownumbers. Go to the construction tab and click on cell P4. Now fill in 40 and press enter. Now you have modified the sim to construct 40 alchemies on hour one. The row below the number you just entered belongs to hour 2. Try out some stuff for yourself now. </t>
    </r>
    <r>
      <rPr>
        <b/>
        <sz val="10"/>
        <rFont val="Arial"/>
        <family val="2"/>
      </rPr>
      <t xml:space="preserve">New Round 46! </t>
    </r>
    <r>
      <rPr>
        <sz val="10"/>
        <rFont val="Arial"/>
        <family val="2"/>
      </rPr>
      <t>Beginning in Round 46 protection has been compressed to just 48 ticks with a new starting size. Begin your sim by filling out your initial construction right here on the Overview page!</t>
    </r>
  </si>
  <si>
    <t>Instructions:</t>
  </si>
  <si>
    <t>Begin by building your starting acres</t>
  </si>
  <si>
    <t>right here on the Overview tab! The</t>
  </si>
  <si>
    <t>sim will automatically import your</t>
  </si>
  <si>
    <t>buildings to start hour 1.</t>
  </si>
  <si>
    <t>Infernal Command</t>
  </si>
  <si>
    <t>Active Infernal Command</t>
  </si>
  <si>
    <t>Infernal Command OP</t>
  </si>
  <si>
    <t>+7.5% food production, -4 Burning duration</t>
  </si>
  <si>
    <t>+20% wonder damage</t>
  </si>
  <si>
    <t>-25% theft losses, +10% defensive spy power</t>
  </si>
  <si>
    <t>+1 wizard refresh rate</t>
  </si>
  <si>
    <t xml:space="preserve"> +7.5% lumber production, 100% discounted construction of destroyed acres</t>
  </si>
  <si>
    <t>-20% wizard cost</t>
  </si>
  <si>
    <t>Shadow Academy</t>
  </si>
  <si>
    <t>-20% cost of assassins/archmages</t>
  </si>
  <si>
    <t>+2 mana production per tower</t>
  </si>
  <si>
    <t>-20% lumber rot, -20% construction lumber cost</t>
  </si>
  <si>
    <t>FW5</t>
  </si>
  <si>
    <t>FW Spell</t>
  </si>
  <si>
    <t>forges per alchemy</t>
  </si>
  <si>
    <t>Arcane Infusion</t>
  </si>
  <si>
    <t>Active Arc Infusion</t>
  </si>
  <si>
    <t>OD Round 52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</si>
</sst>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9" x14ac:knownFonts="1">
    <font>
      <sz val="10"/>
      <name val="Arial"/>
    </font>
    <font>
      <sz val="10"/>
      <color theme="1"/>
      <name val="Arial"/>
      <family val="2"/>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
      <sz val="10"/>
      <color theme="9" tint="-0.249977111117893"/>
      <name val="Arial"/>
      <family val="2"/>
    </font>
    <font>
      <b/>
      <sz val="10"/>
      <color rgb="FF000000"/>
      <name val="Arial"/>
      <family val="2"/>
    </font>
    <font>
      <sz val="10"/>
      <color theme="0" tint="-0.249977111117893"/>
      <name val="Arial"/>
      <family val="2"/>
    </font>
  </fonts>
  <fills count="38">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
      <patternFill patternType="solid">
        <fgColor rgb="FFBFBFBF"/>
        <bgColor indexed="64"/>
      </patternFill>
    </fill>
    <fill>
      <patternFill patternType="solid">
        <fgColor theme="1" tint="0.249977111117893"/>
        <bgColor indexed="64"/>
      </patternFill>
    </fill>
  </fills>
  <borders count="50">
    <border>
      <left/>
      <right/>
      <top/>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4" fillId="0" borderId="0" applyFont="0" applyFill="0" applyBorder="0" applyAlignment="0" applyProtection="0"/>
    <xf numFmtId="9" fontId="4" fillId="0" borderId="0" applyFont="0" applyFill="0" applyBorder="0" applyAlignment="0" applyProtection="0"/>
    <xf numFmtId="0" fontId="5" fillId="0" borderId="0"/>
    <xf numFmtId="164" fontId="5" fillId="0" borderId="0" applyFont="0" applyFill="0" applyBorder="0" applyAlignment="0" applyProtection="0"/>
    <xf numFmtId="9" fontId="5" fillId="0" borderId="0" applyFont="0" applyFill="0" applyBorder="0" applyAlignment="0" applyProtection="0"/>
    <xf numFmtId="0" fontId="4" fillId="0" borderId="0"/>
  </cellStyleXfs>
  <cellXfs count="541">
    <xf numFmtId="0" fontId="0" fillId="0" borderId="0" xfId="0"/>
    <xf numFmtId="3" fontId="0" fillId="0" borderId="0" xfId="0" applyNumberFormat="1"/>
    <xf numFmtId="9" fontId="0" fillId="0" borderId="0" xfId="0" applyNumberFormat="1"/>
    <xf numFmtId="0" fontId="0" fillId="0" borderId="1" xfId="0" applyBorder="1"/>
    <xf numFmtId="0" fontId="0" fillId="0" borderId="2" xfId="0" applyBorder="1"/>
    <xf numFmtId="0" fontId="6" fillId="0" borderId="0" xfId="0" applyFont="1"/>
    <xf numFmtId="0" fontId="0" fillId="0" borderId="0" xfId="0" applyAlignment="1">
      <alignment horizontal="right"/>
    </xf>
    <xf numFmtId="0" fontId="0" fillId="0" borderId="4" xfId="0" applyBorder="1"/>
    <xf numFmtId="0" fontId="0" fillId="0" borderId="5" xfId="0" applyBorder="1"/>
    <xf numFmtId="0" fontId="0" fillId="0" borderId="7" xfId="0" applyBorder="1"/>
    <xf numFmtId="0" fontId="0" fillId="0" borderId="9" xfId="0" applyBorder="1"/>
    <xf numFmtId="0" fontId="0" fillId="0" borderId="8" xfId="0" applyBorder="1"/>
    <xf numFmtId="0" fontId="0" fillId="0" borderId="10" xfId="0" applyBorder="1"/>
    <xf numFmtId="1" fontId="0" fillId="0" borderId="4" xfId="0" applyNumberFormat="1" applyBorder="1"/>
    <xf numFmtId="0" fontId="6" fillId="0" borderId="7" xfId="0" applyFont="1" applyBorder="1"/>
    <xf numFmtId="166" fontId="0" fillId="0" borderId="0" xfId="2" applyNumberFormat="1" applyFont="1" applyBorder="1"/>
    <xf numFmtId="0" fontId="0" fillId="0" borderId="4" xfId="0" applyBorder="1" applyAlignment="1">
      <alignment horizontal="left"/>
    </xf>
    <xf numFmtId="0" fontId="0" fillId="0" borderId="18" xfId="0" applyBorder="1"/>
    <xf numFmtId="0" fontId="6" fillId="0" borderId="4" xfId="0" applyFont="1" applyBorder="1"/>
    <xf numFmtId="0" fontId="0" fillId="0" borderId="19" xfId="0" applyBorder="1"/>
    <xf numFmtId="0" fontId="0" fillId="0" borderId="20" xfId="0" applyBorder="1"/>
    <xf numFmtId="0" fontId="0" fillId="0" borderId="21" xfId="0" applyBorder="1"/>
    <xf numFmtId="0" fontId="0" fillId="10" borderId="23" xfId="0" applyFill="1" applyBorder="1"/>
    <xf numFmtId="9" fontId="0" fillId="10" borderId="24" xfId="0" applyNumberFormat="1" applyFill="1" applyBorder="1"/>
    <xf numFmtId="0" fontId="0" fillId="10" borderId="26" xfId="0" applyFill="1" applyBorder="1"/>
    <xf numFmtId="0" fontId="0" fillId="10" borderId="27" xfId="0" applyFill="1" applyBorder="1"/>
    <xf numFmtId="0" fontId="0" fillId="10" borderId="28" xfId="0" applyFill="1" applyBorder="1"/>
    <xf numFmtId="3" fontId="0" fillId="10" borderId="24" xfId="0" applyNumberFormat="1" applyFill="1" applyBorder="1"/>
    <xf numFmtId="0" fontId="6" fillId="0" borderId="0" xfId="0" applyFont="1" applyAlignment="1">
      <alignment horizontal="center"/>
    </xf>
    <xf numFmtId="166" fontId="0" fillId="0" borderId="0" xfId="0" applyNumberFormat="1"/>
    <xf numFmtId="3" fontId="0" fillId="10" borderId="34" xfId="0" applyNumberFormat="1" applyFill="1" applyBorder="1"/>
    <xf numFmtId="0" fontId="0" fillId="10" borderId="33" xfId="0" applyFill="1" applyBorder="1"/>
    <xf numFmtId="0" fontId="0" fillId="10" borderId="29" xfId="0" applyFill="1" applyBorder="1"/>
    <xf numFmtId="9" fontId="0" fillId="10" borderId="34" xfId="0" applyNumberFormat="1" applyFill="1" applyBorder="1"/>
    <xf numFmtId="10" fontId="0" fillId="10" borderId="34" xfId="0" applyNumberFormat="1" applyFill="1" applyBorder="1"/>
    <xf numFmtId="3" fontId="6" fillId="0" borderId="0" xfId="0" applyNumberFormat="1" applyFont="1"/>
    <xf numFmtId="9" fontId="0" fillId="10" borderId="29" xfId="0" applyNumberFormat="1" applyFill="1" applyBorder="1"/>
    <xf numFmtId="3" fontId="5" fillId="0" borderId="0" xfId="0" applyNumberFormat="1" applyFont="1"/>
    <xf numFmtId="167" fontId="0" fillId="0" borderId="0" xfId="0" applyNumberFormat="1"/>
    <xf numFmtId="0" fontId="6" fillId="13" borderId="12" xfId="0" applyFont="1" applyFill="1" applyBorder="1" applyAlignment="1">
      <alignment horizontal="center"/>
    </xf>
    <xf numFmtId="0" fontId="12" fillId="0" borderId="0" xfId="0" applyFont="1"/>
    <xf numFmtId="0" fontId="11" fillId="0" borderId="0" xfId="0" applyFont="1"/>
    <xf numFmtId="49" fontId="13" fillId="0" borderId="0" xfId="0" applyNumberFormat="1" applyFont="1" applyAlignment="1">
      <alignment horizontal="left" vertical="top"/>
    </xf>
    <xf numFmtId="10" fontId="12" fillId="0" borderId="0" xfId="2" applyNumberFormat="1" applyFont="1"/>
    <xf numFmtId="0" fontId="4" fillId="12" borderId="0" xfId="0" applyFont="1" applyFill="1"/>
    <xf numFmtId="0" fontId="4" fillId="0" borderId="0" xfId="0" applyFont="1"/>
    <xf numFmtId="3" fontId="4" fillId="12" borderId="0" xfId="0" applyNumberFormat="1" applyFont="1" applyFill="1"/>
    <xf numFmtId="0" fontId="6" fillId="0" borderId="2" xfId="0" applyFont="1" applyBorder="1"/>
    <xf numFmtId="0" fontId="22" fillId="0" borderId="2" xfId="2" applyNumberFormat="1" applyFont="1" applyFill="1" applyBorder="1" applyProtection="1">
      <protection hidden="1"/>
    </xf>
    <xf numFmtId="0" fontId="4" fillId="12" borderId="4" xfId="0" applyFont="1" applyFill="1" applyBorder="1"/>
    <xf numFmtId="0" fontId="6" fillId="12" borderId="0" xfId="0" applyFont="1" applyFill="1"/>
    <xf numFmtId="0" fontId="4" fillId="12" borderId="5" xfId="0" applyFont="1" applyFill="1" applyBorder="1"/>
    <xf numFmtId="0" fontId="4" fillId="12" borderId="1" xfId="0" applyFont="1" applyFill="1" applyBorder="1"/>
    <xf numFmtId="20" fontId="4" fillId="0" borderId="0" xfId="0" applyNumberFormat="1" applyFont="1" applyAlignment="1">
      <alignment horizontal="center"/>
    </xf>
    <xf numFmtId="9" fontId="4" fillId="0" borderId="0" xfId="2" applyFont="1" applyFill="1" applyBorder="1" applyProtection="1">
      <protection hidden="1"/>
    </xf>
    <xf numFmtId="14" fontId="4" fillId="0" borderId="36" xfId="0" applyNumberFormat="1" applyFont="1" applyBorder="1" applyAlignment="1">
      <alignment horizontal="center"/>
    </xf>
    <xf numFmtId="14" fontId="4" fillId="12" borderId="0" xfId="0" applyNumberFormat="1" applyFont="1" applyFill="1"/>
    <xf numFmtId="0" fontId="4" fillId="0" borderId="0" xfId="0" applyFont="1" applyAlignment="1">
      <alignment horizontal="center"/>
    </xf>
    <xf numFmtId="0" fontId="4" fillId="12" borderId="0" xfId="0" applyFont="1" applyFill="1" applyAlignment="1">
      <alignment shrinkToFit="1"/>
    </xf>
    <xf numFmtId="0" fontId="4" fillId="0" borderId="25" xfId="0" applyFont="1" applyBorder="1"/>
    <xf numFmtId="0" fontId="23" fillId="12" borderId="5" xfId="0" applyFont="1" applyFill="1" applyBorder="1"/>
    <xf numFmtId="3" fontId="4" fillId="0" borderId="0" xfId="0" applyNumberFormat="1" applyFont="1" applyAlignment="1">
      <alignment horizontal="center"/>
    </xf>
    <xf numFmtId="165" fontId="4" fillId="0" borderId="0" xfId="0" applyNumberFormat="1" applyFont="1" applyProtection="1">
      <protection hidden="1"/>
    </xf>
    <xf numFmtId="0" fontId="4" fillId="0" borderId="0" xfId="2" applyNumberFormat="1" applyFont="1" applyFill="1" applyBorder="1"/>
    <xf numFmtId="0" fontId="4" fillId="0" borderId="0" xfId="0" quotePrefix="1" applyFont="1" applyAlignment="1">
      <alignment horizontal="center"/>
    </xf>
    <xf numFmtId="165" fontId="4" fillId="12" borderId="0" xfId="0" applyNumberFormat="1" applyFont="1" applyFill="1" applyProtection="1">
      <protection hidden="1"/>
    </xf>
    <xf numFmtId="3" fontId="4" fillId="12" borderId="0" xfId="0" applyNumberFormat="1" applyFont="1" applyFill="1" applyAlignment="1">
      <alignment horizontal="right"/>
    </xf>
    <xf numFmtId="0" fontId="4" fillId="12" borderId="0" xfId="0" quotePrefix="1" applyFont="1" applyFill="1"/>
    <xf numFmtId="165" fontId="4" fillId="12" borderId="2" xfId="0" applyNumberFormat="1" applyFont="1" applyFill="1" applyBorder="1" applyProtection="1">
      <protection hidden="1"/>
    </xf>
    <xf numFmtId="0" fontId="4" fillId="12" borderId="2" xfId="0" applyFont="1" applyFill="1" applyBorder="1"/>
    <xf numFmtId="3" fontId="4" fillId="12" borderId="2" xfId="0" applyNumberFormat="1" applyFont="1" applyFill="1" applyBorder="1" applyAlignment="1">
      <alignment horizontal="right"/>
    </xf>
    <xf numFmtId="0" fontId="4" fillId="12" borderId="2" xfId="0" quotePrefix="1" applyFont="1" applyFill="1" applyBorder="1"/>
    <xf numFmtId="0" fontId="4" fillId="12" borderId="10" xfId="0" applyFont="1" applyFill="1" applyBorder="1"/>
    <xf numFmtId="0" fontId="4" fillId="0" borderId="2" xfId="0" applyFont="1" applyBorder="1"/>
    <xf numFmtId="0" fontId="23" fillId="12" borderId="10" xfId="0" applyFont="1" applyFill="1" applyBorder="1"/>
    <xf numFmtId="0" fontId="6" fillId="0" borderId="9" xfId="0" applyFont="1" applyBorder="1" applyAlignment="1">
      <alignment horizontal="center"/>
    </xf>
    <xf numFmtId="0" fontId="4" fillId="0" borderId="2" xfId="0" applyFont="1" applyBorder="1" applyAlignment="1">
      <alignment horizontal="center"/>
    </xf>
    <xf numFmtId="0" fontId="4" fillId="0" borderId="10" xfId="0" applyFont="1" applyBorder="1" applyAlignment="1">
      <alignment horizontal="center"/>
    </xf>
    <xf numFmtId="0" fontId="24" fillId="0" borderId="9" xfId="0" applyFont="1" applyBorder="1" applyAlignment="1">
      <alignment horizontal="left"/>
    </xf>
    <xf numFmtId="0" fontId="4" fillId="12" borderId="8" xfId="0" applyFont="1" applyFill="1" applyBorder="1"/>
    <xf numFmtId="0" fontId="4" fillId="0" borderId="1" xfId="0" applyFont="1" applyBorder="1"/>
    <xf numFmtId="0" fontId="4" fillId="0" borderId="8" xfId="0" applyFont="1" applyBorder="1" applyAlignment="1">
      <alignment horizontal="left"/>
    </xf>
    <xf numFmtId="0" fontId="4" fillId="0" borderId="7" xfId="0" applyFont="1" applyBorder="1" applyAlignment="1">
      <alignment horizontal="left"/>
    </xf>
    <xf numFmtId="0" fontId="4" fillId="0" borderId="1" xfId="0" applyFont="1" applyBorder="1" applyAlignment="1">
      <alignment horizontal="left"/>
    </xf>
    <xf numFmtId="0" fontId="4" fillId="0" borderId="3" xfId="0" applyFont="1" applyBorder="1" applyAlignment="1">
      <alignment horizontal="left"/>
    </xf>
    <xf numFmtId="3" fontId="4" fillId="0" borderId="8" xfId="0" applyNumberFormat="1" applyFont="1" applyBorder="1"/>
    <xf numFmtId="3" fontId="4" fillId="0" borderId="7" xfId="0" applyNumberFormat="1" applyFont="1" applyBorder="1"/>
    <xf numFmtId="10" fontId="4" fillId="0" borderId="1" xfId="2" applyNumberFormat="1" applyFont="1" applyBorder="1" applyAlignment="1">
      <alignment horizontal="center" vertical="center"/>
    </xf>
    <xf numFmtId="3" fontId="4" fillId="0" borderId="1" xfId="0" applyNumberFormat="1" applyFont="1" applyBorder="1"/>
    <xf numFmtId="0" fontId="4" fillId="0" borderId="4" xfId="0" applyFont="1" applyBorder="1" applyAlignment="1">
      <alignment horizontal="left"/>
    </xf>
    <xf numFmtId="165" fontId="4" fillId="0" borderId="0" xfId="0" applyNumberFormat="1" applyFont="1"/>
    <xf numFmtId="3" fontId="4" fillId="0" borderId="5" xfId="0" applyNumberFormat="1" applyFont="1" applyBorder="1"/>
    <xf numFmtId="3" fontId="4" fillId="0" borderId="4" xfId="0" applyNumberFormat="1" applyFont="1" applyBorder="1"/>
    <xf numFmtId="0" fontId="4" fillId="0" borderId="0" xfId="0" applyFont="1" applyAlignment="1">
      <alignment horizontal="center" vertical="center"/>
    </xf>
    <xf numFmtId="3" fontId="4" fillId="0" borderId="0" xfId="0" applyNumberFormat="1" applyFont="1"/>
    <xf numFmtId="3" fontId="4" fillId="0" borderId="14" xfId="0" applyNumberFormat="1" applyFont="1" applyBorder="1"/>
    <xf numFmtId="3" fontId="4" fillId="0" borderId="13" xfId="0" applyNumberFormat="1" applyFont="1" applyBorder="1"/>
    <xf numFmtId="3" fontId="4" fillId="0" borderId="15" xfId="0" applyNumberFormat="1" applyFont="1" applyBorder="1"/>
    <xf numFmtId="165" fontId="4" fillId="0" borderId="1" xfId="0" applyNumberFormat="1" applyFont="1" applyBorder="1"/>
    <xf numFmtId="3" fontId="6" fillId="0" borderId="4" xfId="0" applyNumberFormat="1" applyFont="1" applyBorder="1"/>
    <xf numFmtId="3" fontId="6" fillId="0" borderId="5" xfId="0" applyNumberFormat="1" applyFont="1" applyBorder="1"/>
    <xf numFmtId="0" fontId="4" fillId="0" borderId="4" xfId="0" applyFont="1" applyBorder="1"/>
    <xf numFmtId="0" fontId="4" fillId="0" borderId="5" xfId="0" applyFont="1" applyBorder="1"/>
    <xf numFmtId="0" fontId="4" fillId="0" borderId="14" xfId="0" applyFont="1" applyBorder="1"/>
    <xf numFmtId="0" fontId="4" fillId="0" borderId="13" xfId="0" applyFont="1" applyBorder="1"/>
    <xf numFmtId="49" fontId="3" fillId="15" borderId="46" xfId="0" applyNumberFormat="1" applyFont="1" applyFill="1" applyBorder="1"/>
    <xf numFmtId="9" fontId="6" fillId="0" borderId="2" xfId="2" applyFont="1" applyBorder="1"/>
    <xf numFmtId="0" fontId="4" fillId="0" borderId="4" xfId="0" applyFont="1" applyBorder="1" applyAlignment="1">
      <alignment horizontal="center"/>
    </xf>
    <xf numFmtId="49" fontId="4" fillId="0" borderId="0" xfId="0" applyNumberFormat="1" applyFont="1"/>
    <xf numFmtId="3" fontId="4" fillId="0" borderId="0" xfId="2" applyNumberFormat="1" applyFont="1" applyBorder="1"/>
    <xf numFmtId="166" fontId="4" fillId="0" borderId="0" xfId="2" applyNumberFormat="1" applyFont="1" applyBorder="1"/>
    <xf numFmtId="2" fontId="4" fillId="0" borderId="0" xfId="0" applyNumberFormat="1" applyFont="1" applyAlignment="1">
      <alignment horizontal="center"/>
    </xf>
    <xf numFmtId="49" fontId="3" fillId="14" borderId="47" xfId="0" applyNumberFormat="1" applyFont="1" applyFill="1" applyBorder="1"/>
    <xf numFmtId="0" fontId="16" fillId="30" borderId="0" xfId="0" applyFont="1" applyFill="1"/>
    <xf numFmtId="49" fontId="3" fillId="14" borderId="43" xfId="0" applyNumberFormat="1" applyFont="1" applyFill="1" applyBorder="1"/>
    <xf numFmtId="49" fontId="3" fillId="15" borderId="43" xfId="0" applyNumberFormat="1" applyFont="1" applyFill="1" applyBorder="1"/>
    <xf numFmtId="0" fontId="4" fillId="0" borderId="0" xfId="0" applyFont="1" applyAlignment="1">
      <alignment horizontal="left"/>
    </xf>
    <xf numFmtId="0" fontId="4" fillId="12" borderId="0" xfId="0" applyFont="1" applyFill="1" applyAlignment="1">
      <alignment horizontal="center"/>
    </xf>
    <xf numFmtId="166" fontId="4" fillId="0" borderId="0" xfId="0" applyNumberFormat="1" applyFont="1"/>
    <xf numFmtId="3" fontId="4" fillId="0" borderId="2" xfId="2" applyNumberFormat="1" applyFont="1" applyBorder="1"/>
    <xf numFmtId="166" fontId="4" fillId="0" borderId="2" xfId="2" applyNumberFormat="1" applyFont="1" applyBorder="1"/>
    <xf numFmtId="0" fontId="17" fillId="31" borderId="9" xfId="0" applyFont="1" applyFill="1" applyBorder="1"/>
    <xf numFmtId="3" fontId="17" fillId="31" borderId="2" xfId="0" applyNumberFormat="1" applyFont="1" applyFill="1" applyBorder="1"/>
    <xf numFmtId="166" fontId="6" fillId="0" borderId="0" xfId="2" applyNumberFormat="1" applyFont="1" applyFill="1" applyBorder="1"/>
    <xf numFmtId="0" fontId="23" fillId="0" borderId="0" xfId="0" applyFont="1"/>
    <xf numFmtId="0" fontId="26" fillId="0" borderId="0" xfId="0" applyFont="1"/>
    <xf numFmtId="0" fontId="23" fillId="0" borderId="0" xfId="0" applyFont="1" applyAlignment="1">
      <alignment horizontal="center"/>
    </xf>
    <xf numFmtId="0" fontId="27" fillId="0" borderId="0" xfId="0" applyFont="1"/>
    <xf numFmtId="2" fontId="23" fillId="0" borderId="0" xfId="0" applyNumberFormat="1" applyFont="1"/>
    <xf numFmtId="0" fontId="28" fillId="0" borderId="0" xfId="0" applyFont="1"/>
    <xf numFmtId="49" fontId="4" fillId="13" borderId="33" xfId="0" applyNumberFormat="1" applyFont="1" applyFill="1" applyBorder="1" applyAlignment="1">
      <alignment horizontal="center"/>
    </xf>
    <xf numFmtId="14" fontId="4" fillId="13" borderId="24" xfId="0" applyNumberFormat="1" applyFont="1" applyFill="1" applyBorder="1" applyAlignment="1">
      <alignment horizontal="center"/>
    </xf>
    <xf numFmtId="1" fontId="4" fillId="13" borderId="29" xfId="0" applyNumberFormat="1" applyFont="1" applyFill="1" applyBorder="1" applyAlignment="1">
      <alignment horizontal="center"/>
    </xf>
    <xf numFmtId="1" fontId="4" fillId="13" borderId="34" xfId="0" applyNumberFormat="1" applyFont="1" applyFill="1" applyBorder="1" applyAlignment="1">
      <alignment horizontal="center"/>
    </xf>
    <xf numFmtId="49" fontId="4" fillId="0" borderId="0" xfId="0" applyNumberFormat="1" applyFont="1" applyAlignment="1">
      <alignment horizontal="center"/>
    </xf>
    <xf numFmtId="49" fontId="6" fillId="0" borderId="0" xfId="0" applyNumberFormat="1" applyFont="1" applyAlignment="1">
      <alignment horizontal="center" vertical="top" wrapText="1"/>
    </xf>
    <xf numFmtId="49" fontId="4" fillId="0" borderId="0" xfId="0" applyNumberFormat="1" applyFont="1" applyAlignment="1">
      <alignment horizontal="center" wrapText="1"/>
    </xf>
    <xf numFmtId="0" fontId="4" fillId="16" borderId="0" xfId="0" applyFont="1" applyFill="1" applyAlignment="1">
      <alignment horizontal="center"/>
    </xf>
    <xf numFmtId="20" fontId="4" fillId="16" borderId="0" xfId="0" applyNumberFormat="1" applyFont="1" applyFill="1" applyAlignment="1">
      <alignment horizontal="center"/>
    </xf>
    <xf numFmtId="10" fontId="4" fillId="0" borderId="0" xfId="2" applyNumberFormat="1" applyFont="1" applyFill="1" applyBorder="1"/>
    <xf numFmtId="3" fontId="4" fillId="0" borderId="0" xfId="2" applyNumberFormat="1" applyFont="1" applyFill="1" applyBorder="1"/>
    <xf numFmtId="3" fontId="4" fillId="16" borderId="0" xfId="2" applyNumberFormat="1" applyFont="1" applyFill="1" applyBorder="1"/>
    <xf numFmtId="0" fontId="4" fillId="16" borderId="0" xfId="0" applyFont="1" applyFill="1"/>
    <xf numFmtId="9" fontId="4" fillId="0" borderId="0" xfId="2" applyFont="1" applyFill="1" applyBorder="1"/>
    <xf numFmtId="0" fontId="6" fillId="16" borderId="0" xfId="0" applyFont="1" applyFill="1" applyAlignment="1">
      <alignment horizontal="center"/>
    </xf>
    <xf numFmtId="20" fontId="6" fillId="16" borderId="0" xfId="0" applyNumberFormat="1" applyFont="1" applyFill="1" applyAlignment="1">
      <alignment horizontal="center"/>
    </xf>
    <xf numFmtId="10" fontId="6" fillId="0" borderId="0" xfId="2" applyNumberFormat="1" applyFont="1" applyFill="1" applyBorder="1"/>
    <xf numFmtId="3" fontId="6" fillId="0" borderId="0" xfId="2" applyNumberFormat="1" applyFont="1" applyFill="1" applyBorder="1"/>
    <xf numFmtId="3" fontId="6" fillId="0" borderId="0" xfId="0" applyNumberFormat="1" applyFont="1" applyAlignment="1">
      <alignment horizontal="center"/>
    </xf>
    <xf numFmtId="0" fontId="6" fillId="16" borderId="0" xfId="0" applyFont="1" applyFill="1"/>
    <xf numFmtId="9" fontId="6" fillId="0" borderId="0" xfId="2" applyFont="1" applyFill="1" applyBorder="1"/>
    <xf numFmtId="49" fontId="6" fillId="0" borderId="0" xfId="0" applyNumberFormat="1" applyFont="1" applyAlignment="1">
      <alignment horizontal="center" vertical="top"/>
    </xf>
    <xf numFmtId="20" fontId="4" fillId="16" borderId="0" xfId="0" applyNumberFormat="1" applyFont="1" applyFill="1"/>
    <xf numFmtId="3" fontId="4" fillId="13" borderId="0" xfId="0" applyNumberFormat="1" applyFont="1" applyFill="1" applyAlignment="1">
      <alignment horizontal="center"/>
    </xf>
    <xf numFmtId="3" fontId="4" fillId="16" borderId="0" xfId="0" applyNumberFormat="1" applyFont="1" applyFill="1"/>
    <xf numFmtId="4" fontId="4" fillId="0" borderId="0" xfId="0" applyNumberFormat="1" applyFont="1"/>
    <xf numFmtId="9" fontId="4" fillId="0" borderId="0" xfId="0" applyNumberFormat="1" applyFont="1"/>
    <xf numFmtId="10" fontId="4" fillId="0" borderId="0" xfId="0" applyNumberFormat="1" applyFont="1"/>
    <xf numFmtId="3" fontId="4" fillId="13" borderId="0" xfId="0" applyNumberFormat="1" applyFont="1" applyFill="1"/>
    <xf numFmtId="20" fontId="4" fillId="0" borderId="0" xfId="0" applyNumberFormat="1" applyFont="1"/>
    <xf numFmtId="20" fontId="6" fillId="16" borderId="0" xfId="0" applyNumberFormat="1" applyFont="1" applyFill="1"/>
    <xf numFmtId="3" fontId="6" fillId="13" borderId="0" xfId="0" applyNumberFormat="1" applyFont="1" applyFill="1" applyAlignment="1">
      <alignment horizontal="center"/>
    </xf>
    <xf numFmtId="3" fontId="6" fillId="16" borderId="0" xfId="0" applyNumberFormat="1" applyFont="1" applyFill="1"/>
    <xf numFmtId="4" fontId="6" fillId="0" borderId="0" xfId="0" applyNumberFormat="1" applyFont="1"/>
    <xf numFmtId="9" fontId="6" fillId="0" borderId="0" xfId="0" applyNumberFormat="1" applyFont="1"/>
    <xf numFmtId="10" fontId="6" fillId="0" borderId="0" xfId="0" applyNumberFormat="1" applyFont="1"/>
    <xf numFmtId="3" fontId="6" fillId="13" borderId="0" xfId="0" applyNumberFormat="1" applyFont="1" applyFill="1"/>
    <xf numFmtId="20" fontId="6" fillId="0" borderId="0" xfId="0" applyNumberFormat="1" applyFont="1"/>
    <xf numFmtId="0" fontId="4" fillId="0" borderId="0" xfId="0" quotePrefix="1" applyFont="1" applyAlignment="1">
      <alignment horizontal="left" vertical="top"/>
    </xf>
    <xf numFmtId="18" fontId="4" fillId="0" borderId="0" xfId="0" applyNumberFormat="1" applyFont="1"/>
    <xf numFmtId="49" fontId="6" fillId="0" borderId="4" xfId="0" applyNumberFormat="1" applyFont="1" applyBorder="1" applyAlignment="1">
      <alignment horizontal="center" vertical="top" wrapText="1"/>
    </xf>
    <xf numFmtId="49" fontId="6" fillId="0" borderId="0" xfId="0" applyNumberFormat="1" applyFont="1" applyAlignment="1">
      <alignment horizontal="left" vertical="top" wrapText="1"/>
    </xf>
    <xf numFmtId="49" fontId="6" fillId="0" borderId="5" xfId="0" applyNumberFormat="1" applyFont="1" applyBorder="1" applyAlignment="1">
      <alignment horizontal="center" vertical="top" wrapText="1"/>
    </xf>
    <xf numFmtId="0" fontId="6" fillId="0" borderId="0" xfId="0" applyFont="1" applyAlignment="1">
      <alignment horizontal="right"/>
    </xf>
    <xf numFmtId="0" fontId="6" fillId="0" borderId="0" xfId="0" quotePrefix="1" applyFont="1"/>
    <xf numFmtId="0" fontId="4" fillId="29" borderId="0" xfId="0" applyFont="1" applyFill="1" applyAlignment="1">
      <alignment horizontal="center"/>
    </xf>
    <xf numFmtId="3" fontId="4" fillId="0" borderId="0" xfId="0" applyNumberFormat="1" applyFont="1" applyAlignment="1">
      <alignment horizontal="right"/>
    </xf>
    <xf numFmtId="0" fontId="4" fillId="0" borderId="0" xfId="0" applyFont="1" applyAlignment="1">
      <alignment horizontal="right"/>
    </xf>
    <xf numFmtId="20" fontId="4" fillId="18" borderId="0" xfId="0" applyNumberFormat="1" applyFont="1" applyFill="1"/>
    <xf numFmtId="0" fontId="4" fillId="13" borderId="0" xfId="0" applyFont="1" applyFill="1"/>
    <xf numFmtId="10" fontId="4" fillId="0" borderId="0" xfId="2" applyNumberFormat="1" applyFont="1" applyBorder="1"/>
    <xf numFmtId="3" fontId="4" fillId="25" borderId="0" xfId="0" applyNumberFormat="1" applyFont="1" applyFill="1" applyAlignment="1">
      <alignment horizontal="center"/>
    </xf>
    <xf numFmtId="3" fontId="4" fillId="19" borderId="0" xfId="0" applyNumberFormat="1" applyFont="1" applyFill="1" applyAlignment="1">
      <alignment horizontal="center"/>
    </xf>
    <xf numFmtId="3" fontId="4" fillId="20" borderId="0" xfId="0" applyNumberFormat="1" applyFont="1" applyFill="1" applyAlignment="1">
      <alignment horizontal="center"/>
    </xf>
    <xf numFmtId="3" fontId="4" fillId="23" borderId="0" xfId="0" applyNumberFormat="1" applyFont="1" applyFill="1" applyAlignment="1">
      <alignment horizontal="center"/>
    </xf>
    <xf numFmtId="3" fontId="4" fillId="22" borderId="0" xfId="0" applyNumberFormat="1" applyFont="1" applyFill="1" applyAlignment="1">
      <alignment horizontal="center"/>
    </xf>
    <xf numFmtId="3" fontId="4" fillId="21" borderId="0" xfId="0" applyNumberFormat="1" applyFont="1" applyFill="1" applyAlignment="1">
      <alignment horizontal="center"/>
    </xf>
    <xf numFmtId="3" fontId="4" fillId="24" borderId="0" xfId="0" applyNumberFormat="1" applyFont="1" applyFill="1" applyAlignment="1">
      <alignment horizontal="center"/>
    </xf>
    <xf numFmtId="0" fontId="4" fillId="9" borderId="0" xfId="0" applyFont="1" applyFill="1" applyAlignment="1">
      <alignment horizontal="center"/>
    </xf>
    <xf numFmtId="0" fontId="4" fillId="24" borderId="0" xfId="0" applyFont="1" applyFill="1" applyAlignment="1">
      <alignment horizontal="center"/>
    </xf>
    <xf numFmtId="0" fontId="4" fillId="19" borderId="0" xfId="0" applyFont="1" applyFill="1" applyAlignment="1">
      <alignment horizontal="center"/>
    </xf>
    <xf numFmtId="0" fontId="4" fillId="22" borderId="0" xfId="0" applyFont="1" applyFill="1" applyAlignment="1">
      <alignment horizontal="center"/>
    </xf>
    <xf numFmtId="0" fontId="4" fillId="21" borderId="0" xfId="0" applyFont="1" applyFill="1" applyAlignment="1">
      <alignment horizontal="center"/>
    </xf>
    <xf numFmtId="0" fontId="6" fillId="29" borderId="0" xfId="0" applyFont="1" applyFill="1" applyAlignment="1">
      <alignment horizontal="center"/>
    </xf>
    <xf numFmtId="20" fontId="6" fillId="18" borderId="0" xfId="0" applyNumberFormat="1" applyFont="1" applyFill="1"/>
    <xf numFmtId="3" fontId="6" fillId="24" borderId="0" xfId="0" applyNumberFormat="1" applyFont="1" applyFill="1" applyAlignment="1">
      <alignment horizontal="center"/>
    </xf>
    <xf numFmtId="3" fontId="6" fillId="19" borderId="0" xfId="0" applyNumberFormat="1" applyFont="1" applyFill="1" applyAlignment="1">
      <alignment horizontal="center"/>
    </xf>
    <xf numFmtId="3" fontId="6" fillId="20" borderId="0" xfId="0" applyNumberFormat="1" applyFont="1" applyFill="1" applyAlignment="1">
      <alignment horizontal="center"/>
    </xf>
    <xf numFmtId="3" fontId="6" fillId="23" borderId="0" xfId="0" applyNumberFormat="1" applyFont="1" applyFill="1" applyAlignment="1">
      <alignment horizontal="center"/>
    </xf>
    <xf numFmtId="3" fontId="6" fillId="22" borderId="0" xfId="0" applyNumberFormat="1" applyFont="1" applyFill="1" applyAlignment="1">
      <alignment horizontal="center"/>
    </xf>
    <xf numFmtId="3" fontId="6" fillId="21" borderId="0" xfId="0" applyNumberFormat="1" applyFont="1" applyFill="1" applyAlignment="1">
      <alignment horizontal="center"/>
    </xf>
    <xf numFmtId="0" fontId="6" fillId="13" borderId="0" xfId="0" applyFont="1" applyFill="1"/>
    <xf numFmtId="20" fontId="4" fillId="11" borderId="0" xfId="0" applyNumberFormat="1" applyFont="1" applyFill="1" applyAlignment="1">
      <alignment horizontal="center"/>
    </xf>
    <xf numFmtId="0" fontId="6" fillId="24" borderId="0" xfId="0" applyFont="1" applyFill="1" applyAlignment="1">
      <alignment horizontal="center"/>
    </xf>
    <xf numFmtId="0" fontId="6" fillId="19" borderId="0" xfId="0" applyFont="1" applyFill="1" applyAlignment="1">
      <alignment horizontal="center"/>
    </xf>
    <xf numFmtId="0" fontId="6" fillId="22" borderId="0" xfId="0" applyFont="1" applyFill="1" applyAlignment="1">
      <alignment horizontal="center"/>
    </xf>
    <xf numFmtId="0" fontId="6" fillId="21" borderId="0" xfId="0" applyFont="1" applyFill="1" applyAlignment="1">
      <alignment horizontal="center"/>
    </xf>
    <xf numFmtId="3" fontId="6" fillId="25" borderId="0" xfId="0" applyNumberFormat="1" applyFont="1" applyFill="1" applyAlignment="1">
      <alignment horizontal="center"/>
    </xf>
    <xf numFmtId="0" fontId="6" fillId="27" borderId="0" xfId="0" applyFont="1" applyFill="1"/>
    <xf numFmtId="0" fontId="31" fillId="27" borderId="0" xfId="0" quotePrefix="1" applyFont="1" applyFill="1" applyAlignment="1">
      <alignment horizontal="center"/>
    </xf>
    <xf numFmtId="0" fontId="4" fillId="27" borderId="0" xfId="0" applyFont="1" applyFill="1"/>
    <xf numFmtId="49" fontId="6" fillId="27" borderId="0" xfId="0" applyNumberFormat="1" applyFont="1" applyFill="1" applyAlignment="1">
      <alignment horizontal="center" vertical="top"/>
    </xf>
    <xf numFmtId="49" fontId="31" fillId="0" borderId="0" xfId="0" applyNumberFormat="1" applyFont="1" applyAlignment="1">
      <alignment horizontal="center" vertical="top" wrapText="1"/>
    </xf>
    <xf numFmtId="49" fontId="6" fillId="0" borderId="0" xfId="0" applyNumberFormat="1" applyFont="1" applyAlignment="1">
      <alignment vertical="top" wrapText="1"/>
    </xf>
    <xf numFmtId="3" fontId="4" fillId="29" borderId="0" xfId="0" applyNumberFormat="1" applyFont="1" applyFill="1" applyAlignment="1">
      <alignment horizontal="center"/>
    </xf>
    <xf numFmtId="0" fontId="4" fillId="18" borderId="0" xfId="0" applyFont="1" applyFill="1"/>
    <xf numFmtId="3" fontId="4" fillId="26" borderId="0" xfId="0" applyNumberFormat="1" applyFont="1" applyFill="1" applyAlignment="1">
      <alignment horizontal="center"/>
    </xf>
    <xf numFmtId="10" fontId="4" fillId="0" borderId="0" xfId="2" applyNumberFormat="1" applyFont="1" applyBorder="1" applyAlignment="1">
      <alignment horizontal="center"/>
    </xf>
    <xf numFmtId="0" fontId="4" fillId="13" borderId="0" xfId="0" applyFont="1" applyFill="1" applyAlignment="1">
      <alignment horizontal="center"/>
    </xf>
    <xf numFmtId="3" fontId="4" fillId="27" borderId="0" xfId="2" applyNumberFormat="1" applyFont="1" applyFill="1" applyBorder="1" applyAlignment="1"/>
    <xf numFmtId="0" fontId="4" fillId="18" borderId="12" xfId="0" applyFont="1" applyFill="1" applyBorder="1"/>
    <xf numFmtId="0" fontId="4" fillId="28" borderId="12" xfId="0" applyFont="1" applyFill="1" applyBorder="1"/>
    <xf numFmtId="3" fontId="4" fillId="28" borderId="12" xfId="0" applyNumberFormat="1" applyFont="1" applyFill="1" applyBorder="1"/>
    <xf numFmtId="3" fontId="4" fillId="27" borderId="0" xfId="0" applyNumberFormat="1" applyFont="1" applyFill="1"/>
    <xf numFmtId="0" fontId="4" fillId="14" borderId="12" xfId="0" applyFont="1" applyFill="1" applyBorder="1"/>
    <xf numFmtId="3" fontId="4" fillId="14" borderId="12" xfId="0" applyNumberFormat="1" applyFont="1" applyFill="1" applyBorder="1"/>
    <xf numFmtId="3" fontId="4" fillId="14" borderId="12" xfId="2" applyNumberFormat="1" applyFont="1" applyFill="1" applyBorder="1" applyAlignment="1"/>
    <xf numFmtId="1" fontId="4" fillId="27" borderId="0" xfId="0" applyNumberFormat="1" applyFont="1" applyFill="1"/>
    <xf numFmtId="0" fontId="32" fillId="27" borderId="0" xfId="0" quotePrefix="1" applyFont="1" applyFill="1" applyAlignment="1">
      <alignment horizontal="center" vertical="center"/>
    </xf>
    <xf numFmtId="0" fontId="32" fillId="27" borderId="0" xfId="0" applyFont="1" applyFill="1" applyAlignment="1">
      <alignment horizontal="center"/>
    </xf>
    <xf numFmtId="3" fontId="6" fillId="29" borderId="0" xfId="0" applyNumberFormat="1" applyFont="1" applyFill="1" applyAlignment="1">
      <alignment horizontal="center"/>
    </xf>
    <xf numFmtId="0" fontId="6" fillId="18" borderId="0" xfId="0" applyFont="1" applyFill="1"/>
    <xf numFmtId="3" fontId="6" fillId="26" borderId="0" xfId="0" applyNumberFormat="1" applyFont="1" applyFill="1" applyAlignment="1">
      <alignment horizontal="center"/>
    </xf>
    <xf numFmtId="0" fontId="6" fillId="13" borderId="0" xfId="0" applyFont="1" applyFill="1" applyAlignment="1">
      <alignment horizontal="center"/>
    </xf>
    <xf numFmtId="9" fontId="4" fillId="0" borderId="0" xfId="2" applyFont="1" applyFill="1" applyBorder="1" applyAlignment="1"/>
    <xf numFmtId="0" fontId="6" fillId="0" borderId="0" xfId="0" quotePrefix="1" applyFont="1" applyAlignment="1">
      <alignment horizontal="left"/>
    </xf>
    <xf numFmtId="20" fontId="4" fillId="29" borderId="0" xfId="0" applyNumberFormat="1" applyFont="1" applyFill="1"/>
    <xf numFmtId="20" fontId="6" fillId="29" borderId="0" xfId="0" applyNumberFormat="1" applyFont="1" applyFill="1"/>
    <xf numFmtId="0" fontId="4" fillId="0" borderId="0" xfId="0" quotePrefix="1" applyFont="1" applyAlignment="1">
      <alignment horizontal="left"/>
    </xf>
    <xf numFmtId="0" fontId="4" fillId="10" borderId="0" xfId="0" applyFont="1" applyFill="1"/>
    <xf numFmtId="49" fontId="33" fillId="0" borderId="0" xfId="0" applyNumberFormat="1" applyFont="1" applyAlignment="1">
      <alignment horizontal="center"/>
    </xf>
    <xf numFmtId="49" fontId="6" fillId="0" borderId="0" xfId="0" applyNumberFormat="1" applyFont="1" applyAlignment="1">
      <alignment horizontal="center"/>
    </xf>
    <xf numFmtId="0" fontId="31" fillId="0" borderId="0" xfId="0" applyFont="1" applyAlignment="1">
      <alignment horizontal="center"/>
    </xf>
    <xf numFmtId="0" fontId="6" fillId="0" borderId="0" xfId="0" applyFont="1" applyAlignment="1">
      <alignment horizontal="center" vertical="top" wrapText="1"/>
    </xf>
    <xf numFmtId="172" fontId="6" fillId="0" borderId="0" xfId="1" applyNumberFormat="1" applyFont="1" applyFill="1" applyBorder="1" applyAlignment="1">
      <alignment horizontal="center" vertical="top" wrapText="1"/>
    </xf>
    <xf numFmtId="49" fontId="6" fillId="17" borderId="0" xfId="0" applyNumberFormat="1" applyFont="1" applyFill="1" applyAlignment="1">
      <alignment horizontal="center" vertical="top" wrapText="1"/>
    </xf>
    <xf numFmtId="3" fontId="4" fillId="16" borderId="0" xfId="0" applyNumberFormat="1" applyFont="1" applyFill="1" applyAlignment="1">
      <alignment horizontal="center"/>
    </xf>
    <xf numFmtId="1" fontId="4" fillId="0" borderId="0" xfId="0" applyNumberFormat="1" applyFont="1"/>
    <xf numFmtId="10" fontId="4" fillId="0" borderId="0" xfId="0" applyNumberFormat="1" applyFont="1" applyAlignment="1">
      <alignment horizontal="right"/>
    </xf>
    <xf numFmtId="172" fontId="4" fillId="0" borderId="0" xfId="1" applyNumberFormat="1" applyFont="1" applyBorder="1"/>
    <xf numFmtId="9" fontId="4" fillId="13" borderId="0" xfId="0" applyNumberFormat="1" applyFont="1" applyFill="1"/>
    <xf numFmtId="2" fontId="4" fillId="0" borderId="0" xfId="0" applyNumberFormat="1" applyFont="1"/>
    <xf numFmtId="0" fontId="4" fillId="14" borderId="0" xfId="0" applyFont="1" applyFill="1"/>
    <xf numFmtId="3" fontId="4" fillId="14" borderId="0" xfId="0" applyNumberFormat="1" applyFont="1" applyFill="1"/>
    <xf numFmtId="169" fontId="4" fillId="0" borderId="0" xfId="0" applyNumberFormat="1" applyFont="1"/>
    <xf numFmtId="9" fontId="4" fillId="0" borderId="0" xfId="2" applyFont="1" applyBorder="1"/>
    <xf numFmtId="0" fontId="4" fillId="16" borderId="0" xfId="0" quotePrefix="1" applyFont="1" applyFill="1" applyAlignment="1">
      <alignment horizontal="center"/>
    </xf>
    <xf numFmtId="3" fontId="4" fillId="16" borderId="0" xfId="0" quotePrefix="1" applyNumberFormat="1" applyFont="1" applyFill="1" applyAlignment="1">
      <alignment horizontal="center"/>
    </xf>
    <xf numFmtId="3" fontId="6" fillId="16" borderId="0" xfId="0" applyNumberFormat="1" applyFont="1" applyFill="1" applyAlignment="1">
      <alignment horizontal="center"/>
    </xf>
    <xf numFmtId="9" fontId="6" fillId="13" borderId="0" xfId="0" applyNumberFormat="1" applyFont="1" applyFill="1"/>
    <xf numFmtId="0" fontId="6" fillId="14" borderId="0" xfId="0" applyFont="1" applyFill="1"/>
    <xf numFmtId="3" fontId="6" fillId="14" borderId="0" xfId="0" applyNumberFormat="1" applyFont="1" applyFill="1"/>
    <xf numFmtId="0" fontId="34" fillId="0" borderId="0" xfId="0" applyFont="1" applyAlignment="1">
      <alignment horizontal="center"/>
    </xf>
    <xf numFmtId="49" fontId="35" fillId="0" borderId="0" xfId="0" applyNumberFormat="1" applyFont="1" applyAlignment="1">
      <alignment horizontal="center" vertical="top" wrapText="1"/>
    </xf>
    <xf numFmtId="49" fontId="4" fillId="0" borderId="0" xfId="0" applyNumberFormat="1" applyFont="1" applyAlignment="1">
      <alignment horizontal="center" vertical="top"/>
    </xf>
    <xf numFmtId="0" fontId="30" fillId="0" borderId="0" xfId="0" applyFont="1" applyAlignment="1">
      <alignment horizontal="center"/>
    </xf>
    <xf numFmtId="0" fontId="33" fillId="0" borderId="0" xfId="0" applyFont="1" applyAlignment="1">
      <alignment horizontal="center"/>
    </xf>
    <xf numFmtId="0" fontId="6" fillId="0" borderId="0" xfId="0" applyFont="1" applyAlignment="1">
      <alignment vertical="top" wrapText="1"/>
    </xf>
    <xf numFmtId="0" fontId="4" fillId="16" borderId="0" xfId="0" applyFont="1" applyFill="1" applyAlignment="1">
      <alignment horizontal="center" vertical="center"/>
    </xf>
    <xf numFmtId="0" fontId="4" fillId="16" borderId="0" xfId="0" applyFont="1" applyFill="1" applyAlignment="1">
      <alignment vertical="center"/>
    </xf>
    <xf numFmtId="3" fontId="4" fillId="0" borderId="0" xfId="0" applyNumberFormat="1" applyFont="1" applyAlignment="1">
      <alignment vertical="center"/>
    </xf>
    <xf numFmtId="3" fontId="4" fillId="16" borderId="0" xfId="0" applyNumberFormat="1" applyFont="1" applyFill="1" applyAlignment="1">
      <alignment vertical="center"/>
    </xf>
    <xf numFmtId="0" fontId="4" fillId="13" borderId="0" xfId="0" applyFont="1" applyFill="1" applyAlignment="1" applyProtection="1">
      <alignment horizontal="center" vertical="center"/>
      <protection locked="0"/>
    </xf>
    <xf numFmtId="49" fontId="4" fillId="27" borderId="0" xfId="0" applyNumberFormat="1" applyFont="1" applyFill="1" applyAlignment="1">
      <alignment vertical="center"/>
    </xf>
    <xf numFmtId="0" fontId="4" fillId="27" borderId="0" xfId="0" applyFont="1" applyFill="1" applyAlignment="1">
      <alignment vertical="center"/>
    </xf>
    <xf numFmtId="0" fontId="4" fillId="0" borderId="0" xfId="0" applyFont="1" applyAlignment="1">
      <alignment vertical="center"/>
    </xf>
    <xf numFmtId="174" fontId="4" fillId="0" borderId="0" xfId="0" applyNumberFormat="1" applyFont="1" applyAlignment="1">
      <alignment horizontal="center" vertical="center"/>
    </xf>
    <xf numFmtId="0" fontId="4" fillId="16" borderId="0" xfId="0" applyFont="1" applyFill="1" applyAlignment="1" applyProtection="1">
      <alignment horizontal="center" vertical="center"/>
      <protection locked="0"/>
    </xf>
    <xf numFmtId="49" fontId="4" fillId="16" borderId="0" xfId="0" applyNumberFormat="1" applyFont="1" applyFill="1" applyAlignment="1">
      <alignment vertical="center"/>
    </xf>
    <xf numFmtId="3" fontId="4" fillId="27" borderId="0" xfId="0" applyNumberFormat="1" applyFont="1" applyFill="1" applyAlignment="1">
      <alignment vertical="center"/>
    </xf>
    <xf numFmtId="0" fontId="4" fillId="27" borderId="0" xfId="0" applyFont="1" applyFill="1" applyAlignment="1" applyProtection="1">
      <alignment horizontal="center" vertical="center"/>
      <protection locked="0"/>
    </xf>
    <xf numFmtId="0" fontId="18" fillId="0" borderId="0" xfId="0" applyFont="1" applyAlignment="1">
      <alignment horizontal="center"/>
    </xf>
    <xf numFmtId="49" fontId="6" fillId="0" borderId="0" xfId="0" quotePrefix="1" applyNumberFormat="1" applyFont="1" applyAlignment="1">
      <alignment horizontal="center" vertical="top" wrapText="1"/>
    </xf>
    <xf numFmtId="0" fontId="4" fillId="29" borderId="0" xfId="2" applyNumberFormat="1" applyFont="1" applyFill="1" applyBorder="1" applyAlignment="1">
      <alignment horizontal="center"/>
    </xf>
    <xf numFmtId="20" fontId="4" fillId="29" borderId="0" xfId="2" applyNumberFormat="1" applyFont="1" applyFill="1" applyBorder="1" applyAlignment="1">
      <alignment horizontal="center"/>
    </xf>
    <xf numFmtId="49" fontId="4" fillId="13" borderId="0" xfId="0" applyNumberFormat="1" applyFont="1" applyFill="1" applyAlignment="1">
      <alignment horizontal="center"/>
    </xf>
    <xf numFmtId="175" fontId="4" fillId="13" borderId="0" xfId="0" applyNumberFormat="1" applyFont="1" applyFill="1" applyAlignment="1">
      <alignment horizontal="center"/>
    </xf>
    <xf numFmtId="10" fontId="4" fillId="0" borderId="0" xfId="0" applyNumberFormat="1" applyFont="1" applyAlignment="1">
      <alignment horizontal="center"/>
    </xf>
    <xf numFmtId="3" fontId="31" fillId="0" borderId="0" xfId="0" applyNumberFormat="1" applyFont="1" applyAlignment="1">
      <alignment horizontal="center"/>
    </xf>
    <xf numFmtId="20" fontId="31" fillId="0" borderId="0" xfId="0" applyNumberFormat="1" applyFont="1" applyAlignment="1">
      <alignment horizontal="right"/>
    </xf>
    <xf numFmtId="173" fontId="31" fillId="0" borderId="0" xfId="0" applyNumberFormat="1" applyFont="1" applyAlignment="1">
      <alignment horizontal="right"/>
    </xf>
    <xf numFmtId="170" fontId="4" fillId="0" borderId="0" xfId="0" applyNumberFormat="1" applyFont="1" applyAlignment="1">
      <alignment horizontal="right"/>
    </xf>
    <xf numFmtId="170" fontId="4" fillId="0" borderId="0" xfId="0" applyNumberFormat="1" applyFont="1"/>
    <xf numFmtId="20" fontId="4" fillId="0" borderId="0" xfId="0" applyNumberFormat="1" applyFont="1" applyAlignment="1">
      <alignment horizontal="right"/>
    </xf>
    <xf numFmtId="173" fontId="4" fillId="0" borderId="0" xfId="0" applyNumberFormat="1" applyFont="1" applyAlignment="1">
      <alignment horizontal="right"/>
    </xf>
    <xf numFmtId="14" fontId="4" fillId="0" borderId="0" xfId="0" applyNumberFormat="1" applyFont="1"/>
    <xf numFmtId="168" fontId="4" fillId="0" borderId="0" xfId="0" applyNumberFormat="1" applyFont="1"/>
    <xf numFmtId="171" fontId="4" fillId="0" borderId="0" xfId="0" applyNumberFormat="1" applyFont="1" applyAlignment="1">
      <alignment horizontal="center"/>
    </xf>
    <xf numFmtId="0" fontId="6" fillId="29" borderId="0" xfId="2" applyNumberFormat="1" applyFont="1" applyFill="1" applyBorder="1" applyAlignment="1">
      <alignment horizontal="center"/>
    </xf>
    <xf numFmtId="20" fontId="6" fillId="29" borderId="0" xfId="2" applyNumberFormat="1" applyFont="1" applyFill="1" applyBorder="1" applyAlignment="1">
      <alignment horizontal="center"/>
    </xf>
    <xf numFmtId="49" fontId="6" fillId="13" borderId="0" xfId="0" applyNumberFormat="1" applyFont="1" applyFill="1" applyAlignment="1">
      <alignment horizontal="center"/>
    </xf>
    <xf numFmtId="175" fontId="6" fillId="13" borderId="0" xfId="0" applyNumberFormat="1" applyFont="1" applyFill="1" applyAlignment="1">
      <alignment horizontal="center"/>
    </xf>
    <xf numFmtId="0" fontId="6" fillId="0" borderId="19" xfId="0" applyFont="1" applyBorder="1"/>
    <xf numFmtId="0" fontId="4" fillId="0" borderId="19" xfId="0" applyFont="1" applyBorder="1"/>
    <xf numFmtId="1" fontId="4" fillId="0" borderId="0" xfId="2" applyNumberFormat="1" applyFont="1" applyAlignment="1">
      <alignment horizontal="right"/>
    </xf>
    <xf numFmtId="9" fontId="4" fillId="0" borderId="0" xfId="2" applyFont="1" applyAlignment="1">
      <alignment horizontal="right"/>
    </xf>
    <xf numFmtId="1" fontId="4" fillId="0" borderId="0" xfId="2" applyNumberFormat="1" applyFont="1"/>
    <xf numFmtId="0" fontId="4" fillId="2" borderId="0" xfId="0" applyFont="1" applyFill="1"/>
    <xf numFmtId="0" fontId="4" fillId="3" borderId="0" xfId="0" applyFont="1" applyFill="1"/>
    <xf numFmtId="0" fontId="4" fillId="4" borderId="0" xfId="0" applyFont="1" applyFill="1"/>
    <xf numFmtId="49" fontId="4" fillId="5" borderId="0" xfId="0" applyNumberFormat="1" applyFont="1" applyFill="1" applyAlignment="1">
      <alignment horizontal="center"/>
    </xf>
    <xf numFmtId="0" fontId="4" fillId="5" borderId="0" xfId="0" applyFont="1" applyFill="1"/>
    <xf numFmtId="0" fontId="4" fillId="6" borderId="0" xfId="0" applyFont="1" applyFill="1"/>
    <xf numFmtId="0" fontId="4" fillId="7" borderId="0" xfId="0" applyFont="1" applyFill="1"/>
    <xf numFmtId="0" fontId="4" fillId="8" borderId="0" xfId="0" applyFont="1" applyFill="1"/>
    <xf numFmtId="0" fontId="4" fillId="2" borderId="19" xfId="0" applyFont="1" applyFill="1" applyBorder="1"/>
    <xf numFmtId="9" fontId="4" fillId="0" borderId="0" xfId="2" applyFont="1"/>
    <xf numFmtId="49" fontId="4" fillId="0" borderId="19" xfId="0" applyNumberFormat="1" applyFont="1" applyBorder="1"/>
    <xf numFmtId="0" fontId="4" fillId="0" borderId="0" xfId="0" quotePrefix="1" applyFont="1"/>
    <xf numFmtId="166" fontId="4" fillId="0" borderId="0" xfId="0" applyNumberFormat="1" applyFont="1" applyAlignment="1">
      <alignment horizontal="right"/>
    </xf>
    <xf numFmtId="166" fontId="4" fillId="0" borderId="0" xfId="2" applyNumberFormat="1" applyFont="1" applyAlignment="1">
      <alignment horizontal="right"/>
    </xf>
    <xf numFmtId="0" fontId="6" fillId="0" borderId="0" xfId="0" applyFont="1" applyAlignment="1">
      <alignment vertical="center"/>
    </xf>
    <xf numFmtId="0" fontId="6" fillId="0" borderId="0" xfId="0" applyFont="1" applyAlignment="1">
      <alignment horizontal="center" vertical="center"/>
    </xf>
    <xf numFmtId="9" fontId="6" fillId="0" borderId="0" xfId="2" applyFont="1" applyBorder="1" applyAlignment="1">
      <alignment vertical="center"/>
    </xf>
    <xf numFmtId="9" fontId="4" fillId="0" borderId="0" xfId="2" applyFont="1" applyBorder="1" applyAlignment="1">
      <alignment vertical="center"/>
    </xf>
    <xf numFmtId="0" fontId="6" fillId="0" borderId="0" xfId="0" applyFont="1" applyAlignment="1">
      <alignment horizontal="right" vertical="center"/>
    </xf>
    <xf numFmtId="0" fontId="4" fillId="0" borderId="5" xfId="0" applyFont="1" applyBorder="1" applyAlignment="1">
      <alignment vertical="center"/>
    </xf>
    <xf numFmtId="0" fontId="4" fillId="0" borderId="4" xfId="0" applyFont="1" applyBorder="1" applyAlignment="1">
      <alignment vertical="center"/>
    </xf>
    <xf numFmtId="166" fontId="4" fillId="0" borderId="0" xfId="0" applyNumberFormat="1" applyFont="1" applyAlignment="1">
      <alignment horizontal="center" vertical="center"/>
    </xf>
    <xf numFmtId="9" fontId="4" fillId="0" borderId="0" xfId="0" applyNumberFormat="1" applyFont="1" applyAlignment="1">
      <alignment horizontal="center" vertical="center"/>
    </xf>
    <xf numFmtId="9" fontId="4" fillId="0" borderId="0" xfId="2" applyFont="1" applyBorder="1" applyAlignment="1">
      <alignment horizontal="center" vertical="center"/>
    </xf>
    <xf numFmtId="0" fontId="4" fillId="0" borderId="5" xfId="0" applyFont="1" applyBorder="1" applyAlignment="1">
      <alignment horizontal="center" vertical="center"/>
    </xf>
    <xf numFmtId="0" fontId="4" fillId="0" borderId="1" xfId="0" applyFont="1" applyBorder="1" applyAlignment="1">
      <alignment vertical="center"/>
    </xf>
    <xf numFmtId="0" fontId="4" fillId="0" borderId="9" xfId="0" applyFont="1" applyBorder="1" applyAlignment="1">
      <alignment vertical="center"/>
    </xf>
    <xf numFmtId="0" fontId="4" fillId="0" borderId="2" xfId="0" applyFont="1" applyBorder="1" applyAlignment="1">
      <alignment horizontal="center" vertical="center"/>
    </xf>
    <xf numFmtId="0" fontId="4" fillId="0" borderId="2" xfId="0" applyFont="1" applyBorder="1" applyAlignment="1">
      <alignment vertical="center"/>
    </xf>
    <xf numFmtId="166" fontId="4" fillId="0" borderId="2" xfId="0" applyNumberFormat="1" applyFont="1" applyBorder="1" applyAlignment="1">
      <alignment horizontal="center" vertical="center"/>
    </xf>
    <xf numFmtId="9" fontId="4" fillId="0" borderId="2" xfId="0" applyNumberFormat="1" applyFont="1" applyBorder="1" applyAlignment="1">
      <alignment horizontal="center" vertical="center"/>
    </xf>
    <xf numFmtId="9" fontId="4" fillId="0" borderId="2" xfId="2" applyFont="1" applyBorder="1" applyAlignment="1">
      <alignment horizontal="center" vertical="center"/>
    </xf>
    <xf numFmtId="0" fontId="4" fillId="0" borderId="10" xfId="0" applyFont="1" applyBorder="1" applyAlignment="1">
      <alignment horizontal="center" vertical="center"/>
    </xf>
    <xf numFmtId="0" fontId="4" fillId="0" borderId="8" xfId="0" applyFont="1" applyBorder="1" applyAlignment="1">
      <alignment vertical="center"/>
    </xf>
    <xf numFmtId="0" fontId="4" fillId="0" borderId="7" xfId="0" applyFont="1" applyBorder="1" applyAlignment="1">
      <alignment vertical="center"/>
    </xf>
    <xf numFmtId="0" fontId="4" fillId="0" borderId="1" xfId="0" applyFont="1" applyBorder="1" applyAlignment="1">
      <alignment horizontal="center" vertical="center"/>
    </xf>
    <xf numFmtId="166" fontId="4" fillId="0" borderId="1" xfId="0" applyNumberFormat="1" applyFont="1" applyBorder="1" applyAlignment="1">
      <alignment horizontal="center" vertical="center"/>
    </xf>
    <xf numFmtId="9" fontId="4" fillId="0" borderId="1" xfId="0" applyNumberFormat="1" applyFont="1" applyBorder="1" applyAlignment="1">
      <alignment horizontal="center" vertical="center"/>
    </xf>
    <xf numFmtId="0" fontId="4" fillId="0" borderId="10" xfId="0" applyFont="1" applyBorder="1" applyAlignment="1">
      <alignment vertical="center"/>
    </xf>
    <xf numFmtId="0" fontId="4" fillId="0" borderId="17" xfId="0" applyFont="1" applyBorder="1" applyAlignment="1">
      <alignment vertical="center"/>
    </xf>
    <xf numFmtId="0" fontId="4" fillId="0" borderId="6" xfId="0" quotePrefix="1" applyFont="1" applyBorder="1" applyAlignment="1">
      <alignment vertical="center"/>
    </xf>
    <xf numFmtId="0" fontId="4" fillId="0" borderId="11" xfId="0" quotePrefix="1" applyFont="1" applyBorder="1" applyAlignment="1">
      <alignment vertical="center"/>
    </xf>
    <xf numFmtId="9" fontId="4" fillId="0" borderId="5" xfId="0" applyNumberFormat="1" applyFont="1" applyBorder="1" applyAlignment="1">
      <alignment horizontal="center" vertical="center"/>
    </xf>
    <xf numFmtId="0" fontId="4" fillId="0" borderId="19" xfId="0" applyFont="1" applyBorder="1" applyAlignment="1">
      <alignment vertical="center"/>
    </xf>
    <xf numFmtId="9" fontId="4" fillId="0" borderId="0" xfId="2" applyFont="1" applyAlignment="1">
      <alignment horizontal="center" vertical="center"/>
    </xf>
    <xf numFmtId="0" fontId="4" fillId="0" borderId="0" xfId="0" quotePrefix="1" applyFont="1" applyAlignment="1">
      <alignment vertical="center"/>
    </xf>
    <xf numFmtId="9" fontId="4" fillId="0" borderId="0" xfId="0" applyNumberFormat="1" applyFont="1" applyAlignment="1">
      <alignment vertical="center"/>
    </xf>
    <xf numFmtId="9" fontId="4" fillId="0" borderId="0" xfId="2" applyFont="1" applyAlignment="1">
      <alignment vertical="center"/>
    </xf>
    <xf numFmtId="49" fontId="4" fillId="0" borderId="2" xfId="0" applyNumberFormat="1" applyFont="1" applyBorder="1"/>
    <xf numFmtId="0" fontId="4" fillId="32" borderId="0" xfId="0" applyFont="1" applyFill="1" applyAlignment="1">
      <alignment horizontal="center"/>
    </xf>
    <xf numFmtId="3" fontId="4" fillId="32" borderId="0" xfId="0" applyNumberFormat="1" applyFont="1" applyFill="1" applyAlignment="1">
      <alignment horizontal="center"/>
    </xf>
    <xf numFmtId="3" fontId="6" fillId="32" borderId="0" xfId="0" applyNumberFormat="1" applyFont="1" applyFill="1" applyAlignment="1">
      <alignment horizontal="center"/>
    </xf>
    <xf numFmtId="3" fontId="4" fillId="33" borderId="0" xfId="0" applyNumberFormat="1" applyFont="1" applyFill="1" applyAlignment="1">
      <alignment horizontal="center"/>
    </xf>
    <xf numFmtId="3" fontId="6" fillId="33" borderId="0" xfId="0" applyNumberFormat="1" applyFont="1" applyFill="1" applyAlignment="1">
      <alignment horizontal="center"/>
    </xf>
    <xf numFmtId="0" fontId="4" fillId="33" borderId="0" xfId="0" applyFont="1" applyFill="1" applyAlignment="1">
      <alignment horizontal="center"/>
    </xf>
    <xf numFmtId="0" fontId="6" fillId="33" borderId="0" xfId="0" applyFont="1" applyFill="1" applyAlignment="1">
      <alignment horizontal="center"/>
    </xf>
    <xf numFmtId="3" fontId="4" fillId="34" borderId="0" xfId="0" applyNumberFormat="1" applyFont="1" applyFill="1" applyAlignment="1">
      <alignment horizontal="center"/>
    </xf>
    <xf numFmtId="3" fontId="6" fillId="34" borderId="0" xfId="0" applyNumberFormat="1" applyFont="1" applyFill="1" applyAlignment="1">
      <alignment horizontal="center"/>
    </xf>
    <xf numFmtId="0" fontId="4" fillId="34" borderId="0" xfId="0" applyFont="1" applyFill="1" applyAlignment="1">
      <alignment horizontal="center"/>
    </xf>
    <xf numFmtId="0" fontId="6" fillId="34" borderId="0" xfId="0" applyFont="1" applyFill="1" applyAlignment="1">
      <alignment horizontal="center"/>
    </xf>
    <xf numFmtId="3" fontId="4" fillId="35" borderId="0" xfId="0" applyNumberFormat="1" applyFont="1" applyFill="1" applyAlignment="1">
      <alignment horizontal="center"/>
    </xf>
    <xf numFmtId="3" fontId="6" fillId="35" borderId="0" xfId="0" applyNumberFormat="1" applyFont="1" applyFill="1" applyAlignment="1">
      <alignment horizontal="center"/>
    </xf>
    <xf numFmtId="0" fontId="4" fillId="35" borderId="0" xfId="0" applyFont="1" applyFill="1" applyAlignment="1">
      <alignment horizontal="center"/>
    </xf>
    <xf numFmtId="0" fontId="6" fillId="35" borderId="0" xfId="0" applyFont="1" applyFill="1" applyAlignment="1">
      <alignment horizontal="center"/>
    </xf>
    <xf numFmtId="0" fontId="32" fillId="27" borderId="7" xfId="0" applyFont="1" applyFill="1" applyBorder="1" applyAlignment="1">
      <alignment horizontal="right"/>
    </xf>
    <xf numFmtId="0" fontId="32" fillId="27" borderId="8" xfId="0" quotePrefix="1" applyFont="1" applyFill="1" applyBorder="1" applyAlignment="1">
      <alignment horizontal="center" vertical="center"/>
    </xf>
    <xf numFmtId="0" fontId="4" fillId="27" borderId="4" xfId="0" applyFont="1" applyFill="1" applyBorder="1"/>
    <xf numFmtId="0" fontId="4" fillId="27" borderId="5" xfId="0" applyFont="1" applyFill="1" applyBorder="1"/>
    <xf numFmtId="0" fontId="4" fillId="27" borderId="9" xfId="0" applyFont="1" applyFill="1" applyBorder="1"/>
    <xf numFmtId="0" fontId="4" fillId="27" borderId="10" xfId="0" applyFont="1" applyFill="1" applyBorder="1"/>
    <xf numFmtId="176" fontId="4" fillId="0" borderId="0" xfId="0" applyNumberFormat="1" applyFont="1" applyAlignment="1">
      <alignment horizontal="center" vertical="center"/>
    </xf>
    <xf numFmtId="3" fontId="2" fillId="15" borderId="42" xfId="0" applyNumberFormat="1" applyFont="1" applyFill="1" applyBorder="1"/>
    <xf numFmtId="3" fontId="2" fillId="15" borderId="42" xfId="2" applyNumberFormat="1" applyFont="1" applyFill="1" applyBorder="1"/>
    <xf numFmtId="3" fontId="2" fillId="24" borderId="42" xfId="0" applyNumberFormat="1" applyFont="1" applyFill="1" applyBorder="1" applyAlignment="1">
      <alignment horizontal="center"/>
    </xf>
    <xf numFmtId="3" fontId="2" fillId="19" borderId="42" xfId="0" applyNumberFormat="1" applyFont="1" applyFill="1" applyBorder="1" applyAlignment="1">
      <alignment horizontal="center"/>
    </xf>
    <xf numFmtId="3" fontId="2" fillId="33" borderId="42" xfId="0" applyNumberFormat="1" applyFont="1" applyFill="1" applyBorder="1" applyAlignment="1">
      <alignment horizontal="center"/>
    </xf>
    <xf numFmtId="3" fontId="2" fillId="34" borderId="42" xfId="0" applyNumberFormat="1" applyFont="1" applyFill="1" applyBorder="1" applyAlignment="1">
      <alignment horizontal="center"/>
    </xf>
    <xf numFmtId="3" fontId="2" fillId="35" borderId="42" xfId="0" applyNumberFormat="1" applyFont="1" applyFill="1" applyBorder="1" applyAlignment="1">
      <alignment horizontal="center"/>
    </xf>
    <xf numFmtId="3" fontId="2" fillId="22" borderId="42" xfId="0" applyNumberFormat="1" applyFont="1" applyFill="1" applyBorder="1" applyAlignment="1">
      <alignment horizontal="center"/>
    </xf>
    <xf numFmtId="3" fontId="2" fillId="21" borderId="42" xfId="0" applyNumberFormat="1" applyFont="1" applyFill="1" applyBorder="1" applyAlignment="1">
      <alignment horizontal="center"/>
    </xf>
    <xf numFmtId="0" fontId="2" fillId="15" borderId="42" xfId="0" applyFont="1" applyFill="1" applyBorder="1"/>
    <xf numFmtId="0" fontId="2" fillId="9" borderId="42" xfId="0" applyFont="1" applyFill="1" applyBorder="1" applyAlignment="1">
      <alignment horizontal="center"/>
    </xf>
    <xf numFmtId="0" fontId="2" fillId="24" borderId="42" xfId="0" applyFont="1" applyFill="1" applyBorder="1" applyAlignment="1">
      <alignment horizontal="center"/>
    </xf>
    <xf numFmtId="0" fontId="2" fillId="19" borderId="42" xfId="0" applyFont="1" applyFill="1" applyBorder="1" applyAlignment="1">
      <alignment horizontal="center"/>
    </xf>
    <xf numFmtId="0" fontId="2" fillId="33" borderId="42" xfId="0" applyFont="1" applyFill="1" applyBorder="1" applyAlignment="1">
      <alignment horizontal="center"/>
    </xf>
    <xf numFmtId="0" fontId="2" fillId="34" borderId="42" xfId="0" applyFont="1" applyFill="1" applyBorder="1" applyAlignment="1">
      <alignment horizontal="center"/>
    </xf>
    <xf numFmtId="0" fontId="2" fillId="35" borderId="42" xfId="0" applyFont="1" applyFill="1" applyBorder="1" applyAlignment="1">
      <alignment horizontal="center"/>
    </xf>
    <xf numFmtId="0" fontId="2" fillId="22" borderId="42" xfId="0" applyFont="1" applyFill="1" applyBorder="1" applyAlignment="1">
      <alignment horizontal="center"/>
    </xf>
    <xf numFmtId="0" fontId="2" fillId="15" borderId="0" xfId="0" applyFont="1" applyFill="1"/>
    <xf numFmtId="3" fontId="2" fillId="15" borderId="0" xfId="0" applyNumberFormat="1" applyFont="1" applyFill="1"/>
    <xf numFmtId="9" fontId="2" fillId="15" borderId="42" xfId="0" applyNumberFormat="1" applyFont="1" applyFill="1" applyBorder="1"/>
    <xf numFmtId="0" fontId="2" fillId="15" borderId="42" xfId="0" applyFont="1" applyFill="1" applyBorder="1" applyAlignment="1">
      <alignment horizontal="center"/>
    </xf>
    <xf numFmtId="3" fontId="17" fillId="30" borderId="0" xfId="0" applyNumberFormat="1" applyFont="1" applyFill="1"/>
    <xf numFmtId="3" fontId="3" fillId="14" borderId="42" xfId="0" applyNumberFormat="1" applyFont="1" applyFill="1" applyBorder="1"/>
    <xf numFmtId="3" fontId="3" fillId="15" borderId="42" xfId="0" applyNumberFormat="1" applyFont="1" applyFill="1" applyBorder="1"/>
    <xf numFmtId="3" fontId="3" fillId="15" borderId="49" xfId="0" applyNumberFormat="1" applyFont="1" applyFill="1" applyBorder="1"/>
    <xf numFmtId="3" fontId="3" fillId="14" borderId="48" xfId="0" applyNumberFormat="1" applyFont="1" applyFill="1" applyBorder="1"/>
    <xf numFmtId="49" fontId="6" fillId="0" borderId="22" xfId="0" applyNumberFormat="1" applyFont="1" applyBorder="1" applyAlignment="1">
      <alignment horizontal="center" vertical="top" wrapText="1"/>
    </xf>
    <xf numFmtId="0" fontId="4" fillId="13" borderId="22" xfId="0" applyFont="1" applyFill="1" applyBorder="1" applyAlignment="1">
      <alignment horizontal="center"/>
    </xf>
    <xf numFmtId="0" fontId="6" fillId="13" borderId="22" xfId="0" applyFont="1" applyFill="1" applyBorder="1" applyAlignment="1">
      <alignment horizontal="center"/>
    </xf>
    <xf numFmtId="10" fontId="0" fillId="0" borderId="0" xfId="0" applyNumberFormat="1"/>
    <xf numFmtId="166" fontId="4" fillId="0" borderId="0" xfId="2" applyNumberFormat="1" applyFont="1" applyBorder="1" applyAlignment="1">
      <alignment horizontal="center" vertical="center"/>
    </xf>
    <xf numFmtId="0" fontId="6" fillId="0" borderId="0" xfId="0" applyFont="1" applyAlignment="1">
      <alignment horizontal="center" vertical="center" textRotation="90"/>
    </xf>
    <xf numFmtId="0" fontId="6" fillId="0" borderId="0" xfId="2" applyNumberFormat="1" applyFont="1" applyBorder="1" applyAlignment="1">
      <alignment horizontal="center" vertical="center" textRotation="90"/>
    </xf>
    <xf numFmtId="49" fontId="6" fillId="0" borderId="32" xfId="0" applyNumberFormat="1" applyFont="1" applyBorder="1" applyAlignment="1">
      <alignment horizontal="center" vertical="top" wrapText="1"/>
    </xf>
    <xf numFmtId="0" fontId="4" fillId="15" borderId="0" xfId="0" applyFont="1" applyFill="1" applyAlignment="1">
      <alignment horizontal="center"/>
    </xf>
    <xf numFmtId="0" fontId="38" fillId="0" borderId="0" xfId="0" applyFont="1"/>
    <xf numFmtId="0" fontId="4" fillId="0" borderId="0" xfId="0" applyFont="1" applyProtection="1">
      <protection hidden="1"/>
    </xf>
    <xf numFmtId="3" fontId="3" fillId="14" borderId="45" xfId="0" applyNumberFormat="1" applyFont="1" applyFill="1" applyBorder="1"/>
    <xf numFmtId="49" fontId="3" fillId="15" borderId="44" xfId="0" applyNumberFormat="1" applyFont="1" applyFill="1" applyBorder="1"/>
    <xf numFmtId="3" fontId="3" fillId="15" borderId="45" xfId="0" applyNumberFormat="1" applyFont="1" applyFill="1" applyBorder="1"/>
    <xf numFmtId="166" fontId="4" fillId="0" borderId="5" xfId="0" applyNumberFormat="1" applyFont="1" applyBorder="1" applyAlignment="1">
      <alignment horizontal="center" vertical="center"/>
    </xf>
    <xf numFmtId="166" fontId="6" fillId="0" borderId="0" xfId="0" applyNumberFormat="1" applyFont="1"/>
    <xf numFmtId="0" fontId="4" fillId="36" borderId="0" xfId="0" applyFont="1" applyFill="1"/>
    <xf numFmtId="0" fontId="6" fillId="36" borderId="0" xfId="0" applyFont="1" applyFill="1"/>
    <xf numFmtId="0" fontId="16" fillId="37" borderId="0" xfId="0" applyFont="1" applyFill="1"/>
    <xf numFmtId="0" fontId="17" fillId="27" borderId="0" xfId="0" applyFont="1" applyFill="1"/>
    <xf numFmtId="1" fontId="4" fillId="0" borderId="19" xfId="0" applyNumberFormat="1" applyFont="1" applyBorder="1"/>
    <xf numFmtId="3" fontId="6" fillId="16" borderId="0" xfId="2" applyNumberFormat="1" applyFont="1" applyFill="1" applyBorder="1"/>
    <xf numFmtId="3" fontId="4" fillId="11" borderId="0" xfId="0" applyNumberFormat="1" applyFont="1" applyFill="1" applyAlignment="1">
      <alignment horizontal="right"/>
    </xf>
    <xf numFmtId="0" fontId="4" fillId="11" borderId="0" xfId="0" applyFont="1" applyFill="1" applyAlignment="1">
      <alignment horizontal="right"/>
    </xf>
    <xf numFmtId="3" fontId="4" fillId="11" borderId="0" xfId="0" applyNumberFormat="1" applyFont="1" applyFill="1" applyAlignment="1">
      <alignment horizontal="center"/>
    </xf>
    <xf numFmtId="10" fontId="4" fillId="11" borderId="0" xfId="2" applyNumberFormat="1" applyFont="1" applyFill="1" applyBorder="1"/>
    <xf numFmtId="3" fontId="4" fillId="11" borderId="0" xfId="0" applyNumberFormat="1" applyFont="1" applyFill="1"/>
    <xf numFmtId="0" fontId="4" fillId="11" borderId="0" xfId="0" applyFont="1" applyFill="1" applyAlignment="1">
      <alignment horizontal="center"/>
    </xf>
    <xf numFmtId="20" fontId="4" fillId="11" borderId="0" xfId="0" applyNumberFormat="1" applyFont="1" applyFill="1"/>
    <xf numFmtId="0" fontId="4" fillId="11" borderId="0" xfId="0" applyFont="1" applyFill="1"/>
    <xf numFmtId="3" fontId="6" fillId="0" borderId="0" xfId="0" applyNumberFormat="1" applyFont="1" applyAlignment="1">
      <alignment horizontal="right"/>
    </xf>
    <xf numFmtId="20" fontId="6" fillId="0" borderId="0" xfId="0" applyNumberFormat="1" applyFont="1" applyAlignment="1">
      <alignment horizontal="center"/>
    </xf>
    <xf numFmtId="10" fontId="6" fillId="0" borderId="0" xfId="2" applyNumberFormat="1" applyFont="1" applyBorder="1"/>
    <xf numFmtId="0" fontId="6" fillId="9" borderId="0" xfId="0" applyFont="1" applyFill="1" applyAlignment="1">
      <alignment horizontal="center"/>
    </xf>
    <xf numFmtId="10" fontId="4" fillId="11" borderId="0" xfId="2" applyNumberFormat="1" applyFont="1" applyFill="1" applyBorder="1" applyAlignment="1">
      <alignment horizontal="center"/>
    </xf>
    <xf numFmtId="0" fontId="21" fillId="27" borderId="0" xfId="0" applyFont="1" applyFill="1" applyAlignment="1">
      <alignment horizontal="right"/>
    </xf>
    <xf numFmtId="0" fontId="21" fillId="27" borderId="0" xfId="0" quotePrefix="1" applyFont="1" applyFill="1" applyAlignment="1">
      <alignment horizontal="center" vertical="center"/>
    </xf>
    <xf numFmtId="10" fontId="6" fillId="0" borderId="0" xfId="2" applyNumberFormat="1" applyFont="1" applyBorder="1" applyAlignment="1">
      <alignment horizontal="center"/>
    </xf>
    <xf numFmtId="10" fontId="4" fillId="11" borderId="0" xfId="0" applyNumberFormat="1" applyFont="1" applyFill="1"/>
    <xf numFmtId="1" fontId="4" fillId="11" borderId="0" xfId="0" applyNumberFormat="1" applyFont="1" applyFill="1"/>
    <xf numFmtId="10" fontId="4" fillId="11" borderId="0" xfId="0" applyNumberFormat="1" applyFont="1" applyFill="1" applyAlignment="1">
      <alignment horizontal="right"/>
    </xf>
    <xf numFmtId="172" fontId="4" fillId="11" borderId="0" xfId="1" applyNumberFormat="1" applyFont="1" applyFill="1" applyBorder="1"/>
    <xf numFmtId="9" fontId="4" fillId="11" borderId="0" xfId="2" applyFont="1" applyFill="1" applyBorder="1"/>
    <xf numFmtId="2" fontId="4" fillId="11" borderId="0" xfId="0" applyNumberFormat="1" applyFont="1" applyFill="1"/>
    <xf numFmtId="4" fontId="4" fillId="11" borderId="0" xfId="0" applyNumberFormat="1" applyFont="1" applyFill="1"/>
    <xf numFmtId="169" fontId="4" fillId="11" borderId="0" xfId="0" applyNumberFormat="1" applyFont="1" applyFill="1"/>
    <xf numFmtId="1" fontId="6" fillId="0" borderId="0" xfId="0" applyNumberFormat="1" applyFont="1"/>
    <xf numFmtId="10" fontId="6" fillId="0" borderId="0" xfId="0" applyNumberFormat="1" applyFont="1" applyAlignment="1">
      <alignment horizontal="right"/>
    </xf>
    <xf numFmtId="172" fontId="6" fillId="0" borderId="0" xfId="1" applyNumberFormat="1" applyFont="1" applyBorder="1"/>
    <xf numFmtId="9" fontId="6" fillId="0" borderId="0" xfId="2" applyFont="1" applyBorder="1"/>
    <xf numFmtId="0" fontId="6" fillId="16" borderId="0" xfId="0" quotePrefix="1" applyFont="1" applyFill="1" applyAlignment="1">
      <alignment horizontal="center"/>
    </xf>
    <xf numFmtId="3" fontId="6" fillId="16" borderId="0" xfId="0" quotePrefix="1" applyNumberFormat="1" applyFont="1" applyFill="1" applyAlignment="1">
      <alignment horizontal="center"/>
    </xf>
    <xf numFmtId="2" fontId="6" fillId="0" borderId="0" xfId="0" applyNumberFormat="1" applyFont="1"/>
    <xf numFmtId="169" fontId="6" fillId="0" borderId="0" xfId="0" applyNumberFormat="1" applyFont="1"/>
    <xf numFmtId="9" fontId="4" fillId="11" borderId="0" xfId="0" applyNumberFormat="1" applyFont="1" applyFill="1"/>
    <xf numFmtId="10" fontId="4" fillId="11" borderId="0" xfId="0" applyNumberFormat="1" applyFont="1" applyFill="1" applyAlignment="1">
      <alignment horizontal="center"/>
    </xf>
    <xf numFmtId="20" fontId="4" fillId="11" borderId="0" xfId="0" applyNumberFormat="1" applyFont="1" applyFill="1" applyAlignment="1">
      <alignment horizontal="right"/>
    </xf>
    <xf numFmtId="173" fontId="4" fillId="11" borderId="0" xfId="0" applyNumberFormat="1" applyFont="1" applyFill="1" applyAlignment="1">
      <alignment horizontal="right"/>
    </xf>
    <xf numFmtId="10" fontId="6" fillId="0" borderId="0" xfId="0" applyNumberFormat="1" applyFont="1" applyAlignment="1">
      <alignment horizontal="center"/>
    </xf>
    <xf numFmtId="20" fontId="6" fillId="0" borderId="0" xfId="0" applyNumberFormat="1" applyFont="1" applyAlignment="1">
      <alignment horizontal="right"/>
    </xf>
    <xf numFmtId="173" fontId="6" fillId="0" borderId="0" xfId="0" applyNumberFormat="1" applyFont="1" applyAlignment="1">
      <alignment horizontal="right"/>
    </xf>
    <xf numFmtId="170" fontId="6" fillId="0" borderId="0" xfId="0" applyNumberFormat="1" applyFont="1"/>
    <xf numFmtId="3" fontId="6" fillId="0" borderId="2" xfId="0" applyNumberFormat="1" applyFont="1" applyBorder="1"/>
    <xf numFmtId="49" fontId="1" fillId="14" borderId="44" xfId="0" applyNumberFormat="1" applyFont="1" applyFill="1" applyBorder="1"/>
    <xf numFmtId="0" fontId="4" fillId="12" borderId="0" xfId="0" applyFont="1" applyFill="1" applyAlignment="1">
      <alignment vertical="top" wrapText="1"/>
    </xf>
    <xf numFmtId="0" fontId="4" fillId="12" borderId="0" xfId="0" applyFont="1" applyFill="1" applyAlignment="1">
      <alignment wrapText="1"/>
    </xf>
    <xf numFmtId="1" fontId="4" fillId="27" borderId="0" xfId="0" applyNumberFormat="1" applyFont="1" applyFill="1" applyAlignment="1">
      <alignment horizontal="center"/>
    </xf>
    <xf numFmtId="0" fontId="4" fillId="0" borderId="0" xfId="0" applyFont="1" applyAlignment="1">
      <alignment wrapText="1"/>
    </xf>
    <xf numFmtId="0" fontId="4" fillId="0" borderId="0" xfId="0" applyFont="1" applyAlignment="1">
      <alignment vertical="top" wrapText="1"/>
    </xf>
    <xf numFmtId="9" fontId="4" fillId="27" borderId="0" xfId="2" applyFont="1" applyFill="1" applyBorder="1" applyProtection="1">
      <protection hidden="1"/>
    </xf>
    <xf numFmtId="0" fontId="4" fillId="27" borderId="2" xfId="0" applyFont="1" applyFill="1" applyBorder="1"/>
    <xf numFmtId="9" fontId="4" fillId="27" borderId="2" xfId="2" applyFont="1" applyFill="1" applyBorder="1" applyProtection="1">
      <protection hidden="1"/>
    </xf>
    <xf numFmtId="0" fontId="4" fillId="13" borderId="12" xfId="0" applyFont="1" applyFill="1" applyBorder="1"/>
    <xf numFmtId="0" fontId="4" fillId="13" borderId="12" xfId="0" applyFont="1" applyFill="1" applyBorder="1" applyAlignment="1">
      <alignment vertical="top" wrapText="1"/>
    </xf>
    <xf numFmtId="0" fontId="4" fillId="13" borderId="11" xfId="0" applyFont="1" applyFill="1" applyBorder="1"/>
    <xf numFmtId="0" fontId="6" fillId="27" borderId="2" xfId="0" applyFont="1" applyFill="1" applyBorder="1"/>
    <xf numFmtId="0" fontId="6" fillId="12" borderId="2" xfId="0" applyFont="1" applyFill="1" applyBorder="1"/>
    <xf numFmtId="0" fontId="4" fillId="27" borderId="0" xfId="0" applyFont="1" applyFill="1" applyAlignment="1">
      <alignment horizontal="left" indent="1"/>
    </xf>
    <xf numFmtId="0" fontId="6" fillId="27" borderId="0" xfId="0" applyFont="1" applyFill="1" applyAlignment="1">
      <alignment horizontal="left" indent="1"/>
    </xf>
    <xf numFmtId="0" fontId="25" fillId="0" borderId="0" xfId="0" applyFont="1"/>
    <xf numFmtId="0" fontId="23" fillId="0" borderId="0" xfId="0" applyFont="1"/>
    <xf numFmtId="0" fontId="4" fillId="12" borderId="0" xfId="0" applyFont="1" applyFill="1"/>
    <xf numFmtId="0" fontId="4" fillId="12" borderId="0" xfId="0" applyFont="1" applyFill="1" applyAlignment="1">
      <alignment vertical="top" wrapText="1"/>
    </xf>
    <xf numFmtId="0" fontId="4" fillId="0" borderId="0" xfId="0" applyFont="1"/>
    <xf numFmtId="0" fontId="4" fillId="0" borderId="5" xfId="0" applyFont="1" applyBorder="1"/>
    <xf numFmtId="0" fontId="18" fillId="2" borderId="0" xfId="0" applyFont="1" applyFill="1" applyAlignment="1">
      <alignment horizontal="center"/>
    </xf>
    <xf numFmtId="0" fontId="18" fillId="2" borderId="22" xfId="0" applyFont="1" applyFill="1" applyBorder="1" applyAlignment="1">
      <alignment horizontal="center"/>
    </xf>
    <xf numFmtId="0" fontId="19" fillId="2" borderId="39" xfId="0" applyFont="1" applyFill="1" applyBorder="1" applyAlignment="1">
      <alignment horizontal="center" vertical="top"/>
    </xf>
    <xf numFmtId="0" fontId="19" fillId="2" borderId="18" xfId="0" applyFont="1" applyFill="1" applyBorder="1" applyAlignment="1">
      <alignment horizontal="center" vertical="top"/>
    </xf>
    <xf numFmtId="0" fontId="19" fillId="2" borderId="28" xfId="0" applyFont="1" applyFill="1" applyBorder="1" applyAlignment="1">
      <alignment horizontal="center" vertical="top"/>
    </xf>
    <xf numFmtId="0" fontId="4" fillId="2" borderId="19" xfId="0" applyFont="1" applyFill="1" applyBorder="1" applyAlignment="1">
      <alignment horizontal="left" vertical="justify" wrapText="1"/>
    </xf>
    <xf numFmtId="0" fontId="4" fillId="2" borderId="0" xfId="0" applyFont="1" applyFill="1" applyAlignment="1">
      <alignment horizontal="left" vertical="justify" wrapText="1"/>
    </xf>
    <xf numFmtId="0" fontId="6" fillId="12" borderId="40" xfId="0" applyFont="1" applyFill="1" applyBorder="1"/>
    <xf numFmtId="0" fontId="4" fillId="12" borderId="35" xfId="0" applyFont="1" applyFill="1" applyBorder="1"/>
    <xf numFmtId="0" fontId="4" fillId="12" borderId="41" xfId="0" applyFont="1" applyFill="1" applyBorder="1"/>
    <xf numFmtId="0" fontId="29" fillId="0" borderId="27" xfId="0" applyFont="1" applyBorder="1" applyAlignment="1">
      <alignment horizontal="center" vertical="center" wrapText="1"/>
    </xf>
    <xf numFmtId="0" fontId="29" fillId="0" borderId="18" xfId="0" applyFont="1" applyBorder="1" applyAlignment="1">
      <alignment horizontal="center" vertical="center" wrapText="1"/>
    </xf>
    <xf numFmtId="0" fontId="29" fillId="0" borderId="28" xfId="0" applyFont="1" applyBorder="1" applyAlignment="1">
      <alignment horizontal="center" vertical="center" wrapText="1"/>
    </xf>
    <xf numFmtId="0" fontId="29" fillId="0" borderId="16" xfId="0" applyFont="1" applyBorder="1" applyAlignment="1">
      <alignment horizontal="center" vertical="center" wrapText="1"/>
    </xf>
    <xf numFmtId="0" fontId="29" fillId="0" borderId="0" xfId="0" applyFont="1" applyAlignment="1">
      <alignment horizontal="center" vertical="center" wrapText="1"/>
    </xf>
    <xf numFmtId="0" fontId="29" fillId="0" borderId="22" xfId="0" applyFont="1" applyBorder="1" applyAlignment="1">
      <alignment horizontal="center" vertical="center" wrapText="1"/>
    </xf>
    <xf numFmtId="0" fontId="29" fillId="0" borderId="37" xfId="0" applyFont="1" applyBorder="1" applyAlignment="1">
      <alignment horizontal="center" vertical="center" wrapText="1"/>
    </xf>
    <xf numFmtId="0" fontId="29" fillId="0" borderId="32" xfId="0" applyFont="1" applyBorder="1" applyAlignment="1">
      <alignment horizontal="center" vertical="center" wrapText="1"/>
    </xf>
    <xf numFmtId="0" fontId="29" fillId="0" borderId="38" xfId="0" applyFont="1" applyBorder="1" applyAlignment="1">
      <alignment horizontal="center" vertical="center" wrapText="1"/>
    </xf>
    <xf numFmtId="0" fontId="4" fillId="12" borderId="0" xfId="0" applyFont="1" applyFill="1" applyAlignment="1">
      <alignment wrapText="1"/>
    </xf>
    <xf numFmtId="0" fontId="4" fillId="12" borderId="5" xfId="0" applyFont="1" applyFill="1" applyBorder="1" applyAlignment="1">
      <alignment wrapText="1"/>
    </xf>
    <xf numFmtId="0" fontId="4" fillId="12" borderId="5" xfId="0" applyFont="1" applyFill="1" applyBorder="1" applyAlignment="1">
      <alignment vertical="top" wrapText="1"/>
    </xf>
    <xf numFmtId="0" fontId="21" fillId="12" borderId="0" xfId="0" applyFont="1" applyFill="1"/>
    <xf numFmtId="0" fontId="4" fillId="0" borderId="2" xfId="0" applyFont="1" applyBorder="1"/>
    <xf numFmtId="0" fontId="4" fillId="12" borderId="16" xfId="0" applyFont="1" applyFill="1" applyBorder="1" applyAlignment="1">
      <alignment vertical="center" wrapText="1"/>
    </xf>
    <xf numFmtId="0" fontId="4" fillId="12" borderId="0" xfId="0" applyFont="1" applyFill="1" applyAlignment="1">
      <alignment vertical="center" wrapText="1"/>
    </xf>
    <xf numFmtId="0" fontId="4" fillId="12" borderId="22" xfId="0" applyFont="1" applyFill="1" applyBorder="1" applyAlignment="1">
      <alignment vertical="center" wrapText="1"/>
    </xf>
    <xf numFmtId="0" fontId="4" fillId="12" borderId="16" xfId="0" applyFont="1" applyFill="1" applyBorder="1" applyAlignment="1">
      <alignment vertical="center"/>
    </xf>
    <xf numFmtId="0" fontId="4" fillId="12" borderId="0" xfId="0" applyFont="1" applyFill="1" applyAlignment="1">
      <alignment vertical="center"/>
    </xf>
    <xf numFmtId="0" fontId="4" fillId="12" borderId="22" xfId="0" applyFont="1" applyFill="1" applyBorder="1" applyAlignment="1">
      <alignment vertical="center"/>
    </xf>
    <xf numFmtId="0" fontId="4" fillId="12" borderId="37" xfId="0" applyFont="1" applyFill="1" applyBorder="1" applyAlignment="1">
      <alignment vertical="center"/>
    </xf>
    <xf numFmtId="0" fontId="4" fillId="12" borderId="32" xfId="0" applyFont="1" applyFill="1" applyBorder="1" applyAlignment="1">
      <alignment vertical="center"/>
    </xf>
    <xf numFmtId="0" fontId="4" fillId="12" borderId="38" xfId="0" applyFont="1" applyFill="1" applyBorder="1" applyAlignment="1">
      <alignment vertical="center"/>
    </xf>
    <xf numFmtId="0" fontId="21" fillId="12" borderId="30" xfId="0" applyFont="1" applyFill="1" applyBorder="1"/>
    <xf numFmtId="0" fontId="4" fillId="0" borderId="18" xfId="0" applyFont="1" applyBorder="1"/>
    <xf numFmtId="0" fontId="4" fillId="0" borderId="30" xfId="0" applyFont="1" applyBorder="1"/>
    <xf numFmtId="0" fontId="20" fillId="2" borderId="19" xfId="0" applyFont="1" applyFill="1" applyBorder="1" applyAlignment="1">
      <alignment vertical="center" wrapText="1"/>
    </xf>
    <xf numFmtId="0" fontId="20" fillId="2" borderId="0" xfId="0" applyFont="1" applyFill="1" applyAlignment="1">
      <alignment vertical="center" wrapText="1"/>
    </xf>
    <xf numFmtId="0" fontId="20" fillId="2" borderId="22" xfId="0" applyFont="1" applyFill="1" applyBorder="1" applyAlignment="1">
      <alignment vertical="center" wrapText="1"/>
    </xf>
    <xf numFmtId="0" fontId="20" fillId="2" borderId="31" xfId="0" applyFont="1" applyFill="1" applyBorder="1" applyAlignment="1">
      <alignment vertical="center" wrapText="1"/>
    </xf>
    <xf numFmtId="0" fontId="20" fillId="2" borderId="32" xfId="0" applyFont="1" applyFill="1" applyBorder="1" applyAlignment="1">
      <alignment vertical="center" wrapText="1"/>
    </xf>
    <xf numFmtId="0" fontId="20" fillId="2" borderId="38" xfId="0" applyFont="1" applyFill="1" applyBorder="1" applyAlignment="1">
      <alignment vertical="center" wrapText="1"/>
    </xf>
    <xf numFmtId="0" fontId="6" fillId="0" borderId="0" xfId="0" applyFont="1" applyAlignment="1">
      <alignment horizontal="left"/>
    </xf>
    <xf numFmtId="0" fontId="6" fillId="0" borderId="0" xfId="0" applyFont="1" applyAlignment="1">
      <alignment horizontal="center"/>
    </xf>
    <xf numFmtId="0" fontId="4" fillId="0" borderId="0" xfId="0" applyFont="1" applyAlignment="1">
      <alignment horizontal="center"/>
    </xf>
    <xf numFmtId="0" fontId="6" fillId="0" borderId="0" xfId="0" applyFont="1"/>
    <xf numFmtId="0" fontId="31" fillId="0" borderId="0" xfId="0" quotePrefix="1" applyFont="1" applyAlignment="1">
      <alignment horizontal="center"/>
    </xf>
    <xf numFmtId="0" fontId="4" fillId="0" borderId="0" xfId="0" quotePrefix="1" applyFont="1" applyAlignment="1">
      <alignment horizontal="left"/>
    </xf>
    <xf numFmtId="49" fontId="6" fillId="0" borderId="0" xfId="0" applyNumberFormat="1" applyFont="1" applyAlignment="1">
      <alignment horizontal="center"/>
    </xf>
    <xf numFmtId="0" fontId="31" fillId="0" borderId="0" xfId="0" applyFont="1" applyAlignment="1">
      <alignment horizontal="center" wrapText="1"/>
    </xf>
    <xf numFmtId="0" fontId="0" fillId="0" borderId="2" xfId="0" applyBorder="1"/>
    <xf numFmtId="0" fontId="0" fillId="0" borderId="10" xfId="0" applyBorder="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1027">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ABF8F"/>
        </patternFill>
      </fill>
    </dxf>
    <dxf>
      <fill>
        <patternFill>
          <bgColor rgb="FFFF8080"/>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13" formatCode="0%"/>
      <fill>
        <patternFill patternType="none">
          <fgColor indexed="64"/>
          <bgColor auto="1"/>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b val="0"/>
        <i val="0"/>
        <strike val="0"/>
        <condense val="0"/>
        <extend val="0"/>
        <outline val="0"/>
        <shadow val="0"/>
        <u val="none"/>
        <vertAlign val="baseline"/>
        <sz val="10"/>
        <color auto="1"/>
        <name val="Arial"/>
        <family val="2"/>
        <scheme val="none"/>
      </font>
      <numFmt numFmtId="2" formatCode="0.00"/>
    </dxf>
    <dxf>
      <font>
        <b val="0"/>
        <i val="0"/>
        <strike val="0"/>
        <condense val="0"/>
        <extend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BFBFBF"/>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border diagonalUp="0" diagonalDown="0">
        <left style="thin">
          <color indexed="64"/>
        </left>
        <right style="thin">
          <color indexed="64"/>
        </right>
        <top style="thin">
          <color indexed="64"/>
        </top>
        <bottom style="thin">
          <color indexed="64"/>
        </bottom>
        <vertical/>
        <horizontal style="thin">
          <color indexed="64"/>
        </horizontal>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b/>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ill>
        <patternFill>
          <bgColor rgb="FF92D05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auto="1"/>
      </font>
    </dxf>
    <dxf>
      <font>
        <color theme="0"/>
      </font>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1026"/>
      <tableStyleElement type="headerRow" dxfId="1025"/>
      <tableStyleElement type="totalRow" dxfId="1024"/>
      <tableStyleElement type="firstColumn" dxfId="1023"/>
      <tableStyleElement type="lastColumn" dxfId="1022"/>
      <tableStyleElement type="firstRowStripe" dxfId="1021"/>
      <tableStyleElement type="secondRowStripe" dxfId="1020"/>
      <tableStyleElement type="firstColumnStripe" dxfId="1019"/>
    </tableStyle>
    <tableStyle name="TableStyleLight1 3" pivot="0" count="8" xr9:uid="{40048D91-B7B4-48AD-ADA3-F7B5F24E3A0B}">
      <tableStyleElement type="wholeTable" dxfId="1018"/>
      <tableStyleElement type="headerRow" dxfId="1017"/>
      <tableStyleElement type="totalRow" dxfId="1016"/>
      <tableStyleElement type="firstColumn" dxfId="1015"/>
      <tableStyleElement type="lastColumn" dxfId="1014"/>
      <tableStyleElement type="firstRowStripe" dxfId="1013"/>
      <tableStyleElement type="secondRowStripe" dxfId="1012"/>
      <tableStyleElement type="firstColumnStripe" dxfId="1011"/>
    </tableStyle>
    <tableStyle name="TableStyleLight1 3 2" pivot="0" count="8" xr9:uid="{C5C8B11A-65E1-47E8-8B6A-A638EA763C9D}">
      <tableStyleElement type="wholeTable" dxfId="1010"/>
      <tableStyleElement type="headerRow" dxfId="1009"/>
      <tableStyleElement type="totalRow" dxfId="1008"/>
      <tableStyleElement type="firstColumn" dxfId="1007"/>
      <tableStyleElement type="lastColumn" dxfId="1006"/>
      <tableStyleElement type="firstRowStripe" dxfId="1005"/>
      <tableStyleElement type="secondRowStripe" dxfId="1004"/>
      <tableStyleElement type="firstColumnStripe" dxfId="1003"/>
    </tableStyle>
    <tableStyle name="TableStyleLight1 4" pivot="0" count="8" xr9:uid="{879439EA-876F-405F-B69E-85273FF10F93}">
      <tableStyleElement type="wholeTable" dxfId="1002"/>
      <tableStyleElement type="headerRow" dxfId="1001"/>
      <tableStyleElement type="totalRow" dxfId="1000"/>
      <tableStyleElement type="firstColumn" dxfId="999"/>
      <tableStyleElement type="lastColumn" dxfId="998"/>
      <tableStyleElement type="firstRowStripe" dxfId="997"/>
      <tableStyleElement type="secondRowStripe" dxfId="996"/>
      <tableStyleElement type="firstColumnStripe" dxfId="995"/>
    </tableStyle>
    <tableStyle name="TableStyleLight1 4 2" pivot="0" count="8" xr9:uid="{A2A787F1-3FC0-4774-93F6-6F67EEF4DC05}">
      <tableStyleElement type="wholeTable" dxfId="994"/>
      <tableStyleElement type="headerRow" dxfId="993"/>
      <tableStyleElement type="totalRow" dxfId="992"/>
      <tableStyleElement type="firstColumn" dxfId="991"/>
      <tableStyleElement type="lastColumn" dxfId="990"/>
      <tableStyleElement type="firstRowStripe" dxfId="989"/>
      <tableStyleElement type="secondRowStripe" dxfId="988"/>
      <tableStyleElement type="firstColumnStripe" dxfId="987"/>
    </tableStyle>
    <tableStyle name="TableStyleLight1 5" pivot="0" count="8" xr9:uid="{CB689928-D93B-4088-A9C6-560B4B9C5E75}">
      <tableStyleElement type="wholeTable" dxfId="986"/>
      <tableStyleElement type="headerRow" dxfId="985"/>
      <tableStyleElement type="totalRow" dxfId="984"/>
      <tableStyleElement type="firstColumn" dxfId="983"/>
      <tableStyleElement type="lastColumn" dxfId="982"/>
      <tableStyleElement type="firstRowStripe" dxfId="981"/>
      <tableStyleElement type="secondRowStripe" dxfId="980"/>
      <tableStyleElement type="firstColumnStripe" dxfId="979"/>
    </tableStyle>
    <tableStyle name="TableStyleLight1 5 2" pivot="0" count="8" xr9:uid="{7B8F54C5-86FC-4F37-89FD-016FBCC24E05}">
      <tableStyleElement type="wholeTable" dxfId="978"/>
      <tableStyleElement type="headerRow" dxfId="977"/>
      <tableStyleElement type="totalRow" dxfId="976"/>
      <tableStyleElement type="firstColumn" dxfId="975"/>
      <tableStyleElement type="lastColumn" dxfId="974"/>
      <tableStyleElement type="firstRowStripe" dxfId="973"/>
      <tableStyleElement type="secondRowStripe" dxfId="972"/>
      <tableStyleElement type="firstColumnStripe" dxfId="971"/>
    </tableStyle>
    <tableStyle name="TableStyleLight1 5 2 2" pivot="0" count="8" xr9:uid="{03577705-4D4B-4BC8-BE21-E9B4AACE52E1}">
      <tableStyleElement type="wholeTable" dxfId="970"/>
      <tableStyleElement type="headerRow" dxfId="969"/>
      <tableStyleElement type="totalRow" dxfId="968"/>
      <tableStyleElement type="firstColumn" dxfId="967"/>
      <tableStyleElement type="lastColumn" dxfId="966"/>
      <tableStyleElement type="firstRowStripe" dxfId="965"/>
      <tableStyleElement type="secondRowStripe" dxfId="964"/>
      <tableStyleElement type="firstColumnStripe" dxfId="963"/>
    </tableStyle>
  </tableStyles>
  <colors>
    <mruColors>
      <color rgb="FFFFCC99"/>
      <color rgb="FFFABF8F"/>
      <color rgb="FFF9B073"/>
      <color rgb="FFBFBFBF"/>
      <color rgb="FF552583"/>
      <color rgb="FFAE81DB"/>
      <color rgb="FFA83800"/>
      <color rgb="FFE64D00"/>
      <color rgb="FFB43C00"/>
      <color rgb="FF99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oneCellAnchor>
    <xdr:from>
      <xdr:col>0</xdr:col>
      <xdr:colOff>156883</xdr:colOff>
      <xdr:row>0</xdr:row>
      <xdr:rowOff>100853</xdr:rowOff>
    </xdr:from>
    <xdr:ext cx="9711764" cy="3496237"/>
    <xdr:sp macro="" textlink="">
      <xdr:nvSpPr>
        <xdr:cNvPr id="2" name="bork">
          <a:extLst>
            <a:ext uri="{FF2B5EF4-FFF2-40B4-BE49-F238E27FC236}">
              <a16:creationId xmlns:a16="http://schemas.microsoft.com/office/drawing/2014/main" id="{00000000-0008-0000-0A00-000002000000}"/>
            </a:ext>
          </a:extLst>
        </xdr:cNvPr>
        <xdr:cNvSpPr txBox="1"/>
      </xdr:nvSpPr>
      <xdr:spPr>
        <a:xfrm>
          <a:off x="156883" y="100853"/>
          <a:ext cx="9711764" cy="3496237"/>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oneCellAnchor>
    <xdr:from>
      <xdr:col>0</xdr:col>
      <xdr:colOff>179295</xdr:colOff>
      <xdr:row>24</xdr:row>
      <xdr:rowOff>67236</xdr:rowOff>
    </xdr:from>
    <xdr:ext cx="4695264" cy="6645088"/>
    <xdr:sp macro="" textlink="">
      <xdr:nvSpPr>
        <xdr:cNvPr id="3" name="bork2">
          <a:extLst>
            <a:ext uri="{FF2B5EF4-FFF2-40B4-BE49-F238E27FC236}">
              <a16:creationId xmlns:a16="http://schemas.microsoft.com/office/drawing/2014/main" id="{00000000-0008-0000-0A00-000003000000}"/>
            </a:ext>
          </a:extLst>
        </xdr:cNvPr>
        <xdr:cNvSpPr txBox="1"/>
      </xdr:nvSpPr>
      <xdr:spPr>
        <a:xfrm>
          <a:off x="179295" y="3832412"/>
          <a:ext cx="4695264" cy="6645088"/>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2:F29" headerRowCount="0" totalsRowShown="0" headerRowDxfId="952" dataDxfId="951">
  <tableColumns count="6">
    <tableColumn id="1" xr3:uid="{00000000-0010-0000-0000-000001000000}" name="Unit Names" headerRowDxfId="950" dataDxfId="949">
      <calculatedColumnFormula>_xlfn.SINGLE(INDEX(TblRaces[],MATCH(race,TblRaces[Race],0),4))</calculatedColumnFormula>
    </tableColumn>
    <tableColumn id="2" xr3:uid="{00000000-0010-0000-0000-000002000000}" name="Offense" headerRowDxfId="948" dataDxfId="947">
      <calculatedColumnFormula>_xlfn.IFNA(INDEX(TblRaces[],MATCH(TblUnits[[#This Row],[Unit Names]],TblRaces[Unitname],0),5),"")</calculatedColumnFormula>
    </tableColumn>
    <tableColumn id="3" xr3:uid="{00000000-0010-0000-0000-000003000000}" name="Defense" headerRowDxfId="946" dataDxfId="945">
      <calculatedColumnFormula>_xlfn.IFNA(INDEX(TblRaces[],MATCH(TblUnits[[#This Row],[Unit Names]],TblRaces[Unitname],0),6),"")</calculatedColumnFormula>
    </tableColumn>
    <tableColumn id="4" xr3:uid="{00000000-0010-0000-0000-000004000000}" name="Platinum" headerRowDxfId="944" dataDxfId="943">
      <calculatedColumnFormula>_xlfn.IFNA(INDEX(TblRaces[],MATCH(TblUnits[[#This Row],[Unit Names]],TblRaces[Unitname],0),7),"")</calculatedColumnFormula>
    </tableColumn>
    <tableColumn id="5" xr3:uid="{00000000-0010-0000-0000-000005000000}" name="Ore" headerRowDxfId="942" dataDxfId="941">
      <calculatedColumnFormula>_xlfn.IFNA(INDEX(TblRaces[],MATCH(TblUnits[[#This Row],[Unit Names]],TblRaces[Unitname],0),8),"")</calculatedColumnFormula>
    </tableColumn>
    <tableColumn id="6" xr3:uid="{00000000-0010-0000-0000-000006000000}" name="Networth" headerRowDxfId="940" dataDxfId="939">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5:I33" totalsRowShown="0" headerRowDxfId="938" dataDxfId="936" headerRowBorderDxfId="937" tableBorderDxfId="935">
  <autoFilter ref="H15:I33" xr:uid="{6EDA5300-DB26-4799-A5D1-5432AC102827}">
    <filterColumn colId="0" hiddenButton="1"/>
    <filterColumn colId="1" hiddenButton="1"/>
  </autoFilter>
  <tableColumns count="2">
    <tableColumn id="1" xr3:uid="{C93253AD-A598-462C-985D-E538FB5404AF}" name="Race Bonuses" dataDxfId="934"/>
    <tableColumn id="2" xr3:uid="{7301230A-1354-4459-BA19-9D8AE9608978}" name="Bonus" dataDxfId="933"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7:I46" totalsRowShown="0" headerRowDxfId="932" dataDxfId="931" tableBorderDxfId="930">
  <autoFilter ref="A37:I46"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29"/>
    <tableColumn id="2" xr3:uid="{F7BA9D3F-F979-435F-AF55-B8562C7F08C8}" name=" " dataDxfId="928"/>
    <tableColumn id="3" xr3:uid="{C661B1D0-1EAD-42B7-889A-9265EA75CB1D}" name="Offense" dataDxfId="927"/>
    <tableColumn id="4" xr3:uid="{594F8FE6-285D-432D-AB90-DE26655C8963}" name="Bonus" dataDxfId="926"/>
    <tableColumn id="5" xr3:uid="{1A4EBEB0-1016-4D5D-920D-08D8AD7AFC97}" name="OP Mod" dataDxfId="925"/>
    <tableColumn id="6" xr3:uid="{0A455978-2417-4AD7-8969-95433ADAC6F4}" name="Defense" dataDxfId="924"/>
    <tableColumn id="7" xr3:uid="{3C4FEC10-2BEB-4EC0-AA98-F67CC8DBE5B5}" name="DP Bonus" dataDxfId="923"/>
    <tableColumn id="8" xr3:uid="{9CE669CC-5E7B-4E7B-8FFE-265EB626E935}" name="DP Mod" dataDxfId="922"/>
    <tableColumn id="9" xr3:uid="{7DE0C022-18E9-48B5-8835-9B63E8CC1CDF}" name="." dataDxfId="921"/>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50:J54" totalsRowShown="0" headerRowDxfId="920" dataDxfId="918" headerRowBorderDxfId="919" tableBorderDxfId="917">
  <autoFilter ref="H50:J54" xr:uid="{86CCA094-2F84-4D6A-BB34-AED37B4839D4}">
    <filterColumn colId="0" hiddenButton="1"/>
    <filterColumn colId="1" hiddenButton="1"/>
    <filterColumn colId="2" hiddenButton="1"/>
  </autoFilter>
  <tableColumns count="3">
    <tableColumn id="1" xr3:uid="{E0152EC7-4145-4063-BAB4-B6301A014F4B}" name="Type" dataDxfId="916"/>
    <tableColumn id="2" xr3:uid="{FAE1A1FE-F8EC-48F0-A8AF-ADF4B1F44E93}" name="Raw" dataDxfId="915"/>
    <tableColumn id="3" xr3:uid="{AFD4C97E-F124-4CC9-8087-32A6EB65C3D5}" name="Modded" dataDxfId="914"/>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7:J60" totalsRowShown="0" headerRowDxfId="913" dataDxfId="911" headerRowBorderDxfId="912" tableBorderDxfId="910">
  <autoFilter ref="H57:J60" xr:uid="{4A95BFF0-5AE4-4064-BA31-9F687E8E34BD}">
    <filterColumn colId="0" hiddenButton="1"/>
    <filterColumn colId="1" hiddenButton="1"/>
    <filterColumn colId="2" hiddenButton="1"/>
  </autoFilter>
  <tableColumns count="3">
    <tableColumn id="1" xr3:uid="{ACCDFB1C-E1AE-4F10-BB67-59F2B9780D01}" name="Hour" dataDxfId="909"/>
    <tableColumn id="2" xr3:uid="{277A266C-0AEF-4864-99C7-1E807FF68978}" name="Amount" dataDxfId="908"/>
    <tableColumn id="3" xr3:uid="{DD724D20-8039-4E15-A45D-F535D999ED97}" name="Without Training" dataDxfId="907"/>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3:J69" totalsRowCount="1" headerRowDxfId="906" dataDxfId="905" totalsRowDxfId="903" tableBorderDxfId="904">
  <autoFilter ref="H63:J68" xr:uid="{13B108AF-8DE7-4C40-ADC0-028C2974A351}">
    <filterColumn colId="0" hiddenButton="1"/>
    <filterColumn colId="1" hiddenButton="1"/>
    <filterColumn colId="2" hiddenButton="1"/>
  </autoFilter>
  <tableColumns count="3">
    <tableColumn id="1" xr3:uid="{8261FD65-21D7-4A57-8AAA-9B9005764242}" name="Category" totalsRowLabel="Total" dataDxfId="902" totalsRowDxfId="901"/>
    <tableColumn id="2" xr3:uid="{739DBC51-BC77-4631-B107-088DC25245EB}" name="Amount" totalsRowFunction="sum" dataDxfId="900" totalsRowDxfId="899"/>
    <tableColumn id="3" xr3:uid="{41BF49B0-731E-480A-A25D-802B4380182E}" name="Relative" totalsRowFunction="custom" totalsRowDxfId="898"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9:F72" totalsRowShown="0" headerRowDxfId="897" dataDxfId="896" tableBorderDxfId="895">
  <autoFilter ref="D49:F72" xr:uid="{6C8ACB43-975F-416A-A510-CF883452891C}">
    <filterColumn colId="0" hiddenButton="1"/>
    <filterColumn colId="1" hiddenButton="1"/>
    <filterColumn colId="2" hiddenButton="1"/>
  </autoFilter>
  <tableColumns count="3">
    <tableColumn id="1" xr3:uid="{97F6A0D7-4C71-45E8-A9DA-F3DBEC3693D1}" name="Acres" dataDxfId="894"/>
    <tableColumn id="2" xr3:uid="{70370623-AE12-4AC1-B3BC-5FA6F33097E0}" name=" " dataDxfId="893"/>
    <tableColumn id="3" xr3:uid="{76F2AA18-B160-4225-A8AB-03D1370169AB}" name="   " dataDxfId="892"/>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91" dataDxfId="889" headerRowBorderDxfId="890" tableBorderDxfId="888">
  <autoFilter ref="D14:E18" xr:uid="{AF658822-94AE-4FD8-9D6D-E660E1B5C629}">
    <filterColumn colId="0" hiddenButton="1"/>
    <filterColumn colId="1" hiddenButton="1"/>
  </autoFilter>
  <tableColumns count="2">
    <tableColumn id="1" xr3:uid="{EFD90BA2-CBAC-4BDB-9434-40FB9C2485F4}" name="Date&amp;Time" dataDxfId="887"/>
    <tableColumn id="2" xr3:uid="{CCEF9A0F-7383-4941-A440-9E2452942487}" name="." dataDxfId="886"/>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D133DF78-1AE9-48BB-91CA-D0AE4B36CC49}" name="Table20" displayName="Table20" ref="K15:L34" totalsRowShown="0" headerRowDxfId="885" dataDxfId="884" tableBorderDxfId="883">
  <autoFilter ref="K15:L34" xr:uid="{D133DF78-1AE9-48BB-91CA-D0AE4B36CC49}">
    <filterColumn colId="0" hiddenButton="1"/>
    <filterColumn colId="1" hiddenButton="1"/>
  </autoFilter>
  <tableColumns count="2">
    <tableColumn id="1" xr3:uid="{3C9ED756-1E7B-43BC-9693-67AD91370593}" name="Building" dataDxfId="882"/>
    <tableColumn id="2" xr3:uid="{1A5D6F48-D49E-4549-A12C-3D6329B8F5BF}" name="Amount" dataDxfId="881"/>
  </tableColumns>
  <tableStyleInfo name="TableStyleLight1 4"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74" dataDxfId="873" totalsRowDxfId="872">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71" totalsRowDxfId="870">
      <calculatedColumnFormula>TblRezone[[#This Row],[Hour]]</calculatedColumnFormula>
    </tableColumn>
    <tableColumn id="2" xr3:uid="{7657952B-D9DB-46FC-BD8D-612DECDC04FD}" name="Time" dataDxfId="869" totalsRowDxfId="868">
      <calculatedColumnFormula>TblImps[[#This Row],[Time]]</calculatedColumnFormula>
    </tableColumn>
    <tableColumn id="3" xr3:uid="{767542B9-4E58-42E2-85BA-5C1DB6108363}" name="Peasants" dataDxfId="867">
      <calculatedColumnFormula>OFFSET(TblPop[[#This Row],[Peasants]],-1,0)+OFFSET(TblPop[[#This Row],[Net Peasant]],-1,0)+TblMili[[#This Row],[Release Draft]]</calculatedColumnFormula>
    </tableColumn>
    <tableColumn id="4" xr3:uid="{F5DC2705-5767-4AD0-A2E0-E36086D164C0}" name="Military" dataDxfId="866" totalsRowDxfId="865">
      <calculatedColumnFormula>TblMili[[#This Row],[Military]]</calculatedColumnFormula>
    </tableColumn>
    <tableColumn id="5" xr3:uid="{57E397CE-6C2C-48AE-9B2E-52E14099EAFC}" name="Draftees" dataDxfId="864" totalsRowDxfId="863">
      <calculatedColumnFormula>TblMili[[#This Row],[Draftees]]</calculatedColumnFormula>
    </tableColumn>
    <tableColumn id="6" xr3:uid="{7339086D-8AEE-45A5-B78D-EA6FDBA34E10}" name="Total" dataDxfId="862" totalsRowDxfId="861">
      <calculatedColumnFormula>TblPop[[#This Row],[Peasants]]+TblPop[[#This Row],[Military]]</calculatedColumnFormula>
    </tableColumn>
    <tableColumn id="7" xr3:uid="{75D92B6D-F4CA-42F7-80B3-4BF8A336E69C}" name="Military%" dataDxfId="860" totalsRowDxfId="859" dataCellStyle="Percent">
      <calculatedColumnFormula>TblPop[[#This Row],[Military]]/TblPop[[#This Row],[Total]]</calculatedColumnFormula>
    </tableColumn>
    <tableColumn id="8" xr3:uid="{257C6438-3205-4A45-9F91-ACD066CD59E8}" name="Employed" dataDxfId="858" totalsRowDxfId="857" dataCellStyle="Percent">
      <calculatedColumnFormula>MIN(TblPop[[#This Row],[Peasants]],TblPop[[#This Row],[Jobs]])</calculatedColumnFormula>
    </tableColumn>
    <tableColumn id="9" xr3:uid="{B05B6937-2C12-476B-B555-2A8ED6FF34EF}" name="Employment" dataDxfId="856" totalsRowDxfId="855" dataCellStyle="Percent">
      <calculatedColumnFormula>MIN(OFFSET(TblPop[[#This Row],[Jobs]],1,0)/TblPop[[#This Row],[Peasants]],1)</calculatedColumnFormula>
    </tableColumn>
    <tableColumn id="10" xr3:uid="{AD7F9BB7-A630-4BBB-AFEA-37B907196778}" name="Jobs" dataDxfId="854" totalsRowDxfId="853" dataCellStyle="Percent">
      <calculatedColumnFormula>SUM(TblConstr[[#This Row],[Tot Alc]:[Tot GT]],TblConstr[[#This Row],[Tot Shr]:[Tot Doc]],TblConstr[[#This Row],[Dest Alc]:[Dest GT]],TblConstr[[#This Row],[Dest Shr]:[Dest Doc]])*building_employment + TblConstr[[#This Row],[Tot Fac]]*bonus_jobs_facts</calculatedColumnFormula>
    </tableColumn>
    <tableColumn id="30" xr3:uid="{D3118B5E-6207-429C-86CC-ECDE266201B7}" name="." dataDxfId="852" totalsRowDxfId="851" dataCellStyle="Percent"/>
    <tableColumn id="12" xr3:uid="{2EEFBFF9-40A4-412F-8FEC-C2F4799A06E6}" name=" Draftees" dataDxfId="850" totalsRowDxfId="849">
      <calculatedColumnFormula>TblPop[[#This Row],[Draftees]]</calculatedColumnFormula>
    </tableColumn>
    <tableColumn id="13" xr3:uid="{43729A62-E847-4DBB-BC42-62B1FB3DA7A5}" name="Unit 1" dataDxfId="848" totalsRowDxfId="847">
      <calculatedColumnFormula>TblMili[[#This Row],[Unit 1]]</calculatedColumnFormula>
    </tableColumn>
    <tableColumn id="14" xr3:uid="{C7A024F4-2376-4871-897D-90BEBEBC78B7}" name="Unit 2" dataDxfId="846" totalsRowDxfId="845">
      <calculatedColumnFormula>TblMili[[#This Row],[Unit 2]]</calculatedColumnFormula>
    </tableColumn>
    <tableColumn id="15" xr3:uid="{93EC8730-4D26-4E19-ADAA-3ED5C943F257}" name="Unit 3" dataDxfId="844" totalsRowDxfId="843">
      <calculatedColumnFormula>TblMili[[#This Row],[Unit 3]]</calculatedColumnFormula>
    </tableColumn>
    <tableColumn id="16" xr3:uid="{1A382ACC-9ED2-4A5E-BEE3-781B1DBCF186}" name="Unit 4" dataDxfId="842" totalsRowDxfId="841">
      <calculatedColumnFormula>TblMili[[#This Row],[Unit 4]]</calculatedColumnFormula>
    </tableColumn>
    <tableColumn id="17" xr3:uid="{491D1C19-D1B1-48C7-8FC6-BE77B7CD2635}" name="Spies" dataDxfId="840" totalsRowDxfId="839">
      <calculatedColumnFormula>TblMili[[#This Row],[Spies]]</calculatedColumnFormula>
    </tableColumn>
    <tableColumn id="18" xr3:uid="{1AF95FC5-21CD-41AC-A69F-CF5E9AF4AB85}" name="Wizards" dataDxfId="838" totalsRowDxfId="837">
      <calculatedColumnFormula>TblMili[[#This Row],[Wizards]]</calculatedColumnFormula>
    </tableColumn>
    <tableColumn id="19" xr3:uid="{C157D21E-FD58-4F24-A070-1819A7E2DA97}" name="Archmage" dataDxfId="836" totalsRowDxfId="835">
      <calculatedColumnFormula>TblMili[[#This Row],[Archmages]]</calculatedColumnFormula>
    </tableColumn>
    <tableColumn id="20" xr3:uid="{6BBFB632-E92F-4F29-AE3D-534C8288C615}" name=".." dataDxfId="834" totalsRowDxfId="833"/>
    <tableColumn id="21" xr3:uid="{59CAD00B-A8EE-455B-A015-E17ADF56A7B2}" name="Net max" dataDxfId="832" totalsRowDxfId="831">
      <calculatedColumnFormula>ROUND(TblPop[[#This Row],[Raw max]]*(1+OFFSET(TblPop[[#This Row],[Max pop]],-1,0)),0)+MIN(TblPop[[#This Row],[Military]]-TblPop[[#This Row],[Draftees]]-SUM(TblMili[[#This Row],[Train Unit 1]:[Train AM]]),(barracks_size + tech_8_3*TblTech[[#This Row],[8-3]])*TblConstr[[#This Row],[Tot Bar]])</calculatedColumnFormula>
    </tableColumn>
    <tableColumn id="22" xr3:uid="{B78869DE-CFE3-4F3A-B8C6-9B9A53295B32}" name="Raw max" dataDxfId="830" totalsRowDxfId="829">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28" totalsRowDxfId="827">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26" totalsRowDxfId="825">
      <calculatedColumnFormula>ROUND(TblPop[[#This Row],[Raw Birth]]*(1+TblPop[[#This Row],[Growth]]),0)</calculatedColumnFormula>
    </tableColumn>
    <tableColumn id="25" xr3:uid="{26E60E7F-6DA3-49EF-99E8-26A0DAD2D630}" name="Raw Birth" dataDxfId="824" totalsRowDxfId="823">
      <calculatedColumnFormula>(TblPop[[#This Row],[Peasants]]-TblPop[[#This Row],[Draft Growth]])*raw_pop_growth</calculatedColumnFormula>
    </tableColumn>
    <tableColumn id="26" xr3:uid="{6E1274BE-772F-4747-A295-D51601B4FE11}" name="Draft Growth" dataDxfId="822">
      <calculatedColumnFormula>ROUND(IF(TblPop[[#This Row],[Military%]]&lt;TblMili[[#This Row],[Draftrate]],ROUND(TblPop[[#This Row],[Peasants]]*Constants!$B$55,0), 0) * IF(AND(TblMagic[[#This Row],[Active DnD]]&lt;=12,TblMagic[[#This Row],[Active DnD]]&gt;6),1.5,1),0)</calculatedColumnFormula>
    </tableColumn>
    <tableColumn id="27" xr3:uid="{858CE2A0-AC9E-46FE-9A70-AED1578889CB}" name="...." dataDxfId="821" totalsRowDxfId="820"/>
    <tableColumn id="28" xr3:uid="{B271B9C7-94D1-498F-9FBB-69DF5F1BCE3F}" name="Growth" dataDxfId="819" totalsRowDxfId="818" dataCellStyle="Percent">
      <calculatedColumnFormula>Overview!$I$17 + IF(Magic!AF4&gt;0,Constants!$F$78) + ROUND(6*(Construction!BM5+Construction!CK4)/IF(Explore!S5&gt;0,Construction!F5-20,Construction!F5),4) + tech_6_5_2*Techs!BJ4 + tech_8_4*Techs!BT4</calculatedColumnFormula>
    </tableColumn>
    <tableColumn id="29" xr3:uid="{4E692113-E2CA-4AEB-9E48-68D7C08F24E9}" name="Max pop" totalsRowFunction="sum" dataDxfId="817" totalsRowDxfId="816" dataCellStyle="Percent">
      <calculatedColumnFormula>(Overview!$I$16 + Imps!Z4+ tech_2_5*Techs!AB4 + tech_3_6*Techs!AM4 + tech_6_1*Techs!BJ4 + tech_6_5*Techs!BF4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807" dataDxfId="805" headerRowBorderDxfId="806" tableBorderDxfId="804">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803"/>
    <tableColumn id="2" xr3:uid="{A509F8BB-FCD1-4951-8F3F-2AE2B32FB91D}" name="Time" dataDxfId="802">
      <calculatedColumnFormula>TblImps[[#This Row],[Time]]</calculatedColumnFormula>
    </tableColumn>
    <tableColumn id="3" xr3:uid="{BD173BCD-6C73-484D-BDFC-2CBFE8B32234}" name="Plat Bonus" dataDxfId="801"/>
    <tableColumn id="4" xr3:uid="{9A9B3DEC-EBEC-4801-BF4F-F90BBBCDF331}" name="." dataDxfId="800"/>
    <tableColumn id="5" xr3:uid="{6F9B5905-FA1D-4099-B9CC-6BE237355D58}" name="Land" dataDxfId="799">
      <calculatedColumnFormula>TblConstr[[#This Row],[Land]]</calculatedColumnFormula>
    </tableColumn>
    <tableColumn id="6" xr3:uid="{5ADA8DA4-36DC-4D4F-AE4E-76BDD26AF270}" name="Peasants" dataDxfId="798">
      <calculatedColumnFormula>TblPop[[#This Row],[Peasants]]</calculatedColumnFormula>
    </tableColumn>
    <tableColumn id="7" xr3:uid="{EE7F0FC7-4D30-4144-88EE-9A05AD7BF609}" name="Networth" dataDxfId="797">
      <calculatedColumnFormula>TblMili[[#This Row],[Networth (2)]]</calculatedColumnFormula>
    </tableColumn>
    <tableColumn id="8" xr3:uid="{F7B8E7A7-7AD4-4D83-8297-946670C39E55}" name="Platinum" dataDxfId="796">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95">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94">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93">
      <calculatedColumnFormula>OFFSET(TblProd[[#This Row],[Mana]],-1,0)+OFFSET(TblProd[[#This Row],[Mana/hr]],-1,0)- TblProd[[#This Row],[Expenses Mana]]</calculatedColumnFormula>
    </tableColumn>
    <tableColumn id="12" xr3:uid="{C80C4246-7273-429F-BE79-86B1B4181061}" name="Ore" dataDxfId="792">
      <calculatedColumnFormula>OFFSET(TblProd[[#This Row],[Ore]],-1,0)+OFFSET(TblProd[[#This Row],[Ore/hr]],-1,0) -TblProd[[#This Row],[Expenses Ore]]</calculatedColumnFormula>
    </tableColumn>
    <tableColumn id="13" xr3:uid="{4174B9D9-5881-42F2-A514-2A7372C2B486}" name="Gems" dataDxfId="791">
      <calculatedColumnFormula>OFFSET(TblProd[[#This Row],[Gems]],-1,0)+OFFSET(TblProd[[#This Row],[Gems/hr]],-1,0) - TblProd[[#This Row],[Expenses Gems]]</calculatedColumnFormula>
    </tableColumn>
    <tableColumn id="14" xr3:uid="{C9DF5508-173B-4E9B-BD32-3313FC0AECA9}" name="Boats" dataDxfId="790">
      <calculatedColumnFormula>OFFSET(TblProd[[#This Row],[Boats]],-1,0)+OFFSET(TblProd[[#This Row],[Boats/hr]],-1,0)</calculatedColumnFormula>
    </tableColumn>
    <tableColumn id="15" xr3:uid="{C2EE37F5-4C79-4BD9-BE97-5B3BBB490CD3}" name="Prestige" dataDxfId="789">
      <calculatedColumnFormula>OFFSET(TblProd[[#This Row],[Prestige]],-1,0)</calculatedColumnFormula>
    </tableColumn>
    <tableColumn id="16" xr3:uid="{5EEA2772-71AB-4FF8-BF5F-D1D5B4044943}" name="Techpoints" dataDxfId="788">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87">
      <calculatedColumnFormula>MAX(_xlfn.CEILING.MATH(TblProd[[#This Row],[Land]]*2.5+IFERROR(OFFSET(TblTech[[#This Row],[Sum of tech]],-1,0)*50,0)),3750)</calculatedColumnFormula>
    </tableColumn>
    <tableColumn id="18" xr3:uid="{BC60D6AE-146D-440E-93B9-050DE2CAED7A}" name=".." dataDxfId="786"/>
    <tableColumn id="19" xr3:uid="{F7A6187F-1DDE-45C0-B221-8BA0937C4E35}" name="Plat/hr" dataDxfId="785">
      <calculatedColumnFormula>ROUNDDOWN(TblProd[[#This Row],[Raw Plat/hr]]*(1+TblProd[[#This Row],[Bonus Plat/hr]]),0)</calculatedColumnFormula>
    </tableColumn>
    <tableColumn id="20" xr3:uid="{EBA5F35A-607A-475E-9357-98AF551D44A6}" name="Food/hr" dataDxfId="784">
      <calculatedColumnFormula>ROUND(TblProd[[#This Row],[Raw Food/hr]]*(1+TblProd[[#This Row],[Bonus Food/hr]])-TblProd[[#This Row],[Food decay]]-TblProd[[#This Row],[Food eaten]],0)</calculatedColumnFormula>
    </tableColumn>
    <tableColumn id="21" xr3:uid="{D75AA2A6-F107-4144-8A7D-4BE575236288}" name="Lumber/hr" dataDxfId="783">
      <calculatedColumnFormula>ROUND(TblProd[[#This Row],[Raw Lumber/hr]]*(1+TblProd[[#This Row],[Bonus Lumber/hr]])-TblProd[[#This Row],[Lumber rot]],0)</calculatedColumnFormula>
    </tableColumn>
    <tableColumn id="22" xr3:uid="{4AA82FE8-7AD6-4F9E-B8A1-627CE2E70CE0}" name="Mana/hr" dataDxfId="782">
      <calculatedColumnFormula>ROUND(TblProd[[#This Row],[Raw Mana/hr]]*(1+TblProd[[#This Row],[Bonus Mana/hr]])-TblProd[[#This Row],[Mana drain]],0)</calculatedColumnFormula>
    </tableColumn>
    <tableColumn id="23" xr3:uid="{86A49F4B-CDA3-4B61-B4D9-8830178E715E}" name="Ore/hr" dataDxfId="781">
      <calculatedColumnFormula>ROUNDDOWN(TblProd[[#This Row],[Raw Ore/hr]]*(1+TblProd[[#This Row],[Bonux Ore/hr]]),0)</calculatedColumnFormula>
    </tableColumn>
    <tableColumn id="24" xr3:uid="{F7C3BCF1-3F12-4405-8E19-ED1B9D20D049}" name="Gems/hr" dataDxfId="780">
      <calculatedColumnFormula>ROUNDDOWN(TblProd[[#This Row],[Raw Gems/hr]]*(1+TblProd[[#This Row],[Bonus Gems/hr]]),0)</calculatedColumnFormula>
    </tableColumn>
    <tableColumn id="25" xr3:uid="{E754A630-9007-4F8A-A8B7-C56609E09275}" name="Boats/hr" dataDxfId="779">
      <calculatedColumnFormula>OFFSET(TblConstr[[#This Row],[Tot Doc]],1,0)*dock_boats_hr * (1 + tech_4_1*TblTech[[#This Row],[4-1]])</calculatedColumnFormula>
    </tableColumn>
    <tableColumn id="26" xr3:uid="{8666710D-F3A4-4016-AA32-8D95B9BFFE3D}" name="…" dataDxfId="778"/>
    <tableColumn id="27" xr3:uid="{BE5DAA3C-8D26-4E0F-87D4-E9FE3E149040}" name="Raw Plat/hr" dataDxfId="777">
      <calculatedColumnFormula>TblPop[[#This Row],[Peasants]]*tax*TblPop[[#This Row],[Employment]] + (Construction!AZ5+Construction!BX5)*(alch_plat+(Magic!AN4&gt;0)*alchemist_flame_bonus)</calculatedColumnFormula>
    </tableColumn>
    <tableColumn id="28" xr3:uid="{72437831-3C94-4E01-9B66-637CE9F1FC37}" name="Raw Food/hr" dataDxfId="776">
      <calculatedColumnFormula>TblConstr[[#This Row],[Tot Farm]]*farm_food + TblConstr[[#This Row],[Tot Doc]]*dock_food</calculatedColumnFormula>
    </tableColumn>
    <tableColumn id="29" xr3:uid="{6327048A-17B4-47F0-A6D6-4DF606F8872E}" name="Raw Lumber/hr" dataDxfId="775">
      <calculatedColumnFormula>TblConstr[[#This Row],[Tot Ly]]*ly_lumber + TblConstr[[#This Row],[Tot Hav]]*fh_lumber + IF(race="Wood Elf",TblMili[[#This Row],[Unit 2]]*MIN(TblMili[[#This Row],[Homeland%]]/wisp_bonus,wisp_cap),0)</calculatedColumnFormula>
    </tableColumn>
    <tableColumn id="30" xr3:uid="{9564EF02-956D-4988-B195-94F7CC0C966B}" name="Raw Mana/hr" dataDxfId="774">
      <calculatedColumnFormula>OFFSET(TblConstr[[#This Row],[Tot Tow]],1,0)*(tower_mana + tech_4_5*TblTech[[#This Row],[4-5]]) + OFFSET(TblConstr[[#This Row],[Tot WG]],1,0)*wg_mana_prod</calculatedColumnFormula>
    </tableColumn>
    <tableColumn id="31" xr3:uid="{1FCC3E78-11E8-4286-A9C0-F9F5FA32B54A}" name="Raw Ore/hr" dataDxfId="773">
      <calculatedColumnFormula>OFFSET(TblConstr[[#This Row],[Tot OM]],1,0)*om_ore+IF(race="Dwarf",TblMili[[#This Row],[Unit 2]]*0.5,0)</calculatedColumnFormula>
    </tableColumn>
    <tableColumn id="32" xr3:uid="{8AFDB340-E76D-4906-8F67-515703AD5439}" name="Raw Gems/hr" dataDxfId="772">
      <calculatedColumnFormula>OFFSET(TblConstr[[#This Row],[Tot DM]],1,0)*dm_gems</calculatedColumnFormula>
    </tableColumn>
    <tableColumn id="33" xr3:uid="{E86B471A-FB4B-478C-B269-80AA28A99240}" name="...." dataDxfId="771"/>
    <tableColumn id="34" xr3:uid="{9F134F8D-9272-4F13-BEA1-036303BDF806}" name="Bonus Plat/hr" dataDxfId="770">
      <calculatedColumnFormula>MIN(race_platinum_bonus + IF(TblMagic[[#This Row],[Active Arc Infusion]]&gt;0,alch_frost_bonus,IF(Magic!AE4&gt;0,midas_bonus)) + TblImps[[#This Row],[Science]] - TblProd[[#This Row],[Guard]]*(0.02 + tech_5_7*TblTech[[#This Row],[5-7]]) + tech_1_5*TblTech[[#This Row],[1-5]] + tech_4_4*TblTech[[#This Row],[4-4]] + IF(TblMagic[[#This Row],[Active Infernal Command]]&gt;0,demonic_pact_plat,0), 0.5)</calculatedColumnFormula>
    </tableColumn>
    <tableColumn id="35" xr3:uid="{0A74905A-22DA-45CD-93B1-A04E404DA171}" name="Bonus Food/hr" dataDxfId="769">
      <calculatedColumnFormula>(1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68">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67">
      <calculatedColumnFormula>race_mana_bonus+ 0 + TblImps[[#This Row],[Spires]] + tech_1_2*TblTech[[#This Row],[1-2]] + tech_3_4*TblTech[[#This Row],[3-4]]</calculatedColumnFormula>
    </tableColumn>
    <tableColumn id="38" xr3:uid="{86499F2E-9498-4D5B-8626-C51CB440415E}" name="Bonux Ore/hr" dataDxfId="766">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65">
      <calculatedColumnFormula>race_gem_bonus+ tech_3_2*TblTech[[#This Row],[3-2]] + tech_4_3*TblTech[[#This Row],[4-3]] + tech_6_2*TblTech[[#This Row],[6-2]]</calculatedColumnFormula>
    </tableColumn>
    <tableColumn id="40" xr3:uid="{13CEE817-130E-4D49-8EA9-E724A91FD06F}" name="…." dataDxfId="764"/>
    <tableColumn id="41" xr3:uid="{6AD9C25C-A77A-4288-B914-DEAB151F3EBD}" name="Food decay" dataDxfId="763">
      <calculatedColumnFormula>TblProd[[#This Row],[Food]]*food_decay * (1 + tech_2_1*TblTech[[#This Row],[2-1]] + tech_2_8*TblTech[[#This Row],[2-8]] + IF(AND(TblMagic[[#This Row],[Active DnD]]&lt;12,TblMagic[[#This Row],[Active DnD]]&gt;5),1,0))</calculatedColumnFormula>
    </tableColumn>
    <tableColumn id="42" xr3:uid="{B67A5DCA-7223-49B6-A0AC-BE56416DEAB6}" name="Food eaten" dataDxfId="762">
      <calculatedColumnFormula>(1+race_food_consumption)*TblPop[[#This Row],[Total]]*food_per_person*(1+tech_1_10*TblTech[[#This Row],[1-10]]+tech_7_5*TblTech[[#This Row],[7-5]] + IF(TblMagic[[#This Row],[Active Infernal Command]]&gt;0,demonic_pact_food_cons,0))</calculatedColumnFormula>
    </tableColumn>
    <tableColumn id="43" xr3:uid="{2D142E97-FF43-492A-B271-A145B85E0BF3}" name="Lumber rot" dataDxfId="761">
      <calculatedColumnFormula>TblProd[[#This Row],[Lumber]]*lumber_rot * (1 + tech_2_1*TblTech[[#This Row],[2-1]] + tech_2_8*TblTech[[#This Row],[2-8]] + tech_5_2*TblTech[[#This Row],[5-2]] + IF(AND(TblMagic[[#This Row],[Active DnD]]&lt;12,TblMagic[[#This Row],[Active DnD]]&gt;5),1,0))</calculatedColumnFormula>
    </tableColumn>
    <tableColumn id="44" xr3:uid="{B4C1A120-AC06-46C7-8824-18C19DD19A05}" name="Mana drain" dataDxfId="760">
      <calculatedColumnFormula>TblProd[[#This Row],[Mana]]*mana_drain * (1 + tech_2_1*TblTech[[#This Row],[2-1]] + tech_2_8*TblTech[[#This Row],[2-8]])</calculatedColumnFormula>
    </tableColumn>
    <tableColumn id="45" xr3:uid="{D3D223E8-8991-4557-84CB-F59345A9686F}" name="….." dataDxfId="759"/>
    <tableColumn id="46" xr3:uid="{0EFE67ED-4C56-4E46-B6BE-B5FAFB53783E}" name="Expenses Platinum" dataDxfId="758">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57">
      <calculatedColumnFormula>TblConstr[[#This Row],[Total Lum Cost]]+TblImps[[#This Row],[L1]]-TblProd[[#This Row],[Bank Lumber]] + Military!$CO$25*TblMili[[#This Row],[Sec. rec. Cost]]</calculatedColumnFormula>
    </tableColumn>
    <tableColumn id="48" xr3:uid="{3C88EFC6-8DA5-40ED-A97A-2AAFD0B3B6AD}" name="Expenses Mana" dataDxfId="756">
      <calculatedColumnFormula>TblMagic[[#This Row],[Mana cost]] + Military!$CO$26*TblMili[[#This Row],[Sec. rec. Cost]]</calculatedColumnFormula>
    </tableColumn>
    <tableColumn id="49" xr3:uid="{1E4E3815-206F-4A61-AE33-CA14E995FDCB}" name="Expenses Ore" dataDxfId="755">
      <calculatedColumnFormula>Military!$CO$24*TblMili[[#This Row],[Sec. rec. Cost]]+TblImps[[#This Row],[O1]]-TblProd[[#This Row],[Bank Ore]]</calculatedColumnFormula>
    </tableColumn>
    <tableColumn id="50" xr3:uid="{8DF861B9-6D00-413F-82A6-CB9FB4344D68}" name="Expenses Gems" dataDxfId="754">
      <calculatedColumnFormula>TblImps[[#This Row],[G1]]-TblProd[[#This Row],[Bank Gems]]</calculatedColumnFormula>
    </tableColumn>
    <tableColumn id="51" xr3:uid="{B251D943-2DAF-44E5-BCC8-D6734C7115AC}" name="…..." dataDxfId="753"/>
    <tableColumn id="52" xr3:uid="{4B9E6D84-D900-4020-9F03-31B7E7CFFDDD}" name="Guard" dataDxfId="752">
      <calculatedColumnFormula>IF(TblProd[[#This Row],[Set Guard]]&lt;&gt;"",TblProd[[#This Row],[Set Guard]],OFFSET(TblProd[[#This Row],[Guard]],-1,0))</calculatedColumnFormula>
    </tableColumn>
    <tableColumn id="53" xr3:uid="{1F4E66ED-8544-4DEE-A238-E9BA6D663684}" name="Set Guard" dataDxfId="751"/>
    <tableColumn id="54" xr3:uid="{1D4B089E-CFD3-41C4-BDA0-74070303A629}" name="Hour (2)" dataDxfId="750">
      <calculatedColumnFormula>TblProd[[#This Row],[Hour]]</calculatedColumnFormula>
    </tableColumn>
    <tableColumn id="55" xr3:uid="{13D8CC8A-81E1-41BB-9F87-384EE02343C0}" name="Bank Plat" dataDxfId="749">
      <calculatedColumnFormula>-TblProd[[#This Row],[Bank Lumber]] / 2 + -TblProd[[#This Row],[Bank Gems]] * 2 + -TblProd[[#This Row],[Bank Ore]] / 2</calculatedColumnFormula>
    </tableColumn>
    <tableColumn id="56" xr3:uid="{41D3199A-B537-41B8-A35D-AB3FAE3A7763}" name="Bank Lumber" dataDxfId="748"/>
    <tableColumn id="57" xr3:uid="{F8C6B652-BED5-46E0-B507-4A728112F421}" name="Bank Ore" dataDxfId="747"/>
    <tableColumn id="58" xr3:uid="{0A836235-2002-4186-985F-CF495776E28E}" name="Bank Gems" dataDxfId="746"/>
    <tableColumn id="59" xr3:uid="{56B680F7-B10A-487B-B563-4297DE674256}" name="Time (2)" dataDxfId="745">
      <calculatedColumnFormula>TblProd[[#This Row],[Time]]</calculatedColumnFormula>
    </tableColumn>
    <tableColumn id="60" xr3:uid="{B3E3CCBD-6079-4735-A75E-072E37E0325B}" name="Ok?" dataDxfId="744">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43">
      <calculatedColumnFormula>TblProd[[#This Row],[Platinum]]</calculatedColumnFormula>
    </tableColumn>
    <tableColumn id="62" xr3:uid="{BAE994A1-A5C4-42FD-B88E-93A7F2337723}" name="Stats Food" dataDxfId="742">
      <calculatedColumnFormula>TblProd[[#This Row],[Food]]</calculatedColumnFormula>
    </tableColumn>
    <tableColumn id="63" xr3:uid="{8FF996E7-6950-42AE-80FE-25BD3D3ADB81}" name="Stats Lumber" dataDxfId="741">
      <calculatedColumnFormula>TblProd[[#This Row],[Lumber]]</calculatedColumnFormula>
    </tableColumn>
    <tableColumn id="64" xr3:uid="{4E3282B4-65CE-45FC-B881-93C3F98E36E0}" name="Stats Mana" dataDxfId="740">
      <calculatedColumnFormula>TblProd[[#This Row],[Mana]]</calculatedColumnFormula>
    </tableColumn>
    <tableColumn id="65" xr3:uid="{C1490C22-CEF7-430F-B6CC-F7FDA2F90C17}" name="Stats Ore" dataDxfId="739">
      <calculatedColumnFormula>TblProd[[#This Row],[Ore]]</calculatedColumnFormula>
    </tableColumn>
  </tableColumns>
  <tableStyleInfo name="TableStyleLight1 3"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20" dataDxfId="718" totalsRowDxfId="716" headerRowBorderDxfId="719" tableBorderDxfId="717">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715" totalsRowDxfId="714">
      <calculatedColumnFormula>TblRezone[[#This Row],[Hour]]</calculatedColumnFormula>
    </tableColumn>
    <tableColumn id="1" xr3:uid="{16A4A80A-781E-4E74-BC12-3B194ED2F6BF}" name="Barren" dataDxfId="713" totalsRowDxfId="712">
      <calculatedColumnFormula>SUM(TblConstr[[#This Row],[Plain]:[Water]])</calculatedColumnFormula>
    </tableColumn>
    <tableColumn id="2" xr3:uid="{F83194BF-B786-4A33-B371-25BE7289AC68}" name="Buildings" dataDxfId="711" totalsRowDxfId="710">
      <calculatedColumnFormula>SUM(TblConstr[[#This Row],[Tot Hom]:[Tot Doc]])</calculatedColumnFormula>
    </tableColumn>
    <tableColumn id="3" xr3:uid="{343846C5-19E9-4357-B5DD-B105ACEC8C2C}" name="Incoming" dataDxfId="709" totalsRowDxfId="708"/>
    <tableColumn id="4" xr3:uid="{A20911DB-7155-4794-AD46-07AAD44BDAFE}" name="." dataDxfId="707" totalsRowDxfId="706"/>
    <tableColumn id="5" xr3:uid="{279706A5-BDE6-4F21-9D4E-93DD796722CB}" name="Land" dataDxfId="705" totalsRowDxfId="704">
      <calculatedColumnFormula>TblConstr[[#This Row],[Barren]]+TblConstr[[#This Row],[Buildings]]+TblConstr[[#This Row],[Incoming]]</calculatedColumnFormula>
    </tableColumn>
    <tableColumn id="6" xr3:uid="{8D16C913-6FBB-42B5-890E-7AA3F7D780F3}" name="Plain" dataDxfId="703" totalsRowDxfId="702">
      <calculatedColumnFormula>OFFSET(TblConstr[[#This Row],[Plain]],-1,0)+TblConstr[[#This Row],[Ch_Plain]]</calculatedColumnFormula>
    </tableColumn>
    <tableColumn id="7" xr3:uid="{ECABDC59-2CFA-4924-832F-64BD947684FE}" name="Forest" dataDxfId="701" totalsRowDxfId="700">
      <calculatedColumnFormula>OFFSET(TblConstr[[#This Row],[Forest]],-1,0)+TblConstr[[#This Row],[Ch_Forest]]</calculatedColumnFormula>
    </tableColumn>
    <tableColumn id="8" xr3:uid="{AD888BC9-7B2A-431B-912B-F76B183C4BC2}" name="Mountain" dataDxfId="699" totalsRowDxfId="698">
      <calculatedColumnFormula>OFFSET(TblConstr[[#This Row],[Mountain]],-1,0)+TblConstr[[#This Row],[Ch_Mountain]]</calculatedColumnFormula>
    </tableColumn>
    <tableColumn id="9" xr3:uid="{B9F107CC-9E87-47F0-9669-7B4E32869962}" name="Hill" dataDxfId="697" totalsRowDxfId="696">
      <calculatedColumnFormula>OFFSET(TblConstr[[#This Row],[Hill]],-1,0)+TblConstr[[#This Row],[Ch_Hill]]</calculatedColumnFormula>
    </tableColumn>
    <tableColumn id="10" xr3:uid="{8067675A-D7AC-461C-B5B4-B2FDA278D46E}" name="Swamp" dataDxfId="695" totalsRowDxfId="694">
      <calculatedColumnFormula>OFFSET(TblConstr[[#This Row],[Swamp]],-1,0)+TblConstr[[#This Row],[Ch_Swamp]]</calculatedColumnFormula>
    </tableColumn>
    <tableColumn id="11" xr3:uid="{F6E4B820-D719-41FF-A537-55FE6AFBAF0E}" name="Cavern" dataDxfId="693" totalsRowDxfId="692">
      <calculatedColumnFormula>OFFSET(TblConstr[[#This Row],[Cavern]],-1,0)+TblConstr[[#This Row],[Ch_Cavern]]</calculatedColumnFormula>
    </tableColumn>
    <tableColumn id="12" xr3:uid="{54552E9E-E771-4104-87F6-20952C6A2D90}" name="Water" dataDxfId="691" totalsRowDxfId="690">
      <calculatedColumnFormula>OFFSET(TblConstr[[#This Row],[Water]],-1,0)+TblConstr[[#This Row],[Ch_Water]]</calculatedColumnFormula>
    </tableColumn>
    <tableColumn id="112" xr3:uid="{68F0FBE6-EBED-4B66-81D6-A19DB934C48D}" name="Hour  " dataDxfId="689" totalsRowDxfId="688">
      <calculatedColumnFormula>TblRezone[[#This Row],[Hour]]</calculatedColumnFormula>
    </tableColumn>
    <tableColumn id="14" xr3:uid="{6A739C2B-FED1-46DE-A6EC-2761E132E225}" name="Hom" dataDxfId="687" totalsRowDxfId="686"/>
    <tableColumn id="15" xr3:uid="{E50EB7D2-A060-4B91-920B-B3335EF23400}" name="Alc" dataDxfId="685" totalsRowDxfId="684"/>
    <tableColumn id="16" xr3:uid="{E3F8F390-578A-46F4-8079-68503504AE5A}" name="Far" dataDxfId="683" totalsRowDxfId="682"/>
    <tableColumn id="17" xr3:uid="{CC502929-3E3E-483C-AA45-1E8DC6E6F788}" name="Smi" dataDxfId="681" totalsRowDxfId="680"/>
    <tableColumn id="18" xr3:uid="{2849017C-83D2-48CF-BAFC-E8180F6B87B3}" name="Mas" dataDxfId="679" totalsRowDxfId="678"/>
    <tableColumn id="19" xr3:uid="{902080F0-045E-460C-8A94-D28082F0684A}" name="Ly" dataDxfId="677" totalsRowDxfId="676"/>
    <tableColumn id="20" xr3:uid="{74F11359-7A83-40C9-8D72-4E7342A4C5F6}" name="Hav" dataDxfId="675" totalsRowDxfId="674"/>
    <tableColumn id="21" xr3:uid="{2F4CD982-1BA1-4887-BEEF-D1CEDDFDCD98}" name="OM" dataDxfId="673" totalsRowDxfId="672"/>
    <tableColumn id="22" xr3:uid="{8FB86139-1373-407A-B799-7C5D49EF3A26}" name="GN" dataDxfId="671" totalsRowDxfId="670"/>
    <tableColumn id="23" xr3:uid="{283576BE-DC2F-4C4A-B83A-40303ED03A64}" name="Fac" dataDxfId="669" totalsRowDxfId="668"/>
    <tableColumn id="24" xr3:uid="{5CFB0CBF-3773-41F6-9B86-E1678AA28900}" name="GT" dataDxfId="667" totalsRowDxfId="666"/>
    <tableColumn id="25" xr3:uid="{19E4F682-9015-4478-9312-A3022D1FEEE9}" name="Bar" dataDxfId="665" totalsRowDxfId="664"/>
    <tableColumn id="26" xr3:uid="{013252D4-D385-4331-9170-92B5C8BB4C64}" name="Shr" dataDxfId="663" totalsRowDxfId="662"/>
    <tableColumn id="27" xr3:uid="{D4B27941-E688-419F-8B6F-B73F6CF2AB5B}" name="Tow" dataDxfId="661" totalsRowDxfId="660"/>
    <tableColumn id="28" xr3:uid="{17047BB4-364B-45DB-830B-858C7BD30B39}" name="Tem" dataDxfId="659" totalsRowDxfId="658"/>
    <tableColumn id="29" xr3:uid="{8910E8E2-8D7F-45E2-8559-CB4F40D25EB8}" name="WG" dataDxfId="657" totalsRowDxfId="656"/>
    <tableColumn id="30" xr3:uid="{BDAAD77D-88DB-4E61-9C07-44CAE4913F4B}" name="DM" dataDxfId="655" totalsRowDxfId="654"/>
    <tableColumn id="31" xr3:uid="{BFDB5F50-9A23-4E21-AEF0-8F150174C5D9}" name="Sch" dataDxfId="653" totalsRowDxfId="652"/>
    <tableColumn id="32" xr3:uid="{F4596035-B7F8-4B94-9B36-37B190EBF2F5}" name="Doc" dataDxfId="651" totalsRowDxfId="650"/>
    <tableColumn id="33" xr3:uid="{B506678F-5C96-41A2-B16E-01903002457C}" name="time" dataDxfId="649" totalsRowDxfId="648">
      <calculatedColumnFormula>TblImps[[#This Row],[Time]]</calculatedColumnFormula>
    </tableColumn>
    <tableColumn id="34" xr3:uid="{BBF9E4A7-4AD1-4256-838E-84E222A5E5B5}" name="Facs -DB" dataDxfId="647" totalsRowDxfId="646" dataCellStyle="Percent">
      <calculatedColumnFormula>MIN(25%,(TblConstr[[#This Row],[Tot Fac]]+TblConstr[[#This Row],[Dest Fac]])/(TblConstr[[#This Row],[Land]]-TblExplore[[#This Row],[Land Bonus]]*20))</calculatedColumnFormula>
    </tableColumn>
    <tableColumn id="35" xr3:uid="{CE9651FB-E7AA-4AC3-9369-D03ACA26B669}" name="Facs DB" dataDxfId="645" totalsRowDxfId="644" dataCellStyle="Percent">
      <calculatedColumnFormula>MIN(25%,(TblConstr[[#This Row],[Tot Fac]]+TblConstr[[#This Row],[Dest Fac]])/TblConstr[[#This Row],[Land]])</calculatedColumnFormula>
    </tableColumn>
    <tableColumn id="36" xr3:uid="{09991F89-DEAA-4698-A25A-D13F6565EDD4}" name="Platinum" dataDxfId="643" totalsRowDxfId="642">
      <calculatedColumnFormula>TblProd[[#This Row],[Platinum]]</calculatedColumnFormula>
    </tableColumn>
    <tableColumn id="37" xr3:uid="{98B47891-EB31-4D7F-8AC4-80255A877681}" name="Lumber" dataDxfId="641" totalsRowDxfId="640">
      <calculatedColumnFormula>TblProd[[#This Row],[Lumber]]</calculatedColumnFormula>
    </tableColumn>
    <tableColumn id="38" xr3:uid="{4BCC987F-ABDB-4939-B66E-9E39DDB56076}" name="CPA Platinum -DB" dataDxfId="639" totalsRowDxfId="638">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37" totalsRowDxfId="636">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35" totalsRowDxfId="634">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633" totalsRowDxfId="632">
      <calculatedColumnFormula>ROUNDDOWN( MAX(1 - MIN(facs_constr_factor*TblConstr[[#This Row],[Facs DB]],facs_constr_max) + tech_1_11*TblTech[[#This Row],[1-11]] + tech_6_3_2*TblTech[[#This Row],[6-3]] + tech_5_2_3*TblTech[[#This Row],[5-2]], 1-global_constr_cap) * ROUND((TblConstr[[#This Row],[Land]]-250)*0.285 + 87.5 + 0/4.25,0),0)</calculatedColumnFormula>
    </tableColumn>
    <tableColumn id="42" xr3:uid="{F294E6A7-F74E-45B4-8F73-041334C1C989}" name="Total Plat Cost" dataDxfId="631" totalsRowDxfId="630">
      <calculatedColumnFormula>TblConstr[[#This Row],[build -db]]*TblConstr[[#This Row],[CPA Platinum -DB]] + TblConstr[[#This Row],[build db]]*TblConstr[[#This Row],[CPA Platinum DB]]</calculatedColumnFormula>
    </tableColumn>
    <tableColumn id="43" xr3:uid="{F2E3CBCF-A243-4043-87E8-17546293A159}" name="Total Lum Cost" dataDxfId="629" totalsRowDxfId="628">
      <calculatedColumnFormula>TblConstr[[#This Row],[build -db]]*TblConstr[[#This Row],[CPA Lumber -DB]] + TblConstr[[#This Row],[build db]]*TblConstr[[#This Row],[CPA Lumber DB]]</calculatedColumnFormula>
    </tableColumn>
    <tableColumn id="44" xr3:uid="{119F0A26-AFE5-4C99-86DF-E2019D697B1F}" name="build -db" dataDxfId="627" totalsRowDxfId="626">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25" totalsRowDxfId="624">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23" totalsRowDxfId="622"/>
    <tableColumn id="47" xr3:uid="{2AB27BA8-C2B6-44FC-89D1-B8C469C03A31}" name="RCPA Platinum " dataDxfId="621" totalsRowDxfId="620">
      <calculatedColumnFormula>ROUND((TblConstr[[#This Row],[Land]]-250 - IF(TblExplore[[#This Row],[Land Bonus]]&lt;&gt;0,20,0))*1.25 + 850 + 0,0)</calculatedColumnFormula>
    </tableColumn>
    <tableColumn id="48" xr3:uid="{745E4D31-3689-4F62-A15B-2D5399E746CA}" name="RCPA Lumber" dataDxfId="619">
      <calculatedColumnFormula>ROUND((TblConstr[[#This Row],[Land]]-250 - IF(TblExplore[[#This Row],[Land Bonus]]&lt;&gt;0,20,0))*0.285 + 87.5 + 0/4.25,0)</calculatedColumnFormula>
    </tableColumn>
    <tableColumn id="49" xr3:uid="{619C112A-EE5A-4710-AF52-5843FF4DB054}" name="…" dataDxfId="618" totalsRowDxfId="617"/>
    <tableColumn id="50" xr3:uid="{F2846ED2-FD2C-4B82-8D89-DEC4D6C89C45}" name="Tot Hom" dataDxfId="616" totalsRowDxfId="615">
      <calculatedColumnFormula array="1">IF(TblConstr[[#This Row],[Hour]:[Hour]]&gt;12,OFFSET(TblConstr[[#This Row],[Hom]],-12,0),0)+OFFSET(TblConstr[[#This Row],[Tot Hom]],-1,0)-TblConstr[[#This Row],[Dest Hom]]</calculatedColumnFormula>
    </tableColumn>
    <tableColumn id="51" xr3:uid="{3A820279-E5AD-460C-8EA2-56927C664532}" name="Tot Alc" dataDxfId="614" totalsRowDxfId="613">
      <calculatedColumnFormula array="1">IF(TblConstr[[#This Row],[Hour]:[Hour]]&gt;12,OFFSET(TblConstr[[#This Row],[Alc]],-12,0),0)+OFFSET(TblConstr[[#This Row],[Tot Alc]],-1,0)-TblConstr[[#This Row],[Dest Alc]]</calculatedColumnFormula>
    </tableColumn>
    <tableColumn id="52" xr3:uid="{2F201F1F-E604-470C-A21C-EF43882A5460}" name="Tot Farm" dataDxfId="612" totalsRowDxfId="611">
      <calculatedColumnFormula array="1">IF(TblConstr[[#This Row],[Hour]:[Hour]]&gt;12,OFFSET(TblConstr[[#This Row],[Far]],-12,0),0)+OFFSET(TblConstr[[#This Row],[Tot Farm]],-1,0)-TblConstr[[#This Row],[Dest Farm]]</calculatedColumnFormula>
    </tableColumn>
    <tableColumn id="53" xr3:uid="{CF25F1ED-4CEE-4702-9FD7-472555CAE1E7}" name="Tot Smi" dataDxfId="610" totalsRowDxfId="609">
      <calculatedColumnFormula array="1">IF(TblConstr[[#This Row],[Hour]:[Hour]]&gt;12,OFFSET(TblConstr[[#This Row],[Smi]],-12,0),0)+OFFSET(TblConstr[[#This Row],[Tot Smi]],-1,0)-TblConstr[[#This Row],[Dest Smi]]</calculatedColumnFormula>
    </tableColumn>
    <tableColumn id="54" xr3:uid="{AA2380E5-3483-49DB-91B7-F7447D6C17A7}" name="Tot Mas" dataDxfId="608" totalsRowDxfId="607">
      <calculatedColumnFormula array="1">IF(TblConstr[[#This Row],[Hour]:[Hour]]&gt;12,OFFSET(TblConstr[[#This Row],[Mas]],-12,0),0)+OFFSET(TblConstr[[#This Row],[Tot Mas]],-1,0)-TblConstr[[#This Row],[Dest Mas]]</calculatedColumnFormula>
    </tableColumn>
    <tableColumn id="55" xr3:uid="{9983477D-EC22-4053-88C9-D53436C89351}" name="Tot Ly" dataDxfId="606" totalsRowDxfId="605">
      <calculatedColumnFormula array="1">IF(TblConstr[[#This Row],[Hour]:[Hour]]&gt;12,OFFSET(TblConstr[[#This Row],[Ly]],-12,0),0)+OFFSET(TblConstr[[#This Row],[Tot Ly]],-1,0)-TblConstr[[#This Row],[Dest Ly]]</calculatedColumnFormula>
    </tableColumn>
    <tableColumn id="56" xr3:uid="{0A8A610F-D674-4772-9EB7-EC610164DF60}" name="Tot Hav" dataDxfId="604" totalsRowDxfId="603">
      <calculatedColumnFormula array="1">IF(TblConstr[[#This Row],[Hour]:[Hour]]&gt;12,OFFSET(TblConstr[[#This Row],[Hav]],-12,0),0)+OFFSET(TblConstr[[#This Row],[Tot Hav]],-1,0)-TblConstr[[#This Row],[Dest Hav]]</calculatedColumnFormula>
    </tableColumn>
    <tableColumn id="57" xr3:uid="{40570349-3AA5-42B4-9820-CC736C2D1B3D}" name="Tot OM" dataDxfId="602" totalsRowDxfId="601">
      <calculatedColumnFormula array="1">IF(TblConstr[[#This Row],[Hour]:[Hour]]&gt;12,OFFSET(TblConstr[[#This Row],[OM]],-12,0),0)+OFFSET(TblConstr[[#This Row],[Tot OM]],-1,0)-TblConstr[[#This Row],[Dest OM]]</calculatedColumnFormula>
    </tableColumn>
    <tableColumn id="58" xr3:uid="{D7C1895E-C93F-4CEE-BB20-88F13C3DA864}" name="Tot GN" dataDxfId="600" totalsRowDxfId="599">
      <calculatedColumnFormula array="1">IF(TblConstr[[#This Row],[Hour]:[Hour]]&gt;12,OFFSET(TblConstr[[#This Row],[GN]],-12,0),0)+OFFSET(TblConstr[[#This Row],[Tot GN]],-1,0)-TblConstr[[#This Row],[Dest GN]]</calculatedColumnFormula>
    </tableColumn>
    <tableColumn id="59" xr3:uid="{6C106580-CB33-4C2F-8B4D-856AC68AA85B}" name="Tot Fac" dataDxfId="598" totalsRowDxfId="597">
      <calculatedColumnFormula array="1">IF(TblConstr[[#This Row],[Hour]:[Hour]]&gt;12,OFFSET(TblConstr[[#This Row],[Fac]],-12,0),0)+OFFSET(TblConstr[[#This Row],[Tot Fac]],-1,0)-TblConstr[[#This Row],[Dest Fac]]</calculatedColumnFormula>
    </tableColumn>
    <tableColumn id="60" xr3:uid="{D3A39C76-EE6D-4C40-B64E-12EE496ACF75}" name="Tot GT" dataDxfId="596" totalsRowDxfId="595">
      <calculatedColumnFormula array="1">IF(TblConstr[[#This Row],[Hour]:[Hour]]&gt;12,OFFSET(TblConstr[[#This Row],[GT]],-12,0),0)+OFFSET(TblConstr[[#This Row],[Tot GT]],-1,0)-TblConstr[[#This Row],[Dest GT]]</calculatedColumnFormula>
    </tableColumn>
    <tableColumn id="61" xr3:uid="{3C88629E-DBB8-4626-8826-42DE21B8CCF3}" name="Tot Bar" dataDxfId="594" totalsRowDxfId="593">
      <calculatedColumnFormula array="1">IF(TblConstr[[#This Row],[Hour]:[Hour]]&gt;12,OFFSET(TblConstr[[#This Row],[Bar]],-12,0),0)+OFFSET(TblConstr[[#This Row],[Tot Bar]],-1,0)-TblConstr[[#This Row],[Dest Bar]]</calculatedColumnFormula>
    </tableColumn>
    <tableColumn id="62" xr3:uid="{9B339DEA-0599-4758-9D02-2BCE3EA7ACC3}" name="Tot Shr" dataDxfId="592" totalsRowDxfId="591">
      <calculatedColumnFormula array="1">IF(TblConstr[[#This Row],[Hour]:[Hour]]&gt;12,OFFSET(TblConstr[[#This Row],[Shr]],-12,0),0)+OFFSET(TblConstr[[#This Row],[Tot Shr]],-1,0)-TblConstr[[#This Row],[Dest Shr]]</calculatedColumnFormula>
    </tableColumn>
    <tableColumn id="63" xr3:uid="{BC8AAD30-881D-4FF0-9567-7FF1D9791913}" name="Tot Tow" dataDxfId="590" totalsRowDxfId="589">
      <calculatedColumnFormula array="1">IF(TblConstr[[#This Row],[Hour]:[Hour]]&gt;12,OFFSET(TblConstr[[#This Row],[Tow]],-12,0),0)+OFFSET(TblConstr[[#This Row],[Tot Tow]],-1,0)-TblConstr[[#This Row],[Dest Tow]]</calculatedColumnFormula>
    </tableColumn>
    <tableColumn id="64" xr3:uid="{59A3F80D-5052-4FDF-AF65-62DB182FD6A6}" name="Tot Tem" dataDxfId="588" totalsRowDxfId="587">
      <calculatedColumnFormula array="1">IF(TblConstr[[#This Row],[Hour]:[Hour]]&gt;12,OFFSET(TblConstr[[#This Row],[Tem]],-12,0),0)+OFFSET(TblConstr[[#This Row],[Tot Tem]],-1,0)-TblConstr[[#This Row],[Dest Tem]]</calculatedColumnFormula>
    </tableColumn>
    <tableColumn id="65" xr3:uid="{00A352BB-E75B-4E3F-AC3D-1D0DC0813148}" name="Tot WG" dataDxfId="586" totalsRowDxfId="585">
      <calculatedColumnFormula array="1">IF(TblConstr[[#This Row],[Hour]:[Hour]]&gt;12,OFFSET(TblConstr[[#This Row],[WG]],-12,0),0)+OFFSET(TblConstr[[#This Row],[Tot WG]],-1,0)-TblConstr[[#This Row],[Dest WG]]</calculatedColumnFormula>
    </tableColumn>
    <tableColumn id="66" xr3:uid="{AC79E3B7-8BF6-4AEF-AACC-9BCCADEEE9EC}" name="Tot DM" dataDxfId="584" totalsRowDxfId="583">
      <calculatedColumnFormula array="1">IF(TblConstr[[#This Row],[Hour]:[Hour]]&gt;12,OFFSET(TblConstr[[#This Row],[DM]],-12,0),0)+OFFSET(TblConstr[[#This Row],[Tot DM]],-1,0)-TblConstr[[#This Row],[Dest DM]]</calculatedColumnFormula>
    </tableColumn>
    <tableColumn id="67" xr3:uid="{0CFFF054-0F8D-4B14-9366-77ABD3382DE4}" name="Tot Sch" dataDxfId="582" totalsRowDxfId="581">
      <calculatedColumnFormula array="1">IF(TblConstr[[#This Row],[Hour]:[Hour]]&gt;12,OFFSET(TblConstr[[#This Row],[Sch]],-12,0),0)+OFFSET(TblConstr[[#This Row],[Tot Sch]],-1,0)-TblConstr[[#This Row],[Dest Sch]]</calculatedColumnFormula>
    </tableColumn>
    <tableColumn id="68" xr3:uid="{EEBD7864-CCF1-4E52-A4D7-93474D156483}" name="Tot Doc" dataDxfId="580" totalsRowDxfId="579">
      <calculatedColumnFormula array="1">IF(TblConstr[[#This Row],[Hour]:[Hour]]&gt;12,OFFSET(TblConstr[[#This Row],[Doc]],-12,0),0)+OFFSET(TblConstr[[#This Row],[Tot Doc]],-1,0)-TblConstr[[#This Row],[Dest Doc]]</calculatedColumnFormula>
    </tableColumn>
    <tableColumn id="69" xr3:uid="{9CB7D1EC-8231-4E29-AF89-78480EAACCBE}" name="…." dataDxfId="578" totalsRowDxfId="577"/>
    <tableColumn id="70" xr3:uid="{8AB60EC6-2503-4C64-93B5-EF0A15817646}" name="….." dataDxfId="576" totalsRowDxfId="575"/>
    <tableColumn id="71" xr3:uid="{E322C618-2AF7-4E39-8C00-05DB78D1E3E1}" name="Land (2)" dataDxfId="574" totalsRowDxfId="573">
      <calculatedColumnFormula>TblConstr[[#This Row],[Land]]</calculatedColumnFormula>
    </tableColumn>
    <tableColumn id="72" xr3:uid="{03634B5C-154E-4AC8-80E1-BA13BC9D96CD}" name="Time (2)" dataDxfId="572" totalsRowDxfId="571">
      <calculatedColumnFormula>TblImps[[#This Row],[Time]]</calculatedColumnFormula>
    </tableColumn>
    <tableColumn id="73" xr3:uid="{B2BF9056-6EBE-4C01-A8BD-B72B49E563E4}" name="…..." dataDxfId="570" totalsRowDxfId="569"/>
    <tableColumn id="74" xr3:uid="{E1DF0DF3-108E-4B1D-AD0D-B0438E0119B4}" name="Dest Hom" dataDxfId="568" totalsRowDxfId="567"/>
    <tableColumn id="75" xr3:uid="{E9A56C16-CD83-4CF4-801D-3F07F7F4410E}" name="Dest Alc" dataDxfId="566" totalsRowDxfId="565"/>
    <tableColumn id="76" xr3:uid="{83CFBDA2-FADE-4B08-B33E-9C2E9F9BF768}" name="Dest Farm" dataDxfId="564" totalsRowDxfId="563"/>
    <tableColumn id="77" xr3:uid="{19187257-0444-44F4-9D3D-6D0323F40019}" name="Dest Smi" dataDxfId="562" totalsRowDxfId="561"/>
    <tableColumn id="78" xr3:uid="{868AFE18-6FA1-48AB-ABF5-2F2AEFE5F988}" name="Dest Mas" dataDxfId="560" totalsRowDxfId="559"/>
    <tableColumn id="79" xr3:uid="{177B6B53-2F11-4209-8387-13A45749227F}" name="Dest Ly" dataDxfId="558" totalsRowDxfId="557"/>
    <tableColumn id="80" xr3:uid="{7546C506-76A9-4C40-A0E7-9A9D9E5AABE5}" name="Dest Hav" dataDxfId="556" totalsRowDxfId="555"/>
    <tableColumn id="81" xr3:uid="{ADDB86A6-E781-4DBE-8117-6F690916DDFA}" name="Dest OM" dataDxfId="554" totalsRowDxfId="553"/>
    <tableColumn id="82" xr3:uid="{B9BF98EC-18BF-465D-9531-8B38D89E91A0}" name="Dest GN" dataDxfId="552" totalsRowDxfId="551"/>
    <tableColumn id="83" xr3:uid="{E7A6D253-F3B2-42C8-99DD-B144C58FC0C5}" name="Dest Fac" dataDxfId="550" totalsRowDxfId="549"/>
    <tableColumn id="84" xr3:uid="{17104BBD-FC27-4D10-B29C-0273D3241FF4}" name="Dest GT" dataDxfId="548" totalsRowDxfId="547"/>
    <tableColumn id="85" xr3:uid="{99559D62-4D78-440A-98FE-DEBB129B435F}" name="Dest Bar" dataDxfId="546" totalsRowDxfId="545"/>
    <tableColumn id="86" xr3:uid="{9B2EEB8C-2FE8-47EE-A3E2-DC10DB45C7AB}" name="Dest Shr" dataDxfId="544" totalsRowDxfId="543"/>
    <tableColumn id="87" xr3:uid="{514D2AAA-E6E3-475E-9F65-8C732A78896D}" name="Dest Tow" dataDxfId="542" totalsRowDxfId="541"/>
    <tableColumn id="88" xr3:uid="{FAB7F148-62FD-4A01-9E52-E72AB5D98A80}" name="Dest Tem" dataDxfId="540" totalsRowDxfId="539"/>
    <tableColumn id="89" xr3:uid="{51F0AAF8-EA25-41BB-8274-29128D8E9309}" name="Dest WG" dataDxfId="538" totalsRowDxfId="537"/>
    <tableColumn id="90" xr3:uid="{B5DD0E4A-F9DA-46DF-AC1D-4C082F96D4FD}" name="Dest DM" dataDxfId="536" totalsRowDxfId="535"/>
    <tableColumn id="91" xr3:uid="{8374E536-FAFB-4695-B2E9-40E6A61A9D8E}" name="Dest Sch" dataDxfId="534" totalsRowDxfId="533"/>
    <tableColumn id="92" xr3:uid="{AB6E075B-E076-40E6-B2ED-7DBD5C2545B9}" name="Dest Doc" dataDxfId="532" totalsRowDxfId="531"/>
    <tableColumn id="93" xr3:uid="{A4B6EEF5-D4D4-4B9E-B020-F892CB1DC5F1}" name="…...." dataDxfId="530" totalsRowDxfId="529"/>
    <tableColumn id="94" xr3:uid="{A8785F66-A063-4182-BB5F-F2E489C44B8C}" name="Ch_Plain" dataDxfId="528" totalsRowDxfId="527">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26" totalsRowDxfId="525">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24" totalsRowDxfId="523">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22" totalsRowDxfId="521">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20" totalsRowDxfId="519">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18" totalsRowDxfId="517">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16" totalsRowDxfId="515">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514" totalsRowDxfId="513">
      <calculatedColumnFormula>IF(Explore!S4=1,20) - TblConstr[[#This Row],[Hom]] + TblConstr[[#This Row],[Dest Hom]]</calculatedColumnFormula>
    </tableColumn>
    <tableColumn id="102" xr3:uid="{A18B5339-7B5E-4FF1-B44C-54D91E2619B1}" name="…....." dataDxfId="512" totalsRowDxfId="511"/>
    <tableColumn id="103" xr3:uid="{4E3EEDB6-D8CB-4DA1-AC9F-29019C9A6FFC}" name="Total Plain" dataDxfId="510" totalsRowDxfId="509"/>
    <tableColumn id="104" xr3:uid="{669C7BA0-B3F2-47DA-B10D-81C2466FF6F3}" name="Total Forest" dataDxfId="508" totalsRowDxfId="507"/>
    <tableColumn id="105" xr3:uid="{B6EE778A-6E52-44FF-8691-B86F1650C2C2}" name="Total Mountain" dataDxfId="506" totalsRowDxfId="505"/>
    <tableColumn id="106" xr3:uid="{5FF89BD6-7921-4110-AD96-EA8B54555F1C}" name="Total Hill" dataDxfId="504" totalsRowDxfId="503"/>
    <tableColumn id="107" xr3:uid="{F920559E-5C73-4899-BC53-A9BA9E7DFC0C}" name="Total Swamp" dataDxfId="502" totalsRowDxfId="501"/>
    <tableColumn id="108" xr3:uid="{6462BCCF-F375-4DEC-B000-637E1187AA5E}" name="Total Cavern" dataDxfId="500" totalsRowDxfId="499"/>
    <tableColumn id="109" xr3:uid="{D966B8E0-E2CD-4374-AF05-B86C330B3BD4}" name="Total Water" dataDxfId="498" totalsRowDxfId="497"/>
    <tableColumn id="110" xr3:uid="{170A4E12-F563-448F-8964-EB5CA71BA3AF}" name="Homeland" dataDxfId="496" totalsRowDxfId="495">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94" totalsRowDxfId="493"/>
    <tableColumn id="114" xr3:uid="{EDC1B5E1-1E93-4946-BEC7-453EF5B18C9F}" name="Farms" dataDxfId="492" totalsRowDxfId="491">
      <calculatedColumnFormula>MAX(BA4-BA3,0)</calculatedColumnFormula>
    </tableColumn>
    <tableColumn id="115" xr3:uid="{1D02A65C-E8F6-4B66-A5EB-3699A9BE61C5}" name="Docks" totalsRowFunction="sum" dataDxfId="490" totalsRowDxfId="489">
      <calculatedColumnFormula>MAX(BQ4-BQ3,0)</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74" dataDxfId="473" tableBorderDxfId="472">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71">
      <calculatedColumnFormula>TblRezone[[#This Row],[Hour]]</calculatedColumnFormula>
    </tableColumn>
    <tableColumn id="2" xr3:uid="{DFB120B6-BC70-4091-A005-99D4961CB538}" name="Land" dataDxfId="470">
      <calculatedColumnFormula>TblConstr[[#This Row],[Land]]</calculatedColumnFormula>
    </tableColumn>
    <tableColumn id="3" xr3:uid="{05C32193-1764-4A8E-B877-789E51BD1927}" name="." dataDxfId="469"/>
    <tableColumn id="4" xr3:uid="{2DBA3229-29BD-4F1F-B6CD-9E822C9071D7}" name="Plains" dataDxfId="468">
      <calculatedColumnFormula>TblConstr[[#This Row],[Plain]]</calculatedColumnFormula>
    </tableColumn>
    <tableColumn id="5" xr3:uid="{3D1FE633-D61E-4157-92AE-5E68F0C48770}" name="Forest" dataDxfId="467">
      <calculatedColumnFormula>TblConstr[[#This Row],[Forest]]</calculatedColumnFormula>
    </tableColumn>
    <tableColumn id="6" xr3:uid="{D9ABEDC6-9211-428A-B587-3CA9C3BF9744}" name="Mountn" dataDxfId="466">
      <calculatedColumnFormula>TblConstr[[#This Row],[Mountain]]</calculatedColumnFormula>
    </tableColumn>
    <tableColumn id="7" xr3:uid="{190BAA64-9D9E-4080-878D-BF035387620E}" name="Hills" dataDxfId="465">
      <calculatedColumnFormula>TblConstr[[#This Row],[Hill]]</calculatedColumnFormula>
    </tableColumn>
    <tableColumn id="8" xr3:uid="{812744CE-DEB7-4A8A-8374-CD5852E8C168}" name="Swamp" dataDxfId="464">
      <calculatedColumnFormula>TblConstr[[#This Row],[Swamp]]</calculatedColumnFormula>
    </tableColumn>
    <tableColumn id="9" xr3:uid="{96D79F63-015A-4655-975B-A1C99185A034}" name="Caverns" dataDxfId="463">
      <calculatedColumnFormula>TblConstr[[#This Row],[Cavern]]</calculatedColumnFormula>
    </tableColumn>
    <tableColumn id="10" xr3:uid="{607DA3E5-8D4A-44F4-A35C-DDAF32BE627C}" name="Water" dataDxfId="462">
      <calculatedColumnFormula>TblConstr[[#This Row],[Water]]</calculatedColumnFormula>
    </tableColumn>
    <tableColumn id="11" xr3:uid="{12EC2AC2-5FD3-4D82-8C37-DB70DCC56DC2}" name="Column2" dataDxfId="461"/>
    <tableColumn id="12" xr3:uid="{B171FE82-C8DE-44A1-89CE-409ED8DDD9D4}" name="Column3" dataDxfId="460"/>
    <tableColumn id="13" xr3:uid="{8C0085EE-E99F-4C98-9D66-144A50E3623C}" name="Column4" dataDxfId="459"/>
    <tableColumn id="14" xr3:uid="{5686D8FB-FF86-4148-AF9E-C03A97A84AF3}" name="Smithies" dataDxfId="458" dataCellStyle="Percent">
      <calculatedColumnFormula>TblMili[[#This Row],[Smithies]]</calculatedColumnFormula>
    </tableColumn>
    <tableColumn id="15" xr3:uid="{A0DC0A41-1987-4EE6-99BA-624DB6ACB9BF}" name="Employm." dataDxfId="457" dataCellStyle="Percent">
      <calculatedColumnFormula>TblPop[[#This Row],[Employment]]</calculatedColumnFormula>
    </tableColumn>
    <tableColumn id="16" xr3:uid="{7B85DEA6-C72D-4EAB-B18F-155B3A80E27B}" name="Popul." dataDxfId="456" dataCellStyle="Percent">
      <calculatedColumnFormula>TblImps[[#This Row],[Population]]</calculatedColumnFormula>
    </tableColumn>
    <tableColumn id="17" xr3:uid="{0BE33934-A790-4489-A3A2-E553E3C4AAEE}" name="Land (2)" dataDxfId="455">
      <calculatedColumnFormula>TblExplore[[#This Row],[Land]]</calculatedColumnFormula>
    </tableColumn>
    <tableColumn id="18" xr3:uid="{1EE849E8-6296-4479-BDA2-30E4622212E0}" name="Hour (2)" dataDxfId="454">
      <calculatedColumnFormula>TblExplore[[#This Row],[Hour]]</calculatedColumnFormula>
    </tableColumn>
    <tableColumn id="19" xr3:uid="{802EC67C-58E0-4E2B-9471-52B76B3F516A}" name="Land Bonus" dataDxfId="453"/>
    <tableColumn id="20" xr3:uid="{B1DC4E54-695A-4FE1-A303-67B047732E38}" name="Plains Explore" dataDxfId="452"/>
    <tableColumn id="21" xr3:uid="{28A63039-E9F4-4C91-BC61-38AFA90CBBA3}" name="Forest Explore" dataDxfId="451"/>
    <tableColumn id="22" xr3:uid="{52A3F218-67B7-4353-9DCD-90E402F80D3A}" name="Mountain Explore" dataDxfId="450"/>
    <tableColumn id="23" xr3:uid="{CADD78BB-1A84-4EF1-B568-74D7A7333BED}" name="Hill Explore" dataDxfId="449"/>
    <tableColumn id="24" xr3:uid="{86B12DCD-5E50-4631-800C-3D06D0C8407F}" name="Swamp Explore" dataDxfId="448"/>
    <tableColumn id="25" xr3:uid="{41A3F8D1-C19F-4B01-A125-BD6C5BE75F1D}" name="Cavern Explore" dataDxfId="447"/>
    <tableColumn id="26" xr3:uid="{DD83E77E-8C71-44A7-BF29-B8595544CC0D}" name="Water Explore" dataDxfId="446"/>
    <tableColumn id="27" xr3:uid="{6F68BDB2-663F-44CE-A108-1184CFBBBFB9}" name="Time" dataDxfId="445">
      <calculatedColumnFormula>TblImps[[#This Row],[Real time]]</calculatedColumnFormula>
    </tableColumn>
    <tableColumn id="28" xr3:uid="{0FBA88C1-4190-4A95-897B-20B88A072234}" name="Draftees" dataDxfId="444">
      <calculatedColumnFormula>TblMili[[#This Row],[Draftees]]</calculatedColumnFormula>
    </tableColumn>
    <tableColumn id="29" xr3:uid="{4EFD1992-02FD-4356-A327-EBEED01908DD}" name="Platinum" dataDxfId="443">
      <calculatedColumnFormula>TblProd[[#This Row],[Platinum]]</calculatedColumnFormula>
    </tableColumn>
    <tableColumn id="30" xr3:uid="{3D9A7B33-B273-4A01-8F7D-822B1BEB344B}" name=".." dataDxfId="442"/>
    <tableColumn id="31" xr3:uid="{EDB0F070-B31D-4B00-90A6-0A190E3CA80B}" name="Land-DB" dataDxfId="441">
      <calculatedColumnFormula>TblExplore[[#This Row],[Land]]-TblExplore[[#This Row],[Land Bonus]]*20</calculatedColumnFormula>
    </tableColumn>
    <tableColumn id="32" xr3:uid="{B94D1074-50E9-44F1-8957-6BE450DE4BF0}" name="Plat/acre" dataDxfId="440">
      <calculatedColumnFormula>ROUND((0.6*TblExplore[[#This Row],[Land-DB]]^1.299 + IF(TblExplore[[#This Row],[Land-DB]]&lt;1520, (-0.001*(TblExplore[[#This Row],[Land-DB]]^2)+1.91*TblExplore[[#This Row],[Land-DB]]-593), 0))*(1+ tech_2_6*Techs!AC4 + tech_2_9*Techs!AF4 + tech_3_7*Techs!AN4 + Overview!$I$33),0)</calculatedColumnFormula>
    </tableColumn>
    <tableColumn id="33" xr3:uid="{F0CBDA56-E75F-4156-B9BD-681857934D22}" name="Draftees/acre" dataDxfId="439">
      <calculatedColumnFormula>_xlfn.FLOOR.MATH(TblExplore[[#This Row],[Land-DB]]/150)+3+tech_2_9_2*TblTech[[#This Row],[2-9]]+tech_3_7_2*TblTech[[#This Row],[3-7]]</calculatedColumnFormula>
    </tableColumn>
    <tableColumn id="34" xr3:uid="{FCB11E8B-2CF1-408C-B51A-7901C753C76F}" name="Platinum (2)" dataDxfId="438">
      <calculatedColumnFormula>SUM(TblExplore[[#This Row],[Plains Explore]:[Water Explore]])*TblExplore[[#This Row],[Plat/acre]]</calculatedColumnFormula>
    </tableColumn>
    <tableColumn id="35" xr3:uid="{61575F8F-5343-43C9-858D-AF8501368779}" name="Draftees (2)" dataDxfId="437">
      <calculatedColumnFormula>SUM(TblExplore[[#This Row],[Plains Explore]:[Water Explore]])*TblExplore[[#This Row],[Draftees/acre]]</calculatedColumnFormula>
    </tableColumn>
    <tableColumn id="36" xr3:uid="{BD4C2C0C-7F81-4BE8-9828-9CFCFFAFF394}" name="Max Explore" dataDxfId="436">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26" dataDxfId="425" tableBorderDxfId="424">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23">
      <calculatedColumnFormula>TblConstr[[#This Row],[Land]]</calculatedColumnFormula>
    </tableColumn>
    <tableColumn id="2" xr3:uid="{09D3C0EB-2481-406C-ABC2-3B9FE0683D68}" name="Plains" dataDxfId="422">
      <calculatedColumnFormula>TblConstr[[#This Row],[Plain]]</calculatedColumnFormula>
    </tableColumn>
    <tableColumn id="3" xr3:uid="{E95763D4-88E5-487A-9912-CB5FED512375}" name="Forest" dataDxfId="421">
      <calculatedColumnFormula>TblConstr[[#This Row],[Forest]]</calculatedColumnFormula>
    </tableColumn>
    <tableColumn id="4" xr3:uid="{62B2173B-885E-48E7-B615-089739267B8E}" name="Mountains" dataDxfId="420">
      <calculatedColumnFormula>TblConstr[[#This Row],[Mountain]]</calculatedColumnFormula>
    </tableColumn>
    <tableColumn id="5" xr3:uid="{4FA61465-41A2-4497-AB2D-7B63B7113E12}" name="Hills" dataDxfId="419">
      <calculatedColumnFormula>TblConstr[[#This Row],[Hill]]</calculatedColumnFormula>
    </tableColumn>
    <tableColumn id="6" xr3:uid="{FC27A0D5-6BB5-414B-8DEB-98AD07E7EBFF}" name="Swamp" dataDxfId="418">
      <calculatedColumnFormula>TblConstr[[#This Row],[Swamp]]</calculatedColumnFormula>
    </tableColumn>
    <tableColumn id="7" xr3:uid="{E95EDCE9-4D0A-4F4F-80D0-F52A495BDAE2}" name="Caverns" dataDxfId="417">
      <calculatedColumnFormula>TblConstr[[#This Row],[Cavern]]</calculatedColumnFormula>
    </tableColumn>
    <tableColumn id="8" xr3:uid="{4D162EFF-D831-41C8-9A17-B9113296E43B}" name="Water" dataDxfId="416">
      <calculatedColumnFormula>TblConstr[[#This Row],[Water]]</calculatedColumnFormula>
    </tableColumn>
    <tableColumn id="9" xr3:uid="{D55A4201-089D-415F-8D4D-3ECCCB36C63A}" name="." dataDxfId="415"/>
    <tableColumn id="10" xr3:uid="{DD5BAECA-959B-44B4-BFE4-04100EF42CEE}" name="Hour" dataDxfId="414">
      <calculatedColumnFormula>J3+1</calculatedColumnFormula>
    </tableColumn>
    <tableColumn id="11" xr3:uid="{BBC04AC2-481C-43B9-8F7E-DA11BD9865DF}" name="Time" dataDxfId="413">
      <calculatedColumnFormula>TblImps[[#This Row],[Real time]]</calculatedColumnFormula>
    </tableColumn>
    <tableColumn id="12" xr3:uid="{D6C776EF-706C-4E21-B5A7-00C9AD08F8F2}" name="Plains Rezone" dataDxfId="412"/>
    <tableColumn id="13" xr3:uid="{8517A176-425D-4D28-9953-4EC1AA93C82D}" name="Forest Rezone" dataDxfId="411"/>
    <tableColumn id="14" xr3:uid="{6C6986FB-4B34-4620-9F5C-E204CA007C29}" name="Mountain Rezone" dataDxfId="410"/>
    <tableColumn id="15" xr3:uid="{A238C8DA-37C8-4B93-BDB9-803627A51455}" name="Hill Rezone" dataDxfId="409"/>
    <tableColumn id="16" xr3:uid="{6F93D167-46BB-49F9-99E2-4FE4FA89F6F6}" name="Swamp Rezone" dataDxfId="408"/>
    <tableColumn id="17" xr3:uid="{2891557D-037E-43FE-B080-6B5406778FAE}" name="Cavern Rezone" dataDxfId="407"/>
    <tableColumn id="18" xr3:uid="{C6630C4B-97F3-4512-833F-587ADB90804D}" name="Water Rezone" dataDxfId="406"/>
    <tableColumn id="19" xr3:uid="{71938840-BA0F-4F0E-90C2-866B3EEED32E}" name="Total acres" dataDxfId="405">
      <calculatedColumnFormula>SUMIF(TblRezone[[#This Row],[Plains Rezone]:[Water Rezone]],"&gt;0")</calculatedColumnFormula>
    </tableColumn>
    <tableColumn id="20" xr3:uid="{A48C796B-764B-4744-95D2-0DB5292F5562}" name="Ok?" dataDxfId="404">
      <calculatedColumnFormula>IF(SUM(TblRezone[[#This Row],[Plains Rezone]:[Water Rezone]])=0,"Ok","Nope")</calculatedColumnFormula>
    </tableColumn>
    <tableColumn id="21" xr3:uid="{2EBFAAC1-440A-44F3-A930-C229C35B9BD3}" name=".." dataDxfId="403"/>
    <tableColumn id="22" xr3:uid="{2020F260-8DB5-44E6-A131-B44D79AF6B62}" name="Platinum" dataDxfId="402">
      <calculatedColumnFormula>TblProd[[#This Row],[Platinum]]</calculatedColumnFormula>
    </tableColumn>
    <tableColumn id="23" xr3:uid="{81A5A213-A750-4DD5-8456-6B104D493CA4}" name="…" dataDxfId="401"/>
    <tableColumn id="24" xr3:uid="{8EF28125-DA30-4482-ADE4-2B916A90CAD2}" name="Plat/acre" dataDxfId="400">
      <calculatedColumnFormula>ROUND(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399">
      <calculatedColumnFormula>TblRezone[[#This Row],[Total acres]]*TblRezone[[#This Row],[Plat/acre]]</calculatedColumnFormula>
    </tableColumn>
    <tableColumn id="26" xr3:uid="{685D7DEA-DD3C-4385-BEC6-C5DBEEE6B44D}" name="…." dataDxfId="398"/>
    <tableColumn id="27" xr3:uid="{44BE000A-0846-46D4-B9B4-8728EC5881AB}" name="Plat/acre*" dataDxfId="397">
      <calculatedColumnFormula>(250+0.6*(TblRezone[[#This Row],[Land]]-250))</calculatedColumnFormula>
    </tableColumn>
    <tableColumn id="28" xr3:uid="{3AFBA97F-9340-4669-BF68-67D7B351BBD4}" name="….." dataDxfId="396"/>
    <tableColumn id="29" xr3:uid="{D8C9DC04-80EE-49BF-BEDB-6FEC536A5F93}" name="Facs" dataDxfId="395">
      <calculatedColumnFormula>TblConstr[[#This Row],[Facs DB]]</calculatedColumnFormula>
    </tableColumn>
  </tableColumns>
  <tableStyleInfo name="TableStyleLight1 4"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I136" totalsRowShown="0" headerRowDxfId="387" dataDxfId="385" headerRowBorderDxfId="386" tableBorderDxfId="384">
  <autoFilter ref="A3:DI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autoFilter>
  <tableColumns count="113">
    <tableColumn id="1" xr3:uid="{8A5CA2BC-FE17-44D1-BBBF-572786FC1207}" name="Hour" dataDxfId="383">
      <calculatedColumnFormula>TblRezone[[#This Row],[Hour]]</calculatedColumnFormula>
    </tableColumn>
    <tableColumn id="2" xr3:uid="{EAC413AF-EC0E-4C34-B6C3-F5AE2181B0A0}" name="Military" dataDxfId="382">
      <calculatedColumnFormula>SUM(TblMili[[#This Row],[Unit 1]:[Archmages]])+SUM(TblMili[[#This Row],[Train Unit 1]:[Train Unit 4]])+TblMili[[#This Row],[Draftees]]</calculatedColumnFormula>
    </tableColumn>
    <tableColumn id="3" xr3:uid="{B9847F02-8883-462E-B245-62A25138A973}" name="Military%" dataDxfId="381">
      <calculatedColumnFormula>TblPop[[#This Row],[Military%]]</calculatedColumnFormula>
    </tableColumn>
    <tableColumn id="4" xr3:uid="{873B66D3-9A4C-4CF2-ADD1-BF3696F9A721}" name="." dataDxfId="380"/>
    <tableColumn id="5" xr3:uid="{FC5A3C7C-0387-4B98-9BB7-AC3A387EAFF0}" name="Unit 1" dataDxfId="379">
      <calculatedColumnFormula>OFFSET(TblMili[[#This Row],[Unit 1]],-1,0) - TblMili[[#This Row],[Release Unit 1]]</calculatedColumnFormula>
    </tableColumn>
    <tableColumn id="6" xr3:uid="{A8BE2C9D-1318-46BD-B50B-D87014E90395}" name="Unit 2" dataDxfId="378">
      <calculatedColumnFormula>OFFSET(TblMili[[#This Row],[Unit 2]],-1,0)-TblMili[[#This Row],[Release Unit 2]]</calculatedColumnFormula>
    </tableColumn>
    <tableColumn id="7" xr3:uid="{49487FD4-4EF4-4722-A4A4-FCC0DD98F9F2}" name="Unit 3" dataDxfId="377">
      <calculatedColumnFormula>OFFSET(TblMili[[#This Row],[Unit 3]],-1,0)-TblMili[[#This Row],[Release Unit 3]]</calculatedColumnFormula>
    </tableColumn>
    <tableColumn id="8" xr3:uid="{739E7790-2960-445C-A5B2-C6064A881CDF}" name="Unit 4" dataDxfId="376">
      <calculatedColumnFormula>OFFSET(TblMili[[#This Row],[Unit 4]],-1,0)-TblMili[[#This Row],[Release Unit 4]]</calculatedColumnFormula>
    </tableColumn>
    <tableColumn id="9" xr3:uid="{0DB25EC0-D296-415A-BF65-DA60D7174CD2}" name="Spies" dataDxfId="375">
      <calculatedColumnFormula>OFFSET(TblMili[[#This Row],[Spies]],-1,0)-TblMili[[#This Row],[Release Spies]]</calculatedColumnFormula>
    </tableColumn>
    <tableColumn id="109" xr3:uid="{1E772BA5-219C-4FDC-ABC4-BDFC09C3EC97}" name="Archspies" dataDxfId="374"/>
    <tableColumn id="10" xr3:uid="{1B32AEAE-0DB3-4DD4-8543-1BD37596FD6C}" name="Wizards" dataDxfId="373">
      <calculatedColumnFormula>OFFSET(TblMili[[#This Row],[Wizards]],-1,0)-TblMili[[#This Row],[Release Wizards]]-TblMili[[#This Row],[Train AM]]</calculatedColumnFormula>
    </tableColumn>
    <tableColumn id="11" xr3:uid="{ED512AF5-16B2-421C-BF95-07157DB57B9D}" name="Archmages" dataDxfId="372">
      <calculatedColumnFormula>OFFSET(TblMili[[#This Row],[Archmages]],-1,0)-TblMili[[#This Row],[Release AM]]</calculatedColumnFormula>
    </tableColumn>
    <tableColumn id="12" xr3:uid="{CADE9B79-5861-46C5-8C69-B19C0F0551CF}" name=".." dataDxfId="371"/>
    <tableColumn id="13" xr3:uid="{18901E43-A967-4D1C-A56F-B4449A6C28E5}" name="Networth" dataDxfId="370">
      <calculatedColumnFormula>TblProd[[#This Row],[Networth]]</calculatedColumnFormula>
    </tableColumn>
    <tableColumn id="14" xr3:uid="{2F50B0FF-1C90-493E-BE67-86AFE22B6059}" name="…" dataDxfId="369"/>
    <tableColumn id="15" xr3:uid="{800A8F5F-B777-4995-AD6F-4DF929E0A477}" name="Raw" dataDxfId="368">
      <calculatedColumnFormula>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calculatedColumnFormula>
    </tableColumn>
    <tableColumn id="16" xr3:uid="{2451703B-2078-4992-A421-DCDAC6EF5D61}" name="Mods_Off" dataDxfId="367">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calculatedColumnFormula>
    </tableColumn>
    <tableColumn id="17" xr3:uid="{8024FDC8-7D5E-4AAA-A1DB-F6DBE893E955}" name="Modded" dataDxfId="366">
      <calculatedColumnFormula>TblMili[[#This Row],[Raw]]*(1+TblMili[[#This Row],[Mods_Off]])</calculatedColumnFormula>
    </tableColumn>
    <tableColumn id="18" xr3:uid="{49AD1BCC-C9BC-46CD-8B38-93838D61E9DD}" name="Non Draft" dataDxfId="365">
      <calculatedColumnFormula>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calculatedColumnFormula>
    </tableColumn>
    <tableColumn id="19" xr3:uid="{3C1A10C1-FD3D-4539-AA80-2632ED52955C}" name="Draft" dataDxfId="364">
      <calculatedColumnFormula>TblMili[[#This Row],[Non Draft]]+TblMili[[#This Row],[Draftees]]</calculatedColumnFormula>
    </tableColumn>
    <tableColumn id="20" xr3:uid="{C64B2C83-F9B3-427D-8326-C6954139623D}" name="Mods_Def" dataDxfId="363">
      <calculatedColumnFormula>race_defense + TblImps[[#This Row],[Walls]] + ROUND( MIN(gt_bonus*TblConstr[[#This Row],[Tot GT]]/TblConstr[[#This Row],[Land]],gt_bonus_cap), 4) + IF(TblMagic[[#This Row],[Active Howling]]&gt;0,howling_dp_bonus,IF(TblMagic[[#This Row],[Active Ares Call]]&gt;0,ares_call_bonus))</calculatedColumnFormula>
    </tableColumn>
    <tableColumn id="21" xr3:uid="{46C6A8C8-B380-4138-9955-BD191B263BA8}" name="Non Draft (mod)" dataDxfId="362" dataCellStyle="Comma">
      <calculatedColumnFormula>TblMili[[#This Row],[Non Draft]] * (1 + TblMili[[#This Row],[Mods_Def]])</calculatedColumnFormula>
    </tableColumn>
    <tableColumn id="22" xr3:uid="{EA8914C0-CD98-4E5C-A923-EA0F9E30F1EA}" name="Draft (mod)" dataDxfId="361">
      <calculatedColumnFormula>TblMili[[#This Row],[Draft]] * (1 + TblMili[[#This Row],[Mods_Def]])</calculatedColumnFormula>
    </tableColumn>
    <tableColumn id="23" xr3:uid="{EAC9356D-CE42-4256-BB93-BF208B480555}" name="Land" dataDxfId="360">
      <calculatedColumnFormula>TblConstr[[#This Row],[Land]]</calculatedColumnFormula>
    </tableColumn>
    <tableColumn id="24" xr3:uid="{D4A87242-2EDC-47D9-8CA4-84D822469E1B}" name="Set" dataDxfId="359"/>
    <tableColumn id="25" xr3:uid="{448088C9-E1C1-47E6-9443-BE83ECC5C2F2}" name="Draftrate" dataDxfId="358" dataCellStyle="Percent">
      <calculatedColumnFormula>IF(TblMili[[#This Row],[Set]]&lt;&gt;"",TblMili[[#This Row],[Set]],OFFSET(TblMili[[#This Row],[Draftrate]],-1,0))</calculatedColumnFormula>
    </tableColumn>
    <tableColumn id="26" xr3:uid="{EE8F6844-A68F-416E-B5A0-7B6FA4C5DE98}" name="Draftees" dataDxfId="357">
      <calculatedColumnFormula>start_draftees - SUM(TblMili[[#This Row],[Train Unit 1]:[Train Spies]],TblMili[[#This Row],[Train Wiz]]) - TblMili[[#This Row],[Release Draft]] + SUM(TblMili[[#This Row],[Release Unit 1]:[Release AM]]) - TblExplore[[#This Row],[Draftees (2)]]+MIN(13,days_late)*days_late_draftees</calculatedColumnFormula>
    </tableColumn>
    <tableColumn id="27" xr3:uid="{BF29A3BE-307B-4E08-A338-94FBB692BEFE}" name="…." dataDxfId="356"/>
    <tableColumn id="28" xr3:uid="{0B20A7CE-7BB6-4469-889B-DF744233C462}" name="Smithies" dataDxfId="355" dataCellStyle="Percent">
      <calculatedColumnFormula>(TblConstr[[#This Row],[Tot Smi]]+TblConstr[[#This Row],[Dest Smi]])/(TblConstr[[#This Row],[Land]]-TblExplore[[#This Row],[Land Bonus]]*20)</calculatedColumnFormula>
    </tableColumn>
    <tableColumn id="29" xr3:uid="{A03A8504-EBEF-4639-9EE4-238592848C94}" name="….." dataDxfId="354"/>
    <tableColumn id="30" xr3:uid="{4B521A36-EE77-42BE-850C-0D858F3717A6}" name="Hour (2)" dataDxfId="353">
      <calculatedColumnFormula>TblMili[[#This Row],[Hour]]</calculatedColumnFormula>
    </tableColumn>
    <tableColumn id="31" xr3:uid="{D44FE507-2C86-49D9-BC07-83C7B27BB255}" name="Time" dataDxfId="352">
      <calculatedColumnFormula>TblExplore[[#This Row],[Time]]</calculatedColumnFormula>
    </tableColumn>
    <tableColumn id="32" xr3:uid="{0DAD6AB9-2259-4821-8771-37863F1ED4CC}" name="Train Unit 1" dataDxfId="351"/>
    <tableColumn id="33" xr3:uid="{0E43B866-578B-4060-84D1-01656CB368A4}" name="Train Unit 2" dataDxfId="350"/>
    <tableColumn id="34" xr3:uid="{3AAC979B-4FF3-4EFF-8F6E-BD28BBE2B8BD}" name="Train Unit 3" dataDxfId="349"/>
    <tableColumn id="35" xr3:uid="{EC6B8083-BC72-4376-9760-2275CF62C1A6}" name="Train Unit 4" dataDxfId="348"/>
    <tableColumn id="36" xr3:uid="{DE15CA92-2C69-4205-88B3-DE37F5AAF9A6}" name="Train Spies" dataDxfId="347"/>
    <tableColumn id="107" xr3:uid="{917516D6-B00F-4F57-ADB0-6C22D2A96B9F}" name="Train AS" dataDxfId="346"/>
    <tableColumn id="37" xr3:uid="{97770C71-624D-4E73-A8AD-D79927F45908}" name="Train Wiz" dataDxfId="345"/>
    <tableColumn id="38" xr3:uid="{4E456233-AA67-4D90-9179-339EBD335F62}" name="Train AM" dataDxfId="344"/>
    <tableColumn id="111" xr3:uid="{54F0D0ED-12E4-4C6A-9A83-21A22A24F933}" name="DnD_Zombies" dataDxfId="343">
      <calculatedColumnFormula>ROUND(IF(AND(TblMagic[[#This Row],[Active DnD]]&lt;12,TblMagic[[#This Row],[Active DnD]]&gt;5),OFFSET(TblPop[[#This Row],[Draft Growth]],-1,0)*0.375,0),0)</calculatedColumnFormula>
    </tableColumn>
    <tableColumn id="39" xr3:uid="{29C90460-5421-4EA7-A4CB-BDA1C40BF8A1}" name="  " dataDxfId="342"/>
    <tableColumn id="40" xr3:uid="{2C04ED42-9AAF-4375-A8D4-18DA4B397FAA}" name="Platinum" dataDxfId="341">
      <calculatedColumnFormula>TblProd[[#This Row],[Platinum]]</calculatedColumnFormula>
    </tableColumn>
    <tableColumn id="41" xr3:uid="{122C6EDE-4C24-4A3C-9FA2-6A7942348604}" name="Secondary recource" dataDxfId="340">
      <calculatedColumnFormula>INDEX(TblProd[[#Headers],[Lumber]]:TblProd[[#This Row],[Ore]],COUNTA(TblProd[[#Headers],[Lumber]]:TblProd[[#This Row],[Lumber]]),MATCH(Military!$AR$2,TblProd[[#Headers],[Lumber]:[Ore]],0))</calculatedColumnFormula>
    </tableColumn>
    <tableColumn id="42" xr3:uid="{AD4D72D1-3860-48CA-B3DA-ADFB8307154A}" name="Plat Cost" dataDxfId="339">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calculatedColumnFormula>
    </tableColumn>
    <tableColumn id="43" xr3:uid="{DAFB5FAD-E913-4B29-993E-21DDDA949BE9}" name="Sec. rec. Cost" dataDxfId="338">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37">
      <calculatedColumnFormula>TblMili[[#This Row],[Hour]]</calculatedColumnFormula>
    </tableColumn>
    <tableColumn id="45" xr3:uid="{20B1F70F-03BF-43F5-9126-6B2FF45FE149}" name="Time " dataDxfId="336">
      <calculatedColumnFormula>TblMili[[#This Row],[Time]]</calculatedColumnFormula>
    </tableColumn>
    <tableColumn id="46" xr3:uid="{32831987-A30D-4329-BB1C-DB47E6B77B54}" name="Draftees    " dataDxfId="335">
      <calculatedColumnFormula>TblMili[[#This Row],[Draftees]]</calculatedColumnFormula>
    </tableColumn>
    <tableColumn id="47" xr3:uid="{7EBE7BE4-37D1-4B52-B049-F9BE4ABBBADC}" name="Release Draft" dataDxfId="334"/>
    <tableColumn id="48" xr3:uid="{C3BB0EE7-6180-4099-B663-EFA3F1503DB3}" name="Release Unit 1" dataDxfId="333"/>
    <tableColumn id="49" xr3:uid="{EDF7E463-807D-4CE2-B63E-18766260768C}" name="Release Unit 2" dataDxfId="332"/>
    <tableColumn id="50" xr3:uid="{A1BE9DD8-455A-4FAA-8154-5BB2D1A53261}" name="Release Unit 3" dataDxfId="331"/>
    <tableColumn id="51" xr3:uid="{4FE1D56E-EA47-4DF6-B5A4-E78C1D5F5774}" name="Release Unit 4" dataDxfId="330"/>
    <tableColumn id="52" xr3:uid="{F0F9CB78-BA40-4031-AC17-0AB88B159B60}" name="Release Spies" dataDxfId="329"/>
    <tableColumn id="108" xr3:uid="{118BE0C9-E863-4E5F-98D5-187B99319B85}" name="Release AS" dataDxfId="328"/>
    <tableColumn id="53" xr3:uid="{3CC7AC8A-814F-42C4-B491-A6DFD7A4A93E}" name="Release Wizards" dataDxfId="327"/>
    <tableColumn id="54" xr3:uid="{BCB616C3-3465-4473-B27B-B25584160E71}" name="Release AM" dataDxfId="326"/>
    <tableColumn id="55" xr3:uid="{6B6EC03F-2A6A-47EB-A7F1-0DFE335A330A}" name="   " dataDxfId="325"/>
    <tableColumn id="56" xr3:uid="{71F6F49D-CD22-4E5F-BBB5-61150307312C}" name="WG's" dataDxfId="324">
      <calculatedColumnFormula>TblConstr[[#This Row],[Tot WG]]/TblConstr[[#This Row],[Land]]</calculatedColumnFormula>
    </tableColumn>
    <tableColumn id="57" xr3:uid="{B8AC3F70-AED4-4E5E-9FFD-FF94CB39B791}" name="FH's" dataDxfId="323">
      <calculatedColumnFormula>TblConstr[[#This Row],[Tot Hav]]/TblConstr[[#This Row],[Land]]</calculatedColumnFormula>
    </tableColumn>
    <tableColumn id="58" xr3:uid="{140FE3B0-18E6-43AA-A625-E817354E2D53}" name="OP Plat" dataDxfId="322">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21">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20">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19">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18">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17">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16">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15">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14">
      <calculatedColumnFormula>ROUNDUP((1-MIN(ROUND(fh_spy_cost_red*TblMili[[#This Row],[FH''s]],4),fh_spy_cost_cap)+ tech_1_9*TblTech[[#This Row],[1-9]] + tech_9_1*TblTech[[#This Row],[9-1]])*spy_plat,0)</calculatedColumnFormula>
    </tableColumn>
    <tableColumn id="110" xr3:uid="{E3910BF3-0412-473B-852A-F6A0FE497DE5}" name="ASs Cost" dataDxfId="313">
      <calculatedColumnFormula>ROUNDUP((1-MIN(ROUND(fh_spy_cost_red*TblMili[[#This Row],[FH''s]],4),fh_spy_cost_cap)+ tech_1_9*TblTech[[#This Row],[1-9]] + tech_9_1*TblTech[[#This Row],[9-1]])*archspy_plat,0)</calculatedColumnFormula>
    </tableColumn>
    <tableColumn id="67" xr3:uid="{CDB40042-773A-4CE1-B670-B62BC884A947}" name="Wizzies cost" dataDxfId="312">
      <calculatedColumnFormula>ROUNDUP((1-MIN(ROUND(wg_wiz_cost_bonus*TblMili[[#This Row],[WG''s]],4),wg_wiz_cost_cap) + tech_1_9_2*TblTech[[#This Row],[1-9]] + tech_9_1_2*TblTech[[#This Row],[9-1]])*wizard_plat,0)</calculatedColumnFormula>
    </tableColumn>
    <tableColumn id="68" xr3:uid="{1053234A-AE18-4A82-94FC-D94692087DE3}" name="AMs cost" dataDxfId="311">
      <calculatedColumnFormula>ROUNDUP((1-MIN(ROUND(wg_wiz_cost_bonus*TblMili[[#This Row],[WG''s]],4),wg_wiz_cost_cap) + tech_1_9_2*TblTech[[#This Row],[1-9]] + tech_9_1_2*TblTech[[#This Row],[9-1]])*(archmage_plat + IF(TblMagic[[#This Row],[Active Arc Infusion]]&gt;0,400,0)),0)</calculatedColumnFormula>
    </tableColumn>
    <tableColumn id="69" xr3:uid="{9D11DA92-CF6B-4838-B51B-494833977486}" name=" " dataDxfId="310"/>
    <tableColumn id="70" xr3:uid="{1F713D65-CE26-4E75-AF9C-1E2610D02FB6}" name="Homeland%" dataDxfId="309">
      <calculatedColumnFormula>TblConstr[[#This Row],[Homeland]]/TblConstr[[#This Row],[Land]]</calculatedColumnFormula>
    </tableColumn>
    <tableColumn id="71" xr3:uid="{FBD620E0-8F97-4BED-916D-A8962B459E13}" name="WG" dataDxfId="308">
      <calculatedColumnFormula>TblMili[[#This Row],[WG''s]]</calculatedColumnFormula>
    </tableColumn>
    <tableColumn id="72" xr3:uid="{0F482B90-6164-42A0-AC1A-EB6CBE2239E0}" name="Mystic" dataDxfId="307">
      <calculatedColumnFormula>IF(mystic_cap="none",TblMili[[#This Row],[Homeland%]]/mystic_bonus,MIN(mystic_cap,TblMili[[#This Row],[Homeland%]]/mystic_bonus))</calculatedColumnFormula>
    </tableColumn>
    <tableColumn id="73" xr3:uid="{2FD25056-5068-463F-8553-3D2CFBDBD80D}" name="Druid (op)" dataDxfId="306">
      <calculatedColumnFormula>IF(druid_op_cap="none",TblMili[[#This Row],[Homeland%]]/druid_op_bonus,MIN(druid_op_cap,TblMili[[#This Row],[Homeland%]]/druid_op_bonus))</calculatedColumnFormula>
    </tableColumn>
    <tableColumn id="74" xr3:uid="{53018DF3-E735-41C7-A3D0-8E634866C57E}" name="Druid (dp)" dataDxfId="305">
      <calculatedColumnFormula>IF(druid_dp_cap="none",TblMili[[#This Row],[Homeland%]]/druid_dp_bonus,MIN(druid_dp_cap,TblMili[[#This Row],[Homeland%]]/druid_dp_bonus))</calculatedColumnFormula>
    </tableColumn>
    <tableColumn id="75" xr3:uid="{7F4EE74D-9905-4DF0-A5F6-DDC9D0115356}" name="Dryad" dataDxfId="304">
      <calculatedColumnFormula>MIN(dryad_cap,TblMili[[#This Row],[Homeland%]]/dryad_bonus)</calculatedColumnFormula>
    </tableColumn>
    <tableColumn id="76" xr3:uid="{E7F9826C-05CD-49D4-95DF-ECCD467D1341}" name="Rockapult" dataDxfId="303">
      <calculatedColumnFormula>MIN(rocka_cap,TblMili[[#This Row],[Homeland%]]/rocka_bonus)</calculatedColumnFormula>
    </tableColumn>
    <tableColumn id="77" xr3:uid="{A26FFF73-DC56-4E66-8A0E-51A9C837AE8D}" name="Spellblade" dataDxfId="302">
      <calculatedColumnFormula>MIN(adept_op_cap,TblMili[[#This Row],[WG]]/adept_op_bonus)</calculatedColumnFormula>
    </tableColumn>
    <tableColumn id="78" xr3:uid="{A5F9372F-5EBA-4E5A-AB3F-5A786DE5FEB0}" name="Adept-DP" dataDxfId="301">
      <calculatedColumnFormula>MIN(adept_dp_cap,TblMili[[#This Row],[WG]]/adept_dp_bonus)</calculatedColumnFormula>
    </tableColumn>
    <tableColumn id="79" xr3:uid="{FF50DABE-A375-4222-848D-9C4D1D0FC999}" name="Beasts" dataDxfId="300">
      <calculatedColumnFormula>MIN(TblMili[[#This Row],[Unit 3]],TblMili[[#This Row],[Unit 2]])*2</calculatedColumnFormula>
    </tableColumn>
    <tableColumn id="80" xr3:uid="{FFCDA044-2FD9-4119-B82B-7914D887B7F4}" name="Overlords" dataDxfId="299">
      <calculatedColumnFormula>MIN(TblMili[[#This Row],[Unit 1]],TblMili[[#This Row],[Unit 4]])*2</calculatedColumnFormula>
    </tableColumn>
    <tableColumn id="81" xr3:uid="{00DE2C4D-2323-42A0-B749-2FB5F4E28DBF}" name="Frost Mage" dataDxfId="298">
      <calculatedColumnFormula>MIN(frost_mage_cap,TblMili[[#This Row],[Homeland%]]/frost_mage_bonus)</calculatedColumnFormula>
    </tableColumn>
    <tableColumn id="82" xr3:uid="{BB055F70-3593-48E8-A32F-2C3BC4E6D218}" name="Ice Elemental" dataDxfId="297">
      <calculatedColumnFormula>MIN(ice_elem_cap,TblMili[[#This Row],[Raw (2)]]*ice_elem_bonus)</calculatedColumnFormula>
    </tableColumn>
    <tableColumn id="83" xr3:uid="{1158BE59-7C9D-4D41-AE99-4249CB18E29F}" name="Orc" dataDxfId="296">
      <calculatedColumnFormula>MIN(bone_breaker_cap,250/bone_breaker_bonus)</calculatedColumnFormula>
    </tableColumn>
    <tableColumn id="84" xr3:uid="{76252BAC-90E5-49A7-B5F9-E399F71EA45D}" name="Nox" dataDxfId="295">
      <calculatedColumnFormula>MIN(nox_nightshade_cap,TblConstr[[#This Row],[Homeland]]/TblConstr[[#This Row],[Land]]/nox_nightshade_swamp_bonus)</calculatedColumnFormula>
    </tableColumn>
    <tableColumn id="113" xr3:uid="{4A27EC0B-8E58-4935-B9BC-28BBFBF14B3B}" name="Succubus" dataDxfId="294">
      <calculatedColumnFormula>MIN(TblConstr[[#This Row],[Total Swamp]]/TblConstr[[#This Row],[Land]]/abyss_enforce_bonus,abyss_enforcer_cap)</calculatedColumnFormula>
    </tableColumn>
    <tableColumn id="112" xr3:uid="{784D98C7-E60A-4D20-854E-4FCCFEFCDE00}" name="Infernal Command OP" dataDxfId="293">
      <calculatedColumnFormula>IF(TblMagic[[#This Row],[Active Infernal Command]]&gt;0,TblMili[[#This Row],[Unit 1]]*infernal_cmd_op,0)</calculatedColumnFormula>
    </tableColumn>
    <tableColumn id="85" xr3:uid="{1DFCAA2E-8651-447E-895D-82655A45DF53}" name="Column36" dataDxfId="292"/>
    <tableColumn id="86" xr3:uid="{2B117F31-500F-4EF5-A943-EA4E7192FD0F}" name="Column37" dataDxfId="291"/>
    <tableColumn id="87" xr3:uid="{F3D20B86-D78F-4794-87F9-C555822D3041}" name="Column38" dataDxfId="290"/>
    <tableColumn id="88" xr3:uid="{BDEF093C-2660-4215-8999-F98F4344DFB8}" name="Mystic bonus" dataDxfId="289">
      <calculatedColumnFormula>TblMili[[#This Row],[Mystic]]*2</calculatedColumnFormula>
    </tableColumn>
    <tableColumn id="89" xr3:uid="{46F4DC63-3122-4751-919D-25DE59A7EF66}" name="Druid bonus" dataDxfId="288">
      <calculatedColumnFormula>TblMili[[#This Row],[Druid (op)]]*2</calculatedColumnFormula>
    </tableColumn>
    <tableColumn id="90" xr3:uid="{0AB01A9F-5F69-4677-ABD0-FC19B1243F36}" name="Wood Elf bonus" dataDxfId="287">
      <calculatedColumnFormula>TblMili[[#This Row],[Mystic bonus]]*TblMili[[#This Row],[Unit 3]]+TblMili[[#This Row],[Druid bonus]]*TblMili[[#This Row],[Unit 4]]</calculatedColumnFormula>
    </tableColumn>
    <tableColumn id="91" xr3:uid="{4EE98187-D861-41F7-99BA-17048C4D8D34}" name="Dryad bonus" dataDxfId="286">
      <calculatedColumnFormula>TblMili[[#This Row],[Dryad]]*2</calculatedColumnFormula>
    </tableColumn>
    <tableColumn id="92" xr3:uid="{4D0FBA77-63EB-4AF7-AA3C-BF4D432786D2}" name="Sylvan bonus" dataDxfId="285">
      <calculatedColumnFormula>sylvan*(TblMili[[#This Row],[Mystic bonus]]*TblMili[[#This Row],[Unit 3]])</calculatedColumnFormula>
    </tableColumn>
    <tableColumn id="93" xr3:uid="{9CB7A2CE-8BEC-402B-B1F0-5A1153673E45}" name="Rockapult bonus" dataDxfId="284">
      <calculatedColumnFormula>TblMili[[#This Row],[Rockapult]]*2</calculatedColumnFormula>
    </tableColumn>
    <tableColumn id="94" xr3:uid="{702EEF5A-ED83-4CC8-84F7-F6D979E56F25}" name="Gnome bonus" dataDxfId="283">
      <calculatedColumnFormula>gnome*(TblMili[[#This Row],[Rockapult bonus]]*TblMili[[#This Row],[Unit 3]])</calculatedColumnFormula>
    </tableColumn>
    <tableColumn id="95" xr3:uid="{A02C2188-BFCD-4178-8B64-B969D4D2D97B}" name="Adept bonus" dataDxfId="282">
      <calculatedColumnFormula>TblMili[[#This Row],[Adept-DP]]*2</calculatedColumnFormula>
    </tableColumn>
    <tableColumn id="96" xr3:uid="{2AC6A177-5D6E-4EEF-803F-78737FC291BE}" name="Dark Elf bonus" dataDxfId="281">
      <calculatedColumnFormula>dark_elf*(TblMili[[#This Row],[Adept bonus]]*TblMili[[#This Row],[Unit 3]])</calculatedColumnFormula>
    </tableColumn>
    <tableColumn id="97" xr3:uid="{19730E51-BC55-444F-8E03-4B3A51C0E3D8}" name="Frost Mage bonus" dataDxfId="280">
      <calculatedColumnFormula>TblMili[[#This Row],[Frost Mage]]*2</calculatedColumnFormula>
    </tableColumn>
    <tableColumn id="98" xr3:uid="{4BF7728A-52B6-482F-A623-6B6D066AA813}" name="Ice Elemental bonus" dataDxfId="279">
      <calculatedColumnFormula>TblMili[[#This Row],[Ice Elemental]]*2</calculatedColumnFormula>
    </tableColumn>
    <tableColumn id="99" xr3:uid="{B96172E1-FD81-4837-8894-EDD42748B071}" name="Icekin bonus" dataDxfId="278">
      <calculatedColumnFormula>TblMili[[#This Row],[Frost Mage bonus]]*TblMili[[#This Row],[Unit 3]]+TblMili[[#This Row],[Ice Elemental bonus]]*TblMili[[#This Row],[Unit 4]]</calculatedColumnFormula>
    </tableColumn>
    <tableColumn id="100" xr3:uid="{A2072E36-3982-4B78-93F1-3B2C7DD41EB6}" name="Column46" dataDxfId="277"/>
    <tableColumn id="101" xr3:uid="{AA2C19ED-CD7C-4497-8949-4735D8380A50}" name="Favorable Terrain Bonus" dataDxfId="276" dataCellStyle="Percent">
      <calculatedColumnFormula>MIN(SUM(TblConstr[[#This Row],[Plain]:[Water]])/TblMili[[#This Row],[Land]]/favorable_terrain_bonus/100,favorable_terrain_max)</calculatedColumnFormula>
    </tableColumn>
    <tableColumn id="102" xr3:uid="{045A1C5D-FFD7-4F37-8C55-3E1C6325D69C}" name="Column48" dataDxfId="275"/>
    <tableColumn id="103" xr3:uid="{CA1D4487-36A8-42BE-AAE8-1C025B923059}" name="Networth (2)" dataDxfId="274">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2" dataDxfId="273"/>
    <tableColumn id="105" xr3:uid="{628D592A-8396-4FB0-BFC1-BC7CA81586EE}" name="Raw (2)" dataDxfId="272">
      <calculatedColumnFormula>(TblMili[[#This Row],[Wizards]]+2*TblMili[[#This Row],[Archmages]])/TblConstr[[#This Row],[Land]]</calculatedColumnFormula>
    </tableColumn>
    <tableColumn id="106" xr3:uid="{016BFDB0-CD57-41C0-AF17-CB540C2E962C}" name="Modded (2)" dataDxfId="271">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Q136" totalsRowShown="0" headerRowDxfId="262" dataDxfId="260" headerRowBorderDxfId="261" tableBorderDxfId="259">
  <autoFilter ref="A3:AQ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autoFilter>
  <tableColumns count="43">
    <tableColumn id="1" xr3:uid="{66CE85EB-B16F-458E-A2CA-AD251DA79824}" name="Hour" dataDxfId="258">
      <calculatedColumnFormula>TblRezone[[#This Row],[Hour]]</calculatedColumnFormula>
    </tableColumn>
    <tableColumn id="2" xr3:uid="{E160E2FF-C983-4A55-B03E-684BAA5D56D7}" name="Land" dataDxfId="257">
      <calculatedColumnFormula>TblConstr[[#This Row],[Land]]</calculatedColumnFormula>
    </tableColumn>
    <tableColumn id="3" xr3:uid="{CEA3931F-9B77-4317-A7C7-C5D0214A12BA}" name="Mana" dataDxfId="256">
      <calculatedColumnFormula>TblProd[[#This Row],[Mana]]</calculatedColumnFormula>
    </tableColumn>
    <tableColumn id="4" xr3:uid="{D383CA2D-65F3-4634-A1DD-E4ECA1CC96C8}" name="Wiz str" dataDxfId="255">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54">
      <calculatedColumnFormula>OFFSET(TblMagic[[#This Row],[Time]],-1,0)+1/24</calculatedColumnFormula>
    </tableColumn>
    <tableColumn id="6" xr3:uid="{6625E0CA-37E1-457D-817F-784FA6A7A47B}" name="Pop" dataDxfId="253">
      <calculatedColumnFormula>TblImps[[#This Row],[Population]]</calculatedColumnFormula>
    </tableColumn>
    <tableColumn id="7" xr3:uid="{74B4A440-273D-4100-B1BC-91171D1D20B6}" name="Gaia's Watch" dataDxfId="252"/>
    <tableColumn id="8" xr3:uid="{43E4A01F-74F7-4C30-9D8A-3079A04763B9}" name="Mining Strength" dataDxfId="251"/>
    <tableColumn id="9" xr3:uid="{1A92950C-8F89-409E-9002-FCC57F75ADE0}" name="Ares Call" dataDxfId="250"/>
    <tableColumn id="10" xr3:uid="{A04C0737-02D0-4DAA-B9D7-324E3D59498C}" name="Midas Touch" dataDxfId="249"/>
    <tableColumn id="11" xr3:uid="{028D46F5-0AAD-49F8-AC48-D5E2C41FD4C2}" name="Harmony" dataDxfId="248"/>
    <tableColumn id="12" xr3:uid="{42548E68-C2D5-44CD-99FA-6AD40E64E185}" name="Miner's Sight" dataDxfId="247"/>
    <tableColumn id="13" xr3:uid="{D64F8C18-3DBE-4D7A-8AA3-C35E04DD6CAC}" name="Mechanical Genius" dataDxfId="246"/>
    <tableColumn id="14" xr3:uid="{0165862E-59ED-45FB-BD5A-0C7DCAA39217}" name="Death and Decay" dataDxfId="245"/>
    <tableColumn id="15" xr3:uid="{762B30AD-670D-48C3-94F1-2BA1DC4089CC}" name="Killing Rage / Bloodrage / Crusade" dataDxfId="244"/>
    <tableColumn id="16" xr3:uid="{0162EA56-857C-4157-A7AB-4D90C9EA47F1}" name="Gaia's Blessing" dataDxfId="243"/>
    <tableColumn id="17" xr3:uid="{6D83302D-974B-4742-8BDA-D99BB673F6D7}" name="Howling" dataDxfId="242"/>
    <tableColumn id="18" xr3:uid="{081EE08A-AA95-4648-9376-F68D04887352}" name="Arcane Infusion" dataDxfId="241"/>
    <tableColumn id="19" xr3:uid="{3BCC0361-67FB-4576-8296-8E91F374A4A4}" name="Alchemists Flame" dataDxfId="240"/>
    <tableColumn id="20" xr3:uid="{CFB1AFFE-0570-4E81-B96B-5EE870CC5038}" name="Nightfall" dataDxfId="239"/>
    <tableColumn id="40" xr3:uid="{CD69E8F6-3FD6-49C0-9EB8-DB9FD0CAA6D9}" name="Favorable Terrain" dataDxfId="238"/>
    <tableColumn id="42" xr3:uid="{B3C18C59-4C81-4804-BB33-FB8D6CCF256E}" name="Infernal Command" dataDxfId="237"/>
    <tableColumn id="21" xr3:uid="{4F53D2F5-E2E8-4AEE-975D-5B925FA589B0}" name="Useless spell" dataDxfId="236"/>
    <tableColumn id="22" xr3:uid="{E7040239-1040-4E8C-8EEB-3D517AC825BD}" name="." dataDxfId="235"/>
    <tableColumn id="23" xr3:uid="{8F45EE21-92D1-4622-B103-16B477DF630B}" name="Mana cost" dataDxfId="234">
      <calculatedColumnFormula>(MAX(1-wg_spell_cost_cap,1-wg_spell_cost_red*ROUND(TblConstr[[#This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calculatedColumnFormula>
    </tableColumn>
    <tableColumn id="24" xr3:uid="{E5989948-C7D1-4D66-B08C-D3D373071144}" name="Wiz str cost" dataDxfId="233">
      <calculatedColumnFormula>SUMIF(TblMagic[[#This Row],[Gaia''s Watch]:[Useless spell]],1)*0.05</calculatedColumnFormula>
    </tableColumn>
    <tableColumn id="25" xr3:uid="{2466DF86-89FE-4172-9850-F9FBAE56839D}" name=".." dataDxfId="232"/>
    <tableColumn id="26" xr3:uid="{F8559349-C288-4EC3-B38A-23771E549D1D}" name="Active Gaia's Watch" dataDxfId="231">
      <calculatedColumnFormula>IF(TblMagic[[#This Row],[Gaia''s Watch]],12,IF(OFFSET(TblMagic[[#This Row],[Active Gaia''s Watch]],-1,0)&gt;0,OFFSET(TblMagic[[#This Row],[Active Gaia''s Watch]],-1,0)-1,0))</calculatedColumnFormula>
    </tableColumn>
    <tableColumn id="27" xr3:uid="{00F45689-4686-422F-8E94-89C18992B261}" name="Active Mining Strength" dataDxfId="230">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29">
      <calculatedColumnFormula>IF(TblMagic[[#This Row],[Ares Call]],12,IF(OFFSET(TblMagic[[#This Row],[Active Ares Call]],-1,0)&gt;0,OFFSET(TblMagic[[#This Row],[Active Ares Call]],-1,0)-1,0))</calculatedColumnFormula>
    </tableColumn>
    <tableColumn id="29" xr3:uid="{BCC9ACB6-69AC-4DA1-B07D-F4802162CEF5}" name="Active Midas Touch" dataDxfId="228">
      <calculatedColumnFormula>IF(TblMagic[[#This Row],[Midas Touch]],12,IF(OFFSET(TblMagic[[#This Row],[Active Midas Touch]],-1,0)&gt;0,OFFSET(TblMagic[[#This Row],[Active Midas Touch]],-1,0)-1,0))</calculatedColumnFormula>
    </tableColumn>
    <tableColumn id="30" xr3:uid="{D13DA239-CC1B-41FD-A41B-68906B10F262}" name="Active Harmony" dataDxfId="227">
      <calculatedColumnFormula>IF(TblMagic[[#This Row],[Harmony]],12,IF(OFFSET(TblMagic[[#This Row],[Active Harmony]],-1,0)&gt;0,OFFSET(TblMagic[[#This Row],[Active Harmony]],-1,0)-1,0))</calculatedColumnFormula>
    </tableColumn>
    <tableColumn id="31" xr3:uid="{10D4FEA0-0AA8-4F31-8F5A-8576AE611BDA}" name="Active Miner's Sight" dataDxfId="226">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5">
      <calculatedColumnFormula>IF(TblMagic[[#This Row],[Mechanical Genius]],12,IF(OFFSET(TblMagic[[#This Row],[Active Mechanical Genius]],-1,0)&gt;0,OFFSET(TblMagic[[#This Row],[Active Mechanical Genius]],-1,0)-1,0))</calculatedColumnFormula>
    </tableColumn>
    <tableColumn id="33" xr3:uid="{ABB8FD60-DFED-4F16-81F1-573804F4ED7B}" name="Active DnD" dataDxfId="224">
      <calculatedColumnFormula>IF(TblMagic[[#This Row],[Death and Decay]],12,IF(OFFSET(TblMagic[[#This Row],[Active DnD]],-1,0)&gt;0,OFFSET(TblMagic[[#This Row],[Active DnD]],-1,0)-1,0))</calculatedColumnFormula>
    </tableColumn>
    <tableColumn id="34" xr3:uid="{3460E27B-FD4A-47FC-A87F-BAFED0FCC033}" name="Active Warsong / Killing Rage / Bloodrage" dataDxfId="223">
      <calculatedColumnFormula>IF(TblMagic[[#This Row],[Killing Rage / Bloodrage / Crusade]],12,IF(OFFSET(TblMagic[[#This Row],[Active Warsong / Killing Rage / Bloodrage]],-1,0)&gt;0,OFFSET(TblMagic[[#This Row],[Active Warsong / Killing Rage / Bloodrage]],-1,0)-1,0))</calculatedColumnFormula>
    </tableColumn>
    <tableColumn id="35" xr3:uid="{C38ADE3E-15C7-4548-A80E-44BC864D08B6}" name="Active Gaia's Blessing" dataDxfId="222">
      <calculatedColumnFormula>IF(TblMagic[[#This Row],[Gaia''s Blessing]],12,IF(OFFSET(TblMagic[[#This Row],[Active Gaia''s Blessing]],-1,0)&gt;0,OFFSET(TblMagic[[#This Row],[Active Gaia''s Blessing]],-1,0)-1,0))</calculatedColumnFormula>
    </tableColumn>
    <tableColumn id="36" xr3:uid="{DB2BE469-2BE3-4333-BFBC-C2857399E743}" name="Active Howling" dataDxfId="221">
      <calculatedColumnFormula>IF(TblMagic[[#This Row],[Howling]],12,IF(OFFSET(TblMagic[[#This Row],[Active Howling]],-1,0)&gt;0,OFFSET(TblMagic[[#This Row],[Active Howling]],-1,0)-1,0))</calculatedColumnFormula>
    </tableColumn>
    <tableColumn id="37" xr3:uid="{F5838FA3-8068-44AA-A6A2-758F46E5F78D}" name="Active Arc Infusion" dataDxfId="220">
      <calculatedColumnFormula>IF(TblMagic[[#This Row],[Arcane Infusion]],12,IF(OFFSET(TblMagic[[#This Row],[Active Arc Infusion]],-1,0)&gt;0,OFFSET(TblMagic[[#This Row],[Active Arc Infusion]],-1,0)-1,0))</calculatedColumnFormula>
    </tableColumn>
    <tableColumn id="38" xr3:uid="{11215FCC-A994-4C4E-835C-F365C4B7BDF8}" name="Active Alchemists Flame" dataDxfId="219">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18">
      <calculatedColumnFormula>IF(TblMagic[[#This Row],[Nightfall]],12,IF(OFFSET(TblMagic[[#This Row],[Active Nightfall]],-1,0)&gt;0,OFFSET(TblMagic[[#This Row],[Active Nightfall]],-1,0)-1,0))</calculatedColumnFormula>
    </tableColumn>
    <tableColumn id="41" xr3:uid="{E8FFEB0A-82D1-4B3D-86CE-6103CDF8A0FD}" name="Active Favorable Terrain" dataDxfId="217">
      <calculatedColumnFormula>IF(TblMagic[[#This Row],[Favorable Terrain]],12,IF(OFFSET(TblMagic[[#This Row],[Active Favorable Terrain]],-1,0)&gt;0,OFFSET(TblMagic[[#This Row],[Active Favorable Terrain]],-1,0)-1,0))</calculatedColumnFormula>
    </tableColumn>
    <tableColumn id="44" xr3:uid="{F446C30D-C7CC-4516-BCB4-CC5B8FD7D6DA}" name="Active Infernal Command" dataDxfId="216"/>
  </tableColumns>
  <tableStyleInfo name="TableStyleLight1 5 2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5" dataDxfId="214">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3">
      <calculatedColumnFormula>TblRezone[[#This Row],[Hour]]</calculatedColumnFormula>
    </tableColumn>
    <tableColumn id="3" xr3:uid="{DA4A1ACF-68D6-4564-BB1C-C3C3172606A1}" name="Land" dataDxfId="212">
      <calculatedColumnFormula>TblExplore[[#This Row],[Land-DB]]</calculatedColumnFormula>
    </tableColumn>
    <tableColumn id="4" xr3:uid="{05D0DCAF-595D-47DB-9D6C-DB4A543CF655}" name="Techpoints" dataDxfId="211">
      <calculatedColumnFormula>TblProd[[#This Row],[Techpoints]]</calculatedColumnFormula>
    </tableColumn>
    <tableColumn id="5" xr3:uid="{B8D24105-AE76-4A7C-9D26-589CB9891ED4}" name="Cost" dataDxfId="210">
      <calculatedColumnFormula>TblProd[[#This Row],[Required]]</calculatedColumnFormula>
    </tableColumn>
    <tableColumn id="93" xr3:uid="{2ABEB4AB-3FE9-4283-8DD1-DADEE729E1F4}" name="." dataDxfId="209"/>
    <tableColumn id="9" xr3:uid="{94ADF196-65A4-42D5-B9F1-902A2448736A}" name="Activate @ hour" dataDxfId="208"/>
    <tableColumn id="10" xr3:uid="{41EC03BC-D935-4DB1-9358-D7E68CB11DA3}" name="Number" dataDxfId="207"/>
    <tableColumn id="19" xr3:uid="{8781F361-D9CA-4DDC-83D1-8F9FCDC61FD4}" name="Tech name" dataDxfId="206"/>
    <tableColumn id="11" xr3:uid="{ED497BC4-A3FE-4968-980C-41E3E397E8F1}" name="Gains" dataDxfId="205"/>
    <tableColumn id="20" xr3:uid="{B66F94F3-B0AC-4CC0-9E7C-4CF7E4C92EEE}" name=".." dataDxfId="204"/>
    <tableColumn id="21" xr3:uid="{4775993E-7C72-4134-8A78-3FB7DCE45728}" name="…" dataDxfId="203">
      <calculatedColumnFormula>IF(TblTech[[#This Row],[Sum of tech]]&lt;&gt;OFFSET(TblTech[[#This Row],[Sum of tech]],-1,0),1,0)</calculatedColumnFormula>
    </tableColumn>
    <tableColumn id="22" xr3:uid="{DFF59F63-FD6B-45DE-9EEF-3899A7D747EF}" name="Sum of tech" dataDxfId="202">
      <calculatedColumnFormula>COUNTIF(TblTech[[#This Row],[1-1]:[11-1]],1)</calculatedColumnFormula>
    </tableColumn>
    <tableColumn id="23" xr3:uid="{26B2ED42-21EF-41D3-8431-65B8DCB84C2C}" name="1-1" dataDxfId="201">
      <calculatedColumnFormula array="1">IF(AND(M$2&lt;&gt;0,TblTech[[#This Row],[Hour]:[Hour]]&gt;=M$2),1,0)</calculatedColumnFormula>
    </tableColumn>
    <tableColumn id="24" xr3:uid="{50258140-FB02-4B3A-8985-9EF35792D437}" name="1-2" dataDxfId="200">
      <calculatedColumnFormula array="1">IF(AND(N$2&lt;&gt;0,TblTech[[#This Row],[Hour]:[Hour]]&gt;=N$2),1,0)</calculatedColumnFormula>
    </tableColumn>
    <tableColumn id="25" xr3:uid="{7124BFDC-5B72-4806-BD66-A9B40B96E890}" name="1-3" dataDxfId="199">
      <calculatedColumnFormula array="1">IF(AND(O$2&lt;&gt;0,TblTech[[#This Row],[Hour]:[Hour]]&gt;=O$2),1,0)</calculatedColumnFormula>
    </tableColumn>
    <tableColumn id="26" xr3:uid="{7F0A139B-B30E-4409-9274-8016025EA227}" name="1-4" dataDxfId="198">
      <calculatedColumnFormula array="1">IF(AND(P$2&lt;&gt;0,TblTech[[#This Row],[Hour]:[Hour]]&gt;=P$2),1,0)</calculatedColumnFormula>
    </tableColumn>
    <tableColumn id="27" xr3:uid="{29B9EAE2-227D-4807-9E41-445565CAAFF7}" name="1-5" dataDxfId="197">
      <calculatedColumnFormula array="1">IF(AND(Q$2&lt;&gt;0,TblTech[[#This Row],[Hour]:[Hour]]&gt;=Q$2),1,0)</calculatedColumnFormula>
    </tableColumn>
    <tableColumn id="28" xr3:uid="{43587F1E-C217-44F9-817A-0114F7F48D02}" name="1-6" dataDxfId="196">
      <calculatedColumnFormula array="1">IF(AND(R$2&lt;&gt;0,TblTech[[#This Row],[Hour]:[Hour]]&gt;=R$2),1,0)</calculatedColumnFormula>
    </tableColumn>
    <tableColumn id="29" xr3:uid="{0524F9E6-09EC-4986-B7A6-35B925952E60}" name="1-7" dataDxfId="195">
      <calculatedColumnFormula array="1">IF(AND(S$2&lt;&gt;0,TblTech[[#This Row],[Hour]:[Hour]]&gt;=S$2),1,0)</calculatedColumnFormula>
    </tableColumn>
    <tableColumn id="30" xr3:uid="{188B6808-99A1-4A91-A689-87097F62C1C1}" name="1-8" dataDxfId="194">
      <calculatedColumnFormula array="1">IF(AND(T$2&lt;&gt;0,TblTech[[#This Row],[Hour]:[Hour]]&gt;=T$2),1,0)</calculatedColumnFormula>
    </tableColumn>
    <tableColumn id="31" xr3:uid="{DC02C18F-47C9-4A23-8F34-9E02A677D29B}" name="1-9" dataDxfId="193">
      <calculatedColumnFormula array="1">IF(AND(U$2&lt;&gt;0,TblTech[[#This Row],[Hour]:[Hour]]&gt;=U$2),1,0)</calculatedColumnFormula>
    </tableColumn>
    <tableColumn id="32" xr3:uid="{21B6A564-7028-4932-914B-F32A59CAEC67}" name="1-10" dataDxfId="192">
      <calculatedColumnFormula array="1">IF(AND(V$2&lt;&gt;0,TblTech[[#This Row],[Hour]:[Hour]]&gt;=V$2),1,0)</calculatedColumnFormula>
    </tableColumn>
    <tableColumn id="33" xr3:uid="{BE08B152-511E-4680-AD58-AFCC2777EE65}" name="1-11" dataDxfId="191">
      <calculatedColumnFormula array="1">IF(AND(W$2&lt;&gt;0,TblTech[[#This Row],[Hour]:[Hour]]&gt;=W$2),1,0)</calculatedColumnFormula>
    </tableColumn>
    <tableColumn id="34" xr3:uid="{F0B67B28-DF8B-4FF4-BE8F-BD953642450D}" name="2-1" dataDxfId="190">
      <calculatedColumnFormula array="1">IF(AND(X$2&lt;&gt;0,TblTech[[#This Row],[Hour]:[Hour]]&gt;=X$2),1,0)</calculatedColumnFormula>
    </tableColumn>
    <tableColumn id="35" xr3:uid="{E1C38FB5-1814-43BE-8628-9E331159B491}" name="2-2" dataDxfId="189">
      <calculatedColumnFormula array="1">IF(AND(Y$2&lt;&gt;0,TblTech[[#This Row],[Hour]:[Hour]]&gt;=Y$2),1,0)</calculatedColumnFormula>
    </tableColumn>
    <tableColumn id="36" xr3:uid="{8EEFA1A3-F668-44A9-99D5-F625CDEC0846}" name="2-3" dataDxfId="188">
      <calculatedColumnFormula array="1">IF(AND(Z$2&lt;&gt;0,TblTech[[#This Row],[Hour]:[Hour]]&gt;=Z$2),1,0)</calculatedColumnFormula>
    </tableColumn>
    <tableColumn id="37" xr3:uid="{8B9C353C-5141-4E70-88A8-3C0ADC0F65A2}" name="2-4" dataDxfId="187">
      <calculatedColumnFormula array="1">IF(AND(AA$2&lt;&gt;0,TblTech[[#This Row],[Hour]:[Hour]]&gt;=AA$2),1,0)</calculatedColumnFormula>
    </tableColumn>
    <tableColumn id="38" xr3:uid="{4F9949FA-D32C-43B0-A632-BDA246027740}" name="2-5" dataDxfId="186">
      <calculatedColumnFormula array="1">IF(AND(AB$2&lt;&gt;0,TblTech[[#This Row],[Hour]:[Hour]]&gt;=AB$2),1,0)</calculatedColumnFormula>
    </tableColumn>
    <tableColumn id="39" xr3:uid="{E35ABE45-7462-4288-879B-43C24510B588}" name="2-6" dataDxfId="185">
      <calculatedColumnFormula array="1">IF(AND(AC$2&lt;&gt;0,TblTech[[#This Row],[Hour]:[Hour]]&gt;=AC$2),1,0)</calculatedColumnFormula>
    </tableColumn>
    <tableColumn id="40" xr3:uid="{B02ACA29-3024-4B8E-B2F0-E65F48E762BF}" name="2-7" dataDxfId="184">
      <calculatedColumnFormula array="1">IF(AND(AD$2&lt;&gt;0,TblTech[[#This Row],[Hour]:[Hour]]&gt;=AD$2),1,0)</calculatedColumnFormula>
    </tableColumn>
    <tableColumn id="41" xr3:uid="{34022863-F0D7-473E-B433-052438597C70}" name="2-8" dataDxfId="183">
      <calculatedColumnFormula array="1">IF(AND(AE$2&lt;&gt;0,TblTech[[#This Row],[Hour]:[Hour]]&gt;=AE$2),1,0)</calculatedColumnFormula>
    </tableColumn>
    <tableColumn id="42" xr3:uid="{4264B147-345F-4187-898B-976D4720C3B2}" name="2-9" dataDxfId="182">
      <calculatedColumnFormula array="1">IF(AND(AF$2&lt;&gt;0,TblTech[[#This Row],[Hour]:[Hour]]&gt;=AF$2),1,0)</calculatedColumnFormula>
    </tableColumn>
    <tableColumn id="43" xr3:uid="{040A812F-9A82-4FA5-96D4-BB0CE9B1567D}" name="2-10" dataDxfId="181">
      <calculatedColumnFormula array="1">IF(AND(AG$2&lt;&gt;0,TblTech[[#This Row],[Hour]:[Hour]]&gt;=AG$2),1,0)</calculatedColumnFormula>
    </tableColumn>
    <tableColumn id="44" xr3:uid="{65E9F477-8A73-4C7D-9453-E8F8A13C4220}" name="3-1" dataDxfId="180">
      <calculatedColumnFormula array="1">IF(AND(AH$2&lt;&gt;0,TblTech[[#This Row],[Hour]:[Hour]]&gt;=AH$2),1,0)</calculatedColumnFormula>
    </tableColumn>
    <tableColumn id="45" xr3:uid="{86A8FA88-B983-4431-9D5A-9A068F2DE89C}" name="3-2" dataDxfId="179">
      <calculatedColumnFormula array="1">IF(AND(AI$2&lt;&gt;0,TblTech[[#This Row],[Hour]:[Hour]]&gt;=AI$2),1,0)</calculatedColumnFormula>
    </tableColumn>
    <tableColumn id="46" xr3:uid="{B4D6E3D7-41BB-4A05-98AF-36C706567C66}" name="3-3" dataDxfId="178">
      <calculatedColumnFormula array="1">IF(AND(AJ$2&lt;&gt;0,TblTech[[#This Row],[Hour]:[Hour]]&gt;=AJ$2),1,0)</calculatedColumnFormula>
    </tableColumn>
    <tableColumn id="47" xr3:uid="{A65655BF-F389-46E7-B712-282C9B16E721}" name="3-4" dataDxfId="177">
      <calculatedColumnFormula array="1">IF(AND(AK$2&lt;&gt;0,TblTech[[#This Row],[Hour]:[Hour]]&gt;=AK$2),1,0)</calculatedColumnFormula>
    </tableColumn>
    <tableColumn id="48" xr3:uid="{6AC53AFF-C5BC-4C6E-A226-AD750DEF26F0}" name="3-5" dataDxfId="176">
      <calculatedColumnFormula array="1">IF(AND(AL$2&lt;&gt;0,TblTech[[#This Row],[Hour]:[Hour]]&gt;=AL$2),1,0)</calculatedColumnFormula>
    </tableColumn>
    <tableColumn id="49" xr3:uid="{517C8F30-6F70-4A9F-930D-87F70A281D06}" name="3-6" dataDxfId="175">
      <calculatedColumnFormula array="1">IF(AND(AM$2&lt;&gt;0,TblTech[[#This Row],[Hour]:[Hour]]&gt;=AM$2),1,0)</calculatedColumnFormula>
    </tableColumn>
    <tableColumn id="50" xr3:uid="{3B9D0CD9-1DC1-4BF8-84D6-0C15DCE53BA3}" name="3-7" dataDxfId="174">
      <calculatedColumnFormula array="1">IF(AND(AN$2&lt;&gt;0,TblTech[[#This Row],[Hour]:[Hour]]&gt;=AN$2),1,0)</calculatedColumnFormula>
    </tableColumn>
    <tableColumn id="51" xr3:uid="{BF773A1C-6C94-4253-89D5-6B882BDABD54}" name="3-8" dataDxfId="173">
      <calculatedColumnFormula array="1">IF(AND(AO$2&lt;&gt;0,TblTech[[#This Row],[Hour]:[Hour]]&gt;=AO$2),1,0)</calculatedColumnFormula>
    </tableColumn>
    <tableColumn id="52" xr3:uid="{D719799C-D81A-4575-B1F1-9835FB72D924}" name="3-9" dataDxfId="172">
      <calculatedColumnFormula array="1">IF(AND(AP$2&lt;&gt;0,TblTech[[#This Row],[Hour]:[Hour]]&gt;=AP$2),1,0)</calculatedColumnFormula>
    </tableColumn>
    <tableColumn id="53" xr3:uid="{81CD67AD-C2F6-496B-991C-75EACF4860E0}" name="4-1" dataDxfId="171">
      <calculatedColumnFormula array="1">IF(AND(AQ$2&lt;&gt;0,TblTech[[#This Row],[Hour]:[Hour]]&gt;=AQ$2),1,0)</calculatedColumnFormula>
    </tableColumn>
    <tableColumn id="54" xr3:uid="{3255B3D4-FF8E-4B91-8A83-C128D00B29D0}" name="4-2" dataDxfId="170">
      <calculatedColumnFormula array="1">IF(AND(AR$2&lt;&gt;0,TblTech[[#This Row],[Hour]:[Hour]]&gt;=AR$2),1,0)</calculatedColumnFormula>
    </tableColumn>
    <tableColumn id="55" xr3:uid="{E9B22F56-FCCE-4890-8FF4-FF6D8C0863D0}" name="4-3" dataDxfId="169">
      <calculatedColumnFormula array="1">IF(AND(AS$2&lt;&gt;0,TblTech[[#This Row],[Hour]:[Hour]]&gt;=AS$2),1,0)</calculatedColumnFormula>
    </tableColumn>
    <tableColumn id="56" xr3:uid="{1C0A6BE0-6DBC-40E6-B512-F921E4637B0B}" name="4-4" dataDxfId="168">
      <calculatedColumnFormula array="1">IF(AND(AT$2&lt;&gt;0,TblTech[[#This Row],[Hour]:[Hour]]&gt;=AT$2),1,0)</calculatedColumnFormula>
    </tableColumn>
    <tableColumn id="57" xr3:uid="{5DAC0420-BB86-481B-957A-78DB826A7E20}" name="4-5" dataDxfId="167">
      <calculatedColumnFormula array="1">IF(AND(AU$2&lt;&gt;0,TblTech[[#This Row],[Hour]:[Hour]]&gt;=AU$2),1,0)</calculatedColumnFormula>
    </tableColumn>
    <tableColumn id="58" xr3:uid="{2442830B-618D-4A03-A6E6-23EC65BAB59B}" name="4-6" dataDxfId="166">
      <calculatedColumnFormula array="1">IF(AND(AV$2&lt;&gt;0,TblTech[[#This Row],[Hour]:[Hour]]&gt;=AV$2),1,0)</calculatedColumnFormula>
    </tableColumn>
    <tableColumn id="59" xr3:uid="{8AB48F18-B215-484F-9058-BE5431D00ED5}" name="4-7" dataDxfId="165">
      <calculatedColumnFormula array="1">IF(AND(AW$2&lt;&gt;0,TblTech[[#This Row],[Hour]:[Hour]]&gt;=AW$2),1,0)</calculatedColumnFormula>
    </tableColumn>
    <tableColumn id="60" xr3:uid="{3B7FB99A-0607-4DBC-A93C-47B6B21464A5}" name="4-8" dataDxfId="164">
      <calculatedColumnFormula array="1">IF(AND(AX$2&lt;&gt;0,TblTech[[#This Row],[Hour]:[Hour]]&gt;=AX$2),1,0)</calculatedColumnFormula>
    </tableColumn>
    <tableColumn id="61" xr3:uid="{CFAAB1A4-4760-4FF3-BF0E-D276BAEF346A}" name="5-1" dataDxfId="163">
      <calculatedColumnFormula array="1">IF(AND(AY$2&lt;&gt;0,TblTech[[#This Row],[Hour]:[Hour]]&gt;=AY$2),1,0)</calculatedColumnFormula>
    </tableColumn>
    <tableColumn id="62" xr3:uid="{E5F62076-AF81-4EE1-A6D2-C4FBF4181C93}" name="5-2" dataDxfId="162">
      <calculatedColumnFormula array="1">IF(AND(AZ$2&lt;&gt;0,TblTech[[#This Row],[Hour]:[Hour]]&gt;=AZ$2),1,0)</calculatedColumnFormula>
    </tableColumn>
    <tableColumn id="63" xr3:uid="{EE3346E8-7A22-4F0A-94B7-B36570A0B72E}" name="5-3" dataDxfId="161">
      <calculatedColumnFormula array="1">IF(AND(BA$2&lt;&gt;0,TblTech[[#This Row],[Hour]:[Hour]]&gt;=BA$2),1,0)</calculatedColumnFormula>
    </tableColumn>
    <tableColumn id="64" xr3:uid="{19F3E157-570E-4E1E-BCC2-3EF92D7B8A8B}" name="5-4" dataDxfId="160">
      <calculatedColumnFormula array="1">IF(AND(BB$2&lt;&gt;0,TblTech[[#This Row],[Hour]:[Hour]]&gt;=BB$2),1,0)</calculatedColumnFormula>
    </tableColumn>
    <tableColumn id="65" xr3:uid="{A59D5D3A-678C-49C4-A3B5-D86FF0C14500}" name="5-5" dataDxfId="159">
      <calculatedColumnFormula array="1">IF(AND(BC$2&lt;&gt;0,TblTech[[#This Row],[Hour]:[Hour]]&gt;=BC$2),1,0)</calculatedColumnFormula>
    </tableColumn>
    <tableColumn id="66" xr3:uid="{3EBEC9F5-18F1-461D-AF3F-E66DA870B9ED}" name="5-6" dataDxfId="158">
      <calculatedColumnFormula array="1">IF(AND(BD$2&lt;&gt;0,TblTech[[#This Row],[Hour]:[Hour]]&gt;=BD$2),1,0)</calculatedColumnFormula>
    </tableColumn>
    <tableColumn id="67" xr3:uid="{20985549-198B-4F2A-AF78-070BD8A22298}" name="5-7" dataDxfId="157">
      <calculatedColumnFormula array="1">IF(AND(BE$2&lt;&gt;0,TblTech[[#This Row],[Hour]:[Hour]]&gt;=BE$2),1,0)</calculatedColumnFormula>
    </tableColumn>
    <tableColumn id="68" xr3:uid="{F4DDB15D-3A5D-449E-8491-EA836A4AB090}" name="6-1" dataDxfId="156">
      <calculatedColumnFormula array="1">IF(AND(BF$2&lt;&gt;0,TblTech[[#This Row],[Hour]:[Hour]]&gt;=BF$2),1,0)</calculatedColumnFormula>
    </tableColumn>
    <tableColumn id="69" xr3:uid="{CC7E2300-DCD5-46C6-AD93-8F283F035DAF}" name="6-2" dataDxfId="155">
      <calculatedColumnFormula array="1">IF(AND(BG$2&lt;&gt;0,TblTech[[#This Row],[Hour]:[Hour]]&gt;=BG$2),1,0)</calculatedColumnFormula>
    </tableColumn>
    <tableColumn id="70" xr3:uid="{0DC5B532-84DD-40E3-9A96-3B7ED120C52C}" name="6-3" dataDxfId="154">
      <calculatedColumnFormula array="1">IF(AND(BH$2&lt;&gt;0,TblTech[[#This Row],[Hour]:[Hour]]&gt;=BH$2),1,0)</calculatedColumnFormula>
    </tableColumn>
    <tableColumn id="71" xr3:uid="{DBF8F56A-2B38-47BE-86BB-D34F12B071FA}" name="6-4" dataDxfId="153">
      <calculatedColumnFormula array="1">IF(AND(BI$2&lt;&gt;0,TblTech[[#This Row],[Hour]:[Hour]]&gt;=BI$2),1,0)</calculatedColumnFormula>
    </tableColumn>
    <tableColumn id="72" xr3:uid="{8A63D20A-B735-48C5-9D04-93C0E6922380}" name="6-5" dataDxfId="152">
      <calculatedColumnFormula array="1">IF(AND(BJ$2&lt;&gt;0,TblTech[[#This Row],[Hour]:[Hour]]&gt;=BJ$2),1,0)</calculatedColumnFormula>
    </tableColumn>
    <tableColumn id="73" xr3:uid="{40ABCA6E-09C4-437C-8184-D2AA8A46BADC}" name="6-6" dataDxfId="151">
      <calculatedColumnFormula array="1">IF(AND(BK$2&lt;&gt;0,TblTech[[#This Row],[Hour]:[Hour]]&gt;=BK$2),1,0)</calculatedColumnFormula>
    </tableColumn>
    <tableColumn id="74" xr3:uid="{304D27FC-5054-456F-9FA0-3E170324E735}" name="7-1" dataDxfId="150">
      <calculatedColumnFormula array="1">IF(AND(BL$2&lt;&gt;0,TblTech[[#This Row],[Hour]:[Hour]]&gt;=BL$2),1,0)</calculatedColumnFormula>
    </tableColumn>
    <tableColumn id="75" xr3:uid="{F53A9B26-BE5F-4442-9E77-570EB38C7B2D}" name="7-2" dataDxfId="149">
      <calculatedColumnFormula array="1">IF(AND(BM$2&lt;&gt;0,TblTech[[#This Row],[Hour]:[Hour]]&gt;=BM$2),1,0)</calculatedColumnFormula>
    </tableColumn>
    <tableColumn id="76" xr3:uid="{5A1C0BCB-6C77-48A3-8B36-DA0838BEFD4F}" name="7-3" dataDxfId="148">
      <calculatedColumnFormula array="1">IF(AND(BN$2&lt;&gt;0,TblTech[[#This Row],[Hour]:[Hour]]&gt;=BN$2),1,0)</calculatedColumnFormula>
    </tableColumn>
    <tableColumn id="77" xr3:uid="{96D50B4B-A1C4-4AE1-87EE-409B3128CB4D}" name="7-4" dataDxfId="147">
      <calculatedColumnFormula array="1">IF(AND(BO$2&lt;&gt;0,TblTech[[#This Row],[Hour]:[Hour]]&gt;=BO$2),1,0)</calculatedColumnFormula>
    </tableColumn>
    <tableColumn id="78" xr3:uid="{64A36F5D-65DB-44C8-84EC-A1A1FFF2B3AB}" name="7-5" dataDxfId="146">
      <calculatedColumnFormula array="1">IF(AND(BP$2&lt;&gt;0,TblTech[[#This Row],[Hour]:[Hour]]&gt;=BP$2),1,0)</calculatedColumnFormula>
    </tableColumn>
    <tableColumn id="79" xr3:uid="{73D8C7B5-D3FC-4DB3-BB3C-6A056F59A2A0}" name="8-1" dataDxfId="145">
      <calculatedColumnFormula array="1">IF(AND(BQ$2&lt;&gt;0,TblTech[[#This Row],[Hour]:[Hour]]&gt;=BQ$2),1,0)</calculatedColumnFormula>
    </tableColumn>
    <tableColumn id="80" xr3:uid="{8C8F01C9-13ED-4ABA-B4ED-5D892B20A077}" name="8-2" dataDxfId="144">
      <calculatedColumnFormula array="1">IF(AND(BR$2&lt;&gt;0,TblTech[[#This Row],[Hour]:[Hour]]&gt;=BR$2),1,0)</calculatedColumnFormula>
    </tableColumn>
    <tableColumn id="81" xr3:uid="{954DF58F-2216-42C3-A4F3-4A1B568C8A7F}" name="8-3" dataDxfId="143">
      <calculatedColumnFormula array="1">IF(AND(BS$2&lt;&gt;0,TblTech[[#This Row],[Hour]:[Hour]]&gt;=BS$2),1,0)</calculatedColumnFormula>
    </tableColumn>
    <tableColumn id="82" xr3:uid="{941FAEC7-7D7C-4C75-9F8E-BB3469E2F29F}" name="8-4" dataDxfId="142">
      <calculatedColumnFormula array="1">IF(AND(BT$2&lt;&gt;0,TblTech[[#This Row],[Hour]:[Hour]]&gt;=BT$2),1,0)</calculatedColumnFormula>
    </tableColumn>
    <tableColumn id="83" xr3:uid="{27C9395E-8B81-4CBA-8523-A330679CAE04}" name="9-1" dataDxfId="141">
      <calculatedColumnFormula array="1">IF(AND(BU$2&lt;&gt;0,TblTech[[#This Row],[Hour]:[Hour]]&gt;=BU$2),1,0)</calculatedColumnFormula>
    </tableColumn>
    <tableColumn id="84" xr3:uid="{90667EBE-7747-4976-9947-BD9386AEC90C}" name="9-2" dataDxfId="140">
      <calculatedColumnFormula array="1">IF(AND(BV$2&lt;&gt;0,TblTech[[#This Row],[Hour]:[Hour]]&gt;=BV$2),1,0)</calculatedColumnFormula>
    </tableColumn>
    <tableColumn id="85" xr3:uid="{8AA93356-F62A-4D0B-B2F8-5CADB2567ECF}" name="9-3" dataDxfId="139">
      <calculatedColumnFormula array="1">IF(AND(BW$2&lt;&gt;0,TblTech[[#This Row],[Hour]:[Hour]]&gt;=BW$2),1,0)</calculatedColumnFormula>
    </tableColumn>
    <tableColumn id="86" xr3:uid="{C66AB8D9-7BBC-415A-8732-B5DF0FF2495D}" name="10-1" dataDxfId="138">
      <calculatedColumnFormula array="1">IF(AND(BX$2&lt;&gt;0,TblTech[[#This Row],[Hour]:[Hour]]&gt;=BX$2),1,0)</calculatedColumnFormula>
    </tableColumn>
    <tableColumn id="87" xr3:uid="{13FA2B9A-3F31-4A51-9E2B-753CC6C8AA88}" name="10-2" dataDxfId="137">
      <calculatedColumnFormula array="1">IF(AND(BY$2&lt;&gt;0,TblTech[[#This Row],[Hour]:[Hour]]&gt;=BY$2),1,0)</calculatedColumnFormula>
    </tableColumn>
    <tableColumn id="88" xr3:uid="{D4F65702-E3D7-4783-B103-20F8DD7E4532}" name="11-1" dataDxfId="136">
      <calculatedColumnFormula array="1">IF(AND(BZ$2&lt;&gt;0,TblTech[[#This Row],[Hour]:[Hour]]&gt;=BZ$2),1,0)</calculatedColumnFormula>
    </tableColumn>
    <tableColumn id="89" xr3:uid="{0428044E-0525-4B76-80C9-2D449BDFDA1D}" name="Tech" dataDxfId="135">
      <calculatedColumnFormula>IFERROR(INDEX(#REF!,MATCH(MIN(#REF!),#REF!,0)),"")</calculatedColumnFormula>
    </tableColumn>
  </tableColumns>
  <tableStyleInfo name="TableStyleLight1 3 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CA136" totalsRowShown="0" headerRowDxfId="123" dataDxfId="121" headerRowBorderDxfId="122" tableBorderDxfId="120">
  <autoFilter ref="A3:CA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1" xr3:uid="{8B853867-4FF4-4598-9642-7AE686A60E0E}" name="Land" dataDxfId="119">
      <calculatedColumnFormula>TblConstr[[#This Row],[Land]]</calculatedColumnFormula>
    </tableColumn>
    <tableColumn id="2" xr3:uid="{AF6EC8F3-9D95-46FD-B967-FAAF3638AE73}" name="." dataDxfId="118"/>
    <tableColumn id="3" xr3:uid="{FF282ACC-05AC-4142-89E7-09EE52E6FD72}" name="Platinum" dataDxfId="117">
      <calculatedColumnFormula>TblProd[[#This Row],[Platinum]]</calculatedColumnFormula>
    </tableColumn>
    <tableColumn id="4" xr3:uid="{F2178B14-2531-41FE-8DC7-F919571A183A}" name="Lumber" dataDxfId="116">
      <calculatedColumnFormula>TblProd[[#This Row],[Lumber]]</calculatedColumnFormula>
    </tableColumn>
    <tableColumn id="5" xr3:uid="{E437C993-EDEE-4BB3-942B-73180B524B81}" name="Ore" dataDxfId="115">
      <calculatedColumnFormula>TblProd[[#This Row],[Ore]]</calculatedColumnFormula>
    </tableColumn>
    <tableColumn id="6" xr3:uid="{C515063B-AE7C-4BAF-93AB-7443CE68AC54}" name="Gems" dataDxfId="114">
      <calculatedColumnFormula>TblProd[[#This Row],[Gems]]</calculatedColumnFormula>
    </tableColumn>
    <tableColumn id="7" xr3:uid="{935F3905-1AC4-42EE-8A78-476F2F815DFD}" name=".." dataDxfId="113"/>
    <tableColumn id="8" xr3:uid="{A8E01FC0-2F13-4C73-B50D-1FA1083B0FFA}" name="Drafees" dataDxfId="112">
      <calculatedColumnFormula>TblMili[[#This Row],[Draftees]]</calculatedColumnFormula>
    </tableColumn>
    <tableColumn id="9" xr3:uid="{FF70B178-883B-4FA3-B446-2BB364451655}" name="Employed" dataDxfId="111" dataCellStyle="Percent">
      <calculatedColumnFormula>TblPop[[#This Row],[Employment]]</calculatedColumnFormula>
    </tableColumn>
    <tableColumn id="10" xr3:uid="{8AB351E3-8FED-4F8D-951B-AA2D279B0091}" name="Population" dataDxfId="110" dataCellStyle="Percent">
      <calculatedColumnFormula>TblPop[[#This Row],[Total]]/TblPop[[#This Row],[Net max]]</calculatedColumnFormula>
    </tableColumn>
    <tableColumn id="11" xr3:uid="{3D13675F-4203-4882-AC02-B7629E90679D}" name="Hour" dataDxfId="109" dataCellStyle="Percent">
      <calculatedColumnFormula>TblRezone[[#This Row],[Hour]]</calculatedColumnFormula>
    </tableColumn>
    <tableColumn id="12" xr3:uid="{50E3FF0B-DB5B-4715-971A-2D8F804DD3F4}" name="Time" dataDxfId="108" dataCellStyle="Percent">
      <calculatedColumnFormula>TblImps[[#This Row],[Real time]]</calculatedColumnFormula>
    </tableColumn>
    <tableColumn id="13" xr3:uid="{33373A28-E349-4A6C-946C-A172D9829897}" name="Login" dataDxfId="107">
      <calculatedColumnFormula>IF(ISERROR(TblImps[[#This Row],[algorithm]]),0,TblImps[[#This Row],[algorithm]]*1)</calculatedColumnFormula>
    </tableColumn>
    <tableColumn id="14" xr3:uid="{820813AE-0D29-4E3D-B99A-7C5B810B4DA6}" name="Land (3)" dataDxfId="106">
      <calculatedColumnFormula>TblImps[[#This Row],[Land]]</calculatedColumnFormula>
    </tableColumn>
    <tableColumn id="15" xr3:uid="{D8234223-045A-48CE-8E60-8B1B718D1273}" name="Resource" dataDxfId="105"/>
    <tableColumn id="16" xr3:uid="{9AB57DEC-DF25-44AD-97D1-1EF820C63FF2}" name="Amount" dataDxfId="104"/>
    <tableColumn id="17" xr3:uid="{1ECA1762-52EB-4370-862C-42E5B7F71087}" name="Part" dataDxfId="103"/>
    <tableColumn id="18" xr3:uid="{45AD7F60-4F2F-47B2-8046-04C9C5A445EE}" name="Resource 2" dataDxfId="102"/>
    <tableColumn id="19" xr3:uid="{1D8720C7-5940-4FF1-AF3B-FB70E475E9BA}" name="Amount 2" dataDxfId="101"/>
    <tableColumn id="20" xr3:uid="{1AF884E5-0A32-404F-8142-8BDFCA31C5EF}" name="Part 2" dataDxfId="100"/>
    <tableColumn id="21" xr3:uid="{FFCC36EF-B2F1-46BE-827C-260D53435D8F}" name="Resource 3" dataDxfId="99"/>
    <tableColumn id="22" xr3:uid="{AAD98AF1-A248-4594-A8A2-ADB665DABE8F}" name="Amount 3" dataDxfId="98"/>
    <tableColumn id="23" xr3:uid="{5BDF5795-C792-45A5-AC6D-35BE17C06BBC}" name="Part 3" dataDxfId="97"/>
    <tableColumn id="24" xr3:uid="{AB1402EA-4B4E-4F7F-B76D-14CCFC4BF881}" name="…" dataDxfId="96"/>
    <tableColumn id="25" xr3:uid="{C82B3C56-E90F-4536-A41D-465C61544B49}" name="Science" dataDxfId="95">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4">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Spires" dataDxfId="93">
      <calculatedColumnFormula>harbor_towers_cap*(1-EXP(-TblImps[[#This Row],[Σ Spires]]/(towers_param*(OFFSET(TblImps[[#This Row],[Land]],1,0)-OFFSET(TblExplore[[#This Row],[Land Bonus]],1,0)*20)+15000)))*(1+(mason_bonus*TblConstr[[#This Row],[Tot Mas]]/TblConstr[[#This Row],[Land (2)]]))</calculatedColumnFormula>
    </tableColumn>
    <tableColumn id="28" xr3:uid="{F237E440-111E-4CDB-81C9-3FE019193498}" name="Forges" dataDxfId="92">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91">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Harbor" dataDxfId="90">
      <calculatedColumnFormula>harbor_towers_cap*(1-EXP(-TblImps[[#This Row],[Σ Harbor]]/(harbor_towers_param*(OFFSET(TblImps[[#This Row],[Land]],1,0)-OFFSET(TblExplore[[#This Row],[Land Bonus]],1,0)*20)+15000)))*(1+(mason_bonus*TblConstr[[#This Row],[Tot Mas]]/TblConstr[[#This Row],[Land (2)]]))</calculatedColumnFormula>
    </tableColumn>
    <tableColumn id="31" xr3:uid="{E38D69F0-0D00-401F-BA01-677E9B5020C5}" name="…." dataDxfId="89"/>
    <tableColumn id="32" xr3:uid="{C7C4061A-6DA9-4687-A437-B442C90A5089}" name="Σ Science" dataDxfId="88">
      <calculatedColumnFormula>(1+Overview!$I$29)*SUM(TblImps[[#This Row],[P2]:[G2]])+OFFSET(TblImps[[#This Row],[Σ Science]],-1,0)</calculatedColumnFormula>
    </tableColumn>
    <tableColumn id="33" xr3:uid="{87424BBC-4CC9-4173-85AC-5C6A6ECFFB84}" name="Σ Keep" dataDxfId="87">
      <calculatedColumnFormula>(1+Overview!$I$29)*SUM(TblImps[[#This Row],[P3]:[G3]])+OFFSET(TblImps[[#This Row],[Σ Keep]],-1,0)</calculatedColumnFormula>
    </tableColumn>
    <tableColumn id="34" xr3:uid="{3DB81FE6-4CBC-4F36-973D-C8F8D1BD09A1}" name="Σ Spires" dataDxfId="86">
      <calculatedColumnFormula>(1+Overview!$I$29 + tech_7_1*TblTech[[#This Row],[7-1]])*SUM(TblImps[[#This Row],[P4]:[G4]])+OFFSET(TblImps[[#This Row],[Σ Spires]],-1,0)</calculatedColumnFormula>
    </tableColumn>
    <tableColumn id="35" xr3:uid="{485A62F9-7EE3-40A9-BDA7-9F3E4E3EC0E1}" name="Σ Forges" dataDxfId="85">
      <calculatedColumnFormula>(1+Overview!$I$29)*SUM(TblImps[[#This Row],[P5]:[FW5]])+OFFSET(TblImps[[#This Row],[Σ Forges]],-1,0)</calculatedColumnFormula>
    </tableColumn>
    <tableColumn id="36" xr3:uid="{CEDFD8F7-5AA6-4236-AE0F-14B6F23AE524}" name="Σ Walls" dataDxfId="84">
      <calculatedColumnFormula>(1+Overview!$I$29)*SUM(TblImps[[#This Row],[P6]:[G6]])+OFFSET(TblImps[[#This Row],[Σ Walls]],-1,0)</calculatedColumnFormula>
    </tableColumn>
    <tableColumn id="37" xr3:uid="{1C140D1F-1021-4314-82BD-7176A05B078C}" name="Σ Harbor" dataDxfId="83">
      <calculatedColumnFormula>(1+Overview!$I$29 + tech_7_1*TblTech[[#This Row],[7-1]])*SUM(TblImps[[#This Row],[P7]:[G7]])+OFFSET(TblImps[[#This Row],[Σ Harbor]],-1,0)</calculatedColumnFormula>
    </tableColumn>
    <tableColumn id="38" xr3:uid="{808772B5-D74B-4C2E-9369-56BA268972E4}" name="….." dataDxfId="82"/>
    <tableColumn id="39" xr3:uid="{A732ACBF-AEA8-4BC8-8A5C-C0F5525B84B4}" name="P1" dataDxfId="81">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80">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79">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78">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77"/>
    <tableColumn id="44" xr3:uid="{B4E4C91D-5302-4D99-9223-7DC08C0F56E2}" name="P2" dataDxfId="76">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75">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74">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73">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2"/>
    <tableColumn id="49" xr3:uid="{2713D17E-C072-4464-ACFB-1E3B4E4768C8}" name="P3" dataDxfId="71">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70">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69">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68">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67"/>
    <tableColumn id="54" xr3:uid="{60744F8B-EA90-4F3F-908D-1DBF81E4FBBC}" name="P4" dataDxfId="66">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65">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64">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63">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62"/>
    <tableColumn id="59" xr3:uid="{7CAD4FEB-38C3-4ECC-9BB4-566F90D38057}" name="P5" dataDxfId="61">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60">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59">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58">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79" xr3:uid="{82DDD14A-93EB-44E8-B2CD-09DAA5D38C77}" name="FW5" dataDxfId="57">
      <calculatedColumnFormula>IF(OFFSET(TblMagic[[#This Row],[Active Alchemists Flame]],-1,0)&gt;0,TblConstr[[#This Row],[Tot Alc]]*alchemist_flame_invest,0)</calculatedColumnFormula>
    </tableColumn>
    <tableColumn id="63" xr3:uid="{22605E6F-6335-44A7-8340-9D5A857286D7}" name="…......." dataDxfId="56"/>
    <tableColumn id="64" xr3:uid="{74BD3EE9-84CB-4606-9851-F46947A6E124}" name="P6" dataDxfId="55">
      <calculatedColumnFormula>IF(TblImps[[#This Row],[Resource]]=BM$2,IF(TblImps[[#This Row],[Part]]=$AC$2,TblImps[[#This Row],[Amount]]*plat_invest)) + IF(TblImps[[#This Row],[Resource 2]]=BM$2,IF(TblImps[[#This Row],[Part 2]]=$AC$2,TblImps[[#This Row],[Amount 2]]*plat_invest)) + IF(TblImps[[#This Row],[Resource 3]]=BM$2,IF(TblImps[[#This Row],[Part 3]]=$AC$2,TblImps[[#This Row],[Amount 3]]*plat_invest))</calculatedColumnFormula>
    </tableColumn>
    <tableColumn id="65" xr3:uid="{F266A8BA-8CC3-4601-95F2-5F977F23CC3C}" name="L6" dataDxfId="54">
      <calculatedColumnFormula>IF(TblImps[[#This Row],[Resource]]=BN$2,IF(TblImps[[#This Row],[Part]]=$AC$2,TblImps[[#This Row],[Amount]]*lumber_invest)) + IF(TblImps[[#This Row],[Resource 2]]=BN$2,IF(TblImps[[#This Row],[Part 2]]=$AC$2,TblImps[[#This Row],[Amount 2]]*lumber_invest)) + IF(TblImps[[#This Row],[Resource 3]]=BN$2,IF(TblImps[[#This Row],[Part 3]]=$AC$2,TblImps[[#This Row],[Amount 3]]*lumber_invest))</calculatedColumnFormula>
    </tableColumn>
    <tableColumn id="66" xr3:uid="{73623468-7991-4CDF-BBF6-67A0C3387D2F}" name="O6" dataDxfId="53">
      <calculatedColumnFormula>IF(TblImps[[#This Row],[Resource]]=BO$2,IF(TblImps[[#This Row],[Part]]=$AC$2,TblImps[[#This Row],[Amount]]*ore_invest)) + IF(TblImps[[#This Row],[Resource 2]]=BO$2,IF(TblImps[[#This Row],[Part 2]]=$AC$2,TblImps[[#This Row],[Amount 2]]*ore_invest)) + IF(TblImps[[#This Row],[Resource 3]]=BO$2,IF(TblImps[[#This Row],[Part 3]]=$AC$2,TblImps[[#This Row],[Amount 3]]*ore_invest))</calculatedColumnFormula>
    </tableColumn>
    <tableColumn id="67" xr3:uid="{82BAE55C-FE60-4E58-BBAD-C4C76AA392E3}" name="G6" dataDxfId="52">
      <calculatedColumnFormula>IF(TblImps[[#This Row],[Resource]]=BP$2,IF(TblImps[[#This Row],[Part]]=$AC$2,TblImps[[#This Row],[Amount]]*gem_invest)) + IF(TblImps[[#This Row],[Resource 2]]=BP$2,IF(TblImps[[#This Row],[Part 2]]=$AC$2,TblImps[[#This Row],[Amount 2]]*gem_invest)) + IF(TblImps[[#This Row],[Resource 3]]=BP$2,IF(TblImps[[#This Row],[Part 3]]=$AC$2,TblImps[[#This Row],[Amount 3]]*gem_invest))</calculatedColumnFormula>
    </tableColumn>
    <tableColumn id="68" xr3:uid="{099954FE-B697-4DA6-AFF1-CD53B979F914}" name="…........" dataDxfId="51"/>
    <tableColumn id="69" xr3:uid="{C84893E8-5E85-463B-9E51-879ADAA64B83}" name="P7" dataDxfId="50">
      <calculatedColumnFormula>IF(TblImps[[#This Row],[Resource]]=BR$2,IF(TblImps[[#This Row],[Part]]=$AD$2,TblImps[[#This Row],[Amount]]*plat_invest)) + IF(TblImps[[#This Row],[Resource 2]]=BR$2,IF(TblImps[[#This Row],[Part 2]]=$AD$2,TblImps[[#This Row],[Amount 2]]*plat_invest)) + IF(TblImps[[#This Row],[Resource 3]]=BR$2,IF(TblImps[[#This Row],[Part 3]]=$AD$2,TblImps[[#This Row],[Amount 3]]*plat_invest))</calculatedColumnFormula>
    </tableColumn>
    <tableColumn id="70" xr3:uid="{48F49DEB-7DDE-4B3E-8C67-B32AB76DD814}" name="L7" dataDxfId="49">
      <calculatedColumnFormula>IF(TblImps[[#This Row],[Resource]]=BS$2,IF(TblImps[[#This Row],[Part]]=$AD$2,TblImps[[#This Row],[Amount]]*lumber_invest)) + IF(TblImps[[#This Row],[Resource 2]]=BS$2,IF(TblImps[[#This Row],[Part 2]]=$AD$2,TblImps[[#This Row],[Amount 2]]*lumber_invest)) + IF(TblImps[[#This Row],[Resource 3]]=BS$2,IF(TblImps[[#This Row],[Part 3]]=$AD$2,TblImps[[#This Row],[Amount 3]]*lumber_invest))</calculatedColumnFormula>
    </tableColumn>
    <tableColumn id="71" xr3:uid="{DD30EA2C-7008-455C-B999-AF907234A41D}" name="O7" dataDxfId="48">
      <calculatedColumnFormula>IF(TblImps[[#This Row],[Resource]]=BT$2,IF(TblImps[[#This Row],[Part]]=$AD$2,TblImps[[#This Row],[Amount]]*ore_invest)) + IF(TblImps[[#This Row],[Resource 2]]=BT$2,IF(TblImps[[#This Row],[Part 2]]=$AD$2,TblImps[[#This Row],[Amount 2]]*ore_invest)) + IF(TblImps[[#This Row],[Resource 3]]=BT$2,IF(TblImps[[#This Row],[Part 3]]=$AD$2,TblImps[[#This Row],[Amount 3]]*ore_invest))</calculatedColumnFormula>
    </tableColumn>
    <tableColumn id="72" xr3:uid="{609097EE-C87B-48ED-AFB5-7A961F13ECF1}" name="G7" dataDxfId="47">
      <calculatedColumnFormula>IF(TblImps[[#This Row],[Resource]]=BU$2,IF(TblImps[[#This Row],[Part]]=$AD$2,TblImps[[#This Row],[Amount]]*gem_invest)) + IF(TblImps[[#This Row],[Resource 2]]=BU$2,IF(TblImps[[#This Row],[Part 2]]=$AD$2,TblImps[[#This Row],[Amount 2]]*gem_invest)) + IF(TblImps[[#This Row],[Resource 3]]=BU$2,IF(TblImps[[#This Row],[Part 3]]=$AD$2,TblImps[[#This Row],[Amount 3]]*gem_invest))</calculatedColumnFormula>
    </tableColumn>
    <tableColumn id="73" xr3:uid="{46BE8DD2-D0E4-4267-981F-D2E3B4D9A825}" name="…........2" dataDxfId="46"/>
    <tableColumn id="74" xr3:uid="{5E81B67E-95F1-40DA-AE37-BCD09DA9E039}" name="algorithm" dataDxfId="45">
      <calculatedColumnFormula>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calculatedColumnFormula>
    </tableColumn>
    <tableColumn id="75" xr3:uid="{3A5916B5-278C-4066-8C42-9FB4D7A0F0F3}" name="Login (2)" dataDxfId="44">
      <calculatedColumnFormula>TblImps[[#This Row],[Login]]</calculatedColumnFormula>
    </tableColumn>
    <tableColumn id="76" xr3:uid="{373275D8-3CBB-4F26-950F-26616E92A24E}" name="….........." dataDxfId="43"/>
    <tableColumn id="77" xr3:uid="{E49F0585-8289-43E9-991C-7685E6B37B5A}" name="Real time" dataDxfId="42">
      <calculatedColumnFormula>OFFSET(TblImps[[#This Row],[Real time]],-1,0)+1/24</calculatedColumnFormula>
    </tableColumn>
    <tableColumn id="78" xr3:uid="{9298E765-5AD3-4871-BC34-97C5588F3D7E}" name="Servertime" dataDxfId="41">
      <calculatedColumnFormula>OFFSET(TblImps[[#This Row],[Servertime]],-1,0)+1/24</calculatedColumnFormula>
    </tableColumn>
  </tableColumns>
  <tableStyleInfo name="TableStyleLight1 5"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40" dataDxfId="39">
  <autoFilter ref="B2:E23" xr:uid="{D5B14ACA-C49B-4874-B495-C20CC986FF5C}"/>
  <tableColumns count="4">
    <tableColumn id="1" xr3:uid="{FDF1E222-5EC6-4F67-8D2F-219358D518C5}" name="Stats" dataDxfId="38"/>
    <tableColumn id="9" xr3:uid="{92C958C2-2DCD-4CDD-88AA-98294134A916}" name="Abbr" dataDxfId="37"/>
    <tableColumn id="2" xr3:uid="{1E0B1FDB-30FB-48CA-BD3D-8DF2FCB4975C}" name="Number" dataDxfId="36">
      <calculatedColumnFormula>_xlfn.IFNA(INDEX(TblConstr[],MATCH(Log!$I$28,TblConstr[Hour],0),MATCH(TblStats[[#This Row],[Abbr]],TblConstr[#Headers],0)),0)</calculatedColumnFormula>
    </tableColumn>
    <tableColumn id="3" xr3:uid="{ADBF0C8B-030F-4EBA-8274-EAA1CE134BB1}" name="Percent" dataDxfId="35"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96" totalsRowShown="0" headerRowDxfId="33" dataDxfId="32" tableBorderDxfId="31">
  <autoFilter ref="A4:AA96"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30"/>
    <tableColumn id="2" xr3:uid="{00000000-0010-0000-0100-000002000000}" name="Alignment" dataDxfId="29"/>
    <tableColumn id="3" xr3:uid="{00000000-0010-0000-0100-000003000000}" name="Homeland_Type" dataDxfId="28"/>
    <tableColumn id="4" xr3:uid="{00000000-0010-0000-0100-000004000000}" name="Unitname" dataDxfId="27"/>
    <tableColumn id="5" xr3:uid="{00000000-0010-0000-0100-000005000000}" name="OffensePwr" dataDxfId="26"/>
    <tableColumn id="6" xr3:uid="{00000000-0010-0000-0100-000006000000}" name="DefensePwr" dataDxfId="25"/>
    <tableColumn id="7" xr3:uid="{00000000-0010-0000-0100-000007000000}" name="Platcost" dataDxfId="24"/>
    <tableColumn id="8" xr3:uid="{00000000-0010-0000-0100-000008000000}" name="Orecost" dataDxfId="23"/>
    <tableColumn id="9" xr3:uid="{00000000-0010-0000-0100-000009000000}" name="Networth" dataDxfId="22"/>
    <tableColumn id="12" xr3:uid="{00000000-0010-0000-0100-00000C000000}" name="Max population" dataDxfId="21"/>
    <tableColumn id="13" xr3:uid="{00000000-0010-0000-0100-00000D000000}" name="Pop growth" dataDxfId="20"/>
    <tableColumn id="14" xr3:uid="{00000000-0010-0000-0100-00000E000000}" name="Platinum prod" dataDxfId="19"/>
    <tableColumn id="15" xr3:uid="{00000000-0010-0000-0100-00000F000000}" name="Food prod" dataDxfId="18"/>
    <tableColumn id="16" xr3:uid="{00000000-0010-0000-0100-000010000000}" name="Lumber prod" dataDxfId="17"/>
    <tableColumn id="17" xr3:uid="{00000000-0010-0000-0100-000011000000}" name="Mana prod" dataDxfId="16"/>
    <tableColumn id="18" xr3:uid="{00000000-0010-0000-0100-000012000000}" name="Ore prod" dataDxfId="15"/>
    <tableColumn id="19" xr3:uid="{00000000-0010-0000-0100-000013000000}" name="Gem prod" dataDxfId="14"/>
    <tableColumn id="20" xr3:uid="{00000000-0010-0000-0100-000014000000}" name="Food cons" dataDxfId="13"/>
    <tableColumn id="21" xr3:uid="{00000000-0010-0000-0100-000015000000}" name="Defense" dataDxfId="12"/>
    <tableColumn id="22" xr3:uid="{00000000-0010-0000-0100-000016000000}" name="Offense" dataDxfId="11"/>
    <tableColumn id="23" xr3:uid="{00000000-0010-0000-0100-000017000000}" name="Spy strength" dataDxfId="10"/>
    <tableColumn id="24" xr3:uid="{00000000-0010-0000-0100-000018000000}" name="Wizard strength" dataDxfId="9"/>
    <tableColumn id="25" xr3:uid="{00000000-0010-0000-0100-000019000000}" name="Invest bonus" dataDxfId="8"/>
    <tableColumn id="26" xr3:uid="{00000000-0010-0000-0100-00001A000000}" name="Rezone Cost" dataDxfId="7" dataCellStyle="Percent"/>
    <tableColumn id="27" xr3:uid="{00000000-0010-0000-0100-00001B000000}" name="Construction Cost" dataDxfId="6"/>
    <tableColumn id="28" xr3:uid="{00000000-0010-0000-0100-00001C000000}" name="Research" dataDxfId="5"/>
    <tableColumn id="10" xr3:uid="{93A4F69F-9C60-42FB-B0E6-B78AAB579797}" name="Explore Cost" dataDxfId="4"/>
  </tableColumns>
  <tableStyleInfo name="TableStyleLight1 3"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98:D104" totalsRowShown="0" headerRowDxfId="3" dataDxfId="2">
  <autoFilter ref="D98:D104" xr:uid="{00000000-0009-0000-0100-000002000000}"/>
  <tableColumns count="1">
    <tableColumn id="1" xr3:uid="{00000000-0010-0000-0200-000001000000}" name="waves:" dataDxfId="1"/>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table" Target="../tables/table9.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 Id="rId1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6.vml"/><Relationship Id="rId7" Type="http://schemas.openxmlformats.org/officeDocument/2006/relationships/ctrlProp" Target="../ctrlProps/ctrlProp5.xml"/><Relationship Id="rId12" Type="http://schemas.openxmlformats.org/officeDocument/2006/relationships/comments" Target="../comments6.xml"/><Relationship Id="rId2" Type="http://schemas.openxmlformats.org/officeDocument/2006/relationships/drawing" Target="../drawings/drawing3.xml"/><Relationship Id="rId1" Type="http://schemas.openxmlformats.org/officeDocument/2006/relationships/printerSettings" Target="../printerSettings/printerSettings11.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20.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1.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U98"/>
  <sheetViews>
    <sheetView tabSelected="1" zoomScale="85" zoomScaleNormal="85" workbookViewId="0">
      <selection activeCell="B14" sqref="B14"/>
    </sheetView>
  </sheetViews>
  <sheetFormatPr defaultColWidth="9.140625" defaultRowHeight="12.75" x14ac:dyDescent="0.2"/>
  <cols>
    <col min="1" max="1" width="18" style="45" customWidth="1"/>
    <col min="2" max="2" width="13.85546875" style="45" bestFit="1" customWidth="1"/>
    <col min="3" max="3" width="11.28515625" style="45" customWidth="1"/>
    <col min="4" max="4" width="14" style="45" customWidth="1"/>
    <col min="5" max="5" width="11.7109375" style="45" customWidth="1"/>
    <col min="6" max="6" width="12.7109375" style="45" customWidth="1"/>
    <col min="7" max="7" width="11.7109375" style="45" customWidth="1"/>
    <col min="8" max="10" width="16.28515625" style="45" customWidth="1"/>
    <col min="11" max="11" width="12.5703125" style="45" customWidth="1"/>
    <col min="12" max="12" width="9.140625" style="45" customWidth="1"/>
    <col min="13" max="13" width="10.5703125" style="45" customWidth="1"/>
    <col min="14" max="14" width="12.42578125" style="45" bestFit="1" customWidth="1"/>
    <col min="15" max="15" width="9.85546875" style="45" customWidth="1"/>
    <col min="16" max="16384" width="9.140625" style="45"/>
  </cols>
  <sheetData>
    <row r="1" spans="1:15" s="44" customFormat="1" ht="18.75" customHeight="1" thickTop="1" x14ac:dyDescent="0.25">
      <c r="A1" s="489" t="s">
        <v>449</v>
      </c>
      <c r="B1" s="489"/>
      <c r="C1" s="489"/>
      <c r="D1" s="489"/>
      <c r="E1" s="489"/>
      <c r="F1" s="489"/>
      <c r="G1" s="489"/>
      <c r="H1" s="489"/>
      <c r="I1" s="489"/>
      <c r="J1" s="489"/>
      <c r="K1" s="489"/>
      <c r="L1" s="490"/>
      <c r="M1" s="496" t="s">
        <v>1032</v>
      </c>
      <c r="N1" s="497"/>
      <c r="O1" s="498"/>
    </row>
    <row r="2" spans="1:15" s="44" customFormat="1" ht="12.75" customHeight="1" x14ac:dyDescent="0.2">
      <c r="A2" s="525" t="s">
        <v>1067</v>
      </c>
      <c r="B2" s="526"/>
      <c r="C2" s="526"/>
      <c r="D2" s="526"/>
      <c r="E2" s="526"/>
      <c r="F2" s="526"/>
      <c r="G2" s="526"/>
      <c r="H2" s="526"/>
      <c r="I2" s="526"/>
      <c r="J2" s="526"/>
      <c r="K2" s="526"/>
      <c r="L2" s="527"/>
      <c r="M2" s="513" t="s">
        <v>1094</v>
      </c>
      <c r="N2" s="514"/>
      <c r="O2" s="515"/>
    </row>
    <row r="3" spans="1:15" s="44" customFormat="1" x14ac:dyDescent="0.2">
      <c r="A3" s="525"/>
      <c r="B3" s="526"/>
      <c r="C3" s="526"/>
      <c r="D3" s="526"/>
      <c r="E3" s="526"/>
      <c r="F3" s="526"/>
      <c r="G3" s="526"/>
      <c r="H3" s="526"/>
      <c r="I3" s="526"/>
      <c r="J3" s="526"/>
      <c r="K3" s="526"/>
      <c r="L3" s="527"/>
      <c r="M3" s="513"/>
      <c r="N3" s="514"/>
      <c r="O3" s="515"/>
    </row>
    <row r="4" spans="1:15" s="44" customFormat="1" x14ac:dyDescent="0.2">
      <c r="A4" s="525"/>
      <c r="B4" s="526"/>
      <c r="C4" s="526"/>
      <c r="D4" s="526"/>
      <c r="E4" s="526"/>
      <c r="F4" s="526"/>
      <c r="G4" s="526"/>
      <c r="H4" s="526"/>
      <c r="I4" s="526"/>
      <c r="J4" s="526"/>
      <c r="K4" s="526"/>
      <c r="L4" s="527"/>
      <c r="M4" s="513"/>
      <c r="N4" s="514"/>
      <c r="O4" s="515"/>
    </row>
    <row r="5" spans="1:15" s="44" customFormat="1" x14ac:dyDescent="0.2">
      <c r="A5" s="525"/>
      <c r="B5" s="526"/>
      <c r="C5" s="526"/>
      <c r="D5" s="526"/>
      <c r="E5" s="526"/>
      <c r="F5" s="526"/>
      <c r="G5" s="526"/>
      <c r="H5" s="526"/>
      <c r="I5" s="526"/>
      <c r="J5" s="526"/>
      <c r="K5" s="526"/>
      <c r="L5" s="527"/>
      <c r="M5" s="513"/>
      <c r="N5" s="514"/>
      <c r="O5" s="515"/>
    </row>
    <row r="6" spans="1:15" s="44" customFormat="1" x14ac:dyDescent="0.2">
      <c r="A6" s="525"/>
      <c r="B6" s="526"/>
      <c r="C6" s="526"/>
      <c r="D6" s="526"/>
      <c r="E6" s="526"/>
      <c r="F6" s="526"/>
      <c r="G6" s="526"/>
      <c r="H6" s="526"/>
      <c r="I6" s="526"/>
      <c r="J6" s="526"/>
      <c r="K6" s="526"/>
      <c r="L6" s="527"/>
      <c r="M6" s="513"/>
      <c r="N6" s="514"/>
      <c r="O6" s="515"/>
    </row>
    <row r="7" spans="1:15" s="44" customFormat="1" ht="13.5" thickBot="1" x14ac:dyDescent="0.25">
      <c r="A7" s="528"/>
      <c r="B7" s="529"/>
      <c r="C7" s="529"/>
      <c r="D7" s="529"/>
      <c r="E7" s="529"/>
      <c r="F7" s="529"/>
      <c r="G7" s="529"/>
      <c r="H7" s="529"/>
      <c r="I7" s="529"/>
      <c r="J7" s="529"/>
      <c r="K7" s="529"/>
      <c r="L7" s="530"/>
      <c r="M7" s="513"/>
      <c r="N7" s="514"/>
      <c r="O7" s="515"/>
    </row>
    <row r="8" spans="1:15" s="44" customFormat="1" ht="15.75" x14ac:dyDescent="0.2">
      <c r="A8" s="491" t="s">
        <v>448</v>
      </c>
      <c r="B8" s="492"/>
      <c r="C8" s="492"/>
      <c r="D8" s="492"/>
      <c r="E8" s="492"/>
      <c r="F8" s="492"/>
      <c r="G8" s="492"/>
      <c r="H8" s="492"/>
      <c r="I8" s="493"/>
      <c r="J8" s="499" t="s">
        <v>1169</v>
      </c>
      <c r="K8" s="500"/>
      <c r="L8" s="501"/>
      <c r="M8" s="516"/>
      <c r="N8" s="517"/>
      <c r="O8" s="518"/>
    </row>
    <row r="9" spans="1:15" s="44" customFormat="1" ht="12.75" customHeight="1" x14ac:dyDescent="0.2">
      <c r="A9" s="494" t="s">
        <v>1145</v>
      </c>
      <c r="B9" s="495"/>
      <c r="C9" s="495"/>
      <c r="D9" s="495"/>
      <c r="E9" s="495"/>
      <c r="F9" s="495"/>
      <c r="G9" s="495"/>
      <c r="H9" s="495"/>
      <c r="I9" s="495"/>
      <c r="J9" s="502"/>
      <c r="K9" s="503"/>
      <c r="L9" s="504"/>
      <c r="M9" s="516"/>
      <c r="N9" s="517"/>
      <c r="O9" s="518"/>
    </row>
    <row r="10" spans="1:15" s="44" customFormat="1" ht="12.75" customHeight="1" x14ac:dyDescent="0.2">
      <c r="A10" s="494"/>
      <c r="B10" s="495"/>
      <c r="C10" s="495"/>
      <c r="D10" s="495"/>
      <c r="E10" s="495"/>
      <c r="F10" s="495"/>
      <c r="G10" s="495"/>
      <c r="H10" s="495"/>
      <c r="I10" s="495"/>
      <c r="J10" s="502"/>
      <c r="K10" s="503"/>
      <c r="L10" s="504"/>
      <c r="M10" s="516"/>
      <c r="N10" s="517"/>
      <c r="O10" s="518"/>
    </row>
    <row r="11" spans="1:15" s="44" customFormat="1" ht="12.75" customHeight="1" x14ac:dyDescent="0.2">
      <c r="A11" s="494"/>
      <c r="B11" s="495"/>
      <c r="C11" s="495"/>
      <c r="D11" s="495"/>
      <c r="E11" s="495"/>
      <c r="F11" s="495"/>
      <c r="G11" s="495"/>
      <c r="H11" s="495"/>
      <c r="I11" s="495"/>
      <c r="J11" s="502"/>
      <c r="K11" s="503"/>
      <c r="L11" s="504"/>
      <c r="M11" s="516"/>
      <c r="N11" s="517"/>
      <c r="O11" s="518"/>
    </row>
    <row r="12" spans="1:15" s="44" customFormat="1" ht="28.5" customHeight="1" thickBot="1" x14ac:dyDescent="0.25">
      <c r="A12" s="494"/>
      <c r="B12" s="495"/>
      <c r="C12" s="495"/>
      <c r="D12" s="495"/>
      <c r="E12" s="495"/>
      <c r="F12" s="495"/>
      <c r="G12" s="495"/>
      <c r="H12" s="495"/>
      <c r="I12" s="495"/>
      <c r="J12" s="505"/>
      <c r="K12" s="506"/>
      <c r="L12" s="507"/>
      <c r="M12" s="519"/>
      <c r="N12" s="520"/>
      <c r="O12" s="521"/>
    </row>
    <row r="13" spans="1:15" s="44" customFormat="1" ht="25.5" customHeight="1" thickBot="1" x14ac:dyDescent="0.25">
      <c r="A13" s="522" t="s">
        <v>256</v>
      </c>
      <c r="B13" s="523"/>
      <c r="C13" s="524"/>
      <c r="D13" s="524"/>
      <c r="E13" s="524"/>
      <c r="F13" s="524"/>
      <c r="G13" s="524"/>
      <c r="H13" s="524"/>
      <c r="I13" s="524"/>
      <c r="J13" s="524"/>
      <c r="K13" s="524"/>
      <c r="L13" s="524"/>
      <c r="M13" s="524"/>
      <c r="N13" s="524"/>
      <c r="O13" s="524"/>
    </row>
    <row r="14" spans="1:15" s="52" customFormat="1" ht="12.75" customHeight="1" x14ac:dyDescent="0.2">
      <c r="A14" s="45" t="s">
        <v>28</v>
      </c>
      <c r="B14" s="130" t="s">
        <v>89</v>
      </c>
      <c r="C14" s="46"/>
      <c r="D14" s="47" t="s">
        <v>321</v>
      </c>
      <c r="E14" s="47" t="s">
        <v>765</v>
      </c>
      <c r="F14" s="44"/>
      <c r="G14" s="44"/>
      <c r="K14" s="44" t="s">
        <v>1143</v>
      </c>
      <c r="L14" s="44"/>
      <c r="M14" s="44"/>
      <c r="O14" s="79"/>
    </row>
    <row r="15" spans="1:15" s="44" customFormat="1" ht="12.75" customHeight="1" x14ac:dyDescent="0.2">
      <c r="A15" s="45" t="s">
        <v>446</v>
      </c>
      <c r="B15" s="131">
        <v>46320</v>
      </c>
      <c r="D15" s="45" t="s">
        <v>322</v>
      </c>
      <c r="E15" s="53">
        <f>B15+(1+B16-1)/24+B18-0/24</f>
        <v>46320</v>
      </c>
      <c r="H15" s="47" t="s">
        <v>485</v>
      </c>
      <c r="I15" s="48" t="s">
        <v>206</v>
      </c>
      <c r="K15" s="5" t="s">
        <v>49</v>
      </c>
      <c r="L15" s="45" t="s">
        <v>216</v>
      </c>
      <c r="O15" s="51"/>
    </row>
    <row r="16" spans="1:15" s="44" customFormat="1" ht="12.75" customHeight="1" thickBot="1" x14ac:dyDescent="0.25">
      <c r="A16" s="45" t="s">
        <v>318</v>
      </c>
      <c r="B16" s="132">
        <v>0</v>
      </c>
      <c r="C16" s="44" t="s">
        <v>525</v>
      </c>
      <c r="D16" s="45" t="s">
        <v>315</v>
      </c>
      <c r="E16" s="53">
        <f ca="1">NOW()</f>
        <v>46308.442678587962</v>
      </c>
      <c r="H16" s="45" t="s">
        <v>163</v>
      </c>
      <c r="I16" s="54">
        <f>INDEX(TblRaces[[Max population]:[Explore Cost]],MATCH(race,TblRaces[Race],0),MATCH(Table4[[#This Row],[Race Bonuses]],TblRaces[[#Headers],[Max population]:[Explore Cost]],0))</f>
        <v>0</v>
      </c>
      <c r="K16" s="45" t="s">
        <v>170</v>
      </c>
      <c r="L16" s="478">
        <v>0</v>
      </c>
      <c r="M16" s="482" t="s">
        <v>1146</v>
      </c>
      <c r="O16" s="51"/>
    </row>
    <row r="17" spans="1:15" s="44" customFormat="1" ht="12.75" customHeight="1" thickBot="1" x14ac:dyDescent="0.25">
      <c r="A17" s="45" t="s">
        <v>319</v>
      </c>
      <c r="B17" s="55">
        <f ca="1">TODAY()</f>
        <v>46308</v>
      </c>
      <c r="C17" s="56"/>
      <c r="D17" s="45" t="s">
        <v>314</v>
      </c>
      <c r="E17" s="57">
        <f>0+Log!P16</f>
        <v>0</v>
      </c>
      <c r="F17" s="58"/>
      <c r="G17" s="58"/>
      <c r="H17" s="45" t="s">
        <v>105</v>
      </c>
      <c r="I17" s="54">
        <f>INDEX(TblRaces[[Max population]:[Explore Cost]],MATCH(race,TblRaces[Race],0),MATCH(Table4[[#This Row],[Race Bonuses]],TblRaces[[#Headers],[Max population]:[Explore Cost]],0))</f>
        <v>0</v>
      </c>
      <c r="J17" s="49"/>
      <c r="K17" s="45" t="s">
        <v>44</v>
      </c>
      <c r="L17" s="476">
        <v>0</v>
      </c>
      <c r="M17" s="481" t="s">
        <v>1147</v>
      </c>
      <c r="O17" s="51"/>
    </row>
    <row r="18" spans="1:15" s="44" customFormat="1" ht="12.75" customHeight="1" thickBot="1" x14ac:dyDescent="0.25">
      <c r="A18" s="59" t="s">
        <v>499</v>
      </c>
      <c r="B18" s="133">
        <v>0</v>
      </c>
      <c r="C18" s="56"/>
      <c r="D18" s="45" t="s">
        <v>316</v>
      </c>
      <c r="E18" s="57" t="e">
        <f ca="1">IF(INDIRECT("Imps!L"&amp;TEXT(E17+3,0)),"Yes","Nope")</f>
        <v>#VALUE!</v>
      </c>
      <c r="H18" s="45" t="s">
        <v>160</v>
      </c>
      <c r="I18" s="54">
        <f>INDEX(TblRaces[[Max population]:[Explore Cost]],MATCH(race,TblRaces[Race],0),MATCH(Table4[[#This Row],[Race Bonuses]],TblRaces[[#Headers],[Max population]:[Explore Cost]],0))</f>
        <v>0</v>
      </c>
      <c r="J18" s="49"/>
      <c r="K18" s="45" t="s">
        <v>51</v>
      </c>
      <c r="L18" s="476">
        <v>30</v>
      </c>
      <c r="M18" s="481" t="s">
        <v>1148</v>
      </c>
      <c r="O18" s="51"/>
    </row>
    <row r="19" spans="1:15" s="44" customFormat="1" x14ac:dyDescent="0.2">
      <c r="H19" s="45" t="s">
        <v>107</v>
      </c>
      <c r="I19" s="54">
        <f>INDEX(TblRaces[[Max population]:[Explore Cost]],MATCH(race,TblRaces[Race],0),MATCH(Table4[[#This Row],[Race Bonuses]],TblRaces[[#Headers],[Max population]:[Explore Cost]],0))</f>
        <v>0.05</v>
      </c>
      <c r="J19" s="49"/>
      <c r="K19" s="45" t="s">
        <v>1140</v>
      </c>
      <c r="L19" s="476">
        <v>0</v>
      </c>
      <c r="M19" s="481" t="s">
        <v>1149</v>
      </c>
      <c r="O19" s="60"/>
    </row>
    <row r="20" spans="1:15" s="44" customFormat="1" x14ac:dyDescent="0.2">
      <c r="A20" s="423"/>
      <c r="B20" s="423"/>
      <c r="C20" s="423"/>
      <c r="D20" s="423"/>
      <c r="E20" s="423"/>
      <c r="F20" s="423"/>
      <c r="H20" s="45" t="s">
        <v>108</v>
      </c>
      <c r="I20" s="54">
        <f>INDEX(TblRaces[[Max population]:[Explore Cost]],MATCH(race,TblRaces[Race],0),MATCH(Table4[[#This Row],[Race Bonuses]],TblRaces[[#Headers],[Max population]:[Explore Cost]],0))</f>
        <v>0</v>
      </c>
      <c r="J20" s="49"/>
      <c r="K20" s="45" t="s">
        <v>1136</v>
      </c>
      <c r="L20" s="476">
        <v>0</v>
      </c>
      <c r="M20" s="481" t="s">
        <v>1150</v>
      </c>
      <c r="O20" s="60"/>
    </row>
    <row r="21" spans="1:15" s="44" customFormat="1" x14ac:dyDescent="0.2">
      <c r="A21" s="422" t="s">
        <v>317</v>
      </c>
      <c r="B21" s="422" t="s">
        <v>31</v>
      </c>
      <c r="C21" s="422" t="s">
        <v>32</v>
      </c>
      <c r="D21" s="422" t="s">
        <v>2</v>
      </c>
      <c r="E21" s="422" t="str">
        <f>secondary_resource</f>
        <v>Ore</v>
      </c>
      <c r="F21" s="422" t="s">
        <v>230</v>
      </c>
      <c r="H21" s="45" t="s">
        <v>109</v>
      </c>
      <c r="I21" s="54">
        <f>INDEX(TblRaces[[Max population]:[Explore Cost]],MATCH(race,TblRaces[Race],0),MATCH(Table4[[#This Row],[Race Bonuses]],TblRaces[[#Headers],[Max population]:[Explore Cost]],0))</f>
        <v>0</v>
      </c>
      <c r="J21" s="49"/>
      <c r="K21" s="45" t="s">
        <v>45</v>
      </c>
      <c r="L21" s="476">
        <v>20</v>
      </c>
      <c r="M21" s="210"/>
      <c r="O21" s="60"/>
    </row>
    <row r="22" spans="1:15" s="44" customFormat="1" x14ac:dyDescent="0.2">
      <c r="A22" s="45" t="str">
        <f>INDEX(TblRaces[],MATCH(race,TblRaces[Race],0),4)</f>
        <v>Spearman</v>
      </c>
      <c r="B22" s="61">
        <f>_xlfn.IFNA(INDEX(TblRaces[],MATCH(TblUnits[[#This Row],[Unit Names]],TblRaces[Unitname],0),5),"")</f>
        <v>3</v>
      </c>
      <c r="C22" s="61">
        <f>_xlfn.IFNA(INDEX(TblRaces[],MATCH(TblUnits[[#This Row],[Unit Names]],TblRaces[Unitname],0),6),"")</f>
        <v>0</v>
      </c>
      <c r="D22" s="61">
        <f>_xlfn.IFNA(INDEX(TblRaces[],MATCH(TblUnits[[#This Row],[Unit Names]],TblRaces[Unitname],0),7),"")</f>
        <v>315</v>
      </c>
      <c r="E22" s="57">
        <f>_xlfn.IFNA(INDEX(TblRaces[],MATCH(TblUnits[[#This Row],[Unit Names]],TblRaces[Unitname],0),8),"")</f>
        <v>25</v>
      </c>
      <c r="F22" s="57">
        <f>_xlfn.IFNA(INDEX(TblRaces[],MATCH(TblUnits[[#This Row],[Unit Names]],TblRaces[Unitname],0),9),"")</f>
        <v>5</v>
      </c>
      <c r="H22" s="45" t="s">
        <v>110</v>
      </c>
      <c r="I22" s="54">
        <f>INDEX(TblRaces[[Max population]:[Explore Cost]],MATCH(race,TblRaces[Race],0),MATCH(Table4[[#This Row],[Race Bonuses]],TblRaces[[#Headers],[Max population]:[Explore Cost]],0))</f>
        <v>0</v>
      </c>
      <c r="J22" s="49"/>
      <c r="K22" s="45" t="s">
        <v>347</v>
      </c>
      <c r="L22" s="476">
        <v>0</v>
      </c>
      <c r="O22" s="60"/>
    </row>
    <row r="23" spans="1:15" s="44" customFormat="1" x14ac:dyDescent="0.2">
      <c r="A23" s="62" t="str">
        <f>INDEX(TblRaces[],MATCH(race,TblRaces[Race],0)+1,4)</f>
        <v>Archer</v>
      </c>
      <c r="B23" s="61">
        <f>_xlfn.IFNA(INDEX(TblRaces[],MATCH(TblUnits[[#This Row],[Unit Names]],TblRaces[Unitname],0),5),"")</f>
        <v>0</v>
      </c>
      <c r="C23" s="61">
        <f>_xlfn.IFNA(INDEX(TblRaces[],MATCH(TblUnits[[#This Row],[Unit Names]],TblRaces[Unitname],0),6),"")</f>
        <v>3</v>
      </c>
      <c r="D23" s="61">
        <f>_xlfn.IFNA(INDEX(TblRaces[],MATCH(TblUnits[[#This Row],[Unit Names]],TblRaces[Unitname],0),7),"")</f>
        <v>275</v>
      </c>
      <c r="E23" s="57">
        <f>_xlfn.IFNA(INDEX(TblRaces[],MATCH(TblUnits[[#This Row],[Unit Names]],TblRaces[Unitname],0),8),"")</f>
        <v>15</v>
      </c>
      <c r="F23" s="57">
        <f>_xlfn.IFNA(INDEX(TblRaces[],MATCH(TblUnits[[#This Row],[Unit Names]],TblRaces[Unitname],0),9),"")</f>
        <v>5</v>
      </c>
      <c r="H23" s="45" t="s">
        <v>111</v>
      </c>
      <c r="I23" s="54">
        <f>INDEX(TblRaces[[Max population]:[Explore Cost]],MATCH(race,TblRaces[Race],0),MATCH(Table4[[#This Row],[Race Bonuses]],TblRaces[[#Headers],[Max population]:[Explore Cost]],0))</f>
        <v>0</v>
      </c>
      <c r="J23" s="49"/>
      <c r="K23" s="45" t="s">
        <v>1137</v>
      </c>
      <c r="L23" s="477">
        <v>0</v>
      </c>
      <c r="M23" s="468"/>
      <c r="O23" s="60"/>
    </row>
    <row r="24" spans="1:15" s="44" customFormat="1" x14ac:dyDescent="0.2">
      <c r="A24" s="62" t="str">
        <f>INDEX(TblRaces[],MATCH(race,TblRaces[Race],0)+2,4)</f>
        <v>Knight</v>
      </c>
      <c r="B24" s="61">
        <f ca="1">_xlfn.IFNA(INDEX(TblRaces[],MATCH(TblUnits[[#This Row],[Unit Names]],TblRaces[Unitname],0),5),"")+E83*C83</f>
        <v>2</v>
      </c>
      <c r="C24" s="61">
        <f ca="1">_xlfn.IFNA(INDEX(TblRaces[],MATCH(TblUnits[[#This Row],[Unit Names]],TblRaces[Unitname],0),6),"")+E86*D86+E88*D88+E84*D84+E83*D83+E82*D82+E81*D81+E79*D79+D89*E89</f>
        <v>6</v>
      </c>
      <c r="D24" s="61">
        <f>_xlfn.IFNA(INDEX(TblRaces[],MATCH(TblUnits[[#This Row],[Unit Names]],TblRaces[Unitname],0),7),"")</f>
        <v>1040</v>
      </c>
      <c r="E24" s="57">
        <f>_xlfn.IFNA(INDEX(TblRaces[],MATCH(TblUnits[[#This Row],[Unit Names]],TblRaces[Unitname],0),8),"")</f>
        <v>75</v>
      </c>
      <c r="F24" s="57">
        <f>_xlfn.IFNA(INDEX(TblRaces[],MATCH(TblUnits[[#This Row],[Unit Names]],TblRaces[Unitname],0),9),"")</f>
        <v>12</v>
      </c>
      <c r="H24" s="45" t="s">
        <v>112</v>
      </c>
      <c r="I24" s="54">
        <f>INDEX(TblRaces[[Max population]:[Explore Cost]],MATCH(race,TblRaces[Race],0),MATCH(Table4[[#This Row],[Race Bonuses]],TblRaces[[#Headers],[Max population]:[Explore Cost]],0))</f>
        <v>0</v>
      </c>
      <c r="J24" s="49"/>
      <c r="K24" s="45" t="s">
        <v>1134</v>
      </c>
      <c r="L24" s="477">
        <v>0</v>
      </c>
      <c r="M24" s="468"/>
      <c r="O24" s="60"/>
    </row>
    <row r="25" spans="1:15" s="44" customFormat="1" x14ac:dyDescent="0.2">
      <c r="A25" s="62" t="str">
        <f>INDEX(TblRaces[],MATCH(race,TblRaces[Race],0)+3,4)</f>
        <v>Cavalry</v>
      </c>
      <c r="B25" s="61">
        <f ca="1">_xlfn.IFNA(INDEX(TblRaces[],MATCH(TblUnits[[#This Row],[Unit Names]],TblRaces[Unitname],0),5),"")+E79*C80+E84*C85+E87*C87</f>
        <v>6</v>
      </c>
      <c r="C25" s="61">
        <f ca="1">_xlfn.IFNA(INDEX(TblRaces[],MATCH(TblUnits[[#This Row],[Unit Names]],TblRaces[Unitname],0),6),"")+E79*D80</f>
        <v>3</v>
      </c>
      <c r="D25" s="61">
        <f>_xlfn.IFNA(INDEX(TblRaces[],MATCH(TblUnits[[#This Row],[Unit Names]],TblRaces[Unitname],0),7),"")</f>
        <v>1280</v>
      </c>
      <c r="E25" s="57">
        <f>_xlfn.IFNA(INDEX(TblRaces[],MATCH(TblUnits[[#This Row],[Unit Names]],TblRaces[Unitname],0),8),"")</f>
        <v>100</v>
      </c>
      <c r="F25" s="57">
        <f>_xlfn.IFNA(INDEX(TblRaces[],MATCH(TblUnits[[#This Row],[Unit Names]],TblRaces[Unitname],0),9),"")</f>
        <v>12</v>
      </c>
      <c r="H25" s="45" t="s">
        <v>32</v>
      </c>
      <c r="I25" s="54">
        <f>INDEX(TblRaces[[Max population]:[Explore Cost]],MATCH(race,TblRaces[Race],0),MATCH(Table4[[#This Row],[Race Bonuses]],TblRaces[[#Headers],[Max population]:[Explore Cost]],0))</f>
        <v>0</v>
      </c>
      <c r="J25" s="49"/>
      <c r="K25" s="45" t="s">
        <v>343</v>
      </c>
      <c r="L25" s="477">
        <v>0</v>
      </c>
      <c r="M25" s="468"/>
      <c r="O25" s="60"/>
    </row>
    <row r="26" spans="1:15" s="44" customFormat="1" x14ac:dyDescent="0.2">
      <c r="A26" s="62" t="s">
        <v>73</v>
      </c>
      <c r="B26" s="61">
        <f>_xlfn.IFNA(INDEX(TblRaces[],MATCH(TblUnits[[#This Row],[Unit Names]],TblRaces[Unitname],0),5),"")</f>
        <v>0</v>
      </c>
      <c r="C26" s="61">
        <f>_xlfn.IFNA(INDEX(TblRaces[],MATCH(TblUnits[[#This Row],[Unit Names]],TblRaces[Unitname],0),6),"")</f>
        <v>0</v>
      </c>
      <c r="D26" s="61">
        <f>_xlfn.IFNA(INDEX(TblRaces[],MATCH(TblUnits[[#This Row],[Unit Names]],TblRaces[Unitname],0),7),"")</f>
        <v>500</v>
      </c>
      <c r="E26" s="57">
        <f>_xlfn.IFNA(INDEX(TblRaces[],MATCH(TblUnits[[#This Row],[Unit Names]],TblRaces[Unitname],0),8),"")</f>
        <v>0</v>
      </c>
      <c r="F26" s="57">
        <v>5</v>
      </c>
      <c r="H26" s="45" t="s">
        <v>31</v>
      </c>
      <c r="I26" s="54">
        <f>INDEX(TblRaces[[Max population]:[Explore Cost]],MATCH(race,TblRaces[Race],0),MATCH(Table4[[#This Row],[Race Bonuses]],TblRaces[[#Headers],[Max population]:[Explore Cost]],0))</f>
        <v>0</v>
      </c>
      <c r="K26" s="45" t="s">
        <v>1133</v>
      </c>
      <c r="L26" s="477">
        <v>0</v>
      </c>
      <c r="M26" s="468"/>
      <c r="O26" s="60"/>
    </row>
    <row r="27" spans="1:15" s="44" customFormat="1" x14ac:dyDescent="0.2">
      <c r="A27" s="414" t="s">
        <v>1077</v>
      </c>
      <c r="B27" s="61">
        <f>_xlfn.IFNA(INDEX(TblRaces[],MATCH(TblUnits[[#This Row],[Unit Names]],TblRaces[Unitname],0),5),"")</f>
        <v>0</v>
      </c>
      <c r="C27" s="61">
        <f>_xlfn.IFNA(INDEX(TblRaces[],MATCH(TblUnits[[#This Row],[Unit Names]],TblRaces[Unitname],0),6),"")</f>
        <v>0</v>
      </c>
      <c r="D27" s="61">
        <f>_xlfn.IFNA(INDEX(TblRaces[],MATCH(TblUnits[[#This Row],[Unit Names]],TblRaces[Unitname],0),7),"")</f>
        <v>1000</v>
      </c>
      <c r="E27" s="57" t="str">
        <f>_xlfn.IFNA(INDEX(TblRaces[],MATCH(TblUnits[[#This Row],[Unit Names]],TblRaces[Unitname],0),8),"")</f>
        <v xml:space="preserve"> + 1 spy</v>
      </c>
      <c r="F27" s="57">
        <v>5</v>
      </c>
      <c r="H27" s="63" t="s">
        <v>161</v>
      </c>
      <c r="I27" s="54">
        <f>INDEX(TblRaces[[Max population]:[Explore Cost]],MATCH(race,TblRaces[Race],0),MATCH(Table4[[#This Row],[Race Bonuses]],TblRaces[[#Headers],[Max population]:[Explore Cost]],0))</f>
        <v>0</v>
      </c>
      <c r="K27" s="45" t="s">
        <v>1135</v>
      </c>
      <c r="L27" s="477">
        <v>0</v>
      </c>
      <c r="M27" s="468"/>
      <c r="O27" s="60"/>
    </row>
    <row r="28" spans="1:15" s="44" customFormat="1" x14ac:dyDescent="0.2">
      <c r="A28" s="62" t="s">
        <v>181</v>
      </c>
      <c r="B28" s="61">
        <f>_xlfn.IFNA(INDEX(TblRaces[],MATCH(TblUnits[[#This Row],[Unit Names]],TblRaces[Unitname],0),5),"")</f>
        <v>0</v>
      </c>
      <c r="C28" s="61">
        <f>_xlfn.IFNA(INDEX(TblRaces[],MATCH(TblUnits[[#This Row],[Unit Names]],TblRaces[Unitname],0),6),"")</f>
        <v>0</v>
      </c>
      <c r="D28" s="61">
        <f>_xlfn.IFNA(INDEX(TblRaces[],MATCH(TblUnits[[#This Row],[Unit Names]],TblRaces[Unitname],0),7),"")</f>
        <v>500</v>
      </c>
      <c r="E28" s="57">
        <f>_xlfn.IFNA(INDEX(TblRaces[],MATCH(TblUnits[[#This Row],[Unit Names]],TblRaces[Unitname],0),8),"")</f>
        <v>0</v>
      </c>
      <c r="F28" s="57">
        <v>5</v>
      </c>
      <c r="H28" s="45" t="s">
        <v>162</v>
      </c>
      <c r="I28" s="54">
        <f>INDEX(TblRaces[[Max population]:[Explore Cost]],MATCH(race,TblRaces[Race],0),MATCH(Table4[[#This Row],[Race Bonuses]],TblRaces[[#Headers],[Max population]:[Explore Cost]],0))</f>
        <v>0</v>
      </c>
      <c r="K28" s="45" t="s">
        <v>1139</v>
      </c>
      <c r="L28" s="476">
        <v>0</v>
      </c>
      <c r="O28" s="60"/>
    </row>
    <row r="29" spans="1:15" s="44" customFormat="1" x14ac:dyDescent="0.2">
      <c r="A29" s="62" t="s">
        <v>182</v>
      </c>
      <c r="B29" s="61">
        <f>_xlfn.IFNA(INDEX(TblRaces[],MATCH(TblUnits[[#This Row],[Unit Names]],TblRaces[Unitname],0),5),"")</f>
        <v>0</v>
      </c>
      <c r="C29" s="61">
        <f>_xlfn.IFNA(INDEX(TblRaces[],MATCH(TblUnits[[#This Row],[Unit Names]],TblRaces[Unitname],0),6),"")</f>
        <v>0</v>
      </c>
      <c r="D29" s="61">
        <f>_xlfn.IFNA(INDEX(TblRaces[],MATCH(TblUnits[[#This Row],[Unit Names]],TblRaces[Unitname],0),7),"")</f>
        <v>1000</v>
      </c>
      <c r="E29" s="64" t="str">
        <f>_xlfn.IFNA(INDEX(TblRaces[],MATCH(TblUnits[[#This Row],[Unit Names]],TblRaces[Unitname],0),8),"")</f>
        <v>+ 1 wizard</v>
      </c>
      <c r="F29" s="57">
        <v>5</v>
      </c>
      <c r="H29" s="45" t="s">
        <v>437</v>
      </c>
      <c r="I29" s="54">
        <f>INDEX(TblRaces[[Max population]:[Explore Cost]],MATCH(race,TblRaces[Race],0),MATCH(Table4[[#This Row],[Race Bonuses]],TblRaces[[#Headers],[Max population]:[Explore Cost]],0))</f>
        <v>0</v>
      </c>
      <c r="K29" s="45" t="s">
        <v>52</v>
      </c>
      <c r="L29" s="476">
        <v>0</v>
      </c>
      <c r="O29" s="60"/>
    </row>
    <row r="30" spans="1:15" s="44" customFormat="1" x14ac:dyDescent="0.2">
      <c r="A30" s="65" t="s">
        <v>1062</v>
      </c>
      <c r="D30" s="66"/>
      <c r="E30" s="67"/>
      <c r="G30" s="51"/>
      <c r="H30" s="45" t="s">
        <v>486</v>
      </c>
      <c r="I30" s="54">
        <f>INDEX(TblRaces[[Max population]:[Explore Cost]],MATCH(race,TblRaces[Race],0),MATCH(Table4[[#This Row],[Race Bonuses]],TblRaces[[#Headers],[Max population]:[Explore Cost]],0))</f>
        <v>0</v>
      </c>
      <c r="K30" s="45" t="s">
        <v>1141</v>
      </c>
      <c r="L30" s="476">
        <v>0</v>
      </c>
      <c r="O30" s="60"/>
    </row>
    <row r="31" spans="1:15" s="44" customFormat="1" x14ac:dyDescent="0.2">
      <c r="A31" s="65"/>
      <c r="D31" s="66"/>
      <c r="E31" s="67"/>
      <c r="G31" s="51"/>
      <c r="H31" s="45" t="s">
        <v>487</v>
      </c>
      <c r="I31" s="54">
        <f>INDEX(TblRaces[[Max population]:[Explore Cost]],MATCH(race,TblRaces[Race],0),MATCH(Table4[[#This Row],[Race Bonuses]],TblRaces[[#Headers],[Max population]:[Explore Cost]],0))</f>
        <v>0</v>
      </c>
      <c r="K31" s="45" t="s">
        <v>1142</v>
      </c>
      <c r="L31" s="476">
        <v>0</v>
      </c>
      <c r="O31" s="60"/>
    </row>
    <row r="32" spans="1:15" s="44" customFormat="1" x14ac:dyDescent="0.2">
      <c r="A32" s="65"/>
      <c r="D32" s="66"/>
      <c r="E32" s="67"/>
      <c r="H32" s="45" t="s">
        <v>524</v>
      </c>
      <c r="I32" s="54">
        <f>INDEX(TblRaces[[Max population]:[Explore Cost]],MATCH(race,TblRaces[Race],0),MATCH(Table4[[#This Row],[Race Bonuses]],TblRaces[[#Headers],[Max population]:[Explore Cost]],0))</f>
        <v>0</v>
      </c>
      <c r="K32" s="45" t="s">
        <v>1132</v>
      </c>
      <c r="L32" s="476">
        <v>0</v>
      </c>
      <c r="O32" s="60"/>
    </row>
    <row r="33" spans="1:21" s="44" customFormat="1" x14ac:dyDescent="0.2">
      <c r="A33" s="65"/>
      <c r="D33" s="66"/>
      <c r="E33" s="67"/>
      <c r="H33" s="45" t="s">
        <v>1057</v>
      </c>
      <c r="I33" s="54">
        <f>INDEX(TblRaces[[Max population]:[Explore Cost]],MATCH(race,TblRaces[Race],0),MATCH(Table4[[#This Row],[Race Bonuses]],TblRaces[[#Headers],[Max population]:[Explore Cost]],0))</f>
        <v>0</v>
      </c>
      <c r="K33" s="45" t="s">
        <v>1138</v>
      </c>
      <c r="L33" s="476">
        <v>0</v>
      </c>
      <c r="O33" s="60"/>
    </row>
    <row r="34" spans="1:21" s="44" customFormat="1" x14ac:dyDescent="0.2">
      <c r="A34" s="65"/>
      <c r="D34" s="66"/>
      <c r="E34" s="67"/>
      <c r="H34" s="210"/>
      <c r="I34" s="473"/>
      <c r="K34" s="45" t="s">
        <v>46</v>
      </c>
      <c r="L34" s="476">
        <v>0</v>
      </c>
      <c r="O34" s="60"/>
    </row>
    <row r="35" spans="1:21" s="69" customFormat="1" x14ac:dyDescent="0.2">
      <c r="A35" s="68"/>
      <c r="D35" s="70"/>
      <c r="E35" s="71"/>
      <c r="H35" s="474"/>
      <c r="I35" s="475"/>
      <c r="K35" s="474"/>
      <c r="L35" s="479">
        <f>SUM(Table20[Amount])</f>
        <v>50</v>
      </c>
      <c r="M35" s="480" t="str">
        <f>IF(L35=start_acres,"Construction Complete!",IF(L35&lt;start_acres,"Construct additional buildings!","You have built too many buildings!"))</f>
        <v>Construct additional buildings!</v>
      </c>
      <c r="O35" s="74"/>
    </row>
    <row r="36" spans="1:21" s="73" customFormat="1" ht="29.25" customHeight="1" x14ac:dyDescent="0.2">
      <c r="A36" s="511" t="s">
        <v>375</v>
      </c>
      <c r="B36" s="487"/>
      <c r="C36" s="487"/>
      <c r="D36" s="487"/>
      <c r="E36" s="487"/>
      <c r="F36" s="487"/>
      <c r="G36" s="487"/>
      <c r="H36" s="487"/>
      <c r="I36" s="487"/>
      <c r="J36" s="512"/>
      <c r="K36" s="512"/>
      <c r="L36" s="512"/>
      <c r="M36" s="512"/>
      <c r="N36" s="512"/>
      <c r="O36" s="512"/>
    </row>
    <row r="37" spans="1:21" x14ac:dyDescent="0.2">
      <c r="A37" s="5" t="s">
        <v>22</v>
      </c>
      <c r="B37" s="45" t="s">
        <v>353</v>
      </c>
      <c r="C37" s="75" t="s">
        <v>31</v>
      </c>
      <c r="D37" s="76" t="s">
        <v>206</v>
      </c>
      <c r="E37" s="77" t="s">
        <v>1004</v>
      </c>
      <c r="F37" s="75" t="s">
        <v>32</v>
      </c>
      <c r="G37" s="76" t="s">
        <v>1002</v>
      </c>
      <c r="H37" s="76" t="s">
        <v>1003</v>
      </c>
      <c r="I37" s="78" t="s">
        <v>765</v>
      </c>
      <c r="J37" s="44"/>
      <c r="K37" s="44"/>
      <c r="L37" s="52"/>
      <c r="M37" s="52"/>
      <c r="N37" s="52"/>
      <c r="O37" s="79"/>
    </row>
    <row r="38" spans="1:21" x14ac:dyDescent="0.2">
      <c r="A38" s="80" t="s">
        <v>34</v>
      </c>
      <c r="B38" s="81" t="s">
        <v>216</v>
      </c>
      <c r="C38" s="82" t="s">
        <v>188</v>
      </c>
      <c r="D38" s="83" t="s">
        <v>206</v>
      </c>
      <c r="E38" s="81" t="s">
        <v>227</v>
      </c>
      <c r="F38" s="83" t="s">
        <v>188</v>
      </c>
      <c r="G38" s="83" t="s">
        <v>206</v>
      </c>
      <c r="H38" s="83" t="s">
        <v>227</v>
      </c>
      <c r="I38" s="84" t="s">
        <v>34</v>
      </c>
      <c r="J38" s="44"/>
      <c r="K38" s="50"/>
      <c r="L38" s="50" t="s">
        <v>426</v>
      </c>
      <c r="M38" s="44"/>
      <c r="N38" s="44"/>
      <c r="O38" s="60"/>
    </row>
    <row r="39" spans="1:21" ht="12.75" customHeight="1" x14ac:dyDescent="0.2">
      <c r="A39" s="80" t="str">
        <f>spec_op_name</f>
        <v>Spearman</v>
      </c>
      <c r="B39" s="85">
        <f ca="1">Military!E$52</f>
        <v>0</v>
      </c>
      <c r="C39" s="86">
        <f ca="1">B39*B22+E98*C98</f>
        <v>0</v>
      </c>
      <c r="D39" s="87">
        <f ca="1">Military!Q52</f>
        <v>2.5000000000000001E-2</v>
      </c>
      <c r="E39" s="85">
        <f ca="1">C39*(1+$D$39)</f>
        <v>0</v>
      </c>
      <c r="F39" s="88">
        <f ca="1">B39*C22</f>
        <v>0</v>
      </c>
      <c r="G39" s="87">
        <f ca="1">Military!U52</f>
        <v>0</v>
      </c>
      <c r="H39" s="88">
        <f ca="1">F39*(1+$G$39)</f>
        <v>0</v>
      </c>
      <c r="I39" s="89" t="str">
        <f>A39</f>
        <v>Spearman</v>
      </c>
      <c r="J39" s="44"/>
      <c r="K39" s="469"/>
      <c r="L39" s="508" t="s">
        <v>427</v>
      </c>
      <c r="M39" s="508"/>
      <c r="N39" s="508"/>
      <c r="O39" s="509"/>
      <c r="R39" s="5"/>
      <c r="U39" s="124"/>
    </row>
    <row r="40" spans="1:21" x14ac:dyDescent="0.2">
      <c r="A40" s="90" t="str">
        <f>spec_dp_name</f>
        <v>Archer</v>
      </c>
      <c r="B40" s="91">
        <f ca="1">Military!F$52</f>
        <v>0</v>
      </c>
      <c r="C40" s="92">
        <f ca="1">B40*B23</f>
        <v>0</v>
      </c>
      <c r="D40" s="93"/>
      <c r="E40" s="91">
        <f ca="1">C40*(1+$D$39)</f>
        <v>0</v>
      </c>
      <c r="F40" s="94">
        <f ca="1">B40*C23</f>
        <v>0</v>
      </c>
      <c r="G40" s="93"/>
      <c r="H40" s="94">
        <f ca="1">F40*(1+$G$39)</f>
        <v>0</v>
      </c>
      <c r="I40" s="89" t="str">
        <f>A40</f>
        <v>Archer</v>
      </c>
      <c r="J40" s="44"/>
      <c r="K40" s="469"/>
      <c r="L40" s="508"/>
      <c r="M40" s="508"/>
      <c r="N40" s="508"/>
      <c r="O40" s="509"/>
      <c r="R40" s="471"/>
      <c r="S40" s="471"/>
      <c r="T40" s="471"/>
      <c r="U40" s="471"/>
    </row>
    <row r="41" spans="1:21" x14ac:dyDescent="0.2">
      <c r="A41" s="90" t="str">
        <f>elite1_name</f>
        <v>Knight</v>
      </c>
      <c r="B41" s="91">
        <f ca="1">Military!G$52</f>
        <v>0</v>
      </c>
      <c r="C41" s="92">
        <f ca="1">B41*B24</f>
        <v>0</v>
      </c>
      <c r="D41" s="93"/>
      <c r="E41" s="91">
        <f ca="1">C41*(1+$D$39)</f>
        <v>0</v>
      </c>
      <c r="F41" s="94">
        <f ca="1">B41*C24+E92*D92</f>
        <v>0</v>
      </c>
      <c r="G41" s="93"/>
      <c r="H41" s="94">
        <f ca="1">F41*(1+$G$39)</f>
        <v>0</v>
      </c>
      <c r="I41" s="89" t="str">
        <f>A41</f>
        <v>Knight</v>
      </c>
      <c r="J41" s="44"/>
      <c r="K41" s="469"/>
      <c r="L41" s="508"/>
      <c r="M41" s="508"/>
      <c r="N41" s="508"/>
      <c r="O41" s="509"/>
      <c r="R41" s="471"/>
      <c r="S41" s="471"/>
      <c r="T41" s="471"/>
      <c r="U41" s="471"/>
    </row>
    <row r="42" spans="1:21" ht="13.5" customHeight="1" thickBot="1" x14ac:dyDescent="0.25">
      <c r="A42" s="90" t="str">
        <f>elite2_name</f>
        <v>Cavalry</v>
      </c>
      <c r="B42" s="91">
        <f ca="1">Military!H$52</f>
        <v>0</v>
      </c>
      <c r="C42" s="95">
        <f ca="1">B42*B25+E92*C93</f>
        <v>0</v>
      </c>
      <c r="D42" s="93"/>
      <c r="E42" s="96">
        <f ca="1">C42*(1+$D$39)</f>
        <v>0</v>
      </c>
      <c r="F42" s="97">
        <f ca="1">B42*C25</f>
        <v>0</v>
      </c>
      <c r="G42" s="93"/>
      <c r="H42" s="97">
        <f ca="1">F42*(1+$G$39)</f>
        <v>0</v>
      </c>
      <c r="I42" s="89" t="str">
        <f>A42</f>
        <v>Cavalry</v>
      </c>
      <c r="J42" s="44"/>
      <c r="K42" s="468"/>
      <c r="L42" s="486" t="s">
        <v>447</v>
      </c>
      <c r="M42" s="486"/>
      <c r="N42" s="486"/>
      <c r="O42" s="510"/>
      <c r="R42" s="471"/>
      <c r="S42" s="471"/>
      <c r="T42" s="471"/>
      <c r="U42" s="471"/>
    </row>
    <row r="43" spans="1:21" ht="13.5" thickTop="1" x14ac:dyDescent="0.2">
      <c r="A43" s="98"/>
      <c r="B43" s="85"/>
      <c r="C43" s="99">
        <f ca="1">SUM(C39:C42)</f>
        <v>0</v>
      </c>
      <c r="E43" s="100">
        <f ca="1">SUM(E39:E42)</f>
        <v>0</v>
      </c>
      <c r="F43" s="35">
        <f ca="1">SUM(F39:F42)</f>
        <v>0</v>
      </c>
      <c r="H43" s="35">
        <f ca="1">SUM(H39:H42)</f>
        <v>0</v>
      </c>
      <c r="I43" s="82"/>
      <c r="J43" s="44"/>
      <c r="K43" s="468"/>
      <c r="L43" s="486"/>
      <c r="M43" s="486"/>
      <c r="N43" s="486"/>
      <c r="O43" s="510"/>
      <c r="R43" s="472"/>
      <c r="S43" s="472"/>
      <c r="T43" s="472"/>
      <c r="U43" s="472"/>
    </row>
    <row r="44" spans="1:21" ht="12.75" customHeight="1" x14ac:dyDescent="0.2">
      <c r="A44" s="101" t="s">
        <v>24</v>
      </c>
      <c r="B44" s="94">
        <f ca="1">F44</f>
        <v>477</v>
      </c>
      <c r="C44" s="101"/>
      <c r="E44" s="102"/>
      <c r="F44" s="94">
        <f ca="1">Military!AA52</f>
        <v>477</v>
      </c>
      <c r="H44" s="94">
        <f ca="1">F44*(1+$G$39)</f>
        <v>477</v>
      </c>
      <c r="I44" s="89" t="s">
        <v>418</v>
      </c>
      <c r="J44" s="44"/>
      <c r="K44" s="469"/>
      <c r="L44" s="508" t="s">
        <v>445</v>
      </c>
      <c r="M44" s="508"/>
      <c r="N44" s="508"/>
      <c r="O44" s="509"/>
      <c r="R44" s="472"/>
      <c r="S44" s="472"/>
      <c r="T44" s="472"/>
      <c r="U44" s="472"/>
    </row>
    <row r="45" spans="1:21" ht="13.5" thickBot="1" x14ac:dyDescent="0.25">
      <c r="A45" s="101" t="s">
        <v>417</v>
      </c>
      <c r="B45" s="45">
        <f ca="1">E57</f>
        <v>0</v>
      </c>
      <c r="C45" s="101"/>
      <c r="E45" s="102"/>
      <c r="F45" s="103">
        <f ca="1">MIN(Population!C76/2,Constants!B14*20*Construction!BE76)</f>
        <v>0</v>
      </c>
      <c r="H45" s="104">
        <f ca="1">F45*(1+$G$39)</f>
        <v>0</v>
      </c>
      <c r="I45" s="89" t="s">
        <v>376</v>
      </c>
      <c r="J45" s="44"/>
      <c r="K45" s="469"/>
      <c r="L45" s="508"/>
      <c r="M45" s="508"/>
      <c r="N45" s="508"/>
      <c r="O45" s="509"/>
      <c r="R45" s="471"/>
      <c r="S45" s="471"/>
      <c r="T45" s="471"/>
      <c r="U45" s="471"/>
    </row>
    <row r="46" spans="1:21" ht="13.5" thickTop="1" x14ac:dyDescent="0.2">
      <c r="C46" s="101"/>
      <c r="E46" s="102"/>
      <c r="F46" s="35">
        <f ca="1">F44+F43+F45</f>
        <v>477</v>
      </c>
      <c r="H46" s="100">
        <f ca="1">H44+H43+H45</f>
        <v>477</v>
      </c>
      <c r="I46" s="89"/>
      <c r="J46" s="44"/>
      <c r="K46" s="469"/>
      <c r="L46" s="508"/>
      <c r="M46" s="508"/>
      <c r="N46" s="508"/>
      <c r="O46" s="509"/>
      <c r="R46" s="471"/>
      <c r="S46" s="471"/>
      <c r="T46" s="471"/>
      <c r="U46" s="471"/>
    </row>
    <row r="47" spans="1:21" x14ac:dyDescent="0.2">
      <c r="A47" s="44"/>
      <c r="B47" s="44"/>
      <c r="C47" s="44"/>
      <c r="D47" s="485"/>
      <c r="E47" s="485"/>
      <c r="F47" s="485"/>
      <c r="G47" s="485"/>
      <c r="H47" s="485"/>
      <c r="I47" s="44"/>
      <c r="J47" s="44"/>
      <c r="K47" s="44"/>
      <c r="L47" s="44"/>
      <c r="M47" s="44"/>
      <c r="N47" s="44"/>
      <c r="O47" s="51"/>
      <c r="R47" s="471"/>
      <c r="S47" s="471"/>
      <c r="T47" s="471"/>
      <c r="U47" s="471"/>
    </row>
    <row r="48" spans="1:21" x14ac:dyDescent="0.2">
      <c r="A48" s="105" t="str">
        <f>A26</f>
        <v>Spy</v>
      </c>
      <c r="B48" s="402">
        <f ca="1">Military!I52</f>
        <v>0</v>
      </c>
      <c r="D48" s="44"/>
      <c r="E48" s="44"/>
      <c r="F48" s="44"/>
      <c r="G48" s="44"/>
      <c r="I48" s="44"/>
      <c r="J48" s="44"/>
      <c r="K48" s="44"/>
      <c r="L48" s="50" t="s">
        <v>425</v>
      </c>
      <c r="M48" s="44"/>
      <c r="N48" s="44"/>
      <c r="O48" s="51"/>
    </row>
    <row r="49" spans="1:15" x14ac:dyDescent="0.2">
      <c r="A49" s="467" t="s">
        <v>1131</v>
      </c>
      <c r="B49" s="415">
        <f ca="1">Military!J52</f>
        <v>0</v>
      </c>
      <c r="C49" s="44"/>
      <c r="D49" s="5" t="s">
        <v>252</v>
      </c>
      <c r="E49" s="57" t="s">
        <v>353</v>
      </c>
      <c r="F49" s="45" t="s">
        <v>1005</v>
      </c>
      <c r="G49" s="44"/>
      <c r="H49" s="50" t="s">
        <v>254</v>
      </c>
      <c r="I49" s="44"/>
      <c r="J49" s="44"/>
      <c r="K49" s="44"/>
      <c r="L49" s="486" t="s">
        <v>450</v>
      </c>
      <c r="M49" s="487"/>
      <c r="N49" s="487"/>
      <c r="O49" s="488"/>
    </row>
    <row r="50" spans="1:15" x14ac:dyDescent="0.2">
      <c r="A50" s="416" t="str">
        <f>A28</f>
        <v>Wizard</v>
      </c>
      <c r="B50" s="417">
        <f ca="1">Military!K52</f>
        <v>0</v>
      </c>
      <c r="C50" s="44"/>
      <c r="D50" s="47" t="s">
        <v>1</v>
      </c>
      <c r="E50" s="466">
        <f ca="1">Construction!BT52</f>
        <v>50</v>
      </c>
      <c r="F50" s="106">
        <v>1</v>
      </c>
      <c r="G50" s="44"/>
      <c r="H50" s="45" t="s">
        <v>255</v>
      </c>
      <c r="I50" s="107" t="s">
        <v>188</v>
      </c>
      <c r="J50" s="57" t="s">
        <v>227</v>
      </c>
      <c r="K50" s="44"/>
      <c r="L50" s="487"/>
      <c r="M50" s="487"/>
      <c r="N50" s="487"/>
      <c r="O50" s="488"/>
    </row>
    <row r="51" spans="1:15" x14ac:dyDescent="0.2">
      <c r="A51" s="112" t="str">
        <f>A29</f>
        <v>Archmage</v>
      </c>
      <c r="B51" s="403">
        <f ca="1">Military!L52</f>
        <v>0</v>
      </c>
      <c r="C51" s="44"/>
      <c r="D51" s="108" t="str">
        <f>Construction!AY3</f>
        <v>Tot Hom</v>
      </c>
      <c r="E51" s="109">
        <f ca="1">Construction!AY52</f>
        <v>0</v>
      </c>
      <c r="F51" s="110">
        <f ca="1">E51/$E$50</f>
        <v>0</v>
      </c>
      <c r="G51" s="44"/>
      <c r="H51" s="45" t="s">
        <v>249</v>
      </c>
      <c r="I51" s="111">
        <f ca="1">C43/E50</f>
        <v>0</v>
      </c>
      <c r="J51" s="111">
        <f ca="1">E43/E50</f>
        <v>0</v>
      </c>
      <c r="K51" s="44"/>
      <c r="L51" s="487"/>
      <c r="M51" s="487"/>
      <c r="N51" s="487"/>
      <c r="O51" s="488"/>
    </row>
    <row r="52" spans="1:15" x14ac:dyDescent="0.2">
      <c r="A52" s="44"/>
      <c r="B52" s="44"/>
      <c r="C52" s="44"/>
      <c r="D52" s="108" t="str">
        <f>Construction!AZ3</f>
        <v>Tot Alc</v>
      </c>
      <c r="E52" s="45">
        <f ca="1">Construction!AZ52</f>
        <v>0</v>
      </c>
      <c r="F52" s="110">
        <f ca="1">E52/$E$50</f>
        <v>0</v>
      </c>
      <c r="G52" s="44"/>
      <c r="H52" s="45" t="s">
        <v>250</v>
      </c>
      <c r="I52" s="111">
        <f ca="1">F43/E50</f>
        <v>0</v>
      </c>
      <c r="J52" s="111">
        <f ca="1">H43/E50</f>
        <v>0</v>
      </c>
      <c r="K52" s="44"/>
      <c r="L52" s="487"/>
      <c r="M52" s="487"/>
      <c r="N52" s="487"/>
      <c r="O52" s="488"/>
    </row>
    <row r="53" spans="1:15" x14ac:dyDescent="0.2">
      <c r="A53" s="105" t="s">
        <v>266</v>
      </c>
      <c r="B53" s="402">
        <f ca="1">_xlfn.FLOOR.MATH(Production!N52)*(boat_size + tech_6_3_3*Techs!BH76)</f>
        <v>0</v>
      </c>
      <c r="C53" s="44"/>
      <c r="D53" s="108" t="str">
        <f>Construction!BA3</f>
        <v>Tot Farm</v>
      </c>
      <c r="E53" s="45">
        <f ca="1">Construction!BA52</f>
        <v>30</v>
      </c>
      <c r="F53" s="110">
        <f ca="1">E53/$E$50</f>
        <v>0.6</v>
      </c>
      <c r="G53" s="44"/>
      <c r="H53" s="45" t="s">
        <v>251</v>
      </c>
      <c r="I53" s="111">
        <f ca="1">(B48 + B49*2 + B41*D94*E94 + B41*D95*E95)/E50</f>
        <v>0</v>
      </c>
      <c r="J53" s="111">
        <f ca="1">I53*(1+I27)</f>
        <v>0</v>
      </c>
      <c r="K53" s="44"/>
      <c r="L53" s="487"/>
      <c r="M53" s="487"/>
      <c r="N53" s="487"/>
      <c r="O53" s="488"/>
    </row>
    <row r="54" spans="1:15" x14ac:dyDescent="0.2">
      <c r="A54" s="112" t="s">
        <v>374</v>
      </c>
      <c r="B54" s="403">
        <f>SUM(Imps!M4:'Imps'!M52)</f>
        <v>0</v>
      </c>
      <c r="C54" s="44"/>
      <c r="D54" s="108" t="str">
        <f>Construction!BB3</f>
        <v>Tot Smi</v>
      </c>
      <c r="E54" s="45">
        <f ca="1">Construction!BB52</f>
        <v>0</v>
      </c>
      <c r="F54" s="110">
        <f t="shared" ref="F54:F69" ca="1" si="0">E54/$E$50</f>
        <v>0</v>
      </c>
      <c r="G54" s="44"/>
      <c r="H54" s="45" t="s">
        <v>253</v>
      </c>
      <c r="I54" s="111">
        <f ca="1">(B51*2+B50 + B41*D96*E96 + B41*D97*E97)/E50</f>
        <v>0</v>
      </c>
      <c r="J54" s="111">
        <f ca="1">I54*(1+I28+Constants!O58*Techs!AL76)</f>
        <v>0</v>
      </c>
      <c r="K54" s="44"/>
      <c r="L54" s="487"/>
      <c r="M54" s="487"/>
      <c r="N54" s="487"/>
      <c r="O54" s="488"/>
    </row>
    <row r="55" spans="1:15" x14ac:dyDescent="0.2">
      <c r="C55" s="44"/>
      <c r="D55" s="108" t="str">
        <f>Construction!BC3</f>
        <v>Tot Mas</v>
      </c>
      <c r="E55" s="45">
        <f ca="1">Construction!BC52</f>
        <v>0</v>
      </c>
      <c r="F55" s="110">
        <f t="shared" ca="1" si="0"/>
        <v>0</v>
      </c>
      <c r="G55" s="44"/>
      <c r="H55" s="44"/>
      <c r="I55" s="44"/>
      <c r="J55" s="44"/>
      <c r="K55" s="44"/>
      <c r="L55" s="210"/>
      <c r="M55" s="470"/>
      <c r="N55" s="210"/>
      <c r="O55" s="51"/>
    </row>
    <row r="56" spans="1:15" x14ac:dyDescent="0.2">
      <c r="A56" s="113" t="s">
        <v>1</v>
      </c>
      <c r="B56" s="399">
        <f ca="1">E50</f>
        <v>50</v>
      </c>
      <c r="C56" s="44"/>
      <c r="D56" s="108" t="str">
        <f>Construction!BD3</f>
        <v>Tot Ly</v>
      </c>
      <c r="E56" s="45">
        <f ca="1">Construction!BD52</f>
        <v>20</v>
      </c>
      <c r="F56" s="110">
        <f t="shared" ca="1" si="0"/>
        <v>0.4</v>
      </c>
      <c r="G56" s="44"/>
      <c r="H56" s="50" t="s">
        <v>2</v>
      </c>
      <c r="I56" s="44"/>
      <c r="J56" s="44"/>
      <c r="K56" s="44"/>
      <c r="L56" s="210"/>
      <c r="M56" s="470"/>
      <c r="N56" s="210"/>
      <c r="O56" s="51"/>
    </row>
    <row r="57" spans="1:15" x14ac:dyDescent="0.2">
      <c r="A57" s="114" t="s">
        <v>21</v>
      </c>
      <c r="B57" s="400">
        <f ca="1">Population!C52</f>
        <v>292</v>
      </c>
      <c r="C57" s="44"/>
      <c r="D57" s="108" t="str">
        <f>Construction!BE3</f>
        <v>Tot Hav</v>
      </c>
      <c r="E57" s="45">
        <f ca="1">Construction!BE52</f>
        <v>0</v>
      </c>
      <c r="F57" s="110">
        <f t="shared" ca="1" si="0"/>
        <v>0</v>
      </c>
      <c r="G57" s="44"/>
      <c r="H57" s="45" t="s">
        <v>0</v>
      </c>
      <c r="I57" s="101" t="s">
        <v>216</v>
      </c>
      <c r="J57" s="45" t="s">
        <v>382</v>
      </c>
      <c r="K57" s="44"/>
      <c r="L57" s="210"/>
      <c r="M57" s="470"/>
      <c r="N57" s="210"/>
      <c r="O57" s="51"/>
    </row>
    <row r="58" spans="1:15" x14ac:dyDescent="0.2">
      <c r="A58" s="115" t="s">
        <v>24</v>
      </c>
      <c r="B58" s="401">
        <f ca="1">B44</f>
        <v>477</v>
      </c>
      <c r="C58" s="44"/>
      <c r="D58" s="108" t="str">
        <f>Construction!BF3</f>
        <v>Tot OM</v>
      </c>
      <c r="E58" s="45">
        <f ca="1">Construction!BF52</f>
        <v>0</v>
      </c>
      <c r="F58" s="110">
        <f t="shared" ca="1" si="0"/>
        <v>0</v>
      </c>
      <c r="G58" s="44"/>
      <c r="H58" s="116">
        <v>37</v>
      </c>
      <c r="I58" s="61">
        <f ca="1">Production!H40</f>
        <v>158460</v>
      </c>
      <c r="J58" s="61">
        <f ca="1">Production!H40+SUM(Military!AS4:AS40)</f>
        <v>158460</v>
      </c>
      <c r="K58" s="44"/>
      <c r="L58" s="210"/>
      <c r="M58" s="470"/>
      <c r="N58" s="210"/>
      <c r="O58" s="51"/>
    </row>
    <row r="59" spans="1:15" x14ac:dyDescent="0.2">
      <c r="A59" s="114" t="s">
        <v>230</v>
      </c>
      <c r="B59" s="400">
        <f ca="1">Production!G52</f>
        <v>1250</v>
      </c>
      <c r="C59" s="44"/>
      <c r="D59" s="108" t="str">
        <f>Construction!BG3</f>
        <v>Tot GN</v>
      </c>
      <c r="E59" s="45">
        <f ca="1">Construction!BG52</f>
        <v>0</v>
      </c>
      <c r="F59" s="110">
        <f t="shared" ca="1" si="0"/>
        <v>0</v>
      </c>
      <c r="G59" s="44"/>
      <c r="H59" s="116">
        <v>40</v>
      </c>
      <c r="I59" s="61">
        <f ca="1">Production!H43</f>
        <v>161091</v>
      </c>
      <c r="J59" s="61">
        <f ca="1">Production!H43+SUM(Military!AS5:AS43)</f>
        <v>161091</v>
      </c>
      <c r="K59" s="117"/>
      <c r="L59" s="210"/>
      <c r="M59" s="470"/>
      <c r="N59" s="210"/>
      <c r="O59" s="51"/>
    </row>
    <row r="60" spans="1:15" x14ac:dyDescent="0.2">
      <c r="A60" s="115" t="s">
        <v>265</v>
      </c>
      <c r="B60" s="401">
        <f ca="1">H43</f>
        <v>0</v>
      </c>
      <c r="C60" s="44"/>
      <c r="D60" s="108" t="str">
        <f>Construction!BJ3</f>
        <v>Tot Bar</v>
      </c>
      <c r="E60" s="45">
        <f ca="1">Construction!BJ52</f>
        <v>0</v>
      </c>
      <c r="F60" s="110">
        <f t="shared" ca="1" si="0"/>
        <v>0</v>
      </c>
      <c r="G60" s="44"/>
      <c r="H60" s="116" t="s">
        <v>229</v>
      </c>
      <c r="I60" s="61">
        <f ca="1">Production!H52</f>
        <v>168547</v>
      </c>
      <c r="J60" s="61">
        <f ca="1">Production!H52+SUM(Military!AS4:AS52)</f>
        <v>168547</v>
      </c>
      <c r="K60" s="117"/>
      <c r="L60" s="210"/>
      <c r="M60" s="470"/>
      <c r="N60" s="210"/>
      <c r="O60" s="51"/>
    </row>
    <row r="61" spans="1:15" x14ac:dyDescent="0.2">
      <c r="A61" s="114" t="s">
        <v>264</v>
      </c>
      <c r="B61" s="400">
        <f ca="1">E43</f>
        <v>0</v>
      </c>
      <c r="C61" s="44"/>
      <c r="D61" s="108" t="str">
        <f>Construction!BH3</f>
        <v>Tot Fac</v>
      </c>
      <c r="E61" s="45">
        <f ca="1">Construction!BH52</f>
        <v>0</v>
      </c>
      <c r="F61" s="110">
        <f t="shared" ca="1" si="0"/>
        <v>0</v>
      </c>
      <c r="G61" s="44"/>
      <c r="H61" s="44"/>
      <c r="I61" s="44"/>
      <c r="J61" s="44"/>
      <c r="K61" s="117"/>
      <c r="L61" s="210"/>
      <c r="M61" s="470"/>
      <c r="N61" s="210"/>
      <c r="O61" s="51"/>
    </row>
    <row r="62" spans="1:15" x14ac:dyDescent="0.2">
      <c r="A62" s="115" t="s">
        <v>6</v>
      </c>
      <c r="B62" s="401">
        <f ca="1">Production!S52</f>
        <v>788</v>
      </c>
      <c r="C62" s="44"/>
      <c r="D62" s="108" t="str">
        <f>Construction!BI3</f>
        <v>Tot GT</v>
      </c>
      <c r="E62" s="45">
        <f ca="1">Construction!BI52</f>
        <v>0</v>
      </c>
      <c r="F62" s="110">
        <f t="shared" ca="1" si="0"/>
        <v>0</v>
      </c>
      <c r="G62" s="44"/>
      <c r="H62" s="50" t="s">
        <v>275</v>
      </c>
      <c r="I62" s="44"/>
      <c r="J62" s="44"/>
      <c r="K62" s="44"/>
      <c r="L62" s="210"/>
      <c r="M62" s="470"/>
      <c r="N62" s="210"/>
      <c r="O62" s="51"/>
    </row>
    <row r="63" spans="1:15" x14ac:dyDescent="0.2">
      <c r="A63" s="114" t="s">
        <v>2</v>
      </c>
      <c r="B63" s="400">
        <f ca="1">Production!H$52</f>
        <v>168547</v>
      </c>
      <c r="C63" s="44"/>
      <c r="D63" s="108" t="str">
        <f>Construction!BK3</f>
        <v>Tot Shr</v>
      </c>
      <c r="E63" s="45">
        <f ca="1">Construction!BK52</f>
        <v>0</v>
      </c>
      <c r="F63" s="110">
        <f t="shared" ca="1" si="0"/>
        <v>0</v>
      </c>
      <c r="G63" s="44"/>
      <c r="H63" s="45" t="s">
        <v>276</v>
      </c>
      <c r="I63" s="92" t="s">
        <v>216</v>
      </c>
      <c r="J63" s="118" t="s">
        <v>381</v>
      </c>
      <c r="K63" s="44"/>
      <c r="L63" s="210"/>
      <c r="M63" s="470"/>
      <c r="N63" s="210"/>
      <c r="O63" s="51"/>
    </row>
    <row r="64" spans="1:15" x14ac:dyDescent="0.2">
      <c r="A64" s="115" t="s">
        <v>5</v>
      </c>
      <c r="B64" s="401">
        <f ca="1">Production!I$52</f>
        <v>100641</v>
      </c>
      <c r="C64" s="44"/>
      <c r="D64" s="108" t="str">
        <f>Construction!BL3</f>
        <v>Tot Tow</v>
      </c>
      <c r="E64" s="45">
        <f ca="1">Construction!BL52</f>
        <v>0</v>
      </c>
      <c r="F64" s="110">
        <f t="shared" ca="1" si="0"/>
        <v>0</v>
      </c>
      <c r="G64" s="44"/>
      <c r="H64" s="45" t="s">
        <v>277</v>
      </c>
      <c r="I64" s="94">
        <f ca="1">SUM(Construction!AQ4:AQ52)</f>
        <v>0</v>
      </c>
      <c r="J64" s="118">
        <f ca="1">IFERROR(Table18[[#This Row],[Amount]]/Table18[[#Totals],[Amount]],0)</f>
        <v>0</v>
      </c>
      <c r="K64" s="44"/>
      <c r="L64" s="210"/>
      <c r="M64" s="470"/>
      <c r="N64" s="210"/>
      <c r="O64" s="51"/>
    </row>
    <row r="65" spans="1:15" x14ac:dyDescent="0.2">
      <c r="A65" s="114" t="s">
        <v>7</v>
      </c>
      <c r="B65" s="400">
        <f ca="1">Production!J$52</f>
        <v>47529</v>
      </c>
      <c r="C65" s="44"/>
      <c r="D65" s="108" t="str">
        <f>Construction!BM3</f>
        <v>Tot Tem</v>
      </c>
      <c r="E65" s="45">
        <f ca="1">Construction!BM52</f>
        <v>0</v>
      </c>
      <c r="F65" s="110">
        <f t="shared" ca="1" si="0"/>
        <v>0</v>
      </c>
      <c r="G65" s="44"/>
      <c r="H65" s="45" t="s">
        <v>278</v>
      </c>
      <c r="I65" s="94">
        <f ca="1">SUM(Explore!AH4:AH52)</f>
        <v>0</v>
      </c>
      <c r="J65" s="118">
        <f ca="1">IFERROR(Table18[[#This Row],[Amount]]/Table18[[#Totals],[Amount]],0)</f>
        <v>0</v>
      </c>
      <c r="K65" s="44"/>
      <c r="L65" s="210"/>
      <c r="M65" s="470"/>
      <c r="N65" s="210"/>
      <c r="O65" s="51"/>
    </row>
    <row r="66" spans="1:15" x14ac:dyDescent="0.2">
      <c r="A66" s="115" t="s">
        <v>12</v>
      </c>
      <c r="B66" s="401">
        <f ca="1">Production!K$52</f>
        <v>0</v>
      </c>
      <c r="C66" s="44"/>
      <c r="D66" s="108" t="str">
        <f>Construction!BN3</f>
        <v>Tot WG</v>
      </c>
      <c r="E66" s="45">
        <f ca="1">Construction!BN52</f>
        <v>0</v>
      </c>
      <c r="F66" s="110">
        <f t="shared" ca="1" si="0"/>
        <v>0</v>
      </c>
      <c r="G66" s="44"/>
      <c r="H66" s="45" t="s">
        <v>22</v>
      </c>
      <c r="I66" s="94">
        <f ca="1">SUM(Military!AS4:AS52)</f>
        <v>0</v>
      </c>
      <c r="J66" s="118">
        <f ca="1">IFERROR(Table18[[#This Row],[Amount]]/Table18[[#Totals],[Amount]],0)</f>
        <v>0</v>
      </c>
      <c r="K66" s="44"/>
      <c r="L66" s="210"/>
      <c r="M66" s="470"/>
      <c r="N66" s="210"/>
      <c r="O66" s="51"/>
    </row>
    <row r="67" spans="1:15" x14ac:dyDescent="0.2">
      <c r="A67" s="114" t="s">
        <v>3</v>
      </c>
      <c r="B67" s="400">
        <f ca="1">Production!L$52</f>
        <v>0</v>
      </c>
      <c r="C67" s="44"/>
      <c r="D67" s="108" t="str">
        <f>Construction!BO3</f>
        <v>Tot DM</v>
      </c>
      <c r="E67" s="45">
        <f ca="1">Construction!BO52</f>
        <v>0</v>
      </c>
      <c r="F67" s="110">
        <f t="shared" ca="1" si="0"/>
        <v>0</v>
      </c>
      <c r="G67" s="44"/>
      <c r="H67" s="45" t="s">
        <v>190</v>
      </c>
      <c r="I67" s="94">
        <f ca="1">SUM(Rezone!Y4:Y52)</f>
        <v>0</v>
      </c>
      <c r="J67" s="118">
        <f ca="1">IFERROR(Table18[[#This Row],[Amount]]/Table18[[#Totals],[Amount]],0)</f>
        <v>0</v>
      </c>
      <c r="K67" s="44"/>
      <c r="L67" s="210"/>
      <c r="M67" s="470"/>
      <c r="N67" s="210"/>
      <c r="O67" s="51"/>
    </row>
    <row r="68" spans="1:15" x14ac:dyDescent="0.2">
      <c r="A68" s="115" t="s">
        <v>4</v>
      </c>
      <c r="B68" s="401">
        <f ca="1">Production!M$52</f>
        <v>0</v>
      </c>
      <c r="C68" s="44"/>
      <c r="D68" s="108" t="str">
        <f>Construction!BP3</f>
        <v>Tot Sch</v>
      </c>
      <c r="E68" s="45">
        <f ca="1">Construction!BP52</f>
        <v>0</v>
      </c>
      <c r="F68" s="110">
        <f t="shared" ca="1" si="0"/>
        <v>0</v>
      </c>
      <c r="G68" s="44"/>
      <c r="H68" s="45" t="s">
        <v>279</v>
      </c>
      <c r="I68" s="94">
        <f>SUM(Imps!AM4:AM52)</f>
        <v>0</v>
      </c>
      <c r="J68" s="118">
        <f ca="1">IFERROR(Table18[[#This Row],[Amount]]/Table18[[#Totals],[Amount]],0)</f>
        <v>0</v>
      </c>
      <c r="K68" s="44"/>
      <c r="L68" s="210"/>
      <c r="M68" s="470"/>
      <c r="N68" s="210"/>
      <c r="O68" s="51"/>
    </row>
    <row r="69" spans="1:15" x14ac:dyDescent="0.2">
      <c r="A69" s="114" t="s">
        <v>82</v>
      </c>
      <c r="B69" s="400">
        <f ca="1">Production!N$52</f>
        <v>0</v>
      </c>
      <c r="C69" s="44"/>
      <c r="D69" s="355" t="str">
        <f>Construction!BQ3</f>
        <v>Tot Doc</v>
      </c>
      <c r="E69" s="73">
        <f ca="1">Construction!BQ52</f>
        <v>0</v>
      </c>
      <c r="F69" s="120">
        <f t="shared" ca="1" si="0"/>
        <v>0</v>
      </c>
      <c r="G69" s="44"/>
      <c r="H69" s="45" t="s">
        <v>186</v>
      </c>
      <c r="I69" s="94">
        <f ca="1">SUBTOTAL(109,Table18[Amount])</f>
        <v>0</v>
      </c>
      <c r="J69" s="316">
        <f>1</f>
        <v>1</v>
      </c>
      <c r="K69" s="44"/>
      <c r="L69" s="210"/>
      <c r="M69" s="227"/>
      <c r="N69" s="210"/>
      <c r="O69" s="51"/>
    </row>
    <row r="70" spans="1:15" x14ac:dyDescent="0.2">
      <c r="A70" s="115" t="s">
        <v>273</v>
      </c>
      <c r="B70" s="401">
        <f>SUM(Explore!T65:Z76)+SUM(Explore!S77:S87)*15</f>
        <v>0</v>
      </c>
      <c r="C70" s="44"/>
      <c r="D70" s="73" t="str">
        <f>B73</f>
        <v>Plain</v>
      </c>
      <c r="E70" s="119">
        <f ca="1">Construction!DG52</f>
        <v>30</v>
      </c>
      <c r="F70" s="120">
        <f ca="1">E70/E50</f>
        <v>0.6</v>
      </c>
      <c r="G70" s="44"/>
      <c r="I70" s="44"/>
      <c r="K70" s="44"/>
      <c r="L70" s="44"/>
      <c r="M70" s="44"/>
      <c r="N70" s="44"/>
      <c r="O70" s="51"/>
    </row>
    <row r="71" spans="1:15" x14ac:dyDescent="0.2">
      <c r="A71" s="114" t="s">
        <v>274</v>
      </c>
      <c r="B71" s="400">
        <f>Construction!D52</f>
        <v>0</v>
      </c>
      <c r="C71" s="44"/>
      <c r="D71" s="5" t="s">
        <v>357</v>
      </c>
      <c r="E71" s="35">
        <f ca="1">E50-SUM(E51:E69)-B71</f>
        <v>0</v>
      </c>
      <c r="F71" s="123">
        <f ca="1">E71/E50</f>
        <v>0</v>
      </c>
      <c r="G71" s="44"/>
      <c r="H71" s="44"/>
      <c r="I71" s="44"/>
      <c r="J71" s="44"/>
      <c r="K71" s="44"/>
      <c r="L71" s="44"/>
      <c r="M71" s="44"/>
      <c r="N71" s="44"/>
      <c r="O71" s="51"/>
    </row>
    <row r="72" spans="1:15" x14ac:dyDescent="0.2">
      <c r="A72" s="121" t="s">
        <v>378</v>
      </c>
      <c r="B72" s="122" t="str">
        <f>VLOOKUP($B$14,Races!$A$4:$B$120,2,FALSE)</f>
        <v>Good</v>
      </c>
      <c r="C72" s="44"/>
      <c r="D72" s="5" t="s">
        <v>358</v>
      </c>
      <c r="E72" s="35">
        <f>B71</f>
        <v>0</v>
      </c>
      <c r="F72" s="5">
        <f ca="1">E72/E50</f>
        <v>0</v>
      </c>
      <c r="G72" s="44"/>
      <c r="H72" s="44"/>
      <c r="I72" s="44"/>
      <c r="J72" s="44"/>
      <c r="K72" s="44"/>
      <c r="L72" s="44"/>
      <c r="M72" s="44"/>
      <c r="N72" s="44"/>
      <c r="O72" s="51"/>
    </row>
    <row r="73" spans="1:15" x14ac:dyDescent="0.2">
      <c r="A73" s="121" t="s">
        <v>377</v>
      </c>
      <c r="B73" s="122" t="str">
        <f>VLOOKUP($B$14,Races!$A$4:$C$120,3,FALSE)</f>
        <v>Plain</v>
      </c>
      <c r="C73" s="44"/>
      <c r="D73" s="44"/>
      <c r="E73" s="44"/>
      <c r="F73" s="44"/>
      <c r="G73" s="44"/>
      <c r="H73" s="44"/>
      <c r="I73" s="44"/>
      <c r="J73" s="44"/>
      <c r="K73" s="44"/>
      <c r="L73" s="44"/>
      <c r="M73" s="44"/>
      <c r="N73" s="44"/>
      <c r="O73" s="51"/>
    </row>
    <row r="74" spans="1:15" x14ac:dyDescent="0.2">
      <c r="A74" s="44"/>
      <c r="B74" s="44"/>
      <c r="C74" s="44"/>
      <c r="D74" s="44"/>
      <c r="E74" s="44"/>
      <c r="F74" s="44"/>
      <c r="G74" s="44"/>
      <c r="H74" s="44"/>
      <c r="I74" s="44"/>
      <c r="J74" s="44"/>
      <c r="K74" s="44"/>
      <c r="L74" s="44"/>
      <c r="M74" s="44"/>
      <c r="N74" s="44"/>
      <c r="O74" s="51"/>
    </row>
    <row r="75" spans="1:15" x14ac:dyDescent="0.2">
      <c r="A75" s="44"/>
      <c r="B75" s="44"/>
      <c r="C75" s="69"/>
      <c r="D75" s="69"/>
      <c r="E75" s="69"/>
      <c r="F75" s="69"/>
      <c r="G75" s="69"/>
      <c r="H75" s="69"/>
      <c r="I75" s="69"/>
      <c r="J75" s="69"/>
      <c r="K75" s="69"/>
      <c r="L75" s="69"/>
      <c r="M75" s="69"/>
      <c r="N75" s="69"/>
      <c r="O75" s="72"/>
    </row>
    <row r="76" spans="1:15" x14ac:dyDescent="0.2">
      <c r="A76" s="483" t="s">
        <v>286</v>
      </c>
      <c r="B76" s="484"/>
      <c r="C76" s="124"/>
      <c r="D76" s="124"/>
      <c r="E76" s="124"/>
    </row>
    <row r="77" spans="1:15" x14ac:dyDescent="0.2">
      <c r="A77" s="125" t="s">
        <v>287</v>
      </c>
      <c r="B77" s="126"/>
      <c r="C77" s="124"/>
      <c r="D77" s="124"/>
      <c r="E77" s="126"/>
    </row>
    <row r="78" spans="1:15" x14ac:dyDescent="0.2">
      <c r="A78" s="127" t="s">
        <v>289</v>
      </c>
      <c r="B78" s="127" t="s">
        <v>290</v>
      </c>
      <c r="C78" s="127" t="s">
        <v>292</v>
      </c>
      <c r="D78" s="127" t="s">
        <v>291</v>
      </c>
      <c r="E78" s="124"/>
    </row>
    <row r="79" spans="1:15" x14ac:dyDescent="0.2">
      <c r="A79" s="124" t="s">
        <v>92</v>
      </c>
      <c r="B79" s="124" t="s">
        <v>1119</v>
      </c>
      <c r="C79" s="128"/>
      <c r="D79" s="128">
        <f ca="1">IF(Constants!F119="none",$F$70/Constants!C119,MIN(Constants!F119,$F$70/Constants!C119))</f>
        <v>2</v>
      </c>
      <c r="E79" s="124" t="b">
        <f>$B$14=A79</f>
        <v>0</v>
      </c>
    </row>
    <row r="80" spans="1:15" x14ac:dyDescent="0.2">
      <c r="A80" s="124"/>
      <c r="B80" s="124" t="s">
        <v>125</v>
      </c>
      <c r="C80" s="128">
        <f ca="1">IF(Constants!F120="none",$F$70/Constants!C120,MIN(Constants!F120,$F$70/Constants!C120))</f>
        <v>2</v>
      </c>
      <c r="D80" s="128">
        <f ca="1">IF(Constants!F121="none",$F$70/Constants!C121,MIN(Constants!F121,$F$70/Constants!C121))</f>
        <v>2</v>
      </c>
      <c r="E80" s="124"/>
    </row>
    <row r="81" spans="1:5" x14ac:dyDescent="0.2">
      <c r="A81" s="124" t="s">
        <v>96</v>
      </c>
      <c r="B81" s="124" t="s">
        <v>139</v>
      </c>
      <c r="C81" s="128"/>
      <c r="D81" s="128">
        <f ca="1">MIN(Constants!F122,$F$70/Constants!C122)</f>
        <v>2.9999999999999996</v>
      </c>
      <c r="E81" s="124" t="b">
        <f>$B$14=A81</f>
        <v>0</v>
      </c>
    </row>
    <row r="82" spans="1:5" x14ac:dyDescent="0.2">
      <c r="A82" s="124" t="s">
        <v>94</v>
      </c>
      <c r="B82" s="124" t="s">
        <v>132</v>
      </c>
      <c r="C82" s="128"/>
      <c r="D82" s="128">
        <f ca="1">MIN(Constants!F123,$F$70/Constants!C123)</f>
        <v>2</v>
      </c>
      <c r="E82" s="124" t="b">
        <f>$B$14=A82</f>
        <v>0</v>
      </c>
    </row>
    <row r="83" spans="1:5" x14ac:dyDescent="0.2">
      <c r="A83" s="124" t="s">
        <v>99</v>
      </c>
      <c r="B83" s="124" t="s">
        <v>147</v>
      </c>
      <c r="C83" s="128">
        <f ca="1">MIN(Constants!F124,F66/Constants!C124)</f>
        <v>0</v>
      </c>
      <c r="D83" s="128">
        <f ca="1">MIN(Constants!F125,F66/Constants!C125)</f>
        <v>0</v>
      </c>
      <c r="E83" s="124" t="b">
        <f>$B$14=A83</f>
        <v>0</v>
      </c>
    </row>
    <row r="84" spans="1:5" x14ac:dyDescent="0.2">
      <c r="A84" s="124" t="s">
        <v>328</v>
      </c>
      <c r="B84" s="124" t="s">
        <v>331</v>
      </c>
      <c r="C84" s="124"/>
      <c r="D84" s="128">
        <f ca="1">MIN(Constants!F126,F70/Constants!C126)</f>
        <v>2.9999999999999996</v>
      </c>
      <c r="E84" s="124" t="b">
        <f>$B$14=A84</f>
        <v>0</v>
      </c>
    </row>
    <row r="85" spans="1:5" x14ac:dyDescent="0.2">
      <c r="A85" s="124"/>
      <c r="B85" s="124" t="s">
        <v>332</v>
      </c>
      <c r="C85" s="124">
        <f ca="1">MIN(Constants!F127,I54*Constants!C127)</f>
        <v>0</v>
      </c>
      <c r="D85" s="124"/>
      <c r="E85" s="124"/>
    </row>
    <row r="86" spans="1:5" x14ac:dyDescent="0.2">
      <c r="A86" s="124" t="s">
        <v>143</v>
      </c>
      <c r="B86" s="124" t="s">
        <v>373</v>
      </c>
      <c r="C86" s="124"/>
      <c r="D86" s="128">
        <f>MIN(Constants!F128,250/Constants!C128)</f>
        <v>0</v>
      </c>
      <c r="E86" s="124" t="b">
        <f>$B$14=A86</f>
        <v>0</v>
      </c>
    </row>
    <row r="87" spans="1:5" x14ac:dyDescent="0.2">
      <c r="A87" s="124" t="s">
        <v>143</v>
      </c>
      <c r="B87" s="124" t="s">
        <v>356</v>
      </c>
      <c r="C87" s="129">
        <f>MIN(bone_breaker_cap,250/bone_breaker_bonus)</f>
        <v>0.83333333333333337</v>
      </c>
      <c r="E87" s="124" t="b">
        <f>$B$14=A87</f>
        <v>0</v>
      </c>
    </row>
    <row r="88" spans="1:5" x14ac:dyDescent="0.2">
      <c r="A88" s="124" t="s">
        <v>498</v>
      </c>
      <c r="B88" s="124" t="s">
        <v>422</v>
      </c>
      <c r="C88" s="124"/>
      <c r="D88" s="128">
        <f ca="1">MIN(nox_nightshade_cap,E70/E50/nox_nightshade_swamp_bonus)</f>
        <v>4</v>
      </c>
      <c r="E88" s="124" t="b">
        <f>$B$14=A88</f>
        <v>0</v>
      </c>
    </row>
    <row r="89" spans="1:5" x14ac:dyDescent="0.2">
      <c r="A89" s="124" t="s">
        <v>1122</v>
      </c>
      <c r="B89" s="124" t="s">
        <v>1123</v>
      </c>
      <c r="C89" s="124"/>
      <c r="D89" s="128">
        <f ca="1">MIN(F64/abyss_enforce_bonus,abyss_enforcer_cap)</f>
        <v>0</v>
      </c>
      <c r="E89" s="124" t="b">
        <f>$B$14=A89</f>
        <v>0</v>
      </c>
    </row>
    <row r="91" spans="1:5" x14ac:dyDescent="0.2">
      <c r="A91" s="125" t="s">
        <v>288</v>
      </c>
      <c r="B91" s="124"/>
      <c r="C91" s="124"/>
      <c r="D91" s="124"/>
      <c r="E91" s="124"/>
    </row>
    <row r="92" spans="1:5" x14ac:dyDescent="0.2">
      <c r="A92" s="124" t="s">
        <v>103</v>
      </c>
      <c r="B92" s="124" t="s">
        <v>326</v>
      </c>
      <c r="C92" s="124"/>
      <c r="D92" s="124">
        <f ca="1">MIN(B41,B40)*2</f>
        <v>0</v>
      </c>
      <c r="E92" s="124" t="b">
        <f>$B$14=A92</f>
        <v>0</v>
      </c>
    </row>
    <row r="93" spans="1:5" x14ac:dyDescent="0.2">
      <c r="A93" s="124"/>
      <c r="B93" s="124" t="s">
        <v>327</v>
      </c>
      <c r="C93" s="124">
        <f ca="1">MIN(B42,B39)*2</f>
        <v>0</v>
      </c>
      <c r="D93" s="124"/>
      <c r="E93" s="124"/>
    </row>
    <row r="94" spans="1:5" x14ac:dyDescent="0.2">
      <c r="A94" s="124" t="s">
        <v>93</v>
      </c>
      <c r="B94" s="124" t="s">
        <v>129</v>
      </c>
      <c r="C94" s="413">
        <v>0.2</v>
      </c>
      <c r="D94" s="413">
        <f>1/3</f>
        <v>0.33333333333333331</v>
      </c>
      <c r="E94" s="124" t="b">
        <f t="shared" ref="E94:E98" si="1">$B$14=A94</f>
        <v>0</v>
      </c>
    </row>
    <row r="95" spans="1:5" x14ac:dyDescent="0.2">
      <c r="A95" s="124" t="s">
        <v>104</v>
      </c>
      <c r="B95" s="124" t="s">
        <v>158</v>
      </c>
      <c r="C95" s="413">
        <v>0.2</v>
      </c>
      <c r="D95" s="413">
        <v>0.2</v>
      </c>
      <c r="E95" s="124" t="b">
        <f t="shared" si="1"/>
        <v>0</v>
      </c>
    </row>
    <row r="96" spans="1:5" x14ac:dyDescent="0.2">
      <c r="A96" s="124" t="s">
        <v>96</v>
      </c>
      <c r="B96" s="124" t="s">
        <v>139</v>
      </c>
      <c r="C96" s="413">
        <v>0.2</v>
      </c>
      <c r="D96" s="413">
        <v>0.25</v>
      </c>
      <c r="E96" s="124" t="b">
        <f t="shared" si="1"/>
        <v>0</v>
      </c>
    </row>
    <row r="97" spans="1:5" x14ac:dyDescent="0.2">
      <c r="A97" s="124" t="s">
        <v>99</v>
      </c>
      <c r="B97" s="124" t="s">
        <v>147</v>
      </c>
      <c r="C97" s="413">
        <v>0.25</v>
      </c>
      <c r="D97" s="413">
        <v>0.2</v>
      </c>
      <c r="E97" s="124" t="b">
        <f t="shared" si="1"/>
        <v>0</v>
      </c>
    </row>
    <row r="98" spans="1:5" x14ac:dyDescent="0.2">
      <c r="A98" s="124" t="s">
        <v>1122</v>
      </c>
      <c r="B98" s="124" t="s">
        <v>420</v>
      </c>
      <c r="C98" s="413">
        <f ca="1">B39*infernal_cmd_op*IF(Magic!AQ52&gt;0,1,0)</f>
        <v>0</v>
      </c>
      <c r="D98" s="413"/>
      <c r="E98" s="124" t="b">
        <f t="shared" si="1"/>
        <v>0</v>
      </c>
    </row>
  </sheetData>
  <mergeCells count="15">
    <mergeCell ref="A76:B76"/>
    <mergeCell ref="D47:H47"/>
    <mergeCell ref="L49:O54"/>
    <mergeCell ref="A1:L1"/>
    <mergeCell ref="A8:I8"/>
    <mergeCell ref="A9:I12"/>
    <mergeCell ref="M1:O1"/>
    <mergeCell ref="J8:L12"/>
    <mergeCell ref="L39:O41"/>
    <mergeCell ref="L42:O43"/>
    <mergeCell ref="L44:O46"/>
    <mergeCell ref="A36:O36"/>
    <mergeCell ref="M2:O12"/>
    <mergeCell ref="A13:O13"/>
    <mergeCell ref="A2:L7"/>
  </mergeCells>
  <phoneticPr fontId="0" type="noConversion"/>
  <conditionalFormatting sqref="D47">
    <cfRule type="expression" dxfId="962" priority="7" stopIfTrue="1">
      <formula>$D$47&lt;&gt;""</formula>
    </cfRule>
  </conditionalFormatting>
  <conditionalFormatting sqref="E18">
    <cfRule type="cellIs" dxfId="961" priority="8" stopIfTrue="1" operator="equal">
      <formula>"""Yes"""</formula>
    </cfRule>
    <cfRule type="expression" dxfId="960" priority="9" stopIfTrue="1">
      <formula>ISERROR(E18)</formula>
    </cfRule>
  </conditionalFormatting>
  <conditionalFormatting sqref="E17">
    <cfRule type="cellIs" dxfId="959" priority="10" stopIfTrue="1" operator="lessThan">
      <formula>1</formula>
    </cfRule>
  </conditionalFormatting>
  <conditionalFormatting sqref="A30">
    <cfRule type="expression" dxfId="958" priority="5">
      <formula>$B$14&lt;&gt;"Dark Elf"</formula>
    </cfRule>
    <cfRule type="expression" dxfId="957" priority="6">
      <formula>$B$14="Dark Elf"</formula>
    </cfRule>
  </conditionalFormatting>
  <conditionalFormatting sqref="M69">
    <cfRule type="cellIs" dxfId="956" priority="3" operator="lessThan">
      <formula>$M$50</formula>
    </cfRule>
    <cfRule type="cellIs" dxfId="955" priority="4" operator="greaterThan">
      <formula>$M$50</formula>
    </cfRule>
  </conditionalFormatting>
  <conditionalFormatting sqref="L35">
    <cfRule type="expression" dxfId="954" priority="1">
      <formula>$L$35&lt;&gt;start_acres</formula>
    </cfRule>
    <cfRule type="expression" dxfId="953" priority="2">
      <formula>$L$35=start_acres</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F26:F29 B25:C25 A22:A29 B24:C24"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9">
    <tablePart r:id="rId5"/>
    <tablePart r:id="rId6"/>
    <tablePart r:id="rId7"/>
    <tablePart r:id="rId8"/>
    <tablePart r:id="rId9"/>
    <tablePart r:id="rId10"/>
    <tablePart r:id="rId11"/>
    <tablePart r:id="rId12"/>
    <tablePart r:id="rId1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ColWidth="9.140625" defaultRowHeight="12.75" x14ac:dyDescent="0.2"/>
  <cols>
    <col min="1" max="1" width="8.5703125" style="57" customWidth="1"/>
    <col min="2" max="2" width="8.5703125" style="45" customWidth="1"/>
    <col min="3" max="3" width="11.7109375" style="45" customWidth="1"/>
    <col min="4" max="4" width="9.85546875" style="45" customWidth="1"/>
    <col min="5" max="5" width="11.140625" style="45" customWidth="1"/>
    <col min="6" max="6" width="7.7109375" style="45" customWidth="1"/>
    <col min="7" max="7" width="11.42578125" style="45" customWidth="1"/>
    <col min="8" max="8" width="12.28515625" style="45" customWidth="1"/>
    <col min="9" max="9" width="14.85546875" style="45" customWidth="1"/>
    <col min="10" max="10" width="9.7109375" style="45" customWidth="1"/>
    <col min="11" max="11" width="2.85546875" style="45" customWidth="1"/>
    <col min="12" max="19" width="11.28515625" style="45" customWidth="1"/>
    <col min="20" max="20" width="2.85546875" style="45" customWidth="1"/>
    <col min="21" max="21" width="10.5703125" style="45" customWidth="1"/>
    <col min="22" max="22" width="11.42578125" style="45" customWidth="1"/>
    <col min="23" max="26" width="15.28515625" style="45" customWidth="1"/>
    <col min="27" max="27" width="2.85546875" style="45" customWidth="1"/>
    <col min="28" max="28" width="10.140625" style="45" customWidth="1"/>
    <col min="29" max="29" width="10.85546875" style="45" customWidth="1"/>
    <col min="30" max="16384" width="9.140625" style="45"/>
  </cols>
  <sheetData>
    <row r="1" spans="1:30" s="5" customFormat="1" x14ac:dyDescent="0.2">
      <c r="A1" s="28"/>
      <c r="C1" s="532" t="s">
        <v>23</v>
      </c>
      <c r="D1" s="532"/>
      <c r="E1" s="532"/>
      <c r="F1" s="532"/>
      <c r="G1" s="532"/>
      <c r="H1" s="532"/>
      <c r="I1" s="532"/>
      <c r="J1" s="28"/>
      <c r="K1" s="28"/>
      <c r="L1" s="532" t="s">
        <v>22</v>
      </c>
      <c r="M1" s="532"/>
      <c r="N1" s="532"/>
      <c r="O1" s="532"/>
      <c r="P1" s="532"/>
      <c r="Q1" s="532"/>
      <c r="R1" s="532"/>
      <c r="S1" s="532"/>
      <c r="U1" s="532" t="s">
        <v>163</v>
      </c>
      <c r="V1" s="533"/>
      <c r="W1" s="532" t="s">
        <v>167</v>
      </c>
      <c r="X1" s="532"/>
      <c r="Y1" s="532"/>
      <c r="Z1" s="532"/>
      <c r="AA1" s="532" t="s">
        <v>172</v>
      </c>
      <c r="AB1" s="533"/>
      <c r="AC1" s="533"/>
      <c r="AD1" s="533"/>
    </row>
    <row r="2" spans="1:30" s="134" customFormat="1" x14ac:dyDescent="0.2">
      <c r="M2" s="134" t="str">
        <f>Overview!$A$22</f>
        <v>Spearman</v>
      </c>
      <c r="N2" s="134" t="str">
        <f>Overview!$A$23</f>
        <v>Archer</v>
      </c>
      <c r="O2" s="134" t="str">
        <f>Overview!$A$24</f>
        <v>Knight</v>
      </c>
      <c r="P2" s="134" t="str">
        <f>Overview!$A$25</f>
        <v>Cavalry</v>
      </c>
      <c r="Q2" s="134" t="s">
        <v>25</v>
      </c>
      <c r="R2" s="134" t="s">
        <v>26</v>
      </c>
      <c r="S2" s="134" t="s">
        <v>27</v>
      </c>
    </row>
    <row r="3" spans="1:30" s="136" customFormat="1" ht="15" customHeight="1" x14ac:dyDescent="0.2">
      <c r="A3" s="135" t="s">
        <v>0</v>
      </c>
      <c r="B3" s="135" t="s">
        <v>309</v>
      </c>
      <c r="C3" s="135" t="s">
        <v>21</v>
      </c>
      <c r="D3" s="135" t="s">
        <v>22</v>
      </c>
      <c r="E3" s="135" t="s">
        <v>24</v>
      </c>
      <c r="F3" s="135" t="s">
        <v>186</v>
      </c>
      <c r="G3" s="135" t="s">
        <v>187</v>
      </c>
      <c r="H3" s="135" t="s">
        <v>224</v>
      </c>
      <c r="I3" s="135" t="s">
        <v>263</v>
      </c>
      <c r="J3" s="135" t="s">
        <v>311</v>
      </c>
      <c r="K3" s="135" t="s">
        <v>765</v>
      </c>
      <c r="L3" s="135" t="s">
        <v>1006</v>
      </c>
      <c r="M3" s="135" t="s">
        <v>761</v>
      </c>
      <c r="N3" s="135" t="s">
        <v>762</v>
      </c>
      <c r="O3" s="135" t="s">
        <v>763</v>
      </c>
      <c r="P3" s="135" t="s">
        <v>764</v>
      </c>
      <c r="Q3" s="135" t="s">
        <v>25</v>
      </c>
      <c r="R3" s="135" t="s">
        <v>26</v>
      </c>
      <c r="S3" s="135" t="s">
        <v>182</v>
      </c>
      <c r="T3" s="135" t="s">
        <v>766</v>
      </c>
      <c r="U3" s="135" t="s">
        <v>226</v>
      </c>
      <c r="V3" s="135" t="s">
        <v>174</v>
      </c>
      <c r="W3" s="135" t="s">
        <v>173</v>
      </c>
      <c r="X3" s="135" t="s">
        <v>232</v>
      </c>
      <c r="Y3" s="135" t="s">
        <v>225</v>
      </c>
      <c r="Z3" s="135" t="s">
        <v>1023</v>
      </c>
      <c r="AA3" s="135" t="s">
        <v>768</v>
      </c>
      <c r="AB3" s="135" t="s">
        <v>167</v>
      </c>
      <c r="AC3" s="135" t="s">
        <v>171</v>
      </c>
    </row>
    <row r="4" spans="1:30" x14ac:dyDescent="0.2">
      <c r="A4" s="137">
        <f>TblRezone[[#This Row],[Hour]]</f>
        <v>1</v>
      </c>
      <c r="B4" s="138">
        <f>TblImps[[#This Row],[Time]]</f>
        <v>46320</v>
      </c>
      <c r="C4" s="378">
        <f ca="1">start_peasants</f>
        <v>469</v>
      </c>
      <c r="D4" s="94">
        <f ca="1">TblMili[[#This Row],[Military]]</f>
        <v>300</v>
      </c>
      <c r="E4" s="94">
        <f ca="1">TblMili[[#This Row],[Draftees]]</f>
        <v>300</v>
      </c>
      <c r="F4" s="94">
        <f ca="1">TblPop[[#This Row],[Peasants]]+TblPop[[#This Row],[Military]]</f>
        <v>769</v>
      </c>
      <c r="G4" s="139">
        <f ca="1">TblPop[[#This Row],[Military]]/TblPop[[#This Row],[Total]]</f>
        <v>0.39011703511053314</v>
      </c>
      <c r="H4" s="140">
        <f ca="1">MIN(TblPop[[#This Row],[Peasants]],TblPop[[#This Row],[Jobs]])</f>
        <v>469</v>
      </c>
      <c r="I4" s="139">
        <f ca="1">MIN(OFFSET(TblPop[[#This Row],[Jobs]],1,0)/TblPop[[#This Row],[Peasants]],1)</f>
        <v>1</v>
      </c>
      <c r="J4" s="140">
        <f>SUM(TblConstr[[#This Row],[Tot Alc]:[Tot GT]],TblConstr[[#This Row],[Tot Shr]:[Tot Doc]],TblConstr[[#This Row],[Dest Alc]:[Dest GT]],TblConstr[[#This Row],[Dest Shr]:[Dest Doc]])*building_employment + TblConstr[[#This Row],[Tot Fac]]*bonus_jobs_facts</f>
        <v>1000</v>
      </c>
      <c r="K4" s="141"/>
      <c r="L4" s="61">
        <f ca="1">TblPop[[#This Row],[Draftees]]</f>
        <v>300</v>
      </c>
      <c r="M4" s="61">
        <f>TblMili[[#This Row],[Unit 1]]</f>
        <v>0</v>
      </c>
      <c r="N4" s="61">
        <f>TblMili[[#This Row],[Unit 2]]</f>
        <v>0</v>
      </c>
      <c r="O4" s="61">
        <f>TblMili[[#This Row],[Unit 3]]</f>
        <v>0</v>
      </c>
      <c r="P4" s="61">
        <f>TblMili[[#This Row],[Unit 4]]</f>
        <v>0</v>
      </c>
      <c r="Q4" s="61">
        <f>TblMili[[#This Row],[Spies]]</f>
        <v>0</v>
      </c>
      <c r="R4" s="61">
        <f>TblMili[[#This Row],[Wizards]]</f>
        <v>0</v>
      </c>
      <c r="S4" s="61">
        <f>TblMili[[#This Row],[Archmages]]</f>
        <v>0</v>
      </c>
      <c r="T4" s="142"/>
      <c r="U4" s="94">
        <f ca="1">ROUND(TblPop[[#This Row],[Raw max]]*(1+TblPop[[#This Row],[Max pop]]),0)+MIN(TblPop[[#This Row],[Military]]-TblPop[[#This Row],[Draftees]]-SUM(TblMili[[#This Row],[Train Unit 1]:[Train AM]]),(barracks_size + tech_8_3*TblTech[[#This Row],[8-3]])*TblConstr[[#This Row],[Tot Bar]])</f>
        <v>769</v>
      </c>
      <c r="V4" s="94">
        <f ca="1">(TblConstr[[#This Row],[Tot Hom]]+TblConstr[[#This Row],[Dest Hom]])*pop_in_home+(SUM(TblConstr[[#This Row],[Tot Alc]:[Tot Doc]])+TblConstr[[#This Row],[Incoming]]-TblConstr[[#This Row],[Tot Bar]])*pop_in_building+(SUM(TblConstr[[#This Row],[Plain]:[Water]])-TblExplore[[#This Row],[Land Bonus]]*20)*pop_on_barren</f>
        <v>750</v>
      </c>
      <c r="W4" s="94">
        <f ca="1">MAX(-5%*TblPop[[#This Row],[Peasants]]-TblPop[[#This Row],[Draft Growth]],MIN(OFFSET(TblPop[[#This Row],[Net max]],1,0)-TblPop[[#This Row],[Peasants]]-TblPop[[#This Row],[Military]]-TblPop[[#This Row],[Draft Growth]],TblPop[[#This Row],[Modded Birth]]-TblPop[[#This Row],[Draft Growth]]))</f>
        <v>-5</v>
      </c>
      <c r="X4" s="94">
        <f ca="1">ROUND(TblPop[[#This Row],[Raw Birth]]*(1+TblPop[[#This Row],[Growth]]),0)</f>
        <v>14</v>
      </c>
      <c r="Y4" s="94">
        <f ca="1">(TblPop[[#This Row],[Peasants]]-TblPop[[#This Row],[Draft Growth]])*raw_pop_growth</f>
        <v>13.92</v>
      </c>
      <c r="Z4" s="94">
        <f ca="1">ROUND(IF(TblPop[[#This Row],[Military%]]&lt;TblMili[[#This Row],[Draftrate]],ROUND(TblPop[[#This Row],[Peasants]]*Constants!$B$55,0), 0) * IF(AND(TblMagic[[#This Row],[Active DnD]]&lt;=12,TblMagic[[#This Row],[Active DnD]]&gt;6),1.5,1),0)</f>
        <v>5</v>
      </c>
      <c r="AA4" s="142"/>
      <c r="AB4" s="143">
        <f ca="1">Overview!$I$17 + IF(Magic!AF4&gt;0,Constants!$F$78) + ROUND(6*(Construction!BM5+Construction!CK4)/IF(Explore!S5&gt;0,Construction!F5-20,Construction!F5),4) + tech_6_5_2*Techs!BJ4 + tech_8_4*Techs!BT4</f>
        <v>0</v>
      </c>
      <c r="AC4" s="139">
        <f ca="1">(Overview!$I$16 + Imps!Z4+ tech_2_5*Techs!AB4 + tech_3_6*Techs!AM4 + tech_6_1*Techs!BJ4 + tech_6_5*Techs!BF4 + tech_7_3_2*Techs!BN4) * (1 + Production!O4/100*prestige_pop_multiplier) + Production!O4/100*prestige_pop_multiplier</f>
        <v>2.5000000000000001E-2</v>
      </c>
    </row>
    <row r="5" spans="1:30" x14ac:dyDescent="0.2">
      <c r="A5" s="137">
        <f>TblRezone[[#This Row],[Hour]]</f>
        <v>2</v>
      </c>
      <c r="B5" s="138">
        <f ca="1">TblImps[[#This Row],[Time]]</f>
        <v>46320.041666666664</v>
      </c>
      <c r="C5" s="94">
        <f ca="1">OFFSET(TblPop[[#This Row],[Peasants]],-1,0)+OFFSET(TblPop[[#This Row],[Net Peasant]],-1,0)+TblMili[[#This Row],[Release Draft]]</f>
        <v>464</v>
      </c>
      <c r="D5" s="94">
        <f ca="1">TblMili[[#This Row],[Military]]</f>
        <v>305</v>
      </c>
      <c r="E5" s="94">
        <f ca="1">TblMili[[#This Row],[Draftees]]</f>
        <v>305</v>
      </c>
      <c r="F5" s="94">
        <f ca="1">TblPop[[#This Row],[Peasants]]+TblPop[[#This Row],[Military]]</f>
        <v>769</v>
      </c>
      <c r="G5" s="139">
        <f ca="1">TblPop[[#This Row],[Military]]/TblPop[[#This Row],[Total]]</f>
        <v>0.39661898569570869</v>
      </c>
      <c r="H5" s="140">
        <f ca="1">MIN(TblPop[[#This Row],[Peasants]],TblPop[[#This Row],[Jobs]])</f>
        <v>464</v>
      </c>
      <c r="I5" s="139">
        <f ca="1">MIN(OFFSET(TblPop[[#This Row],[Jobs]],1,0)/TblPop[[#This Row],[Peasants]],1)</f>
        <v>1</v>
      </c>
      <c r="J5" s="140">
        <f ca="1">SUM(TblConstr[[#This Row],[Tot Alc]:[Tot GT]],TblConstr[[#This Row],[Tot Shr]:[Tot Doc]],TblConstr[[#This Row],[Dest Alc]:[Dest GT]],TblConstr[[#This Row],[Dest Shr]:[Dest Doc]])*building_employment + TblConstr[[#This Row],[Tot Fac]]*bonus_jobs_facts</f>
        <v>1000</v>
      </c>
      <c r="K5" s="141"/>
      <c r="L5" s="61">
        <f ca="1">TblPop[[#This Row],[Draftees]]</f>
        <v>305</v>
      </c>
      <c r="M5" s="61">
        <f ca="1">TblMili[[#This Row],[Unit 1]]</f>
        <v>0</v>
      </c>
      <c r="N5" s="61">
        <f ca="1">TblMili[[#This Row],[Unit 2]]</f>
        <v>0</v>
      </c>
      <c r="O5" s="61">
        <f ca="1">TblMili[[#This Row],[Unit 3]]</f>
        <v>0</v>
      </c>
      <c r="P5" s="61">
        <f ca="1">TblMili[[#This Row],[Unit 4]]</f>
        <v>0</v>
      </c>
      <c r="Q5" s="61">
        <f ca="1">TblMili[[#This Row],[Spies]]</f>
        <v>0</v>
      </c>
      <c r="R5" s="61">
        <f ca="1">TblMili[[#This Row],[Wizards]]</f>
        <v>0</v>
      </c>
      <c r="S5" s="61">
        <f ca="1">TblMili[[#This Row],[Archmages]]</f>
        <v>0</v>
      </c>
      <c r="T5" s="142"/>
      <c r="U5" s="94">
        <f ca="1">ROUND(TblPop[[#This Row],[Raw max]]*(1+OFFSET(TblPop[[#This Row],[Max pop]],-1,0)),0)+MIN(TblPop[[#This Row],[Military]]-TblPop[[#This Row],[Draftees]]-SUM(TblMili[[#This Row],[Train Unit 1]:[Train AM]]),(barracks_size + tech_8_3*TblTech[[#This Row],[8-3]])*TblConstr[[#This Row],[Tot Bar]])</f>
        <v>769</v>
      </c>
      <c r="V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 s="94">
        <f ca="1">MAX(-5%*TblPop[[#This Row],[Peasants]]-TblPop[[#This Row],[Draft Growth]],MIN(OFFSET(TblPop[[#This Row],[Net max]],1,0)-TblPop[[#This Row],[Peasants]]-TblPop[[#This Row],[Military]]-TblPop[[#This Row],[Draft Growth]],TblPop[[#This Row],[Modded Birth]]-TblPop[[#This Row],[Draft Growth]]))</f>
        <v>-5</v>
      </c>
      <c r="X5" s="94">
        <f ca="1">ROUND(TblPop[[#This Row],[Raw Birth]]*(1+TblPop[[#This Row],[Growth]]),0)</f>
        <v>14</v>
      </c>
      <c r="Y5" s="94">
        <f ca="1">(TblPop[[#This Row],[Peasants]]-TblPop[[#This Row],[Draft Growth]])*raw_pop_growth</f>
        <v>13.77</v>
      </c>
      <c r="Z5" s="94">
        <f ca="1">ROUND(IF(TblPop[[#This Row],[Military%]]&lt;TblMili[[#This Row],[Draftrate]],ROUND(TblPop[[#This Row],[Peasants]]*Constants!$B$55,0), 0) * IF(AND(TblMagic[[#This Row],[Active DnD]]&lt;=12,TblMagic[[#This Row],[Active DnD]]&gt;6),1.5,1),0)</f>
        <v>5</v>
      </c>
      <c r="AA5" s="142"/>
      <c r="AB5" s="143">
        <f ca="1">Overview!$I$17 + IF(Magic!AF5&gt;0,Constants!$F$78) + ROUND(6*(Construction!BM6+Construction!CK5)/IF(Explore!S6&gt;0,Construction!F6-20,Construction!F6),4) + tech_6_5_2*Techs!BJ5 + tech_8_4*Techs!BT5</f>
        <v>0</v>
      </c>
      <c r="AC5" s="139">
        <f ca="1">(Overview!$I$16 + Imps!Z5+ tech_2_5*Techs!AB5 + tech_3_6*Techs!AM5 + tech_6_1*Techs!BJ5 + tech_6_5*Techs!BF5 + tech_7_3_2*Techs!BN5) * (1 + Production!O5/100*prestige_pop_multiplier) + Production!O5/100*prestige_pop_multiplier</f>
        <v>2.5000000000000001E-2</v>
      </c>
    </row>
    <row r="6" spans="1:30" x14ac:dyDescent="0.2">
      <c r="A6" s="137">
        <f>TblRezone[[#This Row],[Hour]]</f>
        <v>3</v>
      </c>
      <c r="B6" s="138">
        <f ca="1">TblImps[[#This Row],[Time]]</f>
        <v>46320.083333333328</v>
      </c>
      <c r="C6" s="94">
        <f ca="1">OFFSET(TblPop[[#This Row],[Peasants]],-1,0)+OFFSET(TblPop[[#This Row],[Net Peasant]],-1,0)+TblMili[[#This Row],[Release Draft]]</f>
        <v>459</v>
      </c>
      <c r="D6" s="94">
        <f ca="1">TblMili[[#This Row],[Military]]</f>
        <v>310</v>
      </c>
      <c r="E6" s="94">
        <f ca="1">TblMili[[#This Row],[Draftees]]</f>
        <v>310</v>
      </c>
      <c r="F6" s="94">
        <f ca="1">TblPop[[#This Row],[Peasants]]+TblPop[[#This Row],[Military]]</f>
        <v>769</v>
      </c>
      <c r="G6" s="139">
        <f ca="1">TblPop[[#This Row],[Military]]/TblPop[[#This Row],[Total]]</f>
        <v>0.40312093628088425</v>
      </c>
      <c r="H6" s="140">
        <f ca="1">MIN(TblPop[[#This Row],[Peasants]],TblPop[[#This Row],[Jobs]])</f>
        <v>459</v>
      </c>
      <c r="I6" s="139">
        <f ca="1">MIN(OFFSET(TblPop[[#This Row],[Jobs]],1,0)/TblPop[[#This Row],[Peasants]],1)</f>
        <v>1</v>
      </c>
      <c r="J6" s="140">
        <f ca="1">SUM(TblConstr[[#This Row],[Tot Alc]:[Tot GT]],TblConstr[[#This Row],[Tot Shr]:[Tot Doc]],TblConstr[[#This Row],[Dest Alc]:[Dest GT]],TblConstr[[#This Row],[Dest Shr]:[Dest Doc]])*building_employment + TblConstr[[#This Row],[Tot Fac]]*bonus_jobs_facts</f>
        <v>1000</v>
      </c>
      <c r="K6" s="141"/>
      <c r="L6" s="61">
        <f ca="1">TblPop[[#This Row],[Draftees]]</f>
        <v>310</v>
      </c>
      <c r="M6" s="61">
        <f ca="1">TblMili[[#This Row],[Unit 1]]</f>
        <v>0</v>
      </c>
      <c r="N6" s="61">
        <f ca="1">TblMili[[#This Row],[Unit 2]]</f>
        <v>0</v>
      </c>
      <c r="O6" s="61">
        <f ca="1">TblMili[[#This Row],[Unit 3]]</f>
        <v>0</v>
      </c>
      <c r="P6" s="61">
        <f ca="1">TblMili[[#This Row],[Unit 4]]</f>
        <v>0</v>
      </c>
      <c r="Q6" s="61">
        <f ca="1">TblMili[[#This Row],[Spies]]</f>
        <v>0</v>
      </c>
      <c r="R6" s="61">
        <f ca="1">TblMili[[#This Row],[Wizards]]</f>
        <v>0</v>
      </c>
      <c r="S6" s="61">
        <f ca="1">TblMili[[#This Row],[Archmages]]</f>
        <v>0</v>
      </c>
      <c r="T6" s="142"/>
      <c r="U6" s="94">
        <f ca="1">ROUND(TblPop[[#This Row],[Raw max]]*(1+OFFSET(TblPop[[#This Row],[Max pop]],-1,0)),0)+MIN(TblPop[[#This Row],[Military]]-TblPop[[#This Row],[Draftees]]-SUM(TblMili[[#This Row],[Train Unit 1]:[Train AM]]),(barracks_size + tech_8_3*TblTech[[#This Row],[8-3]])*TblConstr[[#This Row],[Tot Bar]])</f>
        <v>769</v>
      </c>
      <c r="V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 s="94">
        <f ca="1">MAX(-5%*TblPop[[#This Row],[Peasants]]-TblPop[[#This Row],[Draft Growth]],MIN(OFFSET(TblPop[[#This Row],[Net max]],1,0)-TblPop[[#This Row],[Peasants]]-TblPop[[#This Row],[Military]]-TblPop[[#This Row],[Draft Growth]],TblPop[[#This Row],[Modded Birth]]-TblPop[[#This Row],[Draft Growth]]))</f>
        <v>-5</v>
      </c>
      <c r="X6" s="94">
        <f ca="1">ROUND(TblPop[[#This Row],[Raw Birth]]*(1+TblPop[[#This Row],[Growth]]),0)</f>
        <v>14</v>
      </c>
      <c r="Y6" s="94">
        <f ca="1">(TblPop[[#This Row],[Peasants]]-TblPop[[#This Row],[Draft Growth]])*raw_pop_growth</f>
        <v>13.62</v>
      </c>
      <c r="Z6" s="94">
        <f ca="1">ROUND(IF(TblPop[[#This Row],[Military%]]&lt;TblMili[[#This Row],[Draftrate]],ROUND(TblPop[[#This Row],[Peasants]]*Constants!$B$55,0), 0) * IF(AND(TblMagic[[#This Row],[Active DnD]]&lt;=12,TblMagic[[#This Row],[Active DnD]]&gt;6),1.5,1),0)</f>
        <v>5</v>
      </c>
      <c r="AA6" s="142"/>
      <c r="AB6" s="143">
        <f ca="1">Overview!$I$17 + IF(Magic!AF6&gt;0,Constants!$F$78) + ROUND(6*(Construction!BM7+Construction!CK6)/IF(Explore!S7&gt;0,Construction!F7-20,Construction!F7),4) + tech_6_5_2*Techs!BJ6 + tech_8_4*Techs!BT6</f>
        <v>0</v>
      </c>
      <c r="AC6" s="139">
        <f ca="1">(Overview!$I$16 + Imps!Z6+ tech_2_5*Techs!AB6 + tech_3_6*Techs!AM6 + tech_6_1*Techs!BJ6 + tech_6_5*Techs!BF6 + tech_7_3_2*Techs!BN6) * (1 + Production!O6/100*prestige_pop_multiplier) + Production!O6/100*prestige_pop_multiplier</f>
        <v>2.5000000000000001E-2</v>
      </c>
    </row>
    <row r="7" spans="1:30" x14ac:dyDescent="0.2">
      <c r="A7" s="137">
        <f>TblRezone[[#This Row],[Hour]]</f>
        <v>4</v>
      </c>
      <c r="B7" s="138">
        <f ca="1">TblImps[[#This Row],[Time]]</f>
        <v>46320.124999999993</v>
      </c>
      <c r="C7" s="94">
        <f ca="1">OFFSET(TblPop[[#This Row],[Peasants]],-1,0)+OFFSET(TblPop[[#This Row],[Net Peasant]],-1,0)+TblMili[[#This Row],[Release Draft]]</f>
        <v>454</v>
      </c>
      <c r="D7" s="94">
        <f ca="1">TblMili[[#This Row],[Military]]</f>
        <v>315</v>
      </c>
      <c r="E7" s="94">
        <f ca="1">TblMili[[#This Row],[Draftees]]</f>
        <v>315</v>
      </c>
      <c r="F7" s="94">
        <f ca="1">TblPop[[#This Row],[Peasants]]+TblPop[[#This Row],[Military]]</f>
        <v>769</v>
      </c>
      <c r="G7" s="139">
        <f ca="1">TblPop[[#This Row],[Military]]/TblPop[[#This Row],[Total]]</f>
        <v>0.4096228868660598</v>
      </c>
      <c r="H7" s="140">
        <f ca="1">MIN(TblPop[[#This Row],[Peasants]],TblPop[[#This Row],[Jobs]])</f>
        <v>454</v>
      </c>
      <c r="I7" s="139">
        <f ca="1">MIN(OFFSET(TblPop[[#This Row],[Jobs]],1,0)/TblPop[[#This Row],[Peasants]],1)</f>
        <v>1</v>
      </c>
      <c r="J7" s="140">
        <f ca="1">SUM(TblConstr[[#This Row],[Tot Alc]:[Tot GT]],TblConstr[[#This Row],[Tot Shr]:[Tot Doc]],TblConstr[[#This Row],[Dest Alc]:[Dest GT]],TblConstr[[#This Row],[Dest Shr]:[Dest Doc]])*building_employment + TblConstr[[#This Row],[Tot Fac]]*bonus_jobs_facts</f>
        <v>1000</v>
      </c>
      <c r="K7" s="141"/>
      <c r="L7" s="61">
        <f ca="1">TblPop[[#This Row],[Draftees]]</f>
        <v>315</v>
      </c>
      <c r="M7" s="61">
        <f ca="1">TblMili[[#This Row],[Unit 1]]</f>
        <v>0</v>
      </c>
      <c r="N7" s="61">
        <f ca="1">TblMili[[#This Row],[Unit 2]]</f>
        <v>0</v>
      </c>
      <c r="O7" s="61">
        <f ca="1">TblMili[[#This Row],[Unit 3]]</f>
        <v>0</v>
      </c>
      <c r="P7" s="61">
        <f ca="1">TblMili[[#This Row],[Unit 4]]</f>
        <v>0</v>
      </c>
      <c r="Q7" s="61">
        <f ca="1">TblMili[[#This Row],[Spies]]</f>
        <v>0</v>
      </c>
      <c r="R7" s="61">
        <f ca="1">TblMili[[#This Row],[Wizards]]</f>
        <v>0</v>
      </c>
      <c r="S7" s="61">
        <f ca="1">TblMili[[#This Row],[Archmages]]</f>
        <v>0</v>
      </c>
      <c r="T7" s="142"/>
      <c r="U7" s="94">
        <f ca="1">ROUND(TblPop[[#This Row],[Raw max]]*(1+OFFSET(TblPop[[#This Row],[Max pop]],-1,0)),0)+MIN(TblPop[[#This Row],[Military]]-TblPop[[#This Row],[Draftees]]-SUM(TblMili[[#This Row],[Train Unit 1]:[Train AM]]),(barracks_size + tech_8_3*TblTech[[#This Row],[8-3]])*TblConstr[[#This Row],[Tot Bar]])</f>
        <v>769</v>
      </c>
      <c r="V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 s="94">
        <f ca="1">MAX(-5%*TblPop[[#This Row],[Peasants]]-TblPop[[#This Row],[Draft Growth]],MIN(OFFSET(TblPop[[#This Row],[Net max]],1,0)-TblPop[[#This Row],[Peasants]]-TblPop[[#This Row],[Military]]-TblPop[[#This Row],[Draft Growth]],TblPop[[#This Row],[Modded Birth]]-TblPop[[#This Row],[Draft Growth]]))</f>
        <v>-5</v>
      </c>
      <c r="X7" s="94">
        <f ca="1">ROUND(TblPop[[#This Row],[Raw Birth]]*(1+TblPop[[#This Row],[Growth]]),0)</f>
        <v>13</v>
      </c>
      <c r="Y7" s="94">
        <f ca="1">(TblPop[[#This Row],[Peasants]]-TblPop[[#This Row],[Draft Growth]])*raw_pop_growth</f>
        <v>13.469999999999999</v>
      </c>
      <c r="Z7" s="94">
        <f ca="1">ROUND(IF(TblPop[[#This Row],[Military%]]&lt;TblMili[[#This Row],[Draftrate]],ROUND(TblPop[[#This Row],[Peasants]]*Constants!$B$55,0), 0) * IF(AND(TblMagic[[#This Row],[Active DnD]]&lt;=12,TblMagic[[#This Row],[Active DnD]]&gt;6),1.5,1),0)</f>
        <v>5</v>
      </c>
      <c r="AA7" s="142"/>
      <c r="AB7" s="143">
        <f ca="1">Overview!$I$17 + IF(Magic!AF7&gt;0,Constants!$F$78) + ROUND(6*(Construction!BM8+Construction!CK7)/IF(Explore!S8&gt;0,Construction!F8-20,Construction!F8),4) + tech_6_5_2*Techs!BJ7 + tech_8_4*Techs!BT7</f>
        <v>0</v>
      </c>
      <c r="AC7" s="139">
        <f ca="1">(Overview!$I$16 + Imps!Z7+ tech_2_5*Techs!AB7 + tech_3_6*Techs!AM7 + tech_6_1*Techs!BJ7 + tech_6_5*Techs!BF7 + tech_7_3_2*Techs!BN7) * (1 + Production!O7/100*prestige_pop_multiplier) + Production!O7/100*prestige_pop_multiplier</f>
        <v>2.5000000000000001E-2</v>
      </c>
    </row>
    <row r="8" spans="1:30" x14ac:dyDescent="0.2">
      <c r="A8" s="137">
        <f>TblRezone[[#This Row],[Hour]]</f>
        <v>5</v>
      </c>
      <c r="B8" s="138">
        <f ca="1">TblImps[[#This Row],[Time]]</f>
        <v>46320.166666666657</v>
      </c>
      <c r="C8" s="94">
        <f ca="1">OFFSET(TblPop[[#This Row],[Peasants]],-1,0)+OFFSET(TblPop[[#This Row],[Net Peasant]],-1,0)+TblMili[[#This Row],[Release Draft]]</f>
        <v>449</v>
      </c>
      <c r="D8" s="94">
        <f ca="1">TblMili[[#This Row],[Military]]</f>
        <v>320</v>
      </c>
      <c r="E8" s="94">
        <f ca="1">TblMili[[#This Row],[Draftees]]</f>
        <v>320</v>
      </c>
      <c r="F8" s="94">
        <f ca="1">TblPop[[#This Row],[Peasants]]+TblPop[[#This Row],[Military]]</f>
        <v>769</v>
      </c>
      <c r="G8" s="139">
        <f ca="1">TblPop[[#This Row],[Military]]/TblPop[[#This Row],[Total]]</f>
        <v>0.41612483745123535</v>
      </c>
      <c r="H8" s="140">
        <f ca="1">MIN(TblPop[[#This Row],[Peasants]],TblPop[[#This Row],[Jobs]])</f>
        <v>449</v>
      </c>
      <c r="I8" s="139">
        <f ca="1">MIN(OFFSET(TblPop[[#This Row],[Jobs]],1,0)/TblPop[[#This Row],[Peasants]],1)</f>
        <v>1</v>
      </c>
      <c r="J8" s="140">
        <f ca="1">SUM(TblConstr[[#This Row],[Tot Alc]:[Tot GT]],TblConstr[[#This Row],[Tot Shr]:[Tot Doc]],TblConstr[[#This Row],[Dest Alc]:[Dest GT]],TblConstr[[#This Row],[Dest Shr]:[Dest Doc]])*building_employment + TblConstr[[#This Row],[Tot Fac]]*bonus_jobs_facts</f>
        <v>1000</v>
      </c>
      <c r="K8" s="141"/>
      <c r="L8" s="61">
        <f ca="1">TblPop[[#This Row],[Draftees]]</f>
        <v>320</v>
      </c>
      <c r="M8" s="61">
        <f ca="1">TblMili[[#This Row],[Unit 1]]</f>
        <v>0</v>
      </c>
      <c r="N8" s="61">
        <f ca="1">TblMili[[#This Row],[Unit 2]]</f>
        <v>0</v>
      </c>
      <c r="O8" s="61">
        <f ca="1">TblMili[[#This Row],[Unit 3]]</f>
        <v>0</v>
      </c>
      <c r="P8" s="61">
        <f ca="1">TblMili[[#This Row],[Unit 4]]</f>
        <v>0</v>
      </c>
      <c r="Q8" s="61">
        <f ca="1">TblMili[[#This Row],[Spies]]</f>
        <v>0</v>
      </c>
      <c r="R8" s="61">
        <f ca="1">TblMili[[#This Row],[Wizards]]</f>
        <v>0</v>
      </c>
      <c r="S8" s="61">
        <f ca="1">TblMili[[#This Row],[Archmages]]</f>
        <v>0</v>
      </c>
      <c r="T8" s="142"/>
      <c r="U8" s="94">
        <f ca="1">ROUND(TblPop[[#This Row],[Raw max]]*(1+OFFSET(TblPop[[#This Row],[Max pop]],-1,0)),0)+MIN(TblPop[[#This Row],[Military]]-TblPop[[#This Row],[Draftees]]-SUM(TblMili[[#This Row],[Train Unit 1]:[Train AM]]),(barracks_size + tech_8_3*TblTech[[#This Row],[8-3]])*TblConstr[[#This Row],[Tot Bar]])</f>
        <v>769</v>
      </c>
      <c r="V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 s="94">
        <f ca="1">MAX(-5%*TblPop[[#This Row],[Peasants]]-TblPop[[#This Row],[Draft Growth]],MIN(OFFSET(TblPop[[#This Row],[Net max]],1,0)-TblPop[[#This Row],[Peasants]]-TblPop[[#This Row],[Military]]-TblPop[[#This Row],[Draft Growth]],TblPop[[#This Row],[Modded Birth]]-TblPop[[#This Row],[Draft Growth]]))</f>
        <v>-4</v>
      </c>
      <c r="X8" s="94">
        <f ca="1">ROUND(TblPop[[#This Row],[Raw Birth]]*(1+TblPop[[#This Row],[Growth]]),0)</f>
        <v>13</v>
      </c>
      <c r="Y8" s="94">
        <f ca="1">(TblPop[[#This Row],[Peasants]]-TblPop[[#This Row],[Draft Growth]])*raw_pop_growth</f>
        <v>13.35</v>
      </c>
      <c r="Z8" s="94">
        <f ca="1">ROUND(IF(TblPop[[#This Row],[Military%]]&lt;TblMili[[#This Row],[Draftrate]],ROUND(TblPop[[#This Row],[Peasants]]*Constants!$B$55,0), 0) * IF(AND(TblMagic[[#This Row],[Active DnD]]&lt;=12,TblMagic[[#This Row],[Active DnD]]&gt;6),1.5,1),0)</f>
        <v>4</v>
      </c>
      <c r="AA8" s="142"/>
      <c r="AB8" s="143">
        <f ca="1">Overview!$I$17 + IF(Magic!AF8&gt;0,Constants!$F$78) + ROUND(6*(Construction!BM9+Construction!CK8)/IF(Explore!S9&gt;0,Construction!F9-20,Construction!F9),4) + tech_6_5_2*Techs!BJ8 + tech_8_4*Techs!BT8</f>
        <v>0</v>
      </c>
      <c r="AC8" s="139">
        <f ca="1">(Overview!$I$16 + Imps!Z8+ tech_2_5*Techs!AB8 + tech_3_6*Techs!AM8 + tech_6_1*Techs!BJ8 + tech_6_5*Techs!BF8 + tech_7_3_2*Techs!BN8) * (1 + Production!O8/100*prestige_pop_multiplier) + Production!O8/100*prestige_pop_multiplier</f>
        <v>2.5000000000000001E-2</v>
      </c>
    </row>
    <row r="9" spans="1:30" x14ac:dyDescent="0.2">
      <c r="A9" s="137">
        <f>TblRezone[[#This Row],[Hour]]</f>
        <v>6</v>
      </c>
      <c r="B9" s="138">
        <f ca="1">TblImps[[#This Row],[Time]]</f>
        <v>46320.208333333321</v>
      </c>
      <c r="C9" s="94">
        <f ca="1">OFFSET(TblPop[[#This Row],[Peasants]],-1,0)+OFFSET(TblPop[[#This Row],[Net Peasant]],-1,0)+TblMili[[#This Row],[Release Draft]]</f>
        <v>445</v>
      </c>
      <c r="D9" s="94">
        <f ca="1">TblMili[[#This Row],[Military]]</f>
        <v>324</v>
      </c>
      <c r="E9" s="94">
        <f ca="1">TblMili[[#This Row],[Draftees]]</f>
        <v>324</v>
      </c>
      <c r="F9" s="94">
        <f ca="1">TblPop[[#This Row],[Peasants]]+TblPop[[#This Row],[Military]]</f>
        <v>769</v>
      </c>
      <c r="G9" s="139">
        <f ca="1">TblPop[[#This Row],[Military]]/TblPop[[#This Row],[Total]]</f>
        <v>0.42132639791937582</v>
      </c>
      <c r="H9" s="140">
        <f ca="1">MIN(TblPop[[#This Row],[Peasants]],TblPop[[#This Row],[Jobs]])</f>
        <v>445</v>
      </c>
      <c r="I9" s="139">
        <f ca="1">MIN(OFFSET(TblPop[[#This Row],[Jobs]],1,0)/TblPop[[#This Row],[Peasants]],1)</f>
        <v>1</v>
      </c>
      <c r="J9" s="140">
        <f ca="1">SUM(TblConstr[[#This Row],[Tot Alc]:[Tot GT]],TblConstr[[#This Row],[Tot Shr]:[Tot Doc]],TblConstr[[#This Row],[Dest Alc]:[Dest GT]],TblConstr[[#This Row],[Dest Shr]:[Dest Doc]])*building_employment + TblConstr[[#This Row],[Tot Fac]]*bonus_jobs_facts</f>
        <v>1000</v>
      </c>
      <c r="K9" s="141"/>
      <c r="L9" s="61">
        <f ca="1">TblPop[[#This Row],[Draftees]]</f>
        <v>324</v>
      </c>
      <c r="M9" s="61">
        <f ca="1">TblMili[[#This Row],[Unit 1]]</f>
        <v>0</v>
      </c>
      <c r="N9" s="61">
        <f ca="1">TblMili[[#This Row],[Unit 2]]</f>
        <v>0</v>
      </c>
      <c r="O9" s="61">
        <f ca="1">TblMili[[#This Row],[Unit 3]]</f>
        <v>0</v>
      </c>
      <c r="P9" s="61">
        <f ca="1">TblMili[[#This Row],[Unit 4]]</f>
        <v>0</v>
      </c>
      <c r="Q9" s="61">
        <f ca="1">TblMili[[#This Row],[Spies]]</f>
        <v>0</v>
      </c>
      <c r="R9" s="61">
        <f ca="1">TblMili[[#This Row],[Wizards]]</f>
        <v>0</v>
      </c>
      <c r="S9" s="61">
        <f ca="1">TblMili[[#This Row],[Archmages]]</f>
        <v>0</v>
      </c>
      <c r="T9" s="142"/>
      <c r="U9" s="94">
        <f ca="1">ROUND(TblPop[[#This Row],[Raw max]]*(1+OFFSET(TblPop[[#This Row],[Max pop]],-1,0)),0)+MIN(TblPop[[#This Row],[Military]]-TblPop[[#This Row],[Draftees]]-SUM(TblMili[[#This Row],[Train Unit 1]:[Train AM]]),(barracks_size + tech_8_3*TblTech[[#This Row],[8-3]])*TblConstr[[#This Row],[Tot Bar]])</f>
        <v>769</v>
      </c>
      <c r="V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 s="94">
        <f ca="1">MAX(-5%*TblPop[[#This Row],[Peasants]]-TblPop[[#This Row],[Draft Growth]],MIN(OFFSET(TblPop[[#This Row],[Net max]],1,0)-TblPop[[#This Row],[Peasants]]-TblPop[[#This Row],[Military]]-TblPop[[#This Row],[Draft Growth]],TblPop[[#This Row],[Modded Birth]]-TblPop[[#This Row],[Draft Growth]]))</f>
        <v>-4</v>
      </c>
      <c r="X9" s="94">
        <f ca="1">ROUND(TblPop[[#This Row],[Raw Birth]]*(1+TblPop[[#This Row],[Growth]]),0)</f>
        <v>13</v>
      </c>
      <c r="Y9" s="94">
        <f ca="1">(TblPop[[#This Row],[Peasants]]-TblPop[[#This Row],[Draft Growth]])*raw_pop_growth</f>
        <v>13.229999999999999</v>
      </c>
      <c r="Z9" s="94">
        <f ca="1">ROUND(IF(TblPop[[#This Row],[Military%]]&lt;TblMili[[#This Row],[Draftrate]],ROUND(TblPop[[#This Row],[Peasants]]*Constants!$B$55,0), 0) * IF(AND(TblMagic[[#This Row],[Active DnD]]&lt;=12,TblMagic[[#This Row],[Active DnD]]&gt;6),1.5,1),0)</f>
        <v>4</v>
      </c>
      <c r="AA9" s="142"/>
      <c r="AB9" s="143">
        <f ca="1">Overview!$I$17 + IF(Magic!AF9&gt;0,Constants!$F$78) + ROUND(6*(Construction!BM10+Construction!CK9)/IF(Explore!S10&gt;0,Construction!F10-20,Construction!F10),4) + tech_6_5_2*Techs!BJ9 + tech_8_4*Techs!BT9</f>
        <v>0</v>
      </c>
      <c r="AC9" s="139">
        <f ca="1">(Overview!$I$16 + Imps!Z9+ tech_2_5*Techs!AB9 + tech_3_6*Techs!AM9 + tech_6_1*Techs!BJ9 + tech_6_5*Techs!BF9 + tech_7_3_2*Techs!BN9) * (1 + Production!O9/100*prestige_pop_multiplier) + Production!O9/100*prestige_pop_multiplier</f>
        <v>2.5000000000000001E-2</v>
      </c>
    </row>
    <row r="10" spans="1:30" x14ac:dyDescent="0.2">
      <c r="A10" s="137">
        <f>TblRezone[[#This Row],[Hour]]</f>
        <v>7</v>
      </c>
      <c r="B10" s="138">
        <f ca="1">TblImps[[#This Row],[Time]]</f>
        <v>46320.249999999985</v>
      </c>
      <c r="C10" s="94">
        <f ca="1">OFFSET(TblPop[[#This Row],[Peasants]],-1,0)+OFFSET(TblPop[[#This Row],[Net Peasant]],-1,0)+TblMili[[#This Row],[Release Draft]]</f>
        <v>441</v>
      </c>
      <c r="D10" s="94">
        <f ca="1">TblMili[[#This Row],[Military]]</f>
        <v>328</v>
      </c>
      <c r="E10" s="94">
        <f ca="1">TblMili[[#This Row],[Draftees]]</f>
        <v>328</v>
      </c>
      <c r="F10" s="94">
        <f ca="1">TblPop[[#This Row],[Peasants]]+TblPop[[#This Row],[Military]]</f>
        <v>769</v>
      </c>
      <c r="G10" s="139">
        <f ca="1">TblPop[[#This Row],[Military]]/TblPop[[#This Row],[Total]]</f>
        <v>0.42652795838751628</v>
      </c>
      <c r="H10" s="140">
        <f ca="1">MIN(TblPop[[#This Row],[Peasants]],TblPop[[#This Row],[Jobs]])</f>
        <v>441</v>
      </c>
      <c r="I10" s="139">
        <f ca="1">MIN(OFFSET(TblPop[[#This Row],[Jobs]],1,0)/TblPop[[#This Row],[Peasants]],1)</f>
        <v>1</v>
      </c>
      <c r="J10" s="140">
        <f ca="1">SUM(TblConstr[[#This Row],[Tot Alc]:[Tot GT]],TblConstr[[#This Row],[Tot Shr]:[Tot Doc]],TblConstr[[#This Row],[Dest Alc]:[Dest GT]],TblConstr[[#This Row],[Dest Shr]:[Dest Doc]])*building_employment + TblConstr[[#This Row],[Tot Fac]]*bonus_jobs_facts</f>
        <v>1000</v>
      </c>
      <c r="K10" s="141"/>
      <c r="L10" s="61">
        <f ca="1">TblPop[[#This Row],[Draftees]]</f>
        <v>328</v>
      </c>
      <c r="M10" s="61">
        <f ca="1">TblMili[[#This Row],[Unit 1]]</f>
        <v>0</v>
      </c>
      <c r="N10" s="61">
        <f ca="1">TblMili[[#This Row],[Unit 2]]</f>
        <v>0</v>
      </c>
      <c r="O10" s="61">
        <f ca="1">TblMili[[#This Row],[Unit 3]]</f>
        <v>0</v>
      </c>
      <c r="P10" s="61">
        <f ca="1">TblMili[[#This Row],[Unit 4]]</f>
        <v>0</v>
      </c>
      <c r="Q10" s="61">
        <f ca="1">TblMili[[#This Row],[Spies]]</f>
        <v>0</v>
      </c>
      <c r="R10" s="61">
        <f ca="1">TblMili[[#This Row],[Wizards]]</f>
        <v>0</v>
      </c>
      <c r="S10" s="61">
        <f ca="1">TblMili[[#This Row],[Archmages]]</f>
        <v>0</v>
      </c>
      <c r="T10" s="142"/>
      <c r="U10" s="94">
        <f ca="1">ROUND(TblPop[[#This Row],[Raw max]]*(1+OFFSET(TblPop[[#This Row],[Max pop]],-1,0)),0)+MIN(TblPop[[#This Row],[Military]]-TblPop[[#This Row],[Draftees]]-SUM(TblMili[[#This Row],[Train Unit 1]:[Train AM]]),(barracks_size + tech_8_3*TblTech[[#This Row],[8-3]])*TblConstr[[#This Row],[Tot Bar]])</f>
        <v>769</v>
      </c>
      <c r="V1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 s="94">
        <f ca="1">MAX(-5%*TblPop[[#This Row],[Peasants]]-TblPop[[#This Row],[Draft Growth]],MIN(OFFSET(TblPop[[#This Row],[Net max]],1,0)-TblPop[[#This Row],[Peasants]]-TblPop[[#This Row],[Military]]-TblPop[[#This Row],[Draft Growth]],TblPop[[#This Row],[Modded Birth]]-TblPop[[#This Row],[Draft Growth]]))</f>
        <v>-4</v>
      </c>
      <c r="X10" s="94">
        <f ca="1">ROUND(TblPop[[#This Row],[Raw Birth]]*(1+TblPop[[#This Row],[Growth]]),0)</f>
        <v>13</v>
      </c>
      <c r="Y10" s="94">
        <f ca="1">(TblPop[[#This Row],[Peasants]]-TblPop[[#This Row],[Draft Growth]])*raw_pop_growth</f>
        <v>13.11</v>
      </c>
      <c r="Z10" s="94">
        <f ca="1">ROUND(IF(TblPop[[#This Row],[Military%]]&lt;TblMili[[#This Row],[Draftrate]],ROUND(TblPop[[#This Row],[Peasants]]*Constants!$B$55,0), 0) * IF(AND(TblMagic[[#This Row],[Active DnD]]&lt;=12,TblMagic[[#This Row],[Active DnD]]&gt;6),1.5,1),0)</f>
        <v>4</v>
      </c>
      <c r="AA10" s="142"/>
      <c r="AB10" s="143">
        <f ca="1">Overview!$I$17 + IF(Magic!AF10&gt;0,Constants!$F$78) + ROUND(6*(Construction!BM11+Construction!CK10)/IF(Explore!S11&gt;0,Construction!F11-20,Construction!F11),4) + tech_6_5_2*Techs!BJ10 + tech_8_4*Techs!BT10</f>
        <v>0</v>
      </c>
      <c r="AC10" s="139">
        <f ca="1">(Overview!$I$16 + Imps!Z10+ tech_2_5*Techs!AB10 + tech_3_6*Techs!AM10 + tech_6_1*Techs!BJ10 + tech_6_5*Techs!BF10 + tech_7_3_2*Techs!BN10) * (1 + Production!O10/100*prestige_pop_multiplier) + Production!O10/100*prestige_pop_multiplier</f>
        <v>2.5000000000000001E-2</v>
      </c>
    </row>
    <row r="11" spans="1:30" x14ac:dyDescent="0.2">
      <c r="A11" s="137">
        <f>TblRezone[[#This Row],[Hour]]</f>
        <v>8</v>
      </c>
      <c r="B11" s="138">
        <f ca="1">TblImps[[#This Row],[Time]]</f>
        <v>46320.29166666665</v>
      </c>
      <c r="C11" s="94">
        <f ca="1">OFFSET(TblPop[[#This Row],[Peasants]],-1,0)+OFFSET(TblPop[[#This Row],[Net Peasant]],-1,0)+TblMili[[#This Row],[Release Draft]]</f>
        <v>437</v>
      </c>
      <c r="D11" s="94">
        <f ca="1">TblMili[[#This Row],[Military]]</f>
        <v>332</v>
      </c>
      <c r="E11" s="94">
        <f ca="1">TblMili[[#This Row],[Draftees]]</f>
        <v>332</v>
      </c>
      <c r="F11" s="94">
        <f ca="1">TblPop[[#This Row],[Peasants]]+TblPop[[#This Row],[Military]]</f>
        <v>769</v>
      </c>
      <c r="G11" s="139">
        <f ca="1">TblPop[[#This Row],[Military]]/TblPop[[#This Row],[Total]]</f>
        <v>0.43172951885565669</v>
      </c>
      <c r="H11" s="140">
        <f ca="1">MIN(TblPop[[#This Row],[Peasants]],TblPop[[#This Row],[Jobs]])</f>
        <v>437</v>
      </c>
      <c r="I11" s="139">
        <f ca="1">MIN(OFFSET(TblPop[[#This Row],[Jobs]],1,0)/TblPop[[#This Row],[Peasants]],1)</f>
        <v>1</v>
      </c>
      <c r="J11" s="140">
        <f ca="1">SUM(TblConstr[[#This Row],[Tot Alc]:[Tot GT]],TblConstr[[#This Row],[Tot Shr]:[Tot Doc]],TblConstr[[#This Row],[Dest Alc]:[Dest GT]],TblConstr[[#This Row],[Dest Shr]:[Dest Doc]])*building_employment + TblConstr[[#This Row],[Tot Fac]]*bonus_jobs_facts</f>
        <v>1000</v>
      </c>
      <c r="K11" s="141"/>
      <c r="L11" s="61">
        <f ca="1">TblPop[[#This Row],[Draftees]]</f>
        <v>332</v>
      </c>
      <c r="M11" s="61">
        <f ca="1">TblMili[[#This Row],[Unit 1]]</f>
        <v>0</v>
      </c>
      <c r="N11" s="61">
        <f ca="1">TblMili[[#This Row],[Unit 2]]</f>
        <v>0</v>
      </c>
      <c r="O11" s="61">
        <f ca="1">TblMili[[#This Row],[Unit 3]]</f>
        <v>0</v>
      </c>
      <c r="P11" s="61">
        <f ca="1">TblMili[[#This Row],[Unit 4]]</f>
        <v>0</v>
      </c>
      <c r="Q11" s="61">
        <f ca="1">TblMili[[#This Row],[Spies]]</f>
        <v>0</v>
      </c>
      <c r="R11" s="61">
        <f ca="1">TblMili[[#This Row],[Wizards]]</f>
        <v>0</v>
      </c>
      <c r="S11" s="61">
        <f ca="1">TblMili[[#This Row],[Archmages]]</f>
        <v>0</v>
      </c>
      <c r="T11" s="142"/>
      <c r="U11" s="94">
        <f ca="1">ROUND(TblPop[[#This Row],[Raw max]]*(1+OFFSET(TblPop[[#This Row],[Max pop]],-1,0)),0)+MIN(TblPop[[#This Row],[Military]]-TblPop[[#This Row],[Draftees]]-SUM(TblMili[[#This Row],[Train Unit 1]:[Train AM]]),(barracks_size + tech_8_3*TblTech[[#This Row],[8-3]])*TblConstr[[#This Row],[Tot Bar]])</f>
        <v>769</v>
      </c>
      <c r="V1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 s="94">
        <f ca="1">MAX(-5%*TblPop[[#This Row],[Peasants]]-TblPop[[#This Row],[Draft Growth]],MIN(OFFSET(TblPop[[#This Row],[Net max]],1,0)-TblPop[[#This Row],[Peasants]]-TblPop[[#This Row],[Military]]-TblPop[[#This Row],[Draft Growth]],TblPop[[#This Row],[Modded Birth]]-TblPop[[#This Row],[Draft Growth]]))</f>
        <v>-4</v>
      </c>
      <c r="X11" s="94">
        <f ca="1">ROUND(TblPop[[#This Row],[Raw Birth]]*(1+TblPop[[#This Row],[Growth]]),0)</f>
        <v>13</v>
      </c>
      <c r="Y11" s="94">
        <f ca="1">(TblPop[[#This Row],[Peasants]]-TblPop[[#This Row],[Draft Growth]])*raw_pop_growth</f>
        <v>12.99</v>
      </c>
      <c r="Z11" s="94">
        <f ca="1">ROUND(IF(TblPop[[#This Row],[Military%]]&lt;TblMili[[#This Row],[Draftrate]],ROUND(TblPop[[#This Row],[Peasants]]*Constants!$B$55,0), 0) * IF(AND(TblMagic[[#This Row],[Active DnD]]&lt;=12,TblMagic[[#This Row],[Active DnD]]&gt;6),1.5,1),0)</f>
        <v>4</v>
      </c>
      <c r="AA11" s="142"/>
      <c r="AB11" s="143">
        <f ca="1">Overview!$I$17 + IF(Magic!AF11&gt;0,Constants!$F$78) + ROUND(6*(Construction!BM12+Construction!CK11)/IF(Explore!S12&gt;0,Construction!F12-20,Construction!F12),4) + tech_6_5_2*Techs!BJ11 + tech_8_4*Techs!BT11</f>
        <v>0</v>
      </c>
      <c r="AC11" s="139">
        <f ca="1">(Overview!$I$16 + Imps!Z11+ tech_2_5*Techs!AB11 + tech_3_6*Techs!AM11 + tech_6_1*Techs!BJ11 + tech_6_5*Techs!BF11 + tech_7_3_2*Techs!BN11) * (1 + Production!O11/100*prestige_pop_multiplier) + Production!O11/100*prestige_pop_multiplier</f>
        <v>2.5000000000000001E-2</v>
      </c>
    </row>
    <row r="12" spans="1:30" x14ac:dyDescent="0.2">
      <c r="A12" s="137">
        <f>TblRezone[[#This Row],[Hour]]</f>
        <v>9</v>
      </c>
      <c r="B12" s="138">
        <f ca="1">TblImps[[#This Row],[Time]]</f>
        <v>46320.333333333314</v>
      </c>
      <c r="C12" s="94">
        <f ca="1">OFFSET(TblPop[[#This Row],[Peasants]],-1,0)+OFFSET(TblPop[[#This Row],[Net Peasant]],-1,0)+TblMili[[#This Row],[Release Draft]]</f>
        <v>433</v>
      </c>
      <c r="D12" s="94">
        <f ca="1">TblMili[[#This Row],[Military]]</f>
        <v>336</v>
      </c>
      <c r="E12" s="94">
        <f ca="1">TblMili[[#This Row],[Draftees]]</f>
        <v>336</v>
      </c>
      <c r="F12" s="94">
        <f ca="1">TblPop[[#This Row],[Peasants]]+TblPop[[#This Row],[Military]]</f>
        <v>769</v>
      </c>
      <c r="G12" s="139">
        <f ca="1">TblPop[[#This Row],[Military]]/TblPop[[#This Row],[Total]]</f>
        <v>0.43693107932379716</v>
      </c>
      <c r="H12" s="140">
        <f ca="1">MIN(TblPop[[#This Row],[Peasants]],TblPop[[#This Row],[Jobs]])</f>
        <v>433</v>
      </c>
      <c r="I12" s="139">
        <f ca="1">MIN(OFFSET(TblPop[[#This Row],[Jobs]],1,0)/TblPop[[#This Row],[Peasants]],1)</f>
        <v>1</v>
      </c>
      <c r="J12" s="140">
        <f ca="1">SUM(TblConstr[[#This Row],[Tot Alc]:[Tot GT]],TblConstr[[#This Row],[Tot Shr]:[Tot Doc]],TblConstr[[#This Row],[Dest Alc]:[Dest GT]],TblConstr[[#This Row],[Dest Shr]:[Dest Doc]])*building_employment + TblConstr[[#This Row],[Tot Fac]]*bonus_jobs_facts</f>
        <v>1000</v>
      </c>
      <c r="K12" s="141"/>
      <c r="L12" s="61">
        <f ca="1">TblPop[[#This Row],[Draftees]]</f>
        <v>336</v>
      </c>
      <c r="M12" s="61">
        <f ca="1">TblMili[[#This Row],[Unit 1]]</f>
        <v>0</v>
      </c>
      <c r="N12" s="61">
        <f ca="1">TblMili[[#This Row],[Unit 2]]</f>
        <v>0</v>
      </c>
      <c r="O12" s="61">
        <f ca="1">TblMili[[#This Row],[Unit 3]]</f>
        <v>0</v>
      </c>
      <c r="P12" s="61">
        <f ca="1">TblMili[[#This Row],[Unit 4]]</f>
        <v>0</v>
      </c>
      <c r="Q12" s="61">
        <f ca="1">TblMili[[#This Row],[Spies]]</f>
        <v>0</v>
      </c>
      <c r="R12" s="61">
        <f ca="1">TblMili[[#This Row],[Wizards]]</f>
        <v>0</v>
      </c>
      <c r="S12" s="61">
        <f ca="1">TblMili[[#This Row],[Archmages]]</f>
        <v>0</v>
      </c>
      <c r="T12" s="142"/>
      <c r="U12" s="94">
        <f ca="1">ROUND(TblPop[[#This Row],[Raw max]]*(1+OFFSET(TblPop[[#This Row],[Max pop]],-1,0)),0)+MIN(TblPop[[#This Row],[Military]]-TblPop[[#This Row],[Draftees]]-SUM(TblMili[[#This Row],[Train Unit 1]:[Train AM]]),(barracks_size + tech_8_3*TblTech[[#This Row],[8-3]])*TblConstr[[#This Row],[Tot Bar]])</f>
        <v>769</v>
      </c>
      <c r="V1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 s="94">
        <f ca="1">MAX(-5%*TblPop[[#This Row],[Peasants]]-TblPop[[#This Row],[Draft Growth]],MIN(OFFSET(TblPop[[#This Row],[Net max]],1,0)-TblPop[[#This Row],[Peasants]]-TblPop[[#This Row],[Military]]-TblPop[[#This Row],[Draft Growth]],TblPop[[#This Row],[Modded Birth]]-TblPop[[#This Row],[Draft Growth]]))</f>
        <v>-4</v>
      </c>
      <c r="X12" s="94">
        <f ca="1">ROUND(TblPop[[#This Row],[Raw Birth]]*(1+TblPop[[#This Row],[Growth]]),0)</f>
        <v>13</v>
      </c>
      <c r="Y12" s="94">
        <f ca="1">(TblPop[[#This Row],[Peasants]]-TblPop[[#This Row],[Draft Growth]])*raw_pop_growth</f>
        <v>12.87</v>
      </c>
      <c r="Z12" s="94">
        <f ca="1">ROUND(IF(TblPop[[#This Row],[Military%]]&lt;TblMili[[#This Row],[Draftrate]],ROUND(TblPop[[#This Row],[Peasants]]*Constants!$B$55,0), 0) * IF(AND(TblMagic[[#This Row],[Active DnD]]&lt;=12,TblMagic[[#This Row],[Active DnD]]&gt;6),1.5,1),0)</f>
        <v>4</v>
      </c>
      <c r="AA12" s="142"/>
      <c r="AB12" s="143">
        <f ca="1">Overview!$I$17 + IF(Magic!AF12&gt;0,Constants!$F$78) + ROUND(6*(Construction!BM13+Construction!CK12)/IF(Explore!S13&gt;0,Construction!F13-20,Construction!F13),4) + tech_6_5_2*Techs!BJ12 + tech_8_4*Techs!BT12</f>
        <v>0</v>
      </c>
      <c r="AC12" s="139">
        <f ca="1">(Overview!$I$16 + Imps!Z12+ tech_2_5*Techs!AB12 + tech_3_6*Techs!AM12 + tech_6_1*Techs!BJ12 + tech_6_5*Techs!BF12 + tech_7_3_2*Techs!BN12) * (1 + Production!O12/100*prestige_pop_multiplier) + Production!O12/100*prestige_pop_multiplier</f>
        <v>2.5000000000000001E-2</v>
      </c>
    </row>
    <row r="13" spans="1:30" x14ac:dyDescent="0.2">
      <c r="A13" s="137">
        <f>TblRezone[[#This Row],[Hour]]</f>
        <v>10</v>
      </c>
      <c r="B13" s="138">
        <f ca="1">TblImps[[#This Row],[Time]]</f>
        <v>46320.374999999978</v>
      </c>
      <c r="C13" s="94">
        <f ca="1">OFFSET(TblPop[[#This Row],[Peasants]],-1,0)+OFFSET(TblPop[[#This Row],[Net Peasant]],-1,0)+TblMili[[#This Row],[Release Draft]]</f>
        <v>429</v>
      </c>
      <c r="D13" s="94">
        <f ca="1">TblMili[[#This Row],[Military]]</f>
        <v>340</v>
      </c>
      <c r="E13" s="94">
        <f ca="1">TblMili[[#This Row],[Draftees]]</f>
        <v>340</v>
      </c>
      <c r="F13" s="94">
        <f ca="1">TblPop[[#This Row],[Peasants]]+TblPop[[#This Row],[Military]]</f>
        <v>769</v>
      </c>
      <c r="G13" s="139">
        <f ca="1">TblPop[[#This Row],[Military]]/TblPop[[#This Row],[Total]]</f>
        <v>0.44213263979193757</v>
      </c>
      <c r="H13" s="140">
        <f ca="1">MIN(TblPop[[#This Row],[Peasants]],TblPop[[#This Row],[Jobs]])</f>
        <v>429</v>
      </c>
      <c r="I13" s="139">
        <f ca="1">MIN(OFFSET(TblPop[[#This Row],[Jobs]],1,0)/TblPop[[#This Row],[Peasants]],1)</f>
        <v>1</v>
      </c>
      <c r="J13" s="140">
        <f ca="1">SUM(TblConstr[[#This Row],[Tot Alc]:[Tot GT]],TblConstr[[#This Row],[Tot Shr]:[Tot Doc]],TblConstr[[#This Row],[Dest Alc]:[Dest GT]],TblConstr[[#This Row],[Dest Shr]:[Dest Doc]])*building_employment + TblConstr[[#This Row],[Tot Fac]]*bonus_jobs_facts</f>
        <v>1000</v>
      </c>
      <c r="K13" s="141"/>
      <c r="L13" s="61">
        <f ca="1">TblPop[[#This Row],[Draftees]]</f>
        <v>340</v>
      </c>
      <c r="M13" s="61">
        <f ca="1">TblMili[[#This Row],[Unit 1]]</f>
        <v>0</v>
      </c>
      <c r="N13" s="61">
        <f ca="1">TblMili[[#This Row],[Unit 2]]</f>
        <v>0</v>
      </c>
      <c r="O13" s="61">
        <f ca="1">TblMili[[#This Row],[Unit 3]]</f>
        <v>0</v>
      </c>
      <c r="P13" s="61">
        <f ca="1">TblMili[[#This Row],[Unit 4]]</f>
        <v>0</v>
      </c>
      <c r="Q13" s="61">
        <f ca="1">TblMili[[#This Row],[Spies]]</f>
        <v>0</v>
      </c>
      <c r="R13" s="61">
        <f ca="1">TblMili[[#This Row],[Wizards]]</f>
        <v>0</v>
      </c>
      <c r="S13" s="61">
        <f ca="1">TblMili[[#This Row],[Archmages]]</f>
        <v>0</v>
      </c>
      <c r="T13" s="142"/>
      <c r="U13" s="94">
        <f ca="1">ROUND(TblPop[[#This Row],[Raw max]]*(1+OFFSET(TblPop[[#This Row],[Max pop]],-1,0)),0)+MIN(TblPop[[#This Row],[Military]]-TblPop[[#This Row],[Draftees]]-SUM(TblMili[[#This Row],[Train Unit 1]:[Train AM]]),(barracks_size + tech_8_3*TblTech[[#This Row],[8-3]])*TblConstr[[#This Row],[Tot Bar]])</f>
        <v>769</v>
      </c>
      <c r="V1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 s="94">
        <f ca="1">MAX(-5%*TblPop[[#This Row],[Peasants]]-TblPop[[#This Row],[Draft Growth]],MIN(OFFSET(TblPop[[#This Row],[Net max]],1,0)-TblPop[[#This Row],[Peasants]]-TblPop[[#This Row],[Military]]-TblPop[[#This Row],[Draft Growth]],TblPop[[#This Row],[Modded Birth]]-TblPop[[#This Row],[Draft Growth]]))</f>
        <v>-4</v>
      </c>
      <c r="X13" s="94">
        <f ca="1">ROUND(TblPop[[#This Row],[Raw Birth]]*(1+TblPop[[#This Row],[Growth]]),0)</f>
        <v>13</v>
      </c>
      <c r="Y13" s="94">
        <f ca="1">(TblPop[[#This Row],[Peasants]]-TblPop[[#This Row],[Draft Growth]])*raw_pop_growth</f>
        <v>12.75</v>
      </c>
      <c r="Z13" s="94">
        <f ca="1">ROUND(IF(TblPop[[#This Row],[Military%]]&lt;TblMili[[#This Row],[Draftrate]],ROUND(TblPop[[#This Row],[Peasants]]*Constants!$B$55,0), 0) * IF(AND(TblMagic[[#This Row],[Active DnD]]&lt;=12,TblMagic[[#This Row],[Active DnD]]&gt;6),1.5,1),0)</f>
        <v>4</v>
      </c>
      <c r="AA13" s="142"/>
      <c r="AB13" s="143">
        <f ca="1">Overview!$I$17 + IF(Magic!AF13&gt;0,Constants!$F$78) + ROUND(6*(Construction!BM14+Construction!CK13)/IF(Explore!S14&gt;0,Construction!F14-20,Construction!F14),4) + tech_6_5_2*Techs!BJ13 + tech_8_4*Techs!BT13</f>
        <v>0</v>
      </c>
      <c r="AC13" s="139">
        <f ca="1">(Overview!$I$16 + Imps!Z13+ tech_2_5*Techs!AB13 + tech_3_6*Techs!AM13 + tech_6_1*Techs!BJ13 + tech_6_5*Techs!BF13 + tech_7_3_2*Techs!BN13) * (1 + Production!O13/100*prestige_pop_multiplier) + Production!O13/100*prestige_pop_multiplier</f>
        <v>2.5000000000000001E-2</v>
      </c>
    </row>
    <row r="14" spans="1:30" x14ac:dyDescent="0.2">
      <c r="A14" s="137">
        <f>TblRezone[[#This Row],[Hour]]</f>
        <v>11</v>
      </c>
      <c r="B14" s="138">
        <f ca="1">TblImps[[#This Row],[Time]]</f>
        <v>46320.416666666642</v>
      </c>
      <c r="C14" s="94">
        <f ca="1">OFFSET(TblPop[[#This Row],[Peasants]],-1,0)+OFFSET(TblPop[[#This Row],[Net Peasant]],-1,0)+TblMili[[#This Row],[Release Draft]]</f>
        <v>425</v>
      </c>
      <c r="D14" s="94">
        <f ca="1">TblMili[[#This Row],[Military]]</f>
        <v>344</v>
      </c>
      <c r="E14" s="94">
        <f ca="1">TblMili[[#This Row],[Draftees]]</f>
        <v>344</v>
      </c>
      <c r="F14" s="94">
        <f ca="1">TblPop[[#This Row],[Peasants]]+TblPop[[#This Row],[Military]]</f>
        <v>769</v>
      </c>
      <c r="G14" s="139">
        <f ca="1">TblPop[[#This Row],[Military]]/TblPop[[#This Row],[Total]]</f>
        <v>0.44733420026007803</v>
      </c>
      <c r="H14" s="140">
        <f ca="1">MIN(TblPop[[#This Row],[Peasants]],TblPop[[#This Row],[Jobs]])</f>
        <v>425</v>
      </c>
      <c r="I14" s="139">
        <f ca="1">MIN(OFFSET(TblPop[[#This Row],[Jobs]],1,0)/TblPop[[#This Row],[Peasants]],1)</f>
        <v>1</v>
      </c>
      <c r="J14" s="140">
        <f ca="1">SUM(TblConstr[[#This Row],[Tot Alc]:[Tot GT]],TblConstr[[#This Row],[Tot Shr]:[Tot Doc]],TblConstr[[#This Row],[Dest Alc]:[Dest GT]],TblConstr[[#This Row],[Dest Shr]:[Dest Doc]])*building_employment + TblConstr[[#This Row],[Tot Fac]]*bonus_jobs_facts</f>
        <v>1000</v>
      </c>
      <c r="K14" s="141"/>
      <c r="L14" s="61">
        <f ca="1">TblPop[[#This Row],[Draftees]]</f>
        <v>344</v>
      </c>
      <c r="M14" s="61">
        <f ca="1">TblMili[[#This Row],[Unit 1]]</f>
        <v>0</v>
      </c>
      <c r="N14" s="61">
        <f ca="1">TblMili[[#This Row],[Unit 2]]</f>
        <v>0</v>
      </c>
      <c r="O14" s="61">
        <f ca="1">TblMili[[#This Row],[Unit 3]]</f>
        <v>0</v>
      </c>
      <c r="P14" s="61">
        <f ca="1">TblMili[[#This Row],[Unit 4]]</f>
        <v>0</v>
      </c>
      <c r="Q14" s="61">
        <f ca="1">TblMili[[#This Row],[Spies]]</f>
        <v>0</v>
      </c>
      <c r="R14" s="61">
        <f ca="1">TblMili[[#This Row],[Wizards]]</f>
        <v>0</v>
      </c>
      <c r="S14" s="61">
        <f ca="1">TblMili[[#This Row],[Archmages]]</f>
        <v>0</v>
      </c>
      <c r="T14" s="142"/>
      <c r="U14" s="94">
        <f ca="1">ROUND(TblPop[[#This Row],[Raw max]]*(1+OFFSET(TblPop[[#This Row],[Max pop]],-1,0)),0)+MIN(TblPop[[#This Row],[Military]]-TblPop[[#This Row],[Draftees]]-SUM(TblMili[[#This Row],[Train Unit 1]:[Train AM]]),(barracks_size + tech_8_3*TblTech[[#This Row],[8-3]])*TblConstr[[#This Row],[Tot Bar]])</f>
        <v>769</v>
      </c>
      <c r="V1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4" s="94">
        <f ca="1">MAX(-5%*TblPop[[#This Row],[Peasants]]-TblPop[[#This Row],[Draft Growth]],MIN(OFFSET(TblPop[[#This Row],[Net max]],1,0)-TblPop[[#This Row],[Peasants]]-TblPop[[#This Row],[Military]]-TblPop[[#This Row],[Draft Growth]],TblPop[[#This Row],[Modded Birth]]-TblPop[[#This Row],[Draft Growth]]))</f>
        <v>-4</v>
      </c>
      <c r="X14" s="94">
        <f ca="1">ROUND(TblPop[[#This Row],[Raw Birth]]*(1+TblPop[[#This Row],[Growth]]),0)</f>
        <v>13</v>
      </c>
      <c r="Y14" s="94">
        <f ca="1">(TblPop[[#This Row],[Peasants]]-TblPop[[#This Row],[Draft Growth]])*raw_pop_growth</f>
        <v>12.629999999999999</v>
      </c>
      <c r="Z14" s="94">
        <f ca="1">ROUND(IF(TblPop[[#This Row],[Military%]]&lt;TblMili[[#This Row],[Draftrate]],ROUND(TblPop[[#This Row],[Peasants]]*Constants!$B$55,0), 0) * IF(AND(TblMagic[[#This Row],[Active DnD]]&lt;=12,TblMagic[[#This Row],[Active DnD]]&gt;6),1.5,1),0)</f>
        <v>4</v>
      </c>
      <c r="AA14" s="142"/>
      <c r="AB14" s="143">
        <f ca="1">Overview!$I$17 + IF(Magic!AF14&gt;0,Constants!$F$78) + ROUND(6*(Construction!BM15+Construction!CK14)/IF(Explore!S15&gt;0,Construction!F15-20,Construction!F15),4) + tech_6_5_2*Techs!BJ14 + tech_8_4*Techs!BT14</f>
        <v>0</v>
      </c>
      <c r="AC14" s="139">
        <f ca="1">(Overview!$I$16 + Imps!Z14+ tech_2_5*Techs!AB14 + tech_3_6*Techs!AM14 + tech_6_1*Techs!BJ14 + tech_6_5*Techs!BF14 + tech_7_3_2*Techs!BN14) * (1 + Production!O14/100*prestige_pop_multiplier) + Production!O14/100*prestige_pop_multiplier</f>
        <v>2.5000000000000001E-2</v>
      </c>
    </row>
    <row r="15" spans="1:30" x14ac:dyDescent="0.2">
      <c r="A15" s="137">
        <f>TblRezone[[#This Row],[Hour]]</f>
        <v>12</v>
      </c>
      <c r="B15" s="138">
        <f ca="1">TblImps[[#This Row],[Time]]</f>
        <v>46320.458333333307</v>
      </c>
      <c r="C15" s="94">
        <f ca="1">OFFSET(TblPop[[#This Row],[Peasants]],-1,0)+OFFSET(TblPop[[#This Row],[Net Peasant]],-1,0)+TblMili[[#This Row],[Release Draft]]</f>
        <v>421</v>
      </c>
      <c r="D15" s="94">
        <f ca="1">TblMili[[#This Row],[Military]]</f>
        <v>348</v>
      </c>
      <c r="E15" s="94">
        <f ca="1">TblMili[[#This Row],[Draftees]]</f>
        <v>348</v>
      </c>
      <c r="F15" s="94">
        <f ca="1">TblPop[[#This Row],[Peasants]]+TblPop[[#This Row],[Military]]</f>
        <v>769</v>
      </c>
      <c r="G15" s="139">
        <f ca="1">TblPop[[#This Row],[Military]]/TblPop[[#This Row],[Total]]</f>
        <v>0.45253576072821844</v>
      </c>
      <c r="H15" s="140">
        <f ca="1">MIN(TblPop[[#This Row],[Peasants]],TblPop[[#This Row],[Jobs]])</f>
        <v>421</v>
      </c>
      <c r="I15" s="139">
        <f ca="1">MIN(OFFSET(TblPop[[#This Row],[Jobs]],1,0)/TblPop[[#This Row],[Peasants]],1)</f>
        <v>1</v>
      </c>
      <c r="J15" s="140">
        <f ca="1">SUM(TblConstr[[#This Row],[Tot Alc]:[Tot GT]],TblConstr[[#This Row],[Tot Shr]:[Tot Doc]],TblConstr[[#This Row],[Dest Alc]:[Dest GT]],TblConstr[[#This Row],[Dest Shr]:[Dest Doc]])*building_employment + TblConstr[[#This Row],[Tot Fac]]*bonus_jobs_facts</f>
        <v>1000</v>
      </c>
      <c r="K15" s="141"/>
      <c r="L15" s="61">
        <f ca="1">TblPop[[#This Row],[Draftees]]</f>
        <v>348</v>
      </c>
      <c r="M15" s="61">
        <f ca="1">TblMili[[#This Row],[Unit 1]]</f>
        <v>0</v>
      </c>
      <c r="N15" s="61">
        <f ca="1">TblMili[[#This Row],[Unit 2]]</f>
        <v>0</v>
      </c>
      <c r="O15" s="61">
        <f ca="1">TblMili[[#This Row],[Unit 3]]</f>
        <v>0</v>
      </c>
      <c r="P15" s="61">
        <f ca="1">TblMili[[#This Row],[Unit 4]]</f>
        <v>0</v>
      </c>
      <c r="Q15" s="61">
        <f ca="1">TblMili[[#This Row],[Spies]]</f>
        <v>0</v>
      </c>
      <c r="R15" s="61">
        <f ca="1">TblMili[[#This Row],[Wizards]]</f>
        <v>0</v>
      </c>
      <c r="S15" s="61">
        <f ca="1">TblMili[[#This Row],[Archmages]]</f>
        <v>0</v>
      </c>
      <c r="T15" s="142"/>
      <c r="U15" s="94">
        <f ca="1">ROUND(TblPop[[#This Row],[Raw max]]*(1+OFFSET(TblPop[[#This Row],[Max pop]],-1,0)),0)+MIN(TblPop[[#This Row],[Military]]-TblPop[[#This Row],[Draftees]]-SUM(TblMili[[#This Row],[Train Unit 1]:[Train AM]]),(barracks_size + tech_8_3*TblTech[[#This Row],[8-3]])*TblConstr[[#This Row],[Tot Bar]])</f>
        <v>769</v>
      </c>
      <c r="V1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5" s="94">
        <f ca="1">MAX(-5%*TblPop[[#This Row],[Peasants]]-TblPop[[#This Row],[Draft Growth]],MIN(OFFSET(TblPop[[#This Row],[Net max]],1,0)-TblPop[[#This Row],[Peasants]]-TblPop[[#This Row],[Military]]-TblPop[[#This Row],[Draft Growth]],TblPop[[#This Row],[Modded Birth]]-TblPop[[#This Row],[Draft Growth]]))</f>
        <v>-4</v>
      </c>
      <c r="X15" s="94">
        <f ca="1">ROUND(TblPop[[#This Row],[Raw Birth]]*(1+TblPop[[#This Row],[Growth]]),0)</f>
        <v>13</v>
      </c>
      <c r="Y15" s="94">
        <f ca="1">(TblPop[[#This Row],[Peasants]]-TblPop[[#This Row],[Draft Growth]])*raw_pop_growth</f>
        <v>12.51</v>
      </c>
      <c r="Z15" s="94">
        <f ca="1">ROUND(IF(TblPop[[#This Row],[Military%]]&lt;TblMili[[#This Row],[Draftrate]],ROUND(TblPop[[#This Row],[Peasants]]*Constants!$B$55,0), 0) * IF(AND(TblMagic[[#This Row],[Active DnD]]&lt;=12,TblMagic[[#This Row],[Active DnD]]&gt;6),1.5,1),0)</f>
        <v>4</v>
      </c>
      <c r="AA15" s="142"/>
      <c r="AB15" s="143">
        <f ca="1">Overview!$I$17 + IF(Magic!AF15&gt;0,Constants!$F$78) + ROUND(6*(Construction!BM16+Construction!CK15)/IF(Explore!S16&gt;0,Construction!F16-20,Construction!F16),4) + tech_6_5_2*Techs!BJ15 + tech_8_4*Techs!BT15</f>
        <v>0</v>
      </c>
      <c r="AC15" s="139">
        <f ca="1">(Overview!$I$16 + Imps!Z15+ tech_2_5*Techs!AB15 + tech_3_6*Techs!AM15 + tech_6_1*Techs!BJ15 + tech_6_5*Techs!BF15 + tech_7_3_2*Techs!BN15) * (1 + Production!O15/100*prestige_pop_multiplier) + Production!O15/100*prestige_pop_multiplier</f>
        <v>2.5000000000000001E-2</v>
      </c>
    </row>
    <row r="16" spans="1:30" x14ac:dyDescent="0.2">
      <c r="A16" s="137">
        <f>TblRezone[[#This Row],[Hour]]</f>
        <v>13</v>
      </c>
      <c r="B16" s="138">
        <f ca="1">TblImps[[#This Row],[Time]]</f>
        <v>46320.499999999971</v>
      </c>
      <c r="C16" s="94">
        <f ca="1">OFFSET(TblPop[[#This Row],[Peasants]],-1,0)+OFFSET(TblPop[[#This Row],[Net Peasant]],-1,0)+TblMili[[#This Row],[Release Draft]]</f>
        <v>417</v>
      </c>
      <c r="D16" s="94">
        <f ca="1">TblMili[[#This Row],[Military]]</f>
        <v>352</v>
      </c>
      <c r="E16" s="94">
        <f ca="1">TblMili[[#This Row],[Draftees]]</f>
        <v>352</v>
      </c>
      <c r="F16" s="94">
        <f ca="1">TblPop[[#This Row],[Peasants]]+TblPop[[#This Row],[Military]]</f>
        <v>769</v>
      </c>
      <c r="G16" s="139">
        <f ca="1">TblPop[[#This Row],[Military]]/TblPop[[#This Row],[Total]]</f>
        <v>0.4577373211963589</v>
      </c>
      <c r="H16" s="140">
        <f ca="1">MIN(TblPop[[#This Row],[Peasants]],TblPop[[#This Row],[Jobs]])</f>
        <v>417</v>
      </c>
      <c r="I16" s="139">
        <f ca="1">MIN(OFFSET(TblPop[[#This Row],[Jobs]],1,0)/TblPop[[#This Row],[Peasants]],1)</f>
        <v>1</v>
      </c>
      <c r="J16" s="140">
        <f ca="1">SUM(TblConstr[[#This Row],[Tot Alc]:[Tot GT]],TblConstr[[#This Row],[Tot Shr]:[Tot Doc]],TblConstr[[#This Row],[Dest Alc]:[Dest GT]],TblConstr[[#This Row],[Dest Shr]:[Dest Doc]])*building_employment + TblConstr[[#This Row],[Tot Fac]]*bonus_jobs_facts</f>
        <v>1000</v>
      </c>
      <c r="K16" s="141"/>
      <c r="L16" s="61">
        <f ca="1">TblPop[[#This Row],[Draftees]]</f>
        <v>352</v>
      </c>
      <c r="M16" s="61">
        <f ca="1">TblMili[[#This Row],[Unit 1]]</f>
        <v>0</v>
      </c>
      <c r="N16" s="61">
        <f ca="1">TblMili[[#This Row],[Unit 2]]</f>
        <v>0</v>
      </c>
      <c r="O16" s="61">
        <f ca="1">TblMili[[#This Row],[Unit 3]]</f>
        <v>0</v>
      </c>
      <c r="P16" s="61">
        <f ca="1">TblMili[[#This Row],[Unit 4]]</f>
        <v>0</v>
      </c>
      <c r="Q16" s="61">
        <f ca="1">TblMili[[#This Row],[Spies]]</f>
        <v>0</v>
      </c>
      <c r="R16" s="61">
        <f ca="1">TblMili[[#This Row],[Wizards]]</f>
        <v>0</v>
      </c>
      <c r="S16" s="61">
        <f ca="1">TblMili[[#This Row],[Archmages]]</f>
        <v>0</v>
      </c>
      <c r="T16" s="142"/>
      <c r="U16" s="94">
        <f ca="1">ROUND(TblPop[[#This Row],[Raw max]]*(1+OFFSET(TblPop[[#This Row],[Max pop]],-1,0)),0)+MIN(TblPop[[#This Row],[Military]]-TblPop[[#This Row],[Draftees]]-SUM(TblMili[[#This Row],[Train Unit 1]:[Train AM]]),(barracks_size + tech_8_3*TblTech[[#This Row],[8-3]])*TblConstr[[#This Row],[Tot Bar]])</f>
        <v>769</v>
      </c>
      <c r="V1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6" s="94">
        <f ca="1">MAX(-5%*TblPop[[#This Row],[Peasants]]-TblPop[[#This Row],[Draft Growth]],MIN(OFFSET(TblPop[[#This Row],[Net max]],1,0)-TblPop[[#This Row],[Peasants]]-TblPop[[#This Row],[Military]]-TblPop[[#This Row],[Draft Growth]],TblPop[[#This Row],[Modded Birth]]-TblPop[[#This Row],[Draft Growth]]))</f>
        <v>-4</v>
      </c>
      <c r="X16" s="94">
        <f ca="1">ROUND(TblPop[[#This Row],[Raw Birth]]*(1+TblPop[[#This Row],[Growth]]),0)</f>
        <v>12</v>
      </c>
      <c r="Y16" s="94">
        <f ca="1">(TblPop[[#This Row],[Peasants]]-TblPop[[#This Row],[Draft Growth]])*raw_pop_growth</f>
        <v>12.389999999999999</v>
      </c>
      <c r="Z16" s="94">
        <f ca="1">ROUND(IF(TblPop[[#This Row],[Military%]]&lt;TblMili[[#This Row],[Draftrate]],ROUND(TblPop[[#This Row],[Peasants]]*Constants!$B$55,0), 0) * IF(AND(TblMagic[[#This Row],[Active DnD]]&lt;=12,TblMagic[[#This Row],[Active DnD]]&gt;6),1.5,1),0)</f>
        <v>4</v>
      </c>
      <c r="AA16" s="142"/>
      <c r="AB16" s="143">
        <f ca="1">Overview!$I$17 + IF(Magic!AF16&gt;0,Constants!$F$78) + ROUND(6*(Construction!BM17+Construction!CK16)/IF(Explore!S17&gt;0,Construction!F17-20,Construction!F17),4) + tech_6_5_2*Techs!BJ16 + tech_8_4*Techs!BT16</f>
        <v>0</v>
      </c>
      <c r="AC16" s="139">
        <f ca="1">(Overview!$I$16 + Imps!Z16+ tech_2_5*Techs!AB16 + tech_3_6*Techs!AM16 + tech_6_1*Techs!BJ16 + tech_6_5*Techs!BF16 + tech_7_3_2*Techs!BN16) * (1 + Production!O16/100*prestige_pop_multiplier) + Production!O16/100*prestige_pop_multiplier</f>
        <v>2.5000000000000001E-2</v>
      </c>
    </row>
    <row r="17" spans="1:29" x14ac:dyDescent="0.2">
      <c r="A17" s="137">
        <f>TblRezone[[#This Row],[Hour]]</f>
        <v>14</v>
      </c>
      <c r="B17" s="138">
        <f ca="1">TblImps[[#This Row],[Time]]</f>
        <v>46320.541666666635</v>
      </c>
      <c r="C17" s="94">
        <f ca="1">OFFSET(TblPop[[#This Row],[Peasants]],-1,0)+OFFSET(TblPop[[#This Row],[Net Peasant]],-1,0)+TblMili[[#This Row],[Release Draft]]</f>
        <v>413</v>
      </c>
      <c r="D17" s="94">
        <f ca="1">TblMili[[#This Row],[Military]]</f>
        <v>356</v>
      </c>
      <c r="E17" s="94">
        <f ca="1">TblMili[[#This Row],[Draftees]]</f>
        <v>356</v>
      </c>
      <c r="F17" s="94">
        <f ca="1">TblPop[[#This Row],[Peasants]]+TblPop[[#This Row],[Military]]</f>
        <v>769</v>
      </c>
      <c r="G17" s="139">
        <f ca="1">TblPop[[#This Row],[Military]]/TblPop[[#This Row],[Total]]</f>
        <v>0.46293888166449937</v>
      </c>
      <c r="H17" s="140">
        <f ca="1">MIN(TblPop[[#This Row],[Peasants]],TblPop[[#This Row],[Jobs]])</f>
        <v>413</v>
      </c>
      <c r="I17" s="139">
        <f ca="1">MIN(OFFSET(TblPop[[#This Row],[Jobs]],1,0)/TblPop[[#This Row],[Peasants]],1)</f>
        <v>1</v>
      </c>
      <c r="J17" s="140">
        <f ca="1">SUM(TblConstr[[#This Row],[Tot Alc]:[Tot GT]],TblConstr[[#This Row],[Tot Shr]:[Tot Doc]],TblConstr[[#This Row],[Dest Alc]:[Dest GT]],TblConstr[[#This Row],[Dest Shr]:[Dest Doc]])*building_employment + TblConstr[[#This Row],[Tot Fac]]*bonus_jobs_facts</f>
        <v>1000</v>
      </c>
      <c r="K17" s="141"/>
      <c r="L17" s="61">
        <f ca="1">TblPop[[#This Row],[Draftees]]</f>
        <v>356</v>
      </c>
      <c r="M17" s="61">
        <f ca="1">TblMili[[#This Row],[Unit 1]]</f>
        <v>0</v>
      </c>
      <c r="N17" s="61">
        <f ca="1">TblMili[[#This Row],[Unit 2]]</f>
        <v>0</v>
      </c>
      <c r="O17" s="61">
        <f ca="1">TblMili[[#This Row],[Unit 3]]</f>
        <v>0</v>
      </c>
      <c r="P17" s="61">
        <f ca="1">TblMili[[#This Row],[Unit 4]]</f>
        <v>0</v>
      </c>
      <c r="Q17" s="61">
        <f ca="1">TblMili[[#This Row],[Spies]]</f>
        <v>0</v>
      </c>
      <c r="R17" s="61">
        <f ca="1">TblMili[[#This Row],[Wizards]]</f>
        <v>0</v>
      </c>
      <c r="S17" s="61">
        <f ca="1">TblMili[[#This Row],[Archmages]]</f>
        <v>0</v>
      </c>
      <c r="T17" s="142"/>
      <c r="U17" s="94">
        <f ca="1">ROUND(TblPop[[#This Row],[Raw max]]*(1+OFFSET(TblPop[[#This Row],[Max pop]],-1,0)),0)+MIN(TblPop[[#This Row],[Military]]-TblPop[[#This Row],[Draftees]]-SUM(TblMili[[#This Row],[Train Unit 1]:[Train AM]]),(barracks_size + tech_8_3*TblTech[[#This Row],[8-3]])*TblConstr[[#This Row],[Tot Bar]])</f>
        <v>769</v>
      </c>
      <c r="V1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7" s="94">
        <f ca="1">MAX(-5%*TblPop[[#This Row],[Peasants]]-TblPop[[#This Row],[Draft Growth]],MIN(OFFSET(TblPop[[#This Row],[Net max]],1,0)-TblPop[[#This Row],[Peasants]]-TblPop[[#This Row],[Military]]-TblPop[[#This Row],[Draft Growth]],TblPop[[#This Row],[Modded Birth]]-TblPop[[#This Row],[Draft Growth]]))</f>
        <v>-4</v>
      </c>
      <c r="X17" s="94">
        <f ca="1">ROUND(TblPop[[#This Row],[Raw Birth]]*(1+TblPop[[#This Row],[Growth]]),0)</f>
        <v>12</v>
      </c>
      <c r="Y17" s="94">
        <f ca="1">(TblPop[[#This Row],[Peasants]]-TblPop[[#This Row],[Draft Growth]])*raw_pop_growth</f>
        <v>12.27</v>
      </c>
      <c r="Z17" s="94">
        <f ca="1">ROUND(IF(TblPop[[#This Row],[Military%]]&lt;TblMili[[#This Row],[Draftrate]],ROUND(TblPop[[#This Row],[Peasants]]*Constants!$B$55,0), 0) * IF(AND(TblMagic[[#This Row],[Active DnD]]&lt;=12,TblMagic[[#This Row],[Active DnD]]&gt;6),1.5,1),0)</f>
        <v>4</v>
      </c>
      <c r="AA17" s="142"/>
      <c r="AB17" s="143">
        <f ca="1">Overview!$I$17 + IF(Magic!AF17&gt;0,Constants!$F$78) + ROUND(6*(Construction!BM18+Construction!CK17)/IF(Explore!S18&gt;0,Construction!F18-20,Construction!F18),4) + tech_6_5_2*Techs!BJ17 + tech_8_4*Techs!BT17</f>
        <v>0</v>
      </c>
      <c r="AC17" s="139">
        <f ca="1">(Overview!$I$16 + Imps!Z17+ tech_2_5*Techs!AB17 + tech_3_6*Techs!AM17 + tech_6_1*Techs!BJ17 + tech_6_5*Techs!BF17 + tech_7_3_2*Techs!BN17) * (1 + Production!O17/100*prestige_pop_multiplier) + Production!O17/100*prestige_pop_multiplier</f>
        <v>2.5000000000000001E-2</v>
      </c>
    </row>
    <row r="18" spans="1:29" x14ac:dyDescent="0.2">
      <c r="A18" s="137">
        <f>TblRezone[[#This Row],[Hour]]</f>
        <v>15</v>
      </c>
      <c r="B18" s="138">
        <f ca="1">TblImps[[#This Row],[Time]]</f>
        <v>46320.583333333299</v>
      </c>
      <c r="C18" s="94">
        <f ca="1">OFFSET(TblPop[[#This Row],[Peasants]],-1,0)+OFFSET(TblPop[[#This Row],[Net Peasant]],-1,0)+TblMili[[#This Row],[Release Draft]]</f>
        <v>409</v>
      </c>
      <c r="D18" s="94">
        <f ca="1">TblMili[[#This Row],[Military]]</f>
        <v>360</v>
      </c>
      <c r="E18" s="94">
        <f ca="1">TblMili[[#This Row],[Draftees]]</f>
        <v>360</v>
      </c>
      <c r="F18" s="94">
        <f ca="1">TblPop[[#This Row],[Peasants]]+TblPop[[#This Row],[Military]]</f>
        <v>769</v>
      </c>
      <c r="G18" s="139">
        <f ca="1">TblPop[[#This Row],[Military]]/TblPop[[#This Row],[Total]]</f>
        <v>0.46814044213263978</v>
      </c>
      <c r="H18" s="140">
        <f ca="1">MIN(TblPop[[#This Row],[Peasants]],TblPop[[#This Row],[Jobs]])</f>
        <v>409</v>
      </c>
      <c r="I18" s="139">
        <f ca="1">MIN(OFFSET(TblPop[[#This Row],[Jobs]],1,0)/TblPop[[#This Row],[Peasants]],1)</f>
        <v>1</v>
      </c>
      <c r="J18" s="140">
        <f ca="1">SUM(TblConstr[[#This Row],[Tot Alc]:[Tot GT]],TblConstr[[#This Row],[Tot Shr]:[Tot Doc]],TblConstr[[#This Row],[Dest Alc]:[Dest GT]],TblConstr[[#This Row],[Dest Shr]:[Dest Doc]])*building_employment + TblConstr[[#This Row],[Tot Fac]]*bonus_jobs_facts</f>
        <v>1000</v>
      </c>
      <c r="K18" s="141"/>
      <c r="L18" s="61">
        <f ca="1">TblPop[[#This Row],[Draftees]]</f>
        <v>360</v>
      </c>
      <c r="M18" s="61">
        <f ca="1">TblMili[[#This Row],[Unit 1]]</f>
        <v>0</v>
      </c>
      <c r="N18" s="61">
        <f ca="1">TblMili[[#This Row],[Unit 2]]</f>
        <v>0</v>
      </c>
      <c r="O18" s="61">
        <f ca="1">TblMili[[#This Row],[Unit 3]]</f>
        <v>0</v>
      </c>
      <c r="P18" s="61">
        <f ca="1">TblMili[[#This Row],[Unit 4]]</f>
        <v>0</v>
      </c>
      <c r="Q18" s="61">
        <f ca="1">TblMili[[#This Row],[Spies]]</f>
        <v>0</v>
      </c>
      <c r="R18" s="61">
        <f ca="1">TblMili[[#This Row],[Wizards]]</f>
        <v>0</v>
      </c>
      <c r="S18" s="61">
        <f ca="1">TblMili[[#This Row],[Archmages]]</f>
        <v>0</v>
      </c>
      <c r="T18" s="142"/>
      <c r="U18" s="94">
        <f ca="1">ROUND(TblPop[[#This Row],[Raw max]]*(1+OFFSET(TblPop[[#This Row],[Max pop]],-1,0)),0)+MIN(TblPop[[#This Row],[Military]]-TblPop[[#This Row],[Draftees]]-SUM(TblMili[[#This Row],[Train Unit 1]:[Train AM]]),(barracks_size + tech_8_3*TblTech[[#This Row],[8-3]])*TblConstr[[#This Row],[Tot Bar]])</f>
        <v>769</v>
      </c>
      <c r="V1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8" s="94">
        <f ca="1">MAX(-5%*TblPop[[#This Row],[Peasants]]-TblPop[[#This Row],[Draft Growth]],MIN(OFFSET(TblPop[[#This Row],[Net max]],1,0)-TblPop[[#This Row],[Peasants]]-TblPop[[#This Row],[Military]]-TblPop[[#This Row],[Draft Growth]],TblPop[[#This Row],[Modded Birth]]-TblPop[[#This Row],[Draft Growth]]))</f>
        <v>-4</v>
      </c>
      <c r="X18" s="94">
        <f ca="1">ROUND(TblPop[[#This Row],[Raw Birth]]*(1+TblPop[[#This Row],[Growth]]),0)</f>
        <v>12</v>
      </c>
      <c r="Y18" s="94">
        <f ca="1">(TblPop[[#This Row],[Peasants]]-TblPop[[#This Row],[Draft Growth]])*raw_pop_growth</f>
        <v>12.15</v>
      </c>
      <c r="Z18" s="94">
        <f ca="1">ROUND(IF(TblPop[[#This Row],[Military%]]&lt;TblMili[[#This Row],[Draftrate]],ROUND(TblPop[[#This Row],[Peasants]]*Constants!$B$55,0), 0) * IF(AND(TblMagic[[#This Row],[Active DnD]]&lt;=12,TblMagic[[#This Row],[Active DnD]]&gt;6),1.5,1),0)</f>
        <v>4</v>
      </c>
      <c r="AA18" s="142"/>
      <c r="AB18" s="143">
        <f ca="1">Overview!$I$17 + IF(Magic!AF18&gt;0,Constants!$F$78) + ROUND(6*(Construction!BM19+Construction!CK18)/IF(Explore!S19&gt;0,Construction!F19-20,Construction!F19),4) + tech_6_5_2*Techs!BJ18 + tech_8_4*Techs!BT18</f>
        <v>0</v>
      </c>
      <c r="AC18" s="139">
        <f ca="1">(Overview!$I$16 + Imps!Z18+ tech_2_5*Techs!AB18 + tech_3_6*Techs!AM18 + tech_6_1*Techs!BJ18 + tech_6_5*Techs!BF18 + tech_7_3_2*Techs!BN18) * (1 + Production!O18/100*prestige_pop_multiplier) + Production!O18/100*prestige_pop_multiplier</f>
        <v>2.5000000000000001E-2</v>
      </c>
    </row>
    <row r="19" spans="1:29" x14ac:dyDescent="0.2">
      <c r="A19" s="137">
        <f>TblRezone[[#This Row],[Hour]]</f>
        <v>16</v>
      </c>
      <c r="B19" s="138">
        <f ca="1">TblImps[[#This Row],[Time]]</f>
        <v>46320.624999999964</v>
      </c>
      <c r="C19" s="94">
        <f ca="1">OFFSET(TblPop[[#This Row],[Peasants]],-1,0)+OFFSET(TblPop[[#This Row],[Net Peasant]],-1,0)+TblMili[[#This Row],[Release Draft]]</f>
        <v>405</v>
      </c>
      <c r="D19" s="94">
        <f ca="1">TblMili[[#This Row],[Military]]</f>
        <v>364</v>
      </c>
      <c r="E19" s="94">
        <f ca="1">TblMili[[#This Row],[Draftees]]</f>
        <v>364</v>
      </c>
      <c r="F19" s="94">
        <f ca="1">TblPop[[#This Row],[Peasants]]+TblPop[[#This Row],[Military]]</f>
        <v>769</v>
      </c>
      <c r="G19" s="139">
        <f ca="1">TblPop[[#This Row],[Military]]/TblPop[[#This Row],[Total]]</f>
        <v>0.47334200260078024</v>
      </c>
      <c r="H19" s="140">
        <f ca="1">MIN(TblPop[[#This Row],[Peasants]],TblPop[[#This Row],[Jobs]])</f>
        <v>405</v>
      </c>
      <c r="I19" s="139">
        <f ca="1">MIN(OFFSET(TblPop[[#This Row],[Jobs]],1,0)/TblPop[[#This Row],[Peasants]],1)</f>
        <v>1</v>
      </c>
      <c r="J19" s="140">
        <f ca="1">SUM(TblConstr[[#This Row],[Tot Alc]:[Tot GT]],TblConstr[[#This Row],[Tot Shr]:[Tot Doc]],TblConstr[[#This Row],[Dest Alc]:[Dest GT]],TblConstr[[#This Row],[Dest Shr]:[Dest Doc]])*building_employment + TblConstr[[#This Row],[Tot Fac]]*bonus_jobs_facts</f>
        <v>1000</v>
      </c>
      <c r="K19" s="141"/>
      <c r="L19" s="61">
        <f ca="1">TblPop[[#This Row],[Draftees]]</f>
        <v>364</v>
      </c>
      <c r="M19" s="61">
        <f ca="1">TblMili[[#This Row],[Unit 1]]</f>
        <v>0</v>
      </c>
      <c r="N19" s="61">
        <f ca="1">TblMili[[#This Row],[Unit 2]]</f>
        <v>0</v>
      </c>
      <c r="O19" s="61">
        <f ca="1">TblMili[[#This Row],[Unit 3]]</f>
        <v>0</v>
      </c>
      <c r="P19" s="61">
        <f ca="1">TblMili[[#This Row],[Unit 4]]</f>
        <v>0</v>
      </c>
      <c r="Q19" s="61">
        <f ca="1">TblMili[[#This Row],[Spies]]</f>
        <v>0</v>
      </c>
      <c r="R19" s="61">
        <f ca="1">TblMili[[#This Row],[Wizards]]</f>
        <v>0</v>
      </c>
      <c r="S19" s="61">
        <f ca="1">TblMili[[#This Row],[Archmages]]</f>
        <v>0</v>
      </c>
      <c r="T19" s="142"/>
      <c r="U19" s="94">
        <f ca="1">ROUND(TblPop[[#This Row],[Raw max]]*(1+OFFSET(TblPop[[#This Row],[Max pop]],-1,0)),0)+MIN(TblPop[[#This Row],[Military]]-TblPop[[#This Row],[Draftees]]-SUM(TblMili[[#This Row],[Train Unit 1]:[Train AM]]),(barracks_size + tech_8_3*TblTech[[#This Row],[8-3]])*TblConstr[[#This Row],[Tot Bar]])</f>
        <v>769</v>
      </c>
      <c r="V1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9" s="94">
        <f ca="1">MAX(-5%*TblPop[[#This Row],[Peasants]]-TblPop[[#This Row],[Draft Growth]],MIN(OFFSET(TblPop[[#This Row],[Net max]],1,0)-TblPop[[#This Row],[Peasants]]-TblPop[[#This Row],[Military]]-TblPop[[#This Row],[Draft Growth]],TblPop[[#This Row],[Modded Birth]]-TblPop[[#This Row],[Draft Growth]]))</f>
        <v>-4</v>
      </c>
      <c r="X19" s="94">
        <f ca="1">ROUND(TblPop[[#This Row],[Raw Birth]]*(1+TblPop[[#This Row],[Growth]]),0)</f>
        <v>12</v>
      </c>
      <c r="Y19" s="94">
        <f ca="1">(TblPop[[#This Row],[Peasants]]-TblPop[[#This Row],[Draft Growth]])*raw_pop_growth</f>
        <v>12.03</v>
      </c>
      <c r="Z19" s="94">
        <f ca="1">ROUND(IF(TblPop[[#This Row],[Military%]]&lt;TblMili[[#This Row],[Draftrate]],ROUND(TblPop[[#This Row],[Peasants]]*Constants!$B$55,0), 0) * IF(AND(TblMagic[[#This Row],[Active DnD]]&lt;=12,TblMagic[[#This Row],[Active DnD]]&gt;6),1.5,1),0)</f>
        <v>4</v>
      </c>
      <c r="AA19" s="142"/>
      <c r="AB19" s="143">
        <f ca="1">Overview!$I$17 + IF(Magic!AF19&gt;0,Constants!$F$78) + ROUND(6*(Construction!BM20+Construction!CK19)/IF(Explore!S20&gt;0,Construction!F20-20,Construction!F20),4) + tech_6_5_2*Techs!BJ19 + tech_8_4*Techs!BT19</f>
        <v>0</v>
      </c>
      <c r="AC19" s="139">
        <f ca="1">(Overview!$I$16 + Imps!Z19+ tech_2_5*Techs!AB19 + tech_3_6*Techs!AM19 + tech_6_1*Techs!BJ19 + tech_6_5*Techs!BF19 + tech_7_3_2*Techs!BN19) * (1 + Production!O19/100*prestige_pop_multiplier) + Production!O19/100*prestige_pop_multiplier</f>
        <v>2.5000000000000001E-2</v>
      </c>
    </row>
    <row r="20" spans="1:29" x14ac:dyDescent="0.2">
      <c r="A20" s="137">
        <f>TblRezone[[#This Row],[Hour]]</f>
        <v>17</v>
      </c>
      <c r="B20" s="138">
        <f ca="1">TblImps[[#This Row],[Time]]</f>
        <v>46320.666666666628</v>
      </c>
      <c r="C20" s="94">
        <f ca="1">OFFSET(TblPop[[#This Row],[Peasants]],-1,0)+OFFSET(TblPop[[#This Row],[Net Peasant]],-1,0)+TblMili[[#This Row],[Release Draft]]</f>
        <v>401</v>
      </c>
      <c r="D20" s="94">
        <f ca="1">TblMili[[#This Row],[Military]]</f>
        <v>368</v>
      </c>
      <c r="E20" s="94">
        <f ca="1">TblMili[[#This Row],[Draftees]]</f>
        <v>368</v>
      </c>
      <c r="F20" s="94">
        <f ca="1">TblPop[[#This Row],[Peasants]]+TblPop[[#This Row],[Military]]</f>
        <v>769</v>
      </c>
      <c r="G20" s="139">
        <f ca="1">TblPop[[#This Row],[Military]]/TblPop[[#This Row],[Total]]</f>
        <v>0.47854356306892065</v>
      </c>
      <c r="H20" s="140">
        <f ca="1">MIN(TblPop[[#This Row],[Peasants]],TblPop[[#This Row],[Jobs]])</f>
        <v>401</v>
      </c>
      <c r="I20" s="139">
        <f ca="1">MIN(OFFSET(TblPop[[#This Row],[Jobs]],1,0)/TblPop[[#This Row],[Peasants]],1)</f>
        <v>1</v>
      </c>
      <c r="J20" s="140">
        <f ca="1">SUM(TblConstr[[#This Row],[Tot Alc]:[Tot GT]],TblConstr[[#This Row],[Tot Shr]:[Tot Doc]],TblConstr[[#This Row],[Dest Alc]:[Dest GT]],TblConstr[[#This Row],[Dest Shr]:[Dest Doc]])*building_employment + TblConstr[[#This Row],[Tot Fac]]*bonus_jobs_facts</f>
        <v>1000</v>
      </c>
      <c r="K20" s="141"/>
      <c r="L20" s="61">
        <f ca="1">TblPop[[#This Row],[Draftees]]</f>
        <v>368</v>
      </c>
      <c r="M20" s="61">
        <f ca="1">TblMili[[#This Row],[Unit 1]]</f>
        <v>0</v>
      </c>
      <c r="N20" s="61">
        <f ca="1">TblMili[[#This Row],[Unit 2]]</f>
        <v>0</v>
      </c>
      <c r="O20" s="61">
        <f ca="1">TblMili[[#This Row],[Unit 3]]</f>
        <v>0</v>
      </c>
      <c r="P20" s="61">
        <f ca="1">TblMili[[#This Row],[Unit 4]]</f>
        <v>0</v>
      </c>
      <c r="Q20" s="61">
        <f ca="1">TblMili[[#This Row],[Spies]]</f>
        <v>0</v>
      </c>
      <c r="R20" s="61">
        <f ca="1">TblMili[[#This Row],[Wizards]]</f>
        <v>0</v>
      </c>
      <c r="S20" s="61">
        <f ca="1">TblMili[[#This Row],[Archmages]]</f>
        <v>0</v>
      </c>
      <c r="T20" s="142"/>
      <c r="U20" s="94">
        <f ca="1">ROUND(TblPop[[#This Row],[Raw max]]*(1+OFFSET(TblPop[[#This Row],[Max pop]],-1,0)),0)+MIN(TblPop[[#This Row],[Military]]-TblPop[[#This Row],[Draftees]]-SUM(TblMili[[#This Row],[Train Unit 1]:[Train AM]]),(barracks_size + tech_8_3*TblTech[[#This Row],[8-3]])*TblConstr[[#This Row],[Tot Bar]])</f>
        <v>769</v>
      </c>
      <c r="V2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0" s="94">
        <f ca="1">MAX(-5%*TblPop[[#This Row],[Peasants]]-TblPop[[#This Row],[Draft Growth]],MIN(OFFSET(TblPop[[#This Row],[Net max]],1,0)-TblPop[[#This Row],[Peasants]]-TblPop[[#This Row],[Military]]-TblPop[[#This Row],[Draft Growth]],TblPop[[#This Row],[Modded Birth]]-TblPop[[#This Row],[Draft Growth]]))</f>
        <v>-4</v>
      </c>
      <c r="X20" s="94">
        <f ca="1">ROUND(TblPop[[#This Row],[Raw Birth]]*(1+TblPop[[#This Row],[Growth]]),0)</f>
        <v>12</v>
      </c>
      <c r="Y20" s="94">
        <f ca="1">(TblPop[[#This Row],[Peasants]]-TblPop[[#This Row],[Draft Growth]])*raw_pop_growth</f>
        <v>11.91</v>
      </c>
      <c r="Z20" s="94">
        <f ca="1">ROUND(IF(TblPop[[#This Row],[Military%]]&lt;TblMili[[#This Row],[Draftrate]],ROUND(TblPop[[#This Row],[Peasants]]*Constants!$B$55,0), 0) * IF(AND(TblMagic[[#This Row],[Active DnD]]&lt;=12,TblMagic[[#This Row],[Active DnD]]&gt;6),1.5,1),0)</f>
        <v>4</v>
      </c>
      <c r="AA20" s="142"/>
      <c r="AB20" s="143">
        <f ca="1">Overview!$I$17 + IF(Magic!AF20&gt;0,Constants!$F$78) + ROUND(6*(Construction!BM21+Construction!CK20)/IF(Explore!S21&gt;0,Construction!F21-20,Construction!F21),4) + tech_6_5_2*Techs!BJ20 + tech_8_4*Techs!BT20</f>
        <v>0</v>
      </c>
      <c r="AC20" s="139">
        <f ca="1">(Overview!$I$16 + Imps!Z20+ tech_2_5*Techs!AB20 + tech_3_6*Techs!AM20 + tech_6_1*Techs!BJ20 + tech_6_5*Techs!BF20 + tech_7_3_2*Techs!BN20) * (1 + Production!O20/100*prestige_pop_multiplier) + Production!O20/100*prestige_pop_multiplier</f>
        <v>2.5000000000000001E-2</v>
      </c>
    </row>
    <row r="21" spans="1:29" x14ac:dyDescent="0.2">
      <c r="A21" s="137">
        <f>TblRezone[[#This Row],[Hour]]</f>
        <v>18</v>
      </c>
      <c r="B21" s="138">
        <f ca="1">TblImps[[#This Row],[Time]]</f>
        <v>46320.708333333292</v>
      </c>
      <c r="C21" s="94">
        <f ca="1">OFFSET(TblPop[[#This Row],[Peasants]],-1,0)+OFFSET(TblPop[[#This Row],[Net Peasant]],-1,0)+TblMili[[#This Row],[Release Draft]]</f>
        <v>397</v>
      </c>
      <c r="D21" s="94">
        <f ca="1">TblMili[[#This Row],[Military]]</f>
        <v>372</v>
      </c>
      <c r="E21" s="94">
        <f ca="1">TblMili[[#This Row],[Draftees]]</f>
        <v>372</v>
      </c>
      <c r="F21" s="94">
        <f ca="1">TblPop[[#This Row],[Peasants]]+TblPop[[#This Row],[Military]]</f>
        <v>769</v>
      </c>
      <c r="G21" s="139">
        <f ca="1">TblPop[[#This Row],[Military]]/TblPop[[#This Row],[Total]]</f>
        <v>0.48374512353706112</v>
      </c>
      <c r="H21" s="140">
        <f ca="1">MIN(TblPop[[#This Row],[Peasants]],TblPop[[#This Row],[Jobs]])</f>
        <v>397</v>
      </c>
      <c r="I21" s="139">
        <f ca="1">MIN(OFFSET(TblPop[[#This Row],[Jobs]],1,0)/TblPop[[#This Row],[Peasants]],1)</f>
        <v>1</v>
      </c>
      <c r="J21" s="140">
        <f ca="1">SUM(TblConstr[[#This Row],[Tot Alc]:[Tot GT]],TblConstr[[#This Row],[Tot Shr]:[Tot Doc]],TblConstr[[#This Row],[Dest Alc]:[Dest GT]],TblConstr[[#This Row],[Dest Shr]:[Dest Doc]])*building_employment + TblConstr[[#This Row],[Tot Fac]]*bonus_jobs_facts</f>
        <v>1000</v>
      </c>
      <c r="K21" s="141"/>
      <c r="L21" s="61">
        <f ca="1">TblPop[[#This Row],[Draftees]]</f>
        <v>372</v>
      </c>
      <c r="M21" s="61">
        <f ca="1">TblMili[[#This Row],[Unit 1]]</f>
        <v>0</v>
      </c>
      <c r="N21" s="61">
        <f ca="1">TblMili[[#This Row],[Unit 2]]</f>
        <v>0</v>
      </c>
      <c r="O21" s="61">
        <f ca="1">TblMili[[#This Row],[Unit 3]]</f>
        <v>0</v>
      </c>
      <c r="P21" s="61">
        <f ca="1">TblMili[[#This Row],[Unit 4]]</f>
        <v>0</v>
      </c>
      <c r="Q21" s="61">
        <f ca="1">TblMili[[#This Row],[Spies]]</f>
        <v>0</v>
      </c>
      <c r="R21" s="61">
        <f ca="1">TblMili[[#This Row],[Wizards]]</f>
        <v>0</v>
      </c>
      <c r="S21" s="61">
        <f ca="1">TblMili[[#This Row],[Archmages]]</f>
        <v>0</v>
      </c>
      <c r="T21" s="142"/>
      <c r="U21" s="94">
        <f ca="1">ROUND(TblPop[[#This Row],[Raw max]]*(1+OFFSET(TblPop[[#This Row],[Max pop]],-1,0)),0)+MIN(TblPop[[#This Row],[Military]]-TblPop[[#This Row],[Draftees]]-SUM(TblMili[[#This Row],[Train Unit 1]:[Train AM]]),(barracks_size + tech_8_3*TblTech[[#This Row],[8-3]])*TblConstr[[#This Row],[Tot Bar]])</f>
        <v>769</v>
      </c>
      <c r="V2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1" s="94">
        <f ca="1">MAX(-5%*TblPop[[#This Row],[Peasants]]-TblPop[[#This Row],[Draft Growth]],MIN(OFFSET(TblPop[[#This Row],[Net max]],1,0)-TblPop[[#This Row],[Peasants]]-TblPop[[#This Row],[Military]]-TblPop[[#This Row],[Draft Growth]],TblPop[[#This Row],[Modded Birth]]-TblPop[[#This Row],[Draft Growth]]))</f>
        <v>-4</v>
      </c>
      <c r="X21" s="94">
        <f ca="1">ROUND(TblPop[[#This Row],[Raw Birth]]*(1+TblPop[[#This Row],[Growth]]),0)</f>
        <v>12</v>
      </c>
      <c r="Y21" s="94">
        <f ca="1">(TblPop[[#This Row],[Peasants]]-TblPop[[#This Row],[Draft Growth]])*raw_pop_growth</f>
        <v>11.79</v>
      </c>
      <c r="Z21" s="94">
        <f ca="1">ROUND(IF(TblPop[[#This Row],[Military%]]&lt;TblMili[[#This Row],[Draftrate]],ROUND(TblPop[[#This Row],[Peasants]]*Constants!$B$55,0), 0) * IF(AND(TblMagic[[#This Row],[Active DnD]]&lt;=12,TblMagic[[#This Row],[Active DnD]]&gt;6),1.5,1),0)</f>
        <v>4</v>
      </c>
      <c r="AA21" s="142"/>
      <c r="AB21" s="143">
        <f ca="1">Overview!$I$17 + IF(Magic!AF21&gt;0,Constants!$F$78) + ROUND(6*(Construction!BM22+Construction!CK21)/IF(Explore!S22&gt;0,Construction!F22-20,Construction!F22),4) + tech_6_5_2*Techs!BJ21 + tech_8_4*Techs!BT21</f>
        <v>0</v>
      </c>
      <c r="AC21" s="139">
        <f ca="1">(Overview!$I$16 + Imps!Z21+ tech_2_5*Techs!AB21 + tech_3_6*Techs!AM21 + tech_6_1*Techs!BJ21 + tech_6_5*Techs!BF21 + tech_7_3_2*Techs!BN21) * (1 + Production!O21/100*prestige_pop_multiplier) + Production!O21/100*prestige_pop_multiplier</f>
        <v>2.5000000000000001E-2</v>
      </c>
    </row>
    <row r="22" spans="1:29" x14ac:dyDescent="0.2">
      <c r="A22" s="137">
        <f>TblRezone[[#This Row],[Hour]]</f>
        <v>19</v>
      </c>
      <c r="B22" s="138">
        <f ca="1">TblImps[[#This Row],[Time]]</f>
        <v>46320.749999999956</v>
      </c>
      <c r="C22" s="94">
        <f ca="1">OFFSET(TblPop[[#This Row],[Peasants]],-1,0)+OFFSET(TblPop[[#This Row],[Net Peasant]],-1,0)+TblMili[[#This Row],[Release Draft]]</f>
        <v>393</v>
      </c>
      <c r="D22" s="94">
        <f ca="1">TblMili[[#This Row],[Military]]</f>
        <v>376</v>
      </c>
      <c r="E22" s="94">
        <f ca="1">TblMili[[#This Row],[Draftees]]</f>
        <v>376</v>
      </c>
      <c r="F22" s="94">
        <f ca="1">TblPop[[#This Row],[Peasants]]+TblPop[[#This Row],[Military]]</f>
        <v>769</v>
      </c>
      <c r="G22" s="139">
        <f ca="1">TblPop[[#This Row],[Military]]/TblPop[[#This Row],[Total]]</f>
        <v>0.48894668400520158</v>
      </c>
      <c r="H22" s="140">
        <f ca="1">MIN(TblPop[[#This Row],[Peasants]],TblPop[[#This Row],[Jobs]])</f>
        <v>393</v>
      </c>
      <c r="I22" s="139">
        <f ca="1">MIN(OFFSET(TblPop[[#This Row],[Jobs]],1,0)/TblPop[[#This Row],[Peasants]],1)</f>
        <v>1</v>
      </c>
      <c r="J22" s="140">
        <f ca="1">SUM(TblConstr[[#This Row],[Tot Alc]:[Tot GT]],TblConstr[[#This Row],[Tot Shr]:[Tot Doc]],TblConstr[[#This Row],[Dest Alc]:[Dest GT]],TblConstr[[#This Row],[Dest Shr]:[Dest Doc]])*building_employment + TblConstr[[#This Row],[Tot Fac]]*bonus_jobs_facts</f>
        <v>1000</v>
      </c>
      <c r="K22" s="141"/>
      <c r="L22" s="61">
        <f ca="1">TblPop[[#This Row],[Draftees]]</f>
        <v>376</v>
      </c>
      <c r="M22" s="61">
        <f ca="1">TblMili[[#This Row],[Unit 1]]</f>
        <v>0</v>
      </c>
      <c r="N22" s="61">
        <f ca="1">TblMili[[#This Row],[Unit 2]]</f>
        <v>0</v>
      </c>
      <c r="O22" s="61">
        <f ca="1">TblMili[[#This Row],[Unit 3]]</f>
        <v>0</v>
      </c>
      <c r="P22" s="61">
        <f ca="1">TblMili[[#This Row],[Unit 4]]</f>
        <v>0</v>
      </c>
      <c r="Q22" s="61">
        <f ca="1">TblMili[[#This Row],[Spies]]</f>
        <v>0</v>
      </c>
      <c r="R22" s="61">
        <f ca="1">TblMili[[#This Row],[Wizards]]</f>
        <v>0</v>
      </c>
      <c r="S22" s="61">
        <f ca="1">TblMili[[#This Row],[Archmages]]</f>
        <v>0</v>
      </c>
      <c r="T22" s="142"/>
      <c r="U22" s="94">
        <f ca="1">ROUND(TblPop[[#This Row],[Raw max]]*(1+OFFSET(TblPop[[#This Row],[Max pop]],-1,0)),0)+MIN(TblPop[[#This Row],[Military]]-TblPop[[#This Row],[Draftees]]-SUM(TblMili[[#This Row],[Train Unit 1]:[Train AM]]),(barracks_size + tech_8_3*TblTech[[#This Row],[8-3]])*TblConstr[[#This Row],[Tot Bar]])</f>
        <v>769</v>
      </c>
      <c r="V2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2" s="94">
        <f ca="1">MAX(-5%*TblPop[[#This Row],[Peasants]]-TblPop[[#This Row],[Draft Growth]],MIN(OFFSET(TblPop[[#This Row],[Net max]],1,0)-TblPop[[#This Row],[Peasants]]-TblPop[[#This Row],[Military]]-TblPop[[#This Row],[Draft Growth]],TblPop[[#This Row],[Modded Birth]]-TblPop[[#This Row],[Draft Growth]]))</f>
        <v>-4</v>
      </c>
      <c r="X22" s="94">
        <f ca="1">ROUND(TblPop[[#This Row],[Raw Birth]]*(1+TblPop[[#This Row],[Growth]]),0)</f>
        <v>12</v>
      </c>
      <c r="Y22" s="94">
        <f ca="1">(TblPop[[#This Row],[Peasants]]-TblPop[[#This Row],[Draft Growth]])*raw_pop_growth</f>
        <v>11.67</v>
      </c>
      <c r="Z22" s="94">
        <f ca="1">ROUND(IF(TblPop[[#This Row],[Military%]]&lt;TblMili[[#This Row],[Draftrate]],ROUND(TblPop[[#This Row],[Peasants]]*Constants!$B$55,0), 0) * IF(AND(TblMagic[[#This Row],[Active DnD]]&lt;=12,TblMagic[[#This Row],[Active DnD]]&gt;6),1.5,1),0)</f>
        <v>4</v>
      </c>
      <c r="AA22" s="142"/>
      <c r="AB22" s="143">
        <f ca="1">Overview!$I$17 + IF(Magic!AF22&gt;0,Constants!$F$78) + ROUND(6*(Construction!BM23+Construction!CK22)/IF(Explore!S23&gt;0,Construction!F23-20,Construction!F23),4) + tech_6_5_2*Techs!BJ22 + tech_8_4*Techs!BT22</f>
        <v>0</v>
      </c>
      <c r="AC22" s="139">
        <f ca="1">(Overview!$I$16 + Imps!Z22+ tech_2_5*Techs!AB22 + tech_3_6*Techs!AM22 + tech_6_1*Techs!BJ22 + tech_6_5*Techs!BF22 + tech_7_3_2*Techs!BN22) * (1 + Production!O22/100*prestige_pop_multiplier) + Production!O22/100*prestige_pop_multiplier</f>
        <v>2.5000000000000001E-2</v>
      </c>
    </row>
    <row r="23" spans="1:29" x14ac:dyDescent="0.2">
      <c r="A23" s="137">
        <f>TblRezone[[#This Row],[Hour]]</f>
        <v>20</v>
      </c>
      <c r="B23" s="138">
        <f ca="1">TblImps[[#This Row],[Time]]</f>
        <v>46320.791666666621</v>
      </c>
      <c r="C23" s="94">
        <f ca="1">OFFSET(TblPop[[#This Row],[Peasants]],-1,0)+OFFSET(TblPop[[#This Row],[Net Peasant]],-1,0)+TblMili[[#This Row],[Release Draft]]</f>
        <v>389</v>
      </c>
      <c r="D23" s="94">
        <f ca="1">TblMili[[#This Row],[Military]]</f>
        <v>380</v>
      </c>
      <c r="E23" s="94">
        <f ca="1">TblMili[[#This Row],[Draftees]]</f>
        <v>380</v>
      </c>
      <c r="F23" s="94">
        <f ca="1">TblPop[[#This Row],[Peasants]]+TblPop[[#This Row],[Military]]</f>
        <v>769</v>
      </c>
      <c r="G23" s="139">
        <f ca="1">TblPop[[#This Row],[Military]]/TblPop[[#This Row],[Total]]</f>
        <v>0.49414824447334199</v>
      </c>
      <c r="H23" s="140">
        <f ca="1">MIN(TblPop[[#This Row],[Peasants]],TblPop[[#This Row],[Jobs]])</f>
        <v>389</v>
      </c>
      <c r="I23" s="139">
        <f ca="1">MIN(OFFSET(TblPop[[#This Row],[Jobs]],1,0)/TblPop[[#This Row],[Peasants]],1)</f>
        <v>1</v>
      </c>
      <c r="J23" s="140">
        <f ca="1">SUM(TblConstr[[#This Row],[Tot Alc]:[Tot GT]],TblConstr[[#This Row],[Tot Shr]:[Tot Doc]],TblConstr[[#This Row],[Dest Alc]:[Dest GT]],TblConstr[[#This Row],[Dest Shr]:[Dest Doc]])*building_employment + TblConstr[[#This Row],[Tot Fac]]*bonus_jobs_facts</f>
        <v>1000</v>
      </c>
      <c r="K23" s="141"/>
      <c r="L23" s="61">
        <f ca="1">TblPop[[#This Row],[Draftees]]</f>
        <v>380</v>
      </c>
      <c r="M23" s="61">
        <f ca="1">TblMili[[#This Row],[Unit 1]]</f>
        <v>0</v>
      </c>
      <c r="N23" s="61">
        <f ca="1">TblMili[[#This Row],[Unit 2]]</f>
        <v>0</v>
      </c>
      <c r="O23" s="61">
        <f ca="1">TblMili[[#This Row],[Unit 3]]</f>
        <v>0</v>
      </c>
      <c r="P23" s="61">
        <f ca="1">TblMili[[#This Row],[Unit 4]]</f>
        <v>0</v>
      </c>
      <c r="Q23" s="61">
        <f ca="1">TblMili[[#This Row],[Spies]]</f>
        <v>0</v>
      </c>
      <c r="R23" s="61">
        <f ca="1">TblMili[[#This Row],[Wizards]]</f>
        <v>0</v>
      </c>
      <c r="S23" s="61">
        <f ca="1">TblMili[[#This Row],[Archmages]]</f>
        <v>0</v>
      </c>
      <c r="T23" s="142"/>
      <c r="U23" s="94">
        <f ca="1">ROUND(TblPop[[#This Row],[Raw max]]*(1+OFFSET(TblPop[[#This Row],[Max pop]],-1,0)),0)+MIN(TblPop[[#This Row],[Military]]-TblPop[[#This Row],[Draftees]]-SUM(TblMili[[#This Row],[Train Unit 1]:[Train AM]]),(barracks_size + tech_8_3*TblTech[[#This Row],[8-3]])*TblConstr[[#This Row],[Tot Bar]])</f>
        <v>769</v>
      </c>
      <c r="V2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3" s="94">
        <f ca="1">MAX(-5%*TblPop[[#This Row],[Peasants]]-TblPop[[#This Row],[Draft Growth]],MIN(OFFSET(TblPop[[#This Row],[Net max]],1,0)-TblPop[[#This Row],[Peasants]]-TblPop[[#This Row],[Military]]-TblPop[[#This Row],[Draft Growth]],TblPop[[#This Row],[Modded Birth]]-TblPop[[#This Row],[Draft Growth]]))</f>
        <v>-4</v>
      </c>
      <c r="X23" s="94">
        <f ca="1">ROUND(TblPop[[#This Row],[Raw Birth]]*(1+TblPop[[#This Row],[Growth]]),0)</f>
        <v>12</v>
      </c>
      <c r="Y23" s="94">
        <f ca="1">(TblPop[[#This Row],[Peasants]]-TblPop[[#This Row],[Draft Growth]])*raw_pop_growth</f>
        <v>11.549999999999999</v>
      </c>
      <c r="Z23" s="94">
        <f ca="1">ROUND(IF(TblPop[[#This Row],[Military%]]&lt;TblMili[[#This Row],[Draftrate]],ROUND(TblPop[[#This Row],[Peasants]]*Constants!$B$55,0), 0) * IF(AND(TblMagic[[#This Row],[Active DnD]]&lt;=12,TblMagic[[#This Row],[Active DnD]]&gt;6),1.5,1),0)</f>
        <v>4</v>
      </c>
      <c r="AA23" s="142"/>
      <c r="AB23" s="143">
        <f ca="1">Overview!$I$17 + IF(Magic!AF23&gt;0,Constants!$F$78) + ROUND(6*(Construction!BM24+Construction!CK23)/IF(Explore!S24&gt;0,Construction!F24-20,Construction!F24),4) + tech_6_5_2*Techs!BJ23 + tech_8_4*Techs!BT23</f>
        <v>0</v>
      </c>
      <c r="AC23" s="139">
        <f ca="1">(Overview!$I$16 + Imps!Z23+ tech_2_5*Techs!AB23 + tech_3_6*Techs!AM23 + tech_6_1*Techs!BJ23 + tech_6_5*Techs!BF23 + tech_7_3_2*Techs!BN23) * (1 + Production!O23/100*prestige_pop_multiplier) + Production!O23/100*prestige_pop_multiplier</f>
        <v>2.5000000000000001E-2</v>
      </c>
    </row>
    <row r="24" spans="1:29" x14ac:dyDescent="0.2">
      <c r="A24" s="137">
        <f>TblRezone[[#This Row],[Hour]]</f>
        <v>21</v>
      </c>
      <c r="B24" s="138">
        <f ca="1">TblImps[[#This Row],[Time]]</f>
        <v>46320.833333333285</v>
      </c>
      <c r="C24" s="94">
        <f ca="1">OFFSET(TblPop[[#This Row],[Peasants]],-1,0)+OFFSET(TblPop[[#This Row],[Net Peasant]],-1,0)+TblMili[[#This Row],[Release Draft]]</f>
        <v>385</v>
      </c>
      <c r="D24" s="94">
        <f ca="1">TblMili[[#This Row],[Military]]</f>
        <v>384</v>
      </c>
      <c r="E24" s="94">
        <f ca="1">TblMili[[#This Row],[Draftees]]</f>
        <v>384</v>
      </c>
      <c r="F24" s="94">
        <f ca="1">TblPop[[#This Row],[Peasants]]+TblPop[[#This Row],[Military]]</f>
        <v>769</v>
      </c>
      <c r="G24" s="139">
        <f ca="1">TblPop[[#This Row],[Military]]/TblPop[[#This Row],[Total]]</f>
        <v>0.49934980494148246</v>
      </c>
      <c r="H24" s="140">
        <f ca="1">MIN(TblPop[[#This Row],[Peasants]],TblPop[[#This Row],[Jobs]])</f>
        <v>385</v>
      </c>
      <c r="I24" s="139">
        <f ca="1">MIN(OFFSET(TblPop[[#This Row],[Jobs]],1,0)/TblPop[[#This Row],[Peasants]],1)</f>
        <v>1</v>
      </c>
      <c r="J24" s="140">
        <f ca="1">SUM(TblConstr[[#This Row],[Tot Alc]:[Tot GT]],TblConstr[[#This Row],[Tot Shr]:[Tot Doc]],TblConstr[[#This Row],[Dest Alc]:[Dest GT]],TblConstr[[#This Row],[Dest Shr]:[Dest Doc]])*building_employment + TblConstr[[#This Row],[Tot Fac]]*bonus_jobs_facts</f>
        <v>1000</v>
      </c>
      <c r="K24" s="141"/>
      <c r="L24" s="61">
        <f ca="1">TblPop[[#This Row],[Draftees]]</f>
        <v>384</v>
      </c>
      <c r="M24" s="61">
        <f ca="1">TblMili[[#This Row],[Unit 1]]</f>
        <v>0</v>
      </c>
      <c r="N24" s="61">
        <f ca="1">TblMili[[#This Row],[Unit 2]]</f>
        <v>0</v>
      </c>
      <c r="O24" s="61">
        <f ca="1">TblMili[[#This Row],[Unit 3]]</f>
        <v>0</v>
      </c>
      <c r="P24" s="61">
        <f ca="1">TblMili[[#This Row],[Unit 4]]</f>
        <v>0</v>
      </c>
      <c r="Q24" s="61">
        <f ca="1">TblMili[[#This Row],[Spies]]</f>
        <v>0</v>
      </c>
      <c r="R24" s="61">
        <f ca="1">TblMili[[#This Row],[Wizards]]</f>
        <v>0</v>
      </c>
      <c r="S24" s="61">
        <f ca="1">TblMili[[#This Row],[Archmages]]</f>
        <v>0</v>
      </c>
      <c r="T24" s="142"/>
      <c r="U24" s="94">
        <f ca="1">ROUND(TblPop[[#This Row],[Raw max]]*(1+OFFSET(TblPop[[#This Row],[Max pop]],-1,0)),0)+MIN(TblPop[[#This Row],[Military]]-TblPop[[#This Row],[Draftees]]-SUM(TblMili[[#This Row],[Train Unit 1]:[Train AM]]),(barracks_size + tech_8_3*TblTech[[#This Row],[8-3]])*TblConstr[[#This Row],[Tot Bar]])</f>
        <v>769</v>
      </c>
      <c r="V2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4" s="94">
        <f ca="1">MAX(-5%*TblPop[[#This Row],[Peasants]]-TblPop[[#This Row],[Draft Growth]],MIN(OFFSET(TblPop[[#This Row],[Net max]],1,0)-TblPop[[#This Row],[Peasants]]-TblPop[[#This Row],[Military]]-TblPop[[#This Row],[Draft Growth]],TblPop[[#This Row],[Modded Birth]]-TblPop[[#This Row],[Draft Growth]]))</f>
        <v>-4</v>
      </c>
      <c r="X24" s="94">
        <f ca="1">ROUND(TblPop[[#This Row],[Raw Birth]]*(1+TblPop[[#This Row],[Growth]]),0)</f>
        <v>11</v>
      </c>
      <c r="Y24" s="94">
        <f ca="1">(TblPop[[#This Row],[Peasants]]-TblPop[[#This Row],[Draft Growth]])*raw_pop_growth</f>
        <v>11.43</v>
      </c>
      <c r="Z24" s="94">
        <f ca="1">ROUND(IF(TblPop[[#This Row],[Military%]]&lt;TblMili[[#This Row],[Draftrate]],ROUND(TblPop[[#This Row],[Peasants]]*Constants!$B$55,0), 0) * IF(AND(TblMagic[[#This Row],[Active DnD]]&lt;=12,TblMagic[[#This Row],[Active DnD]]&gt;6),1.5,1),0)</f>
        <v>4</v>
      </c>
      <c r="AA24" s="142"/>
      <c r="AB24" s="143">
        <f ca="1">Overview!$I$17 + IF(Magic!AF24&gt;0,Constants!$F$78) + ROUND(6*(Construction!BM25+Construction!CK24)/IF(Explore!S25&gt;0,Construction!F25-20,Construction!F25),4) + tech_6_5_2*Techs!BJ24 + tech_8_4*Techs!BT24</f>
        <v>0</v>
      </c>
      <c r="AC24" s="139">
        <f ca="1">(Overview!$I$16 + Imps!Z24+ tech_2_5*Techs!AB24 + tech_3_6*Techs!AM24 + tech_6_1*Techs!BJ24 + tech_6_5*Techs!BF24 + tech_7_3_2*Techs!BN24) * (1 + Production!O24/100*prestige_pop_multiplier) + Production!O24/100*prestige_pop_multiplier</f>
        <v>2.5000000000000001E-2</v>
      </c>
    </row>
    <row r="25" spans="1:29" x14ac:dyDescent="0.2">
      <c r="A25" s="137">
        <f>TblRezone[[#This Row],[Hour]]</f>
        <v>22</v>
      </c>
      <c r="B25" s="138">
        <f ca="1">TblImps[[#This Row],[Time]]</f>
        <v>46320.874999999949</v>
      </c>
      <c r="C25" s="94">
        <f ca="1">OFFSET(TblPop[[#This Row],[Peasants]],-1,0)+OFFSET(TblPop[[#This Row],[Net Peasant]],-1,0)+TblMili[[#This Row],[Release Draft]]</f>
        <v>381</v>
      </c>
      <c r="D25" s="94">
        <f ca="1">TblMili[[#This Row],[Military]]</f>
        <v>388</v>
      </c>
      <c r="E25" s="94">
        <f ca="1">TblMili[[#This Row],[Draftees]]</f>
        <v>388</v>
      </c>
      <c r="F25" s="94">
        <f ca="1">TblPop[[#This Row],[Peasants]]+TblPop[[#This Row],[Military]]</f>
        <v>769</v>
      </c>
      <c r="G25" s="139">
        <f ca="1">TblPop[[#This Row],[Military]]/TblPop[[#This Row],[Total]]</f>
        <v>0.50455136540962287</v>
      </c>
      <c r="H25" s="140">
        <f ca="1">MIN(TblPop[[#This Row],[Peasants]],TblPop[[#This Row],[Jobs]])</f>
        <v>381</v>
      </c>
      <c r="I25" s="139">
        <f ca="1">MIN(OFFSET(TblPop[[#This Row],[Jobs]],1,0)/TblPop[[#This Row],[Peasants]],1)</f>
        <v>1</v>
      </c>
      <c r="J25" s="140">
        <f ca="1">SUM(TblConstr[[#This Row],[Tot Alc]:[Tot GT]],TblConstr[[#This Row],[Tot Shr]:[Tot Doc]],TblConstr[[#This Row],[Dest Alc]:[Dest GT]],TblConstr[[#This Row],[Dest Shr]:[Dest Doc]])*building_employment + TblConstr[[#This Row],[Tot Fac]]*bonus_jobs_facts</f>
        <v>1000</v>
      </c>
      <c r="K25" s="141"/>
      <c r="L25" s="61">
        <f ca="1">TblPop[[#This Row],[Draftees]]</f>
        <v>388</v>
      </c>
      <c r="M25" s="61">
        <f ca="1">TblMili[[#This Row],[Unit 1]]</f>
        <v>0</v>
      </c>
      <c r="N25" s="61">
        <f ca="1">TblMili[[#This Row],[Unit 2]]</f>
        <v>0</v>
      </c>
      <c r="O25" s="61">
        <f ca="1">TblMili[[#This Row],[Unit 3]]</f>
        <v>0</v>
      </c>
      <c r="P25" s="61">
        <f ca="1">TblMili[[#This Row],[Unit 4]]</f>
        <v>0</v>
      </c>
      <c r="Q25" s="61">
        <f ca="1">TblMili[[#This Row],[Spies]]</f>
        <v>0</v>
      </c>
      <c r="R25" s="61">
        <f ca="1">TblMili[[#This Row],[Wizards]]</f>
        <v>0</v>
      </c>
      <c r="S25" s="61">
        <f ca="1">TblMili[[#This Row],[Archmages]]</f>
        <v>0</v>
      </c>
      <c r="T25" s="142"/>
      <c r="U25" s="94">
        <f ca="1">ROUND(TblPop[[#This Row],[Raw max]]*(1+OFFSET(TblPop[[#This Row],[Max pop]],-1,0)),0)+MIN(TblPop[[#This Row],[Military]]-TblPop[[#This Row],[Draftees]]-SUM(TblMili[[#This Row],[Train Unit 1]:[Train AM]]),(barracks_size + tech_8_3*TblTech[[#This Row],[8-3]])*TblConstr[[#This Row],[Tot Bar]])</f>
        <v>769</v>
      </c>
      <c r="V2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5" s="94">
        <f ca="1">MAX(-5%*TblPop[[#This Row],[Peasants]]-TblPop[[#This Row],[Draft Growth]],MIN(OFFSET(TblPop[[#This Row],[Net max]],1,0)-TblPop[[#This Row],[Peasants]]-TblPop[[#This Row],[Military]]-TblPop[[#This Row],[Draft Growth]],TblPop[[#This Row],[Modded Birth]]-TblPop[[#This Row],[Draft Growth]]))</f>
        <v>-4</v>
      </c>
      <c r="X25" s="94">
        <f ca="1">ROUND(TblPop[[#This Row],[Raw Birth]]*(1+TblPop[[#This Row],[Growth]]),0)</f>
        <v>11</v>
      </c>
      <c r="Y25" s="94">
        <f ca="1">(TblPop[[#This Row],[Peasants]]-TblPop[[#This Row],[Draft Growth]])*raw_pop_growth</f>
        <v>11.309999999999999</v>
      </c>
      <c r="Z25" s="94">
        <f ca="1">ROUND(IF(TblPop[[#This Row],[Military%]]&lt;TblMili[[#This Row],[Draftrate]],ROUND(TblPop[[#This Row],[Peasants]]*Constants!$B$55,0), 0) * IF(AND(TblMagic[[#This Row],[Active DnD]]&lt;=12,TblMagic[[#This Row],[Active DnD]]&gt;6),1.5,1),0)</f>
        <v>4</v>
      </c>
      <c r="AA25" s="142"/>
      <c r="AB25" s="143">
        <f ca="1">Overview!$I$17 + IF(Magic!AF25&gt;0,Constants!$F$78) + ROUND(6*(Construction!BM26+Construction!CK25)/IF(Explore!S26&gt;0,Construction!F26-20,Construction!F26),4) + tech_6_5_2*Techs!BJ25 + tech_8_4*Techs!BT25</f>
        <v>0</v>
      </c>
      <c r="AC25" s="139">
        <f ca="1">(Overview!$I$16 + Imps!Z25+ tech_2_5*Techs!AB25 + tech_3_6*Techs!AM25 + tech_6_1*Techs!BJ25 + tech_6_5*Techs!BF25 + tech_7_3_2*Techs!BN25) * (1 + Production!O25/100*prestige_pop_multiplier) + Production!O25/100*prestige_pop_multiplier</f>
        <v>2.5000000000000001E-2</v>
      </c>
    </row>
    <row r="26" spans="1:29" x14ac:dyDescent="0.2">
      <c r="A26" s="137">
        <f>TblRezone[[#This Row],[Hour]]</f>
        <v>23</v>
      </c>
      <c r="B26" s="138">
        <f ca="1">TblImps[[#This Row],[Time]]</f>
        <v>46320.916666666613</v>
      </c>
      <c r="C26" s="94">
        <f ca="1">OFFSET(TblPop[[#This Row],[Peasants]],-1,0)+OFFSET(TblPop[[#This Row],[Net Peasant]],-1,0)+TblMili[[#This Row],[Release Draft]]</f>
        <v>377</v>
      </c>
      <c r="D26" s="94">
        <f ca="1">TblMili[[#This Row],[Military]]</f>
        <v>392</v>
      </c>
      <c r="E26" s="94">
        <f ca="1">TblMili[[#This Row],[Draftees]]</f>
        <v>392</v>
      </c>
      <c r="F26" s="94">
        <f ca="1">TblPop[[#This Row],[Peasants]]+TblPop[[#This Row],[Military]]</f>
        <v>769</v>
      </c>
      <c r="G26" s="139">
        <f ca="1">TblPop[[#This Row],[Military]]/TblPop[[#This Row],[Total]]</f>
        <v>0.50975292587776333</v>
      </c>
      <c r="H26" s="140">
        <f ca="1">MIN(TblPop[[#This Row],[Peasants]],TblPop[[#This Row],[Jobs]])</f>
        <v>377</v>
      </c>
      <c r="I26" s="139">
        <f ca="1">MIN(OFFSET(TblPop[[#This Row],[Jobs]],1,0)/TblPop[[#This Row],[Peasants]],1)</f>
        <v>1</v>
      </c>
      <c r="J26" s="140">
        <f ca="1">SUM(TblConstr[[#This Row],[Tot Alc]:[Tot GT]],TblConstr[[#This Row],[Tot Shr]:[Tot Doc]],TblConstr[[#This Row],[Dest Alc]:[Dest GT]],TblConstr[[#This Row],[Dest Shr]:[Dest Doc]])*building_employment + TblConstr[[#This Row],[Tot Fac]]*bonus_jobs_facts</f>
        <v>1000</v>
      </c>
      <c r="K26" s="141"/>
      <c r="L26" s="61">
        <f ca="1">TblPop[[#This Row],[Draftees]]</f>
        <v>392</v>
      </c>
      <c r="M26" s="61">
        <f ca="1">TblMili[[#This Row],[Unit 1]]</f>
        <v>0</v>
      </c>
      <c r="N26" s="61">
        <f ca="1">TblMili[[#This Row],[Unit 2]]</f>
        <v>0</v>
      </c>
      <c r="O26" s="61">
        <f ca="1">TblMili[[#This Row],[Unit 3]]</f>
        <v>0</v>
      </c>
      <c r="P26" s="61">
        <f ca="1">TblMili[[#This Row],[Unit 4]]</f>
        <v>0</v>
      </c>
      <c r="Q26" s="61">
        <f ca="1">TblMili[[#This Row],[Spies]]</f>
        <v>0</v>
      </c>
      <c r="R26" s="61">
        <f ca="1">TblMili[[#This Row],[Wizards]]</f>
        <v>0</v>
      </c>
      <c r="S26" s="61">
        <f ca="1">TblMili[[#This Row],[Archmages]]</f>
        <v>0</v>
      </c>
      <c r="T26" s="142"/>
      <c r="U26" s="94">
        <f ca="1">ROUND(TblPop[[#This Row],[Raw max]]*(1+OFFSET(TblPop[[#This Row],[Max pop]],-1,0)),0)+MIN(TblPop[[#This Row],[Military]]-TblPop[[#This Row],[Draftees]]-SUM(TblMili[[#This Row],[Train Unit 1]:[Train AM]]),(barracks_size + tech_8_3*TblTech[[#This Row],[8-3]])*TblConstr[[#This Row],[Tot Bar]])</f>
        <v>769</v>
      </c>
      <c r="V2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6" s="94">
        <f ca="1">MAX(-5%*TblPop[[#This Row],[Peasants]]-TblPop[[#This Row],[Draft Growth]],MIN(OFFSET(TblPop[[#This Row],[Net max]],1,0)-TblPop[[#This Row],[Peasants]]-TblPop[[#This Row],[Military]]-TblPop[[#This Row],[Draft Growth]],TblPop[[#This Row],[Modded Birth]]-TblPop[[#This Row],[Draft Growth]]))</f>
        <v>-4</v>
      </c>
      <c r="X26" s="94">
        <f ca="1">ROUND(TblPop[[#This Row],[Raw Birth]]*(1+TblPop[[#This Row],[Growth]]),0)</f>
        <v>11</v>
      </c>
      <c r="Y26" s="94">
        <f ca="1">(TblPop[[#This Row],[Peasants]]-TblPop[[#This Row],[Draft Growth]])*raw_pop_growth</f>
        <v>11.19</v>
      </c>
      <c r="Z26" s="94">
        <f ca="1">ROUND(IF(TblPop[[#This Row],[Military%]]&lt;TblMili[[#This Row],[Draftrate]],ROUND(TblPop[[#This Row],[Peasants]]*Constants!$B$55,0), 0) * IF(AND(TblMagic[[#This Row],[Active DnD]]&lt;=12,TblMagic[[#This Row],[Active DnD]]&gt;6),1.5,1),0)</f>
        <v>4</v>
      </c>
      <c r="AA26" s="142"/>
      <c r="AB26" s="143">
        <f ca="1">Overview!$I$17 + IF(Magic!AF26&gt;0,Constants!$F$78) + ROUND(6*(Construction!BM27+Construction!CK26)/IF(Explore!S27&gt;0,Construction!F27-20,Construction!F27),4) + tech_6_5_2*Techs!BJ26 + tech_8_4*Techs!BT26</f>
        <v>0</v>
      </c>
      <c r="AC26" s="139">
        <f ca="1">(Overview!$I$16 + Imps!Z26+ tech_2_5*Techs!AB26 + tech_3_6*Techs!AM26 + tech_6_1*Techs!BJ26 + tech_6_5*Techs!BF26 + tech_7_3_2*Techs!BN26) * (1 + Production!O26/100*prestige_pop_multiplier) + Production!O26/100*prestige_pop_multiplier</f>
        <v>2.5000000000000001E-2</v>
      </c>
    </row>
    <row r="27" spans="1:29" x14ac:dyDescent="0.2">
      <c r="A27" s="137">
        <f>TblRezone[[#This Row],[Hour]]</f>
        <v>24</v>
      </c>
      <c r="B27" s="138">
        <f ca="1">TblImps[[#This Row],[Time]]</f>
        <v>46320.958333333278</v>
      </c>
      <c r="C27" s="94">
        <f ca="1">OFFSET(TblPop[[#This Row],[Peasants]],-1,0)+OFFSET(TblPop[[#This Row],[Net Peasant]],-1,0)+TblMili[[#This Row],[Release Draft]]</f>
        <v>373</v>
      </c>
      <c r="D27" s="94">
        <f ca="1">TblMili[[#This Row],[Military]]</f>
        <v>396</v>
      </c>
      <c r="E27" s="94">
        <f ca="1">TblMili[[#This Row],[Draftees]]</f>
        <v>396</v>
      </c>
      <c r="F27" s="94">
        <f ca="1">TblPop[[#This Row],[Peasants]]+TblPop[[#This Row],[Military]]</f>
        <v>769</v>
      </c>
      <c r="G27" s="139">
        <f ca="1">TblPop[[#This Row],[Military]]/TblPop[[#This Row],[Total]]</f>
        <v>0.51495448634590379</v>
      </c>
      <c r="H27" s="140">
        <f ca="1">MIN(TblPop[[#This Row],[Peasants]],TblPop[[#This Row],[Jobs]])</f>
        <v>373</v>
      </c>
      <c r="I27" s="139">
        <f ca="1">MIN(OFFSET(TblPop[[#This Row],[Jobs]],1,0)/TblPop[[#This Row],[Peasants]],1)</f>
        <v>1</v>
      </c>
      <c r="J27" s="140">
        <f ca="1">SUM(TblConstr[[#This Row],[Tot Alc]:[Tot GT]],TblConstr[[#This Row],[Tot Shr]:[Tot Doc]],TblConstr[[#This Row],[Dest Alc]:[Dest GT]],TblConstr[[#This Row],[Dest Shr]:[Dest Doc]])*building_employment + TblConstr[[#This Row],[Tot Fac]]*bonus_jobs_facts</f>
        <v>1000</v>
      </c>
      <c r="K27" s="141"/>
      <c r="L27" s="61">
        <f ca="1">TblPop[[#This Row],[Draftees]]</f>
        <v>396</v>
      </c>
      <c r="M27" s="61">
        <f ca="1">TblMili[[#This Row],[Unit 1]]</f>
        <v>0</v>
      </c>
      <c r="N27" s="61">
        <f ca="1">TblMili[[#This Row],[Unit 2]]</f>
        <v>0</v>
      </c>
      <c r="O27" s="61">
        <f ca="1">TblMili[[#This Row],[Unit 3]]</f>
        <v>0</v>
      </c>
      <c r="P27" s="61">
        <f ca="1">TblMili[[#This Row],[Unit 4]]</f>
        <v>0</v>
      </c>
      <c r="Q27" s="61">
        <f ca="1">TblMili[[#This Row],[Spies]]</f>
        <v>0</v>
      </c>
      <c r="R27" s="61">
        <f ca="1">TblMili[[#This Row],[Wizards]]</f>
        <v>0</v>
      </c>
      <c r="S27" s="61">
        <f ca="1">TblMili[[#This Row],[Archmages]]</f>
        <v>0</v>
      </c>
      <c r="T27" s="142"/>
      <c r="U27" s="94">
        <f ca="1">ROUND(TblPop[[#This Row],[Raw max]]*(1+OFFSET(TblPop[[#This Row],[Max pop]],-1,0)),0)+MIN(TblPop[[#This Row],[Military]]-TblPop[[#This Row],[Draftees]]-SUM(TblMili[[#This Row],[Train Unit 1]:[Train AM]]),(barracks_size + tech_8_3*TblTech[[#This Row],[8-3]])*TblConstr[[#This Row],[Tot Bar]])</f>
        <v>769</v>
      </c>
      <c r="V2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7" s="94">
        <f ca="1">MAX(-5%*TblPop[[#This Row],[Peasants]]-TblPop[[#This Row],[Draft Growth]],MIN(OFFSET(TblPop[[#This Row],[Net max]],1,0)-TblPop[[#This Row],[Peasants]]-TblPop[[#This Row],[Military]]-TblPop[[#This Row],[Draft Growth]],TblPop[[#This Row],[Modded Birth]]-TblPop[[#This Row],[Draft Growth]]))</f>
        <v>-4</v>
      </c>
      <c r="X27" s="94">
        <f ca="1">ROUND(TblPop[[#This Row],[Raw Birth]]*(1+TblPop[[#This Row],[Growth]]),0)</f>
        <v>11</v>
      </c>
      <c r="Y27" s="94">
        <f ca="1">(TblPop[[#This Row],[Peasants]]-TblPop[[#This Row],[Draft Growth]])*raw_pop_growth</f>
        <v>11.07</v>
      </c>
      <c r="Z27" s="94">
        <f ca="1">ROUND(IF(TblPop[[#This Row],[Military%]]&lt;TblMili[[#This Row],[Draftrate]],ROUND(TblPop[[#This Row],[Peasants]]*Constants!$B$55,0), 0) * IF(AND(TblMagic[[#This Row],[Active DnD]]&lt;=12,TblMagic[[#This Row],[Active DnD]]&gt;6),1.5,1),0)</f>
        <v>4</v>
      </c>
      <c r="AA27" s="142"/>
      <c r="AB27" s="143">
        <f ca="1">Overview!$I$17 + IF(Magic!AF27&gt;0,Constants!$F$78) + ROUND(6*(Construction!BM28+Construction!CK27)/IF(Explore!S28&gt;0,Construction!F28-20,Construction!F28),4) + tech_6_5_2*Techs!BJ27 + tech_8_4*Techs!BT27</f>
        <v>0</v>
      </c>
      <c r="AC27" s="139">
        <f ca="1">(Overview!$I$16 + Imps!Z27+ tech_2_5*Techs!AB27 + tech_3_6*Techs!AM27 + tech_6_1*Techs!BJ27 + tech_6_5*Techs!BF27 + tech_7_3_2*Techs!BN27) * (1 + Production!O27/100*prestige_pop_multiplier) + Production!O27/100*prestige_pop_multiplier</f>
        <v>2.5000000000000001E-2</v>
      </c>
    </row>
    <row r="28" spans="1:29" x14ac:dyDescent="0.2">
      <c r="A28" s="137">
        <f>TblRezone[[#This Row],[Hour]]</f>
        <v>25</v>
      </c>
      <c r="B28" s="138">
        <f ca="1">TblImps[[#This Row],[Time]]</f>
        <v>46320.999999999942</v>
      </c>
      <c r="C28" s="94">
        <f ca="1">OFFSET(TblPop[[#This Row],[Peasants]],-1,0)+OFFSET(TblPop[[#This Row],[Net Peasant]],-1,0)+TblMili[[#This Row],[Release Draft]]</f>
        <v>369</v>
      </c>
      <c r="D28" s="94">
        <f ca="1">TblMili[[#This Row],[Military]]</f>
        <v>400</v>
      </c>
      <c r="E28" s="94">
        <f ca="1">TblMili[[#This Row],[Draftees]]</f>
        <v>400</v>
      </c>
      <c r="F28" s="94">
        <f ca="1">TblPop[[#This Row],[Peasants]]+TblPop[[#This Row],[Military]]</f>
        <v>769</v>
      </c>
      <c r="G28" s="139">
        <f ca="1">TblPop[[#This Row],[Military]]/TblPop[[#This Row],[Total]]</f>
        <v>0.52015604681404426</v>
      </c>
      <c r="H28" s="140">
        <f ca="1">MIN(TblPop[[#This Row],[Peasants]],TblPop[[#This Row],[Jobs]])</f>
        <v>369</v>
      </c>
      <c r="I28" s="139">
        <f ca="1">MIN(OFFSET(TblPop[[#This Row],[Jobs]],1,0)/TblPop[[#This Row],[Peasants]],1)</f>
        <v>1</v>
      </c>
      <c r="J28" s="140">
        <f ca="1">SUM(TblConstr[[#This Row],[Tot Alc]:[Tot GT]],TblConstr[[#This Row],[Tot Shr]:[Tot Doc]],TblConstr[[#This Row],[Dest Alc]:[Dest GT]],TblConstr[[#This Row],[Dest Shr]:[Dest Doc]])*building_employment + TblConstr[[#This Row],[Tot Fac]]*bonus_jobs_facts</f>
        <v>1000</v>
      </c>
      <c r="K28" s="141"/>
      <c r="L28" s="61">
        <f ca="1">TblPop[[#This Row],[Draftees]]</f>
        <v>400</v>
      </c>
      <c r="M28" s="61">
        <f ca="1">TblMili[[#This Row],[Unit 1]]</f>
        <v>0</v>
      </c>
      <c r="N28" s="61">
        <f ca="1">TblMili[[#This Row],[Unit 2]]</f>
        <v>0</v>
      </c>
      <c r="O28" s="61">
        <f ca="1">TblMili[[#This Row],[Unit 3]]</f>
        <v>0</v>
      </c>
      <c r="P28" s="61">
        <f ca="1">TblMili[[#This Row],[Unit 4]]</f>
        <v>0</v>
      </c>
      <c r="Q28" s="61">
        <f ca="1">TblMili[[#This Row],[Spies]]</f>
        <v>0</v>
      </c>
      <c r="R28" s="61">
        <f ca="1">TblMili[[#This Row],[Wizards]]</f>
        <v>0</v>
      </c>
      <c r="S28" s="61">
        <f ca="1">TblMili[[#This Row],[Archmages]]</f>
        <v>0</v>
      </c>
      <c r="T28" s="142"/>
      <c r="U28" s="94">
        <f ca="1">ROUND(TblPop[[#This Row],[Raw max]]*(1+OFFSET(TblPop[[#This Row],[Max pop]],-1,0)),0)+MIN(TblPop[[#This Row],[Military]]-TblPop[[#This Row],[Draftees]]-SUM(TblMili[[#This Row],[Train Unit 1]:[Train AM]]),(barracks_size + tech_8_3*TblTech[[#This Row],[8-3]])*TblConstr[[#This Row],[Tot Bar]])</f>
        <v>769</v>
      </c>
      <c r="V2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8" s="94">
        <f ca="1">MAX(-5%*TblPop[[#This Row],[Peasants]]-TblPop[[#This Row],[Draft Growth]],MIN(OFFSET(TblPop[[#This Row],[Net max]],1,0)-TblPop[[#This Row],[Peasants]]-TblPop[[#This Row],[Military]]-TblPop[[#This Row],[Draft Growth]],TblPop[[#This Row],[Modded Birth]]-TblPop[[#This Row],[Draft Growth]]))</f>
        <v>-4</v>
      </c>
      <c r="X28" s="94">
        <f ca="1">ROUND(TblPop[[#This Row],[Raw Birth]]*(1+TblPop[[#This Row],[Growth]]),0)</f>
        <v>11</v>
      </c>
      <c r="Y28" s="94">
        <f ca="1">(TblPop[[#This Row],[Peasants]]-TblPop[[#This Row],[Draft Growth]])*raw_pop_growth</f>
        <v>10.95</v>
      </c>
      <c r="Z28" s="94">
        <f ca="1">ROUND(IF(TblPop[[#This Row],[Military%]]&lt;TblMili[[#This Row],[Draftrate]],ROUND(TblPop[[#This Row],[Peasants]]*Constants!$B$55,0), 0) * IF(AND(TblMagic[[#This Row],[Active DnD]]&lt;=12,TblMagic[[#This Row],[Active DnD]]&gt;6),1.5,1),0)</f>
        <v>4</v>
      </c>
      <c r="AA28" s="142"/>
      <c r="AB28" s="143">
        <f ca="1">Overview!$I$17 + IF(Magic!AF28&gt;0,Constants!$F$78) + ROUND(6*(Construction!BM29+Construction!CK28)/IF(Explore!S29&gt;0,Construction!F29-20,Construction!F29),4) + tech_6_5_2*Techs!BJ28 + tech_8_4*Techs!BT28</f>
        <v>0</v>
      </c>
      <c r="AC28" s="139">
        <f ca="1">(Overview!$I$16 + Imps!Z28+ tech_2_5*Techs!AB28 + tech_3_6*Techs!AM28 + tech_6_1*Techs!BJ28 + tech_6_5*Techs!BF28 + tech_7_3_2*Techs!BN28) * (1 + Production!O28/100*prestige_pop_multiplier) + Production!O28/100*prestige_pop_multiplier</f>
        <v>2.5000000000000001E-2</v>
      </c>
    </row>
    <row r="29" spans="1:29" x14ac:dyDescent="0.2">
      <c r="A29" s="137">
        <f>TblRezone[[#This Row],[Hour]]</f>
        <v>26</v>
      </c>
      <c r="B29" s="138">
        <f ca="1">TblImps[[#This Row],[Time]]</f>
        <v>46321.041666666606</v>
      </c>
      <c r="C29" s="94">
        <f ca="1">OFFSET(TblPop[[#This Row],[Peasants]],-1,0)+OFFSET(TblPop[[#This Row],[Net Peasant]],-1,0)+TblMili[[#This Row],[Release Draft]]</f>
        <v>365</v>
      </c>
      <c r="D29" s="94">
        <f ca="1">TblMili[[#This Row],[Military]]</f>
        <v>404</v>
      </c>
      <c r="E29" s="94">
        <f ca="1">TblMili[[#This Row],[Draftees]]</f>
        <v>404</v>
      </c>
      <c r="F29" s="94">
        <f ca="1">TblPop[[#This Row],[Peasants]]+TblPop[[#This Row],[Military]]</f>
        <v>769</v>
      </c>
      <c r="G29" s="139">
        <f ca="1">TblPop[[#This Row],[Military]]/TblPop[[#This Row],[Total]]</f>
        <v>0.52535760728218461</v>
      </c>
      <c r="H29" s="140">
        <f ca="1">MIN(TblPop[[#This Row],[Peasants]],TblPop[[#This Row],[Jobs]])</f>
        <v>365</v>
      </c>
      <c r="I29" s="139">
        <f ca="1">MIN(OFFSET(TblPop[[#This Row],[Jobs]],1,0)/TblPop[[#This Row],[Peasants]],1)</f>
        <v>1</v>
      </c>
      <c r="J29" s="140">
        <f ca="1">SUM(TblConstr[[#This Row],[Tot Alc]:[Tot GT]],TblConstr[[#This Row],[Tot Shr]:[Tot Doc]],TblConstr[[#This Row],[Dest Alc]:[Dest GT]],TblConstr[[#This Row],[Dest Shr]:[Dest Doc]])*building_employment + TblConstr[[#This Row],[Tot Fac]]*bonus_jobs_facts</f>
        <v>1000</v>
      </c>
      <c r="K29" s="141"/>
      <c r="L29" s="61">
        <f ca="1">TblPop[[#This Row],[Draftees]]</f>
        <v>404</v>
      </c>
      <c r="M29" s="61">
        <f ca="1">TblMili[[#This Row],[Unit 1]]</f>
        <v>0</v>
      </c>
      <c r="N29" s="61">
        <f ca="1">TblMili[[#This Row],[Unit 2]]</f>
        <v>0</v>
      </c>
      <c r="O29" s="61">
        <f ca="1">TblMili[[#This Row],[Unit 3]]</f>
        <v>0</v>
      </c>
      <c r="P29" s="61">
        <f ca="1">TblMili[[#This Row],[Unit 4]]</f>
        <v>0</v>
      </c>
      <c r="Q29" s="61">
        <f ca="1">TblMili[[#This Row],[Spies]]</f>
        <v>0</v>
      </c>
      <c r="R29" s="61">
        <f ca="1">TblMili[[#This Row],[Wizards]]</f>
        <v>0</v>
      </c>
      <c r="S29" s="61">
        <f ca="1">TblMili[[#This Row],[Archmages]]</f>
        <v>0</v>
      </c>
      <c r="T29" s="142"/>
      <c r="U29" s="94">
        <f ca="1">ROUND(TblPop[[#This Row],[Raw max]]*(1+OFFSET(TblPop[[#This Row],[Max pop]],-1,0)),0)+MIN(TblPop[[#This Row],[Military]]-TblPop[[#This Row],[Draftees]]-SUM(TblMili[[#This Row],[Train Unit 1]:[Train AM]]),(barracks_size + tech_8_3*TblTech[[#This Row],[8-3]])*TblConstr[[#This Row],[Tot Bar]])</f>
        <v>769</v>
      </c>
      <c r="V2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9" s="94">
        <f ca="1">MAX(-5%*TblPop[[#This Row],[Peasants]]-TblPop[[#This Row],[Draft Growth]],MIN(OFFSET(TblPop[[#This Row],[Net max]],1,0)-TblPop[[#This Row],[Peasants]]-TblPop[[#This Row],[Military]]-TblPop[[#This Row],[Draft Growth]],TblPop[[#This Row],[Modded Birth]]-TblPop[[#This Row],[Draft Growth]]))</f>
        <v>-4</v>
      </c>
      <c r="X29" s="94">
        <f ca="1">ROUND(TblPop[[#This Row],[Raw Birth]]*(1+TblPop[[#This Row],[Growth]]),0)</f>
        <v>11</v>
      </c>
      <c r="Y29" s="94">
        <f ca="1">(TblPop[[#This Row],[Peasants]]-TblPop[[#This Row],[Draft Growth]])*raw_pop_growth</f>
        <v>10.83</v>
      </c>
      <c r="Z29" s="94">
        <f ca="1">ROUND(IF(TblPop[[#This Row],[Military%]]&lt;TblMili[[#This Row],[Draftrate]],ROUND(TblPop[[#This Row],[Peasants]]*Constants!$B$55,0), 0) * IF(AND(TblMagic[[#This Row],[Active DnD]]&lt;=12,TblMagic[[#This Row],[Active DnD]]&gt;6),1.5,1),0)</f>
        <v>4</v>
      </c>
      <c r="AA29" s="142"/>
      <c r="AB29" s="143">
        <f ca="1">Overview!$I$17 + IF(Magic!AF29&gt;0,Constants!$F$78) + ROUND(6*(Construction!BM30+Construction!CK29)/IF(Explore!S30&gt;0,Construction!F30-20,Construction!F30),4) + tech_6_5_2*Techs!BJ29 + tech_8_4*Techs!BT29</f>
        <v>0</v>
      </c>
      <c r="AC29" s="139">
        <f ca="1">(Overview!$I$16 + Imps!Z29+ tech_2_5*Techs!AB29 + tech_3_6*Techs!AM29 + tech_6_1*Techs!BJ29 + tech_6_5*Techs!BF29 + tech_7_3_2*Techs!BN29) * (1 + Production!O29/100*prestige_pop_multiplier) + Production!O29/100*prestige_pop_multiplier</f>
        <v>2.5000000000000001E-2</v>
      </c>
    </row>
    <row r="30" spans="1:29" x14ac:dyDescent="0.2">
      <c r="A30" s="137">
        <f>TblRezone[[#This Row],[Hour]]</f>
        <v>27</v>
      </c>
      <c r="B30" s="138">
        <f ca="1">TblImps[[#This Row],[Time]]</f>
        <v>46321.08333333327</v>
      </c>
      <c r="C30" s="94">
        <f ca="1">OFFSET(TblPop[[#This Row],[Peasants]],-1,0)+OFFSET(TblPop[[#This Row],[Net Peasant]],-1,0)+TblMili[[#This Row],[Release Draft]]</f>
        <v>361</v>
      </c>
      <c r="D30" s="94">
        <f ca="1">TblMili[[#This Row],[Military]]</f>
        <v>408</v>
      </c>
      <c r="E30" s="94">
        <f ca="1">TblMili[[#This Row],[Draftees]]</f>
        <v>408</v>
      </c>
      <c r="F30" s="94">
        <f ca="1">TblPop[[#This Row],[Peasants]]+TblPop[[#This Row],[Military]]</f>
        <v>769</v>
      </c>
      <c r="G30" s="139">
        <f ca="1">TblPop[[#This Row],[Military]]/TblPop[[#This Row],[Total]]</f>
        <v>0.53055916775032508</v>
      </c>
      <c r="H30" s="140">
        <f ca="1">MIN(TblPop[[#This Row],[Peasants]],TblPop[[#This Row],[Jobs]])</f>
        <v>361</v>
      </c>
      <c r="I30" s="139">
        <f ca="1">MIN(OFFSET(TblPop[[#This Row],[Jobs]],1,0)/TblPop[[#This Row],[Peasants]],1)</f>
        <v>1</v>
      </c>
      <c r="J30" s="140">
        <f ca="1">SUM(TblConstr[[#This Row],[Tot Alc]:[Tot GT]],TblConstr[[#This Row],[Tot Shr]:[Tot Doc]],TblConstr[[#This Row],[Dest Alc]:[Dest GT]],TblConstr[[#This Row],[Dest Shr]:[Dest Doc]])*building_employment + TblConstr[[#This Row],[Tot Fac]]*bonus_jobs_facts</f>
        <v>1000</v>
      </c>
      <c r="K30" s="141"/>
      <c r="L30" s="61">
        <f ca="1">TblPop[[#This Row],[Draftees]]</f>
        <v>408</v>
      </c>
      <c r="M30" s="61">
        <f ca="1">TblMili[[#This Row],[Unit 1]]</f>
        <v>0</v>
      </c>
      <c r="N30" s="61">
        <f ca="1">TblMili[[#This Row],[Unit 2]]</f>
        <v>0</v>
      </c>
      <c r="O30" s="61">
        <f ca="1">TblMili[[#This Row],[Unit 3]]</f>
        <v>0</v>
      </c>
      <c r="P30" s="61">
        <f ca="1">TblMili[[#This Row],[Unit 4]]</f>
        <v>0</v>
      </c>
      <c r="Q30" s="61">
        <f ca="1">TblMili[[#This Row],[Spies]]</f>
        <v>0</v>
      </c>
      <c r="R30" s="61">
        <f ca="1">TblMili[[#This Row],[Wizards]]</f>
        <v>0</v>
      </c>
      <c r="S30" s="61">
        <f ca="1">TblMili[[#This Row],[Archmages]]</f>
        <v>0</v>
      </c>
      <c r="T30" s="142"/>
      <c r="U30" s="94">
        <f ca="1">ROUND(TblPop[[#This Row],[Raw max]]*(1+OFFSET(TblPop[[#This Row],[Max pop]],-1,0)),0)+MIN(TblPop[[#This Row],[Military]]-TblPop[[#This Row],[Draftees]]-SUM(TblMili[[#This Row],[Train Unit 1]:[Train AM]]),(barracks_size + tech_8_3*TblTech[[#This Row],[8-3]])*TblConstr[[#This Row],[Tot Bar]])</f>
        <v>769</v>
      </c>
      <c r="V3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0" s="94">
        <f ca="1">MAX(-5%*TblPop[[#This Row],[Peasants]]-TblPop[[#This Row],[Draft Growth]],MIN(OFFSET(TblPop[[#This Row],[Net max]],1,0)-TblPop[[#This Row],[Peasants]]-TblPop[[#This Row],[Military]]-TblPop[[#This Row],[Draft Growth]],TblPop[[#This Row],[Modded Birth]]-TblPop[[#This Row],[Draft Growth]]))</f>
        <v>-4</v>
      </c>
      <c r="X30" s="94">
        <f ca="1">ROUND(TblPop[[#This Row],[Raw Birth]]*(1+TblPop[[#This Row],[Growth]]),0)</f>
        <v>11</v>
      </c>
      <c r="Y30" s="94">
        <f ca="1">(TblPop[[#This Row],[Peasants]]-TblPop[[#This Row],[Draft Growth]])*raw_pop_growth</f>
        <v>10.709999999999999</v>
      </c>
      <c r="Z30" s="94">
        <f ca="1">ROUND(IF(TblPop[[#This Row],[Military%]]&lt;TblMili[[#This Row],[Draftrate]],ROUND(TblPop[[#This Row],[Peasants]]*Constants!$B$55,0), 0) * IF(AND(TblMagic[[#This Row],[Active DnD]]&lt;=12,TblMagic[[#This Row],[Active DnD]]&gt;6),1.5,1),0)</f>
        <v>4</v>
      </c>
      <c r="AA30" s="142"/>
      <c r="AB30" s="143">
        <f ca="1">Overview!$I$17 + IF(Magic!AF30&gt;0,Constants!$F$78) + ROUND(6*(Construction!BM31+Construction!CK30)/IF(Explore!S31&gt;0,Construction!F31-20,Construction!F31),4) + tech_6_5_2*Techs!BJ30 + tech_8_4*Techs!BT30</f>
        <v>0</v>
      </c>
      <c r="AC30" s="139">
        <f ca="1">(Overview!$I$16 + Imps!Z30+ tech_2_5*Techs!AB30 + tech_3_6*Techs!AM30 + tech_6_1*Techs!BJ30 + tech_6_5*Techs!BF30 + tech_7_3_2*Techs!BN30) * (1 + Production!O30/100*prestige_pop_multiplier) + Production!O30/100*prestige_pop_multiplier</f>
        <v>2.5000000000000001E-2</v>
      </c>
    </row>
    <row r="31" spans="1:29" x14ac:dyDescent="0.2">
      <c r="A31" s="137">
        <f>TblRezone[[#This Row],[Hour]]</f>
        <v>28</v>
      </c>
      <c r="B31" s="138">
        <f ca="1">TblImps[[#This Row],[Time]]</f>
        <v>46321.124999999935</v>
      </c>
      <c r="C31" s="94">
        <f ca="1">OFFSET(TblPop[[#This Row],[Peasants]],-1,0)+OFFSET(TblPop[[#This Row],[Net Peasant]],-1,0)+TblMili[[#This Row],[Release Draft]]</f>
        <v>357</v>
      </c>
      <c r="D31" s="94">
        <f ca="1">TblMili[[#This Row],[Military]]</f>
        <v>412</v>
      </c>
      <c r="E31" s="94">
        <f ca="1">TblMili[[#This Row],[Draftees]]</f>
        <v>412</v>
      </c>
      <c r="F31" s="94">
        <f ca="1">TblPop[[#This Row],[Peasants]]+TblPop[[#This Row],[Military]]</f>
        <v>769</v>
      </c>
      <c r="G31" s="139">
        <f ca="1">TblPop[[#This Row],[Military]]/TblPop[[#This Row],[Total]]</f>
        <v>0.53576072821846554</v>
      </c>
      <c r="H31" s="140">
        <f ca="1">MIN(TblPop[[#This Row],[Peasants]],TblPop[[#This Row],[Jobs]])</f>
        <v>357</v>
      </c>
      <c r="I31" s="139">
        <f ca="1">MIN(OFFSET(TblPop[[#This Row],[Jobs]],1,0)/TblPop[[#This Row],[Peasants]],1)</f>
        <v>1</v>
      </c>
      <c r="J31" s="140">
        <f ca="1">SUM(TblConstr[[#This Row],[Tot Alc]:[Tot GT]],TblConstr[[#This Row],[Tot Shr]:[Tot Doc]],TblConstr[[#This Row],[Dest Alc]:[Dest GT]],TblConstr[[#This Row],[Dest Shr]:[Dest Doc]])*building_employment + TblConstr[[#This Row],[Tot Fac]]*bonus_jobs_facts</f>
        <v>1000</v>
      </c>
      <c r="K31" s="141"/>
      <c r="L31" s="61">
        <f ca="1">TblPop[[#This Row],[Draftees]]</f>
        <v>412</v>
      </c>
      <c r="M31" s="61">
        <f ca="1">TblMili[[#This Row],[Unit 1]]</f>
        <v>0</v>
      </c>
      <c r="N31" s="61">
        <f ca="1">TblMili[[#This Row],[Unit 2]]</f>
        <v>0</v>
      </c>
      <c r="O31" s="61">
        <f ca="1">TblMili[[#This Row],[Unit 3]]</f>
        <v>0</v>
      </c>
      <c r="P31" s="61">
        <f ca="1">TblMili[[#This Row],[Unit 4]]</f>
        <v>0</v>
      </c>
      <c r="Q31" s="61">
        <f ca="1">TblMili[[#This Row],[Spies]]</f>
        <v>0</v>
      </c>
      <c r="R31" s="61">
        <f ca="1">TblMili[[#This Row],[Wizards]]</f>
        <v>0</v>
      </c>
      <c r="S31" s="61">
        <f ca="1">TblMili[[#This Row],[Archmages]]</f>
        <v>0</v>
      </c>
      <c r="T31" s="142"/>
      <c r="U31" s="94">
        <f ca="1">ROUND(TblPop[[#This Row],[Raw max]]*(1+OFFSET(TblPop[[#This Row],[Max pop]],-1,0)),0)+MIN(TblPop[[#This Row],[Military]]-TblPop[[#This Row],[Draftees]]-SUM(TblMili[[#This Row],[Train Unit 1]:[Train AM]]),(barracks_size + tech_8_3*TblTech[[#This Row],[8-3]])*TblConstr[[#This Row],[Tot Bar]])</f>
        <v>769</v>
      </c>
      <c r="V3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1" s="94">
        <f ca="1">MAX(-5%*TblPop[[#This Row],[Peasants]]-TblPop[[#This Row],[Draft Growth]],MIN(OFFSET(TblPop[[#This Row],[Net max]],1,0)-TblPop[[#This Row],[Peasants]]-TblPop[[#This Row],[Military]]-TblPop[[#This Row],[Draft Growth]],TblPop[[#This Row],[Modded Birth]]-TblPop[[#This Row],[Draft Growth]]))</f>
        <v>-4</v>
      </c>
      <c r="X31" s="94">
        <f ca="1">ROUND(TblPop[[#This Row],[Raw Birth]]*(1+TblPop[[#This Row],[Growth]]),0)</f>
        <v>11</v>
      </c>
      <c r="Y31" s="94">
        <f ca="1">(TblPop[[#This Row],[Peasants]]-TblPop[[#This Row],[Draft Growth]])*raw_pop_growth</f>
        <v>10.59</v>
      </c>
      <c r="Z31" s="94">
        <f ca="1">ROUND(IF(TblPop[[#This Row],[Military%]]&lt;TblMili[[#This Row],[Draftrate]],ROUND(TblPop[[#This Row],[Peasants]]*Constants!$B$55,0), 0) * IF(AND(TblMagic[[#This Row],[Active DnD]]&lt;=12,TblMagic[[#This Row],[Active DnD]]&gt;6),1.5,1),0)</f>
        <v>4</v>
      </c>
      <c r="AA31" s="142"/>
      <c r="AB31" s="143">
        <f ca="1">Overview!$I$17 + IF(Magic!AF31&gt;0,Constants!$F$78) + ROUND(6*(Construction!BM32+Construction!CK31)/IF(Explore!S32&gt;0,Construction!F32-20,Construction!F32),4) + tech_6_5_2*Techs!BJ31 + tech_8_4*Techs!BT31</f>
        <v>0</v>
      </c>
      <c r="AC31" s="139">
        <f ca="1">(Overview!$I$16 + Imps!Z31+ tech_2_5*Techs!AB31 + tech_3_6*Techs!AM31 + tech_6_1*Techs!BJ31 + tech_6_5*Techs!BF31 + tech_7_3_2*Techs!BN31) * (1 + Production!O31/100*prestige_pop_multiplier) + Production!O31/100*prestige_pop_multiplier</f>
        <v>2.5000000000000001E-2</v>
      </c>
    </row>
    <row r="32" spans="1:29" x14ac:dyDescent="0.2">
      <c r="A32" s="137">
        <f>TblRezone[[#This Row],[Hour]]</f>
        <v>29</v>
      </c>
      <c r="B32" s="138">
        <f ca="1">TblImps[[#This Row],[Time]]</f>
        <v>46321.166666666599</v>
      </c>
      <c r="C32" s="94">
        <f ca="1">OFFSET(TblPop[[#This Row],[Peasants]],-1,0)+OFFSET(TblPop[[#This Row],[Net Peasant]],-1,0)+TblMili[[#This Row],[Release Draft]]</f>
        <v>353</v>
      </c>
      <c r="D32" s="94">
        <f ca="1">TblMili[[#This Row],[Military]]</f>
        <v>416</v>
      </c>
      <c r="E32" s="94">
        <f ca="1">TblMili[[#This Row],[Draftees]]</f>
        <v>416</v>
      </c>
      <c r="F32" s="94">
        <f ca="1">TblPop[[#This Row],[Peasants]]+TblPop[[#This Row],[Military]]</f>
        <v>769</v>
      </c>
      <c r="G32" s="139">
        <f ca="1">TblPop[[#This Row],[Military]]/TblPop[[#This Row],[Total]]</f>
        <v>0.54096228868660601</v>
      </c>
      <c r="H32" s="140">
        <f ca="1">MIN(TblPop[[#This Row],[Peasants]],TblPop[[#This Row],[Jobs]])</f>
        <v>353</v>
      </c>
      <c r="I32" s="139">
        <f ca="1">MIN(OFFSET(TblPop[[#This Row],[Jobs]],1,0)/TblPop[[#This Row],[Peasants]],1)</f>
        <v>1</v>
      </c>
      <c r="J32" s="140">
        <f ca="1">SUM(TblConstr[[#This Row],[Tot Alc]:[Tot GT]],TblConstr[[#This Row],[Tot Shr]:[Tot Doc]],TblConstr[[#This Row],[Dest Alc]:[Dest GT]],TblConstr[[#This Row],[Dest Shr]:[Dest Doc]])*building_employment + TblConstr[[#This Row],[Tot Fac]]*bonus_jobs_facts</f>
        <v>1000</v>
      </c>
      <c r="K32" s="141"/>
      <c r="L32" s="61">
        <f ca="1">TblPop[[#This Row],[Draftees]]</f>
        <v>416</v>
      </c>
      <c r="M32" s="61">
        <f ca="1">TblMili[[#This Row],[Unit 1]]</f>
        <v>0</v>
      </c>
      <c r="N32" s="61">
        <f ca="1">TblMili[[#This Row],[Unit 2]]</f>
        <v>0</v>
      </c>
      <c r="O32" s="61">
        <f ca="1">TblMili[[#This Row],[Unit 3]]</f>
        <v>0</v>
      </c>
      <c r="P32" s="61">
        <f ca="1">TblMili[[#This Row],[Unit 4]]</f>
        <v>0</v>
      </c>
      <c r="Q32" s="61">
        <f ca="1">TblMili[[#This Row],[Spies]]</f>
        <v>0</v>
      </c>
      <c r="R32" s="61">
        <f ca="1">TblMili[[#This Row],[Wizards]]</f>
        <v>0</v>
      </c>
      <c r="S32" s="61">
        <f ca="1">TblMili[[#This Row],[Archmages]]</f>
        <v>0</v>
      </c>
      <c r="T32" s="142"/>
      <c r="U32" s="94">
        <f ca="1">ROUND(TblPop[[#This Row],[Raw max]]*(1+OFFSET(TblPop[[#This Row],[Max pop]],-1,0)),0)+MIN(TblPop[[#This Row],[Military]]-TblPop[[#This Row],[Draftees]]-SUM(TblMili[[#This Row],[Train Unit 1]:[Train AM]]),(barracks_size + tech_8_3*TblTech[[#This Row],[8-3]])*TblConstr[[#This Row],[Tot Bar]])</f>
        <v>769</v>
      </c>
      <c r="V3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2" s="94">
        <f ca="1">MAX(-5%*TblPop[[#This Row],[Peasants]]-TblPop[[#This Row],[Draft Growth]],MIN(OFFSET(TblPop[[#This Row],[Net max]],1,0)-TblPop[[#This Row],[Peasants]]-TblPop[[#This Row],[Military]]-TblPop[[#This Row],[Draft Growth]],TblPop[[#This Row],[Modded Birth]]-TblPop[[#This Row],[Draft Growth]]))</f>
        <v>-4</v>
      </c>
      <c r="X32" s="94">
        <f ca="1">ROUND(TblPop[[#This Row],[Raw Birth]]*(1+TblPop[[#This Row],[Growth]]),0)</f>
        <v>10</v>
      </c>
      <c r="Y32" s="94">
        <f ca="1">(TblPop[[#This Row],[Peasants]]-TblPop[[#This Row],[Draft Growth]])*raw_pop_growth</f>
        <v>10.469999999999999</v>
      </c>
      <c r="Z32" s="94">
        <f ca="1">ROUND(IF(TblPop[[#This Row],[Military%]]&lt;TblMili[[#This Row],[Draftrate]],ROUND(TblPop[[#This Row],[Peasants]]*Constants!$B$55,0), 0) * IF(AND(TblMagic[[#This Row],[Active DnD]]&lt;=12,TblMagic[[#This Row],[Active DnD]]&gt;6),1.5,1),0)</f>
        <v>4</v>
      </c>
      <c r="AA32" s="142"/>
      <c r="AB32" s="143">
        <f ca="1">Overview!$I$17 + IF(Magic!AF32&gt;0,Constants!$F$78) + ROUND(6*(Construction!BM33+Construction!CK32)/IF(Explore!S33&gt;0,Construction!F33-20,Construction!F33),4) + tech_6_5_2*Techs!BJ32 + tech_8_4*Techs!BT32</f>
        <v>0</v>
      </c>
      <c r="AC32" s="139">
        <f ca="1">(Overview!$I$16 + Imps!Z32+ tech_2_5*Techs!AB32 + tech_3_6*Techs!AM32 + tech_6_1*Techs!BJ32 + tech_6_5*Techs!BF32 + tech_7_3_2*Techs!BN32) * (1 + Production!O32/100*prestige_pop_multiplier) + Production!O32/100*prestige_pop_multiplier</f>
        <v>2.5000000000000001E-2</v>
      </c>
    </row>
    <row r="33" spans="1:29" x14ac:dyDescent="0.2">
      <c r="A33" s="137">
        <f>TblRezone[[#This Row],[Hour]]</f>
        <v>30</v>
      </c>
      <c r="B33" s="138">
        <f ca="1">TblImps[[#This Row],[Time]]</f>
        <v>46321.208333333263</v>
      </c>
      <c r="C33" s="94">
        <f ca="1">OFFSET(TblPop[[#This Row],[Peasants]],-1,0)+OFFSET(TblPop[[#This Row],[Net Peasant]],-1,0)+TblMili[[#This Row],[Release Draft]]</f>
        <v>349</v>
      </c>
      <c r="D33" s="94">
        <f ca="1">TblMili[[#This Row],[Military]]</f>
        <v>420</v>
      </c>
      <c r="E33" s="94">
        <f ca="1">TblMili[[#This Row],[Draftees]]</f>
        <v>420</v>
      </c>
      <c r="F33" s="94">
        <f ca="1">TblPop[[#This Row],[Peasants]]+TblPop[[#This Row],[Military]]</f>
        <v>769</v>
      </c>
      <c r="G33" s="139">
        <f ca="1">TblPop[[#This Row],[Military]]/TblPop[[#This Row],[Total]]</f>
        <v>0.54616384915474647</v>
      </c>
      <c r="H33" s="140">
        <f ca="1">MIN(TblPop[[#This Row],[Peasants]],TblPop[[#This Row],[Jobs]])</f>
        <v>349</v>
      </c>
      <c r="I33" s="139">
        <f ca="1">MIN(OFFSET(TblPop[[#This Row],[Jobs]],1,0)/TblPop[[#This Row],[Peasants]],1)</f>
        <v>1</v>
      </c>
      <c r="J33" s="140">
        <f ca="1">SUM(TblConstr[[#This Row],[Tot Alc]:[Tot GT]],TblConstr[[#This Row],[Tot Shr]:[Tot Doc]],TblConstr[[#This Row],[Dest Alc]:[Dest GT]],TblConstr[[#This Row],[Dest Shr]:[Dest Doc]])*building_employment + TblConstr[[#This Row],[Tot Fac]]*bonus_jobs_facts</f>
        <v>1000</v>
      </c>
      <c r="K33" s="141"/>
      <c r="L33" s="61">
        <f ca="1">TblPop[[#This Row],[Draftees]]</f>
        <v>420</v>
      </c>
      <c r="M33" s="61">
        <f ca="1">TblMili[[#This Row],[Unit 1]]</f>
        <v>0</v>
      </c>
      <c r="N33" s="61">
        <f ca="1">TblMili[[#This Row],[Unit 2]]</f>
        <v>0</v>
      </c>
      <c r="O33" s="61">
        <f ca="1">TblMili[[#This Row],[Unit 3]]</f>
        <v>0</v>
      </c>
      <c r="P33" s="61">
        <f ca="1">TblMili[[#This Row],[Unit 4]]</f>
        <v>0</v>
      </c>
      <c r="Q33" s="61">
        <f ca="1">TblMili[[#This Row],[Spies]]</f>
        <v>0</v>
      </c>
      <c r="R33" s="61">
        <f ca="1">TblMili[[#This Row],[Wizards]]</f>
        <v>0</v>
      </c>
      <c r="S33" s="61">
        <f ca="1">TblMili[[#This Row],[Archmages]]</f>
        <v>0</v>
      </c>
      <c r="T33" s="142"/>
      <c r="U33" s="94">
        <f ca="1">ROUND(TblPop[[#This Row],[Raw max]]*(1+OFFSET(TblPop[[#This Row],[Max pop]],-1,0)),0)+MIN(TblPop[[#This Row],[Military]]-TblPop[[#This Row],[Draftees]]-SUM(TblMili[[#This Row],[Train Unit 1]:[Train AM]]),(barracks_size + tech_8_3*TblTech[[#This Row],[8-3]])*TblConstr[[#This Row],[Tot Bar]])</f>
        <v>769</v>
      </c>
      <c r="V3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3" s="94">
        <f ca="1">MAX(-5%*TblPop[[#This Row],[Peasants]]-TblPop[[#This Row],[Draft Growth]],MIN(OFFSET(TblPop[[#This Row],[Net max]],1,0)-TblPop[[#This Row],[Peasants]]-TblPop[[#This Row],[Military]]-TblPop[[#This Row],[Draft Growth]],TblPop[[#This Row],[Modded Birth]]-TblPop[[#This Row],[Draft Growth]]))</f>
        <v>-3</v>
      </c>
      <c r="X33" s="94">
        <f ca="1">ROUND(TblPop[[#This Row],[Raw Birth]]*(1+TblPop[[#This Row],[Growth]]),0)</f>
        <v>10</v>
      </c>
      <c r="Y33" s="94">
        <f ca="1">(TblPop[[#This Row],[Peasants]]-TblPop[[#This Row],[Draft Growth]])*raw_pop_growth</f>
        <v>10.379999999999999</v>
      </c>
      <c r="Z33" s="94">
        <f ca="1">ROUND(IF(TblPop[[#This Row],[Military%]]&lt;TblMili[[#This Row],[Draftrate]],ROUND(TblPop[[#This Row],[Peasants]]*Constants!$B$55,0), 0) * IF(AND(TblMagic[[#This Row],[Active DnD]]&lt;=12,TblMagic[[#This Row],[Active DnD]]&gt;6),1.5,1),0)</f>
        <v>3</v>
      </c>
      <c r="AA33" s="142"/>
      <c r="AB33" s="143">
        <f ca="1">Overview!$I$17 + IF(Magic!AF33&gt;0,Constants!$F$78) + ROUND(6*(Construction!BM34+Construction!CK33)/IF(Explore!S34&gt;0,Construction!F34-20,Construction!F34),4) + tech_6_5_2*Techs!BJ33 + tech_8_4*Techs!BT33</f>
        <v>0</v>
      </c>
      <c r="AC33" s="139">
        <f ca="1">(Overview!$I$16 + Imps!Z33+ tech_2_5*Techs!AB33 + tech_3_6*Techs!AM33 + tech_6_1*Techs!BJ33 + tech_6_5*Techs!BF33 + tech_7_3_2*Techs!BN33) * (1 + Production!O33/100*prestige_pop_multiplier) + Production!O33/100*prestige_pop_multiplier</f>
        <v>2.5000000000000001E-2</v>
      </c>
    </row>
    <row r="34" spans="1:29" x14ac:dyDescent="0.2">
      <c r="A34" s="137">
        <f>TblRezone[[#This Row],[Hour]]</f>
        <v>31</v>
      </c>
      <c r="B34" s="138">
        <f ca="1">TblImps[[#This Row],[Time]]</f>
        <v>46321.249999999927</v>
      </c>
      <c r="C34" s="94">
        <f ca="1">OFFSET(TblPop[[#This Row],[Peasants]],-1,0)+OFFSET(TblPop[[#This Row],[Net Peasant]],-1,0)+TblMili[[#This Row],[Release Draft]]</f>
        <v>346</v>
      </c>
      <c r="D34" s="94">
        <f ca="1">TblMili[[#This Row],[Military]]</f>
        <v>423</v>
      </c>
      <c r="E34" s="94">
        <f ca="1">TblMili[[#This Row],[Draftees]]</f>
        <v>423</v>
      </c>
      <c r="F34" s="94">
        <f ca="1">TblPop[[#This Row],[Peasants]]+TblPop[[#This Row],[Military]]</f>
        <v>769</v>
      </c>
      <c r="G34" s="139">
        <f ca="1">TblPop[[#This Row],[Military]]/TblPop[[#This Row],[Total]]</f>
        <v>0.55006501950585174</v>
      </c>
      <c r="H34" s="140">
        <f ca="1">MIN(TblPop[[#This Row],[Peasants]],TblPop[[#This Row],[Jobs]])</f>
        <v>346</v>
      </c>
      <c r="I34" s="139">
        <f ca="1">MIN(OFFSET(TblPop[[#This Row],[Jobs]],1,0)/TblPop[[#This Row],[Peasants]],1)</f>
        <v>1</v>
      </c>
      <c r="J34" s="140">
        <f ca="1">SUM(TblConstr[[#This Row],[Tot Alc]:[Tot GT]],TblConstr[[#This Row],[Tot Shr]:[Tot Doc]],TblConstr[[#This Row],[Dest Alc]:[Dest GT]],TblConstr[[#This Row],[Dest Shr]:[Dest Doc]])*building_employment + TblConstr[[#This Row],[Tot Fac]]*bonus_jobs_facts</f>
        <v>1000</v>
      </c>
      <c r="K34" s="141"/>
      <c r="L34" s="61">
        <f ca="1">TblPop[[#This Row],[Draftees]]</f>
        <v>423</v>
      </c>
      <c r="M34" s="61">
        <f ca="1">TblMili[[#This Row],[Unit 1]]</f>
        <v>0</v>
      </c>
      <c r="N34" s="61">
        <f ca="1">TblMili[[#This Row],[Unit 2]]</f>
        <v>0</v>
      </c>
      <c r="O34" s="61">
        <f ca="1">TblMili[[#This Row],[Unit 3]]</f>
        <v>0</v>
      </c>
      <c r="P34" s="61">
        <f ca="1">TblMili[[#This Row],[Unit 4]]</f>
        <v>0</v>
      </c>
      <c r="Q34" s="61">
        <f ca="1">TblMili[[#This Row],[Spies]]</f>
        <v>0</v>
      </c>
      <c r="R34" s="61">
        <f ca="1">TblMili[[#This Row],[Wizards]]</f>
        <v>0</v>
      </c>
      <c r="S34" s="61">
        <f ca="1">TblMili[[#This Row],[Archmages]]</f>
        <v>0</v>
      </c>
      <c r="T34" s="142"/>
      <c r="U34" s="94">
        <f ca="1">ROUND(TblPop[[#This Row],[Raw max]]*(1+OFFSET(TblPop[[#This Row],[Max pop]],-1,0)),0)+MIN(TblPop[[#This Row],[Military]]-TblPop[[#This Row],[Draftees]]-SUM(TblMili[[#This Row],[Train Unit 1]:[Train AM]]),(barracks_size + tech_8_3*TblTech[[#This Row],[8-3]])*TblConstr[[#This Row],[Tot Bar]])</f>
        <v>769</v>
      </c>
      <c r="V3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4" s="94">
        <f ca="1">MAX(-5%*TblPop[[#This Row],[Peasants]]-TblPop[[#This Row],[Draft Growth]],MIN(OFFSET(TblPop[[#This Row],[Net max]],1,0)-TblPop[[#This Row],[Peasants]]-TblPop[[#This Row],[Military]]-TblPop[[#This Row],[Draft Growth]],TblPop[[#This Row],[Modded Birth]]-TblPop[[#This Row],[Draft Growth]]))</f>
        <v>-3</v>
      </c>
      <c r="X34" s="94">
        <f ca="1">ROUND(TblPop[[#This Row],[Raw Birth]]*(1+TblPop[[#This Row],[Growth]]),0)</f>
        <v>10</v>
      </c>
      <c r="Y34" s="94">
        <f ca="1">(TblPop[[#This Row],[Peasants]]-TblPop[[#This Row],[Draft Growth]])*raw_pop_growth</f>
        <v>10.29</v>
      </c>
      <c r="Z34" s="94">
        <f ca="1">ROUND(IF(TblPop[[#This Row],[Military%]]&lt;TblMili[[#This Row],[Draftrate]],ROUND(TblPop[[#This Row],[Peasants]]*Constants!$B$55,0), 0) * IF(AND(TblMagic[[#This Row],[Active DnD]]&lt;=12,TblMagic[[#This Row],[Active DnD]]&gt;6),1.5,1),0)</f>
        <v>3</v>
      </c>
      <c r="AA34" s="142"/>
      <c r="AB34" s="143">
        <f ca="1">Overview!$I$17 + IF(Magic!AF34&gt;0,Constants!$F$78) + ROUND(6*(Construction!BM35+Construction!CK34)/IF(Explore!S35&gt;0,Construction!F35-20,Construction!F35),4) + tech_6_5_2*Techs!BJ34 + tech_8_4*Techs!BT34</f>
        <v>0</v>
      </c>
      <c r="AC34" s="139">
        <f ca="1">(Overview!$I$16 + Imps!Z34+ tech_2_5*Techs!AB34 + tech_3_6*Techs!AM34 + tech_6_1*Techs!BJ34 + tech_6_5*Techs!BF34 + tech_7_3_2*Techs!BN34) * (1 + Production!O34/100*prestige_pop_multiplier) + Production!O34/100*prestige_pop_multiplier</f>
        <v>2.5000000000000001E-2</v>
      </c>
    </row>
    <row r="35" spans="1:29" x14ac:dyDescent="0.2">
      <c r="A35" s="137">
        <f>TblRezone[[#This Row],[Hour]]</f>
        <v>32</v>
      </c>
      <c r="B35" s="138">
        <f ca="1">TblImps[[#This Row],[Time]]</f>
        <v>46321.291666666591</v>
      </c>
      <c r="C35" s="94">
        <f ca="1">OFFSET(TblPop[[#This Row],[Peasants]],-1,0)+OFFSET(TblPop[[#This Row],[Net Peasant]],-1,0)+TblMili[[#This Row],[Release Draft]]</f>
        <v>343</v>
      </c>
      <c r="D35" s="94">
        <f ca="1">TblMili[[#This Row],[Military]]</f>
        <v>426</v>
      </c>
      <c r="E35" s="94">
        <f ca="1">TblMili[[#This Row],[Draftees]]</f>
        <v>426</v>
      </c>
      <c r="F35" s="94">
        <f ca="1">TblPop[[#This Row],[Peasants]]+TblPop[[#This Row],[Military]]</f>
        <v>769</v>
      </c>
      <c r="G35" s="139">
        <f ca="1">TblPop[[#This Row],[Military]]/TblPop[[#This Row],[Total]]</f>
        <v>0.55396618985695711</v>
      </c>
      <c r="H35" s="140">
        <f ca="1">MIN(TblPop[[#This Row],[Peasants]],TblPop[[#This Row],[Jobs]])</f>
        <v>343</v>
      </c>
      <c r="I35" s="139">
        <f ca="1">MIN(OFFSET(TblPop[[#This Row],[Jobs]],1,0)/TblPop[[#This Row],[Peasants]],1)</f>
        <v>1</v>
      </c>
      <c r="J35" s="140">
        <f ca="1">SUM(TblConstr[[#This Row],[Tot Alc]:[Tot GT]],TblConstr[[#This Row],[Tot Shr]:[Tot Doc]],TblConstr[[#This Row],[Dest Alc]:[Dest GT]],TblConstr[[#This Row],[Dest Shr]:[Dest Doc]])*building_employment + TblConstr[[#This Row],[Tot Fac]]*bonus_jobs_facts</f>
        <v>1000</v>
      </c>
      <c r="K35" s="141"/>
      <c r="L35" s="61">
        <f ca="1">TblPop[[#This Row],[Draftees]]</f>
        <v>426</v>
      </c>
      <c r="M35" s="61">
        <f ca="1">TblMili[[#This Row],[Unit 1]]</f>
        <v>0</v>
      </c>
      <c r="N35" s="61">
        <f ca="1">TblMili[[#This Row],[Unit 2]]</f>
        <v>0</v>
      </c>
      <c r="O35" s="61">
        <f ca="1">TblMili[[#This Row],[Unit 3]]</f>
        <v>0</v>
      </c>
      <c r="P35" s="61">
        <f ca="1">TblMili[[#This Row],[Unit 4]]</f>
        <v>0</v>
      </c>
      <c r="Q35" s="61">
        <f ca="1">TblMili[[#This Row],[Spies]]</f>
        <v>0</v>
      </c>
      <c r="R35" s="61">
        <f ca="1">TblMili[[#This Row],[Wizards]]</f>
        <v>0</v>
      </c>
      <c r="S35" s="61">
        <f ca="1">TblMili[[#This Row],[Archmages]]</f>
        <v>0</v>
      </c>
      <c r="T35" s="142"/>
      <c r="U35" s="94">
        <f ca="1">ROUND(TblPop[[#This Row],[Raw max]]*(1+OFFSET(TblPop[[#This Row],[Max pop]],-1,0)),0)+MIN(TblPop[[#This Row],[Military]]-TblPop[[#This Row],[Draftees]]-SUM(TblMili[[#This Row],[Train Unit 1]:[Train AM]]),(barracks_size + tech_8_3*TblTech[[#This Row],[8-3]])*TblConstr[[#This Row],[Tot Bar]])</f>
        <v>769</v>
      </c>
      <c r="V3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5" s="94">
        <f ca="1">MAX(-5%*TblPop[[#This Row],[Peasants]]-TblPop[[#This Row],[Draft Growth]],MIN(OFFSET(TblPop[[#This Row],[Net max]],1,0)-TblPop[[#This Row],[Peasants]]-TblPop[[#This Row],[Military]]-TblPop[[#This Row],[Draft Growth]],TblPop[[#This Row],[Modded Birth]]-TblPop[[#This Row],[Draft Growth]]))</f>
        <v>-3</v>
      </c>
      <c r="X35" s="94">
        <f ca="1">ROUND(TblPop[[#This Row],[Raw Birth]]*(1+TblPop[[#This Row],[Growth]]),0)</f>
        <v>10</v>
      </c>
      <c r="Y35" s="94">
        <f ca="1">(TblPop[[#This Row],[Peasants]]-TblPop[[#This Row],[Draft Growth]])*raw_pop_growth</f>
        <v>10.199999999999999</v>
      </c>
      <c r="Z35" s="94">
        <f ca="1">ROUND(IF(TblPop[[#This Row],[Military%]]&lt;TblMili[[#This Row],[Draftrate]],ROUND(TblPop[[#This Row],[Peasants]]*Constants!$B$55,0), 0) * IF(AND(TblMagic[[#This Row],[Active DnD]]&lt;=12,TblMagic[[#This Row],[Active DnD]]&gt;6),1.5,1),0)</f>
        <v>3</v>
      </c>
      <c r="AA35" s="142"/>
      <c r="AB35" s="143">
        <f ca="1">Overview!$I$17 + IF(Magic!AF35&gt;0,Constants!$F$78) + ROUND(6*(Construction!BM36+Construction!CK35)/IF(Explore!S36&gt;0,Construction!F36-20,Construction!F36),4) + tech_6_5_2*Techs!BJ35 + tech_8_4*Techs!BT35</f>
        <v>0</v>
      </c>
      <c r="AC35" s="139">
        <f ca="1">(Overview!$I$16 + Imps!Z35+ tech_2_5*Techs!AB35 + tech_3_6*Techs!AM35 + tech_6_1*Techs!BJ35 + tech_6_5*Techs!BF35 + tech_7_3_2*Techs!BN35) * (1 + Production!O35/100*prestige_pop_multiplier) + Production!O35/100*prestige_pop_multiplier</f>
        <v>2.5000000000000001E-2</v>
      </c>
    </row>
    <row r="36" spans="1:29" x14ac:dyDescent="0.2">
      <c r="A36" s="137">
        <f>TblRezone[[#This Row],[Hour]]</f>
        <v>33</v>
      </c>
      <c r="B36" s="138">
        <f ca="1">TblImps[[#This Row],[Time]]</f>
        <v>46321.333333333256</v>
      </c>
      <c r="C36" s="94">
        <f ca="1">OFFSET(TblPop[[#This Row],[Peasants]],-1,0)+OFFSET(TblPop[[#This Row],[Net Peasant]],-1,0)+TblMili[[#This Row],[Release Draft]]</f>
        <v>340</v>
      </c>
      <c r="D36" s="94">
        <f ca="1">TblMili[[#This Row],[Military]]</f>
        <v>429</v>
      </c>
      <c r="E36" s="94">
        <f ca="1">TblMili[[#This Row],[Draftees]]</f>
        <v>429</v>
      </c>
      <c r="F36" s="94">
        <f ca="1">TblPop[[#This Row],[Peasants]]+TblPop[[#This Row],[Military]]</f>
        <v>769</v>
      </c>
      <c r="G36" s="139">
        <f ca="1">TblPop[[#This Row],[Military]]/TblPop[[#This Row],[Total]]</f>
        <v>0.55786736020806238</v>
      </c>
      <c r="H36" s="140">
        <f ca="1">MIN(TblPop[[#This Row],[Peasants]],TblPop[[#This Row],[Jobs]])</f>
        <v>340</v>
      </c>
      <c r="I36" s="139">
        <f ca="1">MIN(OFFSET(TblPop[[#This Row],[Jobs]],1,0)/TblPop[[#This Row],[Peasants]],1)</f>
        <v>1</v>
      </c>
      <c r="J36" s="140">
        <f ca="1">SUM(TblConstr[[#This Row],[Tot Alc]:[Tot GT]],TblConstr[[#This Row],[Tot Shr]:[Tot Doc]],TblConstr[[#This Row],[Dest Alc]:[Dest GT]],TblConstr[[#This Row],[Dest Shr]:[Dest Doc]])*building_employment + TblConstr[[#This Row],[Tot Fac]]*bonus_jobs_facts</f>
        <v>1000</v>
      </c>
      <c r="K36" s="141"/>
      <c r="L36" s="61">
        <f ca="1">TblPop[[#This Row],[Draftees]]</f>
        <v>429</v>
      </c>
      <c r="M36" s="61">
        <f ca="1">TblMili[[#This Row],[Unit 1]]</f>
        <v>0</v>
      </c>
      <c r="N36" s="61">
        <f ca="1">TblMili[[#This Row],[Unit 2]]</f>
        <v>0</v>
      </c>
      <c r="O36" s="61">
        <f ca="1">TblMili[[#This Row],[Unit 3]]</f>
        <v>0</v>
      </c>
      <c r="P36" s="61">
        <f ca="1">TblMili[[#This Row],[Unit 4]]</f>
        <v>0</v>
      </c>
      <c r="Q36" s="61">
        <f ca="1">TblMili[[#This Row],[Spies]]</f>
        <v>0</v>
      </c>
      <c r="R36" s="61">
        <f ca="1">TblMili[[#This Row],[Wizards]]</f>
        <v>0</v>
      </c>
      <c r="S36" s="61">
        <f ca="1">TblMili[[#This Row],[Archmages]]</f>
        <v>0</v>
      </c>
      <c r="T36" s="142"/>
      <c r="U36" s="94">
        <f ca="1">ROUND(TblPop[[#This Row],[Raw max]]*(1+OFFSET(TblPop[[#This Row],[Max pop]],-1,0)),0)+MIN(TblPop[[#This Row],[Military]]-TblPop[[#This Row],[Draftees]]-SUM(TblMili[[#This Row],[Train Unit 1]:[Train AM]]),(barracks_size + tech_8_3*TblTech[[#This Row],[8-3]])*TblConstr[[#This Row],[Tot Bar]])</f>
        <v>769</v>
      </c>
      <c r="V3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6" s="94">
        <f ca="1">MAX(-5%*TblPop[[#This Row],[Peasants]]-TblPop[[#This Row],[Draft Growth]],MIN(OFFSET(TblPop[[#This Row],[Net max]],1,0)-TblPop[[#This Row],[Peasants]]-TblPop[[#This Row],[Military]]-TblPop[[#This Row],[Draft Growth]],TblPop[[#This Row],[Modded Birth]]-TblPop[[#This Row],[Draft Growth]]))</f>
        <v>-3</v>
      </c>
      <c r="X36" s="94">
        <f ca="1">ROUND(TblPop[[#This Row],[Raw Birth]]*(1+TblPop[[#This Row],[Growth]]),0)</f>
        <v>10</v>
      </c>
      <c r="Y36" s="94">
        <f ca="1">(TblPop[[#This Row],[Peasants]]-TblPop[[#This Row],[Draft Growth]])*raw_pop_growth</f>
        <v>10.11</v>
      </c>
      <c r="Z36" s="94">
        <f ca="1">ROUND(IF(TblPop[[#This Row],[Military%]]&lt;TblMili[[#This Row],[Draftrate]],ROUND(TblPop[[#This Row],[Peasants]]*Constants!$B$55,0), 0) * IF(AND(TblMagic[[#This Row],[Active DnD]]&lt;=12,TblMagic[[#This Row],[Active DnD]]&gt;6),1.5,1),0)</f>
        <v>3</v>
      </c>
      <c r="AA36" s="142"/>
      <c r="AB36" s="143">
        <f ca="1">Overview!$I$17 + IF(Magic!AF36&gt;0,Constants!$F$78) + ROUND(6*(Construction!BM37+Construction!CK36)/IF(Explore!S37&gt;0,Construction!F37-20,Construction!F37),4) + tech_6_5_2*Techs!BJ36 + tech_8_4*Techs!BT36</f>
        <v>0</v>
      </c>
      <c r="AC36" s="139">
        <f ca="1">(Overview!$I$16 + Imps!Z36+ tech_2_5*Techs!AB36 + tech_3_6*Techs!AM36 + tech_6_1*Techs!BJ36 + tech_6_5*Techs!BF36 + tech_7_3_2*Techs!BN36) * (1 + Production!O36/100*prestige_pop_multiplier) + Production!O36/100*prestige_pop_multiplier</f>
        <v>2.5000000000000001E-2</v>
      </c>
    </row>
    <row r="37" spans="1:29" x14ac:dyDescent="0.2">
      <c r="A37" s="137">
        <f>TblRezone[[#This Row],[Hour]]</f>
        <v>34</v>
      </c>
      <c r="B37" s="138">
        <f ca="1">TblImps[[#This Row],[Time]]</f>
        <v>46321.37499999992</v>
      </c>
      <c r="C37" s="94">
        <f ca="1">OFFSET(TblPop[[#This Row],[Peasants]],-1,0)+OFFSET(TblPop[[#This Row],[Net Peasant]],-1,0)+TblMili[[#This Row],[Release Draft]]</f>
        <v>337</v>
      </c>
      <c r="D37" s="94">
        <f ca="1">TblMili[[#This Row],[Military]]</f>
        <v>432</v>
      </c>
      <c r="E37" s="94">
        <f ca="1">TblMili[[#This Row],[Draftees]]</f>
        <v>432</v>
      </c>
      <c r="F37" s="94">
        <f ca="1">TblPop[[#This Row],[Peasants]]+TblPop[[#This Row],[Military]]</f>
        <v>769</v>
      </c>
      <c r="G37" s="139">
        <f ca="1">TblPop[[#This Row],[Military]]/TblPop[[#This Row],[Total]]</f>
        <v>0.56176853055916776</v>
      </c>
      <c r="H37" s="140">
        <f ca="1">MIN(TblPop[[#This Row],[Peasants]],TblPop[[#This Row],[Jobs]])</f>
        <v>337</v>
      </c>
      <c r="I37" s="139">
        <f ca="1">MIN(OFFSET(TblPop[[#This Row],[Jobs]],1,0)/TblPop[[#This Row],[Peasants]],1)</f>
        <v>1</v>
      </c>
      <c r="J37" s="140">
        <f ca="1">SUM(TblConstr[[#This Row],[Tot Alc]:[Tot GT]],TblConstr[[#This Row],[Tot Shr]:[Tot Doc]],TblConstr[[#This Row],[Dest Alc]:[Dest GT]],TblConstr[[#This Row],[Dest Shr]:[Dest Doc]])*building_employment + TblConstr[[#This Row],[Tot Fac]]*bonus_jobs_facts</f>
        <v>1000</v>
      </c>
      <c r="K37" s="141"/>
      <c r="L37" s="61">
        <f ca="1">TblPop[[#This Row],[Draftees]]</f>
        <v>432</v>
      </c>
      <c r="M37" s="61">
        <f ca="1">TblMili[[#This Row],[Unit 1]]</f>
        <v>0</v>
      </c>
      <c r="N37" s="61">
        <f ca="1">TblMili[[#This Row],[Unit 2]]</f>
        <v>0</v>
      </c>
      <c r="O37" s="61">
        <f ca="1">TblMili[[#This Row],[Unit 3]]</f>
        <v>0</v>
      </c>
      <c r="P37" s="61">
        <f ca="1">TblMili[[#This Row],[Unit 4]]</f>
        <v>0</v>
      </c>
      <c r="Q37" s="61">
        <f ca="1">TblMili[[#This Row],[Spies]]</f>
        <v>0</v>
      </c>
      <c r="R37" s="61">
        <f ca="1">TblMili[[#This Row],[Wizards]]</f>
        <v>0</v>
      </c>
      <c r="S37" s="61">
        <f ca="1">TblMili[[#This Row],[Archmages]]</f>
        <v>0</v>
      </c>
      <c r="T37" s="142"/>
      <c r="U37" s="94">
        <f ca="1">ROUND(TblPop[[#This Row],[Raw max]]*(1+OFFSET(TblPop[[#This Row],[Max pop]],-1,0)),0)+MIN(TblPop[[#This Row],[Military]]-TblPop[[#This Row],[Draftees]]-SUM(TblMili[[#This Row],[Train Unit 1]:[Train AM]]),(barracks_size + tech_8_3*TblTech[[#This Row],[8-3]])*TblConstr[[#This Row],[Tot Bar]])</f>
        <v>769</v>
      </c>
      <c r="V3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7" s="94">
        <f ca="1">MAX(-5%*TblPop[[#This Row],[Peasants]]-TblPop[[#This Row],[Draft Growth]],MIN(OFFSET(TblPop[[#This Row],[Net max]],1,0)-TblPop[[#This Row],[Peasants]]-TblPop[[#This Row],[Military]]-TblPop[[#This Row],[Draft Growth]],TblPop[[#This Row],[Modded Birth]]-TblPop[[#This Row],[Draft Growth]]))</f>
        <v>-3</v>
      </c>
      <c r="X37" s="94">
        <f ca="1">ROUND(TblPop[[#This Row],[Raw Birth]]*(1+TblPop[[#This Row],[Growth]]),0)</f>
        <v>10</v>
      </c>
      <c r="Y37" s="94">
        <f ca="1">(TblPop[[#This Row],[Peasants]]-TblPop[[#This Row],[Draft Growth]])*raw_pop_growth</f>
        <v>10.02</v>
      </c>
      <c r="Z37" s="94">
        <f ca="1">ROUND(IF(TblPop[[#This Row],[Military%]]&lt;TblMili[[#This Row],[Draftrate]],ROUND(TblPop[[#This Row],[Peasants]]*Constants!$B$55,0), 0) * IF(AND(TblMagic[[#This Row],[Active DnD]]&lt;=12,TblMagic[[#This Row],[Active DnD]]&gt;6),1.5,1),0)</f>
        <v>3</v>
      </c>
      <c r="AA37" s="142"/>
      <c r="AB37" s="143">
        <f ca="1">Overview!$I$17 + IF(Magic!AF37&gt;0,Constants!$F$78) + ROUND(6*(Construction!BM38+Construction!CK37)/IF(Explore!S38&gt;0,Construction!F38-20,Construction!F38),4) + tech_6_5_2*Techs!BJ37 + tech_8_4*Techs!BT37</f>
        <v>0</v>
      </c>
      <c r="AC37" s="139">
        <f ca="1">(Overview!$I$16 + Imps!Z37+ tech_2_5*Techs!AB37 + tech_3_6*Techs!AM37 + tech_6_1*Techs!BJ37 + tech_6_5*Techs!BF37 + tech_7_3_2*Techs!BN37) * (1 + Production!O37/100*prestige_pop_multiplier) + Production!O37/100*prestige_pop_multiplier</f>
        <v>2.5000000000000001E-2</v>
      </c>
    </row>
    <row r="38" spans="1:29" x14ac:dyDescent="0.2">
      <c r="A38" s="137">
        <f>TblRezone[[#This Row],[Hour]]</f>
        <v>35</v>
      </c>
      <c r="B38" s="138">
        <f ca="1">TblImps[[#This Row],[Time]]</f>
        <v>46321.416666666584</v>
      </c>
      <c r="C38" s="94">
        <f ca="1">OFFSET(TblPop[[#This Row],[Peasants]],-1,0)+OFFSET(TblPop[[#This Row],[Net Peasant]],-1,0)+TblMili[[#This Row],[Release Draft]]</f>
        <v>334</v>
      </c>
      <c r="D38" s="94">
        <f ca="1">TblMili[[#This Row],[Military]]</f>
        <v>435</v>
      </c>
      <c r="E38" s="94">
        <f ca="1">TblMili[[#This Row],[Draftees]]</f>
        <v>435</v>
      </c>
      <c r="F38" s="94">
        <f ca="1">TblPop[[#This Row],[Peasants]]+TblPop[[#This Row],[Military]]</f>
        <v>769</v>
      </c>
      <c r="G38" s="139">
        <f ca="1">TblPop[[#This Row],[Military]]/TblPop[[#This Row],[Total]]</f>
        <v>0.56566970091027313</v>
      </c>
      <c r="H38" s="140">
        <f ca="1">MIN(TblPop[[#This Row],[Peasants]],TblPop[[#This Row],[Jobs]])</f>
        <v>334</v>
      </c>
      <c r="I38" s="139">
        <f ca="1">MIN(OFFSET(TblPop[[#This Row],[Jobs]],1,0)/TblPop[[#This Row],[Peasants]],1)</f>
        <v>1</v>
      </c>
      <c r="J38" s="140">
        <f ca="1">SUM(TblConstr[[#This Row],[Tot Alc]:[Tot GT]],TblConstr[[#This Row],[Tot Shr]:[Tot Doc]],TblConstr[[#This Row],[Dest Alc]:[Dest GT]],TblConstr[[#This Row],[Dest Shr]:[Dest Doc]])*building_employment + TblConstr[[#This Row],[Tot Fac]]*bonus_jobs_facts</f>
        <v>1000</v>
      </c>
      <c r="K38" s="141"/>
      <c r="L38" s="61">
        <f ca="1">TblPop[[#This Row],[Draftees]]</f>
        <v>435</v>
      </c>
      <c r="M38" s="61">
        <f ca="1">TblMili[[#This Row],[Unit 1]]</f>
        <v>0</v>
      </c>
      <c r="N38" s="61">
        <f ca="1">TblMili[[#This Row],[Unit 2]]</f>
        <v>0</v>
      </c>
      <c r="O38" s="61">
        <f ca="1">TblMili[[#This Row],[Unit 3]]</f>
        <v>0</v>
      </c>
      <c r="P38" s="61">
        <f ca="1">TblMili[[#This Row],[Unit 4]]</f>
        <v>0</v>
      </c>
      <c r="Q38" s="61">
        <f ca="1">TblMili[[#This Row],[Spies]]</f>
        <v>0</v>
      </c>
      <c r="R38" s="61">
        <f ca="1">TblMili[[#This Row],[Wizards]]</f>
        <v>0</v>
      </c>
      <c r="S38" s="61">
        <f ca="1">TblMili[[#This Row],[Archmages]]</f>
        <v>0</v>
      </c>
      <c r="T38" s="142"/>
      <c r="U38" s="94">
        <f ca="1">ROUND(TblPop[[#This Row],[Raw max]]*(1+OFFSET(TblPop[[#This Row],[Max pop]],-1,0)),0)+MIN(TblPop[[#This Row],[Military]]-TblPop[[#This Row],[Draftees]]-SUM(TblMili[[#This Row],[Train Unit 1]:[Train AM]]),(barracks_size + tech_8_3*TblTech[[#This Row],[8-3]])*TblConstr[[#This Row],[Tot Bar]])</f>
        <v>769</v>
      </c>
      <c r="V3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8" s="94">
        <f ca="1">MAX(-5%*TblPop[[#This Row],[Peasants]]-TblPop[[#This Row],[Draft Growth]],MIN(OFFSET(TblPop[[#This Row],[Net max]],1,0)-TblPop[[#This Row],[Peasants]]-TblPop[[#This Row],[Military]]-TblPop[[#This Row],[Draft Growth]],TblPop[[#This Row],[Modded Birth]]-TblPop[[#This Row],[Draft Growth]]))</f>
        <v>-3</v>
      </c>
      <c r="X38" s="94">
        <f ca="1">ROUND(TblPop[[#This Row],[Raw Birth]]*(1+TblPop[[#This Row],[Growth]]),0)</f>
        <v>10</v>
      </c>
      <c r="Y38" s="94">
        <f ca="1">(TblPop[[#This Row],[Peasants]]-TblPop[[#This Row],[Draft Growth]])*raw_pop_growth</f>
        <v>9.93</v>
      </c>
      <c r="Z38" s="94">
        <f ca="1">ROUND(IF(TblPop[[#This Row],[Military%]]&lt;TblMili[[#This Row],[Draftrate]],ROUND(TblPop[[#This Row],[Peasants]]*Constants!$B$55,0), 0) * IF(AND(TblMagic[[#This Row],[Active DnD]]&lt;=12,TblMagic[[#This Row],[Active DnD]]&gt;6),1.5,1),0)</f>
        <v>3</v>
      </c>
      <c r="AA38" s="142"/>
      <c r="AB38" s="143">
        <f ca="1">Overview!$I$17 + IF(Magic!AF38&gt;0,Constants!$F$78) + ROUND(6*(Construction!BM39+Construction!CK38)/IF(Explore!S39&gt;0,Construction!F39-20,Construction!F39),4) + tech_6_5_2*Techs!BJ38 + tech_8_4*Techs!BT38</f>
        <v>0</v>
      </c>
      <c r="AC38" s="139">
        <f ca="1">(Overview!$I$16 + Imps!Z38+ tech_2_5*Techs!AB38 + tech_3_6*Techs!AM38 + tech_6_1*Techs!BJ38 + tech_6_5*Techs!BF38 + tech_7_3_2*Techs!BN38) * (1 + Production!O38/100*prestige_pop_multiplier) + Production!O38/100*prestige_pop_multiplier</f>
        <v>2.5000000000000001E-2</v>
      </c>
    </row>
    <row r="39" spans="1:29" ht="13.5" customHeight="1" x14ac:dyDescent="0.2">
      <c r="A39" s="137">
        <f>TblRezone[[#This Row],[Hour]]</f>
        <v>36</v>
      </c>
      <c r="B39" s="138">
        <f ca="1">TblImps[[#This Row],[Time]]</f>
        <v>46321.458333333248</v>
      </c>
      <c r="C39" s="94">
        <f ca="1">OFFSET(TblPop[[#This Row],[Peasants]],-1,0)+OFFSET(TblPop[[#This Row],[Net Peasant]],-1,0)+TblMili[[#This Row],[Release Draft]]</f>
        <v>331</v>
      </c>
      <c r="D39" s="94">
        <f ca="1">TblMili[[#This Row],[Military]]</f>
        <v>438</v>
      </c>
      <c r="E39" s="94">
        <f ca="1">TblMili[[#This Row],[Draftees]]</f>
        <v>438</v>
      </c>
      <c r="F39" s="94">
        <f ca="1">TblPop[[#This Row],[Peasants]]+TblPop[[#This Row],[Military]]</f>
        <v>769</v>
      </c>
      <c r="G39" s="139">
        <f ca="1">TblPop[[#This Row],[Military]]/TblPop[[#This Row],[Total]]</f>
        <v>0.5695708712613784</v>
      </c>
      <c r="H39" s="140">
        <f ca="1">MIN(TblPop[[#This Row],[Peasants]],TblPop[[#This Row],[Jobs]])</f>
        <v>331</v>
      </c>
      <c r="I39" s="139">
        <f ca="1">MIN(OFFSET(TblPop[[#This Row],[Jobs]],1,0)/TblPop[[#This Row],[Peasants]],1)</f>
        <v>1</v>
      </c>
      <c r="J39" s="140">
        <f ca="1">SUM(TblConstr[[#This Row],[Tot Alc]:[Tot GT]],TblConstr[[#This Row],[Tot Shr]:[Tot Doc]],TblConstr[[#This Row],[Dest Alc]:[Dest GT]],TblConstr[[#This Row],[Dest Shr]:[Dest Doc]])*building_employment + TblConstr[[#This Row],[Tot Fac]]*bonus_jobs_facts</f>
        <v>1000</v>
      </c>
      <c r="K39" s="141"/>
      <c r="L39" s="61">
        <f ca="1">TblPop[[#This Row],[Draftees]]</f>
        <v>438</v>
      </c>
      <c r="M39" s="61">
        <f ca="1">TblMili[[#This Row],[Unit 1]]</f>
        <v>0</v>
      </c>
      <c r="N39" s="61">
        <f ca="1">TblMili[[#This Row],[Unit 2]]</f>
        <v>0</v>
      </c>
      <c r="O39" s="61">
        <f ca="1">TblMili[[#This Row],[Unit 3]]</f>
        <v>0</v>
      </c>
      <c r="P39" s="61">
        <f ca="1">TblMili[[#This Row],[Unit 4]]</f>
        <v>0</v>
      </c>
      <c r="Q39" s="61">
        <f ca="1">TblMili[[#This Row],[Spies]]</f>
        <v>0</v>
      </c>
      <c r="R39" s="61">
        <f ca="1">TblMili[[#This Row],[Wizards]]</f>
        <v>0</v>
      </c>
      <c r="S39" s="61">
        <f ca="1">TblMili[[#This Row],[Archmages]]</f>
        <v>0</v>
      </c>
      <c r="T39" s="142"/>
      <c r="U39" s="94">
        <f ca="1">ROUND(TblPop[[#This Row],[Raw max]]*(1+OFFSET(TblPop[[#This Row],[Max pop]],-1,0)),0)+MIN(TblPop[[#This Row],[Military]]-TblPop[[#This Row],[Draftees]]-SUM(TblMili[[#This Row],[Train Unit 1]:[Train AM]]),(barracks_size + tech_8_3*TblTech[[#This Row],[8-3]])*TblConstr[[#This Row],[Tot Bar]])</f>
        <v>769</v>
      </c>
      <c r="V3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9" s="94">
        <f ca="1">MAX(-5%*TblPop[[#This Row],[Peasants]]-TblPop[[#This Row],[Draft Growth]],MIN(OFFSET(TblPop[[#This Row],[Net max]],1,0)-TblPop[[#This Row],[Peasants]]-TblPop[[#This Row],[Military]]-TblPop[[#This Row],[Draft Growth]],TblPop[[#This Row],[Modded Birth]]-TblPop[[#This Row],[Draft Growth]]))</f>
        <v>-3</v>
      </c>
      <c r="X39" s="94">
        <f ca="1">ROUND(TblPop[[#This Row],[Raw Birth]]*(1+TblPop[[#This Row],[Growth]]),0)</f>
        <v>10</v>
      </c>
      <c r="Y39" s="94">
        <f ca="1">(TblPop[[#This Row],[Peasants]]-TblPop[[#This Row],[Draft Growth]])*raw_pop_growth</f>
        <v>9.84</v>
      </c>
      <c r="Z39" s="94">
        <f ca="1">ROUND(IF(TblPop[[#This Row],[Military%]]&lt;TblMili[[#This Row],[Draftrate]],ROUND(TblPop[[#This Row],[Peasants]]*Constants!$B$55,0), 0) * IF(AND(TblMagic[[#This Row],[Active DnD]]&lt;=12,TblMagic[[#This Row],[Active DnD]]&gt;6),1.5,1),0)</f>
        <v>3</v>
      </c>
      <c r="AA39" s="142"/>
      <c r="AB39" s="143">
        <f ca="1">Overview!$I$17 + IF(Magic!AF39&gt;0,Constants!$F$78) + ROUND(6*(Construction!BM40+Construction!CK39)/IF(Explore!S40&gt;0,Construction!F40-20,Construction!F40),4) + tech_6_5_2*Techs!BJ39 + tech_8_4*Techs!BT39</f>
        <v>0</v>
      </c>
      <c r="AC39" s="139">
        <f ca="1">(Overview!$I$16 + Imps!Z39+ tech_2_5*Techs!AB39 + tech_3_6*Techs!AM39 + tech_6_1*Techs!BJ39 + tech_6_5*Techs!BF39 + tech_7_3_2*Techs!BN39) * (1 + Production!O39/100*prestige_pop_multiplier) + Production!O39/100*prestige_pop_multiplier</f>
        <v>2.5000000000000001E-2</v>
      </c>
    </row>
    <row r="40" spans="1:29" x14ac:dyDescent="0.2">
      <c r="A40" s="137">
        <f>TblRezone[[#This Row],[Hour]]</f>
        <v>37</v>
      </c>
      <c r="B40" s="138">
        <f ca="1">TblImps[[#This Row],[Time]]</f>
        <v>46321.499999999913</v>
      </c>
      <c r="C40" s="94">
        <f ca="1">OFFSET(TblPop[[#This Row],[Peasants]],-1,0)+OFFSET(TblPop[[#This Row],[Net Peasant]],-1,0)+TblMili[[#This Row],[Release Draft]]</f>
        <v>328</v>
      </c>
      <c r="D40" s="94">
        <f ca="1">TblMili[[#This Row],[Military]]</f>
        <v>441</v>
      </c>
      <c r="E40" s="94">
        <f ca="1">TblMili[[#This Row],[Draftees]]</f>
        <v>441</v>
      </c>
      <c r="F40" s="94">
        <f ca="1">TblPop[[#This Row],[Peasants]]+TblPop[[#This Row],[Military]]</f>
        <v>769</v>
      </c>
      <c r="G40" s="139">
        <f ca="1">TblPop[[#This Row],[Military]]/TblPop[[#This Row],[Total]]</f>
        <v>0.57347204161248377</v>
      </c>
      <c r="H40" s="140">
        <f ca="1">MIN(TblPop[[#This Row],[Peasants]],TblPop[[#This Row],[Jobs]])</f>
        <v>328</v>
      </c>
      <c r="I40" s="139">
        <f ca="1">MIN(OFFSET(TblPop[[#This Row],[Jobs]],1,0)/TblPop[[#This Row],[Peasants]],1)</f>
        <v>1</v>
      </c>
      <c r="J40" s="140">
        <f ca="1">SUM(TblConstr[[#This Row],[Tot Alc]:[Tot GT]],TblConstr[[#This Row],[Tot Shr]:[Tot Doc]],TblConstr[[#This Row],[Dest Alc]:[Dest GT]],TblConstr[[#This Row],[Dest Shr]:[Dest Doc]])*building_employment + TblConstr[[#This Row],[Tot Fac]]*bonus_jobs_facts</f>
        <v>1000</v>
      </c>
      <c r="K40" s="141"/>
      <c r="L40" s="61">
        <f ca="1">TblPop[[#This Row],[Draftees]]</f>
        <v>441</v>
      </c>
      <c r="M40" s="61">
        <f ca="1">TblMili[[#This Row],[Unit 1]]</f>
        <v>0</v>
      </c>
      <c r="N40" s="61">
        <f ca="1">TblMili[[#This Row],[Unit 2]]</f>
        <v>0</v>
      </c>
      <c r="O40" s="61">
        <f ca="1">TblMili[[#This Row],[Unit 3]]</f>
        <v>0</v>
      </c>
      <c r="P40" s="61">
        <f ca="1">TblMili[[#This Row],[Unit 4]]</f>
        <v>0</v>
      </c>
      <c r="Q40" s="61">
        <f ca="1">TblMili[[#This Row],[Spies]]</f>
        <v>0</v>
      </c>
      <c r="R40" s="61">
        <f ca="1">TblMili[[#This Row],[Wizards]]</f>
        <v>0</v>
      </c>
      <c r="S40" s="61">
        <f ca="1">TblMili[[#This Row],[Archmages]]</f>
        <v>0</v>
      </c>
      <c r="T40" s="142"/>
      <c r="U40" s="94">
        <f ca="1">ROUND(TblPop[[#This Row],[Raw max]]*(1+OFFSET(TblPop[[#This Row],[Max pop]],-1,0)),0)+MIN(TblPop[[#This Row],[Military]]-TblPop[[#This Row],[Draftees]]-SUM(TblMili[[#This Row],[Train Unit 1]:[Train AM]]),(barracks_size + tech_8_3*TblTech[[#This Row],[8-3]])*TblConstr[[#This Row],[Tot Bar]])</f>
        <v>769</v>
      </c>
      <c r="V4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0" s="94">
        <f ca="1">MAX(-5%*TblPop[[#This Row],[Peasants]]-TblPop[[#This Row],[Draft Growth]],MIN(OFFSET(TblPop[[#This Row],[Net max]],1,0)-TblPop[[#This Row],[Peasants]]-TblPop[[#This Row],[Military]]-TblPop[[#This Row],[Draft Growth]],TblPop[[#This Row],[Modded Birth]]-TblPop[[#This Row],[Draft Growth]]))</f>
        <v>-3</v>
      </c>
      <c r="X40" s="94">
        <f ca="1">ROUND(TblPop[[#This Row],[Raw Birth]]*(1+TblPop[[#This Row],[Growth]]),0)</f>
        <v>10</v>
      </c>
      <c r="Y40" s="94">
        <f ca="1">(TblPop[[#This Row],[Peasants]]-TblPop[[#This Row],[Draft Growth]])*raw_pop_growth</f>
        <v>9.75</v>
      </c>
      <c r="Z40" s="94">
        <f ca="1">ROUND(IF(TblPop[[#This Row],[Military%]]&lt;TblMili[[#This Row],[Draftrate]],ROUND(TblPop[[#This Row],[Peasants]]*Constants!$B$55,0), 0) * IF(AND(TblMagic[[#This Row],[Active DnD]]&lt;=12,TblMagic[[#This Row],[Active DnD]]&gt;6),1.5,1),0)</f>
        <v>3</v>
      </c>
      <c r="AA40" s="142"/>
      <c r="AB40" s="143">
        <f ca="1">Overview!$I$17 + IF(Magic!AF40&gt;0,Constants!$F$78) + ROUND(6*(Construction!BM41+Construction!CK40)/IF(Explore!S41&gt;0,Construction!F41-20,Construction!F41),4) + tech_6_5_2*Techs!BJ40 + tech_8_4*Techs!BT40</f>
        <v>0</v>
      </c>
      <c r="AC40" s="139">
        <f ca="1">(Overview!$I$16 + Imps!Z40+ tech_2_5*Techs!AB40 + tech_3_6*Techs!AM40 + tech_6_1*Techs!BJ40 + tech_6_5*Techs!BF40 + tech_7_3_2*Techs!BN40) * (1 + Production!O40/100*prestige_pop_multiplier) + Production!O40/100*prestige_pop_multiplier</f>
        <v>2.5000000000000001E-2</v>
      </c>
    </row>
    <row r="41" spans="1:29" x14ac:dyDescent="0.2">
      <c r="A41" s="137">
        <f>TblRezone[[#This Row],[Hour]]</f>
        <v>38</v>
      </c>
      <c r="B41" s="138">
        <f ca="1">TblImps[[#This Row],[Time]]</f>
        <v>46321.541666666577</v>
      </c>
      <c r="C41" s="94">
        <f ca="1">OFFSET(TblPop[[#This Row],[Peasants]],-1,0)+OFFSET(TblPop[[#This Row],[Net Peasant]],-1,0)+TblMili[[#This Row],[Release Draft]]</f>
        <v>325</v>
      </c>
      <c r="D41" s="94">
        <f ca="1">TblMili[[#This Row],[Military]]</f>
        <v>444</v>
      </c>
      <c r="E41" s="94">
        <f ca="1">TblMili[[#This Row],[Draftees]]</f>
        <v>444</v>
      </c>
      <c r="F41" s="94">
        <f ca="1">TblPop[[#This Row],[Peasants]]+TblPop[[#This Row],[Military]]</f>
        <v>769</v>
      </c>
      <c r="G41" s="139">
        <f ca="1">TblPop[[#This Row],[Military]]/TblPop[[#This Row],[Total]]</f>
        <v>0.57737321196358904</v>
      </c>
      <c r="H41" s="140">
        <f ca="1">MIN(TblPop[[#This Row],[Peasants]],TblPop[[#This Row],[Jobs]])</f>
        <v>325</v>
      </c>
      <c r="I41" s="139">
        <f ca="1">MIN(OFFSET(TblPop[[#This Row],[Jobs]],1,0)/TblPop[[#This Row],[Peasants]],1)</f>
        <v>1</v>
      </c>
      <c r="J41" s="140">
        <f ca="1">SUM(TblConstr[[#This Row],[Tot Alc]:[Tot GT]],TblConstr[[#This Row],[Tot Shr]:[Tot Doc]],TblConstr[[#This Row],[Dest Alc]:[Dest GT]],TblConstr[[#This Row],[Dest Shr]:[Dest Doc]])*building_employment + TblConstr[[#This Row],[Tot Fac]]*bonus_jobs_facts</f>
        <v>1000</v>
      </c>
      <c r="K41" s="141"/>
      <c r="L41" s="61">
        <f ca="1">TblPop[[#This Row],[Draftees]]</f>
        <v>444</v>
      </c>
      <c r="M41" s="61">
        <f ca="1">TblMili[[#This Row],[Unit 1]]</f>
        <v>0</v>
      </c>
      <c r="N41" s="61">
        <f ca="1">TblMili[[#This Row],[Unit 2]]</f>
        <v>0</v>
      </c>
      <c r="O41" s="61">
        <f ca="1">TblMili[[#This Row],[Unit 3]]</f>
        <v>0</v>
      </c>
      <c r="P41" s="61">
        <f ca="1">TblMili[[#This Row],[Unit 4]]</f>
        <v>0</v>
      </c>
      <c r="Q41" s="61">
        <f ca="1">TblMili[[#This Row],[Spies]]</f>
        <v>0</v>
      </c>
      <c r="R41" s="61">
        <f ca="1">TblMili[[#This Row],[Wizards]]</f>
        <v>0</v>
      </c>
      <c r="S41" s="61">
        <f ca="1">TblMili[[#This Row],[Archmages]]</f>
        <v>0</v>
      </c>
      <c r="T41" s="142"/>
      <c r="U41" s="94">
        <f ca="1">ROUND(TblPop[[#This Row],[Raw max]]*(1+OFFSET(TblPop[[#This Row],[Max pop]],-1,0)),0)+MIN(TblPop[[#This Row],[Military]]-TblPop[[#This Row],[Draftees]]-SUM(TblMili[[#This Row],[Train Unit 1]:[Train AM]]),(barracks_size + tech_8_3*TblTech[[#This Row],[8-3]])*TblConstr[[#This Row],[Tot Bar]])</f>
        <v>769</v>
      </c>
      <c r="V4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1" s="94">
        <f ca="1">MAX(-5%*TblPop[[#This Row],[Peasants]]-TblPop[[#This Row],[Draft Growth]],MIN(OFFSET(TblPop[[#This Row],[Net max]],1,0)-TblPop[[#This Row],[Peasants]]-TblPop[[#This Row],[Military]]-TblPop[[#This Row],[Draft Growth]],TblPop[[#This Row],[Modded Birth]]-TblPop[[#This Row],[Draft Growth]]))</f>
        <v>-3</v>
      </c>
      <c r="X41" s="94">
        <f ca="1">ROUND(TblPop[[#This Row],[Raw Birth]]*(1+TblPop[[#This Row],[Growth]]),0)</f>
        <v>10</v>
      </c>
      <c r="Y41" s="94">
        <f ca="1">(TblPop[[#This Row],[Peasants]]-TblPop[[#This Row],[Draft Growth]])*raw_pop_growth</f>
        <v>9.66</v>
      </c>
      <c r="Z41" s="94">
        <f ca="1">ROUND(IF(TblPop[[#This Row],[Military%]]&lt;TblMili[[#This Row],[Draftrate]],ROUND(TblPop[[#This Row],[Peasants]]*Constants!$B$55,0), 0) * IF(AND(TblMagic[[#This Row],[Active DnD]]&lt;=12,TblMagic[[#This Row],[Active DnD]]&gt;6),1.5,1),0)</f>
        <v>3</v>
      </c>
      <c r="AA41" s="142"/>
      <c r="AB41" s="143">
        <f ca="1">Overview!$I$17 + IF(Magic!AF41&gt;0,Constants!$F$78) + ROUND(6*(Construction!BM42+Construction!CK41)/IF(Explore!S42&gt;0,Construction!F42-20,Construction!F42),4) + tech_6_5_2*Techs!BJ41 + tech_8_4*Techs!BT41</f>
        <v>0</v>
      </c>
      <c r="AC41" s="139">
        <f ca="1">(Overview!$I$16 + Imps!Z41+ tech_2_5*Techs!AB41 + tech_3_6*Techs!AM41 + tech_6_1*Techs!BJ41 + tech_6_5*Techs!BF41 + tech_7_3_2*Techs!BN41) * (1 + Production!O41/100*prestige_pop_multiplier) + Production!O41/100*prestige_pop_multiplier</f>
        <v>2.5000000000000001E-2</v>
      </c>
    </row>
    <row r="42" spans="1:29" x14ac:dyDescent="0.2">
      <c r="A42" s="137">
        <f>TblRezone[[#This Row],[Hour]]</f>
        <v>39</v>
      </c>
      <c r="B42" s="138">
        <f ca="1">TblImps[[#This Row],[Time]]</f>
        <v>46321.583333333241</v>
      </c>
      <c r="C42" s="94">
        <f ca="1">OFFSET(TblPop[[#This Row],[Peasants]],-1,0)+OFFSET(TblPop[[#This Row],[Net Peasant]],-1,0)+TblMili[[#This Row],[Release Draft]]</f>
        <v>322</v>
      </c>
      <c r="D42" s="94">
        <f ca="1">TblMili[[#This Row],[Military]]</f>
        <v>447</v>
      </c>
      <c r="E42" s="94">
        <f ca="1">TblMili[[#This Row],[Draftees]]</f>
        <v>447</v>
      </c>
      <c r="F42" s="94">
        <f ca="1">TblPop[[#This Row],[Peasants]]+TblPop[[#This Row],[Military]]</f>
        <v>769</v>
      </c>
      <c r="G42" s="139">
        <f ca="1">TblPop[[#This Row],[Military]]/TblPop[[#This Row],[Total]]</f>
        <v>0.58127438231469442</v>
      </c>
      <c r="H42" s="140">
        <f ca="1">MIN(TblPop[[#This Row],[Peasants]],TblPop[[#This Row],[Jobs]])</f>
        <v>322</v>
      </c>
      <c r="I42" s="139">
        <f ca="1">MIN(OFFSET(TblPop[[#This Row],[Jobs]],1,0)/TblPop[[#This Row],[Peasants]],1)</f>
        <v>1</v>
      </c>
      <c r="J42" s="140">
        <f ca="1">SUM(TblConstr[[#This Row],[Tot Alc]:[Tot GT]],TblConstr[[#This Row],[Tot Shr]:[Tot Doc]],TblConstr[[#This Row],[Dest Alc]:[Dest GT]],TblConstr[[#This Row],[Dest Shr]:[Dest Doc]])*building_employment + TblConstr[[#This Row],[Tot Fac]]*bonus_jobs_facts</f>
        <v>1000</v>
      </c>
      <c r="K42" s="141"/>
      <c r="L42" s="61">
        <f ca="1">TblPop[[#This Row],[Draftees]]</f>
        <v>447</v>
      </c>
      <c r="M42" s="61">
        <f ca="1">TblMili[[#This Row],[Unit 1]]</f>
        <v>0</v>
      </c>
      <c r="N42" s="61">
        <f ca="1">TblMili[[#This Row],[Unit 2]]</f>
        <v>0</v>
      </c>
      <c r="O42" s="61">
        <f ca="1">TblMili[[#This Row],[Unit 3]]</f>
        <v>0</v>
      </c>
      <c r="P42" s="61">
        <f ca="1">TblMili[[#This Row],[Unit 4]]</f>
        <v>0</v>
      </c>
      <c r="Q42" s="61">
        <f ca="1">TblMili[[#This Row],[Spies]]</f>
        <v>0</v>
      </c>
      <c r="R42" s="61">
        <f ca="1">TblMili[[#This Row],[Wizards]]</f>
        <v>0</v>
      </c>
      <c r="S42" s="61">
        <f ca="1">TblMili[[#This Row],[Archmages]]</f>
        <v>0</v>
      </c>
      <c r="T42" s="142"/>
      <c r="U42" s="94">
        <f ca="1">ROUND(TblPop[[#This Row],[Raw max]]*(1+OFFSET(TblPop[[#This Row],[Max pop]],-1,0)),0)+MIN(TblPop[[#This Row],[Military]]-TblPop[[#This Row],[Draftees]]-SUM(TblMili[[#This Row],[Train Unit 1]:[Train AM]]),(barracks_size + tech_8_3*TblTech[[#This Row],[8-3]])*TblConstr[[#This Row],[Tot Bar]])</f>
        <v>769</v>
      </c>
      <c r="V4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2" s="94">
        <f ca="1">MAX(-5%*TblPop[[#This Row],[Peasants]]-TblPop[[#This Row],[Draft Growth]],MIN(OFFSET(TblPop[[#This Row],[Net max]],1,0)-TblPop[[#This Row],[Peasants]]-TblPop[[#This Row],[Military]]-TblPop[[#This Row],[Draft Growth]],TblPop[[#This Row],[Modded Birth]]-TblPop[[#This Row],[Draft Growth]]))</f>
        <v>-3</v>
      </c>
      <c r="X42" s="94">
        <f ca="1">ROUND(TblPop[[#This Row],[Raw Birth]]*(1+TblPop[[#This Row],[Growth]]),0)</f>
        <v>10</v>
      </c>
      <c r="Y42" s="94">
        <f ca="1">(TblPop[[#This Row],[Peasants]]-TblPop[[#This Row],[Draft Growth]])*raw_pop_growth</f>
        <v>9.57</v>
      </c>
      <c r="Z42" s="94">
        <f ca="1">ROUND(IF(TblPop[[#This Row],[Military%]]&lt;TblMili[[#This Row],[Draftrate]],ROUND(TblPop[[#This Row],[Peasants]]*Constants!$B$55,0), 0) * IF(AND(TblMagic[[#This Row],[Active DnD]]&lt;=12,TblMagic[[#This Row],[Active DnD]]&gt;6),1.5,1),0)</f>
        <v>3</v>
      </c>
      <c r="AA42" s="142"/>
      <c r="AB42" s="143">
        <f ca="1">Overview!$I$17 + IF(Magic!AF42&gt;0,Constants!$F$78) + ROUND(6*(Construction!BM43+Construction!CK42)/IF(Explore!S43&gt;0,Construction!F43-20,Construction!F43),4) + tech_6_5_2*Techs!BJ42 + tech_8_4*Techs!BT42</f>
        <v>0</v>
      </c>
      <c r="AC42" s="139">
        <f ca="1">(Overview!$I$16 + Imps!Z42+ tech_2_5*Techs!AB42 + tech_3_6*Techs!AM42 + tech_6_1*Techs!BJ42 + tech_6_5*Techs!BF42 + tech_7_3_2*Techs!BN42) * (1 + Production!O42/100*prestige_pop_multiplier) + Production!O42/100*prestige_pop_multiplier</f>
        <v>2.5000000000000001E-2</v>
      </c>
    </row>
    <row r="43" spans="1:29" x14ac:dyDescent="0.2">
      <c r="A43" s="137">
        <f>TblRezone[[#This Row],[Hour]]</f>
        <v>40</v>
      </c>
      <c r="B43" s="138">
        <f ca="1">TblImps[[#This Row],[Time]]</f>
        <v>46321.624999999905</v>
      </c>
      <c r="C43" s="94">
        <f ca="1">OFFSET(TblPop[[#This Row],[Peasants]],-1,0)+OFFSET(TblPop[[#This Row],[Net Peasant]],-1,0)+TblMili[[#This Row],[Release Draft]]</f>
        <v>319</v>
      </c>
      <c r="D43" s="94">
        <f ca="1">TblMili[[#This Row],[Military]]</f>
        <v>450</v>
      </c>
      <c r="E43" s="94">
        <f ca="1">TblMili[[#This Row],[Draftees]]</f>
        <v>450</v>
      </c>
      <c r="F43" s="94">
        <f ca="1">TblPop[[#This Row],[Peasants]]+TblPop[[#This Row],[Military]]</f>
        <v>769</v>
      </c>
      <c r="G43" s="139">
        <f ca="1">TblPop[[#This Row],[Military]]/TblPop[[#This Row],[Total]]</f>
        <v>0.58517555266579979</v>
      </c>
      <c r="H43" s="140">
        <f ca="1">MIN(TblPop[[#This Row],[Peasants]],TblPop[[#This Row],[Jobs]])</f>
        <v>319</v>
      </c>
      <c r="I43" s="139">
        <f ca="1">MIN(OFFSET(TblPop[[#This Row],[Jobs]],1,0)/TblPop[[#This Row],[Peasants]],1)</f>
        <v>1</v>
      </c>
      <c r="J43" s="140">
        <f ca="1">SUM(TblConstr[[#This Row],[Tot Alc]:[Tot GT]],TblConstr[[#This Row],[Tot Shr]:[Tot Doc]],TblConstr[[#This Row],[Dest Alc]:[Dest GT]],TblConstr[[#This Row],[Dest Shr]:[Dest Doc]])*building_employment + TblConstr[[#This Row],[Tot Fac]]*bonus_jobs_facts</f>
        <v>1000</v>
      </c>
      <c r="K43" s="141"/>
      <c r="L43" s="61">
        <f ca="1">TblPop[[#This Row],[Draftees]]</f>
        <v>450</v>
      </c>
      <c r="M43" s="61">
        <f ca="1">TblMili[[#This Row],[Unit 1]]</f>
        <v>0</v>
      </c>
      <c r="N43" s="61">
        <f ca="1">TblMili[[#This Row],[Unit 2]]</f>
        <v>0</v>
      </c>
      <c r="O43" s="61">
        <f ca="1">TblMili[[#This Row],[Unit 3]]</f>
        <v>0</v>
      </c>
      <c r="P43" s="61">
        <f ca="1">TblMili[[#This Row],[Unit 4]]</f>
        <v>0</v>
      </c>
      <c r="Q43" s="61">
        <f ca="1">TblMili[[#This Row],[Spies]]</f>
        <v>0</v>
      </c>
      <c r="R43" s="61">
        <f ca="1">TblMili[[#This Row],[Wizards]]</f>
        <v>0</v>
      </c>
      <c r="S43" s="61">
        <f ca="1">TblMili[[#This Row],[Archmages]]</f>
        <v>0</v>
      </c>
      <c r="T43" s="142"/>
      <c r="U43" s="94">
        <f ca="1">ROUND(TblPop[[#This Row],[Raw max]]*(1+OFFSET(TblPop[[#This Row],[Max pop]],-1,0)),0)+MIN(TblPop[[#This Row],[Military]]-TblPop[[#This Row],[Draftees]]-SUM(TblMili[[#This Row],[Train Unit 1]:[Train AM]]),(barracks_size + tech_8_3*TblTech[[#This Row],[8-3]])*TblConstr[[#This Row],[Tot Bar]])</f>
        <v>769</v>
      </c>
      <c r="V4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3" s="94">
        <f ca="1">MAX(-5%*TblPop[[#This Row],[Peasants]]-TblPop[[#This Row],[Draft Growth]],MIN(OFFSET(TblPop[[#This Row],[Net max]],1,0)-TblPop[[#This Row],[Peasants]]-TblPop[[#This Row],[Military]]-TblPop[[#This Row],[Draft Growth]],TblPop[[#This Row],[Modded Birth]]-TblPop[[#This Row],[Draft Growth]]))</f>
        <v>-3</v>
      </c>
      <c r="X43" s="94">
        <f ca="1">ROUND(TblPop[[#This Row],[Raw Birth]]*(1+TblPop[[#This Row],[Growth]]),0)</f>
        <v>9</v>
      </c>
      <c r="Y43" s="94">
        <f ca="1">(TblPop[[#This Row],[Peasants]]-TblPop[[#This Row],[Draft Growth]])*raw_pop_growth</f>
        <v>9.48</v>
      </c>
      <c r="Z43" s="94">
        <f ca="1">ROUND(IF(TblPop[[#This Row],[Military%]]&lt;TblMili[[#This Row],[Draftrate]],ROUND(TblPop[[#This Row],[Peasants]]*Constants!$B$55,0), 0) * IF(AND(TblMagic[[#This Row],[Active DnD]]&lt;=12,TblMagic[[#This Row],[Active DnD]]&gt;6),1.5,1),0)</f>
        <v>3</v>
      </c>
      <c r="AA43" s="142"/>
      <c r="AB43" s="143">
        <f ca="1">Overview!$I$17 + IF(Magic!AF43&gt;0,Constants!$F$78) + ROUND(6*(Construction!BM44+Construction!CK43)/IF(Explore!S44&gt;0,Construction!F44-20,Construction!F44),4) + tech_6_5_2*Techs!BJ43 + tech_8_4*Techs!BT43</f>
        <v>0</v>
      </c>
      <c r="AC43" s="139">
        <f ca="1">(Overview!$I$16 + Imps!Z43+ tech_2_5*Techs!AB43 + tech_3_6*Techs!AM43 + tech_6_1*Techs!BJ43 + tech_6_5*Techs!BF43 + tech_7_3_2*Techs!BN43) * (1 + Production!O43/100*prestige_pop_multiplier) + Production!O43/100*prestige_pop_multiplier</f>
        <v>2.5000000000000001E-2</v>
      </c>
    </row>
    <row r="44" spans="1:29" x14ac:dyDescent="0.2">
      <c r="A44" s="137">
        <f>TblRezone[[#This Row],[Hour]]</f>
        <v>41</v>
      </c>
      <c r="B44" s="138">
        <f ca="1">TblImps[[#This Row],[Time]]</f>
        <v>46321.66666666657</v>
      </c>
      <c r="C44" s="94">
        <f ca="1">OFFSET(TblPop[[#This Row],[Peasants]],-1,0)+OFFSET(TblPop[[#This Row],[Net Peasant]],-1,0)+TblMili[[#This Row],[Release Draft]]</f>
        <v>316</v>
      </c>
      <c r="D44" s="94">
        <f ca="1">TblMili[[#This Row],[Military]]</f>
        <v>453</v>
      </c>
      <c r="E44" s="94">
        <f ca="1">TblMili[[#This Row],[Draftees]]</f>
        <v>453</v>
      </c>
      <c r="F44" s="94">
        <f ca="1">TblPop[[#This Row],[Peasants]]+TblPop[[#This Row],[Military]]</f>
        <v>769</v>
      </c>
      <c r="G44" s="139">
        <f ca="1">TblPop[[#This Row],[Military]]/TblPop[[#This Row],[Total]]</f>
        <v>0.58907672301690506</v>
      </c>
      <c r="H44" s="140">
        <f ca="1">MIN(TblPop[[#This Row],[Peasants]],TblPop[[#This Row],[Jobs]])</f>
        <v>316</v>
      </c>
      <c r="I44" s="139">
        <f ca="1">MIN(OFFSET(TblPop[[#This Row],[Jobs]],1,0)/TblPop[[#This Row],[Peasants]],1)</f>
        <v>1</v>
      </c>
      <c r="J44" s="140">
        <f ca="1">SUM(TblConstr[[#This Row],[Tot Alc]:[Tot GT]],TblConstr[[#This Row],[Tot Shr]:[Tot Doc]],TblConstr[[#This Row],[Dest Alc]:[Dest GT]],TblConstr[[#This Row],[Dest Shr]:[Dest Doc]])*building_employment + TblConstr[[#This Row],[Tot Fac]]*bonus_jobs_facts</f>
        <v>1000</v>
      </c>
      <c r="K44" s="141"/>
      <c r="L44" s="61">
        <f ca="1">TblPop[[#This Row],[Draftees]]</f>
        <v>453</v>
      </c>
      <c r="M44" s="61">
        <f ca="1">TblMili[[#This Row],[Unit 1]]</f>
        <v>0</v>
      </c>
      <c r="N44" s="61">
        <f ca="1">TblMili[[#This Row],[Unit 2]]</f>
        <v>0</v>
      </c>
      <c r="O44" s="61">
        <f ca="1">TblMili[[#This Row],[Unit 3]]</f>
        <v>0</v>
      </c>
      <c r="P44" s="61">
        <f ca="1">TblMili[[#This Row],[Unit 4]]</f>
        <v>0</v>
      </c>
      <c r="Q44" s="61">
        <f ca="1">TblMili[[#This Row],[Spies]]</f>
        <v>0</v>
      </c>
      <c r="R44" s="61">
        <f ca="1">TblMili[[#This Row],[Wizards]]</f>
        <v>0</v>
      </c>
      <c r="S44" s="61">
        <f ca="1">TblMili[[#This Row],[Archmages]]</f>
        <v>0</v>
      </c>
      <c r="T44" s="142"/>
      <c r="U44" s="94">
        <f ca="1">ROUND(TblPop[[#This Row],[Raw max]]*(1+OFFSET(TblPop[[#This Row],[Max pop]],-1,0)),0)+MIN(TblPop[[#This Row],[Military]]-TblPop[[#This Row],[Draftees]]-SUM(TblMili[[#This Row],[Train Unit 1]:[Train AM]]),(barracks_size + tech_8_3*TblTech[[#This Row],[8-3]])*TblConstr[[#This Row],[Tot Bar]])</f>
        <v>769</v>
      </c>
      <c r="V4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4" s="94">
        <f ca="1">MAX(-5%*TblPop[[#This Row],[Peasants]]-TblPop[[#This Row],[Draft Growth]],MIN(OFFSET(TblPop[[#This Row],[Net max]],1,0)-TblPop[[#This Row],[Peasants]]-TblPop[[#This Row],[Military]]-TblPop[[#This Row],[Draft Growth]],TblPop[[#This Row],[Modded Birth]]-TblPop[[#This Row],[Draft Growth]]))</f>
        <v>-3</v>
      </c>
      <c r="X44" s="94">
        <f ca="1">ROUND(TblPop[[#This Row],[Raw Birth]]*(1+TblPop[[#This Row],[Growth]]),0)</f>
        <v>9</v>
      </c>
      <c r="Y44" s="94">
        <f ca="1">(TblPop[[#This Row],[Peasants]]-TblPop[[#This Row],[Draft Growth]])*raw_pop_growth</f>
        <v>9.3899999999999988</v>
      </c>
      <c r="Z44" s="94">
        <f ca="1">ROUND(IF(TblPop[[#This Row],[Military%]]&lt;TblMili[[#This Row],[Draftrate]],ROUND(TblPop[[#This Row],[Peasants]]*Constants!$B$55,0), 0) * IF(AND(TblMagic[[#This Row],[Active DnD]]&lt;=12,TblMagic[[#This Row],[Active DnD]]&gt;6),1.5,1),0)</f>
        <v>3</v>
      </c>
      <c r="AA44" s="142"/>
      <c r="AB44" s="143">
        <f ca="1">Overview!$I$17 + IF(Magic!AF44&gt;0,Constants!$F$78) + ROUND(6*(Construction!BM45+Construction!CK44)/IF(Explore!S45&gt;0,Construction!F45-20,Construction!F45),4) + tech_6_5_2*Techs!BJ44 + tech_8_4*Techs!BT44</f>
        <v>0</v>
      </c>
      <c r="AC44" s="139">
        <f ca="1">(Overview!$I$16 + Imps!Z44+ tech_2_5*Techs!AB44 + tech_3_6*Techs!AM44 + tech_6_1*Techs!BJ44 + tech_6_5*Techs!BF44 + tech_7_3_2*Techs!BN44) * (1 + Production!O44/100*prestige_pop_multiplier) + Production!O44/100*prestige_pop_multiplier</f>
        <v>2.5000000000000001E-2</v>
      </c>
    </row>
    <row r="45" spans="1:29" x14ac:dyDescent="0.2">
      <c r="A45" s="137">
        <f>TblRezone[[#This Row],[Hour]]</f>
        <v>42</v>
      </c>
      <c r="B45" s="138">
        <f ca="1">TblImps[[#This Row],[Time]]</f>
        <v>46321.708333333234</v>
      </c>
      <c r="C45" s="94">
        <f ca="1">OFFSET(TblPop[[#This Row],[Peasants]],-1,0)+OFFSET(TblPop[[#This Row],[Net Peasant]],-1,0)+TblMili[[#This Row],[Release Draft]]</f>
        <v>313</v>
      </c>
      <c r="D45" s="94">
        <f ca="1">TblMili[[#This Row],[Military]]</f>
        <v>456</v>
      </c>
      <c r="E45" s="94">
        <f ca="1">TblMili[[#This Row],[Draftees]]</f>
        <v>456</v>
      </c>
      <c r="F45" s="94">
        <f ca="1">TblPop[[#This Row],[Peasants]]+TblPop[[#This Row],[Military]]</f>
        <v>769</v>
      </c>
      <c r="G45" s="139">
        <f ca="1">TblPop[[#This Row],[Military]]/TblPop[[#This Row],[Total]]</f>
        <v>0.59297789336801043</v>
      </c>
      <c r="H45" s="140">
        <f ca="1">MIN(TblPop[[#This Row],[Peasants]],TblPop[[#This Row],[Jobs]])</f>
        <v>313</v>
      </c>
      <c r="I45" s="139">
        <f ca="1">MIN(OFFSET(TblPop[[#This Row],[Jobs]],1,0)/TblPop[[#This Row],[Peasants]],1)</f>
        <v>1</v>
      </c>
      <c r="J45" s="140">
        <f ca="1">SUM(TblConstr[[#This Row],[Tot Alc]:[Tot GT]],TblConstr[[#This Row],[Tot Shr]:[Tot Doc]],TblConstr[[#This Row],[Dest Alc]:[Dest GT]],TblConstr[[#This Row],[Dest Shr]:[Dest Doc]])*building_employment + TblConstr[[#This Row],[Tot Fac]]*bonus_jobs_facts</f>
        <v>1000</v>
      </c>
      <c r="K45" s="141"/>
      <c r="L45" s="61">
        <f ca="1">TblPop[[#This Row],[Draftees]]</f>
        <v>456</v>
      </c>
      <c r="M45" s="61">
        <f ca="1">TblMili[[#This Row],[Unit 1]]</f>
        <v>0</v>
      </c>
      <c r="N45" s="61">
        <f ca="1">TblMili[[#This Row],[Unit 2]]</f>
        <v>0</v>
      </c>
      <c r="O45" s="61">
        <f ca="1">TblMili[[#This Row],[Unit 3]]</f>
        <v>0</v>
      </c>
      <c r="P45" s="61">
        <f ca="1">TblMili[[#This Row],[Unit 4]]</f>
        <v>0</v>
      </c>
      <c r="Q45" s="61">
        <f ca="1">TblMili[[#This Row],[Spies]]</f>
        <v>0</v>
      </c>
      <c r="R45" s="61">
        <f ca="1">TblMili[[#This Row],[Wizards]]</f>
        <v>0</v>
      </c>
      <c r="S45" s="61">
        <f ca="1">TblMili[[#This Row],[Archmages]]</f>
        <v>0</v>
      </c>
      <c r="T45" s="142"/>
      <c r="U45" s="94">
        <f ca="1">ROUND(TblPop[[#This Row],[Raw max]]*(1+OFFSET(TblPop[[#This Row],[Max pop]],-1,0)),0)+MIN(TblPop[[#This Row],[Military]]-TblPop[[#This Row],[Draftees]]-SUM(TblMili[[#This Row],[Train Unit 1]:[Train AM]]),(barracks_size + tech_8_3*TblTech[[#This Row],[8-3]])*TblConstr[[#This Row],[Tot Bar]])</f>
        <v>769</v>
      </c>
      <c r="V4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5" s="94">
        <f ca="1">MAX(-5%*TblPop[[#This Row],[Peasants]]-TblPop[[#This Row],[Draft Growth]],MIN(OFFSET(TblPop[[#This Row],[Net max]],1,0)-TblPop[[#This Row],[Peasants]]-TblPop[[#This Row],[Military]]-TblPop[[#This Row],[Draft Growth]],TblPop[[#This Row],[Modded Birth]]-TblPop[[#This Row],[Draft Growth]]))</f>
        <v>-3</v>
      </c>
      <c r="X45" s="94">
        <f ca="1">ROUND(TblPop[[#This Row],[Raw Birth]]*(1+TblPop[[#This Row],[Growth]]),0)</f>
        <v>9</v>
      </c>
      <c r="Y45" s="94">
        <f ca="1">(TblPop[[#This Row],[Peasants]]-TblPop[[#This Row],[Draft Growth]])*raw_pop_growth</f>
        <v>9.2999999999999989</v>
      </c>
      <c r="Z45" s="94">
        <f ca="1">ROUND(IF(TblPop[[#This Row],[Military%]]&lt;TblMili[[#This Row],[Draftrate]],ROUND(TblPop[[#This Row],[Peasants]]*Constants!$B$55,0), 0) * IF(AND(TblMagic[[#This Row],[Active DnD]]&lt;=12,TblMagic[[#This Row],[Active DnD]]&gt;6),1.5,1),0)</f>
        <v>3</v>
      </c>
      <c r="AA45" s="142"/>
      <c r="AB45" s="143">
        <f ca="1">Overview!$I$17 + IF(Magic!AF45&gt;0,Constants!$F$78) + ROUND(6*(Construction!BM46+Construction!CK45)/IF(Explore!S46&gt;0,Construction!F46-20,Construction!F46),4) + tech_6_5_2*Techs!BJ45 + tech_8_4*Techs!BT45</f>
        <v>0</v>
      </c>
      <c r="AC45" s="139">
        <f ca="1">(Overview!$I$16 + Imps!Z45+ tech_2_5*Techs!AB45 + tech_3_6*Techs!AM45 + tech_6_1*Techs!BJ45 + tech_6_5*Techs!BF45 + tech_7_3_2*Techs!BN45) * (1 + Production!O45/100*prestige_pop_multiplier) + Production!O45/100*prestige_pop_multiplier</f>
        <v>2.5000000000000001E-2</v>
      </c>
    </row>
    <row r="46" spans="1:29" x14ac:dyDescent="0.2">
      <c r="A46" s="137">
        <f>TblRezone[[#This Row],[Hour]]</f>
        <v>43</v>
      </c>
      <c r="B46" s="138">
        <f ca="1">TblImps[[#This Row],[Time]]</f>
        <v>46321.749999999898</v>
      </c>
      <c r="C46" s="94">
        <f ca="1">OFFSET(TblPop[[#This Row],[Peasants]],-1,0)+OFFSET(TblPop[[#This Row],[Net Peasant]],-1,0)+TblMili[[#This Row],[Release Draft]]</f>
        <v>310</v>
      </c>
      <c r="D46" s="94">
        <f ca="1">TblMili[[#This Row],[Military]]</f>
        <v>459</v>
      </c>
      <c r="E46" s="94">
        <f ca="1">TblMili[[#This Row],[Draftees]]</f>
        <v>459</v>
      </c>
      <c r="F46" s="94">
        <f ca="1">TblPop[[#This Row],[Peasants]]+TblPop[[#This Row],[Military]]</f>
        <v>769</v>
      </c>
      <c r="G46" s="139">
        <f ca="1">TblPop[[#This Row],[Military]]/TblPop[[#This Row],[Total]]</f>
        <v>0.5968790637191157</v>
      </c>
      <c r="H46" s="140">
        <f ca="1">MIN(TblPop[[#This Row],[Peasants]],TblPop[[#This Row],[Jobs]])</f>
        <v>310</v>
      </c>
      <c r="I46" s="139">
        <f ca="1">MIN(OFFSET(TblPop[[#This Row],[Jobs]],1,0)/TblPop[[#This Row],[Peasants]],1)</f>
        <v>1</v>
      </c>
      <c r="J46" s="140">
        <f ca="1">SUM(TblConstr[[#This Row],[Tot Alc]:[Tot GT]],TblConstr[[#This Row],[Tot Shr]:[Tot Doc]],TblConstr[[#This Row],[Dest Alc]:[Dest GT]],TblConstr[[#This Row],[Dest Shr]:[Dest Doc]])*building_employment + TblConstr[[#This Row],[Tot Fac]]*bonus_jobs_facts</f>
        <v>1000</v>
      </c>
      <c r="K46" s="141"/>
      <c r="L46" s="61">
        <f ca="1">TblPop[[#This Row],[Draftees]]</f>
        <v>459</v>
      </c>
      <c r="M46" s="61">
        <f ca="1">TblMili[[#This Row],[Unit 1]]</f>
        <v>0</v>
      </c>
      <c r="N46" s="61">
        <f ca="1">TblMili[[#This Row],[Unit 2]]</f>
        <v>0</v>
      </c>
      <c r="O46" s="61">
        <f ca="1">TblMili[[#This Row],[Unit 3]]</f>
        <v>0</v>
      </c>
      <c r="P46" s="61">
        <f ca="1">TblMili[[#This Row],[Unit 4]]</f>
        <v>0</v>
      </c>
      <c r="Q46" s="61">
        <f ca="1">TblMili[[#This Row],[Spies]]</f>
        <v>0</v>
      </c>
      <c r="R46" s="61">
        <f ca="1">TblMili[[#This Row],[Wizards]]</f>
        <v>0</v>
      </c>
      <c r="S46" s="61">
        <f ca="1">TblMili[[#This Row],[Archmages]]</f>
        <v>0</v>
      </c>
      <c r="T46" s="142"/>
      <c r="U46" s="94">
        <f ca="1">ROUND(TblPop[[#This Row],[Raw max]]*(1+OFFSET(TblPop[[#This Row],[Max pop]],-1,0)),0)+MIN(TblPop[[#This Row],[Military]]-TblPop[[#This Row],[Draftees]]-SUM(TblMili[[#This Row],[Train Unit 1]:[Train AM]]),(barracks_size + tech_8_3*TblTech[[#This Row],[8-3]])*TblConstr[[#This Row],[Tot Bar]])</f>
        <v>769</v>
      </c>
      <c r="V4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6" s="94">
        <f ca="1">MAX(-5%*TblPop[[#This Row],[Peasants]]-TblPop[[#This Row],[Draft Growth]],MIN(OFFSET(TblPop[[#This Row],[Net max]],1,0)-TblPop[[#This Row],[Peasants]]-TblPop[[#This Row],[Military]]-TblPop[[#This Row],[Draft Growth]],TblPop[[#This Row],[Modded Birth]]-TblPop[[#This Row],[Draft Growth]]))</f>
        <v>-3</v>
      </c>
      <c r="X46" s="94">
        <f ca="1">ROUND(TblPop[[#This Row],[Raw Birth]]*(1+TblPop[[#This Row],[Growth]]),0)</f>
        <v>9</v>
      </c>
      <c r="Y46" s="94">
        <f ca="1">(TblPop[[#This Row],[Peasants]]-TblPop[[#This Row],[Draft Growth]])*raw_pop_growth</f>
        <v>9.2099999999999991</v>
      </c>
      <c r="Z46" s="94">
        <f ca="1">ROUND(IF(TblPop[[#This Row],[Military%]]&lt;TblMili[[#This Row],[Draftrate]],ROUND(TblPop[[#This Row],[Peasants]]*Constants!$B$55,0), 0) * IF(AND(TblMagic[[#This Row],[Active DnD]]&lt;=12,TblMagic[[#This Row],[Active DnD]]&gt;6),1.5,1),0)</f>
        <v>3</v>
      </c>
      <c r="AA46" s="142"/>
      <c r="AB46" s="143">
        <f ca="1">Overview!$I$17 + IF(Magic!AF46&gt;0,Constants!$F$78) + ROUND(6*(Construction!BM47+Construction!CK46)/IF(Explore!S47&gt;0,Construction!F47-20,Construction!F47),4) + tech_6_5_2*Techs!BJ46 + tech_8_4*Techs!BT46</f>
        <v>0</v>
      </c>
      <c r="AC46" s="139">
        <f ca="1">(Overview!$I$16 + Imps!Z46+ tech_2_5*Techs!AB46 + tech_3_6*Techs!AM46 + tech_6_1*Techs!BJ46 + tech_6_5*Techs!BF46 + tech_7_3_2*Techs!BN46) * (1 + Production!O46/100*prestige_pop_multiplier) + Production!O46/100*prestige_pop_multiplier</f>
        <v>2.5000000000000001E-2</v>
      </c>
    </row>
    <row r="47" spans="1:29" x14ac:dyDescent="0.2">
      <c r="A47" s="137">
        <f>TblRezone[[#This Row],[Hour]]</f>
        <v>44</v>
      </c>
      <c r="B47" s="138">
        <f ca="1">TblImps[[#This Row],[Time]]</f>
        <v>46321.791666666562</v>
      </c>
      <c r="C47" s="94">
        <f ca="1">OFFSET(TblPop[[#This Row],[Peasants]],-1,0)+OFFSET(TblPop[[#This Row],[Net Peasant]],-1,0)+TblMili[[#This Row],[Release Draft]]</f>
        <v>307</v>
      </c>
      <c r="D47" s="94">
        <f ca="1">TblMili[[#This Row],[Military]]</f>
        <v>462</v>
      </c>
      <c r="E47" s="94">
        <f ca="1">TblMili[[#This Row],[Draftees]]</f>
        <v>462</v>
      </c>
      <c r="F47" s="94">
        <f ca="1">TblPop[[#This Row],[Peasants]]+TblPop[[#This Row],[Military]]</f>
        <v>769</v>
      </c>
      <c r="G47" s="139">
        <f ca="1">TblPop[[#This Row],[Military]]/TblPop[[#This Row],[Total]]</f>
        <v>0.60078023407022108</v>
      </c>
      <c r="H47" s="140">
        <f ca="1">MIN(TblPop[[#This Row],[Peasants]],TblPop[[#This Row],[Jobs]])</f>
        <v>307</v>
      </c>
      <c r="I47" s="139">
        <f ca="1">MIN(OFFSET(TblPop[[#This Row],[Jobs]],1,0)/TblPop[[#This Row],[Peasants]],1)</f>
        <v>1</v>
      </c>
      <c r="J47" s="140">
        <f ca="1">SUM(TblConstr[[#This Row],[Tot Alc]:[Tot GT]],TblConstr[[#This Row],[Tot Shr]:[Tot Doc]],TblConstr[[#This Row],[Dest Alc]:[Dest GT]],TblConstr[[#This Row],[Dest Shr]:[Dest Doc]])*building_employment + TblConstr[[#This Row],[Tot Fac]]*bonus_jobs_facts</f>
        <v>1000</v>
      </c>
      <c r="K47" s="141"/>
      <c r="L47" s="61">
        <f ca="1">TblPop[[#This Row],[Draftees]]</f>
        <v>462</v>
      </c>
      <c r="M47" s="61">
        <f ca="1">TblMili[[#This Row],[Unit 1]]</f>
        <v>0</v>
      </c>
      <c r="N47" s="61">
        <f ca="1">TblMili[[#This Row],[Unit 2]]</f>
        <v>0</v>
      </c>
      <c r="O47" s="61">
        <f ca="1">TblMili[[#This Row],[Unit 3]]</f>
        <v>0</v>
      </c>
      <c r="P47" s="61">
        <f ca="1">TblMili[[#This Row],[Unit 4]]</f>
        <v>0</v>
      </c>
      <c r="Q47" s="61">
        <f ca="1">TblMili[[#This Row],[Spies]]</f>
        <v>0</v>
      </c>
      <c r="R47" s="61">
        <f ca="1">TblMili[[#This Row],[Wizards]]</f>
        <v>0</v>
      </c>
      <c r="S47" s="61">
        <f ca="1">TblMili[[#This Row],[Archmages]]</f>
        <v>0</v>
      </c>
      <c r="T47" s="142"/>
      <c r="U47" s="94">
        <f ca="1">ROUND(TblPop[[#This Row],[Raw max]]*(1+OFFSET(TblPop[[#This Row],[Max pop]],-1,0)),0)+MIN(TblPop[[#This Row],[Military]]-TblPop[[#This Row],[Draftees]]-SUM(TblMili[[#This Row],[Train Unit 1]:[Train AM]]),(barracks_size + tech_8_3*TblTech[[#This Row],[8-3]])*TblConstr[[#This Row],[Tot Bar]])</f>
        <v>769</v>
      </c>
      <c r="V4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7" s="94">
        <f ca="1">MAX(-5%*TblPop[[#This Row],[Peasants]]-TblPop[[#This Row],[Draft Growth]],MIN(OFFSET(TblPop[[#This Row],[Net max]],1,0)-TblPop[[#This Row],[Peasants]]-TblPop[[#This Row],[Military]]-TblPop[[#This Row],[Draft Growth]],TblPop[[#This Row],[Modded Birth]]-TblPop[[#This Row],[Draft Growth]]))</f>
        <v>-3</v>
      </c>
      <c r="X47" s="94">
        <f ca="1">ROUND(TblPop[[#This Row],[Raw Birth]]*(1+TblPop[[#This Row],[Growth]]),0)</f>
        <v>9</v>
      </c>
      <c r="Y47" s="94">
        <f ca="1">(TblPop[[#This Row],[Peasants]]-TblPop[[#This Row],[Draft Growth]])*raw_pop_growth</f>
        <v>9.1199999999999992</v>
      </c>
      <c r="Z47" s="94">
        <f ca="1">ROUND(IF(TblPop[[#This Row],[Military%]]&lt;TblMili[[#This Row],[Draftrate]],ROUND(TblPop[[#This Row],[Peasants]]*Constants!$B$55,0), 0) * IF(AND(TblMagic[[#This Row],[Active DnD]]&lt;=12,TblMagic[[#This Row],[Active DnD]]&gt;6),1.5,1),0)</f>
        <v>3</v>
      </c>
      <c r="AA47" s="142"/>
      <c r="AB47" s="143">
        <f ca="1">Overview!$I$17 + IF(Magic!AF47&gt;0,Constants!$F$78) + ROUND(6*(Construction!BM48+Construction!CK47)/IF(Explore!S48&gt;0,Construction!F48-20,Construction!F48),4) + tech_6_5_2*Techs!BJ47 + tech_8_4*Techs!BT47</f>
        <v>0</v>
      </c>
      <c r="AC47" s="139">
        <f ca="1">(Overview!$I$16 + Imps!Z47+ tech_2_5*Techs!AB47 + tech_3_6*Techs!AM47 + tech_6_1*Techs!BJ47 + tech_6_5*Techs!BF47 + tech_7_3_2*Techs!BN47) * (1 + Production!O47/100*prestige_pop_multiplier) + Production!O47/100*prestige_pop_multiplier</f>
        <v>2.5000000000000001E-2</v>
      </c>
    </row>
    <row r="48" spans="1:29" x14ac:dyDescent="0.2">
      <c r="A48" s="137">
        <f>TblRezone[[#This Row],[Hour]]</f>
        <v>45</v>
      </c>
      <c r="B48" s="138">
        <f ca="1">TblImps[[#This Row],[Time]]</f>
        <v>46321.833333333227</v>
      </c>
      <c r="C48" s="94">
        <f ca="1">OFFSET(TblPop[[#This Row],[Peasants]],-1,0)+OFFSET(TblPop[[#This Row],[Net Peasant]],-1,0)+TblMili[[#This Row],[Release Draft]]</f>
        <v>304</v>
      </c>
      <c r="D48" s="94">
        <f ca="1">TblMili[[#This Row],[Military]]</f>
        <v>465</v>
      </c>
      <c r="E48" s="94">
        <f ca="1">TblMili[[#This Row],[Draftees]]</f>
        <v>465</v>
      </c>
      <c r="F48" s="94">
        <f ca="1">TblPop[[#This Row],[Peasants]]+TblPop[[#This Row],[Military]]</f>
        <v>769</v>
      </c>
      <c r="G48" s="139">
        <f ca="1">TblPop[[#This Row],[Military]]/TblPop[[#This Row],[Total]]</f>
        <v>0.60468140442132645</v>
      </c>
      <c r="H48" s="140">
        <f ca="1">MIN(TblPop[[#This Row],[Peasants]],TblPop[[#This Row],[Jobs]])</f>
        <v>304</v>
      </c>
      <c r="I48" s="139">
        <f ca="1">MIN(OFFSET(TblPop[[#This Row],[Jobs]],1,0)/TblPop[[#This Row],[Peasants]],1)</f>
        <v>1</v>
      </c>
      <c r="J48" s="140">
        <f ca="1">SUM(TblConstr[[#This Row],[Tot Alc]:[Tot GT]],TblConstr[[#This Row],[Tot Shr]:[Tot Doc]],TblConstr[[#This Row],[Dest Alc]:[Dest GT]],TblConstr[[#This Row],[Dest Shr]:[Dest Doc]])*building_employment + TblConstr[[#This Row],[Tot Fac]]*bonus_jobs_facts</f>
        <v>1000</v>
      </c>
      <c r="K48" s="141"/>
      <c r="L48" s="61">
        <f ca="1">TblPop[[#This Row],[Draftees]]</f>
        <v>465</v>
      </c>
      <c r="M48" s="61">
        <f ca="1">TblMili[[#This Row],[Unit 1]]</f>
        <v>0</v>
      </c>
      <c r="N48" s="61">
        <f ca="1">TblMili[[#This Row],[Unit 2]]</f>
        <v>0</v>
      </c>
      <c r="O48" s="61">
        <f ca="1">TblMili[[#This Row],[Unit 3]]</f>
        <v>0</v>
      </c>
      <c r="P48" s="61">
        <f ca="1">TblMili[[#This Row],[Unit 4]]</f>
        <v>0</v>
      </c>
      <c r="Q48" s="61">
        <f ca="1">TblMili[[#This Row],[Spies]]</f>
        <v>0</v>
      </c>
      <c r="R48" s="61">
        <f ca="1">TblMili[[#This Row],[Wizards]]</f>
        <v>0</v>
      </c>
      <c r="S48" s="61">
        <f ca="1">TblMili[[#This Row],[Archmages]]</f>
        <v>0</v>
      </c>
      <c r="T48" s="142"/>
      <c r="U48" s="94">
        <f ca="1">ROUND(TblPop[[#This Row],[Raw max]]*(1+OFFSET(TblPop[[#This Row],[Max pop]],-1,0)),0)+MIN(TblPop[[#This Row],[Military]]-TblPop[[#This Row],[Draftees]]-SUM(TblMili[[#This Row],[Train Unit 1]:[Train AM]]),(barracks_size + tech_8_3*TblTech[[#This Row],[8-3]])*TblConstr[[#This Row],[Tot Bar]])</f>
        <v>769</v>
      </c>
      <c r="V4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8" s="94">
        <f ca="1">MAX(-5%*TblPop[[#This Row],[Peasants]]-TblPop[[#This Row],[Draft Growth]],MIN(OFFSET(TblPop[[#This Row],[Net max]],1,0)-TblPop[[#This Row],[Peasants]]-TblPop[[#This Row],[Military]]-TblPop[[#This Row],[Draft Growth]],TblPop[[#This Row],[Modded Birth]]-TblPop[[#This Row],[Draft Growth]]))</f>
        <v>-3</v>
      </c>
      <c r="X48" s="94">
        <f ca="1">ROUND(TblPop[[#This Row],[Raw Birth]]*(1+TblPop[[#This Row],[Growth]]),0)</f>
        <v>9</v>
      </c>
      <c r="Y48" s="94">
        <f ca="1">(TblPop[[#This Row],[Peasants]]-TblPop[[#This Row],[Draft Growth]])*raw_pop_growth</f>
        <v>9.0299999999999994</v>
      </c>
      <c r="Z48" s="94">
        <f ca="1">ROUND(IF(TblPop[[#This Row],[Military%]]&lt;TblMili[[#This Row],[Draftrate]],ROUND(TblPop[[#This Row],[Peasants]]*Constants!$B$55,0), 0) * IF(AND(TblMagic[[#This Row],[Active DnD]]&lt;=12,TblMagic[[#This Row],[Active DnD]]&gt;6),1.5,1),0)</f>
        <v>3</v>
      </c>
      <c r="AA48" s="142"/>
      <c r="AB48" s="143">
        <f ca="1">Overview!$I$17 + IF(Magic!AF48&gt;0,Constants!$F$78) + ROUND(6*(Construction!BM49+Construction!CK48)/IF(Explore!S49&gt;0,Construction!F49-20,Construction!F49),4) + tech_6_5_2*Techs!BJ48 + tech_8_4*Techs!BT48</f>
        <v>0</v>
      </c>
      <c r="AC48" s="139">
        <f ca="1">(Overview!$I$16 + Imps!Z48+ tech_2_5*Techs!AB48 + tech_3_6*Techs!AM48 + tech_6_1*Techs!BJ48 + tech_6_5*Techs!BF48 + tech_7_3_2*Techs!BN48) * (1 + Production!O48/100*prestige_pop_multiplier) + Production!O48/100*prestige_pop_multiplier</f>
        <v>2.5000000000000001E-2</v>
      </c>
    </row>
    <row r="49" spans="1:29" x14ac:dyDescent="0.2">
      <c r="A49" s="137">
        <f>TblRezone[[#This Row],[Hour]]</f>
        <v>46</v>
      </c>
      <c r="B49" s="138">
        <f ca="1">TblImps[[#This Row],[Time]]</f>
        <v>46321.874999999891</v>
      </c>
      <c r="C49" s="94">
        <f ca="1">OFFSET(TblPop[[#This Row],[Peasants]],-1,0)+OFFSET(TblPop[[#This Row],[Net Peasant]],-1,0)+TblMili[[#This Row],[Release Draft]]</f>
        <v>301</v>
      </c>
      <c r="D49" s="94">
        <f ca="1">TblMili[[#This Row],[Military]]</f>
        <v>468</v>
      </c>
      <c r="E49" s="94">
        <f ca="1">TblMili[[#This Row],[Draftees]]</f>
        <v>468</v>
      </c>
      <c r="F49" s="94">
        <f ca="1">TblPop[[#This Row],[Peasants]]+TblPop[[#This Row],[Military]]</f>
        <v>769</v>
      </c>
      <c r="G49" s="139">
        <f ca="1">TblPop[[#This Row],[Military]]/TblPop[[#This Row],[Total]]</f>
        <v>0.60858257477243172</v>
      </c>
      <c r="H49" s="140">
        <f ca="1">MIN(TblPop[[#This Row],[Peasants]],TblPop[[#This Row],[Jobs]])</f>
        <v>301</v>
      </c>
      <c r="I49" s="139">
        <f ca="1">MIN(OFFSET(TblPop[[#This Row],[Jobs]],1,0)/TblPop[[#This Row],[Peasants]],1)</f>
        <v>1</v>
      </c>
      <c r="J49" s="140">
        <f ca="1">SUM(TblConstr[[#This Row],[Tot Alc]:[Tot GT]],TblConstr[[#This Row],[Tot Shr]:[Tot Doc]],TblConstr[[#This Row],[Dest Alc]:[Dest GT]],TblConstr[[#This Row],[Dest Shr]:[Dest Doc]])*building_employment + TblConstr[[#This Row],[Tot Fac]]*bonus_jobs_facts</f>
        <v>1000</v>
      </c>
      <c r="K49" s="141"/>
      <c r="L49" s="61">
        <f ca="1">TblPop[[#This Row],[Draftees]]</f>
        <v>468</v>
      </c>
      <c r="M49" s="61">
        <f ca="1">TblMili[[#This Row],[Unit 1]]</f>
        <v>0</v>
      </c>
      <c r="N49" s="61">
        <f ca="1">TblMili[[#This Row],[Unit 2]]</f>
        <v>0</v>
      </c>
      <c r="O49" s="61">
        <f ca="1">TblMili[[#This Row],[Unit 3]]</f>
        <v>0</v>
      </c>
      <c r="P49" s="61">
        <f ca="1">TblMili[[#This Row],[Unit 4]]</f>
        <v>0</v>
      </c>
      <c r="Q49" s="61">
        <f ca="1">TblMili[[#This Row],[Spies]]</f>
        <v>0</v>
      </c>
      <c r="R49" s="61">
        <f ca="1">TblMili[[#This Row],[Wizards]]</f>
        <v>0</v>
      </c>
      <c r="S49" s="61">
        <f ca="1">TblMili[[#This Row],[Archmages]]</f>
        <v>0</v>
      </c>
      <c r="T49" s="142"/>
      <c r="U49" s="94">
        <f ca="1">ROUND(TblPop[[#This Row],[Raw max]]*(1+OFFSET(TblPop[[#This Row],[Max pop]],-1,0)),0)+MIN(TblPop[[#This Row],[Military]]-TblPop[[#This Row],[Draftees]]-SUM(TblMili[[#This Row],[Train Unit 1]:[Train AM]]),(barracks_size + tech_8_3*TblTech[[#This Row],[8-3]])*TblConstr[[#This Row],[Tot Bar]])</f>
        <v>769</v>
      </c>
      <c r="V4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9" s="94">
        <f ca="1">MAX(-5%*TblPop[[#This Row],[Peasants]]-TblPop[[#This Row],[Draft Growth]],MIN(OFFSET(TblPop[[#This Row],[Net max]],1,0)-TblPop[[#This Row],[Peasants]]-TblPop[[#This Row],[Military]]-TblPop[[#This Row],[Draft Growth]],TblPop[[#This Row],[Modded Birth]]-TblPop[[#This Row],[Draft Growth]]))</f>
        <v>-3</v>
      </c>
      <c r="X49" s="94">
        <f ca="1">ROUND(TblPop[[#This Row],[Raw Birth]]*(1+TblPop[[#This Row],[Growth]]),0)</f>
        <v>9</v>
      </c>
      <c r="Y49" s="94">
        <f ca="1">(TblPop[[#This Row],[Peasants]]-TblPop[[#This Row],[Draft Growth]])*raw_pop_growth</f>
        <v>8.94</v>
      </c>
      <c r="Z49" s="94">
        <f ca="1">ROUND(IF(TblPop[[#This Row],[Military%]]&lt;TblMili[[#This Row],[Draftrate]],ROUND(TblPop[[#This Row],[Peasants]]*Constants!$B$55,0), 0) * IF(AND(TblMagic[[#This Row],[Active DnD]]&lt;=12,TblMagic[[#This Row],[Active DnD]]&gt;6),1.5,1),0)</f>
        <v>3</v>
      </c>
      <c r="AA49" s="142"/>
      <c r="AB49" s="143">
        <f ca="1">Overview!$I$17 + IF(Magic!AF49&gt;0,Constants!$F$78) + ROUND(6*(Construction!BM50+Construction!CK49)/IF(Explore!S50&gt;0,Construction!F50-20,Construction!F50),4) + tech_6_5_2*Techs!BJ49 + tech_8_4*Techs!BT49</f>
        <v>0</v>
      </c>
      <c r="AC49" s="139">
        <f ca="1">(Overview!$I$16 + Imps!Z49+ tech_2_5*Techs!AB49 + tech_3_6*Techs!AM49 + tech_6_1*Techs!BJ49 + tech_6_5*Techs!BF49 + tech_7_3_2*Techs!BN49) * (1 + Production!O49/100*prestige_pop_multiplier) + Production!O49/100*prestige_pop_multiplier</f>
        <v>2.5000000000000001E-2</v>
      </c>
    </row>
    <row r="50" spans="1:29" x14ac:dyDescent="0.2">
      <c r="A50" s="137">
        <f>TblRezone[[#This Row],[Hour]]</f>
        <v>47</v>
      </c>
      <c r="B50" s="138">
        <f ca="1">TblImps[[#This Row],[Time]]</f>
        <v>46321.916666666555</v>
      </c>
      <c r="C50" s="94">
        <f ca="1">OFFSET(TblPop[[#This Row],[Peasants]],-1,0)+OFFSET(TblPop[[#This Row],[Net Peasant]],-1,0)+TblMili[[#This Row],[Release Draft]]</f>
        <v>298</v>
      </c>
      <c r="D50" s="94">
        <f ca="1">TblMili[[#This Row],[Military]]</f>
        <v>471</v>
      </c>
      <c r="E50" s="94">
        <f ca="1">TblMili[[#This Row],[Draftees]]</f>
        <v>471</v>
      </c>
      <c r="F50" s="94">
        <f ca="1">TblPop[[#This Row],[Peasants]]+TblPop[[#This Row],[Military]]</f>
        <v>769</v>
      </c>
      <c r="G50" s="139">
        <f ca="1">TblPop[[#This Row],[Military]]/TblPop[[#This Row],[Total]]</f>
        <v>0.61248374512353709</v>
      </c>
      <c r="H50" s="140">
        <f ca="1">MIN(TblPop[[#This Row],[Peasants]],TblPop[[#This Row],[Jobs]])</f>
        <v>298</v>
      </c>
      <c r="I50" s="139">
        <f ca="1">MIN(OFFSET(TblPop[[#This Row],[Jobs]],1,0)/TblPop[[#This Row],[Peasants]],1)</f>
        <v>1</v>
      </c>
      <c r="J50" s="140">
        <f ca="1">SUM(TblConstr[[#This Row],[Tot Alc]:[Tot GT]],TblConstr[[#This Row],[Tot Shr]:[Tot Doc]],TblConstr[[#This Row],[Dest Alc]:[Dest GT]],TblConstr[[#This Row],[Dest Shr]:[Dest Doc]])*building_employment + TblConstr[[#This Row],[Tot Fac]]*bonus_jobs_facts</f>
        <v>1000</v>
      </c>
      <c r="K50" s="141"/>
      <c r="L50" s="61">
        <f ca="1">TblPop[[#This Row],[Draftees]]</f>
        <v>471</v>
      </c>
      <c r="M50" s="61">
        <f ca="1">TblMili[[#This Row],[Unit 1]]</f>
        <v>0</v>
      </c>
      <c r="N50" s="61">
        <f ca="1">TblMili[[#This Row],[Unit 2]]</f>
        <v>0</v>
      </c>
      <c r="O50" s="61">
        <f ca="1">TblMili[[#This Row],[Unit 3]]</f>
        <v>0</v>
      </c>
      <c r="P50" s="61">
        <f ca="1">TblMili[[#This Row],[Unit 4]]</f>
        <v>0</v>
      </c>
      <c r="Q50" s="61">
        <f ca="1">TblMili[[#This Row],[Spies]]</f>
        <v>0</v>
      </c>
      <c r="R50" s="61">
        <f ca="1">TblMili[[#This Row],[Wizards]]</f>
        <v>0</v>
      </c>
      <c r="S50" s="61">
        <f ca="1">TblMili[[#This Row],[Archmages]]</f>
        <v>0</v>
      </c>
      <c r="T50" s="142"/>
      <c r="U50" s="94">
        <f ca="1">ROUND(TblPop[[#This Row],[Raw max]]*(1+OFFSET(TblPop[[#This Row],[Max pop]],-1,0)),0)+MIN(TblPop[[#This Row],[Military]]-TblPop[[#This Row],[Draftees]]-SUM(TblMili[[#This Row],[Train Unit 1]:[Train AM]]),(barracks_size + tech_8_3*TblTech[[#This Row],[8-3]])*TblConstr[[#This Row],[Tot Bar]])</f>
        <v>769</v>
      </c>
      <c r="V5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0" s="94">
        <f ca="1">MAX(-5%*TblPop[[#This Row],[Peasants]]-TblPop[[#This Row],[Draft Growth]],MIN(OFFSET(TblPop[[#This Row],[Net max]],1,0)-TblPop[[#This Row],[Peasants]]-TblPop[[#This Row],[Military]]-TblPop[[#This Row],[Draft Growth]],TblPop[[#This Row],[Modded Birth]]-TblPop[[#This Row],[Draft Growth]]))</f>
        <v>-3</v>
      </c>
      <c r="X50" s="94">
        <f ca="1">ROUND(TblPop[[#This Row],[Raw Birth]]*(1+TblPop[[#This Row],[Growth]]),0)</f>
        <v>9</v>
      </c>
      <c r="Y50" s="94">
        <f ca="1">(TblPop[[#This Row],[Peasants]]-TblPop[[#This Row],[Draft Growth]])*raw_pop_growth</f>
        <v>8.85</v>
      </c>
      <c r="Z50" s="94">
        <f ca="1">ROUND(IF(TblPop[[#This Row],[Military%]]&lt;TblMili[[#This Row],[Draftrate]],ROUND(TblPop[[#This Row],[Peasants]]*Constants!$B$55,0), 0) * IF(AND(TblMagic[[#This Row],[Active DnD]]&lt;=12,TblMagic[[#This Row],[Active DnD]]&gt;6),1.5,1),0)</f>
        <v>3</v>
      </c>
      <c r="AA50" s="142"/>
      <c r="AB50" s="143">
        <f ca="1">Overview!$I$17 + IF(Magic!AF50&gt;0,Constants!$F$78) + ROUND(6*(Construction!BM51+Construction!CK50)/IF(Explore!S51&gt;0,Construction!F51-20,Construction!F51),4) + tech_6_5_2*Techs!BJ50 + tech_8_4*Techs!BT50</f>
        <v>0</v>
      </c>
      <c r="AC50" s="139">
        <f ca="1">(Overview!$I$16 + Imps!Z50+ tech_2_5*Techs!AB50 + tech_3_6*Techs!AM50 + tech_6_1*Techs!BJ50 + tech_6_5*Techs!BF50 + tech_7_3_2*Techs!BN50) * (1 + Production!O50/100*prestige_pop_multiplier) + Production!O50/100*prestige_pop_multiplier</f>
        <v>2.5000000000000001E-2</v>
      </c>
    </row>
    <row r="51" spans="1:29" x14ac:dyDescent="0.2">
      <c r="A51" s="137">
        <f>TblRezone[[#This Row],[Hour]]</f>
        <v>48</v>
      </c>
      <c r="B51" s="138">
        <f ca="1">TblImps[[#This Row],[Time]]</f>
        <v>46321.958333333219</v>
      </c>
      <c r="C51" s="94">
        <f ca="1">OFFSET(TblPop[[#This Row],[Peasants]],-1,0)+OFFSET(TblPop[[#This Row],[Net Peasant]],-1,0)+TblMili[[#This Row],[Release Draft]]</f>
        <v>295</v>
      </c>
      <c r="D51" s="94">
        <f ca="1">TblMili[[#This Row],[Military]]</f>
        <v>474</v>
      </c>
      <c r="E51" s="94">
        <f ca="1">TblMili[[#This Row],[Draftees]]</f>
        <v>474</v>
      </c>
      <c r="F51" s="94">
        <f ca="1">TblPop[[#This Row],[Peasants]]+TblPop[[#This Row],[Military]]</f>
        <v>769</v>
      </c>
      <c r="G51" s="139">
        <f ca="1">TblPop[[#This Row],[Military]]/TblPop[[#This Row],[Total]]</f>
        <v>0.61638491547464236</v>
      </c>
      <c r="H51" s="140">
        <f ca="1">MIN(TblPop[[#This Row],[Peasants]],TblPop[[#This Row],[Jobs]])</f>
        <v>295</v>
      </c>
      <c r="I51" s="139">
        <f ca="1">MIN(OFFSET(TblPop[[#This Row],[Jobs]],1,0)/TblPop[[#This Row],[Peasants]],1)</f>
        <v>1</v>
      </c>
      <c r="J51" s="140">
        <f ca="1">SUM(TblConstr[[#This Row],[Tot Alc]:[Tot GT]],TblConstr[[#This Row],[Tot Shr]:[Tot Doc]],TblConstr[[#This Row],[Dest Alc]:[Dest GT]],TblConstr[[#This Row],[Dest Shr]:[Dest Doc]])*building_employment + TblConstr[[#This Row],[Tot Fac]]*bonus_jobs_facts</f>
        <v>1000</v>
      </c>
      <c r="K51" s="141"/>
      <c r="L51" s="61">
        <f ca="1">TblPop[[#This Row],[Draftees]]</f>
        <v>474</v>
      </c>
      <c r="M51" s="61">
        <f ca="1">TblMili[[#This Row],[Unit 1]]</f>
        <v>0</v>
      </c>
      <c r="N51" s="61">
        <f ca="1">TblMili[[#This Row],[Unit 2]]</f>
        <v>0</v>
      </c>
      <c r="O51" s="61">
        <f ca="1">TblMili[[#This Row],[Unit 3]]</f>
        <v>0</v>
      </c>
      <c r="P51" s="61">
        <f ca="1">TblMili[[#This Row],[Unit 4]]</f>
        <v>0</v>
      </c>
      <c r="Q51" s="61">
        <f ca="1">TblMili[[#This Row],[Spies]]</f>
        <v>0</v>
      </c>
      <c r="R51" s="61">
        <f ca="1">TblMili[[#This Row],[Wizards]]</f>
        <v>0</v>
      </c>
      <c r="S51" s="61">
        <f ca="1">TblMili[[#This Row],[Archmages]]</f>
        <v>0</v>
      </c>
      <c r="T51" s="142"/>
      <c r="U51" s="94">
        <f ca="1">ROUND(TblPop[[#This Row],[Raw max]]*(1+OFFSET(TblPop[[#This Row],[Max pop]],-1,0)),0)+MIN(TblPop[[#This Row],[Military]]-TblPop[[#This Row],[Draftees]]-SUM(TblMili[[#This Row],[Train Unit 1]:[Train AM]]),(barracks_size + tech_8_3*TblTech[[#This Row],[8-3]])*TblConstr[[#This Row],[Tot Bar]])</f>
        <v>769</v>
      </c>
      <c r="V5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1" s="94">
        <f ca="1">MAX(-5%*TblPop[[#This Row],[Peasants]]-TblPop[[#This Row],[Draft Growth]],MIN(OFFSET(TblPop[[#This Row],[Net max]],1,0)-TblPop[[#This Row],[Peasants]]-TblPop[[#This Row],[Military]]-TblPop[[#This Row],[Draft Growth]],TblPop[[#This Row],[Modded Birth]]-TblPop[[#This Row],[Draft Growth]]))</f>
        <v>-3</v>
      </c>
      <c r="X51" s="94">
        <f ca="1">ROUND(TblPop[[#This Row],[Raw Birth]]*(1+TblPop[[#This Row],[Growth]]),0)</f>
        <v>9</v>
      </c>
      <c r="Y51" s="94">
        <f ca="1">(TblPop[[#This Row],[Peasants]]-TblPop[[#This Row],[Draft Growth]])*raw_pop_growth</f>
        <v>8.76</v>
      </c>
      <c r="Z51" s="94">
        <f ca="1">ROUND(IF(TblPop[[#This Row],[Military%]]&lt;TblMili[[#This Row],[Draftrate]],ROUND(TblPop[[#This Row],[Peasants]]*Constants!$B$55,0), 0) * IF(AND(TblMagic[[#This Row],[Active DnD]]&lt;=12,TblMagic[[#This Row],[Active DnD]]&gt;6),1.5,1),0)</f>
        <v>3</v>
      </c>
      <c r="AA51" s="142"/>
      <c r="AB51" s="143">
        <f ca="1">Overview!$I$17 + IF(Magic!AF51&gt;0,Constants!$F$78) + ROUND(6*(Construction!BM52+Construction!CK51)/IF(Explore!S52&gt;0,Construction!F52-20,Construction!F52),4) + tech_6_5_2*Techs!BJ51 + tech_8_4*Techs!BT51</f>
        <v>0</v>
      </c>
      <c r="AC51" s="139">
        <f ca="1">(Overview!$I$16 + Imps!Z51+ tech_2_5*Techs!AB51 + tech_3_6*Techs!AM51 + tech_6_1*Techs!BJ51 + tech_6_5*Techs!BF51 + tech_7_3_2*Techs!BN51) * (1 + Production!O51/100*prestige_pop_multiplier) + Production!O51/100*prestige_pop_multiplier</f>
        <v>2.5000000000000001E-2</v>
      </c>
    </row>
    <row r="52" spans="1:29" x14ac:dyDescent="0.2">
      <c r="A52" s="144">
        <f>TblRezone[[#This Row],[Hour]]</f>
        <v>49</v>
      </c>
      <c r="B52" s="145">
        <f ca="1">TblImps[[#This Row],[Time]]</f>
        <v>46321.999999999884</v>
      </c>
      <c r="C52" s="35">
        <f ca="1">OFFSET(TblPop[[#This Row],[Peasants]],-1,0)+OFFSET(TblPop[[#This Row],[Net Peasant]],-1,0)+TblMili[[#This Row],[Release Draft]]</f>
        <v>292</v>
      </c>
      <c r="D52" s="35">
        <f ca="1">TblMili[[#This Row],[Military]]</f>
        <v>477</v>
      </c>
      <c r="E52" s="35">
        <f ca="1">TblMili[[#This Row],[Draftees]]</f>
        <v>477</v>
      </c>
      <c r="F52" s="35">
        <f ca="1">TblPop[[#This Row],[Peasants]]+TblPop[[#This Row],[Military]]</f>
        <v>769</v>
      </c>
      <c r="G52" s="146">
        <f ca="1">TblPop[[#This Row],[Military]]/TblPop[[#This Row],[Total]]</f>
        <v>0.62028608582574774</v>
      </c>
      <c r="H52" s="147">
        <f ca="1">MIN(TblPop[[#This Row],[Peasants]],TblPop[[#This Row],[Jobs]])</f>
        <v>292</v>
      </c>
      <c r="I52" s="146">
        <f ca="1">MIN(OFFSET(TblPop[[#This Row],[Jobs]],1,0)/TblPop[[#This Row],[Peasants]],1)</f>
        <v>1</v>
      </c>
      <c r="J52" s="147">
        <f ca="1">SUM(TblConstr[[#This Row],[Tot Alc]:[Tot GT]],TblConstr[[#This Row],[Tot Shr]:[Tot Doc]],TblConstr[[#This Row],[Dest Alc]:[Dest GT]],TblConstr[[#This Row],[Dest Shr]:[Dest Doc]])*building_employment + TblConstr[[#This Row],[Tot Fac]]*bonus_jobs_facts</f>
        <v>1000</v>
      </c>
      <c r="K52" s="425"/>
      <c r="L52" s="148">
        <f ca="1">TblPop[[#This Row],[Draftees]]</f>
        <v>477</v>
      </c>
      <c r="M52" s="148">
        <f ca="1">TblMili[[#This Row],[Unit 1]]</f>
        <v>0</v>
      </c>
      <c r="N52" s="148">
        <f ca="1">TblMili[[#This Row],[Unit 2]]</f>
        <v>0</v>
      </c>
      <c r="O52" s="148">
        <f ca="1">TblMili[[#This Row],[Unit 3]]</f>
        <v>0</v>
      </c>
      <c r="P52" s="148">
        <f ca="1">TblMili[[#This Row],[Unit 4]]</f>
        <v>0</v>
      </c>
      <c r="Q52" s="148">
        <f ca="1">TblMili[[#This Row],[Spies]]</f>
        <v>0</v>
      </c>
      <c r="R52" s="148">
        <f ca="1">TblMili[[#This Row],[Wizards]]</f>
        <v>0</v>
      </c>
      <c r="S52" s="148">
        <f ca="1">TblMili[[#This Row],[Archmages]]</f>
        <v>0</v>
      </c>
      <c r="T52" s="149"/>
      <c r="U52" s="35">
        <f ca="1">ROUND(TblPop[[#This Row],[Raw max]]*(1+OFFSET(TblPop[[#This Row],[Max pop]],-1,0)),0)+MIN(TblPop[[#This Row],[Military]]-TblPop[[#This Row],[Draftees]]-SUM(TblMili[[#This Row],[Train Unit 1]:[Train AM]]),(barracks_size + tech_8_3*TblTech[[#This Row],[8-3]])*TblConstr[[#This Row],[Tot Bar]])</f>
        <v>769</v>
      </c>
      <c r="V52" s="35">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2" s="35">
        <f ca="1">MAX(-5%*TblPop[[#This Row],[Peasants]]-TblPop[[#This Row],[Draft Growth]],MIN(OFFSET(TblPop[[#This Row],[Net max]],1,0)-TblPop[[#This Row],[Peasants]]-TblPop[[#This Row],[Military]]-TblPop[[#This Row],[Draft Growth]],TblPop[[#This Row],[Modded Birth]]-TblPop[[#This Row],[Draft Growth]]))</f>
        <v>-3</v>
      </c>
      <c r="X52" s="35">
        <f ca="1">ROUND(TblPop[[#This Row],[Raw Birth]]*(1+TblPop[[#This Row],[Growth]]),0)</f>
        <v>9</v>
      </c>
      <c r="Y52" s="35">
        <f ca="1">(TblPop[[#This Row],[Peasants]]-TblPop[[#This Row],[Draft Growth]])*raw_pop_growth</f>
        <v>8.67</v>
      </c>
      <c r="Z52" s="35">
        <f ca="1">ROUND(IF(TblPop[[#This Row],[Military%]]&lt;TblMili[[#This Row],[Draftrate]],ROUND(TblPop[[#This Row],[Peasants]]*Constants!$B$55,0), 0) * IF(AND(TblMagic[[#This Row],[Active DnD]]&lt;=12,TblMagic[[#This Row],[Active DnD]]&gt;6),1.5,1),0)</f>
        <v>3</v>
      </c>
      <c r="AA52" s="149"/>
      <c r="AB52" s="150">
        <f ca="1">Overview!$I$17 + IF(Magic!AF52&gt;0,Constants!$F$78) + ROUND(6*(Construction!BM53+Construction!CK52)/IF(Explore!S53&gt;0,Construction!F53-20,Construction!F53),4) + tech_6_5_2*Techs!BJ52 + tech_8_4*Techs!BT52</f>
        <v>0</v>
      </c>
      <c r="AC52" s="146">
        <f ca="1">(Overview!$I$16 + Imps!Z52+ tech_2_5*Techs!AB52 + tech_3_6*Techs!AM52 + tech_6_1*Techs!BJ52 + tech_6_5*Techs!BF52 + tech_7_3_2*Techs!BN52) * (1 + Production!O52/100*prestige_pop_multiplier) + Production!O52/100*prestige_pop_multiplier</f>
        <v>2.5000000000000001E-2</v>
      </c>
    </row>
    <row r="53" spans="1:29" x14ac:dyDescent="0.2">
      <c r="A53" s="137">
        <f>TblRezone[[#This Row],[Hour]]</f>
        <v>50</v>
      </c>
      <c r="B53" s="138">
        <f ca="1">TblImps[[#This Row],[Time]]</f>
        <v>46322.041666666548</v>
      </c>
      <c r="C53" s="94">
        <f ca="1">OFFSET(TblPop[[#This Row],[Peasants]],-1,0)+OFFSET(TblPop[[#This Row],[Net Peasant]],-1,0)+TblMili[[#This Row],[Release Draft]]</f>
        <v>289</v>
      </c>
      <c r="D53" s="94">
        <f ca="1">TblMili[[#This Row],[Military]]</f>
        <v>480</v>
      </c>
      <c r="E53" s="94">
        <f ca="1">TblMili[[#This Row],[Draftees]]</f>
        <v>480</v>
      </c>
      <c r="F53" s="94">
        <f ca="1">TblPop[[#This Row],[Peasants]]+TblPop[[#This Row],[Military]]</f>
        <v>769</v>
      </c>
      <c r="G53" s="139">
        <f ca="1">TblPop[[#This Row],[Military]]/TblPop[[#This Row],[Total]]</f>
        <v>0.62418725617685311</v>
      </c>
      <c r="H53" s="140">
        <f ca="1">MIN(TblPop[[#This Row],[Peasants]],TblPop[[#This Row],[Jobs]])</f>
        <v>289</v>
      </c>
      <c r="I53" s="139">
        <f ca="1">MIN(OFFSET(TblPop[[#This Row],[Jobs]],1,0)/TblPop[[#This Row],[Peasants]],1)</f>
        <v>1</v>
      </c>
      <c r="J53" s="140">
        <f ca="1">SUM(TblConstr[[#This Row],[Tot Alc]:[Tot GT]],TblConstr[[#This Row],[Tot Shr]:[Tot Doc]],TblConstr[[#This Row],[Dest Alc]:[Dest GT]],TblConstr[[#This Row],[Dest Shr]:[Dest Doc]])*building_employment + TblConstr[[#This Row],[Tot Fac]]*bonus_jobs_facts</f>
        <v>1000</v>
      </c>
      <c r="K53" s="141"/>
      <c r="L53" s="61">
        <f ca="1">TblPop[[#This Row],[Draftees]]</f>
        <v>480</v>
      </c>
      <c r="M53" s="61">
        <f ca="1">TblMili[[#This Row],[Unit 1]]</f>
        <v>0</v>
      </c>
      <c r="N53" s="61">
        <f ca="1">TblMili[[#This Row],[Unit 2]]</f>
        <v>0</v>
      </c>
      <c r="O53" s="61">
        <f ca="1">TblMili[[#This Row],[Unit 3]]</f>
        <v>0</v>
      </c>
      <c r="P53" s="61">
        <f ca="1">TblMili[[#This Row],[Unit 4]]</f>
        <v>0</v>
      </c>
      <c r="Q53" s="61">
        <f ca="1">TblMili[[#This Row],[Spies]]</f>
        <v>0</v>
      </c>
      <c r="R53" s="61">
        <f ca="1">TblMili[[#This Row],[Wizards]]</f>
        <v>0</v>
      </c>
      <c r="S53" s="61">
        <f ca="1">TblMili[[#This Row],[Archmages]]</f>
        <v>0</v>
      </c>
      <c r="T53" s="142"/>
      <c r="U53" s="94">
        <f ca="1">ROUND(TblPop[[#This Row],[Raw max]]*(1+OFFSET(TblPop[[#This Row],[Max pop]],-1,0)),0)+MIN(TblPop[[#This Row],[Military]]-TblPop[[#This Row],[Draftees]]-SUM(TblMili[[#This Row],[Train Unit 1]:[Train AM]]),(barracks_size + tech_8_3*TblTech[[#This Row],[8-3]])*TblConstr[[#This Row],[Tot Bar]])</f>
        <v>769</v>
      </c>
      <c r="V5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3" s="94">
        <f ca="1">MAX(-5%*TblPop[[#This Row],[Peasants]]-TblPop[[#This Row],[Draft Growth]],MIN(OFFSET(TblPop[[#This Row],[Net max]],1,0)-TblPop[[#This Row],[Peasants]]-TblPop[[#This Row],[Military]]-TblPop[[#This Row],[Draft Growth]],TblPop[[#This Row],[Modded Birth]]-TblPop[[#This Row],[Draft Growth]]))</f>
        <v>-3</v>
      </c>
      <c r="X53" s="94">
        <f ca="1">ROUND(TblPop[[#This Row],[Raw Birth]]*(1+TblPop[[#This Row],[Growth]]),0)</f>
        <v>9</v>
      </c>
      <c r="Y53" s="94">
        <f ca="1">(TblPop[[#This Row],[Peasants]]-TblPop[[#This Row],[Draft Growth]])*raw_pop_growth</f>
        <v>8.58</v>
      </c>
      <c r="Z53" s="94">
        <f ca="1">ROUND(IF(TblPop[[#This Row],[Military%]]&lt;TblMili[[#This Row],[Draftrate]],ROUND(TblPop[[#This Row],[Peasants]]*Constants!$B$55,0), 0) * IF(AND(TblMagic[[#This Row],[Active DnD]]&lt;=12,TblMagic[[#This Row],[Active DnD]]&gt;6),1.5,1),0)</f>
        <v>3</v>
      </c>
      <c r="AA53" s="142"/>
      <c r="AB53" s="143">
        <f ca="1">Overview!$I$17 + IF(Magic!AF53&gt;0,Constants!$F$78) + ROUND(6*(Construction!BM54+Construction!CK53)/IF(Explore!S54&gt;0,Construction!F54-20,Construction!F54),4) + tech_6_5_2*Techs!BJ53 + tech_8_4*Techs!BT53</f>
        <v>0</v>
      </c>
      <c r="AC53" s="139">
        <f ca="1">(Overview!$I$16 + Imps!Z53+ tech_2_5*Techs!AB53 + tech_3_6*Techs!AM53 + tech_6_1*Techs!BJ53 + tech_6_5*Techs!BF53 + tech_7_3_2*Techs!BN53) * (1 + Production!O53/100*prestige_pop_multiplier) + Production!O53/100*prestige_pop_multiplier</f>
        <v>2.5000000000000001E-2</v>
      </c>
    </row>
    <row r="54" spans="1:29" x14ac:dyDescent="0.2">
      <c r="A54" s="137">
        <f>TblRezone[[#This Row],[Hour]]</f>
        <v>51</v>
      </c>
      <c r="B54" s="138">
        <f ca="1">TblImps[[#This Row],[Time]]</f>
        <v>46322.083333333212</v>
      </c>
      <c r="C54" s="94">
        <f ca="1">OFFSET(TblPop[[#This Row],[Peasants]],-1,0)+OFFSET(TblPop[[#This Row],[Net Peasant]],-1,0)+TblMili[[#This Row],[Release Draft]]</f>
        <v>286</v>
      </c>
      <c r="D54" s="94">
        <f ca="1">TblMili[[#This Row],[Military]]</f>
        <v>483</v>
      </c>
      <c r="E54" s="94">
        <f ca="1">TblMili[[#This Row],[Draftees]]</f>
        <v>483</v>
      </c>
      <c r="F54" s="94">
        <f ca="1">TblPop[[#This Row],[Peasants]]+TblPop[[#This Row],[Military]]</f>
        <v>769</v>
      </c>
      <c r="G54" s="139">
        <f ca="1">TblPop[[#This Row],[Military]]/TblPop[[#This Row],[Total]]</f>
        <v>0.62808842652795838</v>
      </c>
      <c r="H54" s="140">
        <f ca="1">MIN(TblPop[[#This Row],[Peasants]],TblPop[[#This Row],[Jobs]])</f>
        <v>286</v>
      </c>
      <c r="I54" s="139">
        <f ca="1">MIN(OFFSET(TblPop[[#This Row],[Jobs]],1,0)/TblPop[[#This Row],[Peasants]],1)</f>
        <v>1</v>
      </c>
      <c r="J54" s="140">
        <f ca="1">SUM(TblConstr[[#This Row],[Tot Alc]:[Tot GT]],TblConstr[[#This Row],[Tot Shr]:[Tot Doc]],TblConstr[[#This Row],[Dest Alc]:[Dest GT]],TblConstr[[#This Row],[Dest Shr]:[Dest Doc]])*building_employment + TblConstr[[#This Row],[Tot Fac]]*bonus_jobs_facts</f>
        <v>1000</v>
      </c>
      <c r="K54" s="141"/>
      <c r="L54" s="61">
        <f ca="1">TblPop[[#This Row],[Draftees]]</f>
        <v>483</v>
      </c>
      <c r="M54" s="61">
        <f ca="1">TblMili[[#This Row],[Unit 1]]</f>
        <v>0</v>
      </c>
      <c r="N54" s="61">
        <f ca="1">TblMili[[#This Row],[Unit 2]]</f>
        <v>0</v>
      </c>
      <c r="O54" s="61">
        <f ca="1">TblMili[[#This Row],[Unit 3]]</f>
        <v>0</v>
      </c>
      <c r="P54" s="61">
        <f ca="1">TblMili[[#This Row],[Unit 4]]</f>
        <v>0</v>
      </c>
      <c r="Q54" s="61">
        <f ca="1">TblMili[[#This Row],[Spies]]</f>
        <v>0</v>
      </c>
      <c r="R54" s="61">
        <f ca="1">TblMili[[#This Row],[Wizards]]</f>
        <v>0</v>
      </c>
      <c r="S54" s="61">
        <f ca="1">TblMili[[#This Row],[Archmages]]</f>
        <v>0</v>
      </c>
      <c r="T54" s="142"/>
      <c r="U54" s="94">
        <f ca="1">ROUND(TblPop[[#This Row],[Raw max]]*(1+OFFSET(TblPop[[#This Row],[Max pop]],-1,0)),0)+MIN(TblPop[[#This Row],[Military]]-TblPop[[#This Row],[Draftees]]-SUM(TblMili[[#This Row],[Train Unit 1]:[Train AM]]),(barracks_size + tech_8_3*TblTech[[#This Row],[8-3]])*TblConstr[[#This Row],[Tot Bar]])</f>
        <v>769</v>
      </c>
      <c r="V5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4" s="94">
        <f ca="1">MAX(-5%*TblPop[[#This Row],[Peasants]]-TblPop[[#This Row],[Draft Growth]],MIN(OFFSET(TblPop[[#This Row],[Net max]],1,0)-TblPop[[#This Row],[Peasants]]-TblPop[[#This Row],[Military]]-TblPop[[#This Row],[Draft Growth]],TblPop[[#This Row],[Modded Birth]]-TblPop[[#This Row],[Draft Growth]]))</f>
        <v>-3</v>
      </c>
      <c r="X54" s="94">
        <f ca="1">ROUND(TblPop[[#This Row],[Raw Birth]]*(1+TblPop[[#This Row],[Growth]]),0)</f>
        <v>8</v>
      </c>
      <c r="Y54" s="94">
        <f ca="1">(TblPop[[#This Row],[Peasants]]-TblPop[[#This Row],[Draft Growth]])*raw_pop_growth</f>
        <v>8.49</v>
      </c>
      <c r="Z54" s="94">
        <f ca="1">ROUND(IF(TblPop[[#This Row],[Military%]]&lt;TblMili[[#This Row],[Draftrate]],ROUND(TblPop[[#This Row],[Peasants]]*Constants!$B$55,0), 0) * IF(AND(TblMagic[[#This Row],[Active DnD]]&lt;=12,TblMagic[[#This Row],[Active DnD]]&gt;6),1.5,1),0)</f>
        <v>3</v>
      </c>
      <c r="AA54" s="142"/>
      <c r="AB54" s="143">
        <f ca="1">Overview!$I$17 + IF(Magic!AF54&gt;0,Constants!$F$78) + ROUND(6*(Construction!BM55+Construction!CK54)/IF(Explore!S55&gt;0,Construction!F55-20,Construction!F55),4) + tech_6_5_2*Techs!BJ54 + tech_8_4*Techs!BT54</f>
        <v>0</v>
      </c>
      <c r="AC54" s="139">
        <f ca="1">(Overview!$I$16 + Imps!Z54+ tech_2_5*Techs!AB54 + tech_3_6*Techs!AM54 + tech_6_1*Techs!BJ54 + tech_6_5*Techs!BF54 + tech_7_3_2*Techs!BN54) * (1 + Production!O54/100*prestige_pop_multiplier) + Production!O54/100*prestige_pop_multiplier</f>
        <v>2.5000000000000001E-2</v>
      </c>
    </row>
    <row r="55" spans="1:29" x14ac:dyDescent="0.2">
      <c r="A55" s="137">
        <f>TblRezone[[#This Row],[Hour]]</f>
        <v>52</v>
      </c>
      <c r="B55" s="138">
        <f ca="1">TblImps[[#This Row],[Time]]</f>
        <v>46322.124999999876</v>
      </c>
      <c r="C55" s="94">
        <f ca="1">OFFSET(TblPop[[#This Row],[Peasants]],-1,0)+OFFSET(TblPop[[#This Row],[Net Peasant]],-1,0)+TblMili[[#This Row],[Release Draft]]</f>
        <v>283</v>
      </c>
      <c r="D55" s="94">
        <f ca="1">TblMili[[#This Row],[Military]]</f>
        <v>486</v>
      </c>
      <c r="E55" s="94">
        <f ca="1">TblMili[[#This Row],[Draftees]]</f>
        <v>486</v>
      </c>
      <c r="F55" s="94">
        <f ca="1">TblPop[[#This Row],[Peasants]]+TblPop[[#This Row],[Military]]</f>
        <v>769</v>
      </c>
      <c r="G55" s="139">
        <f ca="1">TblPop[[#This Row],[Military]]/TblPop[[#This Row],[Total]]</f>
        <v>0.63198959687906375</v>
      </c>
      <c r="H55" s="140">
        <f ca="1">MIN(TblPop[[#This Row],[Peasants]],TblPop[[#This Row],[Jobs]])</f>
        <v>283</v>
      </c>
      <c r="I55" s="139">
        <f ca="1">MIN(OFFSET(TblPop[[#This Row],[Jobs]],1,0)/TblPop[[#This Row],[Peasants]],1)</f>
        <v>1</v>
      </c>
      <c r="J55" s="140">
        <f ca="1">SUM(TblConstr[[#This Row],[Tot Alc]:[Tot GT]],TblConstr[[#This Row],[Tot Shr]:[Tot Doc]],TblConstr[[#This Row],[Dest Alc]:[Dest GT]],TblConstr[[#This Row],[Dest Shr]:[Dest Doc]])*building_employment + TblConstr[[#This Row],[Tot Fac]]*bonus_jobs_facts</f>
        <v>1000</v>
      </c>
      <c r="K55" s="141"/>
      <c r="L55" s="61">
        <f ca="1">TblPop[[#This Row],[Draftees]]</f>
        <v>486</v>
      </c>
      <c r="M55" s="61">
        <f ca="1">TblMili[[#This Row],[Unit 1]]</f>
        <v>0</v>
      </c>
      <c r="N55" s="61">
        <f ca="1">TblMili[[#This Row],[Unit 2]]</f>
        <v>0</v>
      </c>
      <c r="O55" s="61">
        <f ca="1">TblMili[[#This Row],[Unit 3]]</f>
        <v>0</v>
      </c>
      <c r="P55" s="61">
        <f ca="1">TblMili[[#This Row],[Unit 4]]</f>
        <v>0</v>
      </c>
      <c r="Q55" s="61">
        <f ca="1">TblMili[[#This Row],[Spies]]</f>
        <v>0</v>
      </c>
      <c r="R55" s="61">
        <f ca="1">TblMili[[#This Row],[Wizards]]</f>
        <v>0</v>
      </c>
      <c r="S55" s="61">
        <f ca="1">TblMili[[#This Row],[Archmages]]</f>
        <v>0</v>
      </c>
      <c r="T55" s="142"/>
      <c r="U55" s="94">
        <f ca="1">ROUND(TblPop[[#This Row],[Raw max]]*(1+OFFSET(TblPop[[#This Row],[Max pop]],-1,0)),0)+MIN(TblPop[[#This Row],[Military]]-TblPop[[#This Row],[Draftees]]-SUM(TblMili[[#This Row],[Train Unit 1]:[Train AM]]),(barracks_size + tech_8_3*TblTech[[#This Row],[8-3]])*TblConstr[[#This Row],[Tot Bar]])</f>
        <v>769</v>
      </c>
      <c r="V5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5" s="94">
        <f ca="1">MAX(-5%*TblPop[[#This Row],[Peasants]]-TblPop[[#This Row],[Draft Growth]],MIN(OFFSET(TblPop[[#This Row],[Net max]],1,0)-TblPop[[#This Row],[Peasants]]-TblPop[[#This Row],[Military]]-TblPop[[#This Row],[Draft Growth]],TblPop[[#This Row],[Modded Birth]]-TblPop[[#This Row],[Draft Growth]]))</f>
        <v>-3</v>
      </c>
      <c r="X55" s="94">
        <f ca="1">ROUND(TblPop[[#This Row],[Raw Birth]]*(1+TblPop[[#This Row],[Growth]]),0)</f>
        <v>8</v>
      </c>
      <c r="Y55" s="94">
        <f ca="1">(TblPop[[#This Row],[Peasants]]-TblPop[[#This Row],[Draft Growth]])*raw_pop_growth</f>
        <v>8.4</v>
      </c>
      <c r="Z55" s="94">
        <f ca="1">ROUND(IF(TblPop[[#This Row],[Military%]]&lt;TblMili[[#This Row],[Draftrate]],ROUND(TblPop[[#This Row],[Peasants]]*Constants!$B$55,0), 0) * IF(AND(TblMagic[[#This Row],[Active DnD]]&lt;=12,TblMagic[[#This Row],[Active DnD]]&gt;6),1.5,1),0)</f>
        <v>3</v>
      </c>
      <c r="AA55" s="142"/>
      <c r="AB55" s="143">
        <f ca="1">Overview!$I$17 + IF(Magic!AF55&gt;0,Constants!$F$78) + ROUND(6*(Construction!BM56+Construction!CK55)/IF(Explore!S56&gt;0,Construction!F56-20,Construction!F56),4) + tech_6_5_2*Techs!BJ55 + tech_8_4*Techs!BT55</f>
        <v>0</v>
      </c>
      <c r="AC55" s="139">
        <f ca="1">(Overview!$I$16 + Imps!Z55+ tech_2_5*Techs!AB55 + tech_3_6*Techs!AM55 + tech_6_1*Techs!BJ55 + tech_6_5*Techs!BF55 + tech_7_3_2*Techs!BN55) * (1 + Production!O55/100*prestige_pop_multiplier) + Production!O55/100*prestige_pop_multiplier</f>
        <v>2.5000000000000001E-2</v>
      </c>
    </row>
    <row r="56" spans="1:29" x14ac:dyDescent="0.2">
      <c r="A56" s="137">
        <f>TblRezone[[#This Row],[Hour]]</f>
        <v>53</v>
      </c>
      <c r="B56" s="138">
        <f ca="1">TblImps[[#This Row],[Time]]</f>
        <v>46322.166666666541</v>
      </c>
      <c r="C56" s="94">
        <f ca="1">OFFSET(TblPop[[#This Row],[Peasants]],-1,0)+OFFSET(TblPop[[#This Row],[Net Peasant]],-1,0)+TblMili[[#This Row],[Release Draft]]</f>
        <v>280</v>
      </c>
      <c r="D56" s="94">
        <f ca="1">TblMili[[#This Row],[Military]]</f>
        <v>489</v>
      </c>
      <c r="E56" s="94">
        <f ca="1">TblMili[[#This Row],[Draftees]]</f>
        <v>489</v>
      </c>
      <c r="F56" s="94">
        <f ca="1">TblPop[[#This Row],[Peasants]]+TblPop[[#This Row],[Military]]</f>
        <v>769</v>
      </c>
      <c r="G56" s="139">
        <f ca="1">TblPop[[#This Row],[Military]]/TblPop[[#This Row],[Total]]</f>
        <v>0.63589076723016902</v>
      </c>
      <c r="H56" s="140">
        <f ca="1">MIN(TblPop[[#This Row],[Peasants]],TblPop[[#This Row],[Jobs]])</f>
        <v>280</v>
      </c>
      <c r="I56" s="139">
        <f ca="1">MIN(OFFSET(TblPop[[#This Row],[Jobs]],1,0)/TblPop[[#This Row],[Peasants]],1)</f>
        <v>1</v>
      </c>
      <c r="J56" s="140">
        <f ca="1">SUM(TblConstr[[#This Row],[Tot Alc]:[Tot GT]],TblConstr[[#This Row],[Tot Shr]:[Tot Doc]],TblConstr[[#This Row],[Dest Alc]:[Dest GT]],TblConstr[[#This Row],[Dest Shr]:[Dest Doc]])*building_employment + TblConstr[[#This Row],[Tot Fac]]*bonus_jobs_facts</f>
        <v>1000</v>
      </c>
      <c r="K56" s="141"/>
      <c r="L56" s="61">
        <f ca="1">TblPop[[#This Row],[Draftees]]</f>
        <v>489</v>
      </c>
      <c r="M56" s="61">
        <f ca="1">TblMili[[#This Row],[Unit 1]]</f>
        <v>0</v>
      </c>
      <c r="N56" s="61">
        <f ca="1">TblMili[[#This Row],[Unit 2]]</f>
        <v>0</v>
      </c>
      <c r="O56" s="61">
        <f ca="1">TblMili[[#This Row],[Unit 3]]</f>
        <v>0</v>
      </c>
      <c r="P56" s="61">
        <f ca="1">TblMili[[#This Row],[Unit 4]]</f>
        <v>0</v>
      </c>
      <c r="Q56" s="61">
        <f ca="1">TblMili[[#This Row],[Spies]]</f>
        <v>0</v>
      </c>
      <c r="R56" s="61">
        <f ca="1">TblMili[[#This Row],[Wizards]]</f>
        <v>0</v>
      </c>
      <c r="S56" s="61">
        <f ca="1">TblMili[[#This Row],[Archmages]]</f>
        <v>0</v>
      </c>
      <c r="T56" s="142"/>
      <c r="U56" s="94">
        <f ca="1">ROUND(TblPop[[#This Row],[Raw max]]*(1+OFFSET(TblPop[[#This Row],[Max pop]],-1,0)),0)+MIN(TblPop[[#This Row],[Military]]-TblPop[[#This Row],[Draftees]]-SUM(TblMili[[#This Row],[Train Unit 1]:[Train AM]]),(barracks_size + tech_8_3*TblTech[[#This Row],[8-3]])*TblConstr[[#This Row],[Tot Bar]])</f>
        <v>769</v>
      </c>
      <c r="V5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6" s="94">
        <f ca="1">MAX(-5%*TblPop[[#This Row],[Peasants]]-TblPop[[#This Row],[Draft Growth]],MIN(OFFSET(TblPop[[#This Row],[Net max]],1,0)-TblPop[[#This Row],[Peasants]]-TblPop[[#This Row],[Military]]-TblPop[[#This Row],[Draft Growth]],TblPop[[#This Row],[Modded Birth]]-TblPop[[#This Row],[Draft Growth]]))</f>
        <v>-3</v>
      </c>
      <c r="X56" s="94">
        <f ca="1">ROUND(TblPop[[#This Row],[Raw Birth]]*(1+TblPop[[#This Row],[Growth]]),0)</f>
        <v>8</v>
      </c>
      <c r="Y56" s="94">
        <f ca="1">(TblPop[[#This Row],[Peasants]]-TblPop[[#This Row],[Draft Growth]])*raw_pop_growth</f>
        <v>8.31</v>
      </c>
      <c r="Z56" s="94">
        <f ca="1">ROUND(IF(TblPop[[#This Row],[Military%]]&lt;TblMili[[#This Row],[Draftrate]],ROUND(TblPop[[#This Row],[Peasants]]*Constants!$B$55,0), 0) * IF(AND(TblMagic[[#This Row],[Active DnD]]&lt;=12,TblMagic[[#This Row],[Active DnD]]&gt;6),1.5,1),0)</f>
        <v>3</v>
      </c>
      <c r="AA56" s="142"/>
      <c r="AB56" s="143">
        <f ca="1">Overview!$I$17 + IF(Magic!AF56&gt;0,Constants!$F$78) + ROUND(6*(Construction!BM57+Construction!CK56)/IF(Explore!S57&gt;0,Construction!F57-20,Construction!F57),4) + tech_6_5_2*Techs!BJ56 + tech_8_4*Techs!BT56</f>
        <v>0</v>
      </c>
      <c r="AC56" s="139">
        <f ca="1">(Overview!$I$16 + Imps!Z56+ tech_2_5*Techs!AB56 + tech_3_6*Techs!AM56 + tech_6_1*Techs!BJ56 + tech_6_5*Techs!BF56 + tech_7_3_2*Techs!BN56) * (1 + Production!O56/100*prestige_pop_multiplier) + Production!O56/100*prestige_pop_multiplier</f>
        <v>2.5000000000000001E-2</v>
      </c>
    </row>
    <row r="57" spans="1:29" x14ac:dyDescent="0.2">
      <c r="A57" s="137">
        <f>TblRezone[[#This Row],[Hour]]</f>
        <v>54</v>
      </c>
      <c r="B57" s="138">
        <f ca="1">TblImps[[#This Row],[Time]]</f>
        <v>46322.208333333205</v>
      </c>
      <c r="C57" s="94">
        <f ca="1">OFFSET(TblPop[[#This Row],[Peasants]],-1,0)+OFFSET(TblPop[[#This Row],[Net Peasant]],-1,0)+TblMili[[#This Row],[Release Draft]]</f>
        <v>277</v>
      </c>
      <c r="D57" s="94">
        <f ca="1">TblMili[[#This Row],[Military]]</f>
        <v>492</v>
      </c>
      <c r="E57" s="94">
        <f ca="1">TblMili[[#This Row],[Draftees]]</f>
        <v>492</v>
      </c>
      <c r="F57" s="94">
        <f ca="1">TblPop[[#This Row],[Peasants]]+TblPop[[#This Row],[Military]]</f>
        <v>769</v>
      </c>
      <c r="G57" s="139">
        <f ca="1">TblPop[[#This Row],[Military]]/TblPop[[#This Row],[Total]]</f>
        <v>0.63979193758127439</v>
      </c>
      <c r="H57" s="140">
        <f ca="1">MIN(TblPop[[#This Row],[Peasants]],TblPop[[#This Row],[Jobs]])</f>
        <v>277</v>
      </c>
      <c r="I57" s="139">
        <f ca="1">MIN(OFFSET(TblPop[[#This Row],[Jobs]],1,0)/TblPop[[#This Row],[Peasants]],1)</f>
        <v>1</v>
      </c>
      <c r="J57" s="140">
        <f ca="1">SUM(TblConstr[[#This Row],[Tot Alc]:[Tot GT]],TblConstr[[#This Row],[Tot Shr]:[Tot Doc]],TblConstr[[#This Row],[Dest Alc]:[Dest GT]],TblConstr[[#This Row],[Dest Shr]:[Dest Doc]])*building_employment + TblConstr[[#This Row],[Tot Fac]]*bonus_jobs_facts</f>
        <v>1000</v>
      </c>
      <c r="K57" s="141"/>
      <c r="L57" s="61">
        <f ca="1">TblPop[[#This Row],[Draftees]]</f>
        <v>492</v>
      </c>
      <c r="M57" s="61">
        <f ca="1">TblMili[[#This Row],[Unit 1]]</f>
        <v>0</v>
      </c>
      <c r="N57" s="61">
        <f ca="1">TblMili[[#This Row],[Unit 2]]</f>
        <v>0</v>
      </c>
      <c r="O57" s="61">
        <f ca="1">TblMili[[#This Row],[Unit 3]]</f>
        <v>0</v>
      </c>
      <c r="P57" s="61">
        <f ca="1">TblMili[[#This Row],[Unit 4]]</f>
        <v>0</v>
      </c>
      <c r="Q57" s="61">
        <f ca="1">TblMili[[#This Row],[Spies]]</f>
        <v>0</v>
      </c>
      <c r="R57" s="61">
        <f ca="1">TblMili[[#This Row],[Wizards]]</f>
        <v>0</v>
      </c>
      <c r="S57" s="61">
        <f ca="1">TblMili[[#This Row],[Archmages]]</f>
        <v>0</v>
      </c>
      <c r="T57" s="142"/>
      <c r="U57" s="94">
        <f ca="1">ROUND(TblPop[[#This Row],[Raw max]]*(1+OFFSET(TblPop[[#This Row],[Max pop]],-1,0)),0)+MIN(TblPop[[#This Row],[Military]]-TblPop[[#This Row],[Draftees]]-SUM(TblMili[[#This Row],[Train Unit 1]:[Train AM]]),(barracks_size + tech_8_3*TblTech[[#This Row],[8-3]])*TblConstr[[#This Row],[Tot Bar]])</f>
        <v>769</v>
      </c>
      <c r="V5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7" s="94">
        <f ca="1">MAX(-5%*TblPop[[#This Row],[Peasants]]-TblPop[[#This Row],[Draft Growth]],MIN(OFFSET(TblPop[[#This Row],[Net max]],1,0)-TblPop[[#This Row],[Peasants]]-TblPop[[#This Row],[Military]]-TblPop[[#This Row],[Draft Growth]],TblPop[[#This Row],[Modded Birth]]-TblPop[[#This Row],[Draft Growth]]))</f>
        <v>-3</v>
      </c>
      <c r="X57" s="94">
        <f ca="1">ROUND(TblPop[[#This Row],[Raw Birth]]*(1+TblPop[[#This Row],[Growth]]),0)</f>
        <v>8</v>
      </c>
      <c r="Y57" s="94">
        <f ca="1">(TblPop[[#This Row],[Peasants]]-TblPop[[#This Row],[Draft Growth]])*raw_pop_growth</f>
        <v>8.2199999999999989</v>
      </c>
      <c r="Z57" s="94">
        <f ca="1">ROUND(IF(TblPop[[#This Row],[Military%]]&lt;TblMili[[#This Row],[Draftrate]],ROUND(TblPop[[#This Row],[Peasants]]*Constants!$B$55,0), 0) * IF(AND(TblMagic[[#This Row],[Active DnD]]&lt;=12,TblMagic[[#This Row],[Active DnD]]&gt;6),1.5,1),0)</f>
        <v>3</v>
      </c>
      <c r="AA57" s="142"/>
      <c r="AB57" s="143">
        <f ca="1">Overview!$I$17 + IF(Magic!AF57&gt;0,Constants!$F$78) + ROUND(6*(Construction!BM58+Construction!CK57)/IF(Explore!S58&gt;0,Construction!F58-20,Construction!F58),4) + tech_6_5_2*Techs!BJ57 + tech_8_4*Techs!BT57</f>
        <v>0</v>
      </c>
      <c r="AC57" s="139">
        <f ca="1">(Overview!$I$16 + Imps!Z57+ tech_2_5*Techs!AB57 + tech_3_6*Techs!AM57 + tech_6_1*Techs!BJ57 + tech_6_5*Techs!BF57 + tech_7_3_2*Techs!BN57) * (1 + Production!O57/100*prestige_pop_multiplier) + Production!O57/100*prestige_pop_multiplier</f>
        <v>2.5000000000000001E-2</v>
      </c>
    </row>
    <row r="58" spans="1:29" x14ac:dyDescent="0.2">
      <c r="A58" s="137">
        <f>TblRezone[[#This Row],[Hour]]</f>
        <v>55</v>
      </c>
      <c r="B58" s="138">
        <f ca="1">TblImps[[#This Row],[Time]]</f>
        <v>46322.249999999869</v>
      </c>
      <c r="C58" s="94">
        <f ca="1">OFFSET(TblPop[[#This Row],[Peasants]],-1,0)+OFFSET(TblPop[[#This Row],[Net Peasant]],-1,0)+TblMili[[#This Row],[Release Draft]]</f>
        <v>274</v>
      </c>
      <c r="D58" s="94">
        <f ca="1">TblMili[[#This Row],[Military]]</f>
        <v>495</v>
      </c>
      <c r="E58" s="94">
        <f ca="1">TblMili[[#This Row],[Draftees]]</f>
        <v>495</v>
      </c>
      <c r="F58" s="94">
        <f ca="1">TblPop[[#This Row],[Peasants]]+TblPop[[#This Row],[Military]]</f>
        <v>769</v>
      </c>
      <c r="G58" s="139">
        <f ca="1">TblPop[[#This Row],[Military]]/TblPop[[#This Row],[Total]]</f>
        <v>0.64369310793237966</v>
      </c>
      <c r="H58" s="140">
        <f ca="1">MIN(TblPop[[#This Row],[Peasants]],TblPop[[#This Row],[Jobs]])</f>
        <v>274</v>
      </c>
      <c r="I58" s="139">
        <f ca="1">MIN(OFFSET(TblPop[[#This Row],[Jobs]],1,0)/TblPop[[#This Row],[Peasants]],1)</f>
        <v>1</v>
      </c>
      <c r="J58" s="140">
        <f ca="1">SUM(TblConstr[[#This Row],[Tot Alc]:[Tot GT]],TblConstr[[#This Row],[Tot Shr]:[Tot Doc]],TblConstr[[#This Row],[Dest Alc]:[Dest GT]],TblConstr[[#This Row],[Dest Shr]:[Dest Doc]])*building_employment + TblConstr[[#This Row],[Tot Fac]]*bonus_jobs_facts</f>
        <v>1000</v>
      </c>
      <c r="K58" s="141"/>
      <c r="L58" s="61">
        <f ca="1">TblPop[[#This Row],[Draftees]]</f>
        <v>495</v>
      </c>
      <c r="M58" s="61">
        <f ca="1">TblMili[[#This Row],[Unit 1]]</f>
        <v>0</v>
      </c>
      <c r="N58" s="61">
        <f ca="1">TblMili[[#This Row],[Unit 2]]</f>
        <v>0</v>
      </c>
      <c r="O58" s="61">
        <f ca="1">TblMili[[#This Row],[Unit 3]]</f>
        <v>0</v>
      </c>
      <c r="P58" s="61">
        <f ca="1">TblMili[[#This Row],[Unit 4]]</f>
        <v>0</v>
      </c>
      <c r="Q58" s="61">
        <f ca="1">TblMili[[#This Row],[Spies]]</f>
        <v>0</v>
      </c>
      <c r="R58" s="61">
        <f ca="1">TblMili[[#This Row],[Wizards]]</f>
        <v>0</v>
      </c>
      <c r="S58" s="61">
        <f ca="1">TblMili[[#This Row],[Archmages]]</f>
        <v>0</v>
      </c>
      <c r="T58" s="142"/>
      <c r="U58" s="94">
        <f ca="1">ROUND(TblPop[[#This Row],[Raw max]]*(1+OFFSET(TblPop[[#This Row],[Max pop]],-1,0)),0)+MIN(TblPop[[#This Row],[Military]]-TblPop[[#This Row],[Draftees]]-SUM(TblMili[[#This Row],[Train Unit 1]:[Train AM]]),(barracks_size + tech_8_3*TblTech[[#This Row],[8-3]])*TblConstr[[#This Row],[Tot Bar]])</f>
        <v>769</v>
      </c>
      <c r="V5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8" s="94">
        <f ca="1">MAX(-5%*TblPop[[#This Row],[Peasants]]-TblPop[[#This Row],[Draft Growth]],MIN(OFFSET(TblPop[[#This Row],[Net max]],1,0)-TblPop[[#This Row],[Peasants]]-TblPop[[#This Row],[Military]]-TblPop[[#This Row],[Draft Growth]],TblPop[[#This Row],[Modded Birth]]-TblPop[[#This Row],[Draft Growth]]))</f>
        <v>-3</v>
      </c>
      <c r="X58" s="94">
        <f ca="1">ROUND(TblPop[[#This Row],[Raw Birth]]*(1+TblPop[[#This Row],[Growth]]),0)</f>
        <v>8</v>
      </c>
      <c r="Y58" s="94">
        <f ca="1">(TblPop[[#This Row],[Peasants]]-TblPop[[#This Row],[Draft Growth]])*raw_pop_growth</f>
        <v>8.129999999999999</v>
      </c>
      <c r="Z58" s="94">
        <f ca="1">ROUND(IF(TblPop[[#This Row],[Military%]]&lt;TblMili[[#This Row],[Draftrate]],ROUND(TblPop[[#This Row],[Peasants]]*Constants!$B$55,0), 0) * IF(AND(TblMagic[[#This Row],[Active DnD]]&lt;=12,TblMagic[[#This Row],[Active DnD]]&gt;6),1.5,1),0)</f>
        <v>3</v>
      </c>
      <c r="AA58" s="142"/>
      <c r="AB58" s="143">
        <f ca="1">Overview!$I$17 + IF(Magic!AF58&gt;0,Constants!$F$78) + ROUND(6*(Construction!BM59+Construction!CK58)/IF(Explore!S59&gt;0,Construction!F59-20,Construction!F59),4) + tech_6_5_2*Techs!BJ58 + tech_8_4*Techs!BT58</f>
        <v>0</v>
      </c>
      <c r="AC58" s="139">
        <f ca="1">(Overview!$I$16 + Imps!Z58+ tech_2_5*Techs!AB58 + tech_3_6*Techs!AM58 + tech_6_1*Techs!BJ58 + tech_6_5*Techs!BF58 + tech_7_3_2*Techs!BN58) * (1 + Production!O58/100*prestige_pop_multiplier) + Production!O58/100*prestige_pop_multiplier</f>
        <v>2.5000000000000001E-2</v>
      </c>
    </row>
    <row r="59" spans="1:29" x14ac:dyDescent="0.2">
      <c r="A59" s="137">
        <f>TblRezone[[#This Row],[Hour]]</f>
        <v>56</v>
      </c>
      <c r="B59" s="138">
        <f ca="1">TblImps[[#This Row],[Time]]</f>
        <v>46322.291666666533</v>
      </c>
      <c r="C59" s="94">
        <f ca="1">OFFSET(TblPop[[#This Row],[Peasants]],-1,0)+OFFSET(TblPop[[#This Row],[Net Peasant]],-1,0)+TblMili[[#This Row],[Release Draft]]</f>
        <v>271</v>
      </c>
      <c r="D59" s="94">
        <f ca="1">TblMili[[#This Row],[Military]]</f>
        <v>498</v>
      </c>
      <c r="E59" s="94">
        <f ca="1">TblMili[[#This Row],[Draftees]]</f>
        <v>498</v>
      </c>
      <c r="F59" s="94">
        <f ca="1">TblPop[[#This Row],[Peasants]]+TblPop[[#This Row],[Military]]</f>
        <v>769</v>
      </c>
      <c r="G59" s="139">
        <f ca="1">TblPop[[#This Row],[Military]]/TblPop[[#This Row],[Total]]</f>
        <v>0.64759427828348504</v>
      </c>
      <c r="H59" s="140">
        <f ca="1">MIN(TblPop[[#This Row],[Peasants]],TblPop[[#This Row],[Jobs]])</f>
        <v>271</v>
      </c>
      <c r="I59" s="139">
        <f ca="1">MIN(OFFSET(TblPop[[#This Row],[Jobs]],1,0)/TblPop[[#This Row],[Peasants]],1)</f>
        <v>1</v>
      </c>
      <c r="J59" s="140">
        <f ca="1">SUM(TblConstr[[#This Row],[Tot Alc]:[Tot GT]],TblConstr[[#This Row],[Tot Shr]:[Tot Doc]],TblConstr[[#This Row],[Dest Alc]:[Dest GT]],TblConstr[[#This Row],[Dest Shr]:[Dest Doc]])*building_employment + TblConstr[[#This Row],[Tot Fac]]*bonus_jobs_facts</f>
        <v>1000</v>
      </c>
      <c r="K59" s="141"/>
      <c r="L59" s="61">
        <f ca="1">TblPop[[#This Row],[Draftees]]</f>
        <v>498</v>
      </c>
      <c r="M59" s="61">
        <f ca="1">TblMili[[#This Row],[Unit 1]]</f>
        <v>0</v>
      </c>
      <c r="N59" s="61">
        <f ca="1">TblMili[[#This Row],[Unit 2]]</f>
        <v>0</v>
      </c>
      <c r="O59" s="61">
        <f ca="1">TblMili[[#This Row],[Unit 3]]</f>
        <v>0</v>
      </c>
      <c r="P59" s="61">
        <f ca="1">TblMili[[#This Row],[Unit 4]]</f>
        <v>0</v>
      </c>
      <c r="Q59" s="61">
        <f ca="1">TblMili[[#This Row],[Spies]]</f>
        <v>0</v>
      </c>
      <c r="R59" s="61">
        <f ca="1">TblMili[[#This Row],[Wizards]]</f>
        <v>0</v>
      </c>
      <c r="S59" s="61">
        <f ca="1">TblMili[[#This Row],[Archmages]]</f>
        <v>0</v>
      </c>
      <c r="T59" s="142"/>
      <c r="U59" s="94">
        <f ca="1">ROUND(TblPop[[#This Row],[Raw max]]*(1+OFFSET(TblPop[[#This Row],[Max pop]],-1,0)),0)+MIN(TblPop[[#This Row],[Military]]-TblPop[[#This Row],[Draftees]]-SUM(TblMili[[#This Row],[Train Unit 1]:[Train AM]]),(barracks_size + tech_8_3*TblTech[[#This Row],[8-3]])*TblConstr[[#This Row],[Tot Bar]])</f>
        <v>769</v>
      </c>
      <c r="V5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9" s="94">
        <f ca="1">MAX(-5%*TblPop[[#This Row],[Peasants]]-TblPop[[#This Row],[Draft Growth]],MIN(OFFSET(TblPop[[#This Row],[Net max]],1,0)-TblPop[[#This Row],[Peasants]]-TblPop[[#This Row],[Military]]-TblPop[[#This Row],[Draft Growth]],TblPop[[#This Row],[Modded Birth]]-TblPop[[#This Row],[Draft Growth]]))</f>
        <v>-3</v>
      </c>
      <c r="X59" s="94">
        <f ca="1">ROUND(TblPop[[#This Row],[Raw Birth]]*(1+TblPop[[#This Row],[Growth]]),0)</f>
        <v>8</v>
      </c>
      <c r="Y59" s="94">
        <f ca="1">(TblPop[[#This Row],[Peasants]]-TblPop[[#This Row],[Draft Growth]])*raw_pop_growth</f>
        <v>8.0399999999999991</v>
      </c>
      <c r="Z59" s="94">
        <f ca="1">ROUND(IF(TblPop[[#This Row],[Military%]]&lt;TblMili[[#This Row],[Draftrate]],ROUND(TblPop[[#This Row],[Peasants]]*Constants!$B$55,0), 0) * IF(AND(TblMagic[[#This Row],[Active DnD]]&lt;=12,TblMagic[[#This Row],[Active DnD]]&gt;6),1.5,1),0)</f>
        <v>3</v>
      </c>
      <c r="AA59" s="142"/>
      <c r="AB59" s="143">
        <f ca="1">Overview!$I$17 + IF(Magic!AF59&gt;0,Constants!$F$78) + ROUND(6*(Construction!BM60+Construction!CK59)/IF(Explore!S60&gt;0,Construction!F60-20,Construction!F60),4) + tech_6_5_2*Techs!BJ59 + tech_8_4*Techs!BT59</f>
        <v>0</v>
      </c>
      <c r="AC59" s="139">
        <f ca="1">(Overview!$I$16 + Imps!Z59+ tech_2_5*Techs!AB59 + tech_3_6*Techs!AM59 + tech_6_1*Techs!BJ59 + tech_6_5*Techs!BF59 + tech_7_3_2*Techs!BN59) * (1 + Production!O59/100*prestige_pop_multiplier) + Production!O59/100*prestige_pop_multiplier</f>
        <v>2.5000000000000001E-2</v>
      </c>
    </row>
    <row r="60" spans="1:29" x14ac:dyDescent="0.2">
      <c r="A60" s="137">
        <f>TblRezone[[#This Row],[Hour]]</f>
        <v>57</v>
      </c>
      <c r="B60" s="138">
        <f ca="1">TblImps[[#This Row],[Time]]</f>
        <v>46322.333333333198</v>
      </c>
      <c r="C60" s="94">
        <f ca="1">OFFSET(TblPop[[#This Row],[Peasants]],-1,0)+OFFSET(TblPop[[#This Row],[Net Peasant]],-1,0)+TblMili[[#This Row],[Release Draft]]</f>
        <v>268</v>
      </c>
      <c r="D60" s="94">
        <f ca="1">TblMili[[#This Row],[Military]]</f>
        <v>501</v>
      </c>
      <c r="E60" s="94">
        <f ca="1">TblMili[[#This Row],[Draftees]]</f>
        <v>501</v>
      </c>
      <c r="F60" s="94">
        <f ca="1">TblPop[[#This Row],[Peasants]]+TblPop[[#This Row],[Military]]</f>
        <v>769</v>
      </c>
      <c r="G60" s="139">
        <f ca="1">TblPop[[#This Row],[Military]]/TblPop[[#This Row],[Total]]</f>
        <v>0.65149544863459041</v>
      </c>
      <c r="H60" s="140">
        <f ca="1">MIN(TblPop[[#This Row],[Peasants]],TblPop[[#This Row],[Jobs]])</f>
        <v>268</v>
      </c>
      <c r="I60" s="139">
        <f ca="1">MIN(OFFSET(TblPop[[#This Row],[Jobs]],1,0)/TblPop[[#This Row],[Peasants]],1)</f>
        <v>1</v>
      </c>
      <c r="J60" s="140">
        <f ca="1">SUM(TblConstr[[#This Row],[Tot Alc]:[Tot GT]],TblConstr[[#This Row],[Tot Shr]:[Tot Doc]],TblConstr[[#This Row],[Dest Alc]:[Dest GT]],TblConstr[[#This Row],[Dest Shr]:[Dest Doc]])*building_employment + TblConstr[[#This Row],[Tot Fac]]*bonus_jobs_facts</f>
        <v>1000</v>
      </c>
      <c r="K60" s="141"/>
      <c r="L60" s="61">
        <f ca="1">TblPop[[#This Row],[Draftees]]</f>
        <v>501</v>
      </c>
      <c r="M60" s="61">
        <f ca="1">TblMili[[#This Row],[Unit 1]]</f>
        <v>0</v>
      </c>
      <c r="N60" s="61">
        <f ca="1">TblMili[[#This Row],[Unit 2]]</f>
        <v>0</v>
      </c>
      <c r="O60" s="61">
        <f ca="1">TblMili[[#This Row],[Unit 3]]</f>
        <v>0</v>
      </c>
      <c r="P60" s="61">
        <f ca="1">TblMili[[#This Row],[Unit 4]]</f>
        <v>0</v>
      </c>
      <c r="Q60" s="61">
        <f ca="1">TblMili[[#This Row],[Spies]]</f>
        <v>0</v>
      </c>
      <c r="R60" s="61">
        <f ca="1">TblMili[[#This Row],[Wizards]]</f>
        <v>0</v>
      </c>
      <c r="S60" s="61">
        <f ca="1">TblMili[[#This Row],[Archmages]]</f>
        <v>0</v>
      </c>
      <c r="T60" s="142"/>
      <c r="U60" s="94">
        <f ca="1">ROUND(TblPop[[#This Row],[Raw max]]*(1+OFFSET(TblPop[[#This Row],[Max pop]],-1,0)),0)+MIN(TblPop[[#This Row],[Military]]-TblPop[[#This Row],[Draftees]]-SUM(TblMili[[#This Row],[Train Unit 1]:[Train AM]]),(barracks_size + tech_8_3*TblTech[[#This Row],[8-3]])*TblConstr[[#This Row],[Tot Bar]])</f>
        <v>769</v>
      </c>
      <c r="V6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0" s="94">
        <f ca="1">MAX(-5%*TblPop[[#This Row],[Peasants]]-TblPop[[#This Row],[Draft Growth]],MIN(OFFSET(TblPop[[#This Row],[Net max]],1,0)-TblPop[[#This Row],[Peasants]]-TblPop[[#This Row],[Military]]-TblPop[[#This Row],[Draft Growth]],TblPop[[#This Row],[Modded Birth]]-TblPop[[#This Row],[Draft Growth]]))</f>
        <v>-3</v>
      </c>
      <c r="X60" s="94">
        <f ca="1">ROUND(TblPop[[#This Row],[Raw Birth]]*(1+TblPop[[#This Row],[Growth]]),0)</f>
        <v>8</v>
      </c>
      <c r="Y60" s="94">
        <f ca="1">(TblPop[[#This Row],[Peasants]]-TblPop[[#This Row],[Draft Growth]])*raw_pop_growth</f>
        <v>7.9499999999999993</v>
      </c>
      <c r="Z60" s="94">
        <f ca="1">ROUND(IF(TblPop[[#This Row],[Military%]]&lt;TblMili[[#This Row],[Draftrate]],ROUND(TblPop[[#This Row],[Peasants]]*Constants!$B$55,0), 0) * IF(AND(TblMagic[[#This Row],[Active DnD]]&lt;=12,TblMagic[[#This Row],[Active DnD]]&gt;6),1.5,1),0)</f>
        <v>3</v>
      </c>
      <c r="AA60" s="142"/>
      <c r="AB60" s="143">
        <f ca="1">Overview!$I$17 + IF(Magic!AF60&gt;0,Constants!$F$78) + ROUND(6*(Construction!BM61+Construction!CK60)/IF(Explore!S61&gt;0,Construction!F61-20,Construction!F61),4) + tech_6_5_2*Techs!BJ60 + tech_8_4*Techs!BT60</f>
        <v>0</v>
      </c>
      <c r="AC60" s="139">
        <f ca="1">(Overview!$I$16 + Imps!Z60+ tech_2_5*Techs!AB60 + tech_3_6*Techs!AM60 + tech_6_1*Techs!BJ60 + tech_6_5*Techs!BF60 + tech_7_3_2*Techs!BN60) * (1 + Production!O60/100*prestige_pop_multiplier) + Production!O60/100*prestige_pop_multiplier</f>
        <v>2.5000000000000001E-2</v>
      </c>
    </row>
    <row r="61" spans="1:29" x14ac:dyDescent="0.2">
      <c r="A61" s="137">
        <f>TblRezone[[#This Row],[Hour]]</f>
        <v>58</v>
      </c>
      <c r="B61" s="138">
        <f ca="1">TblImps[[#This Row],[Time]]</f>
        <v>46322.374999999862</v>
      </c>
      <c r="C61" s="94">
        <f ca="1">OFFSET(TblPop[[#This Row],[Peasants]],-1,0)+OFFSET(TblPop[[#This Row],[Net Peasant]],-1,0)+TblMili[[#This Row],[Release Draft]]</f>
        <v>265</v>
      </c>
      <c r="D61" s="94">
        <f ca="1">TblMili[[#This Row],[Military]]</f>
        <v>504</v>
      </c>
      <c r="E61" s="94">
        <f ca="1">TblMili[[#This Row],[Draftees]]</f>
        <v>504</v>
      </c>
      <c r="F61" s="94">
        <f ca="1">TblPop[[#This Row],[Peasants]]+TblPop[[#This Row],[Military]]</f>
        <v>769</v>
      </c>
      <c r="G61" s="139">
        <f ca="1">TblPop[[#This Row],[Military]]/TblPop[[#This Row],[Total]]</f>
        <v>0.65539661898569568</v>
      </c>
      <c r="H61" s="140">
        <f ca="1">MIN(TblPop[[#This Row],[Peasants]],TblPop[[#This Row],[Jobs]])</f>
        <v>265</v>
      </c>
      <c r="I61" s="139">
        <f ca="1">MIN(OFFSET(TblPop[[#This Row],[Jobs]],1,0)/TblPop[[#This Row],[Peasants]],1)</f>
        <v>1</v>
      </c>
      <c r="J61" s="140">
        <f ca="1">SUM(TblConstr[[#This Row],[Tot Alc]:[Tot GT]],TblConstr[[#This Row],[Tot Shr]:[Tot Doc]],TblConstr[[#This Row],[Dest Alc]:[Dest GT]],TblConstr[[#This Row],[Dest Shr]:[Dest Doc]])*building_employment + TblConstr[[#This Row],[Tot Fac]]*bonus_jobs_facts</f>
        <v>1000</v>
      </c>
      <c r="K61" s="141"/>
      <c r="L61" s="61">
        <f ca="1">TblPop[[#This Row],[Draftees]]</f>
        <v>504</v>
      </c>
      <c r="M61" s="61">
        <f ca="1">TblMili[[#This Row],[Unit 1]]</f>
        <v>0</v>
      </c>
      <c r="N61" s="61">
        <f ca="1">TblMili[[#This Row],[Unit 2]]</f>
        <v>0</v>
      </c>
      <c r="O61" s="61">
        <f ca="1">TblMili[[#This Row],[Unit 3]]</f>
        <v>0</v>
      </c>
      <c r="P61" s="61">
        <f ca="1">TblMili[[#This Row],[Unit 4]]</f>
        <v>0</v>
      </c>
      <c r="Q61" s="61">
        <f ca="1">TblMili[[#This Row],[Spies]]</f>
        <v>0</v>
      </c>
      <c r="R61" s="61">
        <f ca="1">TblMili[[#This Row],[Wizards]]</f>
        <v>0</v>
      </c>
      <c r="S61" s="61">
        <f ca="1">TblMili[[#This Row],[Archmages]]</f>
        <v>0</v>
      </c>
      <c r="T61" s="142"/>
      <c r="U61" s="94">
        <f ca="1">ROUND(TblPop[[#This Row],[Raw max]]*(1+OFFSET(TblPop[[#This Row],[Max pop]],-1,0)),0)+MIN(TblPop[[#This Row],[Military]]-TblPop[[#This Row],[Draftees]]-SUM(TblMili[[#This Row],[Train Unit 1]:[Train AM]]),(barracks_size + tech_8_3*TblTech[[#This Row],[8-3]])*TblConstr[[#This Row],[Tot Bar]])</f>
        <v>769</v>
      </c>
      <c r="V6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1" s="94">
        <f ca="1">MAX(-5%*TblPop[[#This Row],[Peasants]]-TblPop[[#This Row],[Draft Growth]],MIN(OFFSET(TblPop[[#This Row],[Net max]],1,0)-TblPop[[#This Row],[Peasants]]-TblPop[[#This Row],[Military]]-TblPop[[#This Row],[Draft Growth]],TblPop[[#This Row],[Modded Birth]]-TblPop[[#This Row],[Draft Growth]]))</f>
        <v>-3</v>
      </c>
      <c r="X61" s="94">
        <f ca="1">ROUND(TblPop[[#This Row],[Raw Birth]]*(1+TblPop[[#This Row],[Growth]]),0)</f>
        <v>8</v>
      </c>
      <c r="Y61" s="94">
        <f ca="1">(TblPop[[#This Row],[Peasants]]-TblPop[[#This Row],[Draft Growth]])*raw_pop_growth</f>
        <v>7.8599999999999994</v>
      </c>
      <c r="Z61" s="94">
        <f ca="1">ROUND(IF(TblPop[[#This Row],[Military%]]&lt;TblMili[[#This Row],[Draftrate]],ROUND(TblPop[[#This Row],[Peasants]]*Constants!$B$55,0), 0) * IF(AND(TblMagic[[#This Row],[Active DnD]]&lt;=12,TblMagic[[#This Row],[Active DnD]]&gt;6),1.5,1),0)</f>
        <v>3</v>
      </c>
      <c r="AA61" s="142"/>
      <c r="AB61" s="143">
        <f ca="1">Overview!$I$17 + IF(Magic!AF61&gt;0,Constants!$F$78) + ROUND(6*(Construction!BM62+Construction!CK61)/IF(Explore!S62&gt;0,Construction!F62-20,Construction!F62),4) + tech_6_5_2*Techs!BJ61 + tech_8_4*Techs!BT61</f>
        <v>0</v>
      </c>
      <c r="AC61" s="139">
        <f ca="1">(Overview!$I$16 + Imps!Z61+ tech_2_5*Techs!AB61 + tech_3_6*Techs!AM61 + tech_6_1*Techs!BJ61 + tech_6_5*Techs!BF61 + tech_7_3_2*Techs!BN61) * (1 + Production!O61/100*prestige_pop_multiplier) + Production!O61/100*prestige_pop_multiplier</f>
        <v>2.5000000000000001E-2</v>
      </c>
    </row>
    <row r="62" spans="1:29" x14ac:dyDescent="0.2">
      <c r="A62" s="137">
        <f>TblRezone[[#This Row],[Hour]]</f>
        <v>59</v>
      </c>
      <c r="B62" s="138">
        <f ca="1">TblImps[[#This Row],[Time]]</f>
        <v>46322.416666666526</v>
      </c>
      <c r="C62" s="94">
        <f ca="1">OFFSET(TblPop[[#This Row],[Peasants]],-1,0)+OFFSET(TblPop[[#This Row],[Net Peasant]],-1,0)+TblMili[[#This Row],[Release Draft]]</f>
        <v>262</v>
      </c>
      <c r="D62" s="94">
        <f ca="1">TblMili[[#This Row],[Military]]</f>
        <v>507</v>
      </c>
      <c r="E62" s="94">
        <f ca="1">TblMili[[#This Row],[Draftees]]</f>
        <v>507</v>
      </c>
      <c r="F62" s="94">
        <f ca="1">TblPop[[#This Row],[Peasants]]+TblPop[[#This Row],[Military]]</f>
        <v>769</v>
      </c>
      <c r="G62" s="139">
        <f ca="1">TblPop[[#This Row],[Military]]/TblPop[[#This Row],[Total]]</f>
        <v>0.65929778933680105</v>
      </c>
      <c r="H62" s="140">
        <f ca="1">MIN(TblPop[[#This Row],[Peasants]],TblPop[[#This Row],[Jobs]])</f>
        <v>262</v>
      </c>
      <c r="I62" s="139">
        <f ca="1">MIN(OFFSET(TblPop[[#This Row],[Jobs]],1,0)/TblPop[[#This Row],[Peasants]],1)</f>
        <v>1</v>
      </c>
      <c r="J62" s="140">
        <f ca="1">SUM(TblConstr[[#This Row],[Tot Alc]:[Tot GT]],TblConstr[[#This Row],[Tot Shr]:[Tot Doc]],TblConstr[[#This Row],[Dest Alc]:[Dest GT]],TblConstr[[#This Row],[Dest Shr]:[Dest Doc]])*building_employment + TblConstr[[#This Row],[Tot Fac]]*bonus_jobs_facts</f>
        <v>1000</v>
      </c>
      <c r="K62" s="141"/>
      <c r="L62" s="61">
        <f ca="1">TblPop[[#This Row],[Draftees]]</f>
        <v>507</v>
      </c>
      <c r="M62" s="61">
        <f ca="1">TblMili[[#This Row],[Unit 1]]</f>
        <v>0</v>
      </c>
      <c r="N62" s="61">
        <f ca="1">TblMili[[#This Row],[Unit 2]]</f>
        <v>0</v>
      </c>
      <c r="O62" s="61">
        <f ca="1">TblMili[[#This Row],[Unit 3]]</f>
        <v>0</v>
      </c>
      <c r="P62" s="61">
        <f ca="1">TblMili[[#This Row],[Unit 4]]</f>
        <v>0</v>
      </c>
      <c r="Q62" s="61">
        <f ca="1">TblMili[[#This Row],[Spies]]</f>
        <v>0</v>
      </c>
      <c r="R62" s="61">
        <f ca="1">TblMili[[#This Row],[Wizards]]</f>
        <v>0</v>
      </c>
      <c r="S62" s="61">
        <f ca="1">TblMili[[#This Row],[Archmages]]</f>
        <v>0</v>
      </c>
      <c r="T62" s="142"/>
      <c r="U62" s="94">
        <f ca="1">ROUND(TblPop[[#This Row],[Raw max]]*(1+OFFSET(TblPop[[#This Row],[Max pop]],-1,0)),0)+MIN(TblPop[[#This Row],[Military]]-TblPop[[#This Row],[Draftees]]-SUM(TblMili[[#This Row],[Train Unit 1]:[Train AM]]),(barracks_size + tech_8_3*TblTech[[#This Row],[8-3]])*TblConstr[[#This Row],[Tot Bar]])</f>
        <v>769</v>
      </c>
      <c r="V6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2" s="94">
        <f ca="1">MAX(-5%*TblPop[[#This Row],[Peasants]]-TblPop[[#This Row],[Draft Growth]],MIN(OFFSET(TblPop[[#This Row],[Net max]],1,0)-TblPop[[#This Row],[Peasants]]-TblPop[[#This Row],[Military]]-TblPop[[#This Row],[Draft Growth]],TblPop[[#This Row],[Modded Birth]]-TblPop[[#This Row],[Draft Growth]]))</f>
        <v>-3</v>
      </c>
      <c r="X62" s="94">
        <f ca="1">ROUND(TblPop[[#This Row],[Raw Birth]]*(1+TblPop[[#This Row],[Growth]]),0)</f>
        <v>8</v>
      </c>
      <c r="Y62" s="94">
        <f ca="1">(TblPop[[#This Row],[Peasants]]-TblPop[[#This Row],[Draft Growth]])*raw_pop_growth</f>
        <v>7.77</v>
      </c>
      <c r="Z62" s="94">
        <f ca="1">ROUND(IF(TblPop[[#This Row],[Military%]]&lt;TblMili[[#This Row],[Draftrate]],ROUND(TblPop[[#This Row],[Peasants]]*Constants!$B$55,0), 0) * IF(AND(TblMagic[[#This Row],[Active DnD]]&lt;=12,TblMagic[[#This Row],[Active DnD]]&gt;6),1.5,1),0)</f>
        <v>3</v>
      </c>
      <c r="AA62" s="142"/>
      <c r="AB62" s="143">
        <f ca="1">Overview!$I$17 + IF(Magic!AF62&gt;0,Constants!$F$78) + ROUND(6*(Construction!BM63+Construction!CK62)/IF(Explore!S63&gt;0,Construction!F63-20,Construction!F63),4) + tech_6_5_2*Techs!BJ62 + tech_8_4*Techs!BT62</f>
        <v>0</v>
      </c>
      <c r="AC62" s="139">
        <f ca="1">(Overview!$I$16 + Imps!Z62+ tech_2_5*Techs!AB62 + tech_3_6*Techs!AM62 + tech_6_1*Techs!BJ62 + tech_6_5*Techs!BF62 + tech_7_3_2*Techs!BN62) * (1 + Production!O62/100*prestige_pop_multiplier) + Production!O62/100*prestige_pop_multiplier</f>
        <v>2.5000000000000001E-2</v>
      </c>
    </row>
    <row r="63" spans="1:29" x14ac:dyDescent="0.2">
      <c r="A63" s="137">
        <f>TblRezone[[#This Row],[Hour]]</f>
        <v>60</v>
      </c>
      <c r="B63" s="138">
        <f ca="1">TblImps[[#This Row],[Time]]</f>
        <v>46322.45833333319</v>
      </c>
      <c r="C63" s="94">
        <f ca="1">OFFSET(TblPop[[#This Row],[Peasants]],-1,0)+OFFSET(TblPop[[#This Row],[Net Peasant]],-1,0)+TblMili[[#This Row],[Release Draft]]</f>
        <v>259</v>
      </c>
      <c r="D63" s="94">
        <f ca="1">TblMili[[#This Row],[Military]]</f>
        <v>510</v>
      </c>
      <c r="E63" s="94">
        <f ca="1">TblMili[[#This Row],[Draftees]]</f>
        <v>510</v>
      </c>
      <c r="F63" s="94">
        <f ca="1">TblPop[[#This Row],[Peasants]]+TblPop[[#This Row],[Military]]</f>
        <v>769</v>
      </c>
      <c r="G63" s="139">
        <f ca="1">TblPop[[#This Row],[Military]]/TblPop[[#This Row],[Total]]</f>
        <v>0.66319895968790632</v>
      </c>
      <c r="H63" s="140">
        <f ca="1">MIN(TblPop[[#This Row],[Peasants]],TblPop[[#This Row],[Jobs]])</f>
        <v>259</v>
      </c>
      <c r="I63" s="139">
        <f ca="1">MIN(OFFSET(TblPop[[#This Row],[Jobs]],1,0)/TblPop[[#This Row],[Peasants]],1)</f>
        <v>1</v>
      </c>
      <c r="J63" s="140">
        <f ca="1">SUM(TblConstr[[#This Row],[Tot Alc]:[Tot GT]],TblConstr[[#This Row],[Tot Shr]:[Tot Doc]],TblConstr[[#This Row],[Dest Alc]:[Dest GT]],TblConstr[[#This Row],[Dest Shr]:[Dest Doc]])*building_employment + TblConstr[[#This Row],[Tot Fac]]*bonus_jobs_facts</f>
        <v>1000</v>
      </c>
      <c r="K63" s="141"/>
      <c r="L63" s="61">
        <f ca="1">TblPop[[#This Row],[Draftees]]</f>
        <v>510</v>
      </c>
      <c r="M63" s="61">
        <f ca="1">TblMili[[#This Row],[Unit 1]]</f>
        <v>0</v>
      </c>
      <c r="N63" s="61">
        <f ca="1">TblMili[[#This Row],[Unit 2]]</f>
        <v>0</v>
      </c>
      <c r="O63" s="61">
        <f ca="1">TblMili[[#This Row],[Unit 3]]</f>
        <v>0</v>
      </c>
      <c r="P63" s="61">
        <f ca="1">TblMili[[#This Row],[Unit 4]]</f>
        <v>0</v>
      </c>
      <c r="Q63" s="61">
        <f ca="1">TblMili[[#This Row],[Spies]]</f>
        <v>0</v>
      </c>
      <c r="R63" s="61">
        <f ca="1">TblMili[[#This Row],[Wizards]]</f>
        <v>0</v>
      </c>
      <c r="S63" s="61">
        <f ca="1">TblMili[[#This Row],[Archmages]]</f>
        <v>0</v>
      </c>
      <c r="T63" s="142"/>
      <c r="U63" s="94">
        <f ca="1">ROUND(TblPop[[#This Row],[Raw max]]*(1+OFFSET(TblPop[[#This Row],[Max pop]],-1,0)),0)+MIN(TblPop[[#This Row],[Military]]-TblPop[[#This Row],[Draftees]]-SUM(TblMili[[#This Row],[Train Unit 1]:[Train AM]]),(barracks_size + tech_8_3*TblTech[[#This Row],[8-3]])*TblConstr[[#This Row],[Tot Bar]])</f>
        <v>769</v>
      </c>
      <c r="V6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3" s="94">
        <f ca="1">MAX(-5%*TblPop[[#This Row],[Peasants]]-TblPop[[#This Row],[Draft Growth]],MIN(OFFSET(TblPop[[#This Row],[Net max]],1,0)-TblPop[[#This Row],[Peasants]]-TblPop[[#This Row],[Military]]-TblPop[[#This Row],[Draft Growth]],TblPop[[#This Row],[Modded Birth]]-TblPop[[#This Row],[Draft Growth]]))</f>
        <v>-3</v>
      </c>
      <c r="X63" s="94">
        <f ca="1">ROUND(TblPop[[#This Row],[Raw Birth]]*(1+TblPop[[#This Row],[Growth]]),0)</f>
        <v>8</v>
      </c>
      <c r="Y63" s="94">
        <f ca="1">(TblPop[[#This Row],[Peasants]]-TblPop[[#This Row],[Draft Growth]])*raw_pop_growth</f>
        <v>7.68</v>
      </c>
      <c r="Z63" s="94">
        <f ca="1">ROUND(IF(TblPop[[#This Row],[Military%]]&lt;TblMili[[#This Row],[Draftrate]],ROUND(TblPop[[#This Row],[Peasants]]*Constants!$B$55,0), 0) * IF(AND(TblMagic[[#This Row],[Active DnD]]&lt;=12,TblMagic[[#This Row],[Active DnD]]&gt;6),1.5,1),0)</f>
        <v>3</v>
      </c>
      <c r="AA63" s="142"/>
      <c r="AB63" s="143">
        <f ca="1">Overview!$I$17 + IF(Magic!AF63&gt;0,Constants!$F$78) + ROUND(6*(Construction!BM64+Construction!CK63)/IF(Explore!S64&gt;0,Construction!F64-20,Construction!F64),4) + tech_6_5_2*Techs!BJ63 + tech_8_4*Techs!BT63</f>
        <v>0</v>
      </c>
      <c r="AC63" s="139">
        <f ca="1">(Overview!$I$16 + Imps!Z63+ tech_2_5*Techs!AB63 + tech_3_6*Techs!AM63 + tech_6_1*Techs!BJ63 + tech_6_5*Techs!BF63 + tech_7_3_2*Techs!BN63) * (1 + Production!O63/100*prestige_pop_multiplier) + Production!O63/100*prestige_pop_multiplier</f>
        <v>2.5000000000000001E-2</v>
      </c>
    </row>
    <row r="64" spans="1:29" x14ac:dyDescent="0.2">
      <c r="A64" s="137">
        <f>TblRezone[[#This Row],[Hour]]</f>
        <v>61</v>
      </c>
      <c r="B64" s="138">
        <f ca="1">TblImps[[#This Row],[Time]]</f>
        <v>46322.499999999854</v>
      </c>
      <c r="C64" s="94">
        <f ca="1">OFFSET(TblPop[[#This Row],[Peasants]],-1,0)+OFFSET(TblPop[[#This Row],[Net Peasant]],-1,0)+TblMili[[#This Row],[Release Draft]]</f>
        <v>256</v>
      </c>
      <c r="D64" s="94">
        <f ca="1">TblMili[[#This Row],[Military]]</f>
        <v>513</v>
      </c>
      <c r="E64" s="94">
        <f ca="1">TblMili[[#This Row],[Draftees]]</f>
        <v>513</v>
      </c>
      <c r="F64" s="94">
        <f ca="1">TblPop[[#This Row],[Peasants]]+TblPop[[#This Row],[Military]]</f>
        <v>769</v>
      </c>
      <c r="G64" s="139">
        <f ca="1">TblPop[[#This Row],[Military]]/TblPop[[#This Row],[Total]]</f>
        <v>0.6671001300390117</v>
      </c>
      <c r="H64" s="140">
        <f ca="1">MIN(TblPop[[#This Row],[Peasants]],TblPop[[#This Row],[Jobs]])</f>
        <v>256</v>
      </c>
      <c r="I64" s="139">
        <f ca="1">MIN(OFFSET(TblPop[[#This Row],[Jobs]],1,0)/TblPop[[#This Row],[Peasants]],1)</f>
        <v>1</v>
      </c>
      <c r="J64" s="140">
        <f ca="1">SUM(TblConstr[[#This Row],[Tot Alc]:[Tot GT]],TblConstr[[#This Row],[Tot Shr]:[Tot Doc]],TblConstr[[#This Row],[Dest Alc]:[Dest GT]],TblConstr[[#This Row],[Dest Shr]:[Dest Doc]])*building_employment + TblConstr[[#This Row],[Tot Fac]]*bonus_jobs_facts</f>
        <v>1000</v>
      </c>
      <c r="K64" s="141"/>
      <c r="L64" s="61">
        <f ca="1">TblPop[[#This Row],[Draftees]]</f>
        <v>513</v>
      </c>
      <c r="M64" s="61">
        <f ca="1">TblMili[[#This Row],[Unit 1]]</f>
        <v>0</v>
      </c>
      <c r="N64" s="61">
        <f ca="1">TblMili[[#This Row],[Unit 2]]</f>
        <v>0</v>
      </c>
      <c r="O64" s="61">
        <f ca="1">TblMili[[#This Row],[Unit 3]]</f>
        <v>0</v>
      </c>
      <c r="P64" s="61">
        <f ca="1">TblMili[[#This Row],[Unit 4]]</f>
        <v>0</v>
      </c>
      <c r="Q64" s="61">
        <f ca="1">TblMili[[#This Row],[Spies]]</f>
        <v>0</v>
      </c>
      <c r="R64" s="61">
        <f ca="1">TblMili[[#This Row],[Wizards]]</f>
        <v>0</v>
      </c>
      <c r="S64" s="61">
        <f ca="1">TblMili[[#This Row],[Archmages]]</f>
        <v>0</v>
      </c>
      <c r="T64" s="142"/>
      <c r="U64" s="94">
        <f ca="1">ROUND(TblPop[[#This Row],[Raw max]]*(1+OFFSET(TblPop[[#This Row],[Max pop]],-1,0)),0)+MIN(TblPop[[#This Row],[Military]]-TblPop[[#This Row],[Draftees]]-SUM(TblMili[[#This Row],[Train Unit 1]:[Train AM]]),(barracks_size + tech_8_3*TblTech[[#This Row],[8-3]])*TblConstr[[#This Row],[Tot Bar]])</f>
        <v>769</v>
      </c>
      <c r="V6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4" s="94">
        <f ca="1">MAX(-5%*TblPop[[#This Row],[Peasants]]-TblPop[[#This Row],[Draft Growth]],MIN(OFFSET(TblPop[[#This Row],[Net max]],1,0)-TblPop[[#This Row],[Peasants]]-TblPop[[#This Row],[Military]]-TblPop[[#This Row],[Draft Growth]],TblPop[[#This Row],[Modded Birth]]-TblPop[[#This Row],[Draft Growth]]))</f>
        <v>-3</v>
      </c>
      <c r="X64" s="94">
        <f ca="1">ROUND(TblPop[[#This Row],[Raw Birth]]*(1+TblPop[[#This Row],[Growth]]),0)</f>
        <v>8</v>
      </c>
      <c r="Y64" s="94">
        <f ca="1">(TblPop[[#This Row],[Peasants]]-TblPop[[#This Row],[Draft Growth]])*raw_pop_growth</f>
        <v>7.59</v>
      </c>
      <c r="Z64" s="94">
        <f ca="1">ROUND(IF(TblPop[[#This Row],[Military%]]&lt;TblMili[[#This Row],[Draftrate]],ROUND(TblPop[[#This Row],[Peasants]]*Constants!$B$55,0), 0) * IF(AND(TblMagic[[#This Row],[Active DnD]]&lt;=12,TblMagic[[#This Row],[Active DnD]]&gt;6),1.5,1),0)</f>
        <v>3</v>
      </c>
      <c r="AA64" s="142"/>
      <c r="AB64" s="143">
        <f ca="1">Overview!$I$17 + IF(Magic!AF64&gt;0,Constants!$F$78) + ROUND(6*(Construction!BM65+Construction!CK64)/IF(Explore!S65&gt;0,Construction!F65-20,Construction!F65),4) + tech_6_5_2*Techs!BJ64 + tech_8_4*Techs!BT64</f>
        <v>0</v>
      </c>
      <c r="AC64" s="139">
        <f ca="1">(Overview!$I$16 + Imps!Z64+ tech_2_5*Techs!AB64 + tech_3_6*Techs!AM64 + tech_6_1*Techs!BJ64 + tech_6_5*Techs!BF64 + tech_7_3_2*Techs!BN64) * (1 + Production!O64/100*prestige_pop_multiplier) + Production!O64/100*prestige_pop_multiplier</f>
        <v>2.5000000000000001E-2</v>
      </c>
    </row>
    <row r="65" spans="1:29" x14ac:dyDescent="0.2">
      <c r="A65" s="137">
        <f>TblRezone[[#This Row],[Hour]]</f>
        <v>62</v>
      </c>
      <c r="B65" s="138">
        <f ca="1">TblImps[[#This Row],[Time]]</f>
        <v>46322.541666666519</v>
      </c>
      <c r="C65" s="94">
        <f ca="1">OFFSET(TblPop[[#This Row],[Peasants]],-1,0)+OFFSET(TblPop[[#This Row],[Net Peasant]],-1,0)+TblMili[[#This Row],[Release Draft]]</f>
        <v>253</v>
      </c>
      <c r="D65" s="94">
        <f ca="1">TblMili[[#This Row],[Military]]</f>
        <v>516</v>
      </c>
      <c r="E65" s="94">
        <f ca="1">TblMili[[#This Row],[Draftees]]</f>
        <v>516</v>
      </c>
      <c r="F65" s="94">
        <f ca="1">TblPop[[#This Row],[Peasants]]+TblPop[[#This Row],[Military]]</f>
        <v>769</v>
      </c>
      <c r="G65" s="139">
        <f ca="1">TblPop[[#This Row],[Military]]/TblPop[[#This Row],[Total]]</f>
        <v>0.67100130039011707</v>
      </c>
      <c r="H65" s="140">
        <f ca="1">MIN(TblPop[[#This Row],[Peasants]],TblPop[[#This Row],[Jobs]])</f>
        <v>253</v>
      </c>
      <c r="I65" s="139">
        <f ca="1">MIN(OFFSET(TblPop[[#This Row],[Jobs]],1,0)/TblPop[[#This Row],[Peasants]],1)</f>
        <v>1</v>
      </c>
      <c r="J65" s="140">
        <f ca="1">SUM(TblConstr[[#This Row],[Tot Alc]:[Tot GT]],TblConstr[[#This Row],[Tot Shr]:[Tot Doc]],TblConstr[[#This Row],[Dest Alc]:[Dest GT]],TblConstr[[#This Row],[Dest Shr]:[Dest Doc]])*building_employment + TblConstr[[#This Row],[Tot Fac]]*bonus_jobs_facts</f>
        <v>1000</v>
      </c>
      <c r="K65" s="141"/>
      <c r="L65" s="61">
        <f ca="1">TblPop[[#This Row],[Draftees]]</f>
        <v>516</v>
      </c>
      <c r="M65" s="61">
        <f ca="1">TblMili[[#This Row],[Unit 1]]</f>
        <v>0</v>
      </c>
      <c r="N65" s="61">
        <f ca="1">TblMili[[#This Row],[Unit 2]]</f>
        <v>0</v>
      </c>
      <c r="O65" s="61">
        <f ca="1">TblMili[[#This Row],[Unit 3]]</f>
        <v>0</v>
      </c>
      <c r="P65" s="61">
        <f ca="1">TblMili[[#This Row],[Unit 4]]</f>
        <v>0</v>
      </c>
      <c r="Q65" s="61">
        <f ca="1">TblMili[[#This Row],[Spies]]</f>
        <v>0</v>
      </c>
      <c r="R65" s="61">
        <f ca="1">TblMili[[#This Row],[Wizards]]</f>
        <v>0</v>
      </c>
      <c r="S65" s="61">
        <f ca="1">TblMili[[#This Row],[Archmages]]</f>
        <v>0</v>
      </c>
      <c r="T65" s="142"/>
      <c r="U65" s="94">
        <f ca="1">ROUND(TblPop[[#This Row],[Raw max]]*(1+OFFSET(TblPop[[#This Row],[Max pop]],-1,0)),0)+MIN(TblPop[[#This Row],[Military]]-TblPop[[#This Row],[Draftees]]-SUM(TblMili[[#This Row],[Train Unit 1]:[Train AM]]),(barracks_size + tech_8_3*TblTech[[#This Row],[8-3]])*TblConstr[[#This Row],[Tot Bar]])</f>
        <v>769</v>
      </c>
      <c r="V6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5" s="94">
        <f ca="1">MAX(-5%*TblPop[[#This Row],[Peasants]]-TblPop[[#This Row],[Draft Growth]],MIN(OFFSET(TblPop[[#This Row],[Net max]],1,0)-TblPop[[#This Row],[Peasants]]-TblPop[[#This Row],[Military]]-TblPop[[#This Row],[Draft Growth]],TblPop[[#This Row],[Modded Birth]]-TblPop[[#This Row],[Draft Growth]]))</f>
        <v>-3</v>
      </c>
      <c r="X65" s="94">
        <f ca="1">ROUND(TblPop[[#This Row],[Raw Birth]]*(1+TblPop[[#This Row],[Growth]]),0)</f>
        <v>8</v>
      </c>
      <c r="Y65" s="94">
        <f ca="1">(TblPop[[#This Row],[Peasants]]-TblPop[[#This Row],[Draft Growth]])*raw_pop_growth</f>
        <v>7.5</v>
      </c>
      <c r="Z65" s="94">
        <f ca="1">ROUND(IF(TblPop[[#This Row],[Military%]]&lt;TblMili[[#This Row],[Draftrate]],ROUND(TblPop[[#This Row],[Peasants]]*Constants!$B$55,0), 0) * IF(AND(TblMagic[[#This Row],[Active DnD]]&lt;=12,TblMagic[[#This Row],[Active DnD]]&gt;6),1.5,1),0)</f>
        <v>3</v>
      </c>
      <c r="AA65" s="142"/>
      <c r="AB65" s="143">
        <f ca="1">Overview!$I$17 + IF(Magic!AF65&gt;0,Constants!$F$78) + ROUND(6*(Construction!BM66+Construction!CK65)/IF(Explore!S66&gt;0,Construction!F66-20,Construction!F66),4) + tech_6_5_2*Techs!BJ65 + tech_8_4*Techs!BT65</f>
        <v>0</v>
      </c>
      <c r="AC65" s="139">
        <f ca="1">(Overview!$I$16 + Imps!Z65+ tech_2_5*Techs!AB65 + tech_3_6*Techs!AM65 + tech_6_1*Techs!BJ65 + tech_6_5*Techs!BF65 + tech_7_3_2*Techs!BN65) * (1 + Production!O65/100*prestige_pop_multiplier) + Production!O65/100*prestige_pop_multiplier</f>
        <v>2.5000000000000001E-2</v>
      </c>
    </row>
    <row r="66" spans="1:29" x14ac:dyDescent="0.2">
      <c r="A66" s="137">
        <f>TblRezone[[#This Row],[Hour]]</f>
        <v>63</v>
      </c>
      <c r="B66" s="138">
        <f ca="1">TblImps[[#This Row],[Time]]</f>
        <v>46322.583333333183</v>
      </c>
      <c r="C66" s="94">
        <f ca="1">OFFSET(TblPop[[#This Row],[Peasants]],-1,0)+OFFSET(TblPop[[#This Row],[Net Peasant]],-1,0)+TblMili[[#This Row],[Release Draft]]</f>
        <v>250</v>
      </c>
      <c r="D66" s="94">
        <f ca="1">TblMili[[#This Row],[Military]]</f>
        <v>519</v>
      </c>
      <c r="E66" s="94">
        <f ca="1">TblMili[[#This Row],[Draftees]]</f>
        <v>519</v>
      </c>
      <c r="F66" s="94">
        <f ca="1">TblPop[[#This Row],[Peasants]]+TblPop[[#This Row],[Military]]</f>
        <v>769</v>
      </c>
      <c r="G66" s="139">
        <f ca="1">TblPop[[#This Row],[Military]]/TblPop[[#This Row],[Total]]</f>
        <v>0.67490247074122234</v>
      </c>
      <c r="H66" s="140">
        <f ca="1">MIN(TblPop[[#This Row],[Peasants]],TblPop[[#This Row],[Jobs]])</f>
        <v>250</v>
      </c>
      <c r="I66" s="139">
        <f ca="1">MIN(OFFSET(TblPop[[#This Row],[Jobs]],1,0)/TblPop[[#This Row],[Peasants]],1)</f>
        <v>1</v>
      </c>
      <c r="J66" s="140">
        <f ca="1">SUM(TblConstr[[#This Row],[Tot Alc]:[Tot GT]],TblConstr[[#This Row],[Tot Shr]:[Tot Doc]],TblConstr[[#This Row],[Dest Alc]:[Dest GT]],TblConstr[[#This Row],[Dest Shr]:[Dest Doc]])*building_employment + TblConstr[[#This Row],[Tot Fac]]*bonus_jobs_facts</f>
        <v>1000</v>
      </c>
      <c r="K66" s="141"/>
      <c r="L66" s="61">
        <f ca="1">TblPop[[#This Row],[Draftees]]</f>
        <v>519</v>
      </c>
      <c r="M66" s="61">
        <f ca="1">TblMili[[#This Row],[Unit 1]]</f>
        <v>0</v>
      </c>
      <c r="N66" s="61">
        <f ca="1">TblMili[[#This Row],[Unit 2]]</f>
        <v>0</v>
      </c>
      <c r="O66" s="61">
        <f ca="1">TblMili[[#This Row],[Unit 3]]</f>
        <v>0</v>
      </c>
      <c r="P66" s="61">
        <f ca="1">TblMili[[#This Row],[Unit 4]]</f>
        <v>0</v>
      </c>
      <c r="Q66" s="61">
        <f ca="1">TblMili[[#This Row],[Spies]]</f>
        <v>0</v>
      </c>
      <c r="R66" s="61">
        <f ca="1">TblMili[[#This Row],[Wizards]]</f>
        <v>0</v>
      </c>
      <c r="S66" s="61">
        <f ca="1">TblMili[[#This Row],[Archmages]]</f>
        <v>0</v>
      </c>
      <c r="T66" s="142"/>
      <c r="U66" s="94">
        <f ca="1">ROUND(TblPop[[#This Row],[Raw max]]*(1+OFFSET(TblPop[[#This Row],[Max pop]],-1,0)),0)+MIN(TblPop[[#This Row],[Military]]-TblPop[[#This Row],[Draftees]]-SUM(TblMili[[#This Row],[Train Unit 1]:[Train AM]]),(barracks_size + tech_8_3*TblTech[[#This Row],[8-3]])*TblConstr[[#This Row],[Tot Bar]])</f>
        <v>769</v>
      </c>
      <c r="V6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6" s="94">
        <f ca="1">MAX(-5%*TblPop[[#This Row],[Peasants]]-TblPop[[#This Row],[Draft Growth]],MIN(OFFSET(TblPop[[#This Row],[Net max]],1,0)-TblPop[[#This Row],[Peasants]]-TblPop[[#This Row],[Military]]-TblPop[[#This Row],[Draft Growth]],TblPop[[#This Row],[Modded Birth]]-TblPop[[#This Row],[Draft Growth]]))</f>
        <v>-3</v>
      </c>
      <c r="X66" s="94">
        <f ca="1">ROUND(TblPop[[#This Row],[Raw Birth]]*(1+TblPop[[#This Row],[Growth]]),0)</f>
        <v>7</v>
      </c>
      <c r="Y66" s="94">
        <f ca="1">(TblPop[[#This Row],[Peasants]]-TblPop[[#This Row],[Draft Growth]])*raw_pop_growth</f>
        <v>7.41</v>
      </c>
      <c r="Z66" s="94">
        <f ca="1">ROUND(IF(TblPop[[#This Row],[Military%]]&lt;TblMili[[#This Row],[Draftrate]],ROUND(TblPop[[#This Row],[Peasants]]*Constants!$B$55,0), 0) * IF(AND(TblMagic[[#This Row],[Active DnD]]&lt;=12,TblMagic[[#This Row],[Active DnD]]&gt;6),1.5,1),0)</f>
        <v>3</v>
      </c>
      <c r="AA66" s="142"/>
      <c r="AB66" s="143">
        <f ca="1">Overview!$I$17 + IF(Magic!AF66&gt;0,Constants!$F$78) + ROUND(6*(Construction!BM67+Construction!CK66)/IF(Explore!S67&gt;0,Construction!F67-20,Construction!F67),4) + tech_6_5_2*Techs!BJ66 + tech_8_4*Techs!BT66</f>
        <v>0</v>
      </c>
      <c r="AC66" s="139">
        <f ca="1">(Overview!$I$16 + Imps!Z66+ tech_2_5*Techs!AB66 + tech_3_6*Techs!AM66 + tech_6_1*Techs!BJ66 + tech_6_5*Techs!BF66 + tech_7_3_2*Techs!BN66) * (1 + Production!O66/100*prestige_pop_multiplier) + Production!O66/100*prestige_pop_multiplier</f>
        <v>2.5000000000000001E-2</v>
      </c>
    </row>
    <row r="67" spans="1:29" x14ac:dyDescent="0.2">
      <c r="A67" s="137">
        <f>TblRezone[[#This Row],[Hour]]</f>
        <v>64</v>
      </c>
      <c r="B67" s="138">
        <f ca="1">TblImps[[#This Row],[Time]]</f>
        <v>46322.624999999847</v>
      </c>
      <c r="C67" s="94">
        <f ca="1">OFFSET(TblPop[[#This Row],[Peasants]],-1,0)+OFFSET(TblPop[[#This Row],[Net Peasant]],-1,0)+TblMili[[#This Row],[Release Draft]]</f>
        <v>247</v>
      </c>
      <c r="D67" s="94">
        <f ca="1">TblMili[[#This Row],[Military]]</f>
        <v>522</v>
      </c>
      <c r="E67" s="94">
        <f ca="1">TblMili[[#This Row],[Draftees]]</f>
        <v>522</v>
      </c>
      <c r="F67" s="94">
        <f ca="1">TblPop[[#This Row],[Peasants]]+TblPop[[#This Row],[Military]]</f>
        <v>769</v>
      </c>
      <c r="G67" s="139">
        <f ca="1">TblPop[[#This Row],[Military]]/TblPop[[#This Row],[Total]]</f>
        <v>0.67880364109232771</v>
      </c>
      <c r="H67" s="140">
        <f ca="1">MIN(TblPop[[#This Row],[Peasants]],TblPop[[#This Row],[Jobs]])</f>
        <v>247</v>
      </c>
      <c r="I67" s="139">
        <f ca="1">MIN(OFFSET(TblPop[[#This Row],[Jobs]],1,0)/TblPop[[#This Row],[Peasants]],1)</f>
        <v>1</v>
      </c>
      <c r="J67" s="140">
        <f ca="1">SUM(TblConstr[[#This Row],[Tot Alc]:[Tot GT]],TblConstr[[#This Row],[Tot Shr]:[Tot Doc]],TblConstr[[#This Row],[Dest Alc]:[Dest GT]],TblConstr[[#This Row],[Dest Shr]:[Dest Doc]])*building_employment + TblConstr[[#This Row],[Tot Fac]]*bonus_jobs_facts</f>
        <v>1000</v>
      </c>
      <c r="K67" s="141"/>
      <c r="L67" s="61">
        <f ca="1">TblPop[[#This Row],[Draftees]]</f>
        <v>522</v>
      </c>
      <c r="M67" s="61">
        <f ca="1">TblMili[[#This Row],[Unit 1]]</f>
        <v>0</v>
      </c>
      <c r="N67" s="61">
        <f ca="1">TblMili[[#This Row],[Unit 2]]</f>
        <v>0</v>
      </c>
      <c r="O67" s="61">
        <f ca="1">TblMili[[#This Row],[Unit 3]]</f>
        <v>0</v>
      </c>
      <c r="P67" s="61">
        <f ca="1">TblMili[[#This Row],[Unit 4]]</f>
        <v>0</v>
      </c>
      <c r="Q67" s="61">
        <f ca="1">TblMili[[#This Row],[Spies]]</f>
        <v>0</v>
      </c>
      <c r="R67" s="61">
        <f ca="1">TblMili[[#This Row],[Wizards]]</f>
        <v>0</v>
      </c>
      <c r="S67" s="61">
        <f ca="1">TblMili[[#This Row],[Archmages]]</f>
        <v>0</v>
      </c>
      <c r="T67" s="142"/>
      <c r="U67" s="94">
        <f ca="1">ROUND(TblPop[[#This Row],[Raw max]]*(1+OFFSET(TblPop[[#This Row],[Max pop]],-1,0)),0)+MIN(TblPop[[#This Row],[Military]]-TblPop[[#This Row],[Draftees]]-SUM(TblMili[[#This Row],[Train Unit 1]:[Train AM]]),(barracks_size + tech_8_3*TblTech[[#This Row],[8-3]])*TblConstr[[#This Row],[Tot Bar]])</f>
        <v>769</v>
      </c>
      <c r="V6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7" s="94">
        <f ca="1">MAX(-5%*TblPop[[#This Row],[Peasants]]-TblPop[[#This Row],[Draft Growth]],MIN(OFFSET(TblPop[[#This Row],[Net max]],1,0)-TblPop[[#This Row],[Peasants]]-TblPop[[#This Row],[Military]]-TblPop[[#This Row],[Draft Growth]],TblPop[[#This Row],[Modded Birth]]-TblPop[[#This Row],[Draft Growth]]))</f>
        <v>-2</v>
      </c>
      <c r="X67" s="94">
        <f ca="1">ROUND(TblPop[[#This Row],[Raw Birth]]*(1+TblPop[[#This Row],[Growth]]),0)</f>
        <v>7</v>
      </c>
      <c r="Y67" s="94">
        <f ca="1">(TblPop[[#This Row],[Peasants]]-TblPop[[#This Row],[Draft Growth]])*raw_pop_growth</f>
        <v>7.35</v>
      </c>
      <c r="Z67" s="94">
        <f ca="1">ROUND(IF(TblPop[[#This Row],[Military%]]&lt;TblMili[[#This Row],[Draftrate]],ROUND(TblPop[[#This Row],[Peasants]]*Constants!$B$55,0), 0) * IF(AND(TblMagic[[#This Row],[Active DnD]]&lt;=12,TblMagic[[#This Row],[Active DnD]]&gt;6),1.5,1),0)</f>
        <v>2</v>
      </c>
      <c r="AA67" s="142"/>
      <c r="AB67" s="143">
        <f ca="1">Overview!$I$17 + IF(Magic!AF67&gt;0,Constants!$F$78) + ROUND(6*(Construction!BM68+Construction!CK67)/IF(Explore!S68&gt;0,Construction!F68-20,Construction!F68),4) + tech_6_5_2*Techs!BJ67 + tech_8_4*Techs!BT67</f>
        <v>0</v>
      </c>
      <c r="AC67" s="139">
        <f ca="1">(Overview!$I$16 + Imps!Z67+ tech_2_5*Techs!AB67 + tech_3_6*Techs!AM67 + tech_6_1*Techs!BJ67 + tech_6_5*Techs!BF67 + tech_7_3_2*Techs!BN67) * (1 + Production!O67/100*prestige_pop_multiplier) + Production!O67/100*prestige_pop_multiplier</f>
        <v>2.5000000000000001E-2</v>
      </c>
    </row>
    <row r="68" spans="1:29" x14ac:dyDescent="0.2">
      <c r="A68" s="137">
        <f>TblRezone[[#This Row],[Hour]]</f>
        <v>65</v>
      </c>
      <c r="B68" s="138">
        <f ca="1">TblImps[[#This Row],[Time]]</f>
        <v>46322.666666666511</v>
      </c>
      <c r="C68" s="94">
        <f ca="1">OFFSET(TblPop[[#This Row],[Peasants]],-1,0)+OFFSET(TblPop[[#This Row],[Net Peasant]],-1,0)+TblMili[[#This Row],[Release Draft]]</f>
        <v>245</v>
      </c>
      <c r="D68" s="94">
        <f ca="1">TblMili[[#This Row],[Military]]</f>
        <v>524</v>
      </c>
      <c r="E68" s="94">
        <f ca="1">TblMili[[#This Row],[Draftees]]</f>
        <v>524</v>
      </c>
      <c r="F68" s="94">
        <f ca="1">TblPop[[#This Row],[Peasants]]+TblPop[[#This Row],[Military]]</f>
        <v>769</v>
      </c>
      <c r="G68" s="139">
        <f ca="1">TblPop[[#This Row],[Military]]/TblPop[[#This Row],[Total]]</f>
        <v>0.68140442132639789</v>
      </c>
      <c r="H68" s="140">
        <f ca="1">MIN(TblPop[[#This Row],[Peasants]],TblPop[[#This Row],[Jobs]])</f>
        <v>245</v>
      </c>
      <c r="I68" s="139">
        <f ca="1">MIN(OFFSET(TblPop[[#This Row],[Jobs]],1,0)/TblPop[[#This Row],[Peasants]],1)</f>
        <v>1</v>
      </c>
      <c r="J68" s="140">
        <f ca="1">SUM(TblConstr[[#This Row],[Tot Alc]:[Tot GT]],TblConstr[[#This Row],[Tot Shr]:[Tot Doc]],TblConstr[[#This Row],[Dest Alc]:[Dest GT]],TblConstr[[#This Row],[Dest Shr]:[Dest Doc]])*building_employment + TblConstr[[#This Row],[Tot Fac]]*bonus_jobs_facts</f>
        <v>1000</v>
      </c>
      <c r="K68" s="141"/>
      <c r="L68" s="61">
        <f ca="1">TblPop[[#This Row],[Draftees]]</f>
        <v>524</v>
      </c>
      <c r="M68" s="61">
        <f ca="1">TblMili[[#This Row],[Unit 1]]</f>
        <v>0</v>
      </c>
      <c r="N68" s="61">
        <f ca="1">TblMili[[#This Row],[Unit 2]]</f>
        <v>0</v>
      </c>
      <c r="O68" s="61">
        <f ca="1">TblMili[[#This Row],[Unit 3]]</f>
        <v>0</v>
      </c>
      <c r="P68" s="61">
        <f ca="1">TblMili[[#This Row],[Unit 4]]</f>
        <v>0</v>
      </c>
      <c r="Q68" s="61">
        <f ca="1">TblMili[[#This Row],[Spies]]</f>
        <v>0</v>
      </c>
      <c r="R68" s="61">
        <f ca="1">TblMili[[#This Row],[Wizards]]</f>
        <v>0</v>
      </c>
      <c r="S68" s="61">
        <f ca="1">TblMili[[#This Row],[Archmages]]</f>
        <v>0</v>
      </c>
      <c r="T68" s="142"/>
      <c r="U68" s="94">
        <f ca="1">ROUND(TblPop[[#This Row],[Raw max]]*(1+OFFSET(TblPop[[#This Row],[Max pop]],-1,0)),0)+MIN(TblPop[[#This Row],[Military]]-TblPop[[#This Row],[Draftees]]-SUM(TblMili[[#This Row],[Train Unit 1]:[Train AM]]),(barracks_size + tech_8_3*TblTech[[#This Row],[8-3]])*TblConstr[[#This Row],[Tot Bar]])</f>
        <v>769</v>
      </c>
      <c r="V6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8" s="94">
        <f ca="1">MAX(-5%*TblPop[[#This Row],[Peasants]]-TblPop[[#This Row],[Draft Growth]],MIN(OFFSET(TblPop[[#This Row],[Net max]],1,0)-TblPop[[#This Row],[Peasants]]-TblPop[[#This Row],[Military]]-TblPop[[#This Row],[Draft Growth]],TblPop[[#This Row],[Modded Birth]]-TblPop[[#This Row],[Draft Growth]]))</f>
        <v>-2</v>
      </c>
      <c r="X68" s="94">
        <f ca="1">ROUND(TblPop[[#This Row],[Raw Birth]]*(1+TblPop[[#This Row],[Growth]]),0)</f>
        <v>7</v>
      </c>
      <c r="Y68" s="94">
        <f ca="1">(TblPop[[#This Row],[Peasants]]-TblPop[[#This Row],[Draft Growth]])*raw_pop_growth</f>
        <v>7.29</v>
      </c>
      <c r="Z68" s="94">
        <f ca="1">ROUND(IF(TblPop[[#This Row],[Military%]]&lt;TblMili[[#This Row],[Draftrate]],ROUND(TblPop[[#This Row],[Peasants]]*Constants!$B$55,0), 0) * IF(AND(TblMagic[[#This Row],[Active DnD]]&lt;=12,TblMagic[[#This Row],[Active DnD]]&gt;6),1.5,1),0)</f>
        <v>2</v>
      </c>
      <c r="AA68" s="142"/>
      <c r="AB68" s="143">
        <f ca="1">Overview!$I$17 + IF(Magic!AF68&gt;0,Constants!$F$78) + ROUND(6*(Construction!BM69+Construction!CK68)/IF(Explore!S69&gt;0,Construction!F69-20,Construction!F69),4) + tech_6_5_2*Techs!BJ68 + tech_8_4*Techs!BT68</f>
        <v>0</v>
      </c>
      <c r="AC68" s="139">
        <f ca="1">(Overview!$I$16 + Imps!Z68+ tech_2_5*Techs!AB68 + tech_3_6*Techs!AM68 + tech_6_1*Techs!BJ68 + tech_6_5*Techs!BF68 + tech_7_3_2*Techs!BN68) * (1 + Production!O68/100*prestige_pop_multiplier) + Production!O68/100*prestige_pop_multiplier</f>
        <v>2.5000000000000001E-2</v>
      </c>
    </row>
    <row r="69" spans="1:29" x14ac:dyDescent="0.2">
      <c r="A69" s="137">
        <f>TblRezone[[#This Row],[Hour]]</f>
        <v>66</v>
      </c>
      <c r="B69" s="138">
        <f ca="1">TblImps[[#This Row],[Time]]</f>
        <v>46322.708333333176</v>
      </c>
      <c r="C69" s="94">
        <f ca="1">OFFSET(TblPop[[#This Row],[Peasants]],-1,0)+OFFSET(TblPop[[#This Row],[Net Peasant]],-1,0)+TblMili[[#This Row],[Release Draft]]</f>
        <v>243</v>
      </c>
      <c r="D69" s="94">
        <f ca="1">TblMili[[#This Row],[Military]]</f>
        <v>526</v>
      </c>
      <c r="E69" s="94">
        <f ca="1">TblMili[[#This Row],[Draftees]]</f>
        <v>526</v>
      </c>
      <c r="F69" s="94">
        <f ca="1">TblPop[[#This Row],[Peasants]]+TblPop[[#This Row],[Military]]</f>
        <v>769</v>
      </c>
      <c r="G69" s="139">
        <f ca="1">TblPop[[#This Row],[Military]]/TblPop[[#This Row],[Total]]</f>
        <v>0.68400520156046818</v>
      </c>
      <c r="H69" s="140">
        <f ca="1">MIN(TblPop[[#This Row],[Peasants]],TblPop[[#This Row],[Jobs]])</f>
        <v>243</v>
      </c>
      <c r="I69" s="139">
        <f ca="1">MIN(OFFSET(TblPop[[#This Row],[Jobs]],1,0)/TblPop[[#This Row],[Peasants]],1)</f>
        <v>1</v>
      </c>
      <c r="J69" s="140">
        <f ca="1">SUM(TblConstr[[#This Row],[Tot Alc]:[Tot GT]],TblConstr[[#This Row],[Tot Shr]:[Tot Doc]],TblConstr[[#This Row],[Dest Alc]:[Dest GT]],TblConstr[[#This Row],[Dest Shr]:[Dest Doc]])*building_employment + TblConstr[[#This Row],[Tot Fac]]*bonus_jobs_facts</f>
        <v>1000</v>
      </c>
      <c r="K69" s="141"/>
      <c r="L69" s="61">
        <f ca="1">TblPop[[#This Row],[Draftees]]</f>
        <v>526</v>
      </c>
      <c r="M69" s="61">
        <f ca="1">TblMili[[#This Row],[Unit 1]]</f>
        <v>0</v>
      </c>
      <c r="N69" s="61">
        <f ca="1">TblMili[[#This Row],[Unit 2]]</f>
        <v>0</v>
      </c>
      <c r="O69" s="61">
        <f ca="1">TblMili[[#This Row],[Unit 3]]</f>
        <v>0</v>
      </c>
      <c r="P69" s="61">
        <f ca="1">TblMili[[#This Row],[Unit 4]]</f>
        <v>0</v>
      </c>
      <c r="Q69" s="61">
        <f ca="1">TblMili[[#This Row],[Spies]]</f>
        <v>0</v>
      </c>
      <c r="R69" s="61">
        <f ca="1">TblMili[[#This Row],[Wizards]]</f>
        <v>0</v>
      </c>
      <c r="S69" s="61">
        <f ca="1">TblMili[[#This Row],[Archmages]]</f>
        <v>0</v>
      </c>
      <c r="T69" s="142"/>
      <c r="U69" s="94">
        <f ca="1">ROUND(TblPop[[#This Row],[Raw max]]*(1+OFFSET(TblPop[[#This Row],[Max pop]],-1,0)),0)+MIN(TblPop[[#This Row],[Military]]-TblPop[[#This Row],[Draftees]]-SUM(TblMili[[#This Row],[Train Unit 1]:[Train AM]]),(barracks_size + tech_8_3*TblTech[[#This Row],[8-3]])*TblConstr[[#This Row],[Tot Bar]])</f>
        <v>769</v>
      </c>
      <c r="V6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9" s="94">
        <f ca="1">MAX(-5%*TblPop[[#This Row],[Peasants]]-TblPop[[#This Row],[Draft Growth]],MIN(OFFSET(TblPop[[#This Row],[Net max]],1,0)-TblPop[[#This Row],[Peasants]]-TblPop[[#This Row],[Military]]-TblPop[[#This Row],[Draft Growth]],TblPop[[#This Row],[Modded Birth]]-TblPop[[#This Row],[Draft Growth]]))</f>
        <v>-2</v>
      </c>
      <c r="X69" s="94">
        <f ca="1">ROUND(TblPop[[#This Row],[Raw Birth]]*(1+TblPop[[#This Row],[Growth]]),0)</f>
        <v>7</v>
      </c>
      <c r="Y69" s="94">
        <f ca="1">(TblPop[[#This Row],[Peasants]]-TblPop[[#This Row],[Draft Growth]])*raw_pop_growth</f>
        <v>7.2299999999999995</v>
      </c>
      <c r="Z69" s="94">
        <f ca="1">ROUND(IF(TblPop[[#This Row],[Military%]]&lt;TblMili[[#This Row],[Draftrate]],ROUND(TblPop[[#This Row],[Peasants]]*Constants!$B$55,0), 0) * IF(AND(TblMagic[[#This Row],[Active DnD]]&lt;=12,TblMagic[[#This Row],[Active DnD]]&gt;6),1.5,1),0)</f>
        <v>2</v>
      </c>
      <c r="AA69" s="142"/>
      <c r="AB69" s="143">
        <f ca="1">Overview!$I$17 + IF(Magic!AF69&gt;0,Constants!$F$78) + ROUND(6*(Construction!BM70+Construction!CK69)/IF(Explore!S70&gt;0,Construction!F70-20,Construction!F70),4) + tech_6_5_2*Techs!BJ69 + tech_8_4*Techs!BT69</f>
        <v>0</v>
      </c>
      <c r="AC69" s="139">
        <f ca="1">(Overview!$I$16 + Imps!Z69+ tech_2_5*Techs!AB69 + tech_3_6*Techs!AM69 + tech_6_1*Techs!BJ69 + tech_6_5*Techs!BF69 + tech_7_3_2*Techs!BN69) * (1 + Production!O69/100*prestige_pop_multiplier) + Production!O69/100*prestige_pop_multiplier</f>
        <v>2.5000000000000001E-2</v>
      </c>
    </row>
    <row r="70" spans="1:29" x14ac:dyDescent="0.2">
      <c r="A70" s="137">
        <f>TblRezone[[#This Row],[Hour]]</f>
        <v>67</v>
      </c>
      <c r="B70" s="138">
        <f ca="1">TblImps[[#This Row],[Time]]</f>
        <v>46322.74999999984</v>
      </c>
      <c r="C70" s="94">
        <f ca="1">OFFSET(TblPop[[#This Row],[Peasants]],-1,0)+OFFSET(TblPop[[#This Row],[Net Peasant]],-1,0)+TblMili[[#This Row],[Release Draft]]</f>
        <v>241</v>
      </c>
      <c r="D70" s="94">
        <f ca="1">TblMili[[#This Row],[Military]]</f>
        <v>528</v>
      </c>
      <c r="E70" s="94">
        <f ca="1">TblMili[[#This Row],[Draftees]]</f>
        <v>528</v>
      </c>
      <c r="F70" s="94">
        <f ca="1">TblPop[[#This Row],[Peasants]]+TblPop[[#This Row],[Military]]</f>
        <v>769</v>
      </c>
      <c r="G70" s="139">
        <f ca="1">TblPop[[#This Row],[Military]]/TblPop[[#This Row],[Total]]</f>
        <v>0.68660598179453836</v>
      </c>
      <c r="H70" s="140">
        <f ca="1">MIN(TblPop[[#This Row],[Peasants]],TblPop[[#This Row],[Jobs]])</f>
        <v>241</v>
      </c>
      <c r="I70" s="139">
        <f ca="1">MIN(OFFSET(TblPop[[#This Row],[Jobs]],1,0)/TblPop[[#This Row],[Peasants]],1)</f>
        <v>1</v>
      </c>
      <c r="J70" s="140">
        <f ca="1">SUM(TblConstr[[#This Row],[Tot Alc]:[Tot GT]],TblConstr[[#This Row],[Tot Shr]:[Tot Doc]],TblConstr[[#This Row],[Dest Alc]:[Dest GT]],TblConstr[[#This Row],[Dest Shr]:[Dest Doc]])*building_employment + TblConstr[[#This Row],[Tot Fac]]*bonus_jobs_facts</f>
        <v>1000</v>
      </c>
      <c r="K70" s="141"/>
      <c r="L70" s="61">
        <f ca="1">TblPop[[#This Row],[Draftees]]</f>
        <v>528</v>
      </c>
      <c r="M70" s="61">
        <f ca="1">TblMili[[#This Row],[Unit 1]]</f>
        <v>0</v>
      </c>
      <c r="N70" s="61">
        <f ca="1">TblMili[[#This Row],[Unit 2]]</f>
        <v>0</v>
      </c>
      <c r="O70" s="61">
        <f ca="1">TblMili[[#This Row],[Unit 3]]</f>
        <v>0</v>
      </c>
      <c r="P70" s="61">
        <f ca="1">TblMili[[#This Row],[Unit 4]]</f>
        <v>0</v>
      </c>
      <c r="Q70" s="61">
        <f ca="1">TblMili[[#This Row],[Spies]]</f>
        <v>0</v>
      </c>
      <c r="R70" s="61">
        <f ca="1">TblMili[[#This Row],[Wizards]]</f>
        <v>0</v>
      </c>
      <c r="S70" s="61">
        <f ca="1">TblMili[[#This Row],[Archmages]]</f>
        <v>0</v>
      </c>
      <c r="T70" s="142"/>
      <c r="U70" s="94">
        <f ca="1">ROUND(TblPop[[#This Row],[Raw max]]*(1+OFFSET(TblPop[[#This Row],[Max pop]],-1,0)),0)+MIN(TblPop[[#This Row],[Military]]-TblPop[[#This Row],[Draftees]]-SUM(TblMili[[#This Row],[Train Unit 1]:[Train AM]]),(barracks_size + tech_8_3*TblTech[[#This Row],[8-3]])*TblConstr[[#This Row],[Tot Bar]])</f>
        <v>769</v>
      </c>
      <c r="V7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0" s="94">
        <f ca="1">MAX(-5%*TblPop[[#This Row],[Peasants]]-TblPop[[#This Row],[Draft Growth]],MIN(OFFSET(TblPop[[#This Row],[Net max]],1,0)-TblPop[[#This Row],[Peasants]]-TblPop[[#This Row],[Military]]-TblPop[[#This Row],[Draft Growth]],TblPop[[#This Row],[Modded Birth]]-TblPop[[#This Row],[Draft Growth]]))</f>
        <v>-2</v>
      </c>
      <c r="X70" s="94">
        <f ca="1">ROUND(TblPop[[#This Row],[Raw Birth]]*(1+TblPop[[#This Row],[Growth]]),0)</f>
        <v>7</v>
      </c>
      <c r="Y70" s="94">
        <f ca="1">(TblPop[[#This Row],[Peasants]]-TblPop[[#This Row],[Draft Growth]])*raw_pop_growth</f>
        <v>7.17</v>
      </c>
      <c r="Z70" s="94">
        <f ca="1">ROUND(IF(TblPop[[#This Row],[Military%]]&lt;TblMili[[#This Row],[Draftrate]],ROUND(TblPop[[#This Row],[Peasants]]*Constants!$B$55,0), 0) * IF(AND(TblMagic[[#This Row],[Active DnD]]&lt;=12,TblMagic[[#This Row],[Active DnD]]&gt;6),1.5,1),0)</f>
        <v>2</v>
      </c>
      <c r="AA70" s="142"/>
      <c r="AB70" s="143">
        <f ca="1">Overview!$I$17 + IF(Magic!AF70&gt;0,Constants!$F$78) + ROUND(6*(Construction!BM71+Construction!CK70)/IF(Explore!S71&gt;0,Construction!F71-20,Construction!F71),4) + tech_6_5_2*Techs!BJ70 + tech_8_4*Techs!BT70</f>
        <v>0</v>
      </c>
      <c r="AC70" s="139">
        <f ca="1">(Overview!$I$16 + Imps!Z70+ tech_2_5*Techs!AB70 + tech_3_6*Techs!AM70 + tech_6_1*Techs!BJ70 + tech_6_5*Techs!BF70 + tech_7_3_2*Techs!BN70) * (1 + Production!O70/100*prestige_pop_multiplier) + Production!O70/100*prestige_pop_multiplier</f>
        <v>2.5000000000000001E-2</v>
      </c>
    </row>
    <row r="71" spans="1:29" x14ac:dyDescent="0.2">
      <c r="A71" s="137">
        <f>TblRezone[[#This Row],[Hour]]</f>
        <v>68</v>
      </c>
      <c r="B71" s="138">
        <f ca="1">TblImps[[#This Row],[Time]]</f>
        <v>46322.791666666504</v>
      </c>
      <c r="C71" s="94">
        <f ca="1">OFFSET(TblPop[[#This Row],[Peasants]],-1,0)+OFFSET(TblPop[[#This Row],[Net Peasant]],-1,0)+TblMili[[#This Row],[Release Draft]]</f>
        <v>239</v>
      </c>
      <c r="D71" s="94">
        <f ca="1">TblMili[[#This Row],[Military]]</f>
        <v>530</v>
      </c>
      <c r="E71" s="94">
        <f ca="1">TblMili[[#This Row],[Draftees]]</f>
        <v>530</v>
      </c>
      <c r="F71" s="94">
        <f ca="1">TblPop[[#This Row],[Peasants]]+TblPop[[#This Row],[Military]]</f>
        <v>769</v>
      </c>
      <c r="G71" s="139">
        <f ca="1">TblPop[[#This Row],[Military]]/TblPop[[#This Row],[Total]]</f>
        <v>0.68920676202860853</v>
      </c>
      <c r="H71" s="140">
        <f ca="1">MIN(TblPop[[#This Row],[Peasants]],TblPop[[#This Row],[Jobs]])</f>
        <v>239</v>
      </c>
      <c r="I71" s="139">
        <f ca="1">MIN(OFFSET(TblPop[[#This Row],[Jobs]],1,0)/TblPop[[#This Row],[Peasants]],1)</f>
        <v>1</v>
      </c>
      <c r="J71" s="140">
        <f ca="1">SUM(TblConstr[[#This Row],[Tot Alc]:[Tot GT]],TblConstr[[#This Row],[Tot Shr]:[Tot Doc]],TblConstr[[#This Row],[Dest Alc]:[Dest GT]],TblConstr[[#This Row],[Dest Shr]:[Dest Doc]])*building_employment + TblConstr[[#This Row],[Tot Fac]]*bonus_jobs_facts</f>
        <v>1000</v>
      </c>
      <c r="K71" s="141"/>
      <c r="L71" s="61">
        <f ca="1">TblPop[[#This Row],[Draftees]]</f>
        <v>530</v>
      </c>
      <c r="M71" s="61">
        <f ca="1">TblMili[[#This Row],[Unit 1]]</f>
        <v>0</v>
      </c>
      <c r="N71" s="61">
        <f ca="1">TblMili[[#This Row],[Unit 2]]</f>
        <v>0</v>
      </c>
      <c r="O71" s="61">
        <f ca="1">TblMili[[#This Row],[Unit 3]]</f>
        <v>0</v>
      </c>
      <c r="P71" s="61">
        <f ca="1">TblMili[[#This Row],[Unit 4]]</f>
        <v>0</v>
      </c>
      <c r="Q71" s="61">
        <f ca="1">TblMili[[#This Row],[Spies]]</f>
        <v>0</v>
      </c>
      <c r="R71" s="61">
        <f ca="1">TblMili[[#This Row],[Wizards]]</f>
        <v>0</v>
      </c>
      <c r="S71" s="61">
        <f ca="1">TblMili[[#This Row],[Archmages]]</f>
        <v>0</v>
      </c>
      <c r="T71" s="142"/>
      <c r="U71" s="94">
        <f ca="1">ROUND(TblPop[[#This Row],[Raw max]]*(1+OFFSET(TblPop[[#This Row],[Max pop]],-1,0)),0)+MIN(TblPop[[#This Row],[Military]]-TblPop[[#This Row],[Draftees]]-SUM(TblMili[[#This Row],[Train Unit 1]:[Train AM]]),(barracks_size + tech_8_3*TblTech[[#This Row],[8-3]])*TblConstr[[#This Row],[Tot Bar]])</f>
        <v>769</v>
      </c>
      <c r="V7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1" s="94">
        <f ca="1">MAX(-5%*TblPop[[#This Row],[Peasants]]-TblPop[[#This Row],[Draft Growth]],MIN(OFFSET(TblPop[[#This Row],[Net max]],1,0)-TblPop[[#This Row],[Peasants]]-TblPop[[#This Row],[Military]]-TblPop[[#This Row],[Draft Growth]],TblPop[[#This Row],[Modded Birth]]-TblPop[[#This Row],[Draft Growth]]))</f>
        <v>-2</v>
      </c>
      <c r="X71" s="94">
        <f ca="1">ROUND(TblPop[[#This Row],[Raw Birth]]*(1+TblPop[[#This Row],[Growth]]),0)</f>
        <v>7</v>
      </c>
      <c r="Y71" s="94">
        <f ca="1">(TblPop[[#This Row],[Peasants]]-TblPop[[#This Row],[Draft Growth]])*raw_pop_growth</f>
        <v>7.1099999999999994</v>
      </c>
      <c r="Z71" s="94">
        <f ca="1">ROUND(IF(TblPop[[#This Row],[Military%]]&lt;TblMili[[#This Row],[Draftrate]],ROUND(TblPop[[#This Row],[Peasants]]*Constants!$B$55,0), 0) * IF(AND(TblMagic[[#This Row],[Active DnD]]&lt;=12,TblMagic[[#This Row],[Active DnD]]&gt;6),1.5,1),0)</f>
        <v>2</v>
      </c>
      <c r="AA71" s="142"/>
      <c r="AB71" s="143">
        <f ca="1">Overview!$I$17 + IF(Magic!AF71&gt;0,Constants!$F$78) + ROUND(6*(Construction!BM72+Construction!CK71)/IF(Explore!S72&gt;0,Construction!F72-20,Construction!F72),4) + tech_6_5_2*Techs!BJ71 + tech_8_4*Techs!BT71</f>
        <v>0</v>
      </c>
      <c r="AC71" s="139">
        <f ca="1">(Overview!$I$16 + Imps!Z71+ tech_2_5*Techs!AB71 + tech_3_6*Techs!AM71 + tech_6_1*Techs!BJ71 + tech_6_5*Techs!BF71 + tech_7_3_2*Techs!BN71) * (1 + Production!O71/100*prestige_pop_multiplier) + Production!O71/100*prestige_pop_multiplier</f>
        <v>2.5000000000000001E-2</v>
      </c>
    </row>
    <row r="72" spans="1:29" x14ac:dyDescent="0.2">
      <c r="A72" s="137">
        <f>TblRezone[[#This Row],[Hour]]</f>
        <v>69</v>
      </c>
      <c r="B72" s="138">
        <f ca="1">TblImps[[#This Row],[Time]]</f>
        <v>46322.833333333168</v>
      </c>
      <c r="C72" s="94">
        <f ca="1">OFFSET(TblPop[[#This Row],[Peasants]],-1,0)+OFFSET(TblPop[[#This Row],[Net Peasant]],-1,0)+TblMili[[#This Row],[Release Draft]]</f>
        <v>237</v>
      </c>
      <c r="D72" s="94">
        <f ca="1">TblMili[[#This Row],[Military]]</f>
        <v>532</v>
      </c>
      <c r="E72" s="94">
        <f ca="1">TblMili[[#This Row],[Draftees]]</f>
        <v>532</v>
      </c>
      <c r="F72" s="94">
        <f ca="1">TblPop[[#This Row],[Peasants]]+TblPop[[#This Row],[Military]]</f>
        <v>769</v>
      </c>
      <c r="G72" s="139">
        <f ca="1">TblPop[[#This Row],[Military]]/TblPop[[#This Row],[Total]]</f>
        <v>0.69180754226267882</v>
      </c>
      <c r="H72" s="140">
        <f ca="1">MIN(TblPop[[#This Row],[Peasants]],TblPop[[#This Row],[Jobs]])</f>
        <v>237</v>
      </c>
      <c r="I72" s="139">
        <f ca="1">MIN(OFFSET(TblPop[[#This Row],[Jobs]],1,0)/TblPop[[#This Row],[Peasants]],1)</f>
        <v>1</v>
      </c>
      <c r="J72" s="140">
        <f ca="1">SUM(TblConstr[[#This Row],[Tot Alc]:[Tot GT]],TblConstr[[#This Row],[Tot Shr]:[Tot Doc]],TblConstr[[#This Row],[Dest Alc]:[Dest GT]],TblConstr[[#This Row],[Dest Shr]:[Dest Doc]])*building_employment + TblConstr[[#This Row],[Tot Fac]]*bonus_jobs_facts</f>
        <v>1000</v>
      </c>
      <c r="K72" s="141"/>
      <c r="L72" s="61">
        <f ca="1">TblPop[[#This Row],[Draftees]]</f>
        <v>532</v>
      </c>
      <c r="M72" s="61">
        <f ca="1">TblMili[[#This Row],[Unit 1]]</f>
        <v>0</v>
      </c>
      <c r="N72" s="61">
        <f ca="1">TblMili[[#This Row],[Unit 2]]</f>
        <v>0</v>
      </c>
      <c r="O72" s="61">
        <f ca="1">TblMili[[#This Row],[Unit 3]]</f>
        <v>0</v>
      </c>
      <c r="P72" s="61">
        <f ca="1">TblMili[[#This Row],[Unit 4]]</f>
        <v>0</v>
      </c>
      <c r="Q72" s="61">
        <f ca="1">TblMili[[#This Row],[Spies]]</f>
        <v>0</v>
      </c>
      <c r="R72" s="61">
        <f ca="1">TblMili[[#This Row],[Wizards]]</f>
        <v>0</v>
      </c>
      <c r="S72" s="61">
        <f ca="1">TblMili[[#This Row],[Archmages]]</f>
        <v>0</v>
      </c>
      <c r="T72" s="142"/>
      <c r="U72" s="94">
        <f ca="1">ROUND(TblPop[[#This Row],[Raw max]]*(1+OFFSET(TblPop[[#This Row],[Max pop]],-1,0)),0)+MIN(TblPop[[#This Row],[Military]]-TblPop[[#This Row],[Draftees]]-SUM(TblMili[[#This Row],[Train Unit 1]:[Train AM]]),(barracks_size + tech_8_3*TblTech[[#This Row],[8-3]])*TblConstr[[#This Row],[Tot Bar]])</f>
        <v>769</v>
      </c>
      <c r="V7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2" s="94">
        <f ca="1">MAX(-5%*TblPop[[#This Row],[Peasants]]-TblPop[[#This Row],[Draft Growth]],MIN(OFFSET(TblPop[[#This Row],[Net max]],1,0)-TblPop[[#This Row],[Peasants]]-TblPop[[#This Row],[Military]]-TblPop[[#This Row],[Draft Growth]],TblPop[[#This Row],[Modded Birth]]-TblPop[[#This Row],[Draft Growth]]))</f>
        <v>-2</v>
      </c>
      <c r="X72" s="94">
        <f ca="1">ROUND(TblPop[[#This Row],[Raw Birth]]*(1+TblPop[[#This Row],[Growth]]),0)</f>
        <v>7</v>
      </c>
      <c r="Y72" s="94">
        <f ca="1">(TblPop[[#This Row],[Peasants]]-TblPop[[#This Row],[Draft Growth]])*raw_pop_growth</f>
        <v>7.05</v>
      </c>
      <c r="Z72" s="94">
        <f ca="1">ROUND(IF(TblPop[[#This Row],[Military%]]&lt;TblMili[[#This Row],[Draftrate]],ROUND(TblPop[[#This Row],[Peasants]]*Constants!$B$55,0), 0) * IF(AND(TblMagic[[#This Row],[Active DnD]]&lt;=12,TblMagic[[#This Row],[Active DnD]]&gt;6),1.5,1),0)</f>
        <v>2</v>
      </c>
      <c r="AA72" s="142"/>
      <c r="AB72" s="143">
        <f ca="1">Overview!$I$17 + IF(Magic!AF72&gt;0,Constants!$F$78) + ROUND(6*(Construction!BM73+Construction!CK72)/IF(Explore!S73&gt;0,Construction!F73-20,Construction!F73),4) + tech_6_5_2*Techs!BJ72 + tech_8_4*Techs!BT72</f>
        <v>0</v>
      </c>
      <c r="AC72" s="139">
        <f ca="1">(Overview!$I$16 + Imps!Z72+ tech_2_5*Techs!AB72 + tech_3_6*Techs!AM72 + tech_6_1*Techs!BJ72 + tech_6_5*Techs!BF72 + tech_7_3_2*Techs!BN72) * (1 + Production!O72/100*prestige_pop_multiplier) + Production!O72/100*prestige_pop_multiplier</f>
        <v>2.5000000000000001E-2</v>
      </c>
    </row>
    <row r="73" spans="1:29" x14ac:dyDescent="0.2">
      <c r="A73" s="137">
        <f>TblRezone[[#This Row],[Hour]]</f>
        <v>70</v>
      </c>
      <c r="B73" s="138">
        <f ca="1">TblImps[[#This Row],[Time]]</f>
        <v>46322.874999999833</v>
      </c>
      <c r="C73" s="94">
        <f ca="1">OFFSET(TblPop[[#This Row],[Peasants]],-1,0)+OFFSET(TblPop[[#This Row],[Net Peasant]],-1,0)+TblMili[[#This Row],[Release Draft]]</f>
        <v>235</v>
      </c>
      <c r="D73" s="94">
        <f ca="1">TblMili[[#This Row],[Military]]</f>
        <v>534</v>
      </c>
      <c r="E73" s="94">
        <f ca="1">TblMili[[#This Row],[Draftees]]</f>
        <v>534</v>
      </c>
      <c r="F73" s="94">
        <f ca="1">TblPop[[#This Row],[Peasants]]+TblPop[[#This Row],[Military]]</f>
        <v>769</v>
      </c>
      <c r="G73" s="139">
        <f ca="1">TblPop[[#This Row],[Military]]/TblPop[[#This Row],[Total]]</f>
        <v>0.694408322496749</v>
      </c>
      <c r="H73" s="140">
        <f ca="1">MIN(TblPop[[#This Row],[Peasants]],TblPop[[#This Row],[Jobs]])</f>
        <v>235</v>
      </c>
      <c r="I73" s="139">
        <f ca="1">MIN(OFFSET(TblPop[[#This Row],[Jobs]],1,0)/TblPop[[#This Row],[Peasants]],1)</f>
        <v>1</v>
      </c>
      <c r="J73" s="140">
        <f ca="1">SUM(TblConstr[[#This Row],[Tot Alc]:[Tot GT]],TblConstr[[#This Row],[Tot Shr]:[Tot Doc]],TblConstr[[#This Row],[Dest Alc]:[Dest GT]],TblConstr[[#This Row],[Dest Shr]:[Dest Doc]])*building_employment + TblConstr[[#This Row],[Tot Fac]]*bonus_jobs_facts</f>
        <v>1000</v>
      </c>
      <c r="K73" s="141"/>
      <c r="L73" s="61">
        <f ca="1">TblPop[[#This Row],[Draftees]]</f>
        <v>534</v>
      </c>
      <c r="M73" s="61">
        <f ca="1">TblMili[[#This Row],[Unit 1]]</f>
        <v>0</v>
      </c>
      <c r="N73" s="61">
        <f ca="1">TblMili[[#This Row],[Unit 2]]</f>
        <v>0</v>
      </c>
      <c r="O73" s="61">
        <f ca="1">TblMili[[#This Row],[Unit 3]]</f>
        <v>0</v>
      </c>
      <c r="P73" s="61">
        <f ca="1">TblMili[[#This Row],[Unit 4]]</f>
        <v>0</v>
      </c>
      <c r="Q73" s="61">
        <f ca="1">TblMili[[#This Row],[Spies]]</f>
        <v>0</v>
      </c>
      <c r="R73" s="61">
        <f ca="1">TblMili[[#This Row],[Wizards]]</f>
        <v>0</v>
      </c>
      <c r="S73" s="61">
        <f ca="1">TblMili[[#This Row],[Archmages]]</f>
        <v>0</v>
      </c>
      <c r="T73" s="142"/>
      <c r="U73" s="94">
        <f ca="1">ROUND(TblPop[[#This Row],[Raw max]]*(1+OFFSET(TblPop[[#This Row],[Max pop]],-1,0)),0)+MIN(TblPop[[#This Row],[Military]]-TblPop[[#This Row],[Draftees]]-SUM(TblMili[[#This Row],[Train Unit 1]:[Train AM]]),(barracks_size + tech_8_3*TblTech[[#This Row],[8-3]])*TblConstr[[#This Row],[Tot Bar]])</f>
        <v>769</v>
      </c>
      <c r="V7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3" s="94">
        <f ca="1">MAX(-5%*TblPop[[#This Row],[Peasants]]-TblPop[[#This Row],[Draft Growth]],MIN(OFFSET(TblPop[[#This Row],[Net max]],1,0)-TblPop[[#This Row],[Peasants]]-TblPop[[#This Row],[Military]]-TblPop[[#This Row],[Draft Growth]],TblPop[[#This Row],[Modded Birth]]-TblPop[[#This Row],[Draft Growth]]))</f>
        <v>-2</v>
      </c>
      <c r="X73" s="94">
        <f ca="1">ROUND(TblPop[[#This Row],[Raw Birth]]*(1+TblPop[[#This Row],[Growth]]),0)</f>
        <v>7</v>
      </c>
      <c r="Y73" s="94">
        <f ca="1">(TblPop[[#This Row],[Peasants]]-TblPop[[#This Row],[Draft Growth]])*raw_pop_growth</f>
        <v>6.9899999999999993</v>
      </c>
      <c r="Z73" s="94">
        <f ca="1">ROUND(IF(TblPop[[#This Row],[Military%]]&lt;TblMili[[#This Row],[Draftrate]],ROUND(TblPop[[#This Row],[Peasants]]*Constants!$B$55,0), 0) * IF(AND(TblMagic[[#This Row],[Active DnD]]&lt;=12,TblMagic[[#This Row],[Active DnD]]&gt;6),1.5,1),0)</f>
        <v>2</v>
      </c>
      <c r="AA73" s="142"/>
      <c r="AB73" s="143">
        <f ca="1">Overview!$I$17 + IF(Magic!AF73&gt;0,Constants!$F$78) + ROUND(6*(Construction!BM74+Construction!CK73)/IF(Explore!S74&gt;0,Construction!F74-20,Construction!F74),4) + tech_6_5_2*Techs!BJ73 + tech_8_4*Techs!BT73</f>
        <v>0</v>
      </c>
      <c r="AC73" s="139">
        <f ca="1">(Overview!$I$16 + Imps!Z73+ tech_2_5*Techs!AB73 + tech_3_6*Techs!AM73 + tech_6_1*Techs!BJ73 + tech_6_5*Techs!BF73 + tech_7_3_2*Techs!BN73) * (1 + Production!O73/100*prestige_pop_multiplier) + Production!O73/100*prestige_pop_multiplier</f>
        <v>2.5000000000000001E-2</v>
      </c>
    </row>
    <row r="74" spans="1:29" x14ac:dyDescent="0.2">
      <c r="A74" s="137">
        <f>TblRezone[[#This Row],[Hour]]</f>
        <v>71</v>
      </c>
      <c r="B74" s="138">
        <f ca="1">TblImps[[#This Row],[Time]]</f>
        <v>46322.916666666497</v>
      </c>
      <c r="C74" s="94">
        <f ca="1">OFFSET(TblPop[[#This Row],[Peasants]],-1,0)+OFFSET(TblPop[[#This Row],[Net Peasant]],-1,0)+TblMili[[#This Row],[Release Draft]]</f>
        <v>233</v>
      </c>
      <c r="D74" s="94">
        <f ca="1">TblMili[[#This Row],[Military]]</f>
        <v>536</v>
      </c>
      <c r="E74" s="94">
        <f ca="1">TblMili[[#This Row],[Draftees]]</f>
        <v>536</v>
      </c>
      <c r="F74" s="94">
        <f ca="1">TblPop[[#This Row],[Peasants]]+TblPop[[#This Row],[Military]]</f>
        <v>769</v>
      </c>
      <c r="G74" s="139">
        <f ca="1">TblPop[[#This Row],[Military]]/TblPop[[#This Row],[Total]]</f>
        <v>0.69700910273081929</v>
      </c>
      <c r="H74" s="140">
        <f ca="1">MIN(TblPop[[#This Row],[Peasants]],TblPop[[#This Row],[Jobs]])</f>
        <v>233</v>
      </c>
      <c r="I74" s="139">
        <f ca="1">MIN(OFFSET(TblPop[[#This Row],[Jobs]],1,0)/TblPop[[#This Row],[Peasants]],1)</f>
        <v>1</v>
      </c>
      <c r="J74" s="140">
        <f ca="1">SUM(TblConstr[[#This Row],[Tot Alc]:[Tot GT]],TblConstr[[#This Row],[Tot Shr]:[Tot Doc]],TblConstr[[#This Row],[Dest Alc]:[Dest GT]],TblConstr[[#This Row],[Dest Shr]:[Dest Doc]])*building_employment + TblConstr[[#This Row],[Tot Fac]]*bonus_jobs_facts</f>
        <v>1000</v>
      </c>
      <c r="K74" s="141"/>
      <c r="L74" s="61">
        <f ca="1">TblPop[[#This Row],[Draftees]]</f>
        <v>536</v>
      </c>
      <c r="M74" s="61">
        <f ca="1">TblMili[[#This Row],[Unit 1]]</f>
        <v>0</v>
      </c>
      <c r="N74" s="61">
        <f ca="1">TblMili[[#This Row],[Unit 2]]</f>
        <v>0</v>
      </c>
      <c r="O74" s="61">
        <f ca="1">TblMili[[#This Row],[Unit 3]]</f>
        <v>0</v>
      </c>
      <c r="P74" s="61">
        <f ca="1">TblMili[[#This Row],[Unit 4]]</f>
        <v>0</v>
      </c>
      <c r="Q74" s="61">
        <f ca="1">TblMili[[#This Row],[Spies]]</f>
        <v>0</v>
      </c>
      <c r="R74" s="61">
        <f ca="1">TblMili[[#This Row],[Wizards]]</f>
        <v>0</v>
      </c>
      <c r="S74" s="61">
        <f ca="1">TblMili[[#This Row],[Archmages]]</f>
        <v>0</v>
      </c>
      <c r="T74" s="142"/>
      <c r="U74" s="94">
        <f ca="1">ROUND(TblPop[[#This Row],[Raw max]]*(1+OFFSET(TblPop[[#This Row],[Max pop]],-1,0)),0)+MIN(TblPop[[#This Row],[Military]]-TblPop[[#This Row],[Draftees]]-SUM(TblMili[[#This Row],[Train Unit 1]:[Train AM]]),(barracks_size + tech_8_3*TblTech[[#This Row],[8-3]])*TblConstr[[#This Row],[Tot Bar]])</f>
        <v>769</v>
      </c>
      <c r="V7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4" s="94">
        <f ca="1">MAX(-5%*TblPop[[#This Row],[Peasants]]-TblPop[[#This Row],[Draft Growth]],MIN(OFFSET(TblPop[[#This Row],[Net max]],1,0)-TblPop[[#This Row],[Peasants]]-TblPop[[#This Row],[Military]]-TblPop[[#This Row],[Draft Growth]],TblPop[[#This Row],[Modded Birth]]-TblPop[[#This Row],[Draft Growth]]))</f>
        <v>-2</v>
      </c>
      <c r="X74" s="94">
        <f ca="1">ROUND(TblPop[[#This Row],[Raw Birth]]*(1+TblPop[[#This Row],[Growth]]),0)</f>
        <v>7</v>
      </c>
      <c r="Y74" s="94">
        <f ca="1">(TblPop[[#This Row],[Peasants]]-TblPop[[#This Row],[Draft Growth]])*raw_pop_growth</f>
        <v>6.93</v>
      </c>
      <c r="Z74" s="94">
        <f ca="1">ROUND(IF(TblPop[[#This Row],[Military%]]&lt;TblMili[[#This Row],[Draftrate]],ROUND(TblPop[[#This Row],[Peasants]]*Constants!$B$55,0), 0) * IF(AND(TblMagic[[#This Row],[Active DnD]]&lt;=12,TblMagic[[#This Row],[Active DnD]]&gt;6),1.5,1),0)</f>
        <v>2</v>
      </c>
      <c r="AA74" s="142"/>
      <c r="AB74" s="143">
        <f ca="1">Overview!$I$17 + IF(Magic!AF74&gt;0,Constants!$F$78) + ROUND(6*(Construction!BM75+Construction!CK74)/IF(Explore!S75&gt;0,Construction!F75-20,Construction!F75),4) + tech_6_5_2*Techs!BJ74 + tech_8_4*Techs!BT74</f>
        <v>0</v>
      </c>
      <c r="AC74" s="139">
        <f ca="1">(Overview!$I$16 + Imps!Z74+ tech_2_5*Techs!AB74 + tech_3_6*Techs!AM74 + tech_6_1*Techs!BJ74 + tech_6_5*Techs!BF74 + tech_7_3_2*Techs!BN74) * (1 + Production!O74/100*prestige_pop_multiplier) + Production!O74/100*prestige_pop_multiplier</f>
        <v>2.5000000000000001E-2</v>
      </c>
    </row>
    <row r="75" spans="1:29" x14ac:dyDescent="0.2">
      <c r="A75" s="137">
        <f>TblRezone[[#This Row],[Hour]]</f>
        <v>72</v>
      </c>
      <c r="B75" s="138">
        <f ca="1">TblImps[[#This Row],[Time]]</f>
        <v>46322.958333333161</v>
      </c>
      <c r="C75" s="94">
        <f ca="1">OFFSET(TblPop[[#This Row],[Peasants]],-1,0)+OFFSET(TblPop[[#This Row],[Net Peasant]],-1,0)+TblMili[[#This Row],[Release Draft]]</f>
        <v>231</v>
      </c>
      <c r="D75" s="94">
        <f ca="1">TblMili[[#This Row],[Military]]</f>
        <v>538</v>
      </c>
      <c r="E75" s="94">
        <f ca="1">TblMili[[#This Row],[Draftees]]</f>
        <v>538</v>
      </c>
      <c r="F75" s="94">
        <f ca="1">TblPop[[#This Row],[Peasants]]+TblPop[[#This Row],[Military]]</f>
        <v>769</v>
      </c>
      <c r="G75" s="139">
        <f ca="1">TblPop[[#This Row],[Military]]/TblPop[[#This Row],[Total]]</f>
        <v>0.69960988296488946</v>
      </c>
      <c r="H75" s="140">
        <f ca="1">MIN(TblPop[[#This Row],[Peasants]],TblPop[[#This Row],[Jobs]])</f>
        <v>231</v>
      </c>
      <c r="I75" s="139">
        <f ca="1">MIN(OFFSET(TblPop[[#This Row],[Jobs]],1,0)/TblPop[[#This Row],[Peasants]],1)</f>
        <v>1</v>
      </c>
      <c r="J75" s="140">
        <f ca="1">SUM(TblConstr[[#This Row],[Tot Alc]:[Tot GT]],TblConstr[[#This Row],[Tot Shr]:[Tot Doc]],TblConstr[[#This Row],[Dest Alc]:[Dest GT]],TblConstr[[#This Row],[Dest Shr]:[Dest Doc]])*building_employment + TblConstr[[#This Row],[Tot Fac]]*bonus_jobs_facts</f>
        <v>1000</v>
      </c>
      <c r="K75" s="141"/>
      <c r="L75" s="61">
        <f ca="1">TblPop[[#This Row],[Draftees]]</f>
        <v>538</v>
      </c>
      <c r="M75" s="61">
        <f ca="1">TblMili[[#This Row],[Unit 1]]</f>
        <v>0</v>
      </c>
      <c r="N75" s="61">
        <f ca="1">TblMili[[#This Row],[Unit 2]]</f>
        <v>0</v>
      </c>
      <c r="O75" s="61">
        <f ca="1">TblMili[[#This Row],[Unit 3]]</f>
        <v>0</v>
      </c>
      <c r="P75" s="61">
        <f ca="1">TblMili[[#This Row],[Unit 4]]</f>
        <v>0</v>
      </c>
      <c r="Q75" s="61">
        <f ca="1">TblMili[[#This Row],[Spies]]</f>
        <v>0</v>
      </c>
      <c r="R75" s="61">
        <f ca="1">TblMili[[#This Row],[Wizards]]</f>
        <v>0</v>
      </c>
      <c r="S75" s="61">
        <f ca="1">TblMili[[#This Row],[Archmages]]</f>
        <v>0</v>
      </c>
      <c r="T75" s="142"/>
      <c r="U75" s="94">
        <f ca="1">ROUND(TblPop[[#This Row],[Raw max]]*(1+OFFSET(TblPop[[#This Row],[Max pop]],-1,0)),0)+MIN(TblPop[[#This Row],[Military]]-TblPop[[#This Row],[Draftees]]-SUM(TblMili[[#This Row],[Train Unit 1]:[Train AM]]),(barracks_size + tech_8_3*TblTech[[#This Row],[8-3]])*TblConstr[[#This Row],[Tot Bar]])</f>
        <v>769</v>
      </c>
      <c r="V7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5" s="94">
        <f ca="1">MAX(-5%*TblPop[[#This Row],[Peasants]]-TblPop[[#This Row],[Draft Growth]],MIN(OFFSET(TblPop[[#This Row],[Net max]],1,0)-TblPop[[#This Row],[Peasants]]-TblPop[[#This Row],[Military]]-TblPop[[#This Row],[Draft Growth]],TblPop[[#This Row],[Modded Birth]]-TblPop[[#This Row],[Draft Growth]]))</f>
        <v>-2</v>
      </c>
      <c r="X75" s="94">
        <f ca="1">ROUND(TblPop[[#This Row],[Raw Birth]]*(1+TblPop[[#This Row],[Growth]]),0)</f>
        <v>7</v>
      </c>
      <c r="Y75" s="94">
        <f ca="1">(TblPop[[#This Row],[Peasants]]-TblPop[[#This Row],[Draft Growth]])*raw_pop_growth</f>
        <v>6.87</v>
      </c>
      <c r="Z75" s="94">
        <f ca="1">ROUND(IF(TblPop[[#This Row],[Military%]]&lt;TblMili[[#This Row],[Draftrate]],ROUND(TblPop[[#This Row],[Peasants]]*Constants!$B$55,0), 0) * IF(AND(TblMagic[[#This Row],[Active DnD]]&lt;=12,TblMagic[[#This Row],[Active DnD]]&gt;6),1.5,1),0)</f>
        <v>2</v>
      </c>
      <c r="AA75" s="142"/>
      <c r="AB75" s="143">
        <f ca="1">Overview!$I$17 + IF(Magic!AF75&gt;0,Constants!$F$78) + ROUND(6*(Construction!BM76+Construction!CK75)/IF(Explore!S76&gt;0,Construction!F76-20,Construction!F76),4) + tech_6_5_2*Techs!BJ75 + tech_8_4*Techs!BT75</f>
        <v>0</v>
      </c>
      <c r="AC75" s="139">
        <f ca="1">(Overview!$I$16 + Imps!Z75+ tech_2_5*Techs!AB75 + tech_3_6*Techs!AM75 + tech_6_1*Techs!BJ75 + tech_6_5*Techs!BF75 + tech_7_3_2*Techs!BN75) * (1 + Production!O75/100*prestige_pop_multiplier) + Production!O75/100*prestige_pop_multiplier</f>
        <v>2.5000000000000001E-2</v>
      </c>
    </row>
    <row r="76" spans="1:29" x14ac:dyDescent="0.2">
      <c r="A76" s="137">
        <f>TblRezone[[#This Row],[Hour]]</f>
        <v>73</v>
      </c>
      <c r="B76" s="138">
        <f ca="1">TblImps[[#This Row],[Time]]</f>
        <v>46322.999999999825</v>
      </c>
      <c r="C76" s="94">
        <f ca="1">OFFSET(TblPop[[#This Row],[Peasants]],-1,0)+OFFSET(TblPop[[#This Row],[Net Peasant]],-1,0)+TblMili[[#This Row],[Release Draft]]</f>
        <v>229</v>
      </c>
      <c r="D76" s="94">
        <f ca="1">TblMili[[#This Row],[Military]]</f>
        <v>540</v>
      </c>
      <c r="E76" s="94">
        <f ca="1">TblMili[[#This Row],[Draftees]]</f>
        <v>540</v>
      </c>
      <c r="F76" s="94">
        <f ca="1">TblPop[[#This Row],[Peasants]]+TblPop[[#This Row],[Military]]</f>
        <v>769</v>
      </c>
      <c r="G76" s="139">
        <f ca="1">TblPop[[#This Row],[Military]]/TblPop[[#This Row],[Total]]</f>
        <v>0.70221066319895964</v>
      </c>
      <c r="H76" s="140">
        <f ca="1">MIN(TblPop[[#This Row],[Peasants]],TblPop[[#This Row],[Jobs]])</f>
        <v>229</v>
      </c>
      <c r="I76" s="139">
        <f ca="1">MIN(OFFSET(TblPop[[#This Row],[Jobs]],1,0)/TblPop[[#This Row],[Peasants]],1)</f>
        <v>1</v>
      </c>
      <c r="J76" s="140">
        <f ca="1">SUM(TblConstr[[#This Row],[Tot Alc]:[Tot GT]],TblConstr[[#This Row],[Tot Shr]:[Tot Doc]],TblConstr[[#This Row],[Dest Alc]:[Dest GT]],TblConstr[[#This Row],[Dest Shr]:[Dest Doc]])*building_employment + TblConstr[[#This Row],[Tot Fac]]*bonus_jobs_facts</f>
        <v>1000</v>
      </c>
      <c r="K76" s="141"/>
      <c r="L76" s="61">
        <f ca="1">TblPop[[#This Row],[Draftees]]</f>
        <v>540</v>
      </c>
      <c r="M76" s="61">
        <f ca="1">TblMili[[#This Row],[Unit 1]]</f>
        <v>0</v>
      </c>
      <c r="N76" s="61">
        <f ca="1">TblMili[[#This Row],[Unit 2]]</f>
        <v>0</v>
      </c>
      <c r="O76" s="61">
        <f ca="1">TblMili[[#This Row],[Unit 3]]</f>
        <v>0</v>
      </c>
      <c r="P76" s="61">
        <f ca="1">TblMili[[#This Row],[Unit 4]]</f>
        <v>0</v>
      </c>
      <c r="Q76" s="61">
        <f ca="1">TblMili[[#This Row],[Spies]]</f>
        <v>0</v>
      </c>
      <c r="R76" s="61">
        <f ca="1">TblMili[[#This Row],[Wizards]]</f>
        <v>0</v>
      </c>
      <c r="S76" s="61">
        <f ca="1">TblMili[[#This Row],[Archmages]]</f>
        <v>0</v>
      </c>
      <c r="T76" s="142"/>
      <c r="U76" s="94">
        <f ca="1">ROUND(TblPop[[#This Row],[Raw max]]*(1+OFFSET(TblPop[[#This Row],[Max pop]],-1,0)),0)+MIN(TblPop[[#This Row],[Military]]-TblPop[[#This Row],[Draftees]]-SUM(TblMili[[#This Row],[Train Unit 1]:[Train AM]]),(barracks_size + tech_8_3*TblTech[[#This Row],[8-3]])*TblConstr[[#This Row],[Tot Bar]])</f>
        <v>769</v>
      </c>
      <c r="V7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6" s="94">
        <f ca="1">MAX(-5%*TblPop[[#This Row],[Peasants]]-TblPop[[#This Row],[Draft Growth]],MIN(OFFSET(TblPop[[#This Row],[Net max]],1,0)-TblPop[[#This Row],[Peasants]]-TblPop[[#This Row],[Military]]-TblPop[[#This Row],[Draft Growth]],TblPop[[#This Row],[Modded Birth]]-TblPop[[#This Row],[Draft Growth]]))</f>
        <v>-2</v>
      </c>
      <c r="X76" s="94">
        <f ca="1">ROUND(TblPop[[#This Row],[Raw Birth]]*(1+TblPop[[#This Row],[Growth]]),0)</f>
        <v>7</v>
      </c>
      <c r="Y76" s="94">
        <f ca="1">(TblPop[[#This Row],[Peasants]]-TblPop[[#This Row],[Draft Growth]])*raw_pop_growth</f>
        <v>6.81</v>
      </c>
      <c r="Z76" s="94">
        <f ca="1">ROUND(IF(TblPop[[#This Row],[Military%]]&lt;TblMili[[#This Row],[Draftrate]],ROUND(TblPop[[#This Row],[Peasants]]*Constants!$B$55,0), 0) * IF(AND(TblMagic[[#This Row],[Active DnD]]&lt;=12,TblMagic[[#This Row],[Active DnD]]&gt;6),1.5,1),0)</f>
        <v>2</v>
      </c>
      <c r="AA76" s="142"/>
      <c r="AB76" s="143">
        <f ca="1">Overview!$I$17 + IF(Magic!AF76&gt;0,Constants!$F$78) + ROUND(6*(Construction!BM77+Construction!CK76)/IF(Explore!S77&gt;0,Construction!F77-20,Construction!F77),4) + tech_6_5_2*Techs!BJ76 + tech_8_4*Techs!BT76</f>
        <v>0</v>
      </c>
      <c r="AC76" s="139">
        <f ca="1">(Overview!$I$16 + Imps!Z76+ tech_2_5*Techs!AB76 + tech_3_6*Techs!AM76 + tech_6_1*Techs!BJ76 + tech_6_5*Techs!BF76 + tech_7_3_2*Techs!BN76) * (1 + Production!O76/100*prestige_pop_multiplier) + Production!O76/100*prestige_pop_multiplier</f>
        <v>2.5000000000000001E-2</v>
      </c>
    </row>
    <row r="77" spans="1:29" x14ac:dyDescent="0.2">
      <c r="A77" s="137">
        <f>TblRezone[[#This Row],[Hour]]</f>
        <v>74</v>
      </c>
      <c r="B77" s="138">
        <f ca="1">TblImps[[#This Row],[Time]]</f>
        <v>46323.04166666649</v>
      </c>
      <c r="C77" s="94">
        <f ca="1">OFFSET(TblPop[[#This Row],[Peasants]],-1,0)+OFFSET(TblPop[[#This Row],[Net Peasant]],-1,0)+TblMili[[#This Row],[Release Draft]]</f>
        <v>227</v>
      </c>
      <c r="D77" s="94">
        <f ca="1">TblMili[[#This Row],[Military]]</f>
        <v>542</v>
      </c>
      <c r="E77" s="94">
        <f ca="1">TblMili[[#This Row],[Draftees]]</f>
        <v>542</v>
      </c>
      <c r="F77" s="94">
        <f ca="1">TblPop[[#This Row],[Peasants]]+TblPop[[#This Row],[Military]]</f>
        <v>769</v>
      </c>
      <c r="G77" s="139">
        <f ca="1">TblPop[[#This Row],[Military]]/TblPop[[#This Row],[Total]]</f>
        <v>0.70481144343302993</v>
      </c>
      <c r="H77" s="140">
        <f ca="1">MIN(TblPop[[#This Row],[Peasants]],TblPop[[#This Row],[Jobs]])</f>
        <v>227</v>
      </c>
      <c r="I77" s="139">
        <f ca="1">MIN(OFFSET(TblPop[[#This Row],[Jobs]],1,0)/TblPop[[#This Row],[Peasants]],1)</f>
        <v>1</v>
      </c>
      <c r="J77" s="140">
        <f ca="1">SUM(TblConstr[[#This Row],[Tot Alc]:[Tot GT]],TblConstr[[#This Row],[Tot Shr]:[Tot Doc]],TblConstr[[#This Row],[Dest Alc]:[Dest GT]],TblConstr[[#This Row],[Dest Shr]:[Dest Doc]])*building_employment + TblConstr[[#This Row],[Tot Fac]]*bonus_jobs_facts</f>
        <v>1000</v>
      </c>
      <c r="K77" s="141"/>
      <c r="L77" s="61">
        <f ca="1">TblPop[[#This Row],[Draftees]]</f>
        <v>542</v>
      </c>
      <c r="M77" s="61">
        <f ca="1">TblMili[[#This Row],[Unit 1]]</f>
        <v>0</v>
      </c>
      <c r="N77" s="61">
        <f ca="1">TblMili[[#This Row],[Unit 2]]</f>
        <v>0</v>
      </c>
      <c r="O77" s="61">
        <f ca="1">TblMili[[#This Row],[Unit 3]]</f>
        <v>0</v>
      </c>
      <c r="P77" s="61">
        <f ca="1">TblMili[[#This Row],[Unit 4]]</f>
        <v>0</v>
      </c>
      <c r="Q77" s="61">
        <f ca="1">TblMili[[#This Row],[Spies]]</f>
        <v>0</v>
      </c>
      <c r="R77" s="61">
        <f ca="1">TblMili[[#This Row],[Wizards]]</f>
        <v>0</v>
      </c>
      <c r="S77" s="61">
        <f ca="1">TblMili[[#This Row],[Archmages]]</f>
        <v>0</v>
      </c>
      <c r="T77" s="142"/>
      <c r="U77" s="94">
        <f ca="1">ROUND(TblPop[[#This Row],[Raw max]]*(1+OFFSET(TblPop[[#This Row],[Max pop]],-1,0)),0)+MIN(TblPop[[#This Row],[Military]]-TblPop[[#This Row],[Draftees]]-SUM(TblMili[[#This Row],[Train Unit 1]:[Train AM]]),(barracks_size + tech_8_3*TblTech[[#This Row],[8-3]])*TblConstr[[#This Row],[Tot Bar]])</f>
        <v>769</v>
      </c>
      <c r="V7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7" s="94">
        <f ca="1">MAX(-5%*TblPop[[#This Row],[Peasants]]-TblPop[[#This Row],[Draft Growth]],MIN(OFFSET(TblPop[[#This Row],[Net max]],1,0)-TblPop[[#This Row],[Peasants]]-TblPop[[#This Row],[Military]]-TblPop[[#This Row],[Draft Growth]],TblPop[[#This Row],[Modded Birth]]-TblPop[[#This Row],[Draft Growth]]))</f>
        <v>-2</v>
      </c>
      <c r="X77" s="94">
        <f ca="1">ROUND(TblPop[[#This Row],[Raw Birth]]*(1+TblPop[[#This Row],[Growth]]),0)</f>
        <v>7</v>
      </c>
      <c r="Y77" s="94">
        <f ca="1">(TblPop[[#This Row],[Peasants]]-TblPop[[#This Row],[Draft Growth]])*raw_pop_growth</f>
        <v>6.75</v>
      </c>
      <c r="Z77" s="94">
        <f ca="1">ROUND(IF(TblPop[[#This Row],[Military%]]&lt;TblMili[[#This Row],[Draftrate]],ROUND(TblPop[[#This Row],[Peasants]]*Constants!$B$55,0), 0) * IF(AND(TblMagic[[#This Row],[Active DnD]]&lt;=12,TblMagic[[#This Row],[Active DnD]]&gt;6),1.5,1),0)</f>
        <v>2</v>
      </c>
      <c r="AA77" s="142"/>
      <c r="AB77" s="143">
        <f ca="1">Overview!$I$17 + IF(Magic!AF77&gt;0,Constants!$F$78) + ROUND(6*(Construction!BM78+Construction!CK77)/IF(Explore!S78&gt;0,Construction!F78-20,Construction!F78),4) + tech_6_5_2*Techs!BJ77 + tech_8_4*Techs!BT77</f>
        <v>0</v>
      </c>
      <c r="AC77" s="139">
        <f ca="1">(Overview!$I$16 + Imps!Z77+ tech_2_5*Techs!AB77 + tech_3_6*Techs!AM77 + tech_6_1*Techs!BJ77 + tech_6_5*Techs!BF77 + tech_7_3_2*Techs!BN77) * (1 + Production!O77/100*prestige_pop_multiplier) + Production!O77/100*prestige_pop_multiplier</f>
        <v>2.5000000000000001E-2</v>
      </c>
    </row>
    <row r="78" spans="1:29" x14ac:dyDescent="0.2">
      <c r="A78" s="137">
        <f>TblRezone[[#This Row],[Hour]]</f>
        <v>75</v>
      </c>
      <c r="B78" s="138">
        <f ca="1">TblImps[[#This Row],[Time]]</f>
        <v>46323.083333333154</v>
      </c>
      <c r="C78" s="94">
        <f ca="1">OFFSET(TblPop[[#This Row],[Peasants]],-1,0)+OFFSET(TblPop[[#This Row],[Net Peasant]],-1,0)+TblMili[[#This Row],[Release Draft]]</f>
        <v>225</v>
      </c>
      <c r="D78" s="94">
        <f ca="1">TblMili[[#This Row],[Military]]</f>
        <v>544</v>
      </c>
      <c r="E78" s="94">
        <f ca="1">TblMili[[#This Row],[Draftees]]</f>
        <v>544</v>
      </c>
      <c r="F78" s="94">
        <f ca="1">TblPop[[#This Row],[Peasants]]+TblPop[[#This Row],[Military]]</f>
        <v>769</v>
      </c>
      <c r="G78" s="139">
        <f ca="1">TblPop[[#This Row],[Military]]/TblPop[[#This Row],[Total]]</f>
        <v>0.7074122236671001</v>
      </c>
      <c r="H78" s="140">
        <f ca="1">MIN(TblPop[[#This Row],[Peasants]],TblPop[[#This Row],[Jobs]])</f>
        <v>225</v>
      </c>
      <c r="I78" s="139">
        <f ca="1">MIN(OFFSET(TblPop[[#This Row],[Jobs]],1,0)/TblPop[[#This Row],[Peasants]],1)</f>
        <v>1</v>
      </c>
      <c r="J78" s="140">
        <f ca="1">SUM(TblConstr[[#This Row],[Tot Alc]:[Tot GT]],TblConstr[[#This Row],[Tot Shr]:[Tot Doc]],TblConstr[[#This Row],[Dest Alc]:[Dest GT]],TblConstr[[#This Row],[Dest Shr]:[Dest Doc]])*building_employment + TblConstr[[#This Row],[Tot Fac]]*bonus_jobs_facts</f>
        <v>1000</v>
      </c>
      <c r="K78" s="141"/>
      <c r="L78" s="61">
        <f ca="1">TblPop[[#This Row],[Draftees]]</f>
        <v>544</v>
      </c>
      <c r="M78" s="61">
        <f ca="1">TblMili[[#This Row],[Unit 1]]</f>
        <v>0</v>
      </c>
      <c r="N78" s="61">
        <f ca="1">TblMili[[#This Row],[Unit 2]]</f>
        <v>0</v>
      </c>
      <c r="O78" s="61">
        <f ca="1">TblMili[[#This Row],[Unit 3]]</f>
        <v>0</v>
      </c>
      <c r="P78" s="61">
        <f ca="1">TblMili[[#This Row],[Unit 4]]</f>
        <v>0</v>
      </c>
      <c r="Q78" s="61">
        <f ca="1">TblMili[[#This Row],[Spies]]</f>
        <v>0</v>
      </c>
      <c r="R78" s="61">
        <f ca="1">TblMili[[#This Row],[Wizards]]</f>
        <v>0</v>
      </c>
      <c r="S78" s="61">
        <f ca="1">TblMili[[#This Row],[Archmages]]</f>
        <v>0</v>
      </c>
      <c r="T78" s="142"/>
      <c r="U78" s="94">
        <f ca="1">ROUND(TblPop[[#This Row],[Raw max]]*(1+OFFSET(TblPop[[#This Row],[Max pop]],-1,0)),0)+MIN(TblPop[[#This Row],[Military]]-TblPop[[#This Row],[Draftees]]-SUM(TblMili[[#This Row],[Train Unit 1]:[Train AM]]),(barracks_size + tech_8_3*TblTech[[#This Row],[8-3]])*TblConstr[[#This Row],[Tot Bar]])</f>
        <v>769</v>
      </c>
      <c r="V7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8" s="94">
        <f ca="1">MAX(-5%*TblPop[[#This Row],[Peasants]]-TblPop[[#This Row],[Draft Growth]],MIN(OFFSET(TblPop[[#This Row],[Net max]],1,0)-TblPop[[#This Row],[Peasants]]-TblPop[[#This Row],[Military]]-TblPop[[#This Row],[Draft Growth]],TblPop[[#This Row],[Modded Birth]]-TblPop[[#This Row],[Draft Growth]]))</f>
        <v>-2</v>
      </c>
      <c r="X78" s="94">
        <f ca="1">ROUND(TblPop[[#This Row],[Raw Birth]]*(1+TblPop[[#This Row],[Growth]]),0)</f>
        <v>7</v>
      </c>
      <c r="Y78" s="94">
        <f ca="1">(TblPop[[#This Row],[Peasants]]-TblPop[[#This Row],[Draft Growth]])*raw_pop_growth</f>
        <v>6.6899999999999995</v>
      </c>
      <c r="Z78" s="94">
        <f ca="1">ROUND(IF(TblPop[[#This Row],[Military%]]&lt;TblMili[[#This Row],[Draftrate]],ROUND(TblPop[[#This Row],[Peasants]]*Constants!$B$55,0), 0) * IF(AND(TblMagic[[#This Row],[Active DnD]]&lt;=12,TblMagic[[#This Row],[Active DnD]]&gt;6),1.5,1),0)</f>
        <v>2</v>
      </c>
      <c r="AA78" s="142"/>
      <c r="AB78" s="143">
        <f ca="1">Overview!$I$17 + IF(Magic!AF78&gt;0,Constants!$F$78) + ROUND(6*(Construction!BM79+Construction!CK78)/IF(Explore!S79&gt;0,Construction!F79-20,Construction!F79),4) + tech_6_5_2*Techs!BJ78 + tech_8_4*Techs!BT78</f>
        <v>0</v>
      </c>
      <c r="AC78" s="139">
        <f ca="1">(Overview!$I$16 + Imps!Z78+ tech_2_5*Techs!AB78 + tech_3_6*Techs!AM78 + tech_6_1*Techs!BJ78 + tech_6_5*Techs!BF78 + tech_7_3_2*Techs!BN78) * (1 + Production!O78/100*prestige_pop_multiplier) + Production!O78/100*prestige_pop_multiplier</f>
        <v>2.5000000000000001E-2</v>
      </c>
    </row>
    <row r="79" spans="1:29" x14ac:dyDescent="0.2">
      <c r="A79" s="137">
        <f>TblRezone[[#This Row],[Hour]]</f>
        <v>76</v>
      </c>
      <c r="B79" s="138">
        <f ca="1">TblImps[[#This Row],[Time]]</f>
        <v>46323.124999999818</v>
      </c>
      <c r="C79" s="94">
        <f ca="1">OFFSET(TblPop[[#This Row],[Peasants]],-1,0)+OFFSET(TblPop[[#This Row],[Net Peasant]],-1,0)+TblMili[[#This Row],[Release Draft]]</f>
        <v>223</v>
      </c>
      <c r="D79" s="94">
        <f ca="1">TblMili[[#This Row],[Military]]</f>
        <v>546</v>
      </c>
      <c r="E79" s="94">
        <f ca="1">TblMili[[#This Row],[Draftees]]</f>
        <v>546</v>
      </c>
      <c r="F79" s="94">
        <f ca="1">TblPop[[#This Row],[Peasants]]+TblPop[[#This Row],[Military]]</f>
        <v>769</v>
      </c>
      <c r="G79" s="139">
        <f ca="1">TblPop[[#This Row],[Military]]/TblPop[[#This Row],[Total]]</f>
        <v>0.71001300390117039</v>
      </c>
      <c r="H79" s="140">
        <f ca="1">MIN(TblPop[[#This Row],[Peasants]],TblPop[[#This Row],[Jobs]])</f>
        <v>223</v>
      </c>
      <c r="I79" s="139">
        <f ca="1">MIN(OFFSET(TblPop[[#This Row],[Jobs]],1,0)/TblPop[[#This Row],[Peasants]],1)</f>
        <v>1</v>
      </c>
      <c r="J79" s="140">
        <f ca="1">SUM(TblConstr[[#This Row],[Tot Alc]:[Tot GT]],TblConstr[[#This Row],[Tot Shr]:[Tot Doc]],TblConstr[[#This Row],[Dest Alc]:[Dest GT]],TblConstr[[#This Row],[Dest Shr]:[Dest Doc]])*building_employment + TblConstr[[#This Row],[Tot Fac]]*bonus_jobs_facts</f>
        <v>1000</v>
      </c>
      <c r="K79" s="141"/>
      <c r="L79" s="61">
        <f ca="1">TblPop[[#This Row],[Draftees]]</f>
        <v>546</v>
      </c>
      <c r="M79" s="61">
        <f ca="1">TblMili[[#This Row],[Unit 1]]</f>
        <v>0</v>
      </c>
      <c r="N79" s="61">
        <f ca="1">TblMili[[#This Row],[Unit 2]]</f>
        <v>0</v>
      </c>
      <c r="O79" s="61">
        <f ca="1">TblMili[[#This Row],[Unit 3]]</f>
        <v>0</v>
      </c>
      <c r="P79" s="61">
        <f ca="1">TblMili[[#This Row],[Unit 4]]</f>
        <v>0</v>
      </c>
      <c r="Q79" s="61">
        <f ca="1">TblMili[[#This Row],[Spies]]</f>
        <v>0</v>
      </c>
      <c r="R79" s="61">
        <f ca="1">TblMili[[#This Row],[Wizards]]</f>
        <v>0</v>
      </c>
      <c r="S79" s="61">
        <f ca="1">TblMili[[#This Row],[Archmages]]</f>
        <v>0</v>
      </c>
      <c r="T79" s="142"/>
      <c r="U79" s="94">
        <f ca="1">ROUND(TblPop[[#This Row],[Raw max]]*(1+OFFSET(TblPop[[#This Row],[Max pop]],-1,0)),0)+MIN(TblPop[[#This Row],[Military]]-TblPop[[#This Row],[Draftees]]-SUM(TblMili[[#This Row],[Train Unit 1]:[Train AM]]),(barracks_size + tech_8_3*TblTech[[#This Row],[8-3]])*TblConstr[[#This Row],[Tot Bar]])</f>
        <v>769</v>
      </c>
      <c r="V7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9" s="94">
        <f ca="1">MAX(-5%*TblPop[[#This Row],[Peasants]]-TblPop[[#This Row],[Draft Growth]],MIN(OFFSET(TblPop[[#This Row],[Net max]],1,0)-TblPop[[#This Row],[Peasants]]-TblPop[[#This Row],[Military]]-TblPop[[#This Row],[Draft Growth]],TblPop[[#This Row],[Modded Birth]]-TblPop[[#This Row],[Draft Growth]]))</f>
        <v>-2</v>
      </c>
      <c r="X79" s="94">
        <f ca="1">ROUND(TblPop[[#This Row],[Raw Birth]]*(1+TblPop[[#This Row],[Growth]]),0)</f>
        <v>7</v>
      </c>
      <c r="Y79" s="94">
        <f ca="1">(TblPop[[#This Row],[Peasants]]-TblPop[[#This Row],[Draft Growth]])*raw_pop_growth</f>
        <v>6.63</v>
      </c>
      <c r="Z79" s="94">
        <f ca="1">ROUND(IF(TblPop[[#This Row],[Military%]]&lt;TblMili[[#This Row],[Draftrate]],ROUND(TblPop[[#This Row],[Peasants]]*Constants!$B$55,0), 0) * IF(AND(TblMagic[[#This Row],[Active DnD]]&lt;=12,TblMagic[[#This Row],[Active DnD]]&gt;6),1.5,1),0)</f>
        <v>2</v>
      </c>
      <c r="AA79" s="142"/>
      <c r="AB79" s="143">
        <f ca="1">Overview!$I$17 + IF(Magic!AF79&gt;0,Constants!$F$78) + ROUND(6*(Construction!BM80+Construction!CK79)/IF(Explore!S80&gt;0,Construction!F80-20,Construction!F80),4) + tech_6_5_2*Techs!BJ79 + tech_8_4*Techs!BT79</f>
        <v>0</v>
      </c>
      <c r="AC79" s="139">
        <f ca="1">(Overview!$I$16 + Imps!Z79+ tech_2_5*Techs!AB79 + tech_3_6*Techs!AM79 + tech_6_1*Techs!BJ79 + tech_6_5*Techs!BF79 + tech_7_3_2*Techs!BN79) * (1 + Production!O79/100*prestige_pop_multiplier) + Production!O79/100*prestige_pop_multiplier</f>
        <v>2.5000000000000001E-2</v>
      </c>
    </row>
    <row r="80" spans="1:29" x14ac:dyDescent="0.2">
      <c r="A80" s="137">
        <f>TblRezone[[#This Row],[Hour]]</f>
        <v>77</v>
      </c>
      <c r="B80" s="138">
        <f ca="1">TblImps[[#This Row],[Time]]</f>
        <v>46323.166666666482</v>
      </c>
      <c r="C80" s="94">
        <f ca="1">OFFSET(TblPop[[#This Row],[Peasants]],-1,0)+OFFSET(TblPop[[#This Row],[Net Peasant]],-1,0)+TblMili[[#This Row],[Release Draft]]</f>
        <v>221</v>
      </c>
      <c r="D80" s="94">
        <f ca="1">TblMili[[#This Row],[Military]]</f>
        <v>548</v>
      </c>
      <c r="E80" s="94">
        <f ca="1">TblMili[[#This Row],[Draftees]]</f>
        <v>548</v>
      </c>
      <c r="F80" s="94">
        <f ca="1">TblPop[[#This Row],[Peasants]]+TblPop[[#This Row],[Military]]</f>
        <v>769</v>
      </c>
      <c r="G80" s="139">
        <f ca="1">TblPop[[#This Row],[Military]]/TblPop[[#This Row],[Total]]</f>
        <v>0.71261378413524057</v>
      </c>
      <c r="H80" s="140">
        <f ca="1">MIN(TblPop[[#This Row],[Peasants]],TblPop[[#This Row],[Jobs]])</f>
        <v>221</v>
      </c>
      <c r="I80" s="139">
        <f ca="1">MIN(OFFSET(TblPop[[#This Row],[Jobs]],1,0)/TblPop[[#This Row],[Peasants]],1)</f>
        <v>1</v>
      </c>
      <c r="J80" s="140">
        <f ca="1">SUM(TblConstr[[#This Row],[Tot Alc]:[Tot GT]],TblConstr[[#This Row],[Tot Shr]:[Tot Doc]],TblConstr[[#This Row],[Dest Alc]:[Dest GT]],TblConstr[[#This Row],[Dest Shr]:[Dest Doc]])*building_employment + TblConstr[[#This Row],[Tot Fac]]*bonus_jobs_facts</f>
        <v>1000</v>
      </c>
      <c r="K80" s="141"/>
      <c r="L80" s="61">
        <f ca="1">TblPop[[#This Row],[Draftees]]</f>
        <v>548</v>
      </c>
      <c r="M80" s="61">
        <f ca="1">TblMili[[#This Row],[Unit 1]]</f>
        <v>0</v>
      </c>
      <c r="N80" s="61">
        <f ca="1">TblMili[[#This Row],[Unit 2]]</f>
        <v>0</v>
      </c>
      <c r="O80" s="61">
        <f ca="1">TblMili[[#This Row],[Unit 3]]</f>
        <v>0</v>
      </c>
      <c r="P80" s="61">
        <f ca="1">TblMili[[#This Row],[Unit 4]]</f>
        <v>0</v>
      </c>
      <c r="Q80" s="61">
        <f ca="1">TblMili[[#This Row],[Spies]]</f>
        <v>0</v>
      </c>
      <c r="R80" s="61">
        <f ca="1">TblMili[[#This Row],[Wizards]]</f>
        <v>0</v>
      </c>
      <c r="S80" s="61">
        <f ca="1">TblMili[[#This Row],[Archmages]]</f>
        <v>0</v>
      </c>
      <c r="T80" s="142"/>
      <c r="U80" s="94">
        <f ca="1">ROUND(TblPop[[#This Row],[Raw max]]*(1+OFFSET(TblPop[[#This Row],[Max pop]],-1,0)),0)+MIN(TblPop[[#This Row],[Military]]-TblPop[[#This Row],[Draftees]]-SUM(TblMili[[#This Row],[Train Unit 1]:[Train AM]]),(barracks_size + tech_8_3*TblTech[[#This Row],[8-3]])*TblConstr[[#This Row],[Tot Bar]])</f>
        <v>769</v>
      </c>
      <c r="V8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0" s="94">
        <f ca="1">MAX(-5%*TblPop[[#This Row],[Peasants]]-TblPop[[#This Row],[Draft Growth]],MIN(OFFSET(TblPop[[#This Row],[Net max]],1,0)-TblPop[[#This Row],[Peasants]]-TblPop[[#This Row],[Military]]-TblPop[[#This Row],[Draft Growth]],TblPop[[#This Row],[Modded Birth]]-TblPop[[#This Row],[Draft Growth]]))</f>
        <v>-2</v>
      </c>
      <c r="X80" s="94">
        <f ca="1">ROUND(TblPop[[#This Row],[Raw Birth]]*(1+TblPop[[#This Row],[Growth]]),0)</f>
        <v>7</v>
      </c>
      <c r="Y80" s="94">
        <f ca="1">(TblPop[[#This Row],[Peasants]]-TblPop[[#This Row],[Draft Growth]])*raw_pop_growth</f>
        <v>6.5699999999999994</v>
      </c>
      <c r="Z80" s="94">
        <f ca="1">ROUND(IF(TblPop[[#This Row],[Military%]]&lt;TblMili[[#This Row],[Draftrate]],ROUND(TblPop[[#This Row],[Peasants]]*Constants!$B$55,0), 0) * IF(AND(TblMagic[[#This Row],[Active DnD]]&lt;=12,TblMagic[[#This Row],[Active DnD]]&gt;6),1.5,1),0)</f>
        <v>2</v>
      </c>
      <c r="AA80" s="142"/>
      <c r="AB80" s="143">
        <f ca="1">Overview!$I$17 + IF(Magic!AF80&gt;0,Constants!$F$78) + ROUND(6*(Construction!BM81+Construction!CK80)/IF(Explore!S81&gt;0,Construction!F81-20,Construction!F81),4) + tech_6_5_2*Techs!BJ80 + tech_8_4*Techs!BT80</f>
        <v>0</v>
      </c>
      <c r="AC80" s="139">
        <f ca="1">(Overview!$I$16 + Imps!Z80+ tech_2_5*Techs!AB80 + tech_3_6*Techs!AM80 + tech_6_1*Techs!BJ80 + tech_6_5*Techs!BF80 + tech_7_3_2*Techs!BN80) * (1 + Production!O80/100*prestige_pop_multiplier) + Production!O80/100*prestige_pop_multiplier</f>
        <v>2.5000000000000001E-2</v>
      </c>
    </row>
    <row r="81" spans="1:29" x14ac:dyDescent="0.2">
      <c r="A81" s="137">
        <f>TblRezone[[#This Row],[Hour]]</f>
        <v>78</v>
      </c>
      <c r="B81" s="138">
        <f ca="1">TblImps[[#This Row],[Time]]</f>
        <v>46323.208333333147</v>
      </c>
      <c r="C81" s="94">
        <f ca="1">OFFSET(TblPop[[#This Row],[Peasants]],-1,0)+OFFSET(TblPop[[#This Row],[Net Peasant]],-1,0)+TblMili[[#This Row],[Release Draft]]</f>
        <v>219</v>
      </c>
      <c r="D81" s="94">
        <f ca="1">TblMili[[#This Row],[Military]]</f>
        <v>550</v>
      </c>
      <c r="E81" s="94">
        <f ca="1">TblMili[[#This Row],[Draftees]]</f>
        <v>550</v>
      </c>
      <c r="F81" s="94">
        <f ca="1">TblPop[[#This Row],[Peasants]]+TblPop[[#This Row],[Military]]</f>
        <v>769</v>
      </c>
      <c r="G81" s="139">
        <f ca="1">TblPop[[#This Row],[Military]]/TblPop[[#This Row],[Total]]</f>
        <v>0.71521456436931075</v>
      </c>
      <c r="H81" s="140">
        <f ca="1">MIN(TblPop[[#This Row],[Peasants]],TblPop[[#This Row],[Jobs]])</f>
        <v>219</v>
      </c>
      <c r="I81" s="139">
        <f ca="1">MIN(OFFSET(TblPop[[#This Row],[Jobs]],1,0)/TblPop[[#This Row],[Peasants]],1)</f>
        <v>1</v>
      </c>
      <c r="J81" s="140">
        <f ca="1">SUM(TblConstr[[#This Row],[Tot Alc]:[Tot GT]],TblConstr[[#This Row],[Tot Shr]:[Tot Doc]],TblConstr[[#This Row],[Dest Alc]:[Dest GT]],TblConstr[[#This Row],[Dest Shr]:[Dest Doc]])*building_employment + TblConstr[[#This Row],[Tot Fac]]*bonus_jobs_facts</f>
        <v>1000</v>
      </c>
      <c r="K81" s="141"/>
      <c r="L81" s="61">
        <f ca="1">TblPop[[#This Row],[Draftees]]</f>
        <v>550</v>
      </c>
      <c r="M81" s="61">
        <f ca="1">TblMili[[#This Row],[Unit 1]]</f>
        <v>0</v>
      </c>
      <c r="N81" s="61">
        <f ca="1">TblMili[[#This Row],[Unit 2]]</f>
        <v>0</v>
      </c>
      <c r="O81" s="61">
        <f ca="1">TblMili[[#This Row],[Unit 3]]</f>
        <v>0</v>
      </c>
      <c r="P81" s="61">
        <f ca="1">TblMili[[#This Row],[Unit 4]]</f>
        <v>0</v>
      </c>
      <c r="Q81" s="61">
        <f ca="1">TblMili[[#This Row],[Spies]]</f>
        <v>0</v>
      </c>
      <c r="R81" s="61">
        <f ca="1">TblMili[[#This Row],[Wizards]]</f>
        <v>0</v>
      </c>
      <c r="S81" s="61">
        <f ca="1">TblMili[[#This Row],[Archmages]]</f>
        <v>0</v>
      </c>
      <c r="T81" s="142"/>
      <c r="U81" s="94">
        <f ca="1">ROUND(TblPop[[#This Row],[Raw max]]*(1+OFFSET(TblPop[[#This Row],[Max pop]],-1,0)),0)+MIN(TblPop[[#This Row],[Military]]-TblPop[[#This Row],[Draftees]]-SUM(TblMili[[#This Row],[Train Unit 1]:[Train AM]]),(barracks_size + tech_8_3*TblTech[[#This Row],[8-3]])*TblConstr[[#This Row],[Tot Bar]])</f>
        <v>769</v>
      </c>
      <c r="V8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1" s="94">
        <f ca="1">MAX(-5%*TblPop[[#This Row],[Peasants]]-TblPop[[#This Row],[Draft Growth]],MIN(OFFSET(TblPop[[#This Row],[Net max]],1,0)-TblPop[[#This Row],[Peasants]]-TblPop[[#This Row],[Military]]-TblPop[[#This Row],[Draft Growth]],TblPop[[#This Row],[Modded Birth]]-TblPop[[#This Row],[Draft Growth]]))</f>
        <v>-2</v>
      </c>
      <c r="X81" s="94">
        <f ca="1">ROUND(TblPop[[#This Row],[Raw Birth]]*(1+TblPop[[#This Row],[Growth]]),0)</f>
        <v>7</v>
      </c>
      <c r="Y81" s="94">
        <f ca="1">(TblPop[[#This Row],[Peasants]]-TblPop[[#This Row],[Draft Growth]])*raw_pop_growth</f>
        <v>6.51</v>
      </c>
      <c r="Z81" s="94">
        <f ca="1">ROUND(IF(TblPop[[#This Row],[Military%]]&lt;TblMili[[#This Row],[Draftrate]],ROUND(TblPop[[#This Row],[Peasants]]*Constants!$B$55,0), 0) * IF(AND(TblMagic[[#This Row],[Active DnD]]&lt;=12,TblMagic[[#This Row],[Active DnD]]&gt;6),1.5,1),0)</f>
        <v>2</v>
      </c>
      <c r="AA81" s="142"/>
      <c r="AB81" s="143">
        <f ca="1">Overview!$I$17 + IF(Magic!AF81&gt;0,Constants!$F$78) + ROUND(6*(Construction!BM82+Construction!CK81)/IF(Explore!S82&gt;0,Construction!F82-20,Construction!F82),4) + tech_6_5_2*Techs!BJ81 + tech_8_4*Techs!BT81</f>
        <v>0</v>
      </c>
      <c r="AC81" s="139">
        <f ca="1">(Overview!$I$16 + Imps!Z81+ tech_2_5*Techs!AB81 + tech_3_6*Techs!AM81 + tech_6_1*Techs!BJ81 + tech_6_5*Techs!BF81 + tech_7_3_2*Techs!BN81) * (1 + Production!O81/100*prestige_pop_multiplier) + Production!O81/100*prestige_pop_multiplier</f>
        <v>2.5000000000000001E-2</v>
      </c>
    </row>
    <row r="82" spans="1:29" x14ac:dyDescent="0.2">
      <c r="A82" s="137">
        <f>TblRezone[[#This Row],[Hour]]</f>
        <v>79</v>
      </c>
      <c r="B82" s="138">
        <f ca="1">TblImps[[#This Row],[Time]]</f>
        <v>46323.249999999811</v>
      </c>
      <c r="C82" s="94">
        <f ca="1">OFFSET(TblPop[[#This Row],[Peasants]],-1,0)+OFFSET(TblPop[[#This Row],[Net Peasant]],-1,0)+TblMili[[#This Row],[Release Draft]]</f>
        <v>217</v>
      </c>
      <c r="D82" s="94">
        <f ca="1">TblMili[[#This Row],[Military]]</f>
        <v>552</v>
      </c>
      <c r="E82" s="94">
        <f ca="1">TblMili[[#This Row],[Draftees]]</f>
        <v>552</v>
      </c>
      <c r="F82" s="94">
        <f ca="1">TblPop[[#This Row],[Peasants]]+TblPop[[#This Row],[Military]]</f>
        <v>769</v>
      </c>
      <c r="G82" s="139">
        <f ca="1">TblPop[[#This Row],[Military]]/TblPop[[#This Row],[Total]]</f>
        <v>0.71781534460338103</v>
      </c>
      <c r="H82" s="140">
        <f ca="1">MIN(TblPop[[#This Row],[Peasants]],TblPop[[#This Row],[Jobs]])</f>
        <v>217</v>
      </c>
      <c r="I82" s="139">
        <f ca="1">MIN(OFFSET(TblPop[[#This Row],[Jobs]],1,0)/TblPop[[#This Row],[Peasants]],1)</f>
        <v>1</v>
      </c>
      <c r="J82" s="140">
        <f ca="1">SUM(TblConstr[[#This Row],[Tot Alc]:[Tot GT]],TblConstr[[#This Row],[Tot Shr]:[Tot Doc]],TblConstr[[#This Row],[Dest Alc]:[Dest GT]],TblConstr[[#This Row],[Dest Shr]:[Dest Doc]])*building_employment + TblConstr[[#This Row],[Tot Fac]]*bonus_jobs_facts</f>
        <v>1000</v>
      </c>
      <c r="K82" s="141"/>
      <c r="L82" s="61">
        <f ca="1">TblPop[[#This Row],[Draftees]]</f>
        <v>552</v>
      </c>
      <c r="M82" s="61">
        <f ca="1">TblMili[[#This Row],[Unit 1]]</f>
        <v>0</v>
      </c>
      <c r="N82" s="61">
        <f ca="1">TblMili[[#This Row],[Unit 2]]</f>
        <v>0</v>
      </c>
      <c r="O82" s="61">
        <f ca="1">TblMili[[#This Row],[Unit 3]]</f>
        <v>0</v>
      </c>
      <c r="P82" s="61">
        <f ca="1">TblMili[[#This Row],[Unit 4]]</f>
        <v>0</v>
      </c>
      <c r="Q82" s="61">
        <f ca="1">TblMili[[#This Row],[Spies]]</f>
        <v>0</v>
      </c>
      <c r="R82" s="61">
        <f ca="1">TblMili[[#This Row],[Wizards]]</f>
        <v>0</v>
      </c>
      <c r="S82" s="61">
        <f ca="1">TblMili[[#This Row],[Archmages]]</f>
        <v>0</v>
      </c>
      <c r="T82" s="142"/>
      <c r="U82" s="94">
        <f ca="1">ROUND(TblPop[[#This Row],[Raw max]]*(1+OFFSET(TblPop[[#This Row],[Max pop]],-1,0)),0)+MIN(TblPop[[#This Row],[Military]]-TblPop[[#This Row],[Draftees]]-SUM(TblMili[[#This Row],[Train Unit 1]:[Train AM]]),(barracks_size + tech_8_3*TblTech[[#This Row],[8-3]])*TblConstr[[#This Row],[Tot Bar]])</f>
        <v>769</v>
      </c>
      <c r="V8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2" s="94">
        <f ca="1">MAX(-5%*TblPop[[#This Row],[Peasants]]-TblPop[[#This Row],[Draft Growth]],MIN(OFFSET(TblPop[[#This Row],[Net max]],1,0)-TblPop[[#This Row],[Peasants]]-TblPop[[#This Row],[Military]]-TblPop[[#This Row],[Draft Growth]],TblPop[[#This Row],[Modded Birth]]-TblPop[[#This Row],[Draft Growth]]))</f>
        <v>-2</v>
      </c>
      <c r="X82" s="94">
        <f ca="1">ROUND(TblPop[[#This Row],[Raw Birth]]*(1+TblPop[[#This Row],[Growth]]),0)</f>
        <v>6</v>
      </c>
      <c r="Y82" s="94">
        <f ca="1">(TblPop[[#This Row],[Peasants]]-TblPop[[#This Row],[Draft Growth]])*raw_pop_growth</f>
        <v>6.45</v>
      </c>
      <c r="Z82" s="94">
        <f ca="1">ROUND(IF(TblPop[[#This Row],[Military%]]&lt;TblMili[[#This Row],[Draftrate]],ROUND(TblPop[[#This Row],[Peasants]]*Constants!$B$55,0), 0) * IF(AND(TblMagic[[#This Row],[Active DnD]]&lt;=12,TblMagic[[#This Row],[Active DnD]]&gt;6),1.5,1),0)</f>
        <v>2</v>
      </c>
      <c r="AA82" s="142"/>
      <c r="AB82" s="143">
        <f ca="1">Overview!$I$17 + IF(Magic!AF82&gt;0,Constants!$F$78) + ROUND(6*(Construction!BM83+Construction!CK82)/IF(Explore!S83&gt;0,Construction!F83-20,Construction!F83),4) + tech_6_5_2*Techs!BJ82 + tech_8_4*Techs!BT82</f>
        <v>0</v>
      </c>
      <c r="AC82" s="139">
        <f ca="1">(Overview!$I$16 + Imps!Z82+ tech_2_5*Techs!AB82 + tech_3_6*Techs!AM82 + tech_6_1*Techs!BJ82 + tech_6_5*Techs!BF82 + tech_7_3_2*Techs!BN82) * (1 + Production!O82/100*prestige_pop_multiplier) + Production!O82/100*prestige_pop_multiplier</f>
        <v>2.5000000000000001E-2</v>
      </c>
    </row>
    <row r="83" spans="1:29" x14ac:dyDescent="0.2">
      <c r="A83" s="137">
        <f>TblRezone[[#This Row],[Hour]]</f>
        <v>80</v>
      </c>
      <c r="B83" s="138">
        <f ca="1">TblImps[[#This Row],[Time]]</f>
        <v>46323.291666666475</v>
      </c>
      <c r="C83" s="94">
        <f ca="1">OFFSET(TblPop[[#This Row],[Peasants]],-1,0)+OFFSET(TblPop[[#This Row],[Net Peasant]],-1,0)+TblMili[[#This Row],[Release Draft]]</f>
        <v>215</v>
      </c>
      <c r="D83" s="94">
        <f ca="1">TblMili[[#This Row],[Military]]</f>
        <v>554</v>
      </c>
      <c r="E83" s="94">
        <f ca="1">TblMili[[#This Row],[Draftees]]</f>
        <v>554</v>
      </c>
      <c r="F83" s="94">
        <f ca="1">TblPop[[#This Row],[Peasants]]+TblPop[[#This Row],[Military]]</f>
        <v>769</v>
      </c>
      <c r="G83" s="139">
        <f ca="1">TblPop[[#This Row],[Military]]/TblPop[[#This Row],[Total]]</f>
        <v>0.72041612483745121</v>
      </c>
      <c r="H83" s="140">
        <f ca="1">MIN(TblPop[[#This Row],[Peasants]],TblPop[[#This Row],[Jobs]])</f>
        <v>215</v>
      </c>
      <c r="I83" s="139">
        <f ca="1">MIN(OFFSET(TblPop[[#This Row],[Jobs]],1,0)/TblPop[[#This Row],[Peasants]],1)</f>
        <v>1</v>
      </c>
      <c r="J83" s="140">
        <f ca="1">SUM(TblConstr[[#This Row],[Tot Alc]:[Tot GT]],TblConstr[[#This Row],[Tot Shr]:[Tot Doc]],TblConstr[[#This Row],[Dest Alc]:[Dest GT]],TblConstr[[#This Row],[Dest Shr]:[Dest Doc]])*building_employment + TblConstr[[#This Row],[Tot Fac]]*bonus_jobs_facts</f>
        <v>1000</v>
      </c>
      <c r="K83" s="141"/>
      <c r="L83" s="61">
        <f ca="1">TblPop[[#This Row],[Draftees]]</f>
        <v>554</v>
      </c>
      <c r="M83" s="61">
        <f ca="1">TblMili[[#This Row],[Unit 1]]</f>
        <v>0</v>
      </c>
      <c r="N83" s="61">
        <f ca="1">TblMili[[#This Row],[Unit 2]]</f>
        <v>0</v>
      </c>
      <c r="O83" s="61">
        <f ca="1">TblMili[[#This Row],[Unit 3]]</f>
        <v>0</v>
      </c>
      <c r="P83" s="61">
        <f ca="1">TblMili[[#This Row],[Unit 4]]</f>
        <v>0</v>
      </c>
      <c r="Q83" s="61">
        <f ca="1">TblMili[[#This Row],[Spies]]</f>
        <v>0</v>
      </c>
      <c r="R83" s="61">
        <f ca="1">TblMili[[#This Row],[Wizards]]</f>
        <v>0</v>
      </c>
      <c r="S83" s="61">
        <f ca="1">TblMili[[#This Row],[Archmages]]</f>
        <v>0</v>
      </c>
      <c r="T83" s="142"/>
      <c r="U83" s="94">
        <f ca="1">ROUND(TblPop[[#This Row],[Raw max]]*(1+OFFSET(TblPop[[#This Row],[Max pop]],-1,0)),0)+MIN(TblPop[[#This Row],[Military]]-TblPop[[#This Row],[Draftees]]-SUM(TblMili[[#This Row],[Train Unit 1]:[Train AM]]),(barracks_size + tech_8_3*TblTech[[#This Row],[8-3]])*TblConstr[[#This Row],[Tot Bar]])</f>
        <v>769</v>
      </c>
      <c r="V8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3" s="94">
        <f ca="1">MAX(-5%*TblPop[[#This Row],[Peasants]]-TblPop[[#This Row],[Draft Growth]],MIN(OFFSET(TblPop[[#This Row],[Net max]],1,0)-TblPop[[#This Row],[Peasants]]-TblPop[[#This Row],[Military]]-TblPop[[#This Row],[Draft Growth]],TblPop[[#This Row],[Modded Birth]]-TblPop[[#This Row],[Draft Growth]]))</f>
        <v>-2</v>
      </c>
      <c r="X83" s="94">
        <f ca="1">ROUND(TblPop[[#This Row],[Raw Birth]]*(1+TblPop[[#This Row],[Growth]]),0)</f>
        <v>6</v>
      </c>
      <c r="Y83" s="94">
        <f ca="1">(TblPop[[#This Row],[Peasants]]-TblPop[[#This Row],[Draft Growth]])*raw_pop_growth</f>
        <v>6.39</v>
      </c>
      <c r="Z83" s="94">
        <f ca="1">ROUND(IF(TblPop[[#This Row],[Military%]]&lt;TblMili[[#This Row],[Draftrate]],ROUND(TblPop[[#This Row],[Peasants]]*Constants!$B$55,0), 0) * IF(AND(TblMagic[[#This Row],[Active DnD]]&lt;=12,TblMagic[[#This Row],[Active DnD]]&gt;6),1.5,1),0)</f>
        <v>2</v>
      </c>
      <c r="AA83" s="142"/>
      <c r="AB83" s="143">
        <f ca="1">Overview!$I$17 + IF(Magic!AF83&gt;0,Constants!$F$78) + ROUND(6*(Construction!BM84+Construction!CK83)/IF(Explore!S84&gt;0,Construction!F84-20,Construction!F84),4) + tech_6_5_2*Techs!BJ83 + tech_8_4*Techs!BT83</f>
        <v>0</v>
      </c>
      <c r="AC83" s="139">
        <f ca="1">(Overview!$I$16 + Imps!Z83+ tech_2_5*Techs!AB83 + tech_3_6*Techs!AM83 + tech_6_1*Techs!BJ83 + tech_6_5*Techs!BF83 + tech_7_3_2*Techs!BN83) * (1 + Production!O83/100*prestige_pop_multiplier) + Production!O83/100*prestige_pop_multiplier</f>
        <v>2.5000000000000001E-2</v>
      </c>
    </row>
    <row r="84" spans="1:29" x14ac:dyDescent="0.2">
      <c r="A84" s="137">
        <f>TblRezone[[#This Row],[Hour]]</f>
        <v>81</v>
      </c>
      <c r="B84" s="138">
        <f ca="1">TblImps[[#This Row],[Time]]</f>
        <v>46323.333333333139</v>
      </c>
      <c r="C84" s="94">
        <f ca="1">OFFSET(TblPop[[#This Row],[Peasants]],-1,0)+OFFSET(TblPop[[#This Row],[Net Peasant]],-1,0)+TblMili[[#This Row],[Release Draft]]</f>
        <v>213</v>
      </c>
      <c r="D84" s="94">
        <f ca="1">TblMili[[#This Row],[Military]]</f>
        <v>556</v>
      </c>
      <c r="E84" s="94">
        <f ca="1">TblMili[[#This Row],[Draftees]]</f>
        <v>556</v>
      </c>
      <c r="F84" s="94">
        <f ca="1">TblPop[[#This Row],[Peasants]]+TblPop[[#This Row],[Military]]</f>
        <v>769</v>
      </c>
      <c r="G84" s="139">
        <f ca="1">TblPop[[#This Row],[Military]]/TblPop[[#This Row],[Total]]</f>
        <v>0.7230169050715215</v>
      </c>
      <c r="H84" s="140">
        <f ca="1">MIN(TblPop[[#This Row],[Peasants]],TblPop[[#This Row],[Jobs]])</f>
        <v>213</v>
      </c>
      <c r="I84" s="139">
        <f ca="1">MIN(OFFSET(TblPop[[#This Row],[Jobs]],1,0)/TblPop[[#This Row],[Peasants]],1)</f>
        <v>1</v>
      </c>
      <c r="J84" s="140">
        <f ca="1">SUM(TblConstr[[#This Row],[Tot Alc]:[Tot GT]],TblConstr[[#This Row],[Tot Shr]:[Tot Doc]],TblConstr[[#This Row],[Dest Alc]:[Dest GT]],TblConstr[[#This Row],[Dest Shr]:[Dest Doc]])*building_employment + TblConstr[[#This Row],[Tot Fac]]*bonus_jobs_facts</f>
        <v>1000</v>
      </c>
      <c r="K84" s="141"/>
      <c r="L84" s="61">
        <f ca="1">TblPop[[#This Row],[Draftees]]</f>
        <v>556</v>
      </c>
      <c r="M84" s="61">
        <f ca="1">TblMili[[#This Row],[Unit 1]]</f>
        <v>0</v>
      </c>
      <c r="N84" s="61">
        <f ca="1">TblMili[[#This Row],[Unit 2]]</f>
        <v>0</v>
      </c>
      <c r="O84" s="61">
        <f ca="1">TblMili[[#This Row],[Unit 3]]</f>
        <v>0</v>
      </c>
      <c r="P84" s="61">
        <f ca="1">TblMili[[#This Row],[Unit 4]]</f>
        <v>0</v>
      </c>
      <c r="Q84" s="61">
        <f ca="1">TblMili[[#This Row],[Spies]]</f>
        <v>0</v>
      </c>
      <c r="R84" s="61">
        <f ca="1">TblMili[[#This Row],[Wizards]]</f>
        <v>0</v>
      </c>
      <c r="S84" s="61">
        <f ca="1">TblMili[[#This Row],[Archmages]]</f>
        <v>0</v>
      </c>
      <c r="T84" s="142"/>
      <c r="U84" s="94">
        <f ca="1">ROUND(TblPop[[#This Row],[Raw max]]*(1+OFFSET(TblPop[[#This Row],[Max pop]],-1,0)),0)+MIN(TblPop[[#This Row],[Military]]-TblPop[[#This Row],[Draftees]]-SUM(TblMili[[#This Row],[Train Unit 1]:[Train AM]]),(barracks_size + tech_8_3*TblTech[[#This Row],[8-3]])*TblConstr[[#This Row],[Tot Bar]])</f>
        <v>769</v>
      </c>
      <c r="V8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4" s="94">
        <f ca="1">MAX(-5%*TblPop[[#This Row],[Peasants]]-TblPop[[#This Row],[Draft Growth]],MIN(OFFSET(TblPop[[#This Row],[Net max]],1,0)-TblPop[[#This Row],[Peasants]]-TblPop[[#This Row],[Military]]-TblPop[[#This Row],[Draft Growth]],TblPop[[#This Row],[Modded Birth]]-TblPop[[#This Row],[Draft Growth]]))</f>
        <v>-2</v>
      </c>
      <c r="X84" s="94">
        <f ca="1">ROUND(TblPop[[#This Row],[Raw Birth]]*(1+TblPop[[#This Row],[Growth]]),0)</f>
        <v>6</v>
      </c>
      <c r="Y84" s="94">
        <f ca="1">(TblPop[[#This Row],[Peasants]]-TblPop[[#This Row],[Draft Growth]])*raw_pop_growth</f>
        <v>6.33</v>
      </c>
      <c r="Z84" s="94">
        <f ca="1">ROUND(IF(TblPop[[#This Row],[Military%]]&lt;TblMili[[#This Row],[Draftrate]],ROUND(TblPop[[#This Row],[Peasants]]*Constants!$B$55,0), 0) * IF(AND(TblMagic[[#This Row],[Active DnD]]&lt;=12,TblMagic[[#This Row],[Active DnD]]&gt;6),1.5,1),0)</f>
        <v>2</v>
      </c>
      <c r="AA84" s="142"/>
      <c r="AB84" s="143">
        <f ca="1">Overview!$I$17 + IF(Magic!AF84&gt;0,Constants!$F$78) + ROUND(6*(Construction!BM85+Construction!CK84)/IF(Explore!S85&gt;0,Construction!F85-20,Construction!F85),4) + tech_6_5_2*Techs!BJ84 + tech_8_4*Techs!BT84</f>
        <v>0</v>
      </c>
      <c r="AC84" s="139">
        <f ca="1">(Overview!$I$16 + Imps!Z84+ tech_2_5*Techs!AB84 + tech_3_6*Techs!AM84 + tech_6_1*Techs!BJ84 + tech_6_5*Techs!BF84 + tech_7_3_2*Techs!BN84) * (1 + Production!O84/100*prestige_pop_multiplier) + Production!O84/100*prestige_pop_multiplier</f>
        <v>2.5000000000000001E-2</v>
      </c>
    </row>
    <row r="85" spans="1:29" x14ac:dyDescent="0.2">
      <c r="A85" s="137">
        <f>TblRezone[[#This Row],[Hour]]</f>
        <v>82</v>
      </c>
      <c r="B85" s="138">
        <f ca="1">TblImps[[#This Row],[Time]]</f>
        <v>46323.374999999804</v>
      </c>
      <c r="C85" s="94">
        <f ca="1">OFFSET(TblPop[[#This Row],[Peasants]],-1,0)+OFFSET(TblPop[[#This Row],[Net Peasant]],-1,0)+TblMili[[#This Row],[Release Draft]]</f>
        <v>211</v>
      </c>
      <c r="D85" s="94">
        <f ca="1">TblMili[[#This Row],[Military]]</f>
        <v>558</v>
      </c>
      <c r="E85" s="94">
        <f ca="1">TblMili[[#This Row],[Draftees]]</f>
        <v>558</v>
      </c>
      <c r="F85" s="94">
        <f ca="1">TblPop[[#This Row],[Peasants]]+TblPop[[#This Row],[Military]]</f>
        <v>769</v>
      </c>
      <c r="G85" s="139">
        <f ca="1">TblPop[[#This Row],[Military]]/TblPop[[#This Row],[Total]]</f>
        <v>0.72561768530559168</v>
      </c>
      <c r="H85" s="140">
        <f ca="1">MIN(TblPop[[#This Row],[Peasants]],TblPop[[#This Row],[Jobs]])</f>
        <v>211</v>
      </c>
      <c r="I85" s="139">
        <f ca="1">MIN(OFFSET(TblPop[[#This Row],[Jobs]],1,0)/TblPop[[#This Row],[Peasants]],1)</f>
        <v>1</v>
      </c>
      <c r="J85" s="140">
        <f ca="1">SUM(TblConstr[[#This Row],[Tot Alc]:[Tot GT]],TblConstr[[#This Row],[Tot Shr]:[Tot Doc]],TblConstr[[#This Row],[Dest Alc]:[Dest GT]],TblConstr[[#This Row],[Dest Shr]:[Dest Doc]])*building_employment + TblConstr[[#This Row],[Tot Fac]]*bonus_jobs_facts</f>
        <v>1000</v>
      </c>
      <c r="K85" s="141"/>
      <c r="L85" s="61">
        <f ca="1">TblPop[[#This Row],[Draftees]]</f>
        <v>558</v>
      </c>
      <c r="M85" s="61">
        <f ca="1">TblMili[[#This Row],[Unit 1]]</f>
        <v>0</v>
      </c>
      <c r="N85" s="61">
        <f ca="1">TblMili[[#This Row],[Unit 2]]</f>
        <v>0</v>
      </c>
      <c r="O85" s="61">
        <f ca="1">TblMili[[#This Row],[Unit 3]]</f>
        <v>0</v>
      </c>
      <c r="P85" s="61">
        <f ca="1">TblMili[[#This Row],[Unit 4]]</f>
        <v>0</v>
      </c>
      <c r="Q85" s="61">
        <f ca="1">TblMili[[#This Row],[Spies]]</f>
        <v>0</v>
      </c>
      <c r="R85" s="61">
        <f ca="1">TblMili[[#This Row],[Wizards]]</f>
        <v>0</v>
      </c>
      <c r="S85" s="61">
        <f ca="1">TblMili[[#This Row],[Archmages]]</f>
        <v>0</v>
      </c>
      <c r="T85" s="142"/>
      <c r="U85" s="94">
        <f ca="1">ROUND(TblPop[[#This Row],[Raw max]]*(1+OFFSET(TblPop[[#This Row],[Max pop]],-1,0)),0)+MIN(TblPop[[#This Row],[Military]]-TblPop[[#This Row],[Draftees]]-SUM(TblMili[[#This Row],[Train Unit 1]:[Train AM]]),(barracks_size + tech_8_3*TblTech[[#This Row],[8-3]])*TblConstr[[#This Row],[Tot Bar]])</f>
        <v>769</v>
      </c>
      <c r="V8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5" s="94">
        <f ca="1">MAX(-5%*TblPop[[#This Row],[Peasants]]-TblPop[[#This Row],[Draft Growth]],MIN(OFFSET(TblPop[[#This Row],[Net max]],1,0)-TblPop[[#This Row],[Peasants]]-TblPop[[#This Row],[Military]]-TblPop[[#This Row],[Draft Growth]],TblPop[[#This Row],[Modded Birth]]-TblPop[[#This Row],[Draft Growth]]))</f>
        <v>-2</v>
      </c>
      <c r="X85" s="94">
        <f ca="1">ROUND(TblPop[[#This Row],[Raw Birth]]*(1+TblPop[[#This Row],[Growth]]),0)</f>
        <v>6</v>
      </c>
      <c r="Y85" s="94">
        <f ca="1">(TblPop[[#This Row],[Peasants]]-TblPop[[#This Row],[Draft Growth]])*raw_pop_growth</f>
        <v>6.27</v>
      </c>
      <c r="Z85" s="94">
        <f ca="1">ROUND(IF(TblPop[[#This Row],[Military%]]&lt;TblMili[[#This Row],[Draftrate]],ROUND(TblPop[[#This Row],[Peasants]]*Constants!$B$55,0), 0) * IF(AND(TblMagic[[#This Row],[Active DnD]]&lt;=12,TblMagic[[#This Row],[Active DnD]]&gt;6),1.5,1),0)</f>
        <v>2</v>
      </c>
      <c r="AA85" s="142"/>
      <c r="AB85" s="143">
        <f ca="1">Overview!$I$17 + IF(Magic!AF85&gt;0,Constants!$F$78) + ROUND(6*(Construction!BM86+Construction!CK85)/IF(Explore!S86&gt;0,Construction!F86-20,Construction!F86),4) + tech_6_5_2*Techs!BJ85 + tech_8_4*Techs!BT85</f>
        <v>0</v>
      </c>
      <c r="AC85" s="139">
        <f ca="1">(Overview!$I$16 + Imps!Z85+ tech_2_5*Techs!AB85 + tech_3_6*Techs!AM85 + tech_6_1*Techs!BJ85 + tech_6_5*Techs!BF85 + tech_7_3_2*Techs!BN85) * (1 + Production!O85/100*prestige_pop_multiplier) + Production!O85/100*prestige_pop_multiplier</f>
        <v>2.5000000000000001E-2</v>
      </c>
    </row>
    <row r="86" spans="1:29" x14ac:dyDescent="0.2">
      <c r="A86" s="137">
        <f>TblRezone[[#This Row],[Hour]]</f>
        <v>83</v>
      </c>
      <c r="B86" s="138">
        <f ca="1">TblImps[[#This Row],[Time]]</f>
        <v>46323.416666666468</v>
      </c>
      <c r="C86" s="94">
        <f ca="1">OFFSET(TblPop[[#This Row],[Peasants]],-1,0)+OFFSET(TblPop[[#This Row],[Net Peasant]],-1,0)+TblMili[[#This Row],[Release Draft]]</f>
        <v>209</v>
      </c>
      <c r="D86" s="94">
        <f ca="1">TblMili[[#This Row],[Military]]</f>
        <v>560</v>
      </c>
      <c r="E86" s="94">
        <f ca="1">TblMili[[#This Row],[Draftees]]</f>
        <v>560</v>
      </c>
      <c r="F86" s="94">
        <f ca="1">TblPop[[#This Row],[Peasants]]+TblPop[[#This Row],[Military]]</f>
        <v>769</v>
      </c>
      <c r="G86" s="139">
        <f ca="1">TblPop[[#This Row],[Military]]/TblPop[[#This Row],[Total]]</f>
        <v>0.72821846553966185</v>
      </c>
      <c r="H86" s="140">
        <f ca="1">MIN(TblPop[[#This Row],[Peasants]],TblPop[[#This Row],[Jobs]])</f>
        <v>209</v>
      </c>
      <c r="I86" s="139">
        <f ca="1">MIN(OFFSET(TblPop[[#This Row],[Jobs]],1,0)/TblPop[[#This Row],[Peasants]],1)</f>
        <v>1</v>
      </c>
      <c r="J86" s="140">
        <f ca="1">SUM(TblConstr[[#This Row],[Tot Alc]:[Tot GT]],TblConstr[[#This Row],[Tot Shr]:[Tot Doc]],TblConstr[[#This Row],[Dest Alc]:[Dest GT]],TblConstr[[#This Row],[Dest Shr]:[Dest Doc]])*building_employment + TblConstr[[#This Row],[Tot Fac]]*bonus_jobs_facts</f>
        <v>1000</v>
      </c>
      <c r="K86" s="141"/>
      <c r="L86" s="61">
        <f ca="1">TblPop[[#This Row],[Draftees]]</f>
        <v>560</v>
      </c>
      <c r="M86" s="61">
        <f ca="1">TblMili[[#This Row],[Unit 1]]</f>
        <v>0</v>
      </c>
      <c r="N86" s="61">
        <f ca="1">TblMili[[#This Row],[Unit 2]]</f>
        <v>0</v>
      </c>
      <c r="O86" s="61">
        <f ca="1">TblMili[[#This Row],[Unit 3]]</f>
        <v>0</v>
      </c>
      <c r="P86" s="61">
        <f ca="1">TblMili[[#This Row],[Unit 4]]</f>
        <v>0</v>
      </c>
      <c r="Q86" s="61">
        <f ca="1">TblMili[[#This Row],[Spies]]</f>
        <v>0</v>
      </c>
      <c r="R86" s="61">
        <f ca="1">TblMili[[#This Row],[Wizards]]</f>
        <v>0</v>
      </c>
      <c r="S86" s="61">
        <f ca="1">TblMili[[#This Row],[Archmages]]</f>
        <v>0</v>
      </c>
      <c r="T86" s="142"/>
      <c r="U86" s="94">
        <f ca="1">ROUND(TblPop[[#This Row],[Raw max]]*(1+OFFSET(TblPop[[#This Row],[Max pop]],-1,0)),0)+MIN(TblPop[[#This Row],[Military]]-TblPop[[#This Row],[Draftees]]-SUM(TblMili[[#This Row],[Train Unit 1]:[Train AM]]),(barracks_size + tech_8_3*TblTech[[#This Row],[8-3]])*TblConstr[[#This Row],[Tot Bar]])</f>
        <v>769</v>
      </c>
      <c r="V8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6" s="94">
        <f ca="1">MAX(-5%*TblPop[[#This Row],[Peasants]]-TblPop[[#This Row],[Draft Growth]],MIN(OFFSET(TblPop[[#This Row],[Net max]],1,0)-TblPop[[#This Row],[Peasants]]-TblPop[[#This Row],[Military]]-TblPop[[#This Row],[Draft Growth]],TblPop[[#This Row],[Modded Birth]]-TblPop[[#This Row],[Draft Growth]]))</f>
        <v>-2</v>
      </c>
      <c r="X86" s="94">
        <f ca="1">ROUND(TblPop[[#This Row],[Raw Birth]]*(1+TblPop[[#This Row],[Growth]]),0)</f>
        <v>6</v>
      </c>
      <c r="Y86" s="94">
        <f ca="1">(TblPop[[#This Row],[Peasants]]-TblPop[[#This Row],[Draft Growth]])*raw_pop_growth</f>
        <v>6.21</v>
      </c>
      <c r="Z86" s="94">
        <f ca="1">ROUND(IF(TblPop[[#This Row],[Military%]]&lt;TblMili[[#This Row],[Draftrate]],ROUND(TblPop[[#This Row],[Peasants]]*Constants!$B$55,0), 0) * IF(AND(TblMagic[[#This Row],[Active DnD]]&lt;=12,TblMagic[[#This Row],[Active DnD]]&gt;6),1.5,1),0)</f>
        <v>2</v>
      </c>
      <c r="AA86" s="142"/>
      <c r="AB86" s="143">
        <f ca="1">Overview!$I$17 + IF(Magic!AF86&gt;0,Constants!$F$78) + ROUND(6*(Construction!BM87+Construction!CK86)/IF(Explore!S87&gt;0,Construction!F87-20,Construction!F87),4) + tech_6_5_2*Techs!BJ86 + tech_8_4*Techs!BT86</f>
        <v>0</v>
      </c>
      <c r="AC86" s="139">
        <f ca="1">(Overview!$I$16 + Imps!Z86+ tech_2_5*Techs!AB86 + tech_3_6*Techs!AM86 + tech_6_1*Techs!BJ86 + tech_6_5*Techs!BF86 + tech_7_3_2*Techs!BN86) * (1 + Production!O86/100*prestige_pop_multiplier) + Production!O86/100*prestige_pop_multiplier</f>
        <v>2.5000000000000001E-2</v>
      </c>
    </row>
    <row r="87" spans="1:29" x14ac:dyDescent="0.2">
      <c r="A87" s="137">
        <f>TblRezone[[#This Row],[Hour]]</f>
        <v>84</v>
      </c>
      <c r="B87" s="138">
        <f ca="1">TblImps[[#This Row],[Time]]</f>
        <v>46323.458333333132</v>
      </c>
      <c r="C87" s="94">
        <f ca="1">OFFSET(TblPop[[#This Row],[Peasants]],-1,0)+OFFSET(TblPop[[#This Row],[Net Peasant]],-1,0)+TblMili[[#This Row],[Release Draft]]</f>
        <v>207</v>
      </c>
      <c r="D87" s="94">
        <f ca="1">TblMili[[#This Row],[Military]]</f>
        <v>562</v>
      </c>
      <c r="E87" s="94">
        <f ca="1">TblMili[[#This Row],[Draftees]]</f>
        <v>562</v>
      </c>
      <c r="F87" s="94">
        <f ca="1">TblPop[[#This Row],[Peasants]]+TblPop[[#This Row],[Military]]</f>
        <v>769</v>
      </c>
      <c r="G87" s="139">
        <f ca="1">TblPop[[#This Row],[Military]]/TblPop[[#This Row],[Total]]</f>
        <v>0.73081924577373214</v>
      </c>
      <c r="H87" s="140">
        <f ca="1">MIN(TblPop[[#This Row],[Peasants]],TblPop[[#This Row],[Jobs]])</f>
        <v>207</v>
      </c>
      <c r="I87" s="139">
        <f ca="1">MIN(OFFSET(TblPop[[#This Row],[Jobs]],1,0)/TblPop[[#This Row],[Peasants]],1)</f>
        <v>1</v>
      </c>
      <c r="J87" s="140">
        <f ca="1">SUM(TblConstr[[#This Row],[Tot Alc]:[Tot GT]],TblConstr[[#This Row],[Tot Shr]:[Tot Doc]],TblConstr[[#This Row],[Dest Alc]:[Dest GT]],TblConstr[[#This Row],[Dest Shr]:[Dest Doc]])*building_employment + TblConstr[[#This Row],[Tot Fac]]*bonus_jobs_facts</f>
        <v>1000</v>
      </c>
      <c r="K87" s="141"/>
      <c r="L87" s="61">
        <f ca="1">TblPop[[#This Row],[Draftees]]</f>
        <v>562</v>
      </c>
      <c r="M87" s="61">
        <f ca="1">TblMili[[#This Row],[Unit 1]]</f>
        <v>0</v>
      </c>
      <c r="N87" s="61">
        <f ca="1">TblMili[[#This Row],[Unit 2]]</f>
        <v>0</v>
      </c>
      <c r="O87" s="61">
        <f ca="1">TblMili[[#This Row],[Unit 3]]</f>
        <v>0</v>
      </c>
      <c r="P87" s="61">
        <f ca="1">TblMili[[#This Row],[Unit 4]]</f>
        <v>0</v>
      </c>
      <c r="Q87" s="61">
        <f ca="1">TblMili[[#This Row],[Spies]]</f>
        <v>0</v>
      </c>
      <c r="R87" s="61">
        <f ca="1">TblMili[[#This Row],[Wizards]]</f>
        <v>0</v>
      </c>
      <c r="S87" s="61">
        <f ca="1">TblMili[[#This Row],[Archmages]]</f>
        <v>0</v>
      </c>
      <c r="T87" s="142"/>
      <c r="U87" s="94">
        <f ca="1">ROUND(TblPop[[#This Row],[Raw max]]*(1+OFFSET(TblPop[[#This Row],[Max pop]],-1,0)),0)+MIN(TblPop[[#This Row],[Military]]-TblPop[[#This Row],[Draftees]]-SUM(TblMili[[#This Row],[Train Unit 1]:[Train AM]]),(barracks_size + tech_8_3*TblTech[[#This Row],[8-3]])*TblConstr[[#This Row],[Tot Bar]])</f>
        <v>769</v>
      </c>
      <c r="V8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7" s="94">
        <f ca="1">MAX(-5%*TblPop[[#This Row],[Peasants]]-TblPop[[#This Row],[Draft Growth]],MIN(OFFSET(TblPop[[#This Row],[Net max]],1,0)-TblPop[[#This Row],[Peasants]]-TblPop[[#This Row],[Military]]-TblPop[[#This Row],[Draft Growth]],TblPop[[#This Row],[Modded Birth]]-TblPop[[#This Row],[Draft Growth]]))</f>
        <v>-2</v>
      </c>
      <c r="X87" s="94">
        <f ca="1">ROUND(TblPop[[#This Row],[Raw Birth]]*(1+TblPop[[#This Row],[Growth]]),0)</f>
        <v>6</v>
      </c>
      <c r="Y87" s="94">
        <f ca="1">(TblPop[[#This Row],[Peasants]]-TblPop[[#This Row],[Draft Growth]])*raw_pop_growth</f>
        <v>6.1499999999999995</v>
      </c>
      <c r="Z87" s="94">
        <f ca="1">ROUND(IF(TblPop[[#This Row],[Military%]]&lt;TblMili[[#This Row],[Draftrate]],ROUND(TblPop[[#This Row],[Peasants]]*Constants!$B$55,0), 0) * IF(AND(TblMagic[[#This Row],[Active DnD]]&lt;=12,TblMagic[[#This Row],[Active DnD]]&gt;6),1.5,1),0)</f>
        <v>2</v>
      </c>
      <c r="AA87" s="142"/>
      <c r="AB87" s="143">
        <f ca="1">Overview!$I$17 + IF(Magic!AF87&gt;0,Constants!$F$78) + ROUND(6*(Construction!BM88+Construction!CK87)/IF(Explore!S88&gt;0,Construction!F88-20,Construction!F88),4) + tech_6_5_2*Techs!BJ87 + tech_8_4*Techs!BT87</f>
        <v>0</v>
      </c>
      <c r="AC87" s="139">
        <f ca="1">(Overview!$I$16 + Imps!Z87+ tech_2_5*Techs!AB87 + tech_3_6*Techs!AM87 + tech_6_1*Techs!BJ87 + tech_6_5*Techs!BF87 + tech_7_3_2*Techs!BN87) * (1 + Production!O87/100*prestige_pop_multiplier) + Production!O87/100*prestige_pop_multiplier</f>
        <v>2.5000000000000001E-2</v>
      </c>
    </row>
    <row r="88" spans="1:29" x14ac:dyDescent="0.2">
      <c r="A88" s="137">
        <f>TblRezone[[#This Row],[Hour]]</f>
        <v>85</v>
      </c>
      <c r="B88" s="138">
        <f ca="1">TblImps[[#This Row],[Time]]</f>
        <v>46323.499999999796</v>
      </c>
      <c r="C88" s="94">
        <f ca="1">OFFSET(TblPop[[#This Row],[Peasants]],-1,0)+OFFSET(TblPop[[#This Row],[Net Peasant]],-1,0)+TblMili[[#This Row],[Release Draft]]</f>
        <v>205</v>
      </c>
      <c r="D88" s="94">
        <f ca="1">TblMili[[#This Row],[Military]]</f>
        <v>564</v>
      </c>
      <c r="E88" s="94">
        <f ca="1">TblMili[[#This Row],[Draftees]]</f>
        <v>564</v>
      </c>
      <c r="F88" s="94">
        <f ca="1">TblPop[[#This Row],[Peasants]]+TblPop[[#This Row],[Military]]</f>
        <v>769</v>
      </c>
      <c r="G88" s="139">
        <f ca="1">TblPop[[#This Row],[Military]]/TblPop[[#This Row],[Total]]</f>
        <v>0.73342002600780232</v>
      </c>
      <c r="H88" s="140">
        <f ca="1">MIN(TblPop[[#This Row],[Peasants]],TblPop[[#This Row],[Jobs]])</f>
        <v>205</v>
      </c>
      <c r="I88" s="139">
        <f ca="1">MIN(OFFSET(TblPop[[#This Row],[Jobs]],1,0)/TblPop[[#This Row],[Peasants]],1)</f>
        <v>1</v>
      </c>
      <c r="J88" s="140">
        <f ca="1">SUM(TblConstr[[#This Row],[Tot Alc]:[Tot GT]],TblConstr[[#This Row],[Tot Shr]:[Tot Doc]],TblConstr[[#This Row],[Dest Alc]:[Dest GT]],TblConstr[[#This Row],[Dest Shr]:[Dest Doc]])*building_employment + TblConstr[[#This Row],[Tot Fac]]*bonus_jobs_facts</f>
        <v>1000</v>
      </c>
      <c r="K88" s="141"/>
      <c r="L88" s="61">
        <f ca="1">TblPop[[#This Row],[Draftees]]</f>
        <v>564</v>
      </c>
      <c r="M88" s="61">
        <f ca="1">TblMili[[#This Row],[Unit 1]]</f>
        <v>0</v>
      </c>
      <c r="N88" s="61">
        <f ca="1">TblMili[[#This Row],[Unit 2]]</f>
        <v>0</v>
      </c>
      <c r="O88" s="61">
        <f ca="1">TblMili[[#This Row],[Unit 3]]</f>
        <v>0</v>
      </c>
      <c r="P88" s="61">
        <f ca="1">TblMili[[#This Row],[Unit 4]]</f>
        <v>0</v>
      </c>
      <c r="Q88" s="61">
        <f ca="1">TblMili[[#This Row],[Spies]]</f>
        <v>0</v>
      </c>
      <c r="R88" s="61">
        <f ca="1">TblMili[[#This Row],[Wizards]]</f>
        <v>0</v>
      </c>
      <c r="S88" s="61">
        <f ca="1">TblMili[[#This Row],[Archmages]]</f>
        <v>0</v>
      </c>
      <c r="T88" s="142"/>
      <c r="U88" s="94">
        <f ca="1">ROUND(TblPop[[#This Row],[Raw max]]*(1+OFFSET(TblPop[[#This Row],[Max pop]],-1,0)),0)+MIN(TblPop[[#This Row],[Military]]-TblPop[[#This Row],[Draftees]]-SUM(TblMili[[#This Row],[Train Unit 1]:[Train AM]]),(barracks_size + tech_8_3*TblTech[[#This Row],[8-3]])*TblConstr[[#This Row],[Tot Bar]])</f>
        <v>769</v>
      </c>
      <c r="V8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8" s="94">
        <f ca="1">MAX(-5%*TblPop[[#This Row],[Peasants]]-TblPop[[#This Row],[Draft Growth]],MIN(OFFSET(TblPop[[#This Row],[Net max]],1,0)-TblPop[[#This Row],[Peasants]]-TblPop[[#This Row],[Military]]-TblPop[[#This Row],[Draft Growth]],TblPop[[#This Row],[Modded Birth]]-TblPop[[#This Row],[Draft Growth]]))</f>
        <v>-2</v>
      </c>
      <c r="X88" s="94">
        <f ca="1">ROUND(TblPop[[#This Row],[Raw Birth]]*(1+TblPop[[#This Row],[Growth]]),0)</f>
        <v>6</v>
      </c>
      <c r="Y88" s="94">
        <f ca="1">(TblPop[[#This Row],[Peasants]]-TblPop[[#This Row],[Draft Growth]])*raw_pop_growth</f>
        <v>6.09</v>
      </c>
      <c r="Z88" s="94">
        <f ca="1">ROUND(IF(TblPop[[#This Row],[Military%]]&lt;TblMili[[#This Row],[Draftrate]],ROUND(TblPop[[#This Row],[Peasants]]*Constants!$B$55,0), 0) * IF(AND(TblMagic[[#This Row],[Active DnD]]&lt;=12,TblMagic[[#This Row],[Active DnD]]&gt;6),1.5,1),0)</f>
        <v>2</v>
      </c>
      <c r="AA88" s="142"/>
      <c r="AB88" s="143">
        <f ca="1">Overview!$I$17 + IF(Magic!AF88&gt;0,Constants!$F$78) + ROUND(6*(Construction!BM89+Construction!CK88)/IF(Explore!S89&gt;0,Construction!F89-20,Construction!F89),4) + tech_6_5_2*Techs!BJ88 + tech_8_4*Techs!BT88</f>
        <v>0</v>
      </c>
      <c r="AC88" s="139">
        <f ca="1">(Overview!$I$16 + Imps!Z88+ tech_2_5*Techs!AB88 + tech_3_6*Techs!AM88 + tech_6_1*Techs!BJ88 + tech_6_5*Techs!BF88 + tech_7_3_2*Techs!BN88) * (1 + Production!O88/100*prestige_pop_multiplier) + Production!O88/100*prestige_pop_multiplier</f>
        <v>2.5000000000000001E-2</v>
      </c>
    </row>
    <row r="89" spans="1:29" x14ac:dyDescent="0.2">
      <c r="A89" s="137">
        <f>TblRezone[[#This Row],[Hour]]</f>
        <v>86</v>
      </c>
      <c r="B89" s="138">
        <f ca="1">TblImps[[#This Row],[Time]]</f>
        <v>46323.541666666461</v>
      </c>
      <c r="C89" s="94">
        <f ca="1">OFFSET(TblPop[[#This Row],[Peasants]],-1,0)+OFFSET(TblPop[[#This Row],[Net Peasant]],-1,0)+TblMili[[#This Row],[Release Draft]]</f>
        <v>203</v>
      </c>
      <c r="D89" s="94">
        <f ca="1">TblMili[[#This Row],[Military]]</f>
        <v>566</v>
      </c>
      <c r="E89" s="94">
        <f ca="1">TblMili[[#This Row],[Draftees]]</f>
        <v>566</v>
      </c>
      <c r="F89" s="94">
        <f ca="1">TblPop[[#This Row],[Peasants]]+TblPop[[#This Row],[Military]]</f>
        <v>769</v>
      </c>
      <c r="G89" s="139">
        <f ca="1">TblPop[[#This Row],[Military]]/TblPop[[#This Row],[Total]]</f>
        <v>0.7360208062418726</v>
      </c>
      <c r="H89" s="140">
        <f ca="1">MIN(TblPop[[#This Row],[Peasants]],TblPop[[#This Row],[Jobs]])</f>
        <v>203</v>
      </c>
      <c r="I89" s="139">
        <f ca="1">MIN(OFFSET(TblPop[[#This Row],[Jobs]],1,0)/TblPop[[#This Row],[Peasants]],1)</f>
        <v>1</v>
      </c>
      <c r="J89" s="140">
        <f ca="1">SUM(TblConstr[[#This Row],[Tot Alc]:[Tot GT]],TblConstr[[#This Row],[Tot Shr]:[Tot Doc]],TblConstr[[#This Row],[Dest Alc]:[Dest GT]],TblConstr[[#This Row],[Dest Shr]:[Dest Doc]])*building_employment + TblConstr[[#This Row],[Tot Fac]]*bonus_jobs_facts</f>
        <v>1000</v>
      </c>
      <c r="K89" s="141"/>
      <c r="L89" s="61">
        <f ca="1">TblPop[[#This Row],[Draftees]]</f>
        <v>566</v>
      </c>
      <c r="M89" s="61">
        <f ca="1">TblMili[[#This Row],[Unit 1]]</f>
        <v>0</v>
      </c>
      <c r="N89" s="61">
        <f ca="1">TblMili[[#This Row],[Unit 2]]</f>
        <v>0</v>
      </c>
      <c r="O89" s="61">
        <f ca="1">TblMili[[#This Row],[Unit 3]]</f>
        <v>0</v>
      </c>
      <c r="P89" s="61">
        <f ca="1">TblMili[[#This Row],[Unit 4]]</f>
        <v>0</v>
      </c>
      <c r="Q89" s="61">
        <f ca="1">TblMili[[#This Row],[Spies]]</f>
        <v>0</v>
      </c>
      <c r="R89" s="61">
        <f ca="1">TblMili[[#This Row],[Wizards]]</f>
        <v>0</v>
      </c>
      <c r="S89" s="61">
        <f ca="1">TblMili[[#This Row],[Archmages]]</f>
        <v>0</v>
      </c>
      <c r="T89" s="142"/>
      <c r="U89" s="94">
        <f ca="1">ROUND(TblPop[[#This Row],[Raw max]]*(1+OFFSET(TblPop[[#This Row],[Max pop]],-1,0)),0)+MIN(TblPop[[#This Row],[Military]]-TblPop[[#This Row],[Draftees]]-SUM(TblMili[[#This Row],[Train Unit 1]:[Train AM]]),(barracks_size + tech_8_3*TblTech[[#This Row],[8-3]])*TblConstr[[#This Row],[Tot Bar]])</f>
        <v>769</v>
      </c>
      <c r="V8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9" s="94">
        <f ca="1">MAX(-5%*TblPop[[#This Row],[Peasants]]-TblPop[[#This Row],[Draft Growth]],MIN(OFFSET(TblPop[[#This Row],[Net max]],1,0)-TblPop[[#This Row],[Peasants]]-TblPop[[#This Row],[Military]]-TblPop[[#This Row],[Draft Growth]],TblPop[[#This Row],[Modded Birth]]-TblPop[[#This Row],[Draft Growth]]))</f>
        <v>-2</v>
      </c>
      <c r="X89" s="94">
        <f ca="1">ROUND(TblPop[[#This Row],[Raw Birth]]*(1+TblPop[[#This Row],[Growth]]),0)</f>
        <v>6</v>
      </c>
      <c r="Y89" s="94">
        <f ca="1">(TblPop[[#This Row],[Peasants]]-TblPop[[#This Row],[Draft Growth]])*raw_pop_growth</f>
        <v>6.0299999999999994</v>
      </c>
      <c r="Z89" s="94">
        <f ca="1">ROUND(IF(TblPop[[#This Row],[Military%]]&lt;TblMili[[#This Row],[Draftrate]],ROUND(TblPop[[#This Row],[Peasants]]*Constants!$B$55,0), 0) * IF(AND(TblMagic[[#This Row],[Active DnD]]&lt;=12,TblMagic[[#This Row],[Active DnD]]&gt;6),1.5,1),0)</f>
        <v>2</v>
      </c>
      <c r="AA89" s="142"/>
      <c r="AB89" s="143">
        <f ca="1">Overview!$I$17 + IF(Magic!AF89&gt;0,Constants!$F$78) + ROUND(6*(Construction!BM90+Construction!CK89)/IF(Explore!S90&gt;0,Construction!F90-20,Construction!F90),4) + tech_6_5_2*Techs!BJ89 + tech_8_4*Techs!BT89</f>
        <v>0</v>
      </c>
      <c r="AC89" s="139">
        <f ca="1">(Overview!$I$16 + Imps!Z89+ tech_2_5*Techs!AB89 + tech_3_6*Techs!AM89 + tech_6_1*Techs!BJ89 + tech_6_5*Techs!BF89 + tech_7_3_2*Techs!BN89) * (1 + Production!O89/100*prestige_pop_multiplier) + Production!O89/100*prestige_pop_multiplier</f>
        <v>2.5000000000000001E-2</v>
      </c>
    </row>
    <row r="90" spans="1:29" x14ac:dyDescent="0.2">
      <c r="A90" s="137">
        <f>TblRezone[[#This Row],[Hour]]</f>
        <v>87</v>
      </c>
      <c r="B90" s="138">
        <f ca="1">TblImps[[#This Row],[Time]]</f>
        <v>46323.583333333125</v>
      </c>
      <c r="C90" s="94">
        <f ca="1">OFFSET(TblPop[[#This Row],[Peasants]],-1,0)+OFFSET(TblPop[[#This Row],[Net Peasant]],-1,0)+TblMili[[#This Row],[Release Draft]]</f>
        <v>201</v>
      </c>
      <c r="D90" s="94">
        <f ca="1">TblMili[[#This Row],[Military]]</f>
        <v>568</v>
      </c>
      <c r="E90" s="94">
        <f ca="1">TblMili[[#This Row],[Draftees]]</f>
        <v>568</v>
      </c>
      <c r="F90" s="94">
        <f ca="1">TblPop[[#This Row],[Peasants]]+TblPop[[#This Row],[Military]]</f>
        <v>769</v>
      </c>
      <c r="G90" s="139">
        <f ca="1">TblPop[[#This Row],[Military]]/TblPop[[#This Row],[Total]]</f>
        <v>0.73862158647594278</v>
      </c>
      <c r="H90" s="140">
        <f ca="1">MIN(TblPop[[#This Row],[Peasants]],TblPop[[#This Row],[Jobs]])</f>
        <v>201</v>
      </c>
      <c r="I90" s="139">
        <f ca="1">MIN(OFFSET(TblPop[[#This Row],[Jobs]],1,0)/TblPop[[#This Row],[Peasants]],1)</f>
        <v>1</v>
      </c>
      <c r="J90" s="140">
        <f ca="1">SUM(TblConstr[[#This Row],[Tot Alc]:[Tot GT]],TblConstr[[#This Row],[Tot Shr]:[Tot Doc]],TblConstr[[#This Row],[Dest Alc]:[Dest GT]],TblConstr[[#This Row],[Dest Shr]:[Dest Doc]])*building_employment + TblConstr[[#This Row],[Tot Fac]]*bonus_jobs_facts</f>
        <v>1000</v>
      </c>
      <c r="K90" s="141"/>
      <c r="L90" s="61">
        <f ca="1">TblPop[[#This Row],[Draftees]]</f>
        <v>568</v>
      </c>
      <c r="M90" s="61">
        <f ca="1">TblMili[[#This Row],[Unit 1]]</f>
        <v>0</v>
      </c>
      <c r="N90" s="61">
        <f ca="1">TblMili[[#This Row],[Unit 2]]</f>
        <v>0</v>
      </c>
      <c r="O90" s="61">
        <f ca="1">TblMili[[#This Row],[Unit 3]]</f>
        <v>0</v>
      </c>
      <c r="P90" s="61">
        <f ca="1">TblMili[[#This Row],[Unit 4]]</f>
        <v>0</v>
      </c>
      <c r="Q90" s="61">
        <f ca="1">TblMili[[#This Row],[Spies]]</f>
        <v>0</v>
      </c>
      <c r="R90" s="61">
        <f ca="1">TblMili[[#This Row],[Wizards]]</f>
        <v>0</v>
      </c>
      <c r="S90" s="61">
        <f ca="1">TblMili[[#This Row],[Archmages]]</f>
        <v>0</v>
      </c>
      <c r="T90" s="142"/>
      <c r="U90" s="94">
        <f ca="1">ROUND(TblPop[[#This Row],[Raw max]]*(1+OFFSET(TblPop[[#This Row],[Max pop]],-1,0)),0)+MIN(TblPop[[#This Row],[Military]]-TblPop[[#This Row],[Draftees]]-SUM(TblMili[[#This Row],[Train Unit 1]:[Train AM]]),(barracks_size + tech_8_3*TblTech[[#This Row],[8-3]])*TblConstr[[#This Row],[Tot Bar]])</f>
        <v>769</v>
      </c>
      <c r="V9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0" s="94">
        <f ca="1">MAX(-5%*TblPop[[#This Row],[Peasants]]-TblPop[[#This Row],[Draft Growth]],MIN(OFFSET(TblPop[[#This Row],[Net max]],1,0)-TblPop[[#This Row],[Peasants]]-TblPop[[#This Row],[Military]]-TblPop[[#This Row],[Draft Growth]],TblPop[[#This Row],[Modded Birth]]-TblPop[[#This Row],[Draft Growth]]))</f>
        <v>-2</v>
      </c>
      <c r="X90" s="94">
        <f ca="1">ROUND(TblPop[[#This Row],[Raw Birth]]*(1+TblPop[[#This Row],[Growth]]),0)</f>
        <v>6</v>
      </c>
      <c r="Y90" s="94">
        <f ca="1">(TblPop[[#This Row],[Peasants]]-TblPop[[#This Row],[Draft Growth]])*raw_pop_growth</f>
        <v>5.97</v>
      </c>
      <c r="Z90" s="94">
        <f ca="1">ROUND(IF(TblPop[[#This Row],[Military%]]&lt;TblMili[[#This Row],[Draftrate]],ROUND(TblPop[[#This Row],[Peasants]]*Constants!$B$55,0), 0) * IF(AND(TblMagic[[#This Row],[Active DnD]]&lt;=12,TblMagic[[#This Row],[Active DnD]]&gt;6),1.5,1),0)</f>
        <v>2</v>
      </c>
      <c r="AA90" s="142"/>
      <c r="AB90" s="143">
        <f ca="1">Overview!$I$17 + IF(Magic!AF90&gt;0,Constants!$F$78) + ROUND(6*(Construction!BM91+Construction!CK90)/IF(Explore!S91&gt;0,Construction!F91-20,Construction!F91),4) + tech_6_5_2*Techs!BJ90 + tech_8_4*Techs!BT90</f>
        <v>0</v>
      </c>
      <c r="AC90" s="139">
        <f ca="1">(Overview!$I$16 + Imps!Z90+ tech_2_5*Techs!AB90 + tech_3_6*Techs!AM90 + tech_6_1*Techs!BJ90 + tech_6_5*Techs!BF90 + tech_7_3_2*Techs!BN90) * (1 + Production!O90/100*prestige_pop_multiplier) + Production!O90/100*prestige_pop_multiplier</f>
        <v>2.5000000000000001E-2</v>
      </c>
    </row>
    <row r="91" spans="1:29" x14ac:dyDescent="0.2">
      <c r="A91" s="137">
        <f>TblRezone[[#This Row],[Hour]]</f>
        <v>88</v>
      </c>
      <c r="B91" s="138">
        <f ca="1">TblImps[[#This Row],[Time]]</f>
        <v>46323.624999999789</v>
      </c>
      <c r="C91" s="94">
        <f ca="1">OFFSET(TblPop[[#This Row],[Peasants]],-1,0)+OFFSET(TblPop[[#This Row],[Net Peasant]],-1,0)+TblMili[[#This Row],[Release Draft]]</f>
        <v>199</v>
      </c>
      <c r="D91" s="94">
        <f ca="1">TblMili[[#This Row],[Military]]</f>
        <v>570</v>
      </c>
      <c r="E91" s="94">
        <f ca="1">TblMili[[#This Row],[Draftees]]</f>
        <v>570</v>
      </c>
      <c r="F91" s="94">
        <f ca="1">TblPop[[#This Row],[Peasants]]+TblPop[[#This Row],[Military]]</f>
        <v>769</v>
      </c>
      <c r="G91" s="139">
        <f ca="1">TblPop[[#This Row],[Military]]/TblPop[[#This Row],[Total]]</f>
        <v>0.74122236671001296</v>
      </c>
      <c r="H91" s="140">
        <f ca="1">MIN(TblPop[[#This Row],[Peasants]],TblPop[[#This Row],[Jobs]])</f>
        <v>199</v>
      </c>
      <c r="I91" s="139">
        <f ca="1">MIN(OFFSET(TblPop[[#This Row],[Jobs]],1,0)/TblPop[[#This Row],[Peasants]],1)</f>
        <v>1</v>
      </c>
      <c r="J91" s="140">
        <f ca="1">SUM(TblConstr[[#This Row],[Tot Alc]:[Tot GT]],TblConstr[[#This Row],[Tot Shr]:[Tot Doc]],TblConstr[[#This Row],[Dest Alc]:[Dest GT]],TblConstr[[#This Row],[Dest Shr]:[Dest Doc]])*building_employment + TblConstr[[#This Row],[Tot Fac]]*bonus_jobs_facts</f>
        <v>1000</v>
      </c>
      <c r="K91" s="141"/>
      <c r="L91" s="61">
        <f ca="1">TblPop[[#This Row],[Draftees]]</f>
        <v>570</v>
      </c>
      <c r="M91" s="61">
        <f ca="1">TblMili[[#This Row],[Unit 1]]</f>
        <v>0</v>
      </c>
      <c r="N91" s="61">
        <f ca="1">TblMili[[#This Row],[Unit 2]]</f>
        <v>0</v>
      </c>
      <c r="O91" s="61">
        <f ca="1">TblMili[[#This Row],[Unit 3]]</f>
        <v>0</v>
      </c>
      <c r="P91" s="61">
        <f ca="1">TblMili[[#This Row],[Unit 4]]</f>
        <v>0</v>
      </c>
      <c r="Q91" s="61">
        <f ca="1">TblMili[[#This Row],[Spies]]</f>
        <v>0</v>
      </c>
      <c r="R91" s="61">
        <f ca="1">TblMili[[#This Row],[Wizards]]</f>
        <v>0</v>
      </c>
      <c r="S91" s="61">
        <f ca="1">TblMili[[#This Row],[Archmages]]</f>
        <v>0</v>
      </c>
      <c r="T91" s="142"/>
      <c r="U91" s="94">
        <f ca="1">ROUND(TblPop[[#This Row],[Raw max]]*(1+OFFSET(TblPop[[#This Row],[Max pop]],-1,0)),0)+MIN(TblPop[[#This Row],[Military]]-TblPop[[#This Row],[Draftees]]-SUM(TblMili[[#This Row],[Train Unit 1]:[Train AM]]),(barracks_size + tech_8_3*TblTech[[#This Row],[8-3]])*TblConstr[[#This Row],[Tot Bar]])</f>
        <v>769</v>
      </c>
      <c r="V9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1" s="94">
        <f ca="1">MAX(-5%*TblPop[[#This Row],[Peasants]]-TblPop[[#This Row],[Draft Growth]],MIN(OFFSET(TblPop[[#This Row],[Net max]],1,0)-TblPop[[#This Row],[Peasants]]-TblPop[[#This Row],[Military]]-TblPop[[#This Row],[Draft Growth]],TblPop[[#This Row],[Modded Birth]]-TblPop[[#This Row],[Draft Growth]]))</f>
        <v>-2</v>
      </c>
      <c r="X91" s="94">
        <f ca="1">ROUND(TblPop[[#This Row],[Raw Birth]]*(1+TblPop[[#This Row],[Growth]]),0)</f>
        <v>6</v>
      </c>
      <c r="Y91" s="94">
        <f ca="1">(TblPop[[#This Row],[Peasants]]-TblPop[[#This Row],[Draft Growth]])*raw_pop_growth</f>
        <v>5.91</v>
      </c>
      <c r="Z91" s="94">
        <f ca="1">ROUND(IF(TblPop[[#This Row],[Military%]]&lt;TblMili[[#This Row],[Draftrate]],ROUND(TblPop[[#This Row],[Peasants]]*Constants!$B$55,0), 0) * IF(AND(TblMagic[[#This Row],[Active DnD]]&lt;=12,TblMagic[[#This Row],[Active DnD]]&gt;6),1.5,1),0)</f>
        <v>2</v>
      </c>
      <c r="AA91" s="142"/>
      <c r="AB91" s="143">
        <f ca="1">Overview!$I$17 + IF(Magic!AF91&gt;0,Constants!$F$78) + ROUND(6*(Construction!BM92+Construction!CK91)/IF(Explore!S92&gt;0,Construction!F92-20,Construction!F92),4) + tech_6_5_2*Techs!BJ91 + tech_8_4*Techs!BT91</f>
        <v>0</v>
      </c>
      <c r="AC91" s="139">
        <f ca="1">(Overview!$I$16 + Imps!Z91+ tech_2_5*Techs!AB91 + tech_3_6*Techs!AM91 + tech_6_1*Techs!BJ91 + tech_6_5*Techs!BF91 + tech_7_3_2*Techs!BN91) * (1 + Production!O91/100*prestige_pop_multiplier) + Production!O91/100*prestige_pop_multiplier</f>
        <v>2.5000000000000001E-2</v>
      </c>
    </row>
    <row r="92" spans="1:29" x14ac:dyDescent="0.2">
      <c r="A92" s="137">
        <f>TblRezone[[#This Row],[Hour]]</f>
        <v>89</v>
      </c>
      <c r="B92" s="138">
        <f ca="1">TblImps[[#This Row],[Time]]</f>
        <v>46323.666666666453</v>
      </c>
      <c r="C92" s="94">
        <f ca="1">OFFSET(TblPop[[#This Row],[Peasants]],-1,0)+OFFSET(TblPop[[#This Row],[Net Peasant]],-1,0)+TblMili[[#This Row],[Release Draft]]</f>
        <v>197</v>
      </c>
      <c r="D92" s="94">
        <f ca="1">TblMili[[#This Row],[Military]]</f>
        <v>572</v>
      </c>
      <c r="E92" s="94">
        <f ca="1">TblMili[[#This Row],[Draftees]]</f>
        <v>572</v>
      </c>
      <c r="F92" s="94">
        <f ca="1">TblPop[[#This Row],[Peasants]]+TblPop[[#This Row],[Military]]</f>
        <v>769</v>
      </c>
      <c r="G92" s="139">
        <f ca="1">TblPop[[#This Row],[Military]]/TblPop[[#This Row],[Total]]</f>
        <v>0.74382314694408325</v>
      </c>
      <c r="H92" s="140">
        <f ca="1">MIN(TblPop[[#This Row],[Peasants]],TblPop[[#This Row],[Jobs]])</f>
        <v>197</v>
      </c>
      <c r="I92" s="139">
        <f ca="1">MIN(OFFSET(TblPop[[#This Row],[Jobs]],1,0)/TblPop[[#This Row],[Peasants]],1)</f>
        <v>1</v>
      </c>
      <c r="J92" s="140">
        <f ca="1">SUM(TblConstr[[#This Row],[Tot Alc]:[Tot GT]],TblConstr[[#This Row],[Tot Shr]:[Tot Doc]],TblConstr[[#This Row],[Dest Alc]:[Dest GT]],TblConstr[[#This Row],[Dest Shr]:[Dest Doc]])*building_employment + TblConstr[[#This Row],[Tot Fac]]*bonus_jobs_facts</f>
        <v>1000</v>
      </c>
      <c r="K92" s="141"/>
      <c r="L92" s="61">
        <f ca="1">TblPop[[#This Row],[Draftees]]</f>
        <v>572</v>
      </c>
      <c r="M92" s="61">
        <f ca="1">TblMili[[#This Row],[Unit 1]]</f>
        <v>0</v>
      </c>
      <c r="N92" s="61">
        <f ca="1">TblMili[[#This Row],[Unit 2]]</f>
        <v>0</v>
      </c>
      <c r="O92" s="61">
        <f ca="1">TblMili[[#This Row],[Unit 3]]</f>
        <v>0</v>
      </c>
      <c r="P92" s="61">
        <f ca="1">TblMili[[#This Row],[Unit 4]]</f>
        <v>0</v>
      </c>
      <c r="Q92" s="61">
        <f ca="1">TblMili[[#This Row],[Spies]]</f>
        <v>0</v>
      </c>
      <c r="R92" s="61">
        <f ca="1">TblMili[[#This Row],[Wizards]]</f>
        <v>0</v>
      </c>
      <c r="S92" s="61">
        <f ca="1">TblMili[[#This Row],[Archmages]]</f>
        <v>0</v>
      </c>
      <c r="T92" s="142"/>
      <c r="U92" s="94">
        <f ca="1">ROUND(TblPop[[#This Row],[Raw max]]*(1+OFFSET(TblPop[[#This Row],[Max pop]],-1,0)),0)+MIN(TblPop[[#This Row],[Military]]-TblPop[[#This Row],[Draftees]]-SUM(TblMili[[#This Row],[Train Unit 1]:[Train AM]]),(barracks_size + tech_8_3*TblTech[[#This Row],[8-3]])*TblConstr[[#This Row],[Tot Bar]])</f>
        <v>769</v>
      </c>
      <c r="V9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2" s="94">
        <f ca="1">MAX(-5%*TblPop[[#This Row],[Peasants]]-TblPop[[#This Row],[Draft Growth]],MIN(OFFSET(TblPop[[#This Row],[Net max]],1,0)-TblPop[[#This Row],[Peasants]]-TblPop[[#This Row],[Military]]-TblPop[[#This Row],[Draft Growth]],TblPop[[#This Row],[Modded Birth]]-TblPop[[#This Row],[Draft Growth]]))</f>
        <v>-2</v>
      </c>
      <c r="X92" s="94">
        <f ca="1">ROUND(TblPop[[#This Row],[Raw Birth]]*(1+TblPop[[#This Row],[Growth]]),0)</f>
        <v>6</v>
      </c>
      <c r="Y92" s="94">
        <f ca="1">(TblPop[[#This Row],[Peasants]]-TblPop[[#This Row],[Draft Growth]])*raw_pop_growth</f>
        <v>5.85</v>
      </c>
      <c r="Z92" s="94">
        <f ca="1">ROUND(IF(TblPop[[#This Row],[Military%]]&lt;TblMili[[#This Row],[Draftrate]],ROUND(TblPop[[#This Row],[Peasants]]*Constants!$B$55,0), 0) * IF(AND(TblMagic[[#This Row],[Active DnD]]&lt;=12,TblMagic[[#This Row],[Active DnD]]&gt;6),1.5,1),0)</f>
        <v>2</v>
      </c>
      <c r="AA92" s="142"/>
      <c r="AB92" s="143">
        <f ca="1">Overview!$I$17 + IF(Magic!AF92&gt;0,Constants!$F$78) + ROUND(6*(Construction!BM93+Construction!CK92)/IF(Explore!S93&gt;0,Construction!F93-20,Construction!F93),4) + tech_6_5_2*Techs!BJ92 + tech_8_4*Techs!BT92</f>
        <v>0</v>
      </c>
      <c r="AC92" s="139">
        <f ca="1">(Overview!$I$16 + Imps!Z92+ tech_2_5*Techs!AB92 + tech_3_6*Techs!AM92 + tech_6_1*Techs!BJ92 + tech_6_5*Techs!BF92 + tech_7_3_2*Techs!BN92) * (1 + Production!O92/100*prestige_pop_multiplier) + Production!O92/100*prestige_pop_multiplier</f>
        <v>2.5000000000000001E-2</v>
      </c>
    </row>
    <row r="93" spans="1:29" x14ac:dyDescent="0.2">
      <c r="A93" s="137">
        <f>TblRezone[[#This Row],[Hour]]</f>
        <v>90</v>
      </c>
      <c r="B93" s="138">
        <f ca="1">TblImps[[#This Row],[Time]]</f>
        <v>46323.708333333117</v>
      </c>
      <c r="C93" s="94">
        <f ca="1">OFFSET(TblPop[[#This Row],[Peasants]],-1,0)+OFFSET(TblPop[[#This Row],[Net Peasant]],-1,0)+TblMili[[#This Row],[Release Draft]]</f>
        <v>195</v>
      </c>
      <c r="D93" s="94">
        <f ca="1">TblMili[[#This Row],[Military]]</f>
        <v>574</v>
      </c>
      <c r="E93" s="94">
        <f ca="1">TblMili[[#This Row],[Draftees]]</f>
        <v>574</v>
      </c>
      <c r="F93" s="94">
        <f ca="1">TblPop[[#This Row],[Peasants]]+TblPop[[#This Row],[Military]]</f>
        <v>769</v>
      </c>
      <c r="G93" s="139">
        <f ca="1">TblPop[[#This Row],[Military]]/TblPop[[#This Row],[Total]]</f>
        <v>0.74642392717815342</v>
      </c>
      <c r="H93" s="140">
        <f ca="1">MIN(TblPop[[#This Row],[Peasants]],TblPop[[#This Row],[Jobs]])</f>
        <v>195</v>
      </c>
      <c r="I93" s="139">
        <f ca="1">MIN(OFFSET(TblPop[[#This Row],[Jobs]],1,0)/TblPop[[#This Row],[Peasants]],1)</f>
        <v>1</v>
      </c>
      <c r="J93" s="140">
        <f ca="1">SUM(TblConstr[[#This Row],[Tot Alc]:[Tot GT]],TblConstr[[#This Row],[Tot Shr]:[Tot Doc]],TblConstr[[#This Row],[Dest Alc]:[Dest GT]],TblConstr[[#This Row],[Dest Shr]:[Dest Doc]])*building_employment + TblConstr[[#This Row],[Tot Fac]]*bonus_jobs_facts</f>
        <v>1000</v>
      </c>
      <c r="K93" s="141"/>
      <c r="L93" s="61">
        <f ca="1">TblPop[[#This Row],[Draftees]]</f>
        <v>574</v>
      </c>
      <c r="M93" s="61">
        <f ca="1">TblMili[[#This Row],[Unit 1]]</f>
        <v>0</v>
      </c>
      <c r="N93" s="61">
        <f ca="1">TblMili[[#This Row],[Unit 2]]</f>
        <v>0</v>
      </c>
      <c r="O93" s="61">
        <f ca="1">TblMili[[#This Row],[Unit 3]]</f>
        <v>0</v>
      </c>
      <c r="P93" s="61">
        <f ca="1">TblMili[[#This Row],[Unit 4]]</f>
        <v>0</v>
      </c>
      <c r="Q93" s="61">
        <f ca="1">TblMili[[#This Row],[Spies]]</f>
        <v>0</v>
      </c>
      <c r="R93" s="61">
        <f ca="1">TblMili[[#This Row],[Wizards]]</f>
        <v>0</v>
      </c>
      <c r="S93" s="61">
        <f ca="1">TblMili[[#This Row],[Archmages]]</f>
        <v>0</v>
      </c>
      <c r="T93" s="142"/>
      <c r="U93" s="94">
        <f ca="1">ROUND(TblPop[[#This Row],[Raw max]]*(1+OFFSET(TblPop[[#This Row],[Max pop]],-1,0)),0)+MIN(TblPop[[#This Row],[Military]]-TblPop[[#This Row],[Draftees]]-SUM(TblMili[[#This Row],[Train Unit 1]:[Train AM]]),(barracks_size + tech_8_3*TblTech[[#This Row],[8-3]])*TblConstr[[#This Row],[Tot Bar]])</f>
        <v>769</v>
      </c>
      <c r="V9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3" s="94">
        <f ca="1">MAX(-5%*TblPop[[#This Row],[Peasants]]-TblPop[[#This Row],[Draft Growth]],MIN(OFFSET(TblPop[[#This Row],[Net max]],1,0)-TblPop[[#This Row],[Peasants]]-TblPop[[#This Row],[Military]]-TblPop[[#This Row],[Draft Growth]],TblPop[[#This Row],[Modded Birth]]-TblPop[[#This Row],[Draft Growth]]))</f>
        <v>-2</v>
      </c>
      <c r="X93" s="94">
        <f ca="1">ROUND(TblPop[[#This Row],[Raw Birth]]*(1+TblPop[[#This Row],[Growth]]),0)</f>
        <v>6</v>
      </c>
      <c r="Y93" s="94">
        <f ca="1">(TblPop[[#This Row],[Peasants]]-TblPop[[#This Row],[Draft Growth]])*raw_pop_growth</f>
        <v>5.79</v>
      </c>
      <c r="Z93" s="94">
        <f ca="1">ROUND(IF(TblPop[[#This Row],[Military%]]&lt;TblMili[[#This Row],[Draftrate]],ROUND(TblPop[[#This Row],[Peasants]]*Constants!$B$55,0), 0) * IF(AND(TblMagic[[#This Row],[Active DnD]]&lt;=12,TblMagic[[#This Row],[Active DnD]]&gt;6),1.5,1),0)</f>
        <v>2</v>
      </c>
      <c r="AA93" s="142"/>
      <c r="AB93" s="143">
        <f ca="1">Overview!$I$17 + IF(Magic!AF93&gt;0,Constants!$F$78) + ROUND(6*(Construction!BM94+Construction!CK93)/IF(Explore!S94&gt;0,Construction!F94-20,Construction!F94),4) + tech_6_5_2*Techs!BJ93 + tech_8_4*Techs!BT93</f>
        <v>0</v>
      </c>
      <c r="AC93" s="139">
        <f ca="1">(Overview!$I$16 + Imps!Z93+ tech_2_5*Techs!AB93 + tech_3_6*Techs!AM93 + tech_6_1*Techs!BJ93 + tech_6_5*Techs!BF93 + tech_7_3_2*Techs!BN93) * (1 + Production!O93/100*prestige_pop_multiplier) + Production!O93/100*prestige_pop_multiplier</f>
        <v>2.5000000000000001E-2</v>
      </c>
    </row>
    <row r="94" spans="1:29" x14ac:dyDescent="0.2">
      <c r="A94" s="137">
        <f>TblRezone[[#This Row],[Hour]]</f>
        <v>91</v>
      </c>
      <c r="B94" s="138">
        <f ca="1">TblImps[[#This Row],[Time]]</f>
        <v>46323.749999999782</v>
      </c>
      <c r="C94" s="94">
        <f ca="1">OFFSET(TblPop[[#This Row],[Peasants]],-1,0)+OFFSET(TblPop[[#This Row],[Net Peasant]],-1,0)+TblMili[[#This Row],[Release Draft]]</f>
        <v>193</v>
      </c>
      <c r="D94" s="94">
        <f ca="1">TblMili[[#This Row],[Military]]</f>
        <v>576</v>
      </c>
      <c r="E94" s="94">
        <f ca="1">TblMili[[#This Row],[Draftees]]</f>
        <v>576</v>
      </c>
      <c r="F94" s="94">
        <f ca="1">TblPop[[#This Row],[Peasants]]+TblPop[[#This Row],[Military]]</f>
        <v>769</v>
      </c>
      <c r="G94" s="139">
        <f ca="1">TblPop[[#This Row],[Military]]/TblPop[[#This Row],[Total]]</f>
        <v>0.74902470741222371</v>
      </c>
      <c r="H94" s="140">
        <f ca="1">MIN(TblPop[[#This Row],[Peasants]],TblPop[[#This Row],[Jobs]])</f>
        <v>193</v>
      </c>
      <c r="I94" s="139">
        <f ca="1">MIN(OFFSET(TblPop[[#This Row],[Jobs]],1,0)/TblPop[[#This Row],[Peasants]],1)</f>
        <v>1</v>
      </c>
      <c r="J94" s="140">
        <f ca="1">SUM(TblConstr[[#This Row],[Tot Alc]:[Tot GT]],TblConstr[[#This Row],[Tot Shr]:[Tot Doc]],TblConstr[[#This Row],[Dest Alc]:[Dest GT]],TblConstr[[#This Row],[Dest Shr]:[Dest Doc]])*building_employment + TblConstr[[#This Row],[Tot Fac]]*bonus_jobs_facts</f>
        <v>1000</v>
      </c>
      <c r="K94" s="141"/>
      <c r="L94" s="61">
        <f ca="1">TblPop[[#This Row],[Draftees]]</f>
        <v>576</v>
      </c>
      <c r="M94" s="61">
        <f ca="1">TblMili[[#This Row],[Unit 1]]</f>
        <v>0</v>
      </c>
      <c r="N94" s="61">
        <f ca="1">TblMili[[#This Row],[Unit 2]]</f>
        <v>0</v>
      </c>
      <c r="O94" s="61">
        <f ca="1">TblMili[[#This Row],[Unit 3]]</f>
        <v>0</v>
      </c>
      <c r="P94" s="61">
        <f ca="1">TblMili[[#This Row],[Unit 4]]</f>
        <v>0</v>
      </c>
      <c r="Q94" s="61">
        <f ca="1">TblMili[[#This Row],[Spies]]</f>
        <v>0</v>
      </c>
      <c r="R94" s="61">
        <f ca="1">TblMili[[#This Row],[Wizards]]</f>
        <v>0</v>
      </c>
      <c r="S94" s="61">
        <f ca="1">TblMili[[#This Row],[Archmages]]</f>
        <v>0</v>
      </c>
      <c r="T94" s="142"/>
      <c r="U94" s="94">
        <f ca="1">ROUND(TblPop[[#This Row],[Raw max]]*(1+OFFSET(TblPop[[#This Row],[Max pop]],-1,0)),0)+MIN(TblPop[[#This Row],[Military]]-TblPop[[#This Row],[Draftees]]-SUM(TblMili[[#This Row],[Train Unit 1]:[Train AM]]),(barracks_size + tech_8_3*TblTech[[#This Row],[8-3]])*TblConstr[[#This Row],[Tot Bar]])</f>
        <v>769</v>
      </c>
      <c r="V9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4" s="94">
        <f ca="1">MAX(-5%*TblPop[[#This Row],[Peasants]]-TblPop[[#This Row],[Draft Growth]],MIN(OFFSET(TblPop[[#This Row],[Net max]],1,0)-TblPop[[#This Row],[Peasants]]-TblPop[[#This Row],[Military]]-TblPop[[#This Row],[Draft Growth]],TblPop[[#This Row],[Modded Birth]]-TblPop[[#This Row],[Draft Growth]]))</f>
        <v>-2</v>
      </c>
      <c r="X94" s="94">
        <f ca="1">ROUND(TblPop[[#This Row],[Raw Birth]]*(1+TblPop[[#This Row],[Growth]]),0)</f>
        <v>6</v>
      </c>
      <c r="Y94" s="94">
        <f ca="1">(TblPop[[#This Row],[Peasants]]-TblPop[[#This Row],[Draft Growth]])*raw_pop_growth</f>
        <v>5.7299999999999995</v>
      </c>
      <c r="Z94" s="94">
        <f ca="1">ROUND(IF(TblPop[[#This Row],[Military%]]&lt;TblMili[[#This Row],[Draftrate]],ROUND(TblPop[[#This Row],[Peasants]]*Constants!$B$55,0), 0) * IF(AND(TblMagic[[#This Row],[Active DnD]]&lt;=12,TblMagic[[#This Row],[Active DnD]]&gt;6),1.5,1),0)</f>
        <v>2</v>
      </c>
      <c r="AA94" s="142"/>
      <c r="AB94" s="143">
        <f ca="1">Overview!$I$17 + IF(Magic!AF94&gt;0,Constants!$F$78) + ROUND(6*(Construction!BM95+Construction!CK94)/IF(Explore!S95&gt;0,Construction!F95-20,Construction!F95),4) + tech_6_5_2*Techs!BJ94 + tech_8_4*Techs!BT94</f>
        <v>0</v>
      </c>
      <c r="AC94" s="139">
        <f ca="1">(Overview!$I$16 + Imps!Z94+ tech_2_5*Techs!AB94 + tech_3_6*Techs!AM94 + tech_6_1*Techs!BJ94 + tech_6_5*Techs!BF94 + tech_7_3_2*Techs!BN94) * (1 + Production!O94/100*prestige_pop_multiplier) + Production!O94/100*prestige_pop_multiplier</f>
        <v>2.5000000000000001E-2</v>
      </c>
    </row>
    <row r="95" spans="1:29" x14ac:dyDescent="0.2">
      <c r="A95" s="137">
        <f>TblRezone[[#This Row],[Hour]]</f>
        <v>92</v>
      </c>
      <c r="B95" s="138">
        <f ca="1">TblImps[[#This Row],[Time]]</f>
        <v>46323.791666666446</v>
      </c>
      <c r="C95" s="94">
        <f ca="1">OFFSET(TblPop[[#This Row],[Peasants]],-1,0)+OFFSET(TblPop[[#This Row],[Net Peasant]],-1,0)+TblMili[[#This Row],[Release Draft]]</f>
        <v>191</v>
      </c>
      <c r="D95" s="94">
        <f ca="1">TblMili[[#This Row],[Military]]</f>
        <v>578</v>
      </c>
      <c r="E95" s="94">
        <f ca="1">TblMili[[#This Row],[Draftees]]</f>
        <v>578</v>
      </c>
      <c r="F95" s="94">
        <f ca="1">TblPop[[#This Row],[Peasants]]+TblPop[[#This Row],[Military]]</f>
        <v>769</v>
      </c>
      <c r="G95" s="139">
        <f ca="1">TblPop[[#This Row],[Military]]/TblPop[[#This Row],[Total]]</f>
        <v>0.75162548764629389</v>
      </c>
      <c r="H95" s="140">
        <f ca="1">MIN(TblPop[[#This Row],[Peasants]],TblPop[[#This Row],[Jobs]])</f>
        <v>191</v>
      </c>
      <c r="I95" s="139">
        <f ca="1">MIN(OFFSET(TblPop[[#This Row],[Jobs]],1,0)/TblPop[[#This Row],[Peasants]],1)</f>
        <v>1</v>
      </c>
      <c r="J95" s="140">
        <f ca="1">SUM(TblConstr[[#This Row],[Tot Alc]:[Tot GT]],TblConstr[[#This Row],[Tot Shr]:[Tot Doc]],TblConstr[[#This Row],[Dest Alc]:[Dest GT]],TblConstr[[#This Row],[Dest Shr]:[Dest Doc]])*building_employment + TblConstr[[#This Row],[Tot Fac]]*bonus_jobs_facts</f>
        <v>1000</v>
      </c>
      <c r="K95" s="141"/>
      <c r="L95" s="61">
        <f ca="1">TblPop[[#This Row],[Draftees]]</f>
        <v>578</v>
      </c>
      <c r="M95" s="61">
        <f ca="1">TblMili[[#This Row],[Unit 1]]</f>
        <v>0</v>
      </c>
      <c r="N95" s="61">
        <f ca="1">TblMili[[#This Row],[Unit 2]]</f>
        <v>0</v>
      </c>
      <c r="O95" s="61">
        <f ca="1">TblMili[[#This Row],[Unit 3]]</f>
        <v>0</v>
      </c>
      <c r="P95" s="61">
        <f ca="1">TblMili[[#This Row],[Unit 4]]</f>
        <v>0</v>
      </c>
      <c r="Q95" s="61">
        <f ca="1">TblMili[[#This Row],[Spies]]</f>
        <v>0</v>
      </c>
      <c r="R95" s="61">
        <f ca="1">TblMili[[#This Row],[Wizards]]</f>
        <v>0</v>
      </c>
      <c r="S95" s="61">
        <f ca="1">TblMili[[#This Row],[Archmages]]</f>
        <v>0</v>
      </c>
      <c r="T95" s="142"/>
      <c r="U95" s="94">
        <f ca="1">ROUND(TblPop[[#This Row],[Raw max]]*(1+OFFSET(TblPop[[#This Row],[Max pop]],-1,0)),0)+MIN(TblPop[[#This Row],[Military]]-TblPop[[#This Row],[Draftees]]-SUM(TblMili[[#This Row],[Train Unit 1]:[Train AM]]),(barracks_size + tech_8_3*TblTech[[#This Row],[8-3]])*TblConstr[[#This Row],[Tot Bar]])</f>
        <v>769</v>
      </c>
      <c r="V9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5" s="94">
        <f ca="1">MAX(-5%*TblPop[[#This Row],[Peasants]]-TblPop[[#This Row],[Draft Growth]],MIN(OFFSET(TblPop[[#This Row],[Net max]],1,0)-TblPop[[#This Row],[Peasants]]-TblPop[[#This Row],[Military]]-TblPop[[#This Row],[Draft Growth]],TblPop[[#This Row],[Modded Birth]]-TblPop[[#This Row],[Draft Growth]]))</f>
        <v>-2</v>
      </c>
      <c r="X95" s="94">
        <f ca="1">ROUND(TblPop[[#This Row],[Raw Birth]]*(1+TblPop[[#This Row],[Growth]]),0)</f>
        <v>6</v>
      </c>
      <c r="Y95" s="94">
        <f ca="1">(TblPop[[#This Row],[Peasants]]-TblPop[[#This Row],[Draft Growth]])*raw_pop_growth</f>
        <v>5.67</v>
      </c>
      <c r="Z95" s="94">
        <f ca="1">ROUND(IF(TblPop[[#This Row],[Military%]]&lt;TblMili[[#This Row],[Draftrate]],ROUND(TblPop[[#This Row],[Peasants]]*Constants!$B$55,0), 0) * IF(AND(TblMagic[[#This Row],[Active DnD]]&lt;=12,TblMagic[[#This Row],[Active DnD]]&gt;6),1.5,1),0)</f>
        <v>2</v>
      </c>
      <c r="AA95" s="142"/>
      <c r="AB95" s="143">
        <f ca="1">Overview!$I$17 + IF(Magic!AF95&gt;0,Constants!$F$78) + ROUND(6*(Construction!BM96+Construction!CK95)/IF(Explore!S96&gt;0,Construction!F96-20,Construction!F96),4) + tech_6_5_2*Techs!BJ95 + tech_8_4*Techs!BT95</f>
        <v>0</v>
      </c>
      <c r="AC95" s="139">
        <f ca="1">(Overview!$I$16 + Imps!Z95+ tech_2_5*Techs!AB95 + tech_3_6*Techs!AM95 + tech_6_1*Techs!BJ95 + tech_6_5*Techs!BF95 + tech_7_3_2*Techs!BN95) * (1 + Production!O95/100*prestige_pop_multiplier) + Production!O95/100*prestige_pop_multiplier</f>
        <v>2.5000000000000001E-2</v>
      </c>
    </row>
    <row r="96" spans="1:29" x14ac:dyDescent="0.2">
      <c r="A96" s="137">
        <f>TblRezone[[#This Row],[Hour]]</f>
        <v>93</v>
      </c>
      <c r="B96" s="138">
        <f ca="1">TblImps[[#This Row],[Time]]</f>
        <v>46323.83333333311</v>
      </c>
      <c r="C96" s="94">
        <f ca="1">OFFSET(TblPop[[#This Row],[Peasants]],-1,0)+OFFSET(TblPop[[#This Row],[Net Peasant]],-1,0)+TblMili[[#This Row],[Release Draft]]</f>
        <v>189</v>
      </c>
      <c r="D96" s="94">
        <f ca="1">TblMili[[#This Row],[Military]]</f>
        <v>580</v>
      </c>
      <c r="E96" s="94">
        <f ca="1">TblMili[[#This Row],[Draftees]]</f>
        <v>580</v>
      </c>
      <c r="F96" s="94">
        <f ca="1">TblPop[[#This Row],[Peasants]]+TblPop[[#This Row],[Military]]</f>
        <v>769</v>
      </c>
      <c r="G96" s="139">
        <f ca="1">TblPop[[#This Row],[Military]]/TblPop[[#This Row],[Total]]</f>
        <v>0.75422626788036407</v>
      </c>
      <c r="H96" s="140">
        <f ca="1">MIN(TblPop[[#This Row],[Peasants]],TblPop[[#This Row],[Jobs]])</f>
        <v>189</v>
      </c>
      <c r="I96" s="139">
        <f ca="1">MIN(OFFSET(TblPop[[#This Row],[Jobs]],1,0)/TblPop[[#This Row],[Peasants]],1)</f>
        <v>1</v>
      </c>
      <c r="J96" s="140">
        <f ca="1">SUM(TblConstr[[#This Row],[Tot Alc]:[Tot GT]],TblConstr[[#This Row],[Tot Shr]:[Tot Doc]],TblConstr[[#This Row],[Dest Alc]:[Dest GT]],TblConstr[[#This Row],[Dest Shr]:[Dest Doc]])*building_employment + TblConstr[[#This Row],[Tot Fac]]*bonus_jobs_facts</f>
        <v>1000</v>
      </c>
      <c r="K96" s="141"/>
      <c r="L96" s="61">
        <f ca="1">TblPop[[#This Row],[Draftees]]</f>
        <v>580</v>
      </c>
      <c r="M96" s="61">
        <f ca="1">TblMili[[#This Row],[Unit 1]]</f>
        <v>0</v>
      </c>
      <c r="N96" s="61">
        <f ca="1">TblMili[[#This Row],[Unit 2]]</f>
        <v>0</v>
      </c>
      <c r="O96" s="61">
        <f ca="1">TblMili[[#This Row],[Unit 3]]</f>
        <v>0</v>
      </c>
      <c r="P96" s="61">
        <f ca="1">TblMili[[#This Row],[Unit 4]]</f>
        <v>0</v>
      </c>
      <c r="Q96" s="61">
        <f ca="1">TblMili[[#This Row],[Spies]]</f>
        <v>0</v>
      </c>
      <c r="R96" s="61">
        <f ca="1">TblMili[[#This Row],[Wizards]]</f>
        <v>0</v>
      </c>
      <c r="S96" s="61">
        <f ca="1">TblMili[[#This Row],[Archmages]]</f>
        <v>0</v>
      </c>
      <c r="T96" s="142"/>
      <c r="U96" s="94">
        <f ca="1">ROUND(TblPop[[#This Row],[Raw max]]*(1+OFFSET(TblPop[[#This Row],[Max pop]],-1,0)),0)+MIN(TblPop[[#This Row],[Military]]-TblPop[[#This Row],[Draftees]]-SUM(TblMili[[#This Row],[Train Unit 1]:[Train AM]]),(barracks_size + tech_8_3*TblTech[[#This Row],[8-3]])*TblConstr[[#This Row],[Tot Bar]])</f>
        <v>769</v>
      </c>
      <c r="V9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6" s="94">
        <f ca="1">MAX(-5%*TblPop[[#This Row],[Peasants]]-TblPop[[#This Row],[Draft Growth]],MIN(OFFSET(TblPop[[#This Row],[Net max]],1,0)-TblPop[[#This Row],[Peasants]]-TblPop[[#This Row],[Military]]-TblPop[[#This Row],[Draft Growth]],TblPop[[#This Row],[Modded Birth]]-TblPop[[#This Row],[Draft Growth]]))</f>
        <v>-2</v>
      </c>
      <c r="X96" s="94">
        <f ca="1">ROUND(TblPop[[#This Row],[Raw Birth]]*(1+TblPop[[#This Row],[Growth]]),0)</f>
        <v>6</v>
      </c>
      <c r="Y96" s="94">
        <f ca="1">(TblPop[[#This Row],[Peasants]]-TblPop[[#This Row],[Draft Growth]])*raw_pop_growth</f>
        <v>5.6099999999999994</v>
      </c>
      <c r="Z96" s="94">
        <f ca="1">ROUND(IF(TblPop[[#This Row],[Military%]]&lt;TblMili[[#This Row],[Draftrate]],ROUND(TblPop[[#This Row],[Peasants]]*Constants!$B$55,0), 0) * IF(AND(TblMagic[[#This Row],[Active DnD]]&lt;=12,TblMagic[[#This Row],[Active DnD]]&gt;6),1.5,1),0)</f>
        <v>2</v>
      </c>
      <c r="AA96" s="142"/>
      <c r="AB96" s="143">
        <f ca="1">Overview!$I$17 + IF(Magic!AF96&gt;0,Constants!$F$78) + ROUND(6*(Construction!BM97+Construction!CK96)/IF(Explore!S97&gt;0,Construction!F97-20,Construction!F97),4) + tech_6_5_2*Techs!BJ96 + tech_8_4*Techs!BT96</f>
        <v>0</v>
      </c>
      <c r="AC96" s="139">
        <f ca="1">(Overview!$I$16 + Imps!Z96+ tech_2_5*Techs!AB96 + tech_3_6*Techs!AM96 + tech_6_1*Techs!BJ96 + tech_6_5*Techs!BF96 + tech_7_3_2*Techs!BN96) * (1 + Production!O96/100*prestige_pop_multiplier) + Production!O96/100*prestige_pop_multiplier</f>
        <v>2.5000000000000001E-2</v>
      </c>
    </row>
    <row r="97" spans="1:29" x14ac:dyDescent="0.2">
      <c r="A97" s="137">
        <f>TblRezone[[#This Row],[Hour]]</f>
        <v>94</v>
      </c>
      <c r="B97" s="138">
        <f ca="1">TblImps[[#This Row],[Time]]</f>
        <v>46323.874999999774</v>
      </c>
      <c r="C97" s="94">
        <f ca="1">OFFSET(TblPop[[#This Row],[Peasants]],-1,0)+OFFSET(TblPop[[#This Row],[Net Peasant]],-1,0)+TblMili[[#This Row],[Release Draft]]</f>
        <v>187</v>
      </c>
      <c r="D97" s="94">
        <f ca="1">TblMili[[#This Row],[Military]]</f>
        <v>582</v>
      </c>
      <c r="E97" s="94">
        <f ca="1">TblMili[[#This Row],[Draftees]]</f>
        <v>582</v>
      </c>
      <c r="F97" s="94">
        <f ca="1">TblPop[[#This Row],[Peasants]]+TblPop[[#This Row],[Military]]</f>
        <v>769</v>
      </c>
      <c r="G97" s="139">
        <f ca="1">TblPop[[#This Row],[Military]]/TblPop[[#This Row],[Total]]</f>
        <v>0.75682704811443435</v>
      </c>
      <c r="H97" s="140">
        <f ca="1">MIN(TblPop[[#This Row],[Peasants]],TblPop[[#This Row],[Jobs]])</f>
        <v>187</v>
      </c>
      <c r="I97" s="139">
        <f ca="1">MIN(OFFSET(TblPop[[#This Row],[Jobs]],1,0)/TblPop[[#This Row],[Peasants]],1)</f>
        <v>1</v>
      </c>
      <c r="J97" s="140">
        <f ca="1">SUM(TblConstr[[#This Row],[Tot Alc]:[Tot GT]],TblConstr[[#This Row],[Tot Shr]:[Tot Doc]],TblConstr[[#This Row],[Dest Alc]:[Dest GT]],TblConstr[[#This Row],[Dest Shr]:[Dest Doc]])*building_employment + TblConstr[[#This Row],[Tot Fac]]*bonus_jobs_facts</f>
        <v>1000</v>
      </c>
      <c r="K97" s="141"/>
      <c r="L97" s="61">
        <f ca="1">TblPop[[#This Row],[Draftees]]</f>
        <v>582</v>
      </c>
      <c r="M97" s="61">
        <f ca="1">TblMili[[#This Row],[Unit 1]]</f>
        <v>0</v>
      </c>
      <c r="N97" s="61">
        <f ca="1">TblMili[[#This Row],[Unit 2]]</f>
        <v>0</v>
      </c>
      <c r="O97" s="61">
        <f ca="1">TblMili[[#This Row],[Unit 3]]</f>
        <v>0</v>
      </c>
      <c r="P97" s="61">
        <f ca="1">TblMili[[#This Row],[Unit 4]]</f>
        <v>0</v>
      </c>
      <c r="Q97" s="61">
        <f ca="1">TblMili[[#This Row],[Spies]]</f>
        <v>0</v>
      </c>
      <c r="R97" s="61">
        <f ca="1">TblMili[[#This Row],[Wizards]]</f>
        <v>0</v>
      </c>
      <c r="S97" s="61">
        <f ca="1">TblMili[[#This Row],[Archmages]]</f>
        <v>0</v>
      </c>
      <c r="T97" s="142"/>
      <c r="U97" s="94">
        <f ca="1">ROUND(TblPop[[#This Row],[Raw max]]*(1+OFFSET(TblPop[[#This Row],[Max pop]],-1,0)),0)+MIN(TblPop[[#This Row],[Military]]-TblPop[[#This Row],[Draftees]]-SUM(TblMili[[#This Row],[Train Unit 1]:[Train AM]]),(barracks_size + tech_8_3*TblTech[[#This Row],[8-3]])*TblConstr[[#This Row],[Tot Bar]])</f>
        <v>769</v>
      </c>
      <c r="V9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7" s="94">
        <f ca="1">MAX(-5%*TblPop[[#This Row],[Peasants]]-TblPop[[#This Row],[Draft Growth]],MIN(OFFSET(TblPop[[#This Row],[Net max]],1,0)-TblPop[[#This Row],[Peasants]]-TblPop[[#This Row],[Military]]-TblPop[[#This Row],[Draft Growth]],TblPop[[#This Row],[Modded Birth]]-TblPop[[#This Row],[Draft Growth]]))</f>
        <v>-2</v>
      </c>
      <c r="X97" s="94">
        <f ca="1">ROUND(TblPop[[#This Row],[Raw Birth]]*(1+TblPop[[#This Row],[Growth]]),0)</f>
        <v>6</v>
      </c>
      <c r="Y97" s="94">
        <f ca="1">(TblPop[[#This Row],[Peasants]]-TblPop[[#This Row],[Draft Growth]])*raw_pop_growth</f>
        <v>5.55</v>
      </c>
      <c r="Z97" s="94">
        <f ca="1">ROUND(IF(TblPop[[#This Row],[Military%]]&lt;TblMili[[#This Row],[Draftrate]],ROUND(TblPop[[#This Row],[Peasants]]*Constants!$B$55,0), 0) * IF(AND(TblMagic[[#This Row],[Active DnD]]&lt;=12,TblMagic[[#This Row],[Active DnD]]&gt;6),1.5,1),0)</f>
        <v>2</v>
      </c>
      <c r="AA97" s="142"/>
      <c r="AB97" s="143">
        <f ca="1">Overview!$I$17 + IF(Magic!AF97&gt;0,Constants!$F$78) + ROUND(6*(Construction!BM98+Construction!CK97)/IF(Explore!S98&gt;0,Construction!F98-20,Construction!F98),4) + tech_6_5_2*Techs!BJ97 + tech_8_4*Techs!BT97</f>
        <v>0</v>
      </c>
      <c r="AC97" s="139">
        <f ca="1">(Overview!$I$16 + Imps!Z97+ tech_2_5*Techs!AB97 + tech_3_6*Techs!AM97 + tech_6_1*Techs!BJ97 + tech_6_5*Techs!BF97 + tech_7_3_2*Techs!BN97) * (1 + Production!O97/100*prestige_pop_multiplier) + Production!O97/100*prestige_pop_multiplier</f>
        <v>2.5000000000000001E-2</v>
      </c>
    </row>
    <row r="98" spans="1:29" x14ac:dyDescent="0.2">
      <c r="A98" s="137">
        <f>TblRezone[[#This Row],[Hour]]</f>
        <v>95</v>
      </c>
      <c r="B98" s="138">
        <f ca="1">TblImps[[#This Row],[Time]]</f>
        <v>46323.916666666439</v>
      </c>
      <c r="C98" s="94">
        <f ca="1">OFFSET(TblPop[[#This Row],[Peasants]],-1,0)+OFFSET(TblPop[[#This Row],[Net Peasant]],-1,0)+TblMili[[#This Row],[Release Draft]]</f>
        <v>185</v>
      </c>
      <c r="D98" s="94">
        <f ca="1">TblMili[[#This Row],[Military]]</f>
        <v>584</v>
      </c>
      <c r="E98" s="94">
        <f ca="1">TblMili[[#This Row],[Draftees]]</f>
        <v>584</v>
      </c>
      <c r="F98" s="94">
        <f ca="1">TblPop[[#This Row],[Peasants]]+TblPop[[#This Row],[Military]]</f>
        <v>769</v>
      </c>
      <c r="G98" s="139">
        <f ca="1">TblPop[[#This Row],[Military]]/TblPop[[#This Row],[Total]]</f>
        <v>0.75942782834850453</v>
      </c>
      <c r="H98" s="140">
        <f ca="1">MIN(TblPop[[#This Row],[Peasants]],TblPop[[#This Row],[Jobs]])</f>
        <v>185</v>
      </c>
      <c r="I98" s="139">
        <f ca="1">MIN(OFFSET(TblPop[[#This Row],[Jobs]],1,0)/TblPop[[#This Row],[Peasants]],1)</f>
        <v>1</v>
      </c>
      <c r="J98" s="140">
        <f ca="1">SUM(TblConstr[[#This Row],[Tot Alc]:[Tot GT]],TblConstr[[#This Row],[Tot Shr]:[Tot Doc]],TblConstr[[#This Row],[Dest Alc]:[Dest GT]],TblConstr[[#This Row],[Dest Shr]:[Dest Doc]])*building_employment + TblConstr[[#This Row],[Tot Fac]]*bonus_jobs_facts</f>
        <v>1000</v>
      </c>
      <c r="K98" s="141"/>
      <c r="L98" s="61">
        <f ca="1">TblPop[[#This Row],[Draftees]]</f>
        <v>584</v>
      </c>
      <c r="M98" s="61">
        <f ca="1">TblMili[[#This Row],[Unit 1]]</f>
        <v>0</v>
      </c>
      <c r="N98" s="61">
        <f ca="1">TblMili[[#This Row],[Unit 2]]</f>
        <v>0</v>
      </c>
      <c r="O98" s="61">
        <f ca="1">TblMili[[#This Row],[Unit 3]]</f>
        <v>0</v>
      </c>
      <c r="P98" s="61">
        <f ca="1">TblMili[[#This Row],[Unit 4]]</f>
        <v>0</v>
      </c>
      <c r="Q98" s="61">
        <f ca="1">TblMili[[#This Row],[Spies]]</f>
        <v>0</v>
      </c>
      <c r="R98" s="61">
        <f ca="1">TblMili[[#This Row],[Wizards]]</f>
        <v>0</v>
      </c>
      <c r="S98" s="61">
        <f ca="1">TblMili[[#This Row],[Archmages]]</f>
        <v>0</v>
      </c>
      <c r="T98" s="142"/>
      <c r="U98" s="94">
        <f ca="1">ROUND(TblPop[[#This Row],[Raw max]]*(1+OFFSET(TblPop[[#This Row],[Max pop]],-1,0)),0)+MIN(TblPop[[#This Row],[Military]]-TblPop[[#This Row],[Draftees]]-SUM(TblMili[[#This Row],[Train Unit 1]:[Train AM]]),(barracks_size + tech_8_3*TblTech[[#This Row],[8-3]])*TblConstr[[#This Row],[Tot Bar]])</f>
        <v>769</v>
      </c>
      <c r="V9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8" s="94">
        <f ca="1">MAX(-5%*TblPop[[#This Row],[Peasants]]-TblPop[[#This Row],[Draft Growth]],MIN(OFFSET(TblPop[[#This Row],[Net max]],1,0)-TblPop[[#This Row],[Peasants]]-TblPop[[#This Row],[Military]]-TblPop[[#This Row],[Draft Growth]],TblPop[[#This Row],[Modded Birth]]-TblPop[[#This Row],[Draft Growth]]))</f>
        <v>-2</v>
      </c>
      <c r="X98" s="94">
        <f ca="1">ROUND(TblPop[[#This Row],[Raw Birth]]*(1+TblPop[[#This Row],[Growth]]),0)</f>
        <v>5</v>
      </c>
      <c r="Y98" s="94">
        <f ca="1">(TblPop[[#This Row],[Peasants]]-TblPop[[#This Row],[Draft Growth]])*raw_pop_growth</f>
        <v>5.49</v>
      </c>
      <c r="Z98" s="94">
        <f ca="1">ROUND(IF(TblPop[[#This Row],[Military%]]&lt;TblMili[[#This Row],[Draftrate]],ROUND(TblPop[[#This Row],[Peasants]]*Constants!$B$55,0), 0) * IF(AND(TblMagic[[#This Row],[Active DnD]]&lt;=12,TblMagic[[#This Row],[Active DnD]]&gt;6),1.5,1),0)</f>
        <v>2</v>
      </c>
      <c r="AA98" s="142"/>
      <c r="AB98" s="143">
        <f ca="1">Overview!$I$17 + IF(Magic!AF98&gt;0,Constants!$F$78) + ROUND(6*(Construction!BM99+Construction!CK98)/IF(Explore!S99&gt;0,Construction!F99-20,Construction!F99),4) + tech_6_5_2*Techs!BJ98 + tech_8_4*Techs!BT98</f>
        <v>0</v>
      </c>
      <c r="AC98" s="139">
        <f ca="1">(Overview!$I$16 + Imps!Z98+ tech_2_5*Techs!AB98 + tech_3_6*Techs!AM98 + tech_6_1*Techs!BJ98 + tech_6_5*Techs!BF98 + tech_7_3_2*Techs!BN98) * (1 + Production!O98/100*prestige_pop_multiplier) + Production!O98/100*prestige_pop_multiplier</f>
        <v>2.5000000000000001E-2</v>
      </c>
    </row>
    <row r="99" spans="1:29" x14ac:dyDescent="0.2">
      <c r="A99" s="137">
        <f>TblRezone[[#This Row],[Hour]]</f>
        <v>96</v>
      </c>
      <c r="B99" s="138">
        <f ca="1">TblImps[[#This Row],[Time]]</f>
        <v>46323.958333333103</v>
      </c>
      <c r="C99" s="94">
        <f ca="1">OFFSET(TblPop[[#This Row],[Peasants]],-1,0)+OFFSET(TblPop[[#This Row],[Net Peasant]],-1,0)+TblMili[[#This Row],[Release Draft]]</f>
        <v>183</v>
      </c>
      <c r="D99" s="94">
        <f ca="1">TblMili[[#This Row],[Military]]</f>
        <v>586</v>
      </c>
      <c r="E99" s="94">
        <f ca="1">TblMili[[#This Row],[Draftees]]</f>
        <v>586</v>
      </c>
      <c r="F99" s="94">
        <f ca="1">TblPop[[#This Row],[Peasants]]+TblPop[[#This Row],[Military]]</f>
        <v>769</v>
      </c>
      <c r="G99" s="139">
        <f ca="1">TblPop[[#This Row],[Military]]/TblPop[[#This Row],[Total]]</f>
        <v>0.76202860858257482</v>
      </c>
      <c r="H99" s="140">
        <f ca="1">MIN(TblPop[[#This Row],[Peasants]],TblPop[[#This Row],[Jobs]])</f>
        <v>183</v>
      </c>
      <c r="I99" s="139">
        <f ca="1">MIN(OFFSET(TblPop[[#This Row],[Jobs]],1,0)/TblPop[[#This Row],[Peasants]],1)</f>
        <v>1</v>
      </c>
      <c r="J99" s="140">
        <f ca="1">SUM(TblConstr[[#This Row],[Tot Alc]:[Tot GT]],TblConstr[[#This Row],[Tot Shr]:[Tot Doc]],TblConstr[[#This Row],[Dest Alc]:[Dest GT]],TblConstr[[#This Row],[Dest Shr]:[Dest Doc]])*building_employment + TblConstr[[#This Row],[Tot Fac]]*bonus_jobs_facts</f>
        <v>1000</v>
      </c>
      <c r="K99" s="141"/>
      <c r="L99" s="61">
        <f ca="1">TblPop[[#This Row],[Draftees]]</f>
        <v>586</v>
      </c>
      <c r="M99" s="61">
        <f ca="1">TblMili[[#This Row],[Unit 1]]</f>
        <v>0</v>
      </c>
      <c r="N99" s="61">
        <f ca="1">TblMili[[#This Row],[Unit 2]]</f>
        <v>0</v>
      </c>
      <c r="O99" s="61">
        <f ca="1">TblMili[[#This Row],[Unit 3]]</f>
        <v>0</v>
      </c>
      <c r="P99" s="61">
        <f ca="1">TblMili[[#This Row],[Unit 4]]</f>
        <v>0</v>
      </c>
      <c r="Q99" s="61">
        <f ca="1">TblMili[[#This Row],[Spies]]</f>
        <v>0</v>
      </c>
      <c r="R99" s="61">
        <f ca="1">TblMili[[#This Row],[Wizards]]</f>
        <v>0</v>
      </c>
      <c r="S99" s="61">
        <f ca="1">TblMili[[#This Row],[Archmages]]</f>
        <v>0</v>
      </c>
      <c r="T99" s="142"/>
      <c r="U99" s="94">
        <f ca="1">ROUND(TblPop[[#This Row],[Raw max]]*(1+OFFSET(TblPop[[#This Row],[Max pop]],-1,0)),0)+MIN(TblPop[[#This Row],[Military]]-TblPop[[#This Row],[Draftees]]-SUM(TblMili[[#This Row],[Train Unit 1]:[Train AM]]),(barracks_size + tech_8_3*TblTech[[#This Row],[8-3]])*TblConstr[[#This Row],[Tot Bar]])</f>
        <v>769</v>
      </c>
      <c r="V9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9" s="94">
        <f ca="1">MAX(-5%*TblPop[[#This Row],[Peasants]]-TblPop[[#This Row],[Draft Growth]],MIN(OFFSET(TblPop[[#This Row],[Net max]],1,0)-TblPop[[#This Row],[Peasants]]-TblPop[[#This Row],[Military]]-TblPop[[#This Row],[Draft Growth]],TblPop[[#This Row],[Modded Birth]]-TblPop[[#This Row],[Draft Growth]]))</f>
        <v>-2</v>
      </c>
      <c r="X99" s="94">
        <f ca="1">ROUND(TblPop[[#This Row],[Raw Birth]]*(1+TblPop[[#This Row],[Growth]]),0)</f>
        <v>5</v>
      </c>
      <c r="Y99" s="94">
        <f ca="1">(TblPop[[#This Row],[Peasants]]-TblPop[[#This Row],[Draft Growth]])*raw_pop_growth</f>
        <v>5.43</v>
      </c>
      <c r="Z99" s="94">
        <f ca="1">ROUND(IF(TblPop[[#This Row],[Military%]]&lt;TblMili[[#This Row],[Draftrate]],ROUND(TblPop[[#This Row],[Peasants]]*Constants!$B$55,0), 0) * IF(AND(TblMagic[[#This Row],[Active DnD]]&lt;=12,TblMagic[[#This Row],[Active DnD]]&gt;6),1.5,1),0)</f>
        <v>2</v>
      </c>
      <c r="AA99" s="142"/>
      <c r="AB99" s="143">
        <f ca="1">Overview!$I$17 + IF(Magic!AF99&gt;0,Constants!$F$78) + ROUND(6*(Construction!BM100+Construction!CK99)/IF(Explore!S100&gt;0,Construction!F100-20,Construction!F100),4) + tech_6_5_2*Techs!BJ99 + tech_8_4*Techs!BT99</f>
        <v>0</v>
      </c>
      <c r="AC99" s="139">
        <f ca="1">(Overview!$I$16 + Imps!Z99+ tech_2_5*Techs!AB99 + tech_3_6*Techs!AM99 + tech_6_1*Techs!BJ99 + tech_6_5*Techs!BF99 + tech_7_3_2*Techs!BN99) * (1 + Production!O99/100*prestige_pop_multiplier) + Production!O99/100*prestige_pop_multiplier</f>
        <v>2.5000000000000001E-2</v>
      </c>
    </row>
    <row r="100" spans="1:29" x14ac:dyDescent="0.2">
      <c r="A100" s="137">
        <f>TblRezone[[#This Row],[Hour]]</f>
        <v>97</v>
      </c>
      <c r="B100" s="138">
        <f ca="1">TblImps[[#This Row],[Time]]</f>
        <v>46323.999999999767</v>
      </c>
      <c r="C100" s="94">
        <f ca="1">OFFSET(TblPop[[#This Row],[Peasants]],-1,0)+OFFSET(TblPop[[#This Row],[Net Peasant]],-1,0)+TblMili[[#This Row],[Release Draft]]</f>
        <v>181</v>
      </c>
      <c r="D100" s="94">
        <f ca="1">TblMili[[#This Row],[Military]]</f>
        <v>588</v>
      </c>
      <c r="E100" s="94">
        <f ca="1">TblMili[[#This Row],[Draftees]]</f>
        <v>588</v>
      </c>
      <c r="F100" s="94">
        <f ca="1">TblPop[[#This Row],[Peasants]]+TblPop[[#This Row],[Military]]</f>
        <v>769</v>
      </c>
      <c r="G100" s="139">
        <f ca="1">TblPop[[#This Row],[Military]]/TblPop[[#This Row],[Total]]</f>
        <v>0.76462938881664499</v>
      </c>
      <c r="H100" s="140">
        <f ca="1">MIN(TblPop[[#This Row],[Peasants]],TblPop[[#This Row],[Jobs]])</f>
        <v>181</v>
      </c>
      <c r="I100" s="139">
        <f ca="1">MIN(OFFSET(TblPop[[#This Row],[Jobs]],1,0)/TblPop[[#This Row],[Peasants]],1)</f>
        <v>1</v>
      </c>
      <c r="J100" s="140">
        <f ca="1">SUM(TblConstr[[#This Row],[Tot Alc]:[Tot GT]],TblConstr[[#This Row],[Tot Shr]:[Tot Doc]],TblConstr[[#This Row],[Dest Alc]:[Dest GT]],TblConstr[[#This Row],[Dest Shr]:[Dest Doc]])*building_employment + TblConstr[[#This Row],[Tot Fac]]*bonus_jobs_facts</f>
        <v>1000</v>
      </c>
      <c r="K100" s="141"/>
      <c r="L100" s="61">
        <f ca="1">TblPop[[#This Row],[Draftees]]</f>
        <v>588</v>
      </c>
      <c r="M100" s="61">
        <f ca="1">TblMili[[#This Row],[Unit 1]]</f>
        <v>0</v>
      </c>
      <c r="N100" s="61">
        <f ca="1">TblMili[[#This Row],[Unit 2]]</f>
        <v>0</v>
      </c>
      <c r="O100" s="61">
        <f ca="1">TblMili[[#This Row],[Unit 3]]</f>
        <v>0</v>
      </c>
      <c r="P100" s="61">
        <f ca="1">TblMili[[#This Row],[Unit 4]]</f>
        <v>0</v>
      </c>
      <c r="Q100" s="61">
        <f ca="1">TblMili[[#This Row],[Spies]]</f>
        <v>0</v>
      </c>
      <c r="R100" s="61">
        <f ca="1">TblMili[[#This Row],[Wizards]]</f>
        <v>0</v>
      </c>
      <c r="S100" s="61">
        <f ca="1">TblMili[[#This Row],[Archmages]]</f>
        <v>0</v>
      </c>
      <c r="T100" s="142"/>
      <c r="U100" s="94">
        <f ca="1">ROUND(TblPop[[#This Row],[Raw max]]*(1+OFFSET(TblPop[[#This Row],[Max pop]],-1,0)),0)+MIN(TblPop[[#This Row],[Military]]-TblPop[[#This Row],[Draftees]]-SUM(TblMili[[#This Row],[Train Unit 1]:[Train AM]]),(barracks_size + tech_8_3*TblTech[[#This Row],[8-3]])*TblConstr[[#This Row],[Tot Bar]])</f>
        <v>769</v>
      </c>
      <c r="V10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0" s="94">
        <f ca="1">MAX(-5%*TblPop[[#This Row],[Peasants]]-TblPop[[#This Row],[Draft Growth]],MIN(OFFSET(TblPop[[#This Row],[Net max]],1,0)-TblPop[[#This Row],[Peasants]]-TblPop[[#This Row],[Military]]-TblPop[[#This Row],[Draft Growth]],TblPop[[#This Row],[Modded Birth]]-TblPop[[#This Row],[Draft Growth]]))</f>
        <v>-2</v>
      </c>
      <c r="X100" s="94">
        <f ca="1">ROUND(TblPop[[#This Row],[Raw Birth]]*(1+TblPop[[#This Row],[Growth]]),0)</f>
        <v>5</v>
      </c>
      <c r="Y100" s="94">
        <f ca="1">(TblPop[[#This Row],[Peasants]]-TblPop[[#This Row],[Draft Growth]])*raw_pop_growth</f>
        <v>5.37</v>
      </c>
      <c r="Z100" s="94">
        <f ca="1">ROUND(IF(TblPop[[#This Row],[Military%]]&lt;TblMili[[#This Row],[Draftrate]],ROUND(TblPop[[#This Row],[Peasants]]*Constants!$B$55,0), 0) * IF(AND(TblMagic[[#This Row],[Active DnD]]&lt;=12,TblMagic[[#This Row],[Active DnD]]&gt;6),1.5,1),0)</f>
        <v>2</v>
      </c>
      <c r="AA100" s="142"/>
      <c r="AB100" s="143">
        <f ca="1">Overview!$I$17 + IF(Magic!AF100&gt;0,Constants!$F$78) + ROUND(6*(Construction!BM101+Construction!CK100)/IF(Explore!S101&gt;0,Construction!F101-20,Construction!F101),4) + tech_6_5_2*Techs!BJ100 + tech_8_4*Techs!BT100</f>
        <v>0</v>
      </c>
      <c r="AC100" s="139">
        <f ca="1">(Overview!$I$16 + Imps!Z100+ tech_2_5*Techs!AB100 + tech_3_6*Techs!AM100 + tech_6_1*Techs!BJ100 + tech_6_5*Techs!BF100 + tech_7_3_2*Techs!BN100) * (1 + Production!O100/100*prestige_pop_multiplier) + Production!O100/100*prestige_pop_multiplier</f>
        <v>2.5000000000000001E-2</v>
      </c>
    </row>
    <row r="101" spans="1:29" x14ac:dyDescent="0.2">
      <c r="A101" s="137">
        <f>TblRezone[[#This Row],[Hour]]</f>
        <v>98</v>
      </c>
      <c r="B101" s="138">
        <f ca="1">TblImps[[#This Row],[Time]]</f>
        <v>46324.041666666431</v>
      </c>
      <c r="C101" s="94">
        <f ca="1">OFFSET(TblPop[[#This Row],[Peasants]],-1,0)+OFFSET(TblPop[[#This Row],[Net Peasant]],-1,0)+TblMili[[#This Row],[Release Draft]]</f>
        <v>179</v>
      </c>
      <c r="D101" s="94">
        <f ca="1">TblMili[[#This Row],[Military]]</f>
        <v>590</v>
      </c>
      <c r="E101" s="94">
        <f ca="1">TblMili[[#This Row],[Draftees]]</f>
        <v>590</v>
      </c>
      <c r="F101" s="94">
        <f ca="1">TblPop[[#This Row],[Peasants]]+TblPop[[#This Row],[Military]]</f>
        <v>769</v>
      </c>
      <c r="G101" s="139">
        <f ca="1">TblPop[[#This Row],[Military]]/TblPop[[#This Row],[Total]]</f>
        <v>0.76723016905071517</v>
      </c>
      <c r="H101" s="140">
        <f ca="1">MIN(TblPop[[#This Row],[Peasants]],TblPop[[#This Row],[Jobs]])</f>
        <v>179</v>
      </c>
      <c r="I101" s="139">
        <f ca="1">MIN(OFFSET(TblPop[[#This Row],[Jobs]],1,0)/TblPop[[#This Row],[Peasants]],1)</f>
        <v>1</v>
      </c>
      <c r="J101" s="140">
        <f ca="1">SUM(TblConstr[[#This Row],[Tot Alc]:[Tot GT]],TblConstr[[#This Row],[Tot Shr]:[Tot Doc]],TblConstr[[#This Row],[Dest Alc]:[Dest GT]],TblConstr[[#This Row],[Dest Shr]:[Dest Doc]])*building_employment + TblConstr[[#This Row],[Tot Fac]]*bonus_jobs_facts</f>
        <v>1000</v>
      </c>
      <c r="K101" s="141"/>
      <c r="L101" s="61">
        <f ca="1">TblPop[[#This Row],[Draftees]]</f>
        <v>590</v>
      </c>
      <c r="M101" s="61">
        <f ca="1">TblMili[[#This Row],[Unit 1]]</f>
        <v>0</v>
      </c>
      <c r="N101" s="61">
        <f ca="1">TblMili[[#This Row],[Unit 2]]</f>
        <v>0</v>
      </c>
      <c r="O101" s="61">
        <f ca="1">TblMili[[#This Row],[Unit 3]]</f>
        <v>0</v>
      </c>
      <c r="P101" s="61">
        <f ca="1">TblMili[[#This Row],[Unit 4]]</f>
        <v>0</v>
      </c>
      <c r="Q101" s="61">
        <f ca="1">TblMili[[#This Row],[Spies]]</f>
        <v>0</v>
      </c>
      <c r="R101" s="61">
        <f ca="1">TblMili[[#This Row],[Wizards]]</f>
        <v>0</v>
      </c>
      <c r="S101" s="61">
        <f ca="1">TblMili[[#This Row],[Archmages]]</f>
        <v>0</v>
      </c>
      <c r="T101" s="142"/>
      <c r="U101" s="94">
        <f ca="1">ROUND(TblPop[[#This Row],[Raw max]]*(1+OFFSET(TblPop[[#This Row],[Max pop]],-1,0)),0)+MIN(TblPop[[#This Row],[Military]]-TblPop[[#This Row],[Draftees]]-SUM(TblMili[[#This Row],[Train Unit 1]:[Train AM]]),(barracks_size + tech_8_3*TblTech[[#This Row],[8-3]])*TblConstr[[#This Row],[Tot Bar]])</f>
        <v>769</v>
      </c>
      <c r="V10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1" s="94">
        <f ca="1">MAX(-5%*TblPop[[#This Row],[Peasants]]-TblPop[[#This Row],[Draft Growth]],MIN(OFFSET(TblPop[[#This Row],[Net max]],1,0)-TblPop[[#This Row],[Peasants]]-TblPop[[#This Row],[Military]]-TblPop[[#This Row],[Draft Growth]],TblPop[[#This Row],[Modded Birth]]-TblPop[[#This Row],[Draft Growth]]))</f>
        <v>-2</v>
      </c>
      <c r="X101" s="94">
        <f ca="1">ROUND(TblPop[[#This Row],[Raw Birth]]*(1+TblPop[[#This Row],[Growth]]),0)</f>
        <v>5</v>
      </c>
      <c r="Y101" s="94">
        <f ca="1">(TblPop[[#This Row],[Peasants]]-TblPop[[#This Row],[Draft Growth]])*raw_pop_growth</f>
        <v>5.31</v>
      </c>
      <c r="Z101" s="94">
        <f ca="1">ROUND(IF(TblPop[[#This Row],[Military%]]&lt;TblMili[[#This Row],[Draftrate]],ROUND(TblPop[[#This Row],[Peasants]]*Constants!$B$55,0), 0) * IF(AND(TblMagic[[#This Row],[Active DnD]]&lt;=12,TblMagic[[#This Row],[Active DnD]]&gt;6),1.5,1),0)</f>
        <v>2</v>
      </c>
      <c r="AA101" s="142"/>
      <c r="AB101" s="143">
        <f ca="1">Overview!$I$17 + IF(Magic!AF101&gt;0,Constants!$F$78) + ROUND(6*(Construction!BM102+Construction!CK101)/IF(Explore!S102&gt;0,Construction!F102-20,Construction!F102),4) + tech_6_5_2*Techs!BJ101 + tech_8_4*Techs!BT101</f>
        <v>0</v>
      </c>
      <c r="AC101" s="139">
        <f ca="1">(Overview!$I$16 + Imps!Z101+ tech_2_5*Techs!AB101 + tech_3_6*Techs!AM101 + tech_6_1*Techs!BJ101 + tech_6_5*Techs!BF101 + tech_7_3_2*Techs!BN101) * (1 + Production!O101/100*prestige_pop_multiplier) + Production!O101/100*prestige_pop_multiplier</f>
        <v>2.5000000000000001E-2</v>
      </c>
    </row>
    <row r="102" spans="1:29" x14ac:dyDescent="0.2">
      <c r="A102" s="137">
        <f>TblRezone[[#This Row],[Hour]]</f>
        <v>99</v>
      </c>
      <c r="B102" s="138">
        <f ca="1">TblImps[[#This Row],[Time]]</f>
        <v>46324.083333333096</v>
      </c>
      <c r="C102" s="94">
        <f ca="1">OFFSET(TblPop[[#This Row],[Peasants]],-1,0)+OFFSET(TblPop[[#This Row],[Net Peasant]],-1,0)+TblMili[[#This Row],[Release Draft]]</f>
        <v>177</v>
      </c>
      <c r="D102" s="94">
        <f ca="1">TblMili[[#This Row],[Military]]</f>
        <v>592</v>
      </c>
      <c r="E102" s="94">
        <f ca="1">TblMili[[#This Row],[Draftees]]</f>
        <v>592</v>
      </c>
      <c r="F102" s="94">
        <f ca="1">TblPop[[#This Row],[Peasants]]+TblPop[[#This Row],[Military]]</f>
        <v>769</v>
      </c>
      <c r="G102" s="139">
        <f ca="1">TblPop[[#This Row],[Military]]/TblPop[[#This Row],[Total]]</f>
        <v>0.76983094928478546</v>
      </c>
      <c r="H102" s="140">
        <f ca="1">MIN(TblPop[[#This Row],[Peasants]],TblPop[[#This Row],[Jobs]])</f>
        <v>177</v>
      </c>
      <c r="I102" s="139">
        <f ca="1">MIN(OFFSET(TblPop[[#This Row],[Jobs]],1,0)/TblPop[[#This Row],[Peasants]],1)</f>
        <v>1</v>
      </c>
      <c r="J102" s="140">
        <f ca="1">SUM(TblConstr[[#This Row],[Tot Alc]:[Tot GT]],TblConstr[[#This Row],[Tot Shr]:[Tot Doc]],TblConstr[[#This Row],[Dest Alc]:[Dest GT]],TblConstr[[#This Row],[Dest Shr]:[Dest Doc]])*building_employment + TblConstr[[#This Row],[Tot Fac]]*bonus_jobs_facts</f>
        <v>1000</v>
      </c>
      <c r="K102" s="141"/>
      <c r="L102" s="61">
        <f ca="1">TblPop[[#This Row],[Draftees]]</f>
        <v>592</v>
      </c>
      <c r="M102" s="61">
        <f ca="1">TblMili[[#This Row],[Unit 1]]</f>
        <v>0</v>
      </c>
      <c r="N102" s="61">
        <f ca="1">TblMili[[#This Row],[Unit 2]]</f>
        <v>0</v>
      </c>
      <c r="O102" s="61">
        <f ca="1">TblMili[[#This Row],[Unit 3]]</f>
        <v>0</v>
      </c>
      <c r="P102" s="61">
        <f ca="1">TblMili[[#This Row],[Unit 4]]</f>
        <v>0</v>
      </c>
      <c r="Q102" s="61">
        <f ca="1">TblMili[[#This Row],[Spies]]</f>
        <v>0</v>
      </c>
      <c r="R102" s="61">
        <f ca="1">TblMili[[#This Row],[Wizards]]</f>
        <v>0</v>
      </c>
      <c r="S102" s="61">
        <f ca="1">TblMili[[#This Row],[Archmages]]</f>
        <v>0</v>
      </c>
      <c r="T102" s="142"/>
      <c r="U102" s="94">
        <f ca="1">ROUND(TblPop[[#This Row],[Raw max]]*(1+OFFSET(TblPop[[#This Row],[Max pop]],-1,0)),0)+MIN(TblPop[[#This Row],[Military]]-TblPop[[#This Row],[Draftees]]-SUM(TblMili[[#This Row],[Train Unit 1]:[Train AM]]),(barracks_size + tech_8_3*TblTech[[#This Row],[8-3]])*TblConstr[[#This Row],[Tot Bar]])</f>
        <v>769</v>
      </c>
      <c r="V10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2" s="94">
        <f ca="1">MAX(-5%*TblPop[[#This Row],[Peasants]]-TblPop[[#This Row],[Draft Growth]],MIN(OFFSET(TblPop[[#This Row],[Net max]],1,0)-TblPop[[#This Row],[Peasants]]-TblPop[[#This Row],[Military]]-TblPop[[#This Row],[Draft Growth]],TblPop[[#This Row],[Modded Birth]]-TblPop[[#This Row],[Draft Growth]]))</f>
        <v>-2</v>
      </c>
      <c r="X102" s="94">
        <f ca="1">ROUND(TblPop[[#This Row],[Raw Birth]]*(1+TblPop[[#This Row],[Growth]]),0)</f>
        <v>5</v>
      </c>
      <c r="Y102" s="94">
        <f ca="1">(TblPop[[#This Row],[Peasants]]-TblPop[[#This Row],[Draft Growth]])*raw_pop_growth</f>
        <v>5.25</v>
      </c>
      <c r="Z102" s="94">
        <f ca="1">ROUND(IF(TblPop[[#This Row],[Military%]]&lt;TblMili[[#This Row],[Draftrate]],ROUND(TblPop[[#This Row],[Peasants]]*Constants!$B$55,0), 0) * IF(AND(TblMagic[[#This Row],[Active DnD]]&lt;=12,TblMagic[[#This Row],[Active DnD]]&gt;6),1.5,1),0)</f>
        <v>2</v>
      </c>
      <c r="AA102" s="142"/>
      <c r="AB102" s="143">
        <f ca="1">Overview!$I$17 + IF(Magic!AF102&gt;0,Constants!$F$78) + ROUND(6*(Construction!BM103+Construction!CK102)/IF(Explore!S103&gt;0,Construction!F103-20,Construction!F103),4) + tech_6_5_2*Techs!BJ102 + tech_8_4*Techs!BT102</f>
        <v>0</v>
      </c>
      <c r="AC102" s="139">
        <f ca="1">(Overview!$I$16 + Imps!Z102+ tech_2_5*Techs!AB102 + tech_3_6*Techs!AM102 + tech_6_1*Techs!BJ102 + tech_6_5*Techs!BF102 + tech_7_3_2*Techs!BN102) * (1 + Production!O102/100*prestige_pop_multiplier) + Production!O102/100*prestige_pop_multiplier</f>
        <v>2.5000000000000001E-2</v>
      </c>
    </row>
    <row r="103" spans="1:29" x14ac:dyDescent="0.2">
      <c r="A103" s="137">
        <f>TblRezone[[#This Row],[Hour]]</f>
        <v>100</v>
      </c>
      <c r="B103" s="138">
        <f ca="1">TblImps[[#This Row],[Time]]</f>
        <v>46324.12499999976</v>
      </c>
      <c r="C103" s="94">
        <f ca="1">OFFSET(TblPop[[#This Row],[Peasants]],-1,0)+OFFSET(TblPop[[#This Row],[Net Peasant]],-1,0)+TblMili[[#This Row],[Release Draft]]</f>
        <v>175</v>
      </c>
      <c r="D103" s="94">
        <f ca="1">TblMili[[#This Row],[Military]]</f>
        <v>594</v>
      </c>
      <c r="E103" s="94">
        <f ca="1">TblMili[[#This Row],[Draftees]]</f>
        <v>594</v>
      </c>
      <c r="F103" s="94">
        <f ca="1">TblPop[[#This Row],[Peasants]]+TblPop[[#This Row],[Military]]</f>
        <v>769</v>
      </c>
      <c r="G103" s="139">
        <f ca="1">TblPop[[#This Row],[Military]]/TblPop[[#This Row],[Total]]</f>
        <v>0.77243172951885564</v>
      </c>
      <c r="H103" s="140">
        <f ca="1">MIN(TblPop[[#This Row],[Peasants]],TblPop[[#This Row],[Jobs]])</f>
        <v>175</v>
      </c>
      <c r="I103" s="139">
        <f ca="1">MIN(OFFSET(TblPop[[#This Row],[Jobs]],1,0)/TblPop[[#This Row],[Peasants]],1)</f>
        <v>1</v>
      </c>
      <c r="J103" s="140">
        <f ca="1">SUM(TblConstr[[#This Row],[Tot Alc]:[Tot GT]],TblConstr[[#This Row],[Tot Shr]:[Tot Doc]],TblConstr[[#This Row],[Dest Alc]:[Dest GT]],TblConstr[[#This Row],[Dest Shr]:[Dest Doc]])*building_employment + TblConstr[[#This Row],[Tot Fac]]*bonus_jobs_facts</f>
        <v>1000</v>
      </c>
      <c r="K103" s="141"/>
      <c r="L103" s="61">
        <f ca="1">TblPop[[#This Row],[Draftees]]</f>
        <v>594</v>
      </c>
      <c r="M103" s="61">
        <f ca="1">TblMili[[#This Row],[Unit 1]]</f>
        <v>0</v>
      </c>
      <c r="N103" s="61">
        <f ca="1">TblMili[[#This Row],[Unit 2]]</f>
        <v>0</v>
      </c>
      <c r="O103" s="61">
        <f ca="1">TblMili[[#This Row],[Unit 3]]</f>
        <v>0</v>
      </c>
      <c r="P103" s="61">
        <f ca="1">TblMili[[#This Row],[Unit 4]]</f>
        <v>0</v>
      </c>
      <c r="Q103" s="61">
        <f ca="1">TblMili[[#This Row],[Spies]]</f>
        <v>0</v>
      </c>
      <c r="R103" s="61">
        <f ca="1">TblMili[[#This Row],[Wizards]]</f>
        <v>0</v>
      </c>
      <c r="S103" s="61">
        <f ca="1">TblMili[[#This Row],[Archmages]]</f>
        <v>0</v>
      </c>
      <c r="T103" s="142"/>
      <c r="U103" s="94">
        <f ca="1">ROUND(TblPop[[#This Row],[Raw max]]*(1+OFFSET(TblPop[[#This Row],[Max pop]],-1,0)),0)+MIN(TblPop[[#This Row],[Military]]-TblPop[[#This Row],[Draftees]]-SUM(TblMili[[#This Row],[Train Unit 1]:[Train AM]]),(barracks_size + tech_8_3*TblTech[[#This Row],[8-3]])*TblConstr[[#This Row],[Tot Bar]])</f>
        <v>769</v>
      </c>
      <c r="V10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3" s="94">
        <f ca="1">MAX(-5%*TblPop[[#This Row],[Peasants]]-TblPop[[#This Row],[Draft Growth]],MIN(OFFSET(TblPop[[#This Row],[Net max]],1,0)-TblPop[[#This Row],[Peasants]]-TblPop[[#This Row],[Military]]-TblPop[[#This Row],[Draft Growth]],TblPop[[#This Row],[Modded Birth]]-TblPop[[#This Row],[Draft Growth]]))</f>
        <v>-2</v>
      </c>
      <c r="X103" s="94">
        <f ca="1">ROUND(TblPop[[#This Row],[Raw Birth]]*(1+TblPop[[#This Row],[Growth]]),0)</f>
        <v>5</v>
      </c>
      <c r="Y103" s="94">
        <f ca="1">(TblPop[[#This Row],[Peasants]]-TblPop[[#This Row],[Draft Growth]])*raw_pop_growth</f>
        <v>5.1899999999999995</v>
      </c>
      <c r="Z103" s="94">
        <f ca="1">ROUND(IF(TblPop[[#This Row],[Military%]]&lt;TblMili[[#This Row],[Draftrate]],ROUND(TblPop[[#This Row],[Peasants]]*Constants!$B$55,0), 0) * IF(AND(TblMagic[[#This Row],[Active DnD]]&lt;=12,TblMagic[[#This Row],[Active DnD]]&gt;6),1.5,1),0)</f>
        <v>2</v>
      </c>
      <c r="AA103" s="142"/>
      <c r="AB103" s="143">
        <f ca="1">Overview!$I$17 + IF(Magic!AF103&gt;0,Constants!$F$78) + ROUND(6*(Construction!BM104+Construction!CK103)/IF(Explore!S104&gt;0,Construction!F104-20,Construction!F104),4) + tech_6_5_2*Techs!BJ103 + tech_8_4*Techs!BT103</f>
        <v>0</v>
      </c>
      <c r="AC103" s="139">
        <f ca="1">(Overview!$I$16 + Imps!Z103+ tech_2_5*Techs!AB103 + tech_3_6*Techs!AM103 + tech_6_1*Techs!BJ103 + tech_6_5*Techs!BF103 + tech_7_3_2*Techs!BN103) * (1 + Production!O103/100*prestige_pop_multiplier) + Production!O103/100*prestige_pop_multiplier</f>
        <v>2.5000000000000001E-2</v>
      </c>
    </row>
    <row r="104" spans="1:29" x14ac:dyDescent="0.2">
      <c r="A104" s="137">
        <f>TblRezone[[#This Row],[Hour]]</f>
        <v>101</v>
      </c>
      <c r="B104" s="138">
        <f ca="1">TblImps[[#This Row],[Time]]</f>
        <v>46324.166666666424</v>
      </c>
      <c r="C104" s="94">
        <f ca="1">OFFSET(TblPop[[#This Row],[Peasants]],-1,0)+OFFSET(TblPop[[#This Row],[Net Peasant]],-1,0)+TblMili[[#This Row],[Release Draft]]</f>
        <v>173</v>
      </c>
      <c r="D104" s="94">
        <f ca="1">TblMili[[#This Row],[Military]]</f>
        <v>596</v>
      </c>
      <c r="E104" s="94">
        <f ca="1">TblMili[[#This Row],[Draftees]]</f>
        <v>596</v>
      </c>
      <c r="F104" s="94">
        <f ca="1">TblPop[[#This Row],[Peasants]]+TblPop[[#This Row],[Military]]</f>
        <v>769</v>
      </c>
      <c r="G104" s="139">
        <f ca="1">TblPop[[#This Row],[Military]]/TblPop[[#This Row],[Total]]</f>
        <v>0.77503250975292592</v>
      </c>
      <c r="H104" s="140">
        <f ca="1">MIN(TblPop[[#This Row],[Peasants]],TblPop[[#This Row],[Jobs]])</f>
        <v>173</v>
      </c>
      <c r="I104" s="139">
        <f ca="1">MIN(OFFSET(TblPop[[#This Row],[Jobs]],1,0)/TblPop[[#This Row],[Peasants]],1)</f>
        <v>1</v>
      </c>
      <c r="J104" s="140">
        <f ca="1">SUM(TblConstr[[#This Row],[Tot Alc]:[Tot GT]],TblConstr[[#This Row],[Tot Shr]:[Tot Doc]],TblConstr[[#This Row],[Dest Alc]:[Dest GT]],TblConstr[[#This Row],[Dest Shr]:[Dest Doc]])*building_employment + TblConstr[[#This Row],[Tot Fac]]*bonus_jobs_facts</f>
        <v>1000</v>
      </c>
      <c r="K104" s="141"/>
      <c r="L104" s="61">
        <f ca="1">TblPop[[#This Row],[Draftees]]</f>
        <v>596</v>
      </c>
      <c r="M104" s="61">
        <f ca="1">TblMili[[#This Row],[Unit 1]]</f>
        <v>0</v>
      </c>
      <c r="N104" s="61">
        <f ca="1">TblMili[[#This Row],[Unit 2]]</f>
        <v>0</v>
      </c>
      <c r="O104" s="61">
        <f ca="1">TblMili[[#This Row],[Unit 3]]</f>
        <v>0</v>
      </c>
      <c r="P104" s="61">
        <f ca="1">TblMili[[#This Row],[Unit 4]]</f>
        <v>0</v>
      </c>
      <c r="Q104" s="61">
        <f ca="1">TblMili[[#This Row],[Spies]]</f>
        <v>0</v>
      </c>
      <c r="R104" s="61">
        <f ca="1">TblMili[[#This Row],[Wizards]]</f>
        <v>0</v>
      </c>
      <c r="S104" s="61">
        <f ca="1">TblMili[[#This Row],[Archmages]]</f>
        <v>0</v>
      </c>
      <c r="T104" s="142"/>
      <c r="U104" s="94">
        <f ca="1">ROUND(TblPop[[#This Row],[Raw max]]*(1+OFFSET(TblPop[[#This Row],[Max pop]],-1,0)),0)+MIN(TblPop[[#This Row],[Military]]-TblPop[[#This Row],[Draftees]]-SUM(TblMili[[#This Row],[Train Unit 1]:[Train AM]]),(barracks_size + tech_8_3*TblTech[[#This Row],[8-3]])*TblConstr[[#This Row],[Tot Bar]])</f>
        <v>769</v>
      </c>
      <c r="V10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4" s="94">
        <f ca="1">MAX(-5%*TblPop[[#This Row],[Peasants]]-TblPop[[#This Row],[Draft Growth]],MIN(OFFSET(TblPop[[#This Row],[Net max]],1,0)-TblPop[[#This Row],[Peasants]]-TblPop[[#This Row],[Military]]-TblPop[[#This Row],[Draft Growth]],TblPop[[#This Row],[Modded Birth]]-TblPop[[#This Row],[Draft Growth]]))</f>
        <v>-2</v>
      </c>
      <c r="X104" s="94">
        <f ca="1">ROUND(TblPop[[#This Row],[Raw Birth]]*(1+TblPop[[#This Row],[Growth]]),0)</f>
        <v>5</v>
      </c>
      <c r="Y104" s="94">
        <f ca="1">(TblPop[[#This Row],[Peasants]]-TblPop[[#This Row],[Draft Growth]])*raw_pop_growth</f>
        <v>5.13</v>
      </c>
      <c r="Z104" s="94">
        <f ca="1">ROUND(IF(TblPop[[#This Row],[Military%]]&lt;TblMili[[#This Row],[Draftrate]],ROUND(TblPop[[#This Row],[Peasants]]*Constants!$B$55,0), 0) * IF(AND(TblMagic[[#This Row],[Active DnD]]&lt;=12,TblMagic[[#This Row],[Active DnD]]&gt;6),1.5,1),0)</f>
        <v>2</v>
      </c>
      <c r="AA104" s="142"/>
      <c r="AB104" s="143">
        <f ca="1">Overview!$I$17 + IF(Magic!AF104&gt;0,Constants!$F$78) + ROUND(6*(Construction!BM105+Construction!CK104)/IF(Explore!S105&gt;0,Construction!F105-20,Construction!F105),4) + tech_6_5_2*Techs!BJ104 + tech_8_4*Techs!BT104</f>
        <v>0</v>
      </c>
      <c r="AC104" s="139">
        <f ca="1">(Overview!$I$16 + Imps!Z104+ tech_2_5*Techs!AB104 + tech_3_6*Techs!AM104 + tech_6_1*Techs!BJ104 + tech_6_5*Techs!BF104 + tech_7_3_2*Techs!BN104) * (1 + Production!O104/100*prestige_pop_multiplier) + Production!O104/100*prestige_pop_multiplier</f>
        <v>2.5000000000000001E-2</v>
      </c>
    </row>
    <row r="105" spans="1:29" x14ac:dyDescent="0.2">
      <c r="A105" s="137">
        <f>TblRezone[[#This Row],[Hour]]</f>
        <v>102</v>
      </c>
      <c r="B105" s="138">
        <f ca="1">TblImps[[#This Row],[Time]]</f>
        <v>46324.208333333088</v>
      </c>
      <c r="C105" s="94">
        <f ca="1">OFFSET(TblPop[[#This Row],[Peasants]],-1,0)+OFFSET(TblPop[[#This Row],[Net Peasant]],-1,0)+TblMili[[#This Row],[Release Draft]]</f>
        <v>171</v>
      </c>
      <c r="D105" s="94">
        <f ca="1">TblMili[[#This Row],[Military]]</f>
        <v>598</v>
      </c>
      <c r="E105" s="94">
        <f ca="1">TblMili[[#This Row],[Draftees]]</f>
        <v>598</v>
      </c>
      <c r="F105" s="94">
        <f ca="1">TblPop[[#This Row],[Peasants]]+TblPop[[#This Row],[Military]]</f>
        <v>769</v>
      </c>
      <c r="G105" s="139">
        <f ca="1">TblPop[[#This Row],[Military]]/TblPop[[#This Row],[Total]]</f>
        <v>0.7776332899869961</v>
      </c>
      <c r="H105" s="140">
        <f ca="1">MIN(TblPop[[#This Row],[Peasants]],TblPop[[#This Row],[Jobs]])</f>
        <v>171</v>
      </c>
      <c r="I105" s="139">
        <f ca="1">MIN(OFFSET(TblPop[[#This Row],[Jobs]],1,0)/TblPop[[#This Row],[Peasants]],1)</f>
        <v>1</v>
      </c>
      <c r="J105" s="140">
        <f ca="1">SUM(TblConstr[[#This Row],[Tot Alc]:[Tot GT]],TblConstr[[#This Row],[Tot Shr]:[Tot Doc]],TblConstr[[#This Row],[Dest Alc]:[Dest GT]],TblConstr[[#This Row],[Dest Shr]:[Dest Doc]])*building_employment + TblConstr[[#This Row],[Tot Fac]]*bonus_jobs_facts</f>
        <v>1000</v>
      </c>
      <c r="K105" s="141"/>
      <c r="L105" s="61">
        <f ca="1">TblPop[[#This Row],[Draftees]]</f>
        <v>598</v>
      </c>
      <c r="M105" s="61">
        <f ca="1">TblMili[[#This Row],[Unit 1]]</f>
        <v>0</v>
      </c>
      <c r="N105" s="61">
        <f ca="1">TblMili[[#This Row],[Unit 2]]</f>
        <v>0</v>
      </c>
      <c r="O105" s="61">
        <f ca="1">TblMili[[#This Row],[Unit 3]]</f>
        <v>0</v>
      </c>
      <c r="P105" s="61">
        <f ca="1">TblMili[[#This Row],[Unit 4]]</f>
        <v>0</v>
      </c>
      <c r="Q105" s="61">
        <f ca="1">TblMili[[#This Row],[Spies]]</f>
        <v>0</v>
      </c>
      <c r="R105" s="61">
        <f ca="1">TblMili[[#This Row],[Wizards]]</f>
        <v>0</v>
      </c>
      <c r="S105" s="61">
        <f ca="1">TblMili[[#This Row],[Archmages]]</f>
        <v>0</v>
      </c>
      <c r="T105" s="142"/>
      <c r="U105" s="94">
        <f ca="1">ROUND(TblPop[[#This Row],[Raw max]]*(1+OFFSET(TblPop[[#This Row],[Max pop]],-1,0)),0)+MIN(TblPop[[#This Row],[Military]]-TblPop[[#This Row],[Draftees]]-SUM(TblMili[[#This Row],[Train Unit 1]:[Train AM]]),(barracks_size + tech_8_3*TblTech[[#This Row],[8-3]])*TblConstr[[#This Row],[Tot Bar]])</f>
        <v>769</v>
      </c>
      <c r="V10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5" s="94">
        <f ca="1">MAX(-5%*TblPop[[#This Row],[Peasants]]-TblPop[[#This Row],[Draft Growth]],MIN(OFFSET(TblPop[[#This Row],[Net max]],1,0)-TblPop[[#This Row],[Peasants]]-TblPop[[#This Row],[Military]]-TblPop[[#This Row],[Draft Growth]],TblPop[[#This Row],[Modded Birth]]-TblPop[[#This Row],[Draft Growth]]))</f>
        <v>-2</v>
      </c>
      <c r="X105" s="94">
        <f ca="1">ROUND(TblPop[[#This Row],[Raw Birth]]*(1+TblPop[[#This Row],[Growth]]),0)</f>
        <v>5</v>
      </c>
      <c r="Y105" s="94">
        <f ca="1">(TblPop[[#This Row],[Peasants]]-TblPop[[#This Row],[Draft Growth]])*raw_pop_growth</f>
        <v>5.0699999999999994</v>
      </c>
      <c r="Z105" s="94">
        <f ca="1">ROUND(IF(TblPop[[#This Row],[Military%]]&lt;TblMili[[#This Row],[Draftrate]],ROUND(TblPop[[#This Row],[Peasants]]*Constants!$B$55,0), 0) * IF(AND(TblMagic[[#This Row],[Active DnD]]&lt;=12,TblMagic[[#This Row],[Active DnD]]&gt;6),1.5,1),0)</f>
        <v>2</v>
      </c>
      <c r="AA105" s="142"/>
      <c r="AB105" s="143">
        <f ca="1">Overview!$I$17 + IF(Magic!AF105&gt;0,Constants!$F$78) + ROUND(6*(Construction!BM106+Construction!CK105)/IF(Explore!S106&gt;0,Construction!F106-20,Construction!F106),4) + tech_6_5_2*Techs!BJ105 + tech_8_4*Techs!BT105</f>
        <v>0</v>
      </c>
      <c r="AC105" s="139">
        <f ca="1">(Overview!$I$16 + Imps!Z105+ tech_2_5*Techs!AB105 + tech_3_6*Techs!AM105 + tech_6_1*Techs!BJ105 + tech_6_5*Techs!BF105 + tech_7_3_2*Techs!BN105) * (1 + Production!O105/100*prestige_pop_multiplier) + Production!O105/100*prestige_pop_multiplier</f>
        <v>2.5000000000000001E-2</v>
      </c>
    </row>
    <row r="106" spans="1:29" x14ac:dyDescent="0.2">
      <c r="A106" s="137">
        <f>TblRezone[[#This Row],[Hour]]</f>
        <v>103</v>
      </c>
      <c r="B106" s="138">
        <f ca="1">TblImps[[#This Row],[Time]]</f>
        <v>46324.249999999753</v>
      </c>
      <c r="C106" s="94">
        <f ca="1">OFFSET(TblPop[[#This Row],[Peasants]],-1,0)+OFFSET(TblPop[[#This Row],[Net Peasant]],-1,0)+TblMili[[#This Row],[Release Draft]]</f>
        <v>169</v>
      </c>
      <c r="D106" s="94">
        <f ca="1">TblMili[[#This Row],[Military]]</f>
        <v>600</v>
      </c>
      <c r="E106" s="94">
        <f ca="1">TblMili[[#This Row],[Draftees]]</f>
        <v>600</v>
      </c>
      <c r="F106" s="94">
        <f ca="1">TblPop[[#This Row],[Peasants]]+TblPop[[#This Row],[Military]]</f>
        <v>769</v>
      </c>
      <c r="G106" s="139">
        <f ca="1">TblPop[[#This Row],[Military]]/TblPop[[#This Row],[Total]]</f>
        <v>0.78023407022106628</v>
      </c>
      <c r="H106" s="140">
        <f ca="1">MIN(TblPop[[#This Row],[Peasants]],TblPop[[#This Row],[Jobs]])</f>
        <v>169</v>
      </c>
      <c r="I106" s="139">
        <f ca="1">MIN(OFFSET(TblPop[[#This Row],[Jobs]],1,0)/TblPop[[#This Row],[Peasants]],1)</f>
        <v>1</v>
      </c>
      <c r="J106" s="140">
        <f ca="1">SUM(TblConstr[[#This Row],[Tot Alc]:[Tot GT]],TblConstr[[#This Row],[Tot Shr]:[Tot Doc]],TblConstr[[#This Row],[Dest Alc]:[Dest GT]],TblConstr[[#This Row],[Dest Shr]:[Dest Doc]])*building_employment + TblConstr[[#This Row],[Tot Fac]]*bonus_jobs_facts</f>
        <v>1000</v>
      </c>
      <c r="K106" s="141"/>
      <c r="L106" s="61">
        <f ca="1">TblPop[[#This Row],[Draftees]]</f>
        <v>600</v>
      </c>
      <c r="M106" s="61">
        <f ca="1">TblMili[[#This Row],[Unit 1]]</f>
        <v>0</v>
      </c>
      <c r="N106" s="61">
        <f ca="1">TblMili[[#This Row],[Unit 2]]</f>
        <v>0</v>
      </c>
      <c r="O106" s="61">
        <f ca="1">TblMili[[#This Row],[Unit 3]]</f>
        <v>0</v>
      </c>
      <c r="P106" s="61">
        <f ca="1">TblMili[[#This Row],[Unit 4]]</f>
        <v>0</v>
      </c>
      <c r="Q106" s="61">
        <f ca="1">TblMili[[#This Row],[Spies]]</f>
        <v>0</v>
      </c>
      <c r="R106" s="61">
        <f ca="1">TblMili[[#This Row],[Wizards]]</f>
        <v>0</v>
      </c>
      <c r="S106" s="61">
        <f ca="1">TblMili[[#This Row],[Archmages]]</f>
        <v>0</v>
      </c>
      <c r="T106" s="142"/>
      <c r="U106" s="94">
        <f ca="1">ROUND(TblPop[[#This Row],[Raw max]]*(1+OFFSET(TblPop[[#This Row],[Max pop]],-1,0)),0)+MIN(TblPop[[#This Row],[Military]]-TblPop[[#This Row],[Draftees]]-SUM(TblMili[[#This Row],[Train Unit 1]:[Train AM]]),(barracks_size + tech_8_3*TblTech[[#This Row],[8-3]])*TblConstr[[#This Row],[Tot Bar]])</f>
        <v>769</v>
      </c>
      <c r="V10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6" s="94">
        <f ca="1">MAX(-5%*TblPop[[#This Row],[Peasants]]-TblPop[[#This Row],[Draft Growth]],MIN(OFFSET(TblPop[[#This Row],[Net max]],1,0)-TblPop[[#This Row],[Peasants]]-TblPop[[#This Row],[Military]]-TblPop[[#This Row],[Draft Growth]],TblPop[[#This Row],[Modded Birth]]-TblPop[[#This Row],[Draft Growth]]))</f>
        <v>-2</v>
      </c>
      <c r="X106" s="94">
        <f ca="1">ROUND(TblPop[[#This Row],[Raw Birth]]*(1+TblPop[[#This Row],[Growth]]),0)</f>
        <v>5</v>
      </c>
      <c r="Y106" s="94">
        <f ca="1">(TblPop[[#This Row],[Peasants]]-TblPop[[#This Row],[Draft Growth]])*raw_pop_growth</f>
        <v>5.01</v>
      </c>
      <c r="Z106" s="94">
        <f ca="1">ROUND(IF(TblPop[[#This Row],[Military%]]&lt;TblMili[[#This Row],[Draftrate]],ROUND(TblPop[[#This Row],[Peasants]]*Constants!$B$55,0), 0) * IF(AND(TblMagic[[#This Row],[Active DnD]]&lt;=12,TblMagic[[#This Row],[Active DnD]]&gt;6),1.5,1),0)</f>
        <v>2</v>
      </c>
      <c r="AA106" s="142"/>
      <c r="AB106" s="143">
        <f ca="1">Overview!$I$17 + IF(Magic!AF106&gt;0,Constants!$F$78) + ROUND(6*(Construction!BM107+Construction!CK106)/IF(Explore!S107&gt;0,Construction!F107-20,Construction!F107),4) + tech_6_5_2*Techs!BJ106 + tech_8_4*Techs!BT106</f>
        <v>0</v>
      </c>
      <c r="AC106" s="139">
        <f ca="1">(Overview!$I$16 + Imps!Z106+ tech_2_5*Techs!AB106 + tech_3_6*Techs!AM106 + tech_6_1*Techs!BJ106 + tech_6_5*Techs!BF106 + tech_7_3_2*Techs!BN106) * (1 + Production!O106/100*prestige_pop_multiplier) + Production!O106/100*prestige_pop_multiplier</f>
        <v>2.5000000000000001E-2</v>
      </c>
    </row>
    <row r="107" spans="1:29" x14ac:dyDescent="0.2">
      <c r="A107" s="137">
        <f>TblRezone[[#This Row],[Hour]]</f>
        <v>104</v>
      </c>
      <c r="B107" s="138">
        <f ca="1">TblImps[[#This Row],[Time]]</f>
        <v>46324.291666666417</v>
      </c>
      <c r="C107" s="94">
        <f ca="1">OFFSET(TblPop[[#This Row],[Peasants]],-1,0)+OFFSET(TblPop[[#This Row],[Net Peasant]],-1,0)+TblMili[[#This Row],[Release Draft]]</f>
        <v>167</v>
      </c>
      <c r="D107" s="94">
        <f ca="1">TblMili[[#This Row],[Military]]</f>
        <v>602</v>
      </c>
      <c r="E107" s="94">
        <f ca="1">TblMili[[#This Row],[Draftees]]</f>
        <v>602</v>
      </c>
      <c r="F107" s="94">
        <f ca="1">TblPop[[#This Row],[Peasants]]+TblPop[[#This Row],[Military]]</f>
        <v>769</v>
      </c>
      <c r="G107" s="139">
        <f ca="1">TblPop[[#This Row],[Military]]/TblPop[[#This Row],[Total]]</f>
        <v>0.78283485045513657</v>
      </c>
      <c r="H107" s="140">
        <f ca="1">MIN(TblPop[[#This Row],[Peasants]],TblPop[[#This Row],[Jobs]])</f>
        <v>167</v>
      </c>
      <c r="I107" s="139">
        <f ca="1">MIN(OFFSET(TblPop[[#This Row],[Jobs]],1,0)/TblPop[[#This Row],[Peasants]],1)</f>
        <v>1</v>
      </c>
      <c r="J107" s="140">
        <f ca="1">SUM(TblConstr[[#This Row],[Tot Alc]:[Tot GT]],TblConstr[[#This Row],[Tot Shr]:[Tot Doc]],TblConstr[[#This Row],[Dest Alc]:[Dest GT]],TblConstr[[#This Row],[Dest Shr]:[Dest Doc]])*building_employment + TblConstr[[#This Row],[Tot Fac]]*bonus_jobs_facts</f>
        <v>1000</v>
      </c>
      <c r="K107" s="141"/>
      <c r="L107" s="61">
        <f ca="1">TblPop[[#This Row],[Draftees]]</f>
        <v>602</v>
      </c>
      <c r="M107" s="61">
        <f ca="1">TblMili[[#This Row],[Unit 1]]</f>
        <v>0</v>
      </c>
      <c r="N107" s="61">
        <f ca="1">TblMili[[#This Row],[Unit 2]]</f>
        <v>0</v>
      </c>
      <c r="O107" s="61">
        <f ca="1">TblMili[[#This Row],[Unit 3]]</f>
        <v>0</v>
      </c>
      <c r="P107" s="61">
        <f ca="1">TblMili[[#This Row],[Unit 4]]</f>
        <v>0</v>
      </c>
      <c r="Q107" s="61">
        <f ca="1">TblMili[[#This Row],[Spies]]</f>
        <v>0</v>
      </c>
      <c r="R107" s="61">
        <f ca="1">TblMili[[#This Row],[Wizards]]</f>
        <v>0</v>
      </c>
      <c r="S107" s="61">
        <f ca="1">TblMili[[#This Row],[Archmages]]</f>
        <v>0</v>
      </c>
      <c r="T107" s="142"/>
      <c r="U107" s="94">
        <f ca="1">ROUND(TblPop[[#This Row],[Raw max]]*(1+OFFSET(TblPop[[#This Row],[Max pop]],-1,0)),0)+MIN(TblPop[[#This Row],[Military]]-TblPop[[#This Row],[Draftees]]-SUM(TblMili[[#This Row],[Train Unit 1]:[Train AM]]),(barracks_size + tech_8_3*TblTech[[#This Row],[8-3]])*TblConstr[[#This Row],[Tot Bar]])</f>
        <v>769</v>
      </c>
      <c r="V10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7" s="94">
        <f ca="1">MAX(-5%*TblPop[[#This Row],[Peasants]]-TblPop[[#This Row],[Draft Growth]],MIN(OFFSET(TblPop[[#This Row],[Net max]],1,0)-TblPop[[#This Row],[Peasants]]-TblPop[[#This Row],[Military]]-TblPop[[#This Row],[Draft Growth]],TblPop[[#This Row],[Modded Birth]]-TblPop[[#This Row],[Draft Growth]]))</f>
        <v>-2</v>
      </c>
      <c r="X107" s="94">
        <f ca="1">ROUND(TblPop[[#This Row],[Raw Birth]]*(1+TblPop[[#This Row],[Growth]]),0)</f>
        <v>5</v>
      </c>
      <c r="Y107" s="94">
        <f ca="1">(TblPop[[#This Row],[Peasants]]-TblPop[[#This Row],[Draft Growth]])*raw_pop_growth</f>
        <v>4.95</v>
      </c>
      <c r="Z107" s="94">
        <f ca="1">ROUND(IF(TblPop[[#This Row],[Military%]]&lt;TblMili[[#This Row],[Draftrate]],ROUND(TblPop[[#This Row],[Peasants]]*Constants!$B$55,0), 0) * IF(AND(TblMagic[[#This Row],[Active DnD]]&lt;=12,TblMagic[[#This Row],[Active DnD]]&gt;6),1.5,1),0)</f>
        <v>2</v>
      </c>
      <c r="AA107" s="142"/>
      <c r="AB107" s="143">
        <f ca="1">Overview!$I$17 + IF(Magic!AF107&gt;0,Constants!$F$78) + ROUND(6*(Construction!BM108+Construction!CK107)/IF(Explore!S108&gt;0,Construction!F108-20,Construction!F108),4) + tech_6_5_2*Techs!BJ107 + tech_8_4*Techs!BT107</f>
        <v>0</v>
      </c>
      <c r="AC107" s="139">
        <f ca="1">(Overview!$I$16 + Imps!Z107+ tech_2_5*Techs!AB107 + tech_3_6*Techs!AM107 + tech_6_1*Techs!BJ107 + tech_6_5*Techs!BF107 + tech_7_3_2*Techs!BN107) * (1 + Production!O107/100*prestige_pop_multiplier) + Production!O107/100*prestige_pop_multiplier</f>
        <v>2.5000000000000001E-2</v>
      </c>
    </row>
    <row r="108" spans="1:29" x14ac:dyDescent="0.2">
      <c r="A108" s="137">
        <f>TblRezone[[#This Row],[Hour]]</f>
        <v>105</v>
      </c>
      <c r="B108" s="138">
        <f ca="1">TblImps[[#This Row],[Time]]</f>
        <v>46324.333333333081</v>
      </c>
      <c r="C108" s="94">
        <f ca="1">OFFSET(TblPop[[#This Row],[Peasants]],-1,0)+OFFSET(TblPop[[#This Row],[Net Peasant]],-1,0)+TblMili[[#This Row],[Release Draft]]</f>
        <v>165</v>
      </c>
      <c r="D108" s="94">
        <f ca="1">TblMili[[#This Row],[Military]]</f>
        <v>604</v>
      </c>
      <c r="E108" s="94">
        <f ca="1">TblMili[[#This Row],[Draftees]]</f>
        <v>604</v>
      </c>
      <c r="F108" s="94">
        <f ca="1">TblPop[[#This Row],[Peasants]]+TblPop[[#This Row],[Military]]</f>
        <v>769</v>
      </c>
      <c r="G108" s="139">
        <f ca="1">TblPop[[#This Row],[Military]]/TblPop[[#This Row],[Total]]</f>
        <v>0.78543563068920674</v>
      </c>
      <c r="H108" s="140">
        <f ca="1">MIN(TblPop[[#This Row],[Peasants]],TblPop[[#This Row],[Jobs]])</f>
        <v>165</v>
      </c>
      <c r="I108" s="139">
        <f ca="1">MIN(OFFSET(TblPop[[#This Row],[Jobs]],1,0)/TblPop[[#This Row],[Peasants]],1)</f>
        <v>1</v>
      </c>
      <c r="J108" s="140">
        <f ca="1">SUM(TblConstr[[#This Row],[Tot Alc]:[Tot GT]],TblConstr[[#This Row],[Tot Shr]:[Tot Doc]],TblConstr[[#This Row],[Dest Alc]:[Dest GT]],TblConstr[[#This Row],[Dest Shr]:[Dest Doc]])*building_employment + TblConstr[[#This Row],[Tot Fac]]*bonus_jobs_facts</f>
        <v>1000</v>
      </c>
      <c r="K108" s="141"/>
      <c r="L108" s="61">
        <f ca="1">TblPop[[#This Row],[Draftees]]</f>
        <v>604</v>
      </c>
      <c r="M108" s="61">
        <f ca="1">TblMili[[#This Row],[Unit 1]]</f>
        <v>0</v>
      </c>
      <c r="N108" s="61">
        <f ca="1">TblMili[[#This Row],[Unit 2]]</f>
        <v>0</v>
      </c>
      <c r="O108" s="61">
        <f ca="1">TblMili[[#This Row],[Unit 3]]</f>
        <v>0</v>
      </c>
      <c r="P108" s="61">
        <f ca="1">TblMili[[#This Row],[Unit 4]]</f>
        <v>0</v>
      </c>
      <c r="Q108" s="61">
        <f ca="1">TblMili[[#This Row],[Spies]]</f>
        <v>0</v>
      </c>
      <c r="R108" s="61">
        <f ca="1">TblMili[[#This Row],[Wizards]]</f>
        <v>0</v>
      </c>
      <c r="S108" s="61">
        <f ca="1">TblMili[[#This Row],[Archmages]]</f>
        <v>0</v>
      </c>
      <c r="T108" s="142"/>
      <c r="U108" s="94">
        <f ca="1">ROUND(TblPop[[#This Row],[Raw max]]*(1+OFFSET(TblPop[[#This Row],[Max pop]],-1,0)),0)+MIN(TblPop[[#This Row],[Military]]-TblPop[[#This Row],[Draftees]]-SUM(TblMili[[#This Row],[Train Unit 1]:[Train AM]]),(barracks_size + tech_8_3*TblTech[[#This Row],[8-3]])*TblConstr[[#This Row],[Tot Bar]])</f>
        <v>769</v>
      </c>
      <c r="V10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8" s="94">
        <f ca="1">MAX(-5%*TblPop[[#This Row],[Peasants]]-TblPop[[#This Row],[Draft Growth]],MIN(OFFSET(TblPop[[#This Row],[Net max]],1,0)-TblPop[[#This Row],[Peasants]]-TblPop[[#This Row],[Military]]-TblPop[[#This Row],[Draft Growth]],TblPop[[#This Row],[Modded Birth]]-TblPop[[#This Row],[Draft Growth]]))</f>
        <v>-2</v>
      </c>
      <c r="X108" s="94">
        <f ca="1">ROUND(TblPop[[#This Row],[Raw Birth]]*(1+TblPop[[#This Row],[Growth]]),0)</f>
        <v>5</v>
      </c>
      <c r="Y108" s="94">
        <f ca="1">(TblPop[[#This Row],[Peasants]]-TblPop[[#This Row],[Draft Growth]])*raw_pop_growth</f>
        <v>4.8899999999999997</v>
      </c>
      <c r="Z108" s="94">
        <f ca="1">ROUND(IF(TblPop[[#This Row],[Military%]]&lt;TblMili[[#This Row],[Draftrate]],ROUND(TblPop[[#This Row],[Peasants]]*Constants!$B$55,0), 0) * IF(AND(TblMagic[[#This Row],[Active DnD]]&lt;=12,TblMagic[[#This Row],[Active DnD]]&gt;6),1.5,1),0)</f>
        <v>2</v>
      </c>
      <c r="AA108" s="142"/>
      <c r="AB108" s="143">
        <f ca="1">Overview!$I$17 + IF(Magic!AF108&gt;0,Constants!$F$78) + ROUND(6*(Construction!BM109+Construction!CK108)/IF(Explore!S109&gt;0,Construction!F109-20,Construction!F109),4) + tech_6_5_2*Techs!BJ108 + tech_8_4*Techs!BT108</f>
        <v>0</v>
      </c>
      <c r="AC108" s="139">
        <f ca="1">(Overview!$I$16 + Imps!Z108+ tech_2_5*Techs!AB108 + tech_3_6*Techs!AM108 + tech_6_1*Techs!BJ108 + tech_6_5*Techs!BF108 + tech_7_3_2*Techs!BN108) * (1 + Production!O108/100*prestige_pop_multiplier) + Production!O108/100*prestige_pop_multiplier</f>
        <v>2.5000000000000001E-2</v>
      </c>
    </row>
    <row r="109" spans="1:29" x14ac:dyDescent="0.2">
      <c r="A109" s="137">
        <f>TblRezone[[#This Row],[Hour]]</f>
        <v>106</v>
      </c>
      <c r="B109" s="138">
        <f ca="1">TblImps[[#This Row],[Time]]</f>
        <v>46324.374999999745</v>
      </c>
      <c r="C109" s="94">
        <f ca="1">OFFSET(TblPop[[#This Row],[Peasants]],-1,0)+OFFSET(TblPop[[#This Row],[Net Peasant]],-1,0)+TblMili[[#This Row],[Release Draft]]</f>
        <v>163</v>
      </c>
      <c r="D109" s="94">
        <f ca="1">TblMili[[#This Row],[Military]]</f>
        <v>606</v>
      </c>
      <c r="E109" s="94">
        <f ca="1">TblMili[[#This Row],[Draftees]]</f>
        <v>606</v>
      </c>
      <c r="F109" s="94">
        <f ca="1">TblPop[[#This Row],[Peasants]]+TblPop[[#This Row],[Military]]</f>
        <v>769</v>
      </c>
      <c r="G109" s="139">
        <f ca="1">TblPop[[#This Row],[Military]]/TblPop[[#This Row],[Total]]</f>
        <v>0.78803641092327703</v>
      </c>
      <c r="H109" s="140">
        <f ca="1">MIN(TblPop[[#This Row],[Peasants]],TblPop[[#This Row],[Jobs]])</f>
        <v>163</v>
      </c>
      <c r="I109" s="139">
        <f ca="1">MIN(OFFSET(TblPop[[#This Row],[Jobs]],1,0)/TblPop[[#This Row],[Peasants]],1)</f>
        <v>1</v>
      </c>
      <c r="J109" s="140">
        <f ca="1">SUM(TblConstr[[#This Row],[Tot Alc]:[Tot GT]],TblConstr[[#This Row],[Tot Shr]:[Tot Doc]],TblConstr[[#This Row],[Dest Alc]:[Dest GT]],TblConstr[[#This Row],[Dest Shr]:[Dest Doc]])*building_employment + TblConstr[[#This Row],[Tot Fac]]*bonus_jobs_facts</f>
        <v>1000</v>
      </c>
      <c r="K109" s="141"/>
      <c r="L109" s="61">
        <f ca="1">TblPop[[#This Row],[Draftees]]</f>
        <v>606</v>
      </c>
      <c r="M109" s="61">
        <f ca="1">TblMili[[#This Row],[Unit 1]]</f>
        <v>0</v>
      </c>
      <c r="N109" s="61">
        <f ca="1">TblMili[[#This Row],[Unit 2]]</f>
        <v>0</v>
      </c>
      <c r="O109" s="61">
        <f ca="1">TblMili[[#This Row],[Unit 3]]</f>
        <v>0</v>
      </c>
      <c r="P109" s="61">
        <f ca="1">TblMili[[#This Row],[Unit 4]]</f>
        <v>0</v>
      </c>
      <c r="Q109" s="61">
        <f ca="1">TblMili[[#This Row],[Spies]]</f>
        <v>0</v>
      </c>
      <c r="R109" s="61">
        <f ca="1">TblMili[[#This Row],[Wizards]]</f>
        <v>0</v>
      </c>
      <c r="S109" s="61">
        <f ca="1">TblMili[[#This Row],[Archmages]]</f>
        <v>0</v>
      </c>
      <c r="T109" s="142"/>
      <c r="U109" s="94">
        <f ca="1">ROUND(TblPop[[#This Row],[Raw max]]*(1+OFFSET(TblPop[[#This Row],[Max pop]],-1,0)),0)+MIN(TblPop[[#This Row],[Military]]-TblPop[[#This Row],[Draftees]]-SUM(TblMili[[#This Row],[Train Unit 1]:[Train AM]]),(barracks_size + tech_8_3*TblTech[[#This Row],[8-3]])*TblConstr[[#This Row],[Tot Bar]])</f>
        <v>769</v>
      </c>
      <c r="V10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9" s="94">
        <f ca="1">MAX(-5%*TblPop[[#This Row],[Peasants]]-TblPop[[#This Row],[Draft Growth]],MIN(OFFSET(TblPop[[#This Row],[Net max]],1,0)-TblPop[[#This Row],[Peasants]]-TblPop[[#This Row],[Military]]-TblPop[[#This Row],[Draft Growth]],TblPop[[#This Row],[Modded Birth]]-TblPop[[#This Row],[Draft Growth]]))</f>
        <v>-2</v>
      </c>
      <c r="X109" s="94">
        <f ca="1">ROUND(TblPop[[#This Row],[Raw Birth]]*(1+TblPop[[#This Row],[Growth]]),0)</f>
        <v>5</v>
      </c>
      <c r="Y109" s="94">
        <f ca="1">(TblPop[[#This Row],[Peasants]]-TblPop[[#This Row],[Draft Growth]])*raw_pop_growth</f>
        <v>4.83</v>
      </c>
      <c r="Z109" s="94">
        <f ca="1">ROUND(IF(TblPop[[#This Row],[Military%]]&lt;TblMili[[#This Row],[Draftrate]],ROUND(TblPop[[#This Row],[Peasants]]*Constants!$B$55,0), 0) * IF(AND(TblMagic[[#This Row],[Active DnD]]&lt;=12,TblMagic[[#This Row],[Active DnD]]&gt;6),1.5,1),0)</f>
        <v>2</v>
      </c>
      <c r="AA109" s="142"/>
      <c r="AB109" s="143">
        <f ca="1">Overview!$I$17 + IF(Magic!AF109&gt;0,Constants!$F$78) + ROUND(6*(Construction!BM110+Construction!CK109)/IF(Explore!S110&gt;0,Construction!F110-20,Construction!F110),4) + tech_6_5_2*Techs!BJ109 + tech_8_4*Techs!BT109</f>
        <v>0</v>
      </c>
      <c r="AC109" s="139">
        <f ca="1">(Overview!$I$16 + Imps!Z109+ tech_2_5*Techs!AB109 + tech_3_6*Techs!AM109 + tech_6_1*Techs!BJ109 + tech_6_5*Techs!BF109 + tech_7_3_2*Techs!BN109) * (1 + Production!O109/100*prestige_pop_multiplier) + Production!O109/100*prestige_pop_multiplier</f>
        <v>2.5000000000000001E-2</v>
      </c>
    </row>
    <row r="110" spans="1:29" x14ac:dyDescent="0.2">
      <c r="A110" s="137">
        <f>TblRezone[[#This Row],[Hour]]</f>
        <v>107</v>
      </c>
      <c r="B110" s="138">
        <f ca="1">TblImps[[#This Row],[Time]]</f>
        <v>46324.41666666641</v>
      </c>
      <c r="C110" s="94">
        <f ca="1">OFFSET(TblPop[[#This Row],[Peasants]],-1,0)+OFFSET(TblPop[[#This Row],[Net Peasant]],-1,0)+TblMili[[#This Row],[Release Draft]]</f>
        <v>161</v>
      </c>
      <c r="D110" s="94">
        <f ca="1">TblMili[[#This Row],[Military]]</f>
        <v>608</v>
      </c>
      <c r="E110" s="94">
        <f ca="1">TblMili[[#This Row],[Draftees]]</f>
        <v>608</v>
      </c>
      <c r="F110" s="94">
        <f ca="1">TblPop[[#This Row],[Peasants]]+TblPop[[#This Row],[Military]]</f>
        <v>769</v>
      </c>
      <c r="G110" s="139">
        <f ca="1">TblPop[[#This Row],[Military]]/TblPop[[#This Row],[Total]]</f>
        <v>0.79063719115734721</v>
      </c>
      <c r="H110" s="140">
        <f ca="1">MIN(TblPop[[#This Row],[Peasants]],TblPop[[#This Row],[Jobs]])</f>
        <v>161</v>
      </c>
      <c r="I110" s="139">
        <f ca="1">MIN(OFFSET(TblPop[[#This Row],[Jobs]],1,0)/TblPop[[#This Row],[Peasants]],1)</f>
        <v>1</v>
      </c>
      <c r="J110" s="140">
        <f ca="1">SUM(TblConstr[[#This Row],[Tot Alc]:[Tot GT]],TblConstr[[#This Row],[Tot Shr]:[Tot Doc]],TblConstr[[#This Row],[Dest Alc]:[Dest GT]],TblConstr[[#This Row],[Dest Shr]:[Dest Doc]])*building_employment + TblConstr[[#This Row],[Tot Fac]]*bonus_jobs_facts</f>
        <v>1000</v>
      </c>
      <c r="K110" s="141"/>
      <c r="L110" s="61">
        <f ca="1">TblPop[[#This Row],[Draftees]]</f>
        <v>608</v>
      </c>
      <c r="M110" s="61">
        <f ca="1">TblMili[[#This Row],[Unit 1]]</f>
        <v>0</v>
      </c>
      <c r="N110" s="61">
        <f ca="1">TblMili[[#This Row],[Unit 2]]</f>
        <v>0</v>
      </c>
      <c r="O110" s="61">
        <f ca="1">TblMili[[#This Row],[Unit 3]]</f>
        <v>0</v>
      </c>
      <c r="P110" s="61">
        <f ca="1">TblMili[[#This Row],[Unit 4]]</f>
        <v>0</v>
      </c>
      <c r="Q110" s="61">
        <f ca="1">TblMili[[#This Row],[Spies]]</f>
        <v>0</v>
      </c>
      <c r="R110" s="61">
        <f ca="1">TblMili[[#This Row],[Wizards]]</f>
        <v>0</v>
      </c>
      <c r="S110" s="61">
        <f ca="1">TblMili[[#This Row],[Archmages]]</f>
        <v>0</v>
      </c>
      <c r="T110" s="142"/>
      <c r="U110" s="94">
        <f ca="1">ROUND(TblPop[[#This Row],[Raw max]]*(1+OFFSET(TblPop[[#This Row],[Max pop]],-1,0)),0)+MIN(TblPop[[#This Row],[Military]]-TblPop[[#This Row],[Draftees]]-SUM(TblMili[[#This Row],[Train Unit 1]:[Train AM]]),(barracks_size + tech_8_3*TblTech[[#This Row],[8-3]])*TblConstr[[#This Row],[Tot Bar]])</f>
        <v>769</v>
      </c>
      <c r="V11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0" s="94">
        <f ca="1">MAX(-5%*TblPop[[#This Row],[Peasants]]-TblPop[[#This Row],[Draft Growth]],MIN(OFFSET(TblPop[[#This Row],[Net max]],1,0)-TblPop[[#This Row],[Peasants]]-TblPop[[#This Row],[Military]]-TblPop[[#This Row],[Draft Growth]],TblPop[[#This Row],[Modded Birth]]-TblPop[[#This Row],[Draft Growth]]))</f>
        <v>-2</v>
      </c>
      <c r="X110" s="94">
        <f ca="1">ROUND(TblPop[[#This Row],[Raw Birth]]*(1+TblPop[[#This Row],[Growth]]),0)</f>
        <v>5</v>
      </c>
      <c r="Y110" s="94">
        <f ca="1">(TblPop[[#This Row],[Peasants]]-TblPop[[#This Row],[Draft Growth]])*raw_pop_growth</f>
        <v>4.7699999999999996</v>
      </c>
      <c r="Z110" s="94">
        <f ca="1">ROUND(IF(TblPop[[#This Row],[Military%]]&lt;TblMili[[#This Row],[Draftrate]],ROUND(TblPop[[#This Row],[Peasants]]*Constants!$B$55,0), 0) * IF(AND(TblMagic[[#This Row],[Active DnD]]&lt;=12,TblMagic[[#This Row],[Active DnD]]&gt;6),1.5,1),0)</f>
        <v>2</v>
      </c>
      <c r="AA110" s="142"/>
      <c r="AB110" s="143">
        <f ca="1">Overview!$I$17 + IF(Magic!AF110&gt;0,Constants!$F$78) + ROUND(6*(Construction!BM111+Construction!CK110)/IF(Explore!S111&gt;0,Construction!F111-20,Construction!F111),4) + tech_6_5_2*Techs!BJ110 + tech_8_4*Techs!BT110</f>
        <v>0</v>
      </c>
      <c r="AC110" s="139">
        <f ca="1">(Overview!$I$16 + Imps!Z110+ tech_2_5*Techs!AB110 + tech_3_6*Techs!AM110 + tech_6_1*Techs!BJ110 + tech_6_5*Techs!BF110 + tech_7_3_2*Techs!BN110) * (1 + Production!O110/100*prestige_pop_multiplier) + Production!O110/100*prestige_pop_multiplier</f>
        <v>2.5000000000000001E-2</v>
      </c>
    </row>
    <row r="111" spans="1:29" ht="13.5" customHeight="1" x14ac:dyDescent="0.2">
      <c r="A111" s="137">
        <f>TblRezone[[#This Row],[Hour]]</f>
        <v>108</v>
      </c>
      <c r="B111" s="138">
        <f ca="1">TblImps[[#This Row],[Time]]</f>
        <v>46324.458333333074</v>
      </c>
      <c r="C111" s="94">
        <f ca="1">OFFSET(TblPop[[#This Row],[Peasants]],-1,0)+OFFSET(TblPop[[#This Row],[Net Peasant]],-1,0)+TblMili[[#This Row],[Release Draft]]</f>
        <v>159</v>
      </c>
      <c r="D111" s="94">
        <f ca="1">TblMili[[#This Row],[Military]]</f>
        <v>610</v>
      </c>
      <c r="E111" s="94">
        <f ca="1">TblMili[[#This Row],[Draftees]]</f>
        <v>610</v>
      </c>
      <c r="F111" s="94">
        <f ca="1">TblPop[[#This Row],[Peasants]]+TblPop[[#This Row],[Military]]</f>
        <v>769</v>
      </c>
      <c r="G111" s="139">
        <f ca="1">TblPop[[#This Row],[Military]]/TblPop[[#This Row],[Total]]</f>
        <v>0.79323797139141738</v>
      </c>
      <c r="H111" s="140">
        <f ca="1">MIN(TblPop[[#This Row],[Peasants]],TblPop[[#This Row],[Jobs]])</f>
        <v>159</v>
      </c>
      <c r="I111" s="139">
        <f ca="1">MIN(OFFSET(TblPop[[#This Row],[Jobs]],1,0)/TblPop[[#This Row],[Peasants]],1)</f>
        <v>1</v>
      </c>
      <c r="J111" s="140">
        <f ca="1">SUM(TblConstr[[#This Row],[Tot Alc]:[Tot GT]],TblConstr[[#This Row],[Tot Shr]:[Tot Doc]],TblConstr[[#This Row],[Dest Alc]:[Dest GT]],TblConstr[[#This Row],[Dest Shr]:[Dest Doc]])*building_employment + TblConstr[[#This Row],[Tot Fac]]*bonus_jobs_facts</f>
        <v>1000</v>
      </c>
      <c r="K111" s="141"/>
      <c r="L111" s="61">
        <f ca="1">TblPop[[#This Row],[Draftees]]</f>
        <v>610</v>
      </c>
      <c r="M111" s="61">
        <f ca="1">TblMili[[#This Row],[Unit 1]]</f>
        <v>0</v>
      </c>
      <c r="N111" s="61">
        <f ca="1">TblMili[[#This Row],[Unit 2]]</f>
        <v>0</v>
      </c>
      <c r="O111" s="61">
        <f ca="1">TblMili[[#This Row],[Unit 3]]</f>
        <v>0</v>
      </c>
      <c r="P111" s="61">
        <f ca="1">TblMili[[#This Row],[Unit 4]]</f>
        <v>0</v>
      </c>
      <c r="Q111" s="61">
        <f ca="1">TblMili[[#This Row],[Spies]]</f>
        <v>0</v>
      </c>
      <c r="R111" s="61">
        <f ca="1">TblMili[[#This Row],[Wizards]]</f>
        <v>0</v>
      </c>
      <c r="S111" s="61">
        <f ca="1">TblMili[[#This Row],[Archmages]]</f>
        <v>0</v>
      </c>
      <c r="T111" s="142"/>
      <c r="U111" s="94">
        <f ca="1">ROUND(TblPop[[#This Row],[Raw max]]*(1+OFFSET(TblPop[[#This Row],[Max pop]],-1,0)),0)+MIN(TblPop[[#This Row],[Military]]-TblPop[[#This Row],[Draftees]]-SUM(TblMili[[#This Row],[Train Unit 1]:[Train AM]]),(barracks_size + tech_8_3*TblTech[[#This Row],[8-3]])*TblConstr[[#This Row],[Tot Bar]])</f>
        <v>769</v>
      </c>
      <c r="V11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1" s="94">
        <f ca="1">MAX(-5%*TblPop[[#This Row],[Peasants]]-TblPop[[#This Row],[Draft Growth]],MIN(OFFSET(TblPop[[#This Row],[Net max]],1,0)-TblPop[[#This Row],[Peasants]]-TblPop[[#This Row],[Military]]-TblPop[[#This Row],[Draft Growth]],TblPop[[#This Row],[Modded Birth]]-TblPop[[#This Row],[Draft Growth]]))</f>
        <v>-2</v>
      </c>
      <c r="X111" s="94">
        <f ca="1">ROUND(TblPop[[#This Row],[Raw Birth]]*(1+TblPop[[#This Row],[Growth]]),0)</f>
        <v>5</v>
      </c>
      <c r="Y111" s="94">
        <f ca="1">(TblPop[[#This Row],[Peasants]]-TblPop[[#This Row],[Draft Growth]])*raw_pop_growth</f>
        <v>4.71</v>
      </c>
      <c r="Z111" s="94">
        <f ca="1">ROUND(IF(TblPop[[#This Row],[Military%]]&lt;TblMili[[#This Row],[Draftrate]],ROUND(TblPop[[#This Row],[Peasants]]*Constants!$B$55,0), 0) * IF(AND(TblMagic[[#This Row],[Active DnD]]&lt;=12,TblMagic[[#This Row],[Active DnD]]&gt;6),1.5,1),0)</f>
        <v>2</v>
      </c>
      <c r="AA111" s="142"/>
      <c r="AB111" s="143">
        <f ca="1">Overview!$I$17 + IF(Magic!AF111&gt;0,Constants!$F$78) + ROUND(6*(Construction!BM112+Construction!CK111)/IF(Explore!S112&gt;0,Construction!F112-20,Construction!F112),4) + tech_6_5_2*Techs!BJ111 + tech_8_4*Techs!BT111</f>
        <v>0</v>
      </c>
      <c r="AC111" s="139">
        <f ca="1">(Overview!$I$16 + Imps!Z111+ tech_2_5*Techs!AB111 + tech_3_6*Techs!AM111 + tech_6_1*Techs!BJ111 + tech_6_5*Techs!BF111 + tech_7_3_2*Techs!BN111) * (1 + Production!O111/100*prestige_pop_multiplier) + Production!O111/100*prestige_pop_multiplier</f>
        <v>2.5000000000000001E-2</v>
      </c>
    </row>
    <row r="112" spans="1:29" x14ac:dyDescent="0.2">
      <c r="A112" s="137">
        <f>TblRezone[[#This Row],[Hour]]</f>
        <v>109</v>
      </c>
      <c r="B112" s="138">
        <f ca="1">TblImps[[#This Row],[Time]]</f>
        <v>46324.499999999738</v>
      </c>
      <c r="C112" s="94">
        <f ca="1">OFFSET(TblPop[[#This Row],[Peasants]],-1,0)+OFFSET(TblPop[[#This Row],[Net Peasant]],-1,0)+TblMili[[#This Row],[Release Draft]]</f>
        <v>157</v>
      </c>
      <c r="D112" s="94">
        <f ca="1">TblMili[[#This Row],[Military]]</f>
        <v>612</v>
      </c>
      <c r="E112" s="94">
        <f ca="1">TblMili[[#This Row],[Draftees]]</f>
        <v>612</v>
      </c>
      <c r="F112" s="94">
        <f ca="1">TblPop[[#This Row],[Peasants]]+TblPop[[#This Row],[Military]]</f>
        <v>769</v>
      </c>
      <c r="G112" s="139">
        <f ca="1">TblPop[[#This Row],[Military]]/TblPop[[#This Row],[Total]]</f>
        <v>0.79583875162548767</v>
      </c>
      <c r="H112" s="140">
        <f ca="1">MIN(TblPop[[#This Row],[Peasants]],TblPop[[#This Row],[Jobs]])</f>
        <v>157</v>
      </c>
      <c r="I112" s="139">
        <f ca="1">MIN(OFFSET(TblPop[[#This Row],[Jobs]],1,0)/TblPop[[#This Row],[Peasants]],1)</f>
        <v>1</v>
      </c>
      <c r="J112" s="140">
        <f ca="1">SUM(TblConstr[[#This Row],[Tot Alc]:[Tot GT]],TblConstr[[#This Row],[Tot Shr]:[Tot Doc]],TblConstr[[#This Row],[Dest Alc]:[Dest GT]],TblConstr[[#This Row],[Dest Shr]:[Dest Doc]])*building_employment + TblConstr[[#This Row],[Tot Fac]]*bonus_jobs_facts</f>
        <v>1000</v>
      </c>
      <c r="K112" s="141"/>
      <c r="L112" s="61">
        <f ca="1">TblPop[[#This Row],[Draftees]]</f>
        <v>612</v>
      </c>
      <c r="M112" s="61">
        <f ca="1">TblMili[[#This Row],[Unit 1]]</f>
        <v>0</v>
      </c>
      <c r="N112" s="61">
        <f ca="1">TblMili[[#This Row],[Unit 2]]</f>
        <v>0</v>
      </c>
      <c r="O112" s="61">
        <f ca="1">TblMili[[#This Row],[Unit 3]]</f>
        <v>0</v>
      </c>
      <c r="P112" s="61">
        <f ca="1">TblMili[[#This Row],[Unit 4]]</f>
        <v>0</v>
      </c>
      <c r="Q112" s="61">
        <f ca="1">TblMili[[#This Row],[Spies]]</f>
        <v>0</v>
      </c>
      <c r="R112" s="61">
        <f ca="1">TblMili[[#This Row],[Wizards]]</f>
        <v>0</v>
      </c>
      <c r="S112" s="61">
        <f ca="1">TblMili[[#This Row],[Archmages]]</f>
        <v>0</v>
      </c>
      <c r="T112" s="142"/>
      <c r="U112" s="94">
        <f ca="1">ROUND(TblPop[[#This Row],[Raw max]]*(1+OFFSET(TblPop[[#This Row],[Max pop]],-1,0)),0)+MIN(TblPop[[#This Row],[Military]]-TblPop[[#This Row],[Draftees]]-SUM(TblMili[[#This Row],[Train Unit 1]:[Train AM]]),(barracks_size + tech_8_3*TblTech[[#This Row],[8-3]])*TblConstr[[#This Row],[Tot Bar]])</f>
        <v>769</v>
      </c>
      <c r="V11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2" s="94">
        <f ca="1">MAX(-5%*TblPop[[#This Row],[Peasants]]-TblPop[[#This Row],[Draft Growth]],MIN(OFFSET(TblPop[[#This Row],[Net max]],1,0)-TblPop[[#This Row],[Peasants]]-TblPop[[#This Row],[Military]]-TblPop[[#This Row],[Draft Growth]],TblPop[[#This Row],[Modded Birth]]-TblPop[[#This Row],[Draft Growth]]))</f>
        <v>-2</v>
      </c>
      <c r="X112" s="94">
        <f ca="1">ROUND(TblPop[[#This Row],[Raw Birth]]*(1+TblPop[[#This Row],[Growth]]),0)</f>
        <v>5</v>
      </c>
      <c r="Y112" s="94">
        <f ca="1">(TblPop[[#This Row],[Peasants]]-TblPop[[#This Row],[Draft Growth]])*raw_pop_growth</f>
        <v>4.6499999999999995</v>
      </c>
      <c r="Z112" s="94">
        <f ca="1">ROUND(IF(TblPop[[#This Row],[Military%]]&lt;TblMili[[#This Row],[Draftrate]],ROUND(TblPop[[#This Row],[Peasants]]*Constants!$B$55,0), 0) * IF(AND(TblMagic[[#This Row],[Active DnD]]&lt;=12,TblMagic[[#This Row],[Active DnD]]&gt;6),1.5,1),0)</f>
        <v>2</v>
      </c>
      <c r="AA112" s="142"/>
      <c r="AB112" s="143">
        <f ca="1">Overview!$I$17 + IF(Magic!AF112&gt;0,Constants!$F$78) + ROUND(6*(Construction!BM113+Construction!CK112)/IF(Explore!S113&gt;0,Construction!F113-20,Construction!F113),4) + tech_6_5_2*Techs!BJ112 + tech_8_4*Techs!BT112</f>
        <v>0</v>
      </c>
      <c r="AC112" s="139">
        <f ca="1">(Overview!$I$16 + Imps!Z112+ tech_2_5*Techs!AB112 + tech_3_6*Techs!AM112 + tech_6_1*Techs!BJ112 + tech_6_5*Techs!BF112 + tech_7_3_2*Techs!BN112) * (1 + Production!O112/100*prestige_pop_multiplier) + Production!O112/100*prestige_pop_multiplier</f>
        <v>2.5000000000000001E-2</v>
      </c>
    </row>
    <row r="113" spans="1:29" x14ac:dyDescent="0.2">
      <c r="A113" s="137">
        <f>TblRezone[[#This Row],[Hour]]</f>
        <v>110</v>
      </c>
      <c r="B113" s="138">
        <f ca="1">TblImps[[#This Row],[Time]]</f>
        <v>46324.541666666402</v>
      </c>
      <c r="C113" s="94">
        <f ca="1">OFFSET(TblPop[[#This Row],[Peasants]],-1,0)+OFFSET(TblPop[[#This Row],[Net Peasant]],-1,0)+TblMili[[#This Row],[Release Draft]]</f>
        <v>155</v>
      </c>
      <c r="D113" s="94">
        <f ca="1">TblMili[[#This Row],[Military]]</f>
        <v>614</v>
      </c>
      <c r="E113" s="94">
        <f ca="1">TblMili[[#This Row],[Draftees]]</f>
        <v>614</v>
      </c>
      <c r="F113" s="94">
        <f ca="1">TblPop[[#This Row],[Peasants]]+TblPop[[#This Row],[Military]]</f>
        <v>769</v>
      </c>
      <c r="G113" s="139">
        <f ca="1">TblPop[[#This Row],[Military]]/TblPop[[#This Row],[Total]]</f>
        <v>0.79843953185955785</v>
      </c>
      <c r="H113" s="140">
        <f ca="1">MIN(TblPop[[#This Row],[Peasants]],TblPop[[#This Row],[Jobs]])</f>
        <v>155</v>
      </c>
      <c r="I113" s="139">
        <f ca="1">MIN(OFFSET(TblPop[[#This Row],[Jobs]],1,0)/TblPop[[#This Row],[Peasants]],1)</f>
        <v>1</v>
      </c>
      <c r="J113" s="140">
        <f ca="1">SUM(TblConstr[[#This Row],[Tot Alc]:[Tot GT]],TblConstr[[#This Row],[Tot Shr]:[Tot Doc]],TblConstr[[#This Row],[Dest Alc]:[Dest GT]],TblConstr[[#This Row],[Dest Shr]:[Dest Doc]])*building_employment + TblConstr[[#This Row],[Tot Fac]]*bonus_jobs_facts</f>
        <v>1000</v>
      </c>
      <c r="K113" s="141"/>
      <c r="L113" s="61">
        <f ca="1">TblPop[[#This Row],[Draftees]]</f>
        <v>614</v>
      </c>
      <c r="M113" s="61">
        <f ca="1">TblMili[[#This Row],[Unit 1]]</f>
        <v>0</v>
      </c>
      <c r="N113" s="61">
        <f ca="1">TblMili[[#This Row],[Unit 2]]</f>
        <v>0</v>
      </c>
      <c r="O113" s="61">
        <f ca="1">TblMili[[#This Row],[Unit 3]]</f>
        <v>0</v>
      </c>
      <c r="P113" s="61">
        <f ca="1">TblMili[[#This Row],[Unit 4]]</f>
        <v>0</v>
      </c>
      <c r="Q113" s="61">
        <f ca="1">TblMili[[#This Row],[Spies]]</f>
        <v>0</v>
      </c>
      <c r="R113" s="61">
        <f ca="1">TblMili[[#This Row],[Wizards]]</f>
        <v>0</v>
      </c>
      <c r="S113" s="61">
        <f ca="1">TblMili[[#This Row],[Archmages]]</f>
        <v>0</v>
      </c>
      <c r="T113" s="142"/>
      <c r="U113" s="94">
        <f ca="1">ROUND(TblPop[[#This Row],[Raw max]]*(1+OFFSET(TblPop[[#This Row],[Max pop]],-1,0)),0)+MIN(TblPop[[#This Row],[Military]]-TblPop[[#This Row],[Draftees]]-SUM(TblMili[[#This Row],[Train Unit 1]:[Train AM]]),(barracks_size + tech_8_3*TblTech[[#This Row],[8-3]])*TblConstr[[#This Row],[Tot Bar]])</f>
        <v>769</v>
      </c>
      <c r="V11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3" s="94">
        <f ca="1">MAX(-5%*TblPop[[#This Row],[Peasants]]-TblPop[[#This Row],[Draft Growth]],MIN(OFFSET(TblPop[[#This Row],[Net max]],1,0)-TblPop[[#This Row],[Peasants]]-TblPop[[#This Row],[Military]]-TblPop[[#This Row],[Draft Growth]],TblPop[[#This Row],[Modded Birth]]-TblPop[[#This Row],[Draft Growth]]))</f>
        <v>-2</v>
      </c>
      <c r="X113" s="94">
        <f ca="1">ROUND(TblPop[[#This Row],[Raw Birth]]*(1+TblPop[[#This Row],[Growth]]),0)</f>
        <v>5</v>
      </c>
      <c r="Y113" s="94">
        <f ca="1">(TblPop[[#This Row],[Peasants]]-TblPop[[#This Row],[Draft Growth]])*raw_pop_growth</f>
        <v>4.59</v>
      </c>
      <c r="Z113" s="94">
        <f ca="1">ROUND(IF(TblPop[[#This Row],[Military%]]&lt;TblMili[[#This Row],[Draftrate]],ROUND(TblPop[[#This Row],[Peasants]]*Constants!$B$55,0), 0) * IF(AND(TblMagic[[#This Row],[Active DnD]]&lt;=12,TblMagic[[#This Row],[Active DnD]]&gt;6),1.5,1),0)</f>
        <v>2</v>
      </c>
      <c r="AA113" s="142"/>
      <c r="AB113" s="143">
        <f ca="1">Overview!$I$17 + IF(Magic!AF113&gt;0,Constants!$F$78) + ROUND(6*(Construction!BM114+Construction!CK113)/IF(Explore!S114&gt;0,Construction!F114-20,Construction!F114),4) + tech_6_5_2*Techs!BJ113 + tech_8_4*Techs!BT113</f>
        <v>0</v>
      </c>
      <c r="AC113" s="139">
        <f ca="1">(Overview!$I$16 + Imps!Z113+ tech_2_5*Techs!AB113 + tech_3_6*Techs!AM113 + tech_6_1*Techs!BJ113 + tech_6_5*Techs!BF113 + tech_7_3_2*Techs!BN113) * (1 + Production!O113/100*prestige_pop_multiplier) + Production!O113/100*prestige_pop_multiplier</f>
        <v>2.5000000000000001E-2</v>
      </c>
    </row>
    <row r="114" spans="1:29" x14ac:dyDescent="0.2">
      <c r="A114" s="137">
        <f>TblRezone[[#This Row],[Hour]]</f>
        <v>111</v>
      </c>
      <c r="B114" s="138">
        <f ca="1">TblImps[[#This Row],[Time]]</f>
        <v>46324.583333333067</v>
      </c>
      <c r="C114" s="94">
        <f ca="1">OFFSET(TblPop[[#This Row],[Peasants]],-1,0)+OFFSET(TblPop[[#This Row],[Net Peasant]],-1,0)+TblMili[[#This Row],[Release Draft]]</f>
        <v>153</v>
      </c>
      <c r="D114" s="94">
        <f ca="1">TblMili[[#This Row],[Military]]</f>
        <v>616</v>
      </c>
      <c r="E114" s="94">
        <f ca="1">TblMili[[#This Row],[Draftees]]</f>
        <v>616</v>
      </c>
      <c r="F114" s="94">
        <f ca="1">TblPop[[#This Row],[Peasants]]+TblPop[[#This Row],[Military]]</f>
        <v>769</v>
      </c>
      <c r="G114" s="139">
        <f ca="1">TblPop[[#This Row],[Military]]/TblPop[[#This Row],[Total]]</f>
        <v>0.80104031209362814</v>
      </c>
      <c r="H114" s="140">
        <f ca="1">MIN(TblPop[[#This Row],[Peasants]],TblPop[[#This Row],[Jobs]])</f>
        <v>153</v>
      </c>
      <c r="I114" s="139">
        <f ca="1">MIN(OFFSET(TblPop[[#This Row],[Jobs]],1,0)/TblPop[[#This Row],[Peasants]],1)</f>
        <v>1</v>
      </c>
      <c r="J114" s="140">
        <f ca="1">SUM(TblConstr[[#This Row],[Tot Alc]:[Tot GT]],TblConstr[[#This Row],[Tot Shr]:[Tot Doc]],TblConstr[[#This Row],[Dest Alc]:[Dest GT]],TblConstr[[#This Row],[Dest Shr]:[Dest Doc]])*building_employment + TblConstr[[#This Row],[Tot Fac]]*bonus_jobs_facts</f>
        <v>1000</v>
      </c>
      <c r="K114" s="141"/>
      <c r="L114" s="61">
        <f ca="1">TblPop[[#This Row],[Draftees]]</f>
        <v>616</v>
      </c>
      <c r="M114" s="61">
        <f ca="1">TblMili[[#This Row],[Unit 1]]</f>
        <v>0</v>
      </c>
      <c r="N114" s="61">
        <f ca="1">TblMili[[#This Row],[Unit 2]]</f>
        <v>0</v>
      </c>
      <c r="O114" s="61">
        <f ca="1">TblMili[[#This Row],[Unit 3]]</f>
        <v>0</v>
      </c>
      <c r="P114" s="61">
        <f ca="1">TblMili[[#This Row],[Unit 4]]</f>
        <v>0</v>
      </c>
      <c r="Q114" s="61">
        <f ca="1">TblMili[[#This Row],[Spies]]</f>
        <v>0</v>
      </c>
      <c r="R114" s="61">
        <f ca="1">TblMili[[#This Row],[Wizards]]</f>
        <v>0</v>
      </c>
      <c r="S114" s="61">
        <f ca="1">TblMili[[#This Row],[Archmages]]</f>
        <v>0</v>
      </c>
      <c r="T114" s="142"/>
      <c r="U114" s="94">
        <f ca="1">ROUND(TblPop[[#This Row],[Raw max]]*(1+OFFSET(TblPop[[#This Row],[Max pop]],-1,0)),0)+MIN(TblPop[[#This Row],[Military]]-TblPop[[#This Row],[Draftees]]-SUM(TblMili[[#This Row],[Train Unit 1]:[Train AM]]),(barracks_size + tech_8_3*TblTech[[#This Row],[8-3]])*TblConstr[[#This Row],[Tot Bar]])</f>
        <v>769</v>
      </c>
      <c r="V11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4" s="94">
        <f ca="1">MAX(-5%*TblPop[[#This Row],[Peasants]]-TblPop[[#This Row],[Draft Growth]],MIN(OFFSET(TblPop[[#This Row],[Net max]],1,0)-TblPop[[#This Row],[Peasants]]-TblPop[[#This Row],[Military]]-TblPop[[#This Row],[Draft Growth]],TblPop[[#This Row],[Modded Birth]]-TblPop[[#This Row],[Draft Growth]]))</f>
        <v>-2</v>
      </c>
      <c r="X114" s="94">
        <f ca="1">ROUND(TblPop[[#This Row],[Raw Birth]]*(1+TblPop[[#This Row],[Growth]]),0)</f>
        <v>5</v>
      </c>
      <c r="Y114" s="94">
        <f ca="1">(TblPop[[#This Row],[Peasants]]-TblPop[[#This Row],[Draft Growth]])*raw_pop_growth</f>
        <v>4.53</v>
      </c>
      <c r="Z114" s="94">
        <f ca="1">ROUND(IF(TblPop[[#This Row],[Military%]]&lt;TblMili[[#This Row],[Draftrate]],ROUND(TblPop[[#This Row],[Peasants]]*Constants!$B$55,0), 0) * IF(AND(TblMagic[[#This Row],[Active DnD]]&lt;=12,TblMagic[[#This Row],[Active DnD]]&gt;6),1.5,1),0)</f>
        <v>2</v>
      </c>
      <c r="AA114" s="142"/>
      <c r="AB114" s="143">
        <f ca="1">Overview!$I$17 + IF(Magic!AF114&gt;0,Constants!$F$78) + ROUND(6*(Construction!BM115+Construction!CK114)/IF(Explore!S115&gt;0,Construction!F115-20,Construction!F115),4) + tech_6_5_2*Techs!BJ114 + tech_8_4*Techs!BT114</f>
        <v>0</v>
      </c>
      <c r="AC114" s="139">
        <f ca="1">(Overview!$I$16 + Imps!Z114+ tech_2_5*Techs!AB114 + tech_3_6*Techs!AM114 + tech_6_1*Techs!BJ114 + tech_6_5*Techs!BF114 + tech_7_3_2*Techs!BN114) * (1 + Production!O114/100*prestige_pop_multiplier) + Production!O114/100*prestige_pop_multiplier</f>
        <v>2.5000000000000001E-2</v>
      </c>
    </row>
    <row r="115" spans="1:29" x14ac:dyDescent="0.2">
      <c r="A115" s="137">
        <f>TblRezone[[#This Row],[Hour]]</f>
        <v>112</v>
      </c>
      <c r="B115" s="138">
        <f ca="1">TblImps[[#This Row],[Time]]</f>
        <v>46324.624999999731</v>
      </c>
      <c r="C115" s="94">
        <f ca="1">OFFSET(TblPop[[#This Row],[Peasants]],-1,0)+OFFSET(TblPop[[#This Row],[Net Peasant]],-1,0)+TblMili[[#This Row],[Release Draft]]</f>
        <v>151</v>
      </c>
      <c r="D115" s="94">
        <f ca="1">TblMili[[#This Row],[Military]]</f>
        <v>618</v>
      </c>
      <c r="E115" s="94">
        <f ca="1">TblMili[[#This Row],[Draftees]]</f>
        <v>618</v>
      </c>
      <c r="F115" s="94">
        <f ca="1">TblPop[[#This Row],[Peasants]]+TblPop[[#This Row],[Military]]</f>
        <v>769</v>
      </c>
      <c r="G115" s="139">
        <f ca="1">TblPop[[#This Row],[Military]]/TblPop[[#This Row],[Total]]</f>
        <v>0.80364109232769831</v>
      </c>
      <c r="H115" s="140">
        <f ca="1">MIN(TblPop[[#This Row],[Peasants]],TblPop[[#This Row],[Jobs]])</f>
        <v>151</v>
      </c>
      <c r="I115" s="139">
        <f ca="1">MIN(OFFSET(TblPop[[#This Row],[Jobs]],1,0)/TblPop[[#This Row],[Peasants]],1)</f>
        <v>1</v>
      </c>
      <c r="J115" s="140">
        <f ca="1">SUM(TblConstr[[#This Row],[Tot Alc]:[Tot GT]],TblConstr[[#This Row],[Tot Shr]:[Tot Doc]],TblConstr[[#This Row],[Dest Alc]:[Dest GT]],TblConstr[[#This Row],[Dest Shr]:[Dest Doc]])*building_employment + TblConstr[[#This Row],[Tot Fac]]*bonus_jobs_facts</f>
        <v>1000</v>
      </c>
      <c r="K115" s="141"/>
      <c r="L115" s="61">
        <f ca="1">TblPop[[#This Row],[Draftees]]</f>
        <v>618</v>
      </c>
      <c r="M115" s="61">
        <f ca="1">TblMili[[#This Row],[Unit 1]]</f>
        <v>0</v>
      </c>
      <c r="N115" s="61">
        <f ca="1">TblMili[[#This Row],[Unit 2]]</f>
        <v>0</v>
      </c>
      <c r="O115" s="61">
        <f ca="1">TblMili[[#This Row],[Unit 3]]</f>
        <v>0</v>
      </c>
      <c r="P115" s="61">
        <f ca="1">TblMili[[#This Row],[Unit 4]]</f>
        <v>0</v>
      </c>
      <c r="Q115" s="61">
        <f ca="1">TblMili[[#This Row],[Spies]]</f>
        <v>0</v>
      </c>
      <c r="R115" s="61">
        <f ca="1">TblMili[[#This Row],[Wizards]]</f>
        <v>0</v>
      </c>
      <c r="S115" s="61">
        <f ca="1">TblMili[[#This Row],[Archmages]]</f>
        <v>0</v>
      </c>
      <c r="T115" s="142"/>
      <c r="U115" s="94">
        <f ca="1">ROUND(TblPop[[#This Row],[Raw max]]*(1+OFFSET(TblPop[[#This Row],[Max pop]],-1,0)),0)+MIN(TblPop[[#This Row],[Military]]-TblPop[[#This Row],[Draftees]]-SUM(TblMili[[#This Row],[Train Unit 1]:[Train AM]]),(barracks_size + tech_8_3*TblTech[[#This Row],[8-3]])*TblConstr[[#This Row],[Tot Bar]])</f>
        <v>769</v>
      </c>
      <c r="V11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5" s="94">
        <f ca="1">MAX(-5%*TblPop[[#This Row],[Peasants]]-TblPop[[#This Row],[Draft Growth]],MIN(OFFSET(TblPop[[#This Row],[Net max]],1,0)-TblPop[[#This Row],[Peasants]]-TblPop[[#This Row],[Military]]-TblPop[[#This Row],[Draft Growth]],TblPop[[#This Row],[Modded Birth]]-TblPop[[#This Row],[Draft Growth]]))</f>
        <v>-2</v>
      </c>
      <c r="X115" s="94">
        <f ca="1">ROUND(TblPop[[#This Row],[Raw Birth]]*(1+TblPop[[#This Row],[Growth]]),0)</f>
        <v>4</v>
      </c>
      <c r="Y115" s="94">
        <f ca="1">(TblPop[[#This Row],[Peasants]]-TblPop[[#This Row],[Draft Growth]])*raw_pop_growth</f>
        <v>4.47</v>
      </c>
      <c r="Z115" s="94">
        <f ca="1">ROUND(IF(TblPop[[#This Row],[Military%]]&lt;TblMili[[#This Row],[Draftrate]],ROUND(TblPop[[#This Row],[Peasants]]*Constants!$B$55,0), 0) * IF(AND(TblMagic[[#This Row],[Active DnD]]&lt;=12,TblMagic[[#This Row],[Active DnD]]&gt;6),1.5,1),0)</f>
        <v>2</v>
      </c>
      <c r="AA115" s="142"/>
      <c r="AB115" s="143">
        <f ca="1">Overview!$I$17 + IF(Magic!AF115&gt;0,Constants!$F$78) + ROUND(6*(Construction!BM116+Construction!CK115)/IF(Explore!S116&gt;0,Construction!F116-20,Construction!F116),4) + tech_6_5_2*Techs!BJ115 + tech_8_4*Techs!BT115</f>
        <v>0</v>
      </c>
      <c r="AC115" s="139">
        <f ca="1">(Overview!$I$16 + Imps!Z115+ tech_2_5*Techs!AB115 + tech_3_6*Techs!AM115 + tech_6_1*Techs!BJ115 + tech_6_5*Techs!BF115 + tech_7_3_2*Techs!BN115) * (1 + Production!O115/100*prestige_pop_multiplier) + Production!O115/100*prestige_pop_multiplier</f>
        <v>2.5000000000000001E-2</v>
      </c>
    </row>
    <row r="116" spans="1:29" x14ac:dyDescent="0.2">
      <c r="A116" s="137">
        <f>TblRezone[[#This Row],[Hour]]</f>
        <v>113</v>
      </c>
      <c r="B116" s="138">
        <f ca="1">TblImps[[#This Row],[Time]]</f>
        <v>46324.666666666395</v>
      </c>
      <c r="C116" s="94">
        <f ca="1">OFFSET(TblPop[[#This Row],[Peasants]],-1,0)+OFFSET(TblPop[[#This Row],[Net Peasant]],-1,0)+TblMili[[#This Row],[Release Draft]]</f>
        <v>149</v>
      </c>
      <c r="D116" s="94">
        <f ca="1">TblMili[[#This Row],[Military]]</f>
        <v>620</v>
      </c>
      <c r="E116" s="94">
        <f ca="1">TblMili[[#This Row],[Draftees]]</f>
        <v>620</v>
      </c>
      <c r="F116" s="94">
        <f ca="1">TblPop[[#This Row],[Peasants]]+TblPop[[#This Row],[Military]]</f>
        <v>769</v>
      </c>
      <c r="G116" s="139">
        <f ca="1">TblPop[[#This Row],[Military]]/TblPop[[#This Row],[Total]]</f>
        <v>0.80624187256176849</v>
      </c>
      <c r="H116" s="140">
        <f ca="1">MIN(TblPop[[#This Row],[Peasants]],TblPop[[#This Row],[Jobs]])</f>
        <v>149</v>
      </c>
      <c r="I116" s="139">
        <f ca="1">MIN(OFFSET(TblPop[[#This Row],[Jobs]],1,0)/TblPop[[#This Row],[Peasants]],1)</f>
        <v>1</v>
      </c>
      <c r="J116" s="140">
        <f ca="1">SUM(TblConstr[[#This Row],[Tot Alc]:[Tot GT]],TblConstr[[#This Row],[Tot Shr]:[Tot Doc]],TblConstr[[#This Row],[Dest Alc]:[Dest GT]],TblConstr[[#This Row],[Dest Shr]:[Dest Doc]])*building_employment + TblConstr[[#This Row],[Tot Fac]]*bonus_jobs_facts</f>
        <v>1000</v>
      </c>
      <c r="K116" s="141"/>
      <c r="L116" s="61">
        <f ca="1">TblPop[[#This Row],[Draftees]]</f>
        <v>620</v>
      </c>
      <c r="M116" s="61">
        <f ca="1">TblMili[[#This Row],[Unit 1]]</f>
        <v>0</v>
      </c>
      <c r="N116" s="61">
        <f ca="1">TblMili[[#This Row],[Unit 2]]</f>
        <v>0</v>
      </c>
      <c r="O116" s="61">
        <f ca="1">TblMili[[#This Row],[Unit 3]]</f>
        <v>0</v>
      </c>
      <c r="P116" s="61">
        <f ca="1">TblMili[[#This Row],[Unit 4]]</f>
        <v>0</v>
      </c>
      <c r="Q116" s="61">
        <f ca="1">TblMili[[#This Row],[Spies]]</f>
        <v>0</v>
      </c>
      <c r="R116" s="61">
        <f ca="1">TblMili[[#This Row],[Wizards]]</f>
        <v>0</v>
      </c>
      <c r="S116" s="61">
        <f ca="1">TblMili[[#This Row],[Archmages]]</f>
        <v>0</v>
      </c>
      <c r="T116" s="142"/>
      <c r="U116" s="94">
        <f ca="1">ROUND(TblPop[[#This Row],[Raw max]]*(1+OFFSET(TblPop[[#This Row],[Max pop]],-1,0)),0)+MIN(TblPop[[#This Row],[Military]]-TblPop[[#This Row],[Draftees]]-SUM(TblMili[[#This Row],[Train Unit 1]:[Train AM]]),(barracks_size + tech_8_3*TblTech[[#This Row],[8-3]])*TblConstr[[#This Row],[Tot Bar]])</f>
        <v>769</v>
      </c>
      <c r="V11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6" s="94">
        <f ca="1">MAX(-5%*TblPop[[#This Row],[Peasants]]-TblPop[[#This Row],[Draft Growth]],MIN(OFFSET(TblPop[[#This Row],[Net max]],1,0)-TblPop[[#This Row],[Peasants]]-TblPop[[#This Row],[Military]]-TblPop[[#This Row],[Draft Growth]],TblPop[[#This Row],[Modded Birth]]-TblPop[[#This Row],[Draft Growth]]))</f>
        <v>-1</v>
      </c>
      <c r="X116" s="94">
        <f ca="1">ROUND(TblPop[[#This Row],[Raw Birth]]*(1+TblPop[[#This Row],[Growth]]),0)</f>
        <v>4</v>
      </c>
      <c r="Y116" s="94">
        <f ca="1">(TblPop[[#This Row],[Peasants]]-TblPop[[#This Row],[Draft Growth]])*raw_pop_growth</f>
        <v>4.4399999999999995</v>
      </c>
      <c r="Z116" s="94">
        <f ca="1">ROUND(IF(TblPop[[#This Row],[Military%]]&lt;TblMili[[#This Row],[Draftrate]],ROUND(TblPop[[#This Row],[Peasants]]*Constants!$B$55,0), 0) * IF(AND(TblMagic[[#This Row],[Active DnD]]&lt;=12,TblMagic[[#This Row],[Active DnD]]&gt;6),1.5,1),0)</f>
        <v>1</v>
      </c>
      <c r="AA116" s="142"/>
      <c r="AB116" s="143">
        <f ca="1">Overview!$I$17 + IF(Magic!AF116&gt;0,Constants!$F$78) + ROUND(6*(Construction!BM117+Construction!CK116)/IF(Explore!S117&gt;0,Construction!F117-20,Construction!F117),4) + tech_6_5_2*Techs!BJ116 + tech_8_4*Techs!BT116</f>
        <v>0</v>
      </c>
      <c r="AC116" s="139">
        <f ca="1">(Overview!$I$16 + Imps!Z116+ tech_2_5*Techs!AB116 + tech_3_6*Techs!AM116 + tech_6_1*Techs!BJ116 + tech_6_5*Techs!BF116 + tech_7_3_2*Techs!BN116) * (1 + Production!O116/100*prestige_pop_multiplier) + Production!O116/100*prestige_pop_multiplier</f>
        <v>2.5000000000000001E-2</v>
      </c>
    </row>
    <row r="117" spans="1:29" x14ac:dyDescent="0.2">
      <c r="A117" s="137">
        <f>TblRezone[[#This Row],[Hour]]</f>
        <v>114</v>
      </c>
      <c r="B117" s="138">
        <f ca="1">TblImps[[#This Row],[Time]]</f>
        <v>46324.708333333059</v>
      </c>
      <c r="C117" s="94">
        <f ca="1">OFFSET(TblPop[[#This Row],[Peasants]],-1,0)+OFFSET(TblPop[[#This Row],[Net Peasant]],-1,0)+TblMili[[#This Row],[Release Draft]]</f>
        <v>148</v>
      </c>
      <c r="D117" s="94">
        <f ca="1">TblMili[[#This Row],[Military]]</f>
        <v>621</v>
      </c>
      <c r="E117" s="94">
        <f ca="1">TblMili[[#This Row],[Draftees]]</f>
        <v>621</v>
      </c>
      <c r="F117" s="94">
        <f ca="1">TblPop[[#This Row],[Peasants]]+TblPop[[#This Row],[Military]]</f>
        <v>769</v>
      </c>
      <c r="G117" s="139">
        <f ca="1">TblPop[[#This Row],[Military]]/TblPop[[#This Row],[Total]]</f>
        <v>0.80754226267880369</v>
      </c>
      <c r="H117" s="140">
        <f ca="1">MIN(TblPop[[#This Row],[Peasants]],TblPop[[#This Row],[Jobs]])</f>
        <v>148</v>
      </c>
      <c r="I117" s="139">
        <f ca="1">MIN(OFFSET(TblPop[[#This Row],[Jobs]],1,0)/TblPop[[#This Row],[Peasants]],1)</f>
        <v>1</v>
      </c>
      <c r="J117" s="140">
        <f ca="1">SUM(TblConstr[[#This Row],[Tot Alc]:[Tot GT]],TblConstr[[#This Row],[Tot Shr]:[Tot Doc]],TblConstr[[#This Row],[Dest Alc]:[Dest GT]],TblConstr[[#This Row],[Dest Shr]:[Dest Doc]])*building_employment + TblConstr[[#This Row],[Tot Fac]]*bonus_jobs_facts</f>
        <v>1000</v>
      </c>
      <c r="K117" s="141"/>
      <c r="L117" s="61">
        <f ca="1">TblPop[[#This Row],[Draftees]]</f>
        <v>621</v>
      </c>
      <c r="M117" s="61">
        <f ca="1">TblMili[[#This Row],[Unit 1]]</f>
        <v>0</v>
      </c>
      <c r="N117" s="61">
        <f ca="1">TblMili[[#This Row],[Unit 2]]</f>
        <v>0</v>
      </c>
      <c r="O117" s="61">
        <f ca="1">TblMili[[#This Row],[Unit 3]]</f>
        <v>0</v>
      </c>
      <c r="P117" s="61">
        <f ca="1">TblMili[[#This Row],[Unit 4]]</f>
        <v>0</v>
      </c>
      <c r="Q117" s="61">
        <f ca="1">TblMili[[#This Row],[Spies]]</f>
        <v>0</v>
      </c>
      <c r="R117" s="61">
        <f ca="1">TblMili[[#This Row],[Wizards]]</f>
        <v>0</v>
      </c>
      <c r="S117" s="61">
        <f ca="1">TblMili[[#This Row],[Archmages]]</f>
        <v>0</v>
      </c>
      <c r="T117" s="142"/>
      <c r="U117" s="94">
        <f ca="1">ROUND(TblPop[[#This Row],[Raw max]]*(1+OFFSET(TblPop[[#This Row],[Max pop]],-1,0)),0)+MIN(TblPop[[#This Row],[Military]]-TblPop[[#This Row],[Draftees]]-SUM(TblMili[[#This Row],[Train Unit 1]:[Train AM]]),(barracks_size + tech_8_3*TblTech[[#This Row],[8-3]])*TblConstr[[#This Row],[Tot Bar]])</f>
        <v>769</v>
      </c>
      <c r="V11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7" s="94">
        <f ca="1">MAX(-5%*TblPop[[#This Row],[Peasants]]-TblPop[[#This Row],[Draft Growth]],MIN(OFFSET(TblPop[[#This Row],[Net max]],1,0)-TblPop[[#This Row],[Peasants]]-TblPop[[#This Row],[Military]]-TblPop[[#This Row],[Draft Growth]],TblPop[[#This Row],[Modded Birth]]-TblPop[[#This Row],[Draft Growth]]))</f>
        <v>-1</v>
      </c>
      <c r="X117" s="94">
        <f ca="1">ROUND(TblPop[[#This Row],[Raw Birth]]*(1+TblPop[[#This Row],[Growth]]),0)</f>
        <v>4</v>
      </c>
      <c r="Y117" s="94">
        <f ca="1">(TblPop[[#This Row],[Peasants]]-TblPop[[#This Row],[Draft Growth]])*raw_pop_growth</f>
        <v>4.41</v>
      </c>
      <c r="Z117" s="94">
        <f ca="1">ROUND(IF(TblPop[[#This Row],[Military%]]&lt;TblMili[[#This Row],[Draftrate]],ROUND(TblPop[[#This Row],[Peasants]]*Constants!$B$55,0), 0) * IF(AND(TblMagic[[#This Row],[Active DnD]]&lt;=12,TblMagic[[#This Row],[Active DnD]]&gt;6),1.5,1),0)</f>
        <v>1</v>
      </c>
      <c r="AA117" s="142"/>
      <c r="AB117" s="143">
        <f ca="1">Overview!$I$17 + IF(Magic!AF117&gt;0,Constants!$F$78) + ROUND(6*(Construction!BM118+Construction!CK117)/IF(Explore!S118&gt;0,Construction!F118-20,Construction!F118),4) + tech_6_5_2*Techs!BJ117 + tech_8_4*Techs!BT117</f>
        <v>0</v>
      </c>
      <c r="AC117" s="139">
        <f ca="1">(Overview!$I$16 + Imps!Z117+ tech_2_5*Techs!AB117 + tech_3_6*Techs!AM117 + tech_6_1*Techs!BJ117 + tech_6_5*Techs!BF117 + tech_7_3_2*Techs!BN117) * (1 + Production!O117/100*prestige_pop_multiplier) + Production!O117/100*prestige_pop_multiplier</f>
        <v>2.5000000000000001E-2</v>
      </c>
    </row>
    <row r="118" spans="1:29" x14ac:dyDescent="0.2">
      <c r="A118" s="137">
        <f>TblRezone[[#This Row],[Hour]]</f>
        <v>115</v>
      </c>
      <c r="B118" s="138">
        <f ca="1">TblImps[[#This Row],[Time]]</f>
        <v>46324.749999999724</v>
      </c>
      <c r="C118" s="94">
        <f ca="1">OFFSET(TblPop[[#This Row],[Peasants]],-1,0)+OFFSET(TblPop[[#This Row],[Net Peasant]],-1,0)+TblMili[[#This Row],[Release Draft]]</f>
        <v>147</v>
      </c>
      <c r="D118" s="94">
        <f ca="1">TblMili[[#This Row],[Military]]</f>
        <v>622</v>
      </c>
      <c r="E118" s="94">
        <f ca="1">TblMili[[#This Row],[Draftees]]</f>
        <v>622</v>
      </c>
      <c r="F118" s="94">
        <f ca="1">TblPop[[#This Row],[Peasants]]+TblPop[[#This Row],[Military]]</f>
        <v>769</v>
      </c>
      <c r="G118" s="139">
        <f ca="1">TblPop[[#This Row],[Military]]/TblPop[[#This Row],[Total]]</f>
        <v>0.80884265279583878</v>
      </c>
      <c r="H118" s="140">
        <f ca="1">MIN(TblPop[[#This Row],[Peasants]],TblPop[[#This Row],[Jobs]])</f>
        <v>147</v>
      </c>
      <c r="I118" s="139">
        <f ca="1">MIN(OFFSET(TblPop[[#This Row],[Jobs]],1,0)/TblPop[[#This Row],[Peasants]],1)</f>
        <v>1</v>
      </c>
      <c r="J118" s="140">
        <f ca="1">SUM(TblConstr[[#This Row],[Tot Alc]:[Tot GT]],TblConstr[[#This Row],[Tot Shr]:[Tot Doc]],TblConstr[[#This Row],[Dest Alc]:[Dest GT]],TblConstr[[#This Row],[Dest Shr]:[Dest Doc]])*building_employment + TblConstr[[#This Row],[Tot Fac]]*bonus_jobs_facts</f>
        <v>1000</v>
      </c>
      <c r="K118" s="141"/>
      <c r="L118" s="61">
        <f ca="1">TblPop[[#This Row],[Draftees]]</f>
        <v>622</v>
      </c>
      <c r="M118" s="61">
        <f ca="1">TblMili[[#This Row],[Unit 1]]</f>
        <v>0</v>
      </c>
      <c r="N118" s="61">
        <f ca="1">TblMili[[#This Row],[Unit 2]]</f>
        <v>0</v>
      </c>
      <c r="O118" s="61">
        <f ca="1">TblMili[[#This Row],[Unit 3]]</f>
        <v>0</v>
      </c>
      <c r="P118" s="61">
        <f ca="1">TblMili[[#This Row],[Unit 4]]</f>
        <v>0</v>
      </c>
      <c r="Q118" s="61">
        <f ca="1">TblMili[[#This Row],[Spies]]</f>
        <v>0</v>
      </c>
      <c r="R118" s="61">
        <f ca="1">TblMili[[#This Row],[Wizards]]</f>
        <v>0</v>
      </c>
      <c r="S118" s="61">
        <f ca="1">TblMili[[#This Row],[Archmages]]</f>
        <v>0</v>
      </c>
      <c r="T118" s="142"/>
      <c r="U118" s="94">
        <f ca="1">ROUND(TblPop[[#This Row],[Raw max]]*(1+OFFSET(TblPop[[#This Row],[Max pop]],-1,0)),0)+MIN(TblPop[[#This Row],[Military]]-TblPop[[#This Row],[Draftees]]-SUM(TblMili[[#This Row],[Train Unit 1]:[Train AM]]),(barracks_size + tech_8_3*TblTech[[#This Row],[8-3]])*TblConstr[[#This Row],[Tot Bar]])</f>
        <v>769</v>
      </c>
      <c r="V11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8" s="94">
        <f ca="1">MAX(-5%*TblPop[[#This Row],[Peasants]]-TblPop[[#This Row],[Draft Growth]],MIN(OFFSET(TblPop[[#This Row],[Net max]],1,0)-TblPop[[#This Row],[Peasants]]-TblPop[[#This Row],[Military]]-TblPop[[#This Row],[Draft Growth]],TblPop[[#This Row],[Modded Birth]]-TblPop[[#This Row],[Draft Growth]]))</f>
        <v>-1</v>
      </c>
      <c r="X118" s="94">
        <f ca="1">ROUND(TblPop[[#This Row],[Raw Birth]]*(1+TblPop[[#This Row],[Growth]]),0)</f>
        <v>4</v>
      </c>
      <c r="Y118" s="94">
        <f ca="1">(TblPop[[#This Row],[Peasants]]-TblPop[[#This Row],[Draft Growth]])*raw_pop_growth</f>
        <v>4.38</v>
      </c>
      <c r="Z118" s="94">
        <f ca="1">ROUND(IF(TblPop[[#This Row],[Military%]]&lt;TblMili[[#This Row],[Draftrate]],ROUND(TblPop[[#This Row],[Peasants]]*Constants!$B$55,0), 0) * IF(AND(TblMagic[[#This Row],[Active DnD]]&lt;=12,TblMagic[[#This Row],[Active DnD]]&gt;6),1.5,1),0)</f>
        <v>1</v>
      </c>
      <c r="AA118" s="142"/>
      <c r="AB118" s="143">
        <f ca="1">Overview!$I$17 + IF(Magic!AF118&gt;0,Constants!$F$78) + ROUND(6*(Construction!BM119+Construction!CK118)/IF(Explore!S119&gt;0,Construction!F119-20,Construction!F119),4) + tech_6_5_2*Techs!BJ118 + tech_8_4*Techs!BT118</f>
        <v>0</v>
      </c>
      <c r="AC118" s="139">
        <f ca="1">(Overview!$I$16 + Imps!Z118+ tech_2_5*Techs!AB118 + tech_3_6*Techs!AM118 + tech_6_1*Techs!BJ118 + tech_6_5*Techs!BF118 + tech_7_3_2*Techs!BN118) * (1 + Production!O118/100*prestige_pop_multiplier) + Production!O118/100*prestige_pop_multiplier</f>
        <v>2.5000000000000001E-2</v>
      </c>
    </row>
    <row r="119" spans="1:29" x14ac:dyDescent="0.2">
      <c r="A119" s="137">
        <f>TblRezone[[#This Row],[Hour]]</f>
        <v>116</v>
      </c>
      <c r="B119" s="138">
        <f ca="1">TblImps[[#This Row],[Time]]</f>
        <v>46324.791666666388</v>
      </c>
      <c r="C119" s="94">
        <f ca="1">OFFSET(TblPop[[#This Row],[Peasants]],-1,0)+OFFSET(TblPop[[#This Row],[Net Peasant]],-1,0)+TblMili[[#This Row],[Release Draft]]</f>
        <v>146</v>
      </c>
      <c r="D119" s="94">
        <f ca="1">TblMili[[#This Row],[Military]]</f>
        <v>623</v>
      </c>
      <c r="E119" s="94">
        <f ca="1">TblMili[[#This Row],[Draftees]]</f>
        <v>623</v>
      </c>
      <c r="F119" s="94">
        <f ca="1">TblPop[[#This Row],[Peasants]]+TblPop[[#This Row],[Military]]</f>
        <v>769</v>
      </c>
      <c r="G119" s="139">
        <f ca="1">TblPop[[#This Row],[Military]]/TblPop[[#This Row],[Total]]</f>
        <v>0.81014304291287387</v>
      </c>
      <c r="H119" s="140">
        <f ca="1">MIN(TblPop[[#This Row],[Peasants]],TblPop[[#This Row],[Jobs]])</f>
        <v>146</v>
      </c>
      <c r="I119" s="139">
        <f ca="1">MIN(OFFSET(TblPop[[#This Row],[Jobs]],1,0)/TblPop[[#This Row],[Peasants]],1)</f>
        <v>1</v>
      </c>
      <c r="J119" s="140">
        <f ca="1">SUM(TblConstr[[#This Row],[Tot Alc]:[Tot GT]],TblConstr[[#This Row],[Tot Shr]:[Tot Doc]],TblConstr[[#This Row],[Dest Alc]:[Dest GT]],TblConstr[[#This Row],[Dest Shr]:[Dest Doc]])*building_employment + TblConstr[[#This Row],[Tot Fac]]*bonus_jobs_facts</f>
        <v>1000</v>
      </c>
      <c r="K119" s="141"/>
      <c r="L119" s="61">
        <f ca="1">TblPop[[#This Row],[Draftees]]</f>
        <v>623</v>
      </c>
      <c r="M119" s="61">
        <f ca="1">TblMili[[#This Row],[Unit 1]]</f>
        <v>0</v>
      </c>
      <c r="N119" s="61">
        <f ca="1">TblMili[[#This Row],[Unit 2]]</f>
        <v>0</v>
      </c>
      <c r="O119" s="61">
        <f ca="1">TblMili[[#This Row],[Unit 3]]</f>
        <v>0</v>
      </c>
      <c r="P119" s="61">
        <f ca="1">TblMili[[#This Row],[Unit 4]]</f>
        <v>0</v>
      </c>
      <c r="Q119" s="61">
        <f ca="1">TblMili[[#This Row],[Spies]]</f>
        <v>0</v>
      </c>
      <c r="R119" s="61">
        <f ca="1">TblMili[[#This Row],[Wizards]]</f>
        <v>0</v>
      </c>
      <c r="S119" s="61">
        <f ca="1">TblMili[[#This Row],[Archmages]]</f>
        <v>0</v>
      </c>
      <c r="T119" s="142"/>
      <c r="U119" s="94">
        <f ca="1">ROUND(TblPop[[#This Row],[Raw max]]*(1+OFFSET(TblPop[[#This Row],[Max pop]],-1,0)),0)+MIN(TblPop[[#This Row],[Military]]-TblPop[[#This Row],[Draftees]]-SUM(TblMili[[#This Row],[Train Unit 1]:[Train AM]]),(barracks_size + tech_8_3*TblTech[[#This Row],[8-3]])*TblConstr[[#This Row],[Tot Bar]])</f>
        <v>769</v>
      </c>
      <c r="V11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9" s="94">
        <f ca="1">MAX(-5%*TblPop[[#This Row],[Peasants]]-TblPop[[#This Row],[Draft Growth]],MIN(OFFSET(TblPop[[#This Row],[Net max]],1,0)-TblPop[[#This Row],[Peasants]]-TblPop[[#This Row],[Military]]-TblPop[[#This Row],[Draft Growth]],TblPop[[#This Row],[Modded Birth]]-TblPop[[#This Row],[Draft Growth]]))</f>
        <v>-1</v>
      </c>
      <c r="X119" s="94">
        <f ca="1">ROUND(TblPop[[#This Row],[Raw Birth]]*(1+TblPop[[#This Row],[Growth]]),0)</f>
        <v>4</v>
      </c>
      <c r="Y119" s="94">
        <f ca="1">(TblPop[[#This Row],[Peasants]]-TblPop[[#This Row],[Draft Growth]])*raw_pop_growth</f>
        <v>4.3499999999999996</v>
      </c>
      <c r="Z119" s="94">
        <f ca="1">ROUND(IF(TblPop[[#This Row],[Military%]]&lt;TblMili[[#This Row],[Draftrate]],ROUND(TblPop[[#This Row],[Peasants]]*Constants!$B$55,0), 0) * IF(AND(TblMagic[[#This Row],[Active DnD]]&lt;=12,TblMagic[[#This Row],[Active DnD]]&gt;6),1.5,1),0)</f>
        <v>1</v>
      </c>
      <c r="AA119" s="142"/>
      <c r="AB119" s="143">
        <f ca="1">Overview!$I$17 + IF(Magic!AF119&gt;0,Constants!$F$78) + ROUND(6*(Construction!BM120+Construction!CK119)/IF(Explore!S120&gt;0,Construction!F120-20,Construction!F120),4) + tech_6_5_2*Techs!BJ119 + tech_8_4*Techs!BT119</f>
        <v>0</v>
      </c>
      <c r="AC119" s="139">
        <f ca="1">(Overview!$I$16 + Imps!Z119+ tech_2_5*Techs!AB119 + tech_3_6*Techs!AM119 + tech_6_1*Techs!BJ119 + tech_6_5*Techs!BF119 + tech_7_3_2*Techs!BN119) * (1 + Production!O119/100*prestige_pop_multiplier) + Production!O119/100*prestige_pop_multiplier</f>
        <v>2.5000000000000001E-2</v>
      </c>
    </row>
    <row r="120" spans="1:29" x14ac:dyDescent="0.2">
      <c r="A120" s="137">
        <f>TblRezone[[#This Row],[Hour]]</f>
        <v>117</v>
      </c>
      <c r="B120" s="138">
        <f ca="1">TblImps[[#This Row],[Time]]</f>
        <v>46324.833333333052</v>
      </c>
      <c r="C120" s="94">
        <f ca="1">OFFSET(TblPop[[#This Row],[Peasants]],-1,0)+OFFSET(TblPop[[#This Row],[Net Peasant]],-1,0)+TblMili[[#This Row],[Release Draft]]</f>
        <v>145</v>
      </c>
      <c r="D120" s="94">
        <f ca="1">TblMili[[#This Row],[Military]]</f>
        <v>624</v>
      </c>
      <c r="E120" s="94">
        <f ca="1">TblMili[[#This Row],[Draftees]]</f>
        <v>624</v>
      </c>
      <c r="F120" s="94">
        <f ca="1">TblPop[[#This Row],[Peasants]]+TblPop[[#This Row],[Military]]</f>
        <v>769</v>
      </c>
      <c r="G120" s="139">
        <f ca="1">TblPop[[#This Row],[Military]]/TblPop[[#This Row],[Total]]</f>
        <v>0.81144343302990896</v>
      </c>
      <c r="H120" s="140">
        <f ca="1">MIN(TblPop[[#This Row],[Peasants]],TblPop[[#This Row],[Jobs]])</f>
        <v>145</v>
      </c>
      <c r="I120" s="139">
        <f ca="1">MIN(OFFSET(TblPop[[#This Row],[Jobs]],1,0)/TblPop[[#This Row],[Peasants]],1)</f>
        <v>1</v>
      </c>
      <c r="J120" s="140">
        <f ca="1">SUM(TblConstr[[#This Row],[Tot Alc]:[Tot GT]],TblConstr[[#This Row],[Tot Shr]:[Tot Doc]],TblConstr[[#This Row],[Dest Alc]:[Dest GT]],TblConstr[[#This Row],[Dest Shr]:[Dest Doc]])*building_employment + TblConstr[[#This Row],[Tot Fac]]*bonus_jobs_facts</f>
        <v>1000</v>
      </c>
      <c r="K120" s="141"/>
      <c r="L120" s="61">
        <f ca="1">TblPop[[#This Row],[Draftees]]</f>
        <v>624</v>
      </c>
      <c r="M120" s="61">
        <f ca="1">TblMili[[#This Row],[Unit 1]]</f>
        <v>0</v>
      </c>
      <c r="N120" s="61">
        <f ca="1">TblMili[[#This Row],[Unit 2]]</f>
        <v>0</v>
      </c>
      <c r="O120" s="61">
        <f ca="1">TblMili[[#This Row],[Unit 3]]</f>
        <v>0</v>
      </c>
      <c r="P120" s="61">
        <f ca="1">TblMili[[#This Row],[Unit 4]]</f>
        <v>0</v>
      </c>
      <c r="Q120" s="61">
        <f ca="1">TblMili[[#This Row],[Spies]]</f>
        <v>0</v>
      </c>
      <c r="R120" s="61">
        <f ca="1">TblMili[[#This Row],[Wizards]]</f>
        <v>0</v>
      </c>
      <c r="S120" s="61">
        <f ca="1">TblMili[[#This Row],[Archmages]]</f>
        <v>0</v>
      </c>
      <c r="T120" s="142"/>
      <c r="U120" s="94">
        <f ca="1">ROUND(TblPop[[#This Row],[Raw max]]*(1+OFFSET(TblPop[[#This Row],[Max pop]],-1,0)),0)+MIN(TblPop[[#This Row],[Military]]-TblPop[[#This Row],[Draftees]]-SUM(TblMili[[#This Row],[Train Unit 1]:[Train AM]]),(barracks_size + tech_8_3*TblTech[[#This Row],[8-3]])*TblConstr[[#This Row],[Tot Bar]])</f>
        <v>769</v>
      </c>
      <c r="V12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0" s="94">
        <f ca="1">MAX(-5%*TblPop[[#This Row],[Peasants]]-TblPop[[#This Row],[Draft Growth]],MIN(OFFSET(TblPop[[#This Row],[Net max]],1,0)-TblPop[[#This Row],[Peasants]]-TblPop[[#This Row],[Military]]-TblPop[[#This Row],[Draft Growth]],TblPop[[#This Row],[Modded Birth]]-TblPop[[#This Row],[Draft Growth]]))</f>
        <v>-1</v>
      </c>
      <c r="X120" s="94">
        <f ca="1">ROUND(TblPop[[#This Row],[Raw Birth]]*(1+TblPop[[#This Row],[Growth]]),0)</f>
        <v>4</v>
      </c>
      <c r="Y120" s="94">
        <f ca="1">(TblPop[[#This Row],[Peasants]]-TblPop[[#This Row],[Draft Growth]])*raw_pop_growth</f>
        <v>4.32</v>
      </c>
      <c r="Z120" s="94">
        <f ca="1">ROUND(IF(TblPop[[#This Row],[Military%]]&lt;TblMili[[#This Row],[Draftrate]],ROUND(TblPop[[#This Row],[Peasants]]*Constants!$B$55,0), 0) * IF(AND(TblMagic[[#This Row],[Active DnD]]&lt;=12,TblMagic[[#This Row],[Active DnD]]&gt;6),1.5,1),0)</f>
        <v>1</v>
      </c>
      <c r="AA120" s="142"/>
      <c r="AB120" s="143">
        <f ca="1">Overview!$I$17 + IF(Magic!AF120&gt;0,Constants!$F$78) + ROUND(6*(Construction!BM121+Construction!CK120)/IF(Explore!S121&gt;0,Construction!F121-20,Construction!F121),4) + tech_6_5_2*Techs!BJ120 + tech_8_4*Techs!BT120</f>
        <v>0</v>
      </c>
      <c r="AC120" s="139">
        <f ca="1">(Overview!$I$16 + Imps!Z120+ tech_2_5*Techs!AB120 + tech_3_6*Techs!AM120 + tech_6_1*Techs!BJ120 + tech_6_5*Techs!BF120 + tech_7_3_2*Techs!BN120) * (1 + Production!O120/100*prestige_pop_multiplier) + Production!O120/100*prestige_pop_multiplier</f>
        <v>2.5000000000000001E-2</v>
      </c>
    </row>
    <row r="121" spans="1:29" x14ac:dyDescent="0.2">
      <c r="A121" s="137">
        <f>TblRezone[[#This Row],[Hour]]</f>
        <v>118</v>
      </c>
      <c r="B121" s="138">
        <f ca="1">TblImps[[#This Row],[Time]]</f>
        <v>46324.874999999716</v>
      </c>
      <c r="C121" s="94">
        <f ca="1">OFFSET(TblPop[[#This Row],[Peasants]],-1,0)+OFFSET(TblPop[[#This Row],[Net Peasant]],-1,0)+TblMili[[#This Row],[Release Draft]]</f>
        <v>144</v>
      </c>
      <c r="D121" s="94">
        <f ca="1">TblMili[[#This Row],[Military]]</f>
        <v>625</v>
      </c>
      <c r="E121" s="94">
        <f ca="1">TblMili[[#This Row],[Draftees]]</f>
        <v>625</v>
      </c>
      <c r="F121" s="94">
        <f ca="1">TblPop[[#This Row],[Peasants]]+TblPop[[#This Row],[Military]]</f>
        <v>769</v>
      </c>
      <c r="G121" s="139">
        <f ca="1">TblPop[[#This Row],[Military]]/TblPop[[#This Row],[Total]]</f>
        <v>0.81274382314694404</v>
      </c>
      <c r="H121" s="140">
        <f ca="1">MIN(TblPop[[#This Row],[Peasants]],TblPop[[#This Row],[Jobs]])</f>
        <v>144</v>
      </c>
      <c r="I121" s="139">
        <f ca="1">MIN(OFFSET(TblPop[[#This Row],[Jobs]],1,0)/TblPop[[#This Row],[Peasants]],1)</f>
        <v>1</v>
      </c>
      <c r="J121" s="140">
        <f ca="1">SUM(TblConstr[[#This Row],[Tot Alc]:[Tot GT]],TblConstr[[#This Row],[Tot Shr]:[Tot Doc]],TblConstr[[#This Row],[Dest Alc]:[Dest GT]],TblConstr[[#This Row],[Dest Shr]:[Dest Doc]])*building_employment + TblConstr[[#This Row],[Tot Fac]]*bonus_jobs_facts</f>
        <v>1000</v>
      </c>
      <c r="K121" s="141"/>
      <c r="L121" s="61">
        <f ca="1">TblPop[[#This Row],[Draftees]]</f>
        <v>625</v>
      </c>
      <c r="M121" s="61">
        <f ca="1">TblMili[[#This Row],[Unit 1]]</f>
        <v>0</v>
      </c>
      <c r="N121" s="61">
        <f ca="1">TblMili[[#This Row],[Unit 2]]</f>
        <v>0</v>
      </c>
      <c r="O121" s="61">
        <f ca="1">TblMili[[#This Row],[Unit 3]]</f>
        <v>0</v>
      </c>
      <c r="P121" s="61">
        <f ca="1">TblMili[[#This Row],[Unit 4]]</f>
        <v>0</v>
      </c>
      <c r="Q121" s="61">
        <f ca="1">TblMili[[#This Row],[Spies]]</f>
        <v>0</v>
      </c>
      <c r="R121" s="61">
        <f ca="1">TblMili[[#This Row],[Wizards]]</f>
        <v>0</v>
      </c>
      <c r="S121" s="61">
        <f ca="1">TblMili[[#This Row],[Archmages]]</f>
        <v>0</v>
      </c>
      <c r="T121" s="142"/>
      <c r="U121" s="94">
        <f ca="1">ROUND(TblPop[[#This Row],[Raw max]]*(1+OFFSET(TblPop[[#This Row],[Max pop]],-1,0)),0)+MIN(TblPop[[#This Row],[Military]]-TblPop[[#This Row],[Draftees]]-SUM(TblMili[[#This Row],[Train Unit 1]:[Train AM]]),(barracks_size + tech_8_3*TblTech[[#This Row],[8-3]])*TblConstr[[#This Row],[Tot Bar]])</f>
        <v>769</v>
      </c>
      <c r="V12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1" s="94">
        <f ca="1">MAX(-5%*TblPop[[#This Row],[Peasants]]-TblPop[[#This Row],[Draft Growth]],MIN(OFFSET(TblPop[[#This Row],[Net max]],1,0)-TblPop[[#This Row],[Peasants]]-TblPop[[#This Row],[Military]]-TblPop[[#This Row],[Draft Growth]],TblPop[[#This Row],[Modded Birth]]-TblPop[[#This Row],[Draft Growth]]))</f>
        <v>-1</v>
      </c>
      <c r="X121" s="94">
        <f ca="1">ROUND(TblPop[[#This Row],[Raw Birth]]*(1+TblPop[[#This Row],[Growth]]),0)</f>
        <v>4</v>
      </c>
      <c r="Y121" s="94">
        <f ca="1">(TblPop[[#This Row],[Peasants]]-TblPop[[#This Row],[Draft Growth]])*raw_pop_growth</f>
        <v>4.29</v>
      </c>
      <c r="Z121" s="94">
        <f ca="1">ROUND(IF(TblPop[[#This Row],[Military%]]&lt;TblMili[[#This Row],[Draftrate]],ROUND(TblPop[[#This Row],[Peasants]]*Constants!$B$55,0), 0) * IF(AND(TblMagic[[#This Row],[Active DnD]]&lt;=12,TblMagic[[#This Row],[Active DnD]]&gt;6),1.5,1),0)</f>
        <v>1</v>
      </c>
      <c r="AA121" s="142"/>
      <c r="AB121" s="143">
        <f ca="1">Overview!$I$17 + IF(Magic!AF121&gt;0,Constants!$F$78) + ROUND(6*(Construction!BM122+Construction!CK121)/IF(Explore!S122&gt;0,Construction!F122-20,Construction!F122),4) + tech_6_5_2*Techs!BJ121 + tech_8_4*Techs!BT121</f>
        <v>0</v>
      </c>
      <c r="AC121" s="139">
        <f ca="1">(Overview!$I$16 + Imps!Z121+ tech_2_5*Techs!AB121 + tech_3_6*Techs!AM121 + tech_6_1*Techs!BJ121 + tech_6_5*Techs!BF121 + tech_7_3_2*Techs!BN121) * (1 + Production!O121/100*prestige_pop_multiplier) + Production!O121/100*prestige_pop_multiplier</f>
        <v>2.5000000000000001E-2</v>
      </c>
    </row>
    <row r="122" spans="1:29" x14ac:dyDescent="0.2">
      <c r="A122" s="137">
        <f>TblRezone[[#This Row],[Hour]]</f>
        <v>119</v>
      </c>
      <c r="B122" s="138">
        <f ca="1">TblImps[[#This Row],[Time]]</f>
        <v>46324.91666666638</v>
      </c>
      <c r="C122" s="94">
        <f ca="1">OFFSET(TblPop[[#This Row],[Peasants]],-1,0)+OFFSET(TblPop[[#This Row],[Net Peasant]],-1,0)+TblMili[[#This Row],[Release Draft]]</f>
        <v>143</v>
      </c>
      <c r="D122" s="94">
        <f ca="1">TblMili[[#This Row],[Military]]</f>
        <v>626</v>
      </c>
      <c r="E122" s="94">
        <f ca="1">TblMili[[#This Row],[Draftees]]</f>
        <v>626</v>
      </c>
      <c r="F122" s="94">
        <f ca="1">TblPop[[#This Row],[Peasants]]+TblPop[[#This Row],[Military]]</f>
        <v>769</v>
      </c>
      <c r="G122" s="139">
        <f ca="1">TblPop[[#This Row],[Military]]/TblPop[[#This Row],[Total]]</f>
        <v>0.81404421326397924</v>
      </c>
      <c r="H122" s="140">
        <f ca="1">MIN(TblPop[[#This Row],[Peasants]],TblPop[[#This Row],[Jobs]])</f>
        <v>143</v>
      </c>
      <c r="I122" s="139">
        <f ca="1">MIN(OFFSET(TblPop[[#This Row],[Jobs]],1,0)/TblPop[[#This Row],[Peasants]],1)</f>
        <v>1</v>
      </c>
      <c r="J122" s="140">
        <f ca="1">SUM(TblConstr[[#This Row],[Tot Alc]:[Tot GT]],TblConstr[[#This Row],[Tot Shr]:[Tot Doc]],TblConstr[[#This Row],[Dest Alc]:[Dest GT]],TblConstr[[#This Row],[Dest Shr]:[Dest Doc]])*building_employment + TblConstr[[#This Row],[Tot Fac]]*bonus_jobs_facts</f>
        <v>1000</v>
      </c>
      <c r="K122" s="141"/>
      <c r="L122" s="61">
        <f ca="1">TblPop[[#This Row],[Draftees]]</f>
        <v>626</v>
      </c>
      <c r="M122" s="61">
        <f ca="1">TblMili[[#This Row],[Unit 1]]</f>
        <v>0</v>
      </c>
      <c r="N122" s="61">
        <f ca="1">TblMili[[#This Row],[Unit 2]]</f>
        <v>0</v>
      </c>
      <c r="O122" s="61">
        <f ca="1">TblMili[[#This Row],[Unit 3]]</f>
        <v>0</v>
      </c>
      <c r="P122" s="61">
        <f ca="1">TblMili[[#This Row],[Unit 4]]</f>
        <v>0</v>
      </c>
      <c r="Q122" s="61">
        <f ca="1">TblMili[[#This Row],[Spies]]</f>
        <v>0</v>
      </c>
      <c r="R122" s="61">
        <f ca="1">TblMili[[#This Row],[Wizards]]</f>
        <v>0</v>
      </c>
      <c r="S122" s="61">
        <f ca="1">TblMili[[#This Row],[Archmages]]</f>
        <v>0</v>
      </c>
      <c r="T122" s="142"/>
      <c r="U122" s="94">
        <f ca="1">ROUND(TblPop[[#This Row],[Raw max]]*(1+OFFSET(TblPop[[#This Row],[Max pop]],-1,0)),0)+MIN(TblPop[[#This Row],[Military]]-TblPop[[#This Row],[Draftees]]-SUM(TblMili[[#This Row],[Train Unit 1]:[Train AM]]),(barracks_size + tech_8_3*TblTech[[#This Row],[8-3]])*TblConstr[[#This Row],[Tot Bar]])</f>
        <v>769</v>
      </c>
      <c r="V12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2" s="94">
        <f ca="1">MAX(-5%*TblPop[[#This Row],[Peasants]]-TblPop[[#This Row],[Draft Growth]],MIN(OFFSET(TblPop[[#This Row],[Net max]],1,0)-TblPop[[#This Row],[Peasants]]-TblPop[[#This Row],[Military]]-TblPop[[#This Row],[Draft Growth]],TblPop[[#This Row],[Modded Birth]]-TblPop[[#This Row],[Draft Growth]]))</f>
        <v>-1</v>
      </c>
      <c r="X122" s="94">
        <f ca="1">ROUND(TblPop[[#This Row],[Raw Birth]]*(1+TblPop[[#This Row],[Growth]]),0)</f>
        <v>4</v>
      </c>
      <c r="Y122" s="94">
        <f ca="1">(TblPop[[#This Row],[Peasants]]-TblPop[[#This Row],[Draft Growth]])*raw_pop_growth</f>
        <v>4.26</v>
      </c>
      <c r="Z122" s="94">
        <f ca="1">ROUND(IF(TblPop[[#This Row],[Military%]]&lt;TblMili[[#This Row],[Draftrate]],ROUND(TblPop[[#This Row],[Peasants]]*Constants!$B$55,0), 0) * IF(AND(TblMagic[[#This Row],[Active DnD]]&lt;=12,TblMagic[[#This Row],[Active DnD]]&gt;6),1.5,1),0)</f>
        <v>1</v>
      </c>
      <c r="AA122" s="142"/>
      <c r="AB122" s="143">
        <f ca="1">Overview!$I$17 + IF(Magic!AF122&gt;0,Constants!$F$78) + ROUND(6*(Construction!BM123+Construction!CK122)/IF(Explore!S123&gt;0,Construction!F123-20,Construction!F123),4) + tech_6_5_2*Techs!BJ122 + tech_8_4*Techs!BT122</f>
        <v>0</v>
      </c>
      <c r="AC122" s="139">
        <f ca="1">(Overview!$I$16 + Imps!Z122+ tech_2_5*Techs!AB122 + tech_3_6*Techs!AM122 + tech_6_1*Techs!BJ122 + tech_6_5*Techs!BF122 + tech_7_3_2*Techs!BN122) * (1 + Production!O122/100*prestige_pop_multiplier) + Production!O122/100*prestige_pop_multiplier</f>
        <v>2.5000000000000001E-2</v>
      </c>
    </row>
    <row r="123" spans="1:29" x14ac:dyDescent="0.2">
      <c r="A123" s="137">
        <f>TblRezone[[#This Row],[Hour]]</f>
        <v>120</v>
      </c>
      <c r="B123" s="138">
        <f ca="1">TblImps[[#This Row],[Time]]</f>
        <v>46324.958333333045</v>
      </c>
      <c r="C123" s="94">
        <f ca="1">OFFSET(TblPop[[#This Row],[Peasants]],-1,0)+OFFSET(TblPop[[#This Row],[Net Peasant]],-1,0)+TblMili[[#This Row],[Release Draft]]</f>
        <v>142</v>
      </c>
      <c r="D123" s="94">
        <f ca="1">TblMili[[#This Row],[Military]]</f>
        <v>627</v>
      </c>
      <c r="E123" s="94">
        <f ca="1">TblMili[[#This Row],[Draftees]]</f>
        <v>627</v>
      </c>
      <c r="F123" s="94">
        <f ca="1">TblPop[[#This Row],[Peasants]]+TblPop[[#This Row],[Military]]</f>
        <v>769</v>
      </c>
      <c r="G123" s="139">
        <f ca="1">TblPop[[#This Row],[Military]]/TblPop[[#This Row],[Total]]</f>
        <v>0.81534460338101433</v>
      </c>
      <c r="H123" s="140">
        <f ca="1">MIN(TblPop[[#This Row],[Peasants]],TblPop[[#This Row],[Jobs]])</f>
        <v>142</v>
      </c>
      <c r="I123" s="139">
        <f ca="1">MIN(OFFSET(TblPop[[#This Row],[Jobs]],1,0)/TblPop[[#This Row],[Peasants]],1)</f>
        <v>1</v>
      </c>
      <c r="J123" s="140">
        <f ca="1">SUM(TblConstr[[#This Row],[Tot Alc]:[Tot GT]],TblConstr[[#This Row],[Tot Shr]:[Tot Doc]],TblConstr[[#This Row],[Dest Alc]:[Dest GT]],TblConstr[[#This Row],[Dest Shr]:[Dest Doc]])*building_employment + TblConstr[[#This Row],[Tot Fac]]*bonus_jobs_facts</f>
        <v>1000</v>
      </c>
      <c r="K123" s="141"/>
      <c r="L123" s="61">
        <f ca="1">TblPop[[#This Row],[Draftees]]</f>
        <v>627</v>
      </c>
      <c r="M123" s="61">
        <f ca="1">TblMili[[#This Row],[Unit 1]]</f>
        <v>0</v>
      </c>
      <c r="N123" s="61">
        <f ca="1">TblMili[[#This Row],[Unit 2]]</f>
        <v>0</v>
      </c>
      <c r="O123" s="61">
        <f ca="1">TblMili[[#This Row],[Unit 3]]</f>
        <v>0</v>
      </c>
      <c r="P123" s="61">
        <f ca="1">TblMili[[#This Row],[Unit 4]]</f>
        <v>0</v>
      </c>
      <c r="Q123" s="61">
        <f ca="1">TblMili[[#This Row],[Spies]]</f>
        <v>0</v>
      </c>
      <c r="R123" s="61">
        <f ca="1">TblMili[[#This Row],[Wizards]]</f>
        <v>0</v>
      </c>
      <c r="S123" s="61">
        <f ca="1">TblMili[[#This Row],[Archmages]]</f>
        <v>0</v>
      </c>
      <c r="T123" s="142"/>
      <c r="U123" s="94">
        <f ca="1">ROUND(TblPop[[#This Row],[Raw max]]*(1+OFFSET(TblPop[[#This Row],[Max pop]],-1,0)),0)+MIN(TblPop[[#This Row],[Military]]-TblPop[[#This Row],[Draftees]]-SUM(TblMili[[#This Row],[Train Unit 1]:[Train AM]]),(barracks_size + tech_8_3*TblTech[[#This Row],[8-3]])*TblConstr[[#This Row],[Tot Bar]])</f>
        <v>769</v>
      </c>
      <c r="V12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3" s="94">
        <f ca="1">MAX(-5%*TblPop[[#This Row],[Peasants]]-TblPop[[#This Row],[Draft Growth]],MIN(OFFSET(TblPop[[#This Row],[Net max]],1,0)-TblPop[[#This Row],[Peasants]]-TblPop[[#This Row],[Military]]-TblPop[[#This Row],[Draft Growth]],TblPop[[#This Row],[Modded Birth]]-TblPop[[#This Row],[Draft Growth]]))</f>
        <v>-1</v>
      </c>
      <c r="X123" s="94">
        <f ca="1">ROUND(TblPop[[#This Row],[Raw Birth]]*(1+TblPop[[#This Row],[Growth]]),0)</f>
        <v>4</v>
      </c>
      <c r="Y123" s="94">
        <f ca="1">(TblPop[[#This Row],[Peasants]]-TblPop[[#This Row],[Draft Growth]])*raw_pop_growth</f>
        <v>4.2299999999999995</v>
      </c>
      <c r="Z123" s="94">
        <f ca="1">ROUND(IF(TblPop[[#This Row],[Military%]]&lt;TblMili[[#This Row],[Draftrate]],ROUND(TblPop[[#This Row],[Peasants]]*Constants!$B$55,0), 0) * IF(AND(TblMagic[[#This Row],[Active DnD]]&lt;=12,TblMagic[[#This Row],[Active DnD]]&gt;6),1.5,1),0)</f>
        <v>1</v>
      </c>
      <c r="AA123" s="142"/>
      <c r="AB123" s="143">
        <f ca="1">Overview!$I$17 + IF(Magic!AF123&gt;0,Constants!$F$78) + ROUND(6*(Construction!BM124+Construction!CK123)/IF(Explore!S124&gt;0,Construction!F124-20,Construction!F124),4) + tech_6_5_2*Techs!BJ123 + tech_8_4*Techs!BT123</f>
        <v>0</v>
      </c>
      <c r="AC123" s="139">
        <f ca="1">(Overview!$I$16 + Imps!Z123+ tech_2_5*Techs!AB123 + tech_3_6*Techs!AM123 + tech_6_1*Techs!BJ123 + tech_6_5*Techs!BF123 + tech_7_3_2*Techs!BN123) * (1 + Production!O123/100*prestige_pop_multiplier) + Production!O123/100*prestige_pop_multiplier</f>
        <v>2.5000000000000001E-2</v>
      </c>
    </row>
    <row r="124" spans="1:29" x14ac:dyDescent="0.2">
      <c r="A124" s="137">
        <f>TblRezone[[#This Row],[Hour]]</f>
        <v>121</v>
      </c>
      <c r="B124" s="138">
        <f ca="1">TblImps[[#This Row],[Time]]</f>
        <v>46324.999999999709</v>
      </c>
      <c r="C124" s="94">
        <f ca="1">OFFSET(TblPop[[#This Row],[Peasants]],-1,0)+OFFSET(TblPop[[#This Row],[Net Peasant]],-1,0)+TblMili[[#This Row],[Release Draft]]</f>
        <v>141</v>
      </c>
      <c r="D124" s="94">
        <f ca="1">TblMili[[#This Row],[Military]]</f>
        <v>628</v>
      </c>
      <c r="E124" s="94">
        <f ca="1">TblMili[[#This Row],[Draftees]]</f>
        <v>628</v>
      </c>
      <c r="F124" s="94">
        <f ca="1">TblPop[[#This Row],[Peasants]]+TblPop[[#This Row],[Military]]</f>
        <v>769</v>
      </c>
      <c r="G124" s="139">
        <f ca="1">TblPop[[#This Row],[Military]]/TblPop[[#This Row],[Total]]</f>
        <v>0.81664499349804942</v>
      </c>
      <c r="H124" s="140">
        <f ca="1">MIN(TblPop[[#This Row],[Peasants]],TblPop[[#This Row],[Jobs]])</f>
        <v>141</v>
      </c>
      <c r="I124" s="139">
        <f ca="1">MIN(OFFSET(TblPop[[#This Row],[Jobs]],1,0)/TblPop[[#This Row],[Peasants]],1)</f>
        <v>1</v>
      </c>
      <c r="J124" s="140">
        <f ca="1">SUM(TblConstr[[#This Row],[Tot Alc]:[Tot GT]],TblConstr[[#This Row],[Tot Shr]:[Tot Doc]],TblConstr[[#This Row],[Dest Alc]:[Dest GT]],TblConstr[[#This Row],[Dest Shr]:[Dest Doc]])*building_employment + TblConstr[[#This Row],[Tot Fac]]*bonus_jobs_facts</f>
        <v>1000</v>
      </c>
      <c r="K124" s="141"/>
      <c r="L124" s="61">
        <f ca="1">TblPop[[#This Row],[Draftees]]</f>
        <v>628</v>
      </c>
      <c r="M124" s="61">
        <f ca="1">TblMili[[#This Row],[Unit 1]]</f>
        <v>0</v>
      </c>
      <c r="N124" s="61">
        <f ca="1">TblMili[[#This Row],[Unit 2]]</f>
        <v>0</v>
      </c>
      <c r="O124" s="61">
        <f ca="1">TblMili[[#This Row],[Unit 3]]</f>
        <v>0</v>
      </c>
      <c r="P124" s="61">
        <f ca="1">TblMili[[#This Row],[Unit 4]]</f>
        <v>0</v>
      </c>
      <c r="Q124" s="61">
        <f ca="1">TblMili[[#This Row],[Spies]]</f>
        <v>0</v>
      </c>
      <c r="R124" s="61">
        <f ca="1">TblMili[[#This Row],[Wizards]]</f>
        <v>0</v>
      </c>
      <c r="S124" s="61">
        <f ca="1">TblMili[[#This Row],[Archmages]]</f>
        <v>0</v>
      </c>
      <c r="T124" s="142"/>
      <c r="U124" s="94">
        <f ca="1">ROUND(TblPop[[#This Row],[Raw max]]*(1+OFFSET(TblPop[[#This Row],[Max pop]],-1,0)),0)+MIN(TblPop[[#This Row],[Military]]-TblPop[[#This Row],[Draftees]]-SUM(TblMili[[#This Row],[Train Unit 1]:[Train AM]]),(barracks_size + tech_8_3*TblTech[[#This Row],[8-3]])*TblConstr[[#This Row],[Tot Bar]])</f>
        <v>769</v>
      </c>
      <c r="V12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4" s="94">
        <f ca="1">MAX(-5%*TblPop[[#This Row],[Peasants]]-TblPop[[#This Row],[Draft Growth]],MIN(OFFSET(TblPop[[#This Row],[Net max]],1,0)-TblPop[[#This Row],[Peasants]]-TblPop[[#This Row],[Military]]-TblPop[[#This Row],[Draft Growth]],TblPop[[#This Row],[Modded Birth]]-TblPop[[#This Row],[Draft Growth]]))</f>
        <v>-1</v>
      </c>
      <c r="X124" s="94">
        <f ca="1">ROUND(TblPop[[#This Row],[Raw Birth]]*(1+TblPop[[#This Row],[Growth]]),0)</f>
        <v>4</v>
      </c>
      <c r="Y124" s="94">
        <f ca="1">(TblPop[[#This Row],[Peasants]]-TblPop[[#This Row],[Draft Growth]])*raw_pop_growth</f>
        <v>4.2</v>
      </c>
      <c r="Z124" s="94">
        <f ca="1">ROUND(IF(TblPop[[#This Row],[Military%]]&lt;TblMili[[#This Row],[Draftrate]],ROUND(TblPop[[#This Row],[Peasants]]*Constants!$B$55,0), 0) * IF(AND(TblMagic[[#This Row],[Active DnD]]&lt;=12,TblMagic[[#This Row],[Active DnD]]&gt;6),1.5,1),0)</f>
        <v>1</v>
      </c>
      <c r="AA124" s="142"/>
      <c r="AB124" s="143">
        <f ca="1">Overview!$I$17 + IF(Magic!AF124&gt;0,Constants!$F$78) + ROUND(6*(Construction!BM125+Construction!CK124)/IF(Explore!S125&gt;0,Construction!F125-20,Construction!F125),4) + tech_6_5_2*Techs!BJ124 + tech_8_4*Techs!BT124</f>
        <v>0</v>
      </c>
      <c r="AC124" s="139">
        <f ca="1">(Overview!$I$16 + Imps!Z124+ tech_2_5*Techs!AB124 + tech_3_6*Techs!AM124 + tech_6_1*Techs!BJ124 + tech_6_5*Techs!BF124 + tech_7_3_2*Techs!BN124) * (1 + Production!O124/100*prestige_pop_multiplier) + Production!O124/100*prestige_pop_multiplier</f>
        <v>2.5000000000000001E-2</v>
      </c>
    </row>
    <row r="125" spans="1:29" x14ac:dyDescent="0.2">
      <c r="A125" s="137">
        <f>TblRezone[[#This Row],[Hour]]</f>
        <v>122</v>
      </c>
      <c r="B125" s="138">
        <f ca="1">TblImps[[#This Row],[Time]]</f>
        <v>46325.041666666373</v>
      </c>
      <c r="C125" s="94">
        <f ca="1">OFFSET(TblPop[[#This Row],[Peasants]],-1,0)+OFFSET(TblPop[[#This Row],[Net Peasant]],-1,0)+TblMili[[#This Row],[Release Draft]]</f>
        <v>140</v>
      </c>
      <c r="D125" s="94">
        <f ca="1">TblMili[[#This Row],[Military]]</f>
        <v>629</v>
      </c>
      <c r="E125" s="94">
        <f ca="1">TblMili[[#This Row],[Draftees]]</f>
        <v>629</v>
      </c>
      <c r="F125" s="94">
        <f ca="1">TblPop[[#This Row],[Peasants]]+TblPop[[#This Row],[Military]]</f>
        <v>769</v>
      </c>
      <c r="G125" s="139">
        <f ca="1">TblPop[[#This Row],[Military]]/TblPop[[#This Row],[Total]]</f>
        <v>0.81794538361508451</v>
      </c>
      <c r="H125" s="140">
        <f ca="1">MIN(TblPop[[#This Row],[Peasants]],TblPop[[#This Row],[Jobs]])</f>
        <v>140</v>
      </c>
      <c r="I125" s="139">
        <f ca="1">MIN(OFFSET(TblPop[[#This Row],[Jobs]],1,0)/TblPop[[#This Row],[Peasants]],1)</f>
        <v>1</v>
      </c>
      <c r="J125" s="140">
        <f ca="1">SUM(TblConstr[[#This Row],[Tot Alc]:[Tot GT]],TblConstr[[#This Row],[Tot Shr]:[Tot Doc]],TblConstr[[#This Row],[Dest Alc]:[Dest GT]],TblConstr[[#This Row],[Dest Shr]:[Dest Doc]])*building_employment + TblConstr[[#This Row],[Tot Fac]]*bonus_jobs_facts</f>
        <v>1000</v>
      </c>
      <c r="K125" s="141"/>
      <c r="L125" s="61">
        <f ca="1">TblPop[[#This Row],[Draftees]]</f>
        <v>629</v>
      </c>
      <c r="M125" s="61">
        <f ca="1">TblMili[[#This Row],[Unit 1]]</f>
        <v>0</v>
      </c>
      <c r="N125" s="61">
        <f ca="1">TblMili[[#This Row],[Unit 2]]</f>
        <v>0</v>
      </c>
      <c r="O125" s="61">
        <f ca="1">TblMili[[#This Row],[Unit 3]]</f>
        <v>0</v>
      </c>
      <c r="P125" s="61">
        <f ca="1">TblMili[[#This Row],[Unit 4]]</f>
        <v>0</v>
      </c>
      <c r="Q125" s="61">
        <f ca="1">TblMili[[#This Row],[Spies]]</f>
        <v>0</v>
      </c>
      <c r="R125" s="61">
        <f ca="1">TblMili[[#This Row],[Wizards]]</f>
        <v>0</v>
      </c>
      <c r="S125" s="61">
        <f ca="1">TblMili[[#This Row],[Archmages]]</f>
        <v>0</v>
      </c>
      <c r="T125" s="142"/>
      <c r="U125" s="94">
        <f ca="1">ROUND(TblPop[[#This Row],[Raw max]]*(1+OFFSET(TblPop[[#This Row],[Max pop]],-1,0)),0)+MIN(TblPop[[#This Row],[Military]]-TblPop[[#This Row],[Draftees]]-SUM(TblMili[[#This Row],[Train Unit 1]:[Train AM]]),(barracks_size + tech_8_3*TblTech[[#This Row],[8-3]])*TblConstr[[#This Row],[Tot Bar]])</f>
        <v>769</v>
      </c>
      <c r="V12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5" s="94">
        <f ca="1">MAX(-5%*TblPop[[#This Row],[Peasants]]-TblPop[[#This Row],[Draft Growth]],MIN(OFFSET(TblPop[[#This Row],[Net max]],1,0)-TblPop[[#This Row],[Peasants]]-TblPop[[#This Row],[Military]]-TblPop[[#This Row],[Draft Growth]],TblPop[[#This Row],[Modded Birth]]-TblPop[[#This Row],[Draft Growth]]))</f>
        <v>-1</v>
      </c>
      <c r="X125" s="94">
        <f ca="1">ROUND(TblPop[[#This Row],[Raw Birth]]*(1+TblPop[[#This Row],[Growth]]),0)</f>
        <v>4</v>
      </c>
      <c r="Y125" s="94">
        <f ca="1">(TblPop[[#This Row],[Peasants]]-TblPop[[#This Row],[Draft Growth]])*raw_pop_growth</f>
        <v>4.17</v>
      </c>
      <c r="Z125" s="94">
        <f ca="1">ROUND(IF(TblPop[[#This Row],[Military%]]&lt;TblMili[[#This Row],[Draftrate]],ROUND(TblPop[[#This Row],[Peasants]]*Constants!$B$55,0), 0) * IF(AND(TblMagic[[#This Row],[Active DnD]]&lt;=12,TblMagic[[#This Row],[Active DnD]]&gt;6),1.5,1),0)</f>
        <v>1</v>
      </c>
      <c r="AA125" s="142"/>
      <c r="AB125" s="143">
        <f ca="1">Overview!$I$17 + IF(Magic!AF125&gt;0,Constants!$F$78) + ROUND(6*(Construction!BM126+Construction!CK125)/IF(Explore!S126&gt;0,Construction!F126-20,Construction!F126),4) + tech_6_5_2*Techs!BJ125 + tech_8_4*Techs!BT125</f>
        <v>0</v>
      </c>
      <c r="AC125" s="139">
        <f ca="1">(Overview!$I$16 + Imps!Z125+ tech_2_5*Techs!AB125 + tech_3_6*Techs!AM125 + tech_6_1*Techs!BJ125 + tech_6_5*Techs!BF125 + tech_7_3_2*Techs!BN125) * (1 + Production!O125/100*prestige_pop_multiplier) + Production!O125/100*prestige_pop_multiplier</f>
        <v>2.5000000000000001E-2</v>
      </c>
    </row>
    <row r="126" spans="1:29" x14ac:dyDescent="0.2">
      <c r="A126" s="137">
        <f>TblRezone[[#This Row],[Hour]]</f>
        <v>123</v>
      </c>
      <c r="B126" s="138">
        <f ca="1">TblImps[[#This Row],[Time]]</f>
        <v>46325.083333333037</v>
      </c>
      <c r="C126" s="94">
        <f ca="1">OFFSET(TblPop[[#This Row],[Peasants]],-1,0)+OFFSET(TblPop[[#This Row],[Net Peasant]],-1,0)+TblMili[[#This Row],[Release Draft]]</f>
        <v>139</v>
      </c>
      <c r="D126" s="94">
        <f ca="1">TblMili[[#This Row],[Military]]</f>
        <v>630</v>
      </c>
      <c r="E126" s="94">
        <f ca="1">TblMili[[#This Row],[Draftees]]</f>
        <v>630</v>
      </c>
      <c r="F126" s="94">
        <f ca="1">TblPop[[#This Row],[Peasants]]+TblPop[[#This Row],[Military]]</f>
        <v>769</v>
      </c>
      <c r="G126" s="139">
        <f ca="1">TblPop[[#This Row],[Military]]/TblPop[[#This Row],[Total]]</f>
        <v>0.8192457737321196</v>
      </c>
      <c r="H126" s="140">
        <f ca="1">MIN(TblPop[[#This Row],[Peasants]],TblPop[[#This Row],[Jobs]])</f>
        <v>139</v>
      </c>
      <c r="I126" s="139">
        <f ca="1">MIN(OFFSET(TblPop[[#This Row],[Jobs]],1,0)/TblPop[[#This Row],[Peasants]],1)</f>
        <v>1</v>
      </c>
      <c r="J126" s="140">
        <f ca="1">SUM(TblConstr[[#This Row],[Tot Alc]:[Tot GT]],TblConstr[[#This Row],[Tot Shr]:[Tot Doc]],TblConstr[[#This Row],[Dest Alc]:[Dest GT]],TblConstr[[#This Row],[Dest Shr]:[Dest Doc]])*building_employment + TblConstr[[#This Row],[Tot Fac]]*bonus_jobs_facts</f>
        <v>1000</v>
      </c>
      <c r="K126" s="141"/>
      <c r="L126" s="61">
        <f ca="1">TblPop[[#This Row],[Draftees]]</f>
        <v>630</v>
      </c>
      <c r="M126" s="61">
        <f ca="1">TblMili[[#This Row],[Unit 1]]</f>
        <v>0</v>
      </c>
      <c r="N126" s="61">
        <f ca="1">TblMili[[#This Row],[Unit 2]]</f>
        <v>0</v>
      </c>
      <c r="O126" s="61">
        <f ca="1">TblMili[[#This Row],[Unit 3]]</f>
        <v>0</v>
      </c>
      <c r="P126" s="61">
        <f ca="1">TblMili[[#This Row],[Unit 4]]</f>
        <v>0</v>
      </c>
      <c r="Q126" s="61">
        <f ca="1">TblMili[[#This Row],[Spies]]</f>
        <v>0</v>
      </c>
      <c r="R126" s="61">
        <f ca="1">TblMili[[#This Row],[Wizards]]</f>
        <v>0</v>
      </c>
      <c r="S126" s="61">
        <f ca="1">TblMili[[#This Row],[Archmages]]</f>
        <v>0</v>
      </c>
      <c r="T126" s="142"/>
      <c r="U126" s="94">
        <f ca="1">ROUND(TblPop[[#This Row],[Raw max]]*(1+OFFSET(TblPop[[#This Row],[Max pop]],-1,0)),0)+MIN(TblPop[[#This Row],[Military]]-TblPop[[#This Row],[Draftees]]-SUM(TblMili[[#This Row],[Train Unit 1]:[Train AM]]),(barracks_size + tech_8_3*TblTech[[#This Row],[8-3]])*TblConstr[[#This Row],[Tot Bar]])</f>
        <v>769</v>
      </c>
      <c r="V12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6" s="94">
        <f ca="1">MAX(-5%*TblPop[[#This Row],[Peasants]]-TblPop[[#This Row],[Draft Growth]],MIN(OFFSET(TblPop[[#This Row],[Net max]],1,0)-TblPop[[#This Row],[Peasants]]-TblPop[[#This Row],[Military]]-TblPop[[#This Row],[Draft Growth]],TblPop[[#This Row],[Modded Birth]]-TblPop[[#This Row],[Draft Growth]]))</f>
        <v>-1</v>
      </c>
      <c r="X126" s="94">
        <f ca="1">ROUND(TblPop[[#This Row],[Raw Birth]]*(1+TblPop[[#This Row],[Growth]]),0)</f>
        <v>4</v>
      </c>
      <c r="Y126" s="94">
        <f ca="1">(TblPop[[#This Row],[Peasants]]-TblPop[[#This Row],[Draft Growth]])*raw_pop_growth</f>
        <v>4.1399999999999997</v>
      </c>
      <c r="Z126" s="94">
        <f ca="1">ROUND(IF(TblPop[[#This Row],[Military%]]&lt;TblMili[[#This Row],[Draftrate]],ROUND(TblPop[[#This Row],[Peasants]]*Constants!$B$55,0), 0) * IF(AND(TblMagic[[#This Row],[Active DnD]]&lt;=12,TblMagic[[#This Row],[Active DnD]]&gt;6),1.5,1),0)</f>
        <v>1</v>
      </c>
      <c r="AA126" s="142"/>
      <c r="AB126" s="143">
        <f ca="1">Overview!$I$17 + IF(Magic!AF126&gt;0,Constants!$F$78) + ROUND(6*(Construction!BM127+Construction!CK126)/IF(Explore!S127&gt;0,Construction!F127-20,Construction!F127),4) + tech_6_5_2*Techs!BJ126 + tech_8_4*Techs!BT126</f>
        <v>0</v>
      </c>
      <c r="AC126" s="139">
        <f ca="1">(Overview!$I$16 + Imps!Z126+ tech_2_5*Techs!AB126 + tech_3_6*Techs!AM126 + tech_6_1*Techs!BJ126 + tech_6_5*Techs!BF126 + tech_7_3_2*Techs!BN126) * (1 + Production!O126/100*prestige_pop_multiplier) + Production!O126/100*prestige_pop_multiplier</f>
        <v>2.5000000000000001E-2</v>
      </c>
    </row>
    <row r="127" spans="1:29" x14ac:dyDescent="0.2">
      <c r="A127" s="137">
        <f>TblRezone[[#This Row],[Hour]]</f>
        <v>124</v>
      </c>
      <c r="B127" s="138">
        <f ca="1">TblImps[[#This Row],[Time]]</f>
        <v>46325.124999999702</v>
      </c>
      <c r="C127" s="94">
        <f ca="1">OFFSET(TblPop[[#This Row],[Peasants]],-1,0)+OFFSET(TblPop[[#This Row],[Net Peasant]],-1,0)+TblMili[[#This Row],[Release Draft]]</f>
        <v>138</v>
      </c>
      <c r="D127" s="94">
        <f ca="1">TblMili[[#This Row],[Military]]</f>
        <v>631</v>
      </c>
      <c r="E127" s="94">
        <f ca="1">TblMili[[#This Row],[Draftees]]</f>
        <v>631</v>
      </c>
      <c r="F127" s="94">
        <f ca="1">TblPop[[#This Row],[Peasants]]+TblPop[[#This Row],[Military]]</f>
        <v>769</v>
      </c>
      <c r="G127" s="139">
        <f ca="1">TblPop[[#This Row],[Military]]/TblPop[[#This Row],[Total]]</f>
        <v>0.8205461638491548</v>
      </c>
      <c r="H127" s="140">
        <f ca="1">MIN(TblPop[[#This Row],[Peasants]],TblPop[[#This Row],[Jobs]])</f>
        <v>138</v>
      </c>
      <c r="I127" s="139">
        <f ca="1">MIN(OFFSET(TblPop[[#This Row],[Jobs]],1,0)/TblPop[[#This Row],[Peasants]],1)</f>
        <v>1</v>
      </c>
      <c r="J127" s="140">
        <f ca="1">SUM(TblConstr[[#This Row],[Tot Alc]:[Tot GT]],TblConstr[[#This Row],[Tot Shr]:[Tot Doc]],TblConstr[[#This Row],[Dest Alc]:[Dest GT]],TblConstr[[#This Row],[Dest Shr]:[Dest Doc]])*building_employment + TblConstr[[#This Row],[Tot Fac]]*bonus_jobs_facts</f>
        <v>1000</v>
      </c>
      <c r="K127" s="141"/>
      <c r="L127" s="61">
        <f ca="1">TblPop[[#This Row],[Draftees]]</f>
        <v>631</v>
      </c>
      <c r="M127" s="61">
        <f ca="1">TblMili[[#This Row],[Unit 1]]</f>
        <v>0</v>
      </c>
      <c r="N127" s="61">
        <f ca="1">TblMili[[#This Row],[Unit 2]]</f>
        <v>0</v>
      </c>
      <c r="O127" s="61">
        <f ca="1">TblMili[[#This Row],[Unit 3]]</f>
        <v>0</v>
      </c>
      <c r="P127" s="61">
        <f ca="1">TblMili[[#This Row],[Unit 4]]</f>
        <v>0</v>
      </c>
      <c r="Q127" s="61">
        <f ca="1">TblMili[[#This Row],[Spies]]</f>
        <v>0</v>
      </c>
      <c r="R127" s="61">
        <f ca="1">TblMili[[#This Row],[Wizards]]</f>
        <v>0</v>
      </c>
      <c r="S127" s="61">
        <f ca="1">TblMili[[#This Row],[Archmages]]</f>
        <v>0</v>
      </c>
      <c r="T127" s="142"/>
      <c r="U127" s="94">
        <f ca="1">ROUND(TblPop[[#This Row],[Raw max]]*(1+OFFSET(TblPop[[#This Row],[Max pop]],-1,0)),0)+MIN(TblPop[[#This Row],[Military]]-TblPop[[#This Row],[Draftees]]-SUM(TblMili[[#This Row],[Train Unit 1]:[Train AM]]),(barracks_size + tech_8_3*TblTech[[#This Row],[8-3]])*TblConstr[[#This Row],[Tot Bar]])</f>
        <v>769</v>
      </c>
      <c r="V12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7" s="94">
        <f ca="1">MAX(-5%*TblPop[[#This Row],[Peasants]]-TblPop[[#This Row],[Draft Growth]],MIN(OFFSET(TblPop[[#This Row],[Net max]],1,0)-TblPop[[#This Row],[Peasants]]-TblPop[[#This Row],[Military]]-TblPop[[#This Row],[Draft Growth]],TblPop[[#This Row],[Modded Birth]]-TblPop[[#This Row],[Draft Growth]]))</f>
        <v>-1</v>
      </c>
      <c r="X127" s="94">
        <f ca="1">ROUND(TblPop[[#This Row],[Raw Birth]]*(1+TblPop[[#This Row],[Growth]]),0)</f>
        <v>4</v>
      </c>
      <c r="Y127" s="94">
        <f ca="1">(TblPop[[#This Row],[Peasants]]-TblPop[[#This Row],[Draft Growth]])*raw_pop_growth</f>
        <v>4.1099999999999994</v>
      </c>
      <c r="Z127" s="94">
        <f ca="1">ROUND(IF(TblPop[[#This Row],[Military%]]&lt;TblMili[[#This Row],[Draftrate]],ROUND(TblPop[[#This Row],[Peasants]]*Constants!$B$55,0), 0) * IF(AND(TblMagic[[#This Row],[Active DnD]]&lt;=12,TblMagic[[#This Row],[Active DnD]]&gt;6),1.5,1),0)</f>
        <v>1</v>
      </c>
      <c r="AA127" s="142"/>
      <c r="AB127" s="143">
        <f ca="1">Overview!$I$17 + IF(Magic!AF127&gt;0,Constants!$F$78) + ROUND(6*(Construction!BM128+Construction!CK127)/IF(Explore!S128&gt;0,Construction!F128-20,Construction!F128),4) + tech_6_5_2*Techs!BJ127 + tech_8_4*Techs!BT127</f>
        <v>0</v>
      </c>
      <c r="AC127" s="139">
        <f ca="1">(Overview!$I$16 + Imps!Z127+ tech_2_5*Techs!AB127 + tech_3_6*Techs!AM127 + tech_6_1*Techs!BJ127 + tech_6_5*Techs!BF127 + tech_7_3_2*Techs!BN127) * (1 + Production!O127/100*prestige_pop_multiplier) + Production!O127/100*prestige_pop_multiplier</f>
        <v>2.5000000000000001E-2</v>
      </c>
    </row>
    <row r="128" spans="1:29" x14ac:dyDescent="0.2">
      <c r="A128" s="137">
        <f>TblRezone[[#This Row],[Hour]]</f>
        <v>125</v>
      </c>
      <c r="B128" s="138">
        <f ca="1">TblImps[[#This Row],[Time]]</f>
        <v>46325.166666666366</v>
      </c>
      <c r="C128" s="94">
        <f ca="1">OFFSET(TblPop[[#This Row],[Peasants]],-1,0)+OFFSET(TblPop[[#This Row],[Net Peasant]],-1,0)+TblMili[[#This Row],[Release Draft]]</f>
        <v>137</v>
      </c>
      <c r="D128" s="94">
        <f ca="1">TblMili[[#This Row],[Military]]</f>
        <v>632</v>
      </c>
      <c r="E128" s="94">
        <f ca="1">TblMili[[#This Row],[Draftees]]</f>
        <v>632</v>
      </c>
      <c r="F128" s="94">
        <f ca="1">TblPop[[#This Row],[Peasants]]+TblPop[[#This Row],[Military]]</f>
        <v>769</v>
      </c>
      <c r="G128" s="139">
        <f ca="1">TblPop[[#This Row],[Military]]/TblPop[[#This Row],[Total]]</f>
        <v>0.82184655396618989</v>
      </c>
      <c r="H128" s="140">
        <f ca="1">MIN(TblPop[[#This Row],[Peasants]],TblPop[[#This Row],[Jobs]])</f>
        <v>137</v>
      </c>
      <c r="I128" s="139">
        <f ca="1">MIN(OFFSET(TblPop[[#This Row],[Jobs]],1,0)/TblPop[[#This Row],[Peasants]],1)</f>
        <v>1</v>
      </c>
      <c r="J128" s="140">
        <f ca="1">SUM(TblConstr[[#This Row],[Tot Alc]:[Tot GT]],TblConstr[[#This Row],[Tot Shr]:[Tot Doc]],TblConstr[[#This Row],[Dest Alc]:[Dest GT]],TblConstr[[#This Row],[Dest Shr]:[Dest Doc]])*building_employment + TblConstr[[#This Row],[Tot Fac]]*bonus_jobs_facts</f>
        <v>1000</v>
      </c>
      <c r="K128" s="141"/>
      <c r="L128" s="61">
        <f ca="1">TblPop[[#This Row],[Draftees]]</f>
        <v>632</v>
      </c>
      <c r="M128" s="61">
        <f ca="1">TblMili[[#This Row],[Unit 1]]</f>
        <v>0</v>
      </c>
      <c r="N128" s="61">
        <f ca="1">TblMili[[#This Row],[Unit 2]]</f>
        <v>0</v>
      </c>
      <c r="O128" s="61">
        <f ca="1">TblMili[[#This Row],[Unit 3]]</f>
        <v>0</v>
      </c>
      <c r="P128" s="61">
        <f ca="1">TblMili[[#This Row],[Unit 4]]</f>
        <v>0</v>
      </c>
      <c r="Q128" s="61">
        <f ca="1">TblMili[[#This Row],[Spies]]</f>
        <v>0</v>
      </c>
      <c r="R128" s="61">
        <f ca="1">TblMili[[#This Row],[Wizards]]</f>
        <v>0</v>
      </c>
      <c r="S128" s="61">
        <f ca="1">TblMili[[#This Row],[Archmages]]</f>
        <v>0</v>
      </c>
      <c r="T128" s="142"/>
      <c r="U128" s="94">
        <f ca="1">ROUND(TblPop[[#This Row],[Raw max]]*(1+OFFSET(TblPop[[#This Row],[Max pop]],-1,0)),0)+MIN(TblPop[[#This Row],[Military]]-TblPop[[#This Row],[Draftees]]-SUM(TblMili[[#This Row],[Train Unit 1]:[Train AM]]),(barracks_size + tech_8_3*TblTech[[#This Row],[8-3]])*TblConstr[[#This Row],[Tot Bar]])</f>
        <v>769</v>
      </c>
      <c r="V12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8" s="94">
        <f ca="1">MAX(-5%*TblPop[[#This Row],[Peasants]]-TblPop[[#This Row],[Draft Growth]],MIN(OFFSET(TblPop[[#This Row],[Net max]],1,0)-TblPop[[#This Row],[Peasants]]-TblPop[[#This Row],[Military]]-TblPop[[#This Row],[Draft Growth]],TblPop[[#This Row],[Modded Birth]]-TblPop[[#This Row],[Draft Growth]]))</f>
        <v>-1</v>
      </c>
      <c r="X128" s="94">
        <f ca="1">ROUND(TblPop[[#This Row],[Raw Birth]]*(1+TblPop[[#This Row],[Growth]]),0)</f>
        <v>4</v>
      </c>
      <c r="Y128" s="94">
        <f ca="1">(TblPop[[#This Row],[Peasants]]-TblPop[[#This Row],[Draft Growth]])*raw_pop_growth</f>
        <v>4.08</v>
      </c>
      <c r="Z128" s="94">
        <f ca="1">ROUND(IF(TblPop[[#This Row],[Military%]]&lt;TblMili[[#This Row],[Draftrate]],ROUND(TblPop[[#This Row],[Peasants]]*Constants!$B$55,0), 0) * IF(AND(TblMagic[[#This Row],[Active DnD]]&lt;=12,TblMagic[[#This Row],[Active DnD]]&gt;6),1.5,1),0)</f>
        <v>1</v>
      </c>
      <c r="AA128" s="142"/>
      <c r="AB128" s="143">
        <f ca="1">Overview!$I$17 + IF(Magic!AF128&gt;0,Constants!$F$78) + ROUND(6*(Construction!BM129+Construction!CK128)/IF(Explore!S129&gt;0,Construction!F129-20,Construction!F129),4) + tech_6_5_2*Techs!BJ128 + tech_8_4*Techs!BT128</f>
        <v>0</v>
      </c>
      <c r="AC128" s="139">
        <f ca="1">(Overview!$I$16 + Imps!Z128+ tech_2_5*Techs!AB128 + tech_3_6*Techs!AM128 + tech_6_1*Techs!BJ128 + tech_6_5*Techs!BF128 + tech_7_3_2*Techs!BN128) * (1 + Production!O128/100*prestige_pop_multiplier) + Production!O128/100*prestige_pop_multiplier</f>
        <v>2.5000000000000001E-2</v>
      </c>
    </row>
    <row r="129" spans="1:29" x14ac:dyDescent="0.2">
      <c r="A129" s="137">
        <f>TblRezone[[#This Row],[Hour]]</f>
        <v>126</v>
      </c>
      <c r="B129" s="138">
        <f ca="1">TblImps[[#This Row],[Time]]</f>
        <v>46325.20833333303</v>
      </c>
      <c r="C129" s="94">
        <f ca="1">OFFSET(TblPop[[#This Row],[Peasants]],-1,0)+OFFSET(TblPop[[#This Row],[Net Peasant]],-1,0)+TblMili[[#This Row],[Release Draft]]</f>
        <v>136</v>
      </c>
      <c r="D129" s="94">
        <f ca="1">TblMili[[#This Row],[Military]]</f>
        <v>633</v>
      </c>
      <c r="E129" s="94">
        <f ca="1">TblMili[[#This Row],[Draftees]]</f>
        <v>633</v>
      </c>
      <c r="F129" s="94">
        <f ca="1">TblPop[[#This Row],[Peasants]]+TblPop[[#This Row],[Military]]</f>
        <v>769</v>
      </c>
      <c r="G129" s="139">
        <f ca="1">TblPop[[#This Row],[Military]]/TblPop[[#This Row],[Total]]</f>
        <v>0.82314694408322497</v>
      </c>
      <c r="H129" s="140">
        <f ca="1">MIN(TblPop[[#This Row],[Peasants]],TblPop[[#This Row],[Jobs]])</f>
        <v>136</v>
      </c>
      <c r="I129" s="139">
        <f ca="1">MIN(OFFSET(TblPop[[#This Row],[Jobs]],1,0)/TblPop[[#This Row],[Peasants]],1)</f>
        <v>1</v>
      </c>
      <c r="J129" s="140">
        <f ca="1">SUM(TblConstr[[#This Row],[Tot Alc]:[Tot GT]],TblConstr[[#This Row],[Tot Shr]:[Tot Doc]],TblConstr[[#This Row],[Dest Alc]:[Dest GT]],TblConstr[[#This Row],[Dest Shr]:[Dest Doc]])*building_employment + TblConstr[[#This Row],[Tot Fac]]*bonus_jobs_facts</f>
        <v>1000</v>
      </c>
      <c r="K129" s="141"/>
      <c r="L129" s="61">
        <f ca="1">TblPop[[#This Row],[Draftees]]</f>
        <v>633</v>
      </c>
      <c r="M129" s="61">
        <f ca="1">TblMili[[#This Row],[Unit 1]]</f>
        <v>0</v>
      </c>
      <c r="N129" s="61">
        <f ca="1">TblMili[[#This Row],[Unit 2]]</f>
        <v>0</v>
      </c>
      <c r="O129" s="61">
        <f ca="1">TblMili[[#This Row],[Unit 3]]</f>
        <v>0</v>
      </c>
      <c r="P129" s="61">
        <f ca="1">TblMili[[#This Row],[Unit 4]]</f>
        <v>0</v>
      </c>
      <c r="Q129" s="61">
        <f ca="1">TblMili[[#This Row],[Spies]]</f>
        <v>0</v>
      </c>
      <c r="R129" s="61">
        <f ca="1">TblMili[[#This Row],[Wizards]]</f>
        <v>0</v>
      </c>
      <c r="S129" s="61">
        <f ca="1">TblMili[[#This Row],[Archmages]]</f>
        <v>0</v>
      </c>
      <c r="T129" s="142"/>
      <c r="U129" s="94">
        <f ca="1">ROUND(TblPop[[#This Row],[Raw max]]*(1+OFFSET(TblPop[[#This Row],[Max pop]],-1,0)),0)+MIN(TblPop[[#This Row],[Military]]-TblPop[[#This Row],[Draftees]]-SUM(TblMili[[#This Row],[Train Unit 1]:[Train AM]]),(barracks_size + tech_8_3*TblTech[[#This Row],[8-3]])*TblConstr[[#This Row],[Tot Bar]])</f>
        <v>769</v>
      </c>
      <c r="V12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9" s="94">
        <f ca="1">MAX(-5%*TblPop[[#This Row],[Peasants]]-TblPop[[#This Row],[Draft Growth]],MIN(OFFSET(TblPop[[#This Row],[Net max]],1,0)-TblPop[[#This Row],[Peasants]]-TblPop[[#This Row],[Military]]-TblPop[[#This Row],[Draft Growth]],TblPop[[#This Row],[Modded Birth]]-TblPop[[#This Row],[Draft Growth]]))</f>
        <v>-1</v>
      </c>
      <c r="X129" s="94">
        <f ca="1">ROUND(TblPop[[#This Row],[Raw Birth]]*(1+TblPop[[#This Row],[Growth]]),0)</f>
        <v>4</v>
      </c>
      <c r="Y129" s="94">
        <f ca="1">(TblPop[[#This Row],[Peasants]]-TblPop[[#This Row],[Draft Growth]])*raw_pop_growth</f>
        <v>4.05</v>
      </c>
      <c r="Z129" s="94">
        <f ca="1">ROUND(IF(TblPop[[#This Row],[Military%]]&lt;TblMili[[#This Row],[Draftrate]],ROUND(TblPop[[#This Row],[Peasants]]*Constants!$B$55,0), 0) * IF(AND(TblMagic[[#This Row],[Active DnD]]&lt;=12,TblMagic[[#This Row],[Active DnD]]&gt;6),1.5,1),0)</f>
        <v>1</v>
      </c>
      <c r="AA129" s="142"/>
      <c r="AB129" s="143">
        <f ca="1">Overview!$I$17 + IF(Magic!AF129&gt;0,Constants!$F$78) + ROUND(6*(Construction!BM130+Construction!CK129)/IF(Explore!S130&gt;0,Construction!F130-20,Construction!F130),4) + tech_6_5_2*Techs!BJ129 + tech_8_4*Techs!BT129</f>
        <v>0</v>
      </c>
      <c r="AC129" s="139">
        <f ca="1">(Overview!$I$16 + Imps!Z129+ tech_2_5*Techs!AB129 + tech_3_6*Techs!AM129 + tech_6_1*Techs!BJ129 + tech_6_5*Techs!BF129 + tech_7_3_2*Techs!BN129) * (1 + Production!O129/100*prestige_pop_multiplier) + Production!O129/100*prestige_pop_multiplier</f>
        <v>2.5000000000000001E-2</v>
      </c>
    </row>
    <row r="130" spans="1:29" x14ac:dyDescent="0.2">
      <c r="A130" s="137">
        <f>TblRezone[[#This Row],[Hour]]</f>
        <v>127</v>
      </c>
      <c r="B130" s="138">
        <f ca="1">TblImps[[#This Row],[Time]]</f>
        <v>46325.249999999694</v>
      </c>
      <c r="C130" s="94">
        <f ca="1">OFFSET(TblPop[[#This Row],[Peasants]],-1,0)+OFFSET(TblPop[[#This Row],[Net Peasant]],-1,0)+TblMili[[#This Row],[Release Draft]]</f>
        <v>135</v>
      </c>
      <c r="D130" s="94">
        <f ca="1">TblMili[[#This Row],[Military]]</f>
        <v>634</v>
      </c>
      <c r="E130" s="94">
        <f ca="1">TblMili[[#This Row],[Draftees]]</f>
        <v>634</v>
      </c>
      <c r="F130" s="94">
        <f ca="1">TblPop[[#This Row],[Peasants]]+TblPop[[#This Row],[Military]]</f>
        <v>769</v>
      </c>
      <c r="G130" s="139">
        <f ca="1">TblPop[[#This Row],[Military]]/TblPop[[#This Row],[Total]]</f>
        <v>0.82444733420026006</v>
      </c>
      <c r="H130" s="140">
        <f ca="1">MIN(TblPop[[#This Row],[Peasants]],TblPop[[#This Row],[Jobs]])</f>
        <v>135</v>
      </c>
      <c r="I130" s="139">
        <f ca="1">MIN(OFFSET(TblPop[[#This Row],[Jobs]],1,0)/TblPop[[#This Row],[Peasants]],1)</f>
        <v>1</v>
      </c>
      <c r="J130" s="140">
        <f ca="1">SUM(TblConstr[[#This Row],[Tot Alc]:[Tot GT]],TblConstr[[#This Row],[Tot Shr]:[Tot Doc]],TblConstr[[#This Row],[Dest Alc]:[Dest GT]],TblConstr[[#This Row],[Dest Shr]:[Dest Doc]])*building_employment + TblConstr[[#This Row],[Tot Fac]]*bonus_jobs_facts</f>
        <v>1000</v>
      </c>
      <c r="K130" s="141"/>
      <c r="L130" s="61">
        <f ca="1">TblPop[[#This Row],[Draftees]]</f>
        <v>634</v>
      </c>
      <c r="M130" s="61">
        <f ca="1">TblMili[[#This Row],[Unit 1]]</f>
        <v>0</v>
      </c>
      <c r="N130" s="61">
        <f ca="1">TblMili[[#This Row],[Unit 2]]</f>
        <v>0</v>
      </c>
      <c r="O130" s="61">
        <f ca="1">TblMili[[#This Row],[Unit 3]]</f>
        <v>0</v>
      </c>
      <c r="P130" s="61">
        <f ca="1">TblMili[[#This Row],[Unit 4]]</f>
        <v>0</v>
      </c>
      <c r="Q130" s="61">
        <f ca="1">TblMili[[#This Row],[Spies]]</f>
        <v>0</v>
      </c>
      <c r="R130" s="61">
        <f ca="1">TblMili[[#This Row],[Wizards]]</f>
        <v>0</v>
      </c>
      <c r="S130" s="61">
        <f ca="1">TblMili[[#This Row],[Archmages]]</f>
        <v>0</v>
      </c>
      <c r="T130" s="142"/>
      <c r="U130" s="94">
        <f ca="1">ROUND(TblPop[[#This Row],[Raw max]]*(1+OFFSET(TblPop[[#This Row],[Max pop]],-1,0)),0)+MIN(TblPop[[#This Row],[Military]]-TblPop[[#This Row],[Draftees]]-SUM(TblMili[[#This Row],[Train Unit 1]:[Train AM]]),(barracks_size + tech_8_3*TblTech[[#This Row],[8-3]])*TblConstr[[#This Row],[Tot Bar]])</f>
        <v>769</v>
      </c>
      <c r="V13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0" s="94">
        <f ca="1">MAX(-5%*TblPop[[#This Row],[Peasants]]-TblPop[[#This Row],[Draft Growth]],MIN(OFFSET(TblPop[[#This Row],[Net max]],1,0)-TblPop[[#This Row],[Peasants]]-TblPop[[#This Row],[Military]]-TblPop[[#This Row],[Draft Growth]],TblPop[[#This Row],[Modded Birth]]-TblPop[[#This Row],[Draft Growth]]))</f>
        <v>-1</v>
      </c>
      <c r="X130" s="94">
        <f ca="1">ROUND(TblPop[[#This Row],[Raw Birth]]*(1+TblPop[[#This Row],[Growth]]),0)</f>
        <v>4</v>
      </c>
      <c r="Y130" s="94">
        <f ca="1">(TblPop[[#This Row],[Peasants]]-TblPop[[#This Row],[Draft Growth]])*raw_pop_growth</f>
        <v>4.0199999999999996</v>
      </c>
      <c r="Z130" s="94">
        <f ca="1">ROUND(IF(TblPop[[#This Row],[Military%]]&lt;TblMili[[#This Row],[Draftrate]],ROUND(TblPop[[#This Row],[Peasants]]*Constants!$B$55,0), 0) * IF(AND(TblMagic[[#This Row],[Active DnD]]&lt;=12,TblMagic[[#This Row],[Active DnD]]&gt;6),1.5,1),0)</f>
        <v>1</v>
      </c>
      <c r="AA130" s="142"/>
      <c r="AB130" s="143">
        <f ca="1">Overview!$I$17 + IF(Magic!AF130&gt;0,Constants!$F$78) + ROUND(6*(Construction!BM131+Construction!CK130)/IF(Explore!S131&gt;0,Construction!F131-20,Construction!F131),4) + tech_6_5_2*Techs!BJ130 + tech_8_4*Techs!BT130</f>
        <v>0</v>
      </c>
      <c r="AC130" s="139">
        <f ca="1">(Overview!$I$16 + Imps!Z130+ tech_2_5*Techs!AB130 + tech_3_6*Techs!AM130 + tech_6_1*Techs!BJ130 + tech_6_5*Techs!BF130 + tech_7_3_2*Techs!BN130) * (1 + Production!O130/100*prestige_pop_multiplier) + Production!O130/100*prestige_pop_multiplier</f>
        <v>2.5000000000000001E-2</v>
      </c>
    </row>
    <row r="131" spans="1:29" x14ac:dyDescent="0.2">
      <c r="A131" s="137">
        <f>TblRezone[[#This Row],[Hour]]</f>
        <v>128</v>
      </c>
      <c r="B131" s="138">
        <f ca="1">TblImps[[#This Row],[Time]]</f>
        <v>46325.291666666359</v>
      </c>
      <c r="C131" s="94">
        <f ca="1">OFFSET(TblPop[[#This Row],[Peasants]],-1,0)+OFFSET(TblPop[[#This Row],[Net Peasant]],-1,0)+TblMili[[#This Row],[Release Draft]]</f>
        <v>134</v>
      </c>
      <c r="D131" s="94">
        <f ca="1">TblMili[[#This Row],[Military]]</f>
        <v>635</v>
      </c>
      <c r="E131" s="94">
        <f ca="1">TblMili[[#This Row],[Draftees]]</f>
        <v>635</v>
      </c>
      <c r="F131" s="94">
        <f ca="1">TblPop[[#This Row],[Peasants]]+TblPop[[#This Row],[Military]]</f>
        <v>769</v>
      </c>
      <c r="G131" s="139">
        <f ca="1">TblPop[[#This Row],[Military]]/TblPop[[#This Row],[Total]]</f>
        <v>0.82574772431729515</v>
      </c>
      <c r="H131" s="140">
        <f ca="1">MIN(TblPop[[#This Row],[Peasants]],TblPop[[#This Row],[Jobs]])</f>
        <v>134</v>
      </c>
      <c r="I131" s="139">
        <f ca="1">MIN(OFFSET(TblPop[[#This Row],[Jobs]],1,0)/TblPop[[#This Row],[Peasants]],1)</f>
        <v>1</v>
      </c>
      <c r="J131" s="140">
        <f ca="1">SUM(TblConstr[[#This Row],[Tot Alc]:[Tot GT]],TblConstr[[#This Row],[Tot Shr]:[Tot Doc]],TblConstr[[#This Row],[Dest Alc]:[Dest GT]],TblConstr[[#This Row],[Dest Shr]:[Dest Doc]])*building_employment + TblConstr[[#This Row],[Tot Fac]]*bonus_jobs_facts</f>
        <v>1000</v>
      </c>
      <c r="K131" s="141"/>
      <c r="L131" s="61">
        <f ca="1">TblPop[[#This Row],[Draftees]]</f>
        <v>635</v>
      </c>
      <c r="M131" s="61">
        <f ca="1">TblMili[[#This Row],[Unit 1]]</f>
        <v>0</v>
      </c>
      <c r="N131" s="61">
        <f ca="1">TblMili[[#This Row],[Unit 2]]</f>
        <v>0</v>
      </c>
      <c r="O131" s="61">
        <f ca="1">TblMili[[#This Row],[Unit 3]]</f>
        <v>0</v>
      </c>
      <c r="P131" s="61">
        <f ca="1">TblMili[[#This Row],[Unit 4]]</f>
        <v>0</v>
      </c>
      <c r="Q131" s="61">
        <f ca="1">TblMili[[#This Row],[Spies]]</f>
        <v>0</v>
      </c>
      <c r="R131" s="61">
        <f ca="1">TblMili[[#This Row],[Wizards]]</f>
        <v>0</v>
      </c>
      <c r="S131" s="61">
        <f ca="1">TblMili[[#This Row],[Archmages]]</f>
        <v>0</v>
      </c>
      <c r="T131" s="142"/>
      <c r="U131" s="94">
        <f ca="1">ROUND(TblPop[[#This Row],[Raw max]]*(1+OFFSET(TblPop[[#This Row],[Max pop]],-1,0)),0)+MIN(TblPop[[#This Row],[Military]]-TblPop[[#This Row],[Draftees]]-SUM(TblMili[[#This Row],[Train Unit 1]:[Train AM]]),(barracks_size + tech_8_3*TblTech[[#This Row],[8-3]])*TblConstr[[#This Row],[Tot Bar]])</f>
        <v>769</v>
      </c>
      <c r="V13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1" s="94">
        <f ca="1">MAX(-5%*TblPop[[#This Row],[Peasants]]-TblPop[[#This Row],[Draft Growth]],MIN(OFFSET(TblPop[[#This Row],[Net max]],1,0)-TblPop[[#This Row],[Peasants]]-TblPop[[#This Row],[Military]]-TblPop[[#This Row],[Draft Growth]],TblPop[[#This Row],[Modded Birth]]-TblPop[[#This Row],[Draft Growth]]))</f>
        <v>-1</v>
      </c>
      <c r="X131" s="94">
        <f ca="1">ROUND(TblPop[[#This Row],[Raw Birth]]*(1+TblPop[[#This Row],[Growth]]),0)</f>
        <v>4</v>
      </c>
      <c r="Y131" s="94">
        <f ca="1">(TblPop[[#This Row],[Peasants]]-TblPop[[#This Row],[Draft Growth]])*raw_pop_growth</f>
        <v>3.9899999999999998</v>
      </c>
      <c r="Z131" s="94">
        <f ca="1">ROUND(IF(TblPop[[#This Row],[Military%]]&lt;TblMili[[#This Row],[Draftrate]],ROUND(TblPop[[#This Row],[Peasants]]*Constants!$B$55,0), 0) * IF(AND(TblMagic[[#This Row],[Active DnD]]&lt;=12,TblMagic[[#This Row],[Active DnD]]&gt;6),1.5,1),0)</f>
        <v>1</v>
      </c>
      <c r="AA131" s="142"/>
      <c r="AB131" s="143">
        <f ca="1">Overview!$I$17 + IF(Magic!AF131&gt;0,Constants!$F$78) + ROUND(6*(Construction!BM132+Construction!CK131)/IF(Explore!S132&gt;0,Construction!F132-20,Construction!F132),4) + tech_6_5_2*Techs!BJ131 + tech_8_4*Techs!BT131</f>
        <v>0</v>
      </c>
      <c r="AC131" s="139">
        <f ca="1">(Overview!$I$16 + Imps!Z131+ tech_2_5*Techs!AB131 + tech_3_6*Techs!AM131 + tech_6_1*Techs!BJ131 + tech_6_5*Techs!BF131 + tech_7_3_2*Techs!BN131) * (1 + Production!O131/100*prestige_pop_multiplier) + Production!O131/100*prestige_pop_multiplier</f>
        <v>2.5000000000000001E-2</v>
      </c>
    </row>
    <row r="132" spans="1:29" x14ac:dyDescent="0.2">
      <c r="A132" s="137">
        <f>TblRezone[[#This Row],[Hour]]</f>
        <v>129</v>
      </c>
      <c r="B132" s="138">
        <f ca="1">TblImps[[#This Row],[Time]]</f>
        <v>46325.333333333023</v>
      </c>
      <c r="C132" s="94">
        <f ca="1">OFFSET(TblPop[[#This Row],[Peasants]],-1,0)+OFFSET(TblPop[[#This Row],[Net Peasant]],-1,0)+TblMili[[#This Row],[Release Draft]]</f>
        <v>133</v>
      </c>
      <c r="D132" s="94">
        <f ca="1">TblMili[[#This Row],[Military]]</f>
        <v>636</v>
      </c>
      <c r="E132" s="94">
        <f ca="1">TblMili[[#This Row],[Draftees]]</f>
        <v>636</v>
      </c>
      <c r="F132" s="94">
        <f ca="1">TblPop[[#This Row],[Peasants]]+TblPop[[#This Row],[Military]]</f>
        <v>769</v>
      </c>
      <c r="G132" s="139">
        <f ca="1">TblPop[[#This Row],[Military]]/TblPop[[#This Row],[Total]]</f>
        <v>0.82704811443433035</v>
      </c>
      <c r="H132" s="140">
        <f ca="1">MIN(TblPop[[#This Row],[Peasants]],TblPop[[#This Row],[Jobs]])</f>
        <v>133</v>
      </c>
      <c r="I132" s="139">
        <f ca="1">MIN(OFFSET(TblPop[[#This Row],[Jobs]],1,0)/TblPop[[#This Row],[Peasants]],1)</f>
        <v>1</v>
      </c>
      <c r="J132" s="140">
        <f ca="1">SUM(TblConstr[[#This Row],[Tot Alc]:[Tot GT]],TblConstr[[#This Row],[Tot Shr]:[Tot Doc]],TblConstr[[#This Row],[Dest Alc]:[Dest GT]],TblConstr[[#This Row],[Dest Shr]:[Dest Doc]])*building_employment + TblConstr[[#This Row],[Tot Fac]]*bonus_jobs_facts</f>
        <v>1000</v>
      </c>
      <c r="K132" s="141"/>
      <c r="L132" s="61">
        <f ca="1">TblPop[[#This Row],[Draftees]]</f>
        <v>636</v>
      </c>
      <c r="M132" s="61">
        <f ca="1">TblMili[[#This Row],[Unit 1]]</f>
        <v>0</v>
      </c>
      <c r="N132" s="61">
        <f ca="1">TblMili[[#This Row],[Unit 2]]</f>
        <v>0</v>
      </c>
      <c r="O132" s="61">
        <f ca="1">TblMili[[#This Row],[Unit 3]]</f>
        <v>0</v>
      </c>
      <c r="P132" s="61">
        <f ca="1">TblMili[[#This Row],[Unit 4]]</f>
        <v>0</v>
      </c>
      <c r="Q132" s="61">
        <f ca="1">TblMili[[#This Row],[Spies]]</f>
        <v>0</v>
      </c>
      <c r="R132" s="61">
        <f ca="1">TblMili[[#This Row],[Wizards]]</f>
        <v>0</v>
      </c>
      <c r="S132" s="61">
        <f ca="1">TblMili[[#This Row],[Archmages]]</f>
        <v>0</v>
      </c>
      <c r="T132" s="142"/>
      <c r="U132" s="94">
        <f ca="1">ROUND(TblPop[[#This Row],[Raw max]]*(1+OFFSET(TblPop[[#This Row],[Max pop]],-1,0)),0)+MIN(TblPop[[#This Row],[Military]]-TblPop[[#This Row],[Draftees]]-SUM(TblMili[[#This Row],[Train Unit 1]:[Train AM]]),(barracks_size + tech_8_3*TblTech[[#This Row],[8-3]])*TblConstr[[#This Row],[Tot Bar]])</f>
        <v>769</v>
      </c>
      <c r="V13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2" s="94">
        <f ca="1">MAX(-5%*TblPop[[#This Row],[Peasants]]-TblPop[[#This Row],[Draft Growth]],MIN(OFFSET(TblPop[[#This Row],[Net max]],1,0)-TblPop[[#This Row],[Peasants]]-TblPop[[#This Row],[Military]]-TblPop[[#This Row],[Draft Growth]],TblPop[[#This Row],[Modded Birth]]-TblPop[[#This Row],[Draft Growth]]))</f>
        <v>-1</v>
      </c>
      <c r="X132" s="94">
        <f ca="1">ROUND(TblPop[[#This Row],[Raw Birth]]*(1+TblPop[[#This Row],[Growth]]),0)</f>
        <v>4</v>
      </c>
      <c r="Y132" s="94">
        <f ca="1">(TblPop[[#This Row],[Peasants]]-TblPop[[#This Row],[Draft Growth]])*raw_pop_growth</f>
        <v>3.96</v>
      </c>
      <c r="Z132" s="94">
        <f ca="1">ROUND(IF(TblPop[[#This Row],[Military%]]&lt;TblMili[[#This Row],[Draftrate]],ROUND(TblPop[[#This Row],[Peasants]]*Constants!$B$55,0), 0) * IF(AND(TblMagic[[#This Row],[Active DnD]]&lt;=12,TblMagic[[#This Row],[Active DnD]]&gt;6),1.5,1),0)</f>
        <v>1</v>
      </c>
      <c r="AA132" s="142"/>
      <c r="AB132" s="143">
        <f ca="1">Overview!$I$17 + IF(Magic!AF132&gt;0,Constants!$F$78) + ROUND(6*(Construction!BM133+Construction!CK132)/IF(Explore!S133&gt;0,Construction!F133-20,Construction!F133),4) + tech_6_5_2*Techs!BJ132 + tech_8_4*Techs!BT132</f>
        <v>0</v>
      </c>
      <c r="AC132" s="139">
        <f ca="1">(Overview!$I$16 + Imps!Z132+ tech_2_5*Techs!AB132 + tech_3_6*Techs!AM132 + tech_6_1*Techs!BJ132 + tech_6_5*Techs!BF132 + tech_7_3_2*Techs!BN132) * (1 + Production!O132/100*prestige_pop_multiplier) + Production!O132/100*prestige_pop_multiplier</f>
        <v>2.5000000000000001E-2</v>
      </c>
    </row>
    <row r="133" spans="1:29" x14ac:dyDescent="0.2">
      <c r="A133" s="137">
        <f>TblRezone[[#This Row],[Hour]]</f>
        <v>130</v>
      </c>
      <c r="B133" s="138">
        <f ca="1">TblImps[[#This Row],[Time]]</f>
        <v>46325.374999999687</v>
      </c>
      <c r="C133" s="94">
        <f ca="1">OFFSET(TblPop[[#This Row],[Peasants]],-1,0)+OFFSET(TblPop[[#This Row],[Net Peasant]],-1,0)+TblMili[[#This Row],[Release Draft]]</f>
        <v>132</v>
      </c>
      <c r="D133" s="94">
        <f ca="1">TblMili[[#This Row],[Military]]</f>
        <v>637</v>
      </c>
      <c r="E133" s="94">
        <f ca="1">TblMili[[#This Row],[Draftees]]</f>
        <v>637</v>
      </c>
      <c r="F133" s="94">
        <f ca="1">TblPop[[#This Row],[Peasants]]+TblPop[[#This Row],[Military]]</f>
        <v>769</v>
      </c>
      <c r="G133" s="139">
        <f ca="1">TblPop[[#This Row],[Military]]/TblPop[[#This Row],[Total]]</f>
        <v>0.82834850455136544</v>
      </c>
      <c r="H133" s="140">
        <f ca="1">MIN(TblPop[[#This Row],[Peasants]],TblPop[[#This Row],[Jobs]])</f>
        <v>132</v>
      </c>
      <c r="I133" s="139">
        <f ca="1">MIN(OFFSET(TblPop[[#This Row],[Jobs]],1,0)/TblPop[[#This Row],[Peasants]],1)</f>
        <v>1</v>
      </c>
      <c r="J133" s="140">
        <f ca="1">SUM(TblConstr[[#This Row],[Tot Alc]:[Tot GT]],TblConstr[[#This Row],[Tot Shr]:[Tot Doc]],TblConstr[[#This Row],[Dest Alc]:[Dest GT]],TblConstr[[#This Row],[Dest Shr]:[Dest Doc]])*building_employment + TblConstr[[#This Row],[Tot Fac]]*bonus_jobs_facts</f>
        <v>1000</v>
      </c>
      <c r="K133" s="141"/>
      <c r="L133" s="61">
        <f ca="1">TblPop[[#This Row],[Draftees]]</f>
        <v>637</v>
      </c>
      <c r="M133" s="61">
        <f ca="1">TblMili[[#This Row],[Unit 1]]</f>
        <v>0</v>
      </c>
      <c r="N133" s="61">
        <f ca="1">TblMili[[#This Row],[Unit 2]]</f>
        <v>0</v>
      </c>
      <c r="O133" s="61">
        <f ca="1">TblMili[[#This Row],[Unit 3]]</f>
        <v>0</v>
      </c>
      <c r="P133" s="61">
        <f ca="1">TblMili[[#This Row],[Unit 4]]</f>
        <v>0</v>
      </c>
      <c r="Q133" s="61">
        <f ca="1">TblMili[[#This Row],[Spies]]</f>
        <v>0</v>
      </c>
      <c r="R133" s="61">
        <f ca="1">TblMili[[#This Row],[Wizards]]</f>
        <v>0</v>
      </c>
      <c r="S133" s="61">
        <f ca="1">TblMili[[#This Row],[Archmages]]</f>
        <v>0</v>
      </c>
      <c r="T133" s="142"/>
      <c r="U133" s="94">
        <f ca="1">ROUND(TblPop[[#This Row],[Raw max]]*(1+OFFSET(TblPop[[#This Row],[Max pop]],-1,0)),0)+MIN(TblPop[[#This Row],[Military]]-TblPop[[#This Row],[Draftees]]-SUM(TblMili[[#This Row],[Train Unit 1]:[Train AM]]),(barracks_size + tech_8_3*TblTech[[#This Row],[8-3]])*TblConstr[[#This Row],[Tot Bar]])</f>
        <v>769</v>
      </c>
      <c r="V13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3" s="94">
        <f ca="1">MAX(-5%*TblPop[[#This Row],[Peasants]]-TblPop[[#This Row],[Draft Growth]],MIN(OFFSET(TblPop[[#This Row],[Net max]],1,0)-TblPop[[#This Row],[Peasants]]-TblPop[[#This Row],[Military]]-TblPop[[#This Row],[Draft Growth]],TblPop[[#This Row],[Modded Birth]]-TblPop[[#This Row],[Draft Growth]]))</f>
        <v>-1</v>
      </c>
      <c r="X133" s="94">
        <f ca="1">ROUND(TblPop[[#This Row],[Raw Birth]]*(1+TblPop[[#This Row],[Growth]]),0)</f>
        <v>4</v>
      </c>
      <c r="Y133" s="94">
        <f ca="1">(TblPop[[#This Row],[Peasants]]-TblPop[[#This Row],[Draft Growth]])*raw_pop_growth</f>
        <v>3.9299999999999997</v>
      </c>
      <c r="Z133" s="94">
        <f ca="1">ROUND(IF(TblPop[[#This Row],[Military%]]&lt;TblMili[[#This Row],[Draftrate]],ROUND(TblPop[[#This Row],[Peasants]]*Constants!$B$55,0), 0) * IF(AND(TblMagic[[#This Row],[Active DnD]]&lt;=12,TblMagic[[#This Row],[Active DnD]]&gt;6),1.5,1),0)</f>
        <v>1</v>
      </c>
      <c r="AA133" s="142"/>
      <c r="AB133" s="143">
        <f ca="1">Overview!$I$17 + IF(Magic!AF133&gt;0,Constants!$F$78) + ROUND(6*(Construction!BM134+Construction!CK133)/IF(Explore!S134&gt;0,Construction!F134-20,Construction!F134),4) + tech_6_5_2*Techs!BJ133 + tech_8_4*Techs!BT133</f>
        <v>0</v>
      </c>
      <c r="AC133" s="139">
        <f ca="1">(Overview!$I$16 + Imps!Z133+ tech_2_5*Techs!AB133 + tech_3_6*Techs!AM133 + tech_6_1*Techs!BJ133 + tech_6_5*Techs!BF133 + tech_7_3_2*Techs!BN133) * (1 + Production!O133/100*prestige_pop_multiplier) + Production!O133/100*prestige_pop_multiplier</f>
        <v>2.5000000000000001E-2</v>
      </c>
    </row>
    <row r="134" spans="1:29" x14ac:dyDescent="0.2">
      <c r="A134" s="137">
        <f>TblRezone[[#This Row],[Hour]]</f>
        <v>131</v>
      </c>
      <c r="B134" s="138">
        <f ca="1">TblImps[[#This Row],[Time]]</f>
        <v>46325.416666666351</v>
      </c>
      <c r="C134" s="94">
        <f ca="1">OFFSET(TblPop[[#This Row],[Peasants]],-1,0)+OFFSET(TblPop[[#This Row],[Net Peasant]],-1,0)+TblMili[[#This Row],[Release Draft]]</f>
        <v>131</v>
      </c>
      <c r="D134" s="94">
        <f ca="1">TblMili[[#This Row],[Military]]</f>
        <v>638</v>
      </c>
      <c r="E134" s="94">
        <f ca="1">TblMili[[#This Row],[Draftees]]</f>
        <v>638</v>
      </c>
      <c r="F134" s="94">
        <f ca="1">TblPop[[#This Row],[Peasants]]+TblPop[[#This Row],[Military]]</f>
        <v>769</v>
      </c>
      <c r="G134" s="139">
        <f ca="1">TblPop[[#This Row],[Military]]/TblPop[[#This Row],[Total]]</f>
        <v>0.82964889466840053</v>
      </c>
      <c r="H134" s="140">
        <f ca="1">MIN(TblPop[[#This Row],[Peasants]],TblPop[[#This Row],[Jobs]])</f>
        <v>131</v>
      </c>
      <c r="I134" s="139">
        <f ca="1">MIN(OFFSET(TblPop[[#This Row],[Jobs]],1,0)/TblPop[[#This Row],[Peasants]],1)</f>
        <v>1</v>
      </c>
      <c r="J134" s="140">
        <f ca="1">SUM(TblConstr[[#This Row],[Tot Alc]:[Tot GT]],TblConstr[[#This Row],[Tot Shr]:[Tot Doc]],TblConstr[[#This Row],[Dest Alc]:[Dest GT]],TblConstr[[#This Row],[Dest Shr]:[Dest Doc]])*building_employment + TblConstr[[#This Row],[Tot Fac]]*bonus_jobs_facts</f>
        <v>1000</v>
      </c>
      <c r="K134" s="141"/>
      <c r="L134" s="61">
        <f ca="1">TblPop[[#This Row],[Draftees]]</f>
        <v>638</v>
      </c>
      <c r="M134" s="61">
        <f ca="1">TblMili[[#This Row],[Unit 1]]</f>
        <v>0</v>
      </c>
      <c r="N134" s="61">
        <f ca="1">TblMili[[#This Row],[Unit 2]]</f>
        <v>0</v>
      </c>
      <c r="O134" s="61">
        <f ca="1">TblMili[[#This Row],[Unit 3]]</f>
        <v>0</v>
      </c>
      <c r="P134" s="61">
        <f ca="1">TblMili[[#This Row],[Unit 4]]</f>
        <v>0</v>
      </c>
      <c r="Q134" s="61">
        <f ca="1">TblMili[[#This Row],[Spies]]</f>
        <v>0</v>
      </c>
      <c r="R134" s="61">
        <f ca="1">TblMili[[#This Row],[Wizards]]</f>
        <v>0</v>
      </c>
      <c r="S134" s="61">
        <f ca="1">TblMili[[#This Row],[Archmages]]</f>
        <v>0</v>
      </c>
      <c r="T134" s="142"/>
      <c r="U134" s="94">
        <f ca="1">ROUND(TblPop[[#This Row],[Raw max]]*(1+OFFSET(TblPop[[#This Row],[Max pop]],-1,0)),0)+MIN(TblPop[[#This Row],[Military]]-TblPop[[#This Row],[Draftees]]-SUM(TblMili[[#This Row],[Train Unit 1]:[Train AM]]),(barracks_size + tech_8_3*TblTech[[#This Row],[8-3]])*TblConstr[[#This Row],[Tot Bar]])</f>
        <v>769</v>
      </c>
      <c r="V13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4" s="94">
        <f ca="1">MAX(-5%*TblPop[[#This Row],[Peasants]]-TblPop[[#This Row],[Draft Growth]],MIN(OFFSET(TblPop[[#This Row],[Net max]],1,0)-TblPop[[#This Row],[Peasants]]-TblPop[[#This Row],[Military]]-TblPop[[#This Row],[Draft Growth]],TblPop[[#This Row],[Modded Birth]]-TblPop[[#This Row],[Draft Growth]]))</f>
        <v>-1</v>
      </c>
      <c r="X134" s="94">
        <f ca="1">ROUND(TblPop[[#This Row],[Raw Birth]]*(1+TblPop[[#This Row],[Growth]]),0)</f>
        <v>4</v>
      </c>
      <c r="Y134" s="94">
        <f ca="1">(TblPop[[#This Row],[Peasants]]-TblPop[[#This Row],[Draft Growth]])*raw_pop_growth</f>
        <v>3.9</v>
      </c>
      <c r="Z134" s="94">
        <f ca="1">ROUND(IF(TblPop[[#This Row],[Military%]]&lt;TblMili[[#This Row],[Draftrate]],ROUND(TblPop[[#This Row],[Peasants]]*Constants!$B$55,0), 0) * IF(AND(TblMagic[[#This Row],[Active DnD]]&lt;=12,TblMagic[[#This Row],[Active DnD]]&gt;6),1.5,1),0)</f>
        <v>1</v>
      </c>
      <c r="AA134" s="142"/>
      <c r="AB134" s="143">
        <f ca="1">Overview!$I$17 + IF(Magic!AF134&gt;0,Constants!$F$78) + ROUND(6*(Construction!BM135+Construction!CK134)/IF(Explore!S135&gt;0,Construction!F135-20,Construction!F135),4) + tech_6_5_2*Techs!BJ134 + tech_8_4*Techs!BT134</f>
        <v>0</v>
      </c>
      <c r="AC134" s="139">
        <f ca="1">(Overview!$I$16 + Imps!Z134+ tech_2_5*Techs!AB134 + tech_3_6*Techs!AM134 + tech_6_1*Techs!BJ134 + tech_6_5*Techs!BF134 + tech_7_3_2*Techs!BN134) * (1 + Production!O134/100*prestige_pop_multiplier) + Production!O134/100*prestige_pop_multiplier</f>
        <v>2.5000000000000001E-2</v>
      </c>
    </row>
    <row r="135" spans="1:29" x14ac:dyDescent="0.2">
      <c r="A135" s="137">
        <f>TblRezone[[#This Row],[Hour]]</f>
        <v>132</v>
      </c>
      <c r="B135" s="138">
        <f ca="1">TblImps[[#This Row],[Time]]</f>
        <v>46325.458333333016</v>
      </c>
      <c r="C135" s="94">
        <f ca="1">OFFSET(TblPop[[#This Row],[Peasants]],-1,0)+OFFSET(TblPop[[#This Row],[Net Peasant]],-1,0)+TblMili[[#This Row],[Release Draft]]</f>
        <v>130</v>
      </c>
      <c r="D135" s="94">
        <f ca="1">TblMili[[#This Row],[Military]]</f>
        <v>639</v>
      </c>
      <c r="E135" s="94">
        <f ca="1">TblMili[[#This Row],[Draftees]]</f>
        <v>639</v>
      </c>
      <c r="F135" s="94">
        <f ca="1">TblPop[[#This Row],[Peasants]]+TblPop[[#This Row],[Military]]</f>
        <v>769</v>
      </c>
      <c r="G135" s="139">
        <f ca="1">TblPop[[#This Row],[Military]]/TblPop[[#This Row],[Total]]</f>
        <v>0.83094928478543562</v>
      </c>
      <c r="H135" s="140">
        <f ca="1">MIN(TblPop[[#This Row],[Peasants]],TblPop[[#This Row],[Jobs]])</f>
        <v>130</v>
      </c>
      <c r="I135" s="139">
        <f ca="1">MIN(OFFSET(TblPop[[#This Row],[Jobs]],1,0)/TblPop[[#This Row],[Peasants]],1)</f>
        <v>1</v>
      </c>
      <c r="J135" s="140">
        <f ca="1">SUM(TblConstr[[#This Row],[Tot Alc]:[Tot GT]],TblConstr[[#This Row],[Tot Shr]:[Tot Doc]],TblConstr[[#This Row],[Dest Alc]:[Dest GT]],TblConstr[[#This Row],[Dest Shr]:[Dest Doc]])*building_employment + TblConstr[[#This Row],[Tot Fac]]*bonus_jobs_facts</f>
        <v>1000</v>
      </c>
      <c r="K135" s="141"/>
      <c r="L135" s="61">
        <f ca="1">TblPop[[#This Row],[Draftees]]</f>
        <v>639</v>
      </c>
      <c r="M135" s="61">
        <f ca="1">TblMili[[#This Row],[Unit 1]]</f>
        <v>0</v>
      </c>
      <c r="N135" s="61">
        <f ca="1">TblMili[[#This Row],[Unit 2]]</f>
        <v>0</v>
      </c>
      <c r="O135" s="61">
        <f ca="1">TblMili[[#This Row],[Unit 3]]</f>
        <v>0</v>
      </c>
      <c r="P135" s="61">
        <f ca="1">TblMili[[#This Row],[Unit 4]]</f>
        <v>0</v>
      </c>
      <c r="Q135" s="61">
        <f ca="1">TblMili[[#This Row],[Spies]]</f>
        <v>0</v>
      </c>
      <c r="R135" s="61">
        <f ca="1">TblMili[[#This Row],[Wizards]]</f>
        <v>0</v>
      </c>
      <c r="S135" s="61">
        <f ca="1">TblMili[[#This Row],[Archmages]]</f>
        <v>0</v>
      </c>
      <c r="T135" s="142"/>
      <c r="U135" s="94">
        <f ca="1">ROUND(TblPop[[#This Row],[Raw max]]*(1+OFFSET(TblPop[[#This Row],[Max pop]],-1,0)),0)+MIN(TblPop[[#This Row],[Military]]-TblPop[[#This Row],[Draftees]]-SUM(TblMili[[#This Row],[Train Unit 1]:[Train AM]]),(barracks_size + tech_8_3*TblTech[[#This Row],[8-3]])*TblConstr[[#This Row],[Tot Bar]])</f>
        <v>769</v>
      </c>
      <c r="V13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5" s="94">
        <f ca="1">MAX(-5%*TblPop[[#This Row],[Peasants]]-TblPop[[#This Row],[Draft Growth]],MIN(OFFSET(TblPop[[#This Row],[Net max]],1,0)-TblPop[[#This Row],[Peasants]]-TblPop[[#This Row],[Military]]-TblPop[[#This Row],[Draft Growth]],TblPop[[#This Row],[Modded Birth]]-TblPop[[#This Row],[Draft Growth]]))</f>
        <v>-1</v>
      </c>
      <c r="X135" s="94">
        <f ca="1">ROUND(TblPop[[#This Row],[Raw Birth]]*(1+TblPop[[#This Row],[Growth]]),0)</f>
        <v>4</v>
      </c>
      <c r="Y135" s="94">
        <f ca="1">(TblPop[[#This Row],[Peasants]]-TblPop[[#This Row],[Draft Growth]])*raw_pop_growth</f>
        <v>3.8699999999999997</v>
      </c>
      <c r="Z135" s="94">
        <f ca="1">ROUND(IF(TblPop[[#This Row],[Military%]]&lt;TblMili[[#This Row],[Draftrate]],ROUND(TblPop[[#This Row],[Peasants]]*Constants!$B$55,0), 0) * IF(AND(TblMagic[[#This Row],[Active DnD]]&lt;=12,TblMagic[[#This Row],[Active DnD]]&gt;6),1.5,1),0)</f>
        <v>1</v>
      </c>
      <c r="AA135" s="142"/>
      <c r="AB135" s="143">
        <f ca="1">Overview!$I$17 + IF(Magic!AF135&gt;0,Constants!$F$78) + ROUND(6*(Construction!BM136+Construction!CK135)/IF(Explore!S136&gt;0,Construction!F136-20,Construction!F136),4) + tech_6_5_2*Techs!BJ135 + tech_8_4*Techs!BT135</f>
        <v>0</v>
      </c>
      <c r="AC135" s="139">
        <f ca="1">(Overview!$I$16 + Imps!Z135+ tech_2_5*Techs!AB135 + tech_3_6*Techs!AM135 + tech_6_1*Techs!BJ135 + tech_6_5*Techs!BF135 + tech_7_3_2*Techs!BN135) * (1 + Production!O135/100*prestige_pop_multiplier) + Production!O135/100*prestige_pop_multiplier</f>
        <v>2.5000000000000001E-2</v>
      </c>
    </row>
    <row r="136" spans="1:29" x14ac:dyDescent="0.2">
      <c r="A136" s="137">
        <f>TblRezone[[#This Row],[Hour]]</f>
        <v>133</v>
      </c>
      <c r="B136" s="138">
        <f ca="1">TblImps[[#This Row],[Time]]</f>
        <v>46325.49999999968</v>
      </c>
      <c r="C136" s="94">
        <f ca="1">OFFSET(TblPop[[#This Row],[Peasants]],-1,0)+OFFSET(TblPop[[#This Row],[Net Peasant]],-1,0)+TblMili[[#This Row],[Release Draft]]</f>
        <v>129</v>
      </c>
      <c r="D136" s="94">
        <f ca="1">TblMili[[#This Row],[Military]]</f>
        <v>640</v>
      </c>
      <c r="E136" s="94">
        <f ca="1">TblMili[[#This Row],[Draftees]]</f>
        <v>640</v>
      </c>
      <c r="F136" s="94">
        <f ca="1">TblPop[[#This Row],[Peasants]]+TblPop[[#This Row],[Military]]</f>
        <v>769</v>
      </c>
      <c r="G136" s="139">
        <f ca="1">TblPop[[#This Row],[Military]]/TblPop[[#This Row],[Total]]</f>
        <v>0.8322496749024707</v>
      </c>
      <c r="H136" s="140">
        <f ca="1">MIN(TblPop[[#This Row],[Peasants]],TblPop[[#This Row],[Jobs]])</f>
        <v>129</v>
      </c>
      <c r="I136" s="139">
        <f ca="1">MIN(OFFSET(TblPop[[#This Row],[Jobs]],1,0)/TblPop[[#This Row],[Peasants]],1)</f>
        <v>0</v>
      </c>
      <c r="J136" s="140">
        <f ca="1">SUM(TblConstr[[#This Row],[Tot Alc]:[Tot GT]],TblConstr[[#This Row],[Tot Shr]:[Tot Doc]],TblConstr[[#This Row],[Dest Alc]:[Dest GT]],TblConstr[[#This Row],[Dest Shr]:[Dest Doc]])*building_employment + TblConstr[[#This Row],[Tot Fac]]*bonus_jobs_facts</f>
        <v>1000</v>
      </c>
      <c r="K136" s="141"/>
      <c r="L136" s="61">
        <f ca="1">TblPop[[#This Row],[Draftees]]</f>
        <v>640</v>
      </c>
      <c r="M136" s="61">
        <f ca="1">TblMili[[#This Row],[Unit 1]]</f>
        <v>0</v>
      </c>
      <c r="N136" s="61">
        <f ca="1">TblMili[[#This Row],[Unit 2]]</f>
        <v>0</v>
      </c>
      <c r="O136" s="61">
        <f ca="1">TblMili[[#This Row],[Unit 3]]</f>
        <v>0</v>
      </c>
      <c r="P136" s="61">
        <f ca="1">TblMili[[#This Row],[Unit 4]]</f>
        <v>0</v>
      </c>
      <c r="Q136" s="61">
        <f ca="1">TblMili[[#This Row],[Spies]]</f>
        <v>0</v>
      </c>
      <c r="R136" s="61">
        <f ca="1">TblMili[[#This Row],[Wizards]]</f>
        <v>0</v>
      </c>
      <c r="S136" s="61">
        <f ca="1">TblMili[[#This Row],[Archmages]]</f>
        <v>0</v>
      </c>
      <c r="T136" s="142"/>
      <c r="U136" s="94">
        <f ca="1">ROUND(TblPop[[#This Row],[Raw max]]*(1+OFFSET(TblPop[[#This Row],[Max pop]],-1,0)),0)+MIN(TblPop[[#This Row],[Military]]-TblPop[[#This Row],[Draftees]]-SUM(TblMili[[#This Row],[Train Unit 1]:[Train AM]]),(barracks_size + tech_8_3*TblTech[[#This Row],[8-3]])*TblConstr[[#This Row],[Tot Bar]])</f>
        <v>769</v>
      </c>
      <c r="V13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6" s="94" t="e">
        <f ca="1">MAX(-5%*TblPop[[#This Row],[Peasants]]-TblPop[[#This Row],[Draft Growth]],MIN(OFFSET(TblPop[[#This Row],[Net max]],1,0)-TblPop[[#This Row],[Peasants]]-TblPop[[#This Row],[Military]]-TblPop[[#This Row],[Draft Growth]],TblPop[[#This Row],[Modded Birth]]-TblPop[[#This Row],[Draft Growth]]))</f>
        <v>#DIV/0!</v>
      </c>
      <c r="X136" s="94" t="e">
        <f ca="1">ROUND(TblPop[[#This Row],[Raw Birth]]*(1+TblPop[[#This Row],[Growth]]),0)</f>
        <v>#DIV/0!</v>
      </c>
      <c r="Y136" s="94">
        <f ca="1">(TblPop[[#This Row],[Peasants]]-TblPop[[#This Row],[Draft Growth]])*raw_pop_growth</f>
        <v>3.84</v>
      </c>
      <c r="Z136" s="94">
        <f ca="1">ROUND(IF(TblPop[[#This Row],[Military%]]&lt;TblMili[[#This Row],[Draftrate]],ROUND(TblPop[[#This Row],[Peasants]]*Constants!$B$55,0), 0) * IF(AND(TblMagic[[#This Row],[Active DnD]]&lt;=12,TblMagic[[#This Row],[Active DnD]]&gt;6),1.5,1),0)</f>
        <v>1</v>
      </c>
      <c r="AA136" s="142"/>
      <c r="AB136" s="143" t="e">
        <f ca="1">Overview!$I$17 + IF(Magic!AF136&gt;0,Constants!$F$78) + ROUND(6*(Construction!BM137+Construction!CK136)/IF(Explore!S137&gt;0,Construction!E137-20,Construction!E137),4) + tech_6_5_2*Techs!BJ136 + tech_8_4*Techs!BT136</f>
        <v>#DIV/0!</v>
      </c>
      <c r="AC136" s="139">
        <f ca="1">(Overview!$I$16 + Imps!Z136+ tech_2_5*Techs!AB136 + tech_3_6*Techs!AM136 + tech_6_1*Techs!BJ136 + tech_6_5*Techs!BF136 + tech_7_3_2*Techs!BN136) * (1 + Production!O136/100*prestige_pop_multiplier) + Production!O136/100*prestige_pop_multiplier</f>
        <v>2.5000000000000001E-2</v>
      </c>
    </row>
    <row r="1269" spans="3:26" x14ac:dyDescent="0.2">
      <c r="C1269" s="531" t="s">
        <v>314</v>
      </c>
      <c r="D1269" s="487"/>
      <c r="W1269" s="94"/>
      <c r="X1269" s="94"/>
      <c r="Y1269" s="94"/>
      <c r="Z1269" s="94"/>
    </row>
    <row r="1270" spans="3:26" x14ac:dyDescent="0.2">
      <c r="C1270" s="28">
        <f>Overview!E17</f>
        <v>0</v>
      </c>
      <c r="D1270" s="28"/>
      <c r="W1270" s="94"/>
      <c r="X1270" s="94"/>
      <c r="Y1270" s="94"/>
      <c r="Z1270" s="94"/>
    </row>
  </sheetData>
  <mergeCells count="6">
    <mergeCell ref="C1269:D1269"/>
    <mergeCell ref="C1:I1"/>
    <mergeCell ref="W1:Z1"/>
    <mergeCell ref="AA1:AD1"/>
    <mergeCell ref="L1:S1"/>
    <mergeCell ref="U1:V1"/>
  </mergeCells>
  <phoneticPr fontId="0" type="noConversion"/>
  <conditionalFormatting sqref="C4:S136">
    <cfRule type="expression" dxfId="880" priority="1" stopIfTrue="1">
      <formula>OR(C4&lt;0,ROW()-3=$C$1270)</formula>
    </cfRule>
  </conditionalFormatting>
  <conditionalFormatting sqref="A1269:XFD1270">
    <cfRule type="expression" dxfId="879" priority="106" stopIfTrue="1">
      <formula>$C$1270&gt;144</formula>
    </cfRule>
  </conditionalFormatting>
  <conditionalFormatting sqref="A4:AC136">
    <cfRule type="expression" dxfId="878" priority="12" stopIfTrue="1">
      <formula>ROW()-3=$C$1270</formula>
    </cfRule>
    <cfRule type="expression" dxfId="877" priority="112">
      <formula>$A4=49</formula>
    </cfRule>
    <cfRule type="expression" dxfId="876" priority="113">
      <formula>ROUND(($A4-1)/12,0)=INT($A4-1)/12</formula>
    </cfRule>
  </conditionalFormatting>
  <conditionalFormatting sqref="A1:XFD3">
    <cfRule type="expression" dxfId="875" priority="114">
      <formula>$C$1270&lt;0</formula>
    </cfRule>
  </conditionalFormatting>
  <pageMargins left="0.75" right="0.75" top="1" bottom="1" header="0.5" footer="0.5"/>
  <pageSetup paperSize="9" orientation="portrait" horizontalDpi="300" verticalDpi="300" r:id="rId1"/>
  <headerFooter alignWithMargins="0"/>
  <ignoredErrors>
    <ignoredError sqref="U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C4" sqref="C4"/>
    </sheetView>
  </sheetViews>
  <sheetFormatPr defaultColWidth="9.140625" defaultRowHeight="12.75" x14ac:dyDescent="0.2"/>
  <cols>
    <col min="1" max="1" width="8.5703125" style="57" customWidth="1"/>
    <col min="2" max="2" width="8.5703125" style="45" customWidth="1"/>
    <col min="3" max="3" width="7.140625" style="45" customWidth="1"/>
    <col min="4" max="4" width="3.85546875" style="45" customWidth="1"/>
    <col min="5" max="17" width="13" style="45" customWidth="1"/>
    <col min="18" max="18" width="3.7109375" style="45" customWidth="1"/>
    <col min="19" max="19" width="9.140625" style="45" customWidth="1"/>
    <col min="20" max="20" width="10.28515625" style="45" customWidth="1"/>
    <col min="21" max="21" width="13.140625" style="45" customWidth="1"/>
    <col min="22" max="22" width="10.5703125" style="45" customWidth="1"/>
    <col min="23" max="23" width="9.140625" style="45" customWidth="1"/>
    <col min="24" max="24" width="11.28515625" style="45" customWidth="1"/>
    <col min="25" max="25" width="10.85546875" style="45" customWidth="1"/>
    <col min="26" max="26" width="3.42578125" style="45" customWidth="1"/>
    <col min="27" max="27" width="10.140625" style="45" customWidth="1"/>
    <col min="28" max="28" width="11.28515625" style="45" customWidth="1"/>
    <col min="29" max="29" width="14.140625" style="45" customWidth="1"/>
    <col min="30" max="30" width="11.5703125" style="45" customWidth="1"/>
    <col min="31" max="31" width="10.140625" style="45" customWidth="1"/>
    <col min="32" max="32" width="12.28515625" style="45" customWidth="1"/>
    <col min="33" max="33" width="3.28515625" style="45" customWidth="1"/>
    <col min="34" max="34" width="11.140625" style="45" customWidth="1"/>
    <col min="35" max="35" width="12.28515625" style="45" customWidth="1"/>
    <col min="36" max="36" width="15.140625" style="45" customWidth="1"/>
    <col min="37" max="37" width="12.5703125" style="45" customWidth="1"/>
    <col min="38" max="38" width="11.140625" style="45" customWidth="1"/>
    <col min="39" max="39" width="13.28515625" style="45" customWidth="1"/>
    <col min="40" max="40" width="3.5703125" style="45" customWidth="1"/>
    <col min="41" max="41" width="13.5703125" style="45" customWidth="1"/>
    <col min="42" max="42" width="13.42578125" style="45" customWidth="1"/>
    <col min="43" max="43" width="13.7109375" style="45" customWidth="1"/>
    <col min="44" max="44" width="13.28515625" style="45" customWidth="1"/>
    <col min="45" max="45" width="3.85546875" style="45" customWidth="1"/>
    <col min="46" max="50" width="12.7109375" style="45" customWidth="1"/>
    <col min="51" max="51" width="4.140625" style="45" customWidth="1"/>
    <col min="52" max="52" width="9.42578125" style="45" bestFit="1" customWidth="1"/>
    <col min="53" max="53" width="8.7109375" style="45" customWidth="1"/>
    <col min="54" max="54" width="9.5703125" style="45" customWidth="1"/>
    <col min="55" max="58" width="12.7109375" style="45" customWidth="1"/>
    <col min="59" max="59" width="9.85546875" style="45" customWidth="1"/>
    <col min="60" max="60" width="6.85546875" style="45" customWidth="1"/>
    <col min="61" max="65" width="14.42578125" style="45" customWidth="1"/>
    <col min="66" max="16384" width="9.140625" style="45"/>
  </cols>
  <sheetData>
    <row r="1" spans="1:65" s="5" customFormat="1" x14ac:dyDescent="0.2">
      <c r="A1" s="28"/>
      <c r="C1" s="5" t="s">
        <v>228</v>
      </c>
      <c r="E1" s="5" t="s">
        <v>17</v>
      </c>
      <c r="S1" s="534" t="s">
        <v>247</v>
      </c>
      <c r="T1" s="534"/>
      <c r="U1" s="534"/>
      <c r="AA1" s="534" t="s">
        <v>85</v>
      </c>
      <c r="AB1" s="534"/>
      <c r="AH1" s="534" t="s">
        <v>164</v>
      </c>
      <c r="AI1" s="534"/>
      <c r="AJ1" s="534"/>
      <c r="AK1" s="534"/>
      <c r="AL1" s="534"/>
      <c r="AM1" s="534"/>
      <c r="AO1" s="5" t="s">
        <v>19</v>
      </c>
      <c r="AT1" s="534" t="s">
        <v>184</v>
      </c>
      <c r="AU1" s="534"/>
      <c r="BC1" s="5" t="s">
        <v>419</v>
      </c>
      <c r="BI1" s="5" t="s">
        <v>17</v>
      </c>
    </row>
    <row r="2" spans="1:65" s="5" customFormat="1" x14ac:dyDescent="0.2">
      <c r="A2" s="28"/>
    </row>
    <row r="3" spans="1:65" s="151" customFormat="1" ht="25.5" x14ac:dyDescent="0.2">
      <c r="A3" s="135" t="s">
        <v>0</v>
      </c>
      <c r="B3" s="135" t="s">
        <v>309</v>
      </c>
      <c r="C3" s="135" t="s">
        <v>320</v>
      </c>
      <c r="D3" s="135" t="s">
        <v>765</v>
      </c>
      <c r="E3" s="135" t="s">
        <v>1</v>
      </c>
      <c r="F3" s="135" t="s">
        <v>21</v>
      </c>
      <c r="G3" s="135" t="s">
        <v>230</v>
      </c>
      <c r="H3" s="135" t="s">
        <v>2</v>
      </c>
      <c r="I3" s="135" t="s">
        <v>5</v>
      </c>
      <c r="J3" s="135" t="s">
        <v>7</v>
      </c>
      <c r="K3" s="135" t="s">
        <v>12</v>
      </c>
      <c r="L3" s="135" t="s">
        <v>3</v>
      </c>
      <c r="M3" s="135" t="s">
        <v>4</v>
      </c>
      <c r="N3" s="135" t="s">
        <v>82</v>
      </c>
      <c r="O3" s="135" t="s">
        <v>350</v>
      </c>
      <c r="P3" s="135" t="s">
        <v>370</v>
      </c>
      <c r="Q3" s="135" t="s">
        <v>371</v>
      </c>
      <c r="R3" s="135" t="s">
        <v>766</v>
      </c>
      <c r="S3" s="135" t="s">
        <v>6</v>
      </c>
      <c r="T3" s="135" t="s">
        <v>9</v>
      </c>
      <c r="U3" s="135" t="s">
        <v>8</v>
      </c>
      <c r="V3" s="135" t="s">
        <v>13</v>
      </c>
      <c r="W3" s="135" t="s">
        <v>10</v>
      </c>
      <c r="X3" s="135" t="s">
        <v>11</v>
      </c>
      <c r="Y3" s="135" t="s">
        <v>50</v>
      </c>
      <c r="Z3" s="135" t="s">
        <v>767</v>
      </c>
      <c r="AA3" s="135" t="s">
        <v>828</v>
      </c>
      <c r="AB3" s="135" t="s">
        <v>829</v>
      </c>
      <c r="AC3" s="135" t="s">
        <v>830</v>
      </c>
      <c r="AD3" s="135" t="s">
        <v>831</v>
      </c>
      <c r="AE3" s="135" t="s">
        <v>832</v>
      </c>
      <c r="AF3" s="135" t="s">
        <v>833</v>
      </c>
      <c r="AG3" s="135" t="s">
        <v>768</v>
      </c>
      <c r="AH3" s="135" t="s">
        <v>834</v>
      </c>
      <c r="AI3" s="135" t="s">
        <v>835</v>
      </c>
      <c r="AJ3" s="135" t="s">
        <v>836</v>
      </c>
      <c r="AK3" s="135" t="s">
        <v>837</v>
      </c>
      <c r="AL3" s="135" t="s">
        <v>838</v>
      </c>
      <c r="AM3" s="135" t="s">
        <v>839</v>
      </c>
      <c r="AN3" s="135" t="s">
        <v>780</v>
      </c>
      <c r="AO3" s="135" t="s">
        <v>14</v>
      </c>
      <c r="AP3" s="135" t="s">
        <v>20</v>
      </c>
      <c r="AQ3" s="135" t="s">
        <v>16</v>
      </c>
      <c r="AR3" s="135" t="s">
        <v>15</v>
      </c>
      <c r="AS3" s="135" t="s">
        <v>781</v>
      </c>
      <c r="AT3" s="135" t="s">
        <v>840</v>
      </c>
      <c r="AU3" s="135" t="s">
        <v>841</v>
      </c>
      <c r="AV3" s="135" t="s">
        <v>842</v>
      </c>
      <c r="AW3" s="135" t="s">
        <v>843</v>
      </c>
      <c r="AX3" s="135" t="s">
        <v>844</v>
      </c>
      <c r="AY3" s="135" t="s">
        <v>782</v>
      </c>
      <c r="AZ3" s="135" t="s">
        <v>324</v>
      </c>
      <c r="BA3" s="135" t="s">
        <v>325</v>
      </c>
      <c r="BB3" s="135" t="s">
        <v>845</v>
      </c>
      <c r="BC3" s="135" t="s">
        <v>846</v>
      </c>
      <c r="BD3" s="135" t="s">
        <v>847</v>
      </c>
      <c r="BE3" s="135" t="s">
        <v>848</v>
      </c>
      <c r="BF3" s="135" t="s">
        <v>849</v>
      </c>
      <c r="BG3" s="135" t="s">
        <v>850</v>
      </c>
      <c r="BH3" s="135" t="s">
        <v>193</v>
      </c>
      <c r="BI3" s="135" t="s">
        <v>851</v>
      </c>
      <c r="BJ3" s="135" t="s">
        <v>852</v>
      </c>
      <c r="BK3" s="135" t="s">
        <v>853</v>
      </c>
      <c r="BL3" s="135" t="s">
        <v>854</v>
      </c>
      <c r="BM3" s="135" t="s">
        <v>855</v>
      </c>
    </row>
    <row r="4" spans="1:65" x14ac:dyDescent="0.2">
      <c r="A4" s="137">
        <f>TblRezone[[#This Row],[Hour]]</f>
        <v>1</v>
      </c>
      <c r="B4" s="152">
        <f>TblImps[[#This Row],[Time]]</f>
        <v>46320</v>
      </c>
      <c r="C4" s="153"/>
      <c r="D4" s="154"/>
      <c r="E4" s="94">
        <f ca="1">TblConstr[[#This Row],[Land]]</f>
        <v>50</v>
      </c>
      <c r="F4" s="94">
        <f ca="1">TblPop[[#This Row],[Peasants]]</f>
        <v>469</v>
      </c>
      <c r="G4" s="94">
        <f ca="1">TblMili[[#This Row],[Networth (2)]]</f>
        <v>1250</v>
      </c>
      <c r="H4" s="378">
        <f ca="1">start_plat - TblProd[[#This Row],[Expenses Platinum]] + IF(TblProd[[#This Row],[Plat Bonus]],TblPop[[#This Row],[Peasants]]*4)+days_late*days_late_plat + SUM(TblConstr[[#This Row],[Dest Hom]:[Dest Doc]])*Construction!AM4*tech_3_3_2*TblTech[[#This Row],[3-3]]</f>
        <v>120000</v>
      </c>
      <c r="I4" s="378">
        <f>start_food+days_late*days_late_food</f>
        <v>15000</v>
      </c>
      <c r="J4" s="378">
        <f ca="1">start_lumber - TblProd[[#This Row],[Expenses Lumber]]+days_late*days_late_lumber + SUM(TblConstr[[#This Row],[Dest Hom]:[Dest Doc]])*TblConstr[[#This Row],[CPA Lumber -DB]]*tech_3_3_2*TblTech[[#This Row],[3-3]]</f>
        <v>15000</v>
      </c>
      <c r="K4" s="378">
        <f ca="1">start_mana - TblProd[[#This Row],[Expenses Mana]]+days_late*days_late_mana</f>
        <v>0</v>
      </c>
      <c r="L4" s="378">
        <f ca="1">start_ore - TblProd[[#This Row],[Expenses Ore]]+days_late*days_late_ore</f>
        <v>0</v>
      </c>
      <c r="M4" s="378">
        <f>start_gems - TblProd[[#This Row],[Expenses Gems]]</f>
        <v>0</v>
      </c>
      <c r="N4" s="378">
        <f>start_boats</f>
        <v>0</v>
      </c>
      <c r="O4" s="378">
        <f>start_prestige</f>
        <v>250</v>
      </c>
      <c r="P4" s="379">
        <f ca="1">ROUNDDOWN(-TblProd[[#This Row],[Required]]*TblTech[[#This Row],[…]],0) + IF(TblProd[[#This Row],[Plat Bonus]]&lt;&gt;"",350,0)</f>
        <v>0</v>
      </c>
      <c r="Q4" s="109">
        <f ca="1">MAX(_xlfn.CEILING.MATH(TblProd[[#This Row],[Land]]*2.5+IFERROR(OFFSET(TblTech[[#This Row],[Sum of tech]],-1,0)*50,0)),3750)</f>
        <v>3750</v>
      </c>
      <c r="R4" s="142"/>
      <c r="S4" s="94">
        <f ca="1">ROUNDDOWN(TblProd[[#This Row],[Raw Plat/hr]]*(1+TblProd[[#This Row],[Bonus Plat/hr]]),0)</f>
        <v>1266</v>
      </c>
      <c r="T4" s="94">
        <f ca="1">ROUND(TblProd[[#This Row],[Raw Food/hr]]*(1+TblProd[[#This Row],[Bonus Food/hr]])-TblProd[[#This Row],[Food decay]]-TblProd[[#This Row],[Food eaten]],0)</f>
        <v>2238</v>
      </c>
      <c r="U4" s="94">
        <f ca="1">ROUND(TblProd[[#This Row],[Raw Lumber/hr]]*(1+TblProd[[#This Row],[Bonus Lumber/hr]])-TblProd[[#This Row],[Lumber rot]],0)</f>
        <v>850</v>
      </c>
      <c r="V4" s="94">
        <f ca="1">ROUND(TblProd[[#This Row],[Raw Mana/hr]]*(1+TblProd[[#This Row],[Bonus Mana/hr]])-TblProd[[#This Row],[Mana drain]],0)</f>
        <v>0</v>
      </c>
      <c r="W4" s="94">
        <f ca="1">ROUNDDOWN(TblProd[[#This Row],[Raw Ore/hr]]*(1+TblProd[[#This Row],[Bonux Ore/hr]]),0)</f>
        <v>0</v>
      </c>
      <c r="X4" s="94">
        <f ca="1">ROUNDDOWN(TblProd[[#This Row],[Raw Gems/hr]]*(1+TblProd[[#This Row],[Bonus Gems/hr]]),0)</f>
        <v>0</v>
      </c>
      <c r="Y4" s="155">
        <f ca="1">OFFSET(TblConstr[[#This Row],[Tot Doc]],1,0)*dock_boats_hr * (1 + tech_4_1*TblTech[[#This Row],[4-1]])</f>
        <v>0</v>
      </c>
      <c r="Z4" s="154"/>
      <c r="AA4" s="94">
        <f ca="1">TblPop[[#This Row],[Peasants]]*tax*TblPop[[#This Row],[Employment]] + (Construction!AZ5+Construction!BX5)*(alch_plat+(Magic!AN4&gt;0)*alchemist_flame_bonus)</f>
        <v>1266.3000000000002</v>
      </c>
      <c r="AB4" s="94">
        <f>TblConstr[[#This Row],[Tot Farm]]*farm_food + TblConstr[[#This Row],[Tot Doc]]*dock_food</f>
        <v>2400</v>
      </c>
      <c r="AC4" s="94">
        <f>TblConstr[[#This Row],[Tot Ly]]*ly_lumber + TblConstr[[#This Row],[Tot Hav]]*fh_lumber + IF(race="Wood Elf",TblMili[[#This Row],[Unit 2]]*MIN(TblMili[[#This Row],[Homeland%]]/wisp_bonus,wisp_cap),0)</f>
        <v>1000</v>
      </c>
      <c r="AD4" s="94">
        <f ca="1">OFFSET(TblConstr[[#This Row],[Tot Tow]],1,0)*(tower_mana + tech_4_5*TblTech[[#This Row],[4-5]]) + OFFSET(TblConstr[[#This Row],[Tot WG]],1,0)*wg_mana_prod</f>
        <v>0</v>
      </c>
      <c r="AE4" s="94">
        <f ca="1">OFFSET(TblConstr[[#This Row],[Tot OM]],1,0)*om_ore+IF(race="Dwarf",TblMili[[#This Row],[Unit 2]]*0.5,0)</f>
        <v>0</v>
      </c>
      <c r="AF4" s="94">
        <f ca="1">OFFSET(TblConstr[[#This Row],[Tot DM]],1,0)*dm_gems</f>
        <v>0</v>
      </c>
      <c r="AG4" s="142"/>
      <c r="AH4" s="156">
        <f ca="1">MIN(race_platinum_bonus + IF(TblMagic[[#This Row],[Active Arc Infusion]]&gt;0,alch_frost_bonus,IF(Magic!AE4&gt;0,midas_bonus)) + TblImps[[#This Row],[Science]] - TblProd[[#This Row],[Guard]]*(0.02 + tech_5_7*TblTech[[#This Row],[5-7]]) + tech_1_5*TblTech[[#This Row],[1-5]] + tech_4_4*TblTech[[#This Row],[4-4]] + IF(TblMagic[[#This Row],[Active Infernal Command]]&gt;0,demonic_pact_plat,0), 0.5)</f>
        <v>0</v>
      </c>
      <c r="AI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 s="156">
        <f>race_lumber_bonus+ IF(TblMagic[[#This Row],[Active Gaia''s Blessing]]&gt;0,gaias_blessing_lumber)+ tech_1_3*TblTech[[#This Row],[1-3]] + tech_1_6*TblTech[[#This Row],[1-6]] + tech_3_3*TblTech[[#This Row],[3-3]]</f>
        <v>0</v>
      </c>
      <c r="AK4" s="156">
        <f ca="1">race_mana_bonus+ 0 + TblImps[[#This Row],[Spires]] + tech_1_2*TblTech[[#This Row],[1-2]] + tech_3_4*TblTech[[#This Row],[3-4]]</f>
        <v>0</v>
      </c>
      <c r="AL4" s="156">
        <f>race_ore_bonus + IF(TblMagic[[#This Row],[Active Miner''s Sight]]&gt;0,miners_sight_bonus,IF(TblMagic[[#This Row],[Active Mining Strength]]&gt;0,mining_strength_bonus)) +  tech_1_6*TblTech[[#This Row],[1-6]]</f>
        <v>0</v>
      </c>
      <c r="AM4" s="156">
        <f>race_gem_bonus+ tech_3_2*TblTech[[#This Row],[3-2]] + tech_4_3*TblTech[[#This Row],[4-3]] + tech_6_2*TblTech[[#This Row],[6-2]]</f>
        <v>0</v>
      </c>
      <c r="AN4" s="142"/>
      <c r="AO4" s="94">
        <f>TblProd[[#This Row],[Food]]*food_decay * (1 + tech_2_1*TblTech[[#This Row],[2-1]] + tech_2_8*TblTech[[#This Row],[2-8]] + IF(AND(TblMagic[[#This Row],[Active DnD]]&lt;12,TblMagic[[#This Row],[Active DnD]]&gt;5),1,0))</f>
        <v>150</v>
      </c>
      <c r="AP4" s="94">
        <f ca="1">(1+race_food_consumption)*TblPop[[#This Row],[Total]]*food_per_person*(1+tech_1_10*TblTech[[#This Row],[1-10]]+tech_7_5*TblTech[[#This Row],[7-5]] + IF(TblMagic[[#This Row],[Active Infernal Command]]&gt;0,demonic_pact_food_cons,0))</f>
        <v>192.25</v>
      </c>
      <c r="AQ4" s="94">
        <f ca="1">TblProd[[#This Row],[Lumber]]*lumber_rot * (1 + tech_2_1*TblTech[[#This Row],[2-1]] + tech_2_8*TblTech[[#This Row],[2-8]] + tech_5_2*TblTech[[#This Row],[5-2]] + IF(AND(TblMagic[[#This Row],[Active DnD]]&lt;12,TblMagic[[#This Row],[Active DnD]]&gt;5),1,0))</f>
        <v>150</v>
      </c>
      <c r="AR4" s="94">
        <f ca="1">TblProd[[#This Row],[Mana]]*mana_drain * (1 + tech_2_1*TblTech[[#This Row],[2-1]] + tech_2_8*TblTech[[#This Row],[2-8]])</f>
        <v>0</v>
      </c>
      <c r="AS4" s="154"/>
      <c r="AT4" s="94">
        <f ca="1">TblExplore[[#This Row],[Platinum (2)]]+TblConstr[[#This Row],[Total Plat Cost]]+TblMili[[#This Row],[Plat Cost]]+TblRezone[[#This Row],[Platinum cost]]+TblImps[[#This Row],[P1]]-TblProd[[#This Row],[Bank Plat]]</f>
        <v>0</v>
      </c>
      <c r="AU4" s="94">
        <f ca="1">TblConstr[[#This Row],[Total Lum Cost]]+TblImps[[#This Row],[L1]]-TblProd[[#This Row],[Bank Lumber]] + Military!$CO$25*TblMili[[#This Row],[Sec. rec. Cost]]</f>
        <v>0</v>
      </c>
      <c r="AV4" s="94">
        <f ca="1">TblMagic[[#This Row],[Mana cost]] + Military!$CO$26*TblMili[[#This Row],[Sec. rec. Cost]]</f>
        <v>0</v>
      </c>
      <c r="AW4" s="94">
        <f ca="1">Military!$CO$24*TblMili[[#This Row],[Sec. rec. Cost]]+TblImps[[#This Row],[O1]]-TblProd[[#This Row],[Bank Ore]]</f>
        <v>0</v>
      </c>
      <c r="AX4" s="94">
        <f>TblImps[[#This Row],[G1]]-TblProd[[#This Row],[Bank Gems]]</f>
        <v>0</v>
      </c>
      <c r="AY4" s="142"/>
      <c r="AZ4" s="61" t="b">
        <f>IF(TblProd[[#This Row],[Set Guard]]&lt;&gt;"",TblProd[[#This Row],[Set Guard]],FALSE)</f>
        <v>0</v>
      </c>
      <c r="BA4" s="153"/>
      <c r="BB4" s="45">
        <f>TblProd[[#This Row],[Hour]]</f>
        <v>1</v>
      </c>
      <c r="BC4" s="158">
        <f>-TblProd[[#This Row],[Bank Lumber]] / 2 + -TblProd[[#This Row],[Bank Gems]] * 2 + -TblProd[[#This Row],[Bank Ore]] / 2</f>
        <v>0</v>
      </c>
      <c r="BD4" s="158"/>
      <c r="BE4" s="158"/>
      <c r="BF4" s="158"/>
      <c r="BG4" s="159">
        <f>TblProd[[#This Row],[Time]]</f>
        <v>46320</v>
      </c>
      <c r="BH4" s="45"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
      </c>
      <c r="BI4" s="94">
        <f ca="1">TblProd[[#This Row],[Platinum]]</f>
        <v>120000</v>
      </c>
      <c r="BJ4" s="94">
        <f>TblProd[[#This Row],[Food]]</f>
        <v>15000</v>
      </c>
      <c r="BK4" s="94">
        <f ca="1">TblProd[[#This Row],[Lumber]]</f>
        <v>15000</v>
      </c>
      <c r="BL4" s="94">
        <f ca="1">TblProd[[#This Row],[Mana]]</f>
        <v>0</v>
      </c>
      <c r="BM4" s="94">
        <f ca="1">TblProd[[#This Row],[Ore]]</f>
        <v>0</v>
      </c>
    </row>
    <row r="5" spans="1:65" x14ac:dyDescent="0.2">
      <c r="A5" s="137">
        <v>2</v>
      </c>
      <c r="B5" s="152">
        <f ca="1">TblImps[[#This Row],[Time]]</f>
        <v>46320.041666666664</v>
      </c>
      <c r="C5" s="153"/>
      <c r="D5" s="154"/>
      <c r="E5" s="94">
        <f ca="1">TblConstr[[#This Row],[Land]]</f>
        <v>50</v>
      </c>
      <c r="F5" s="94">
        <f ca="1">TblPop[[#This Row],[Peasants]]</f>
        <v>464</v>
      </c>
      <c r="G5" s="94">
        <f ca="1">TblMili[[#This Row],[Networth (2)]]</f>
        <v>1250</v>
      </c>
      <c r="H5" s="94">
        <f ca="1">OFFSET(TblProd[[#This Row],[Platinum]],-1,0)+OFFSET(TblProd[[#This Row],[Plat/hr]],-1,0) - TblProd[[#This Row],[Expenses Platinum]] + IF(TblProd[[#This Row],[Plat Bonus]],TblPop[[#This Row],[Peasants]]*4) + SUM(TblConstr[[#This Row],[Dest Hom]:[Dest Doc]])*TblConstr[[#This Row],[CPA Platinum -DB]]*tech_3_3_2*TblTech[[#This Row],[3-3]]</f>
        <v>121266</v>
      </c>
      <c r="I5" s="94">
        <f ca="1">OFFSET(TblProd[[#This Row],[Food]],-1,0)+OFFSET(TblProd[[#This Row],[Food/hr]],-1,0)+ROUNDUP((TblConstr[[#This Row],[Farms]]*80+TblConstr[[#This Row],[Docks]]*35)*(1+OFFSET(TblProd[[#This Row],[Bonus Food/hr]],-1,0)),0)</f>
        <v>17238</v>
      </c>
      <c r="J5" s="94">
        <f ca="1">OFFSET(TblProd[[#This Row],[Lumber]],-1,0)+OFFSET(TblProd[[#This Row],[Lumber/hr]],-1,0) - TblProd[[#This Row],[Expenses Lumber]] + SUM(TblConstr[[#This Row],[Dest Hom]:[Dest Doc]])*TblConstr[[#This Row],[CPA Lumber -DB]]*tech_3_3_2*TblTech[[#This Row],[3-3]]</f>
        <v>15850</v>
      </c>
      <c r="K5" s="94">
        <f ca="1">OFFSET(TblProd[[#This Row],[Mana]],-1,0)+OFFSET(TblProd[[#This Row],[Mana/hr]],-1,0)- TblProd[[#This Row],[Expenses Mana]]</f>
        <v>0</v>
      </c>
      <c r="L5" s="94">
        <f ca="1">OFFSET(TblProd[[#This Row],[Ore]],-1,0)+OFFSET(TblProd[[#This Row],[Ore/hr]],-1,0) -TblProd[[#This Row],[Expenses Ore]]</f>
        <v>0</v>
      </c>
      <c r="M5" s="94">
        <f ca="1">OFFSET(TblProd[[#This Row],[Gems]],-1,0)+OFFSET(TblProd[[#This Row],[Gems/hr]],-1,0) - TblProd[[#This Row],[Expenses Gems]]</f>
        <v>0</v>
      </c>
      <c r="N5" s="94">
        <f ca="1">OFFSET(TblProd[[#This Row],[Boats]],-1,0)+OFFSET(TblProd[[#This Row],[Boats/hr]],-1,0)</f>
        <v>0</v>
      </c>
      <c r="O5" s="94">
        <f ca="1">OFFSET(TblProd[[#This Row],[Prestige]],-1,0)</f>
        <v>250</v>
      </c>
      <c r="P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 s="94">
        <f ca="1">MAX(_xlfn.CEILING.MATH(TblProd[[#This Row],[Land]]*2.5+IFERROR(OFFSET(TblTech[[#This Row],[Sum of tech]],-1,0)*50,0)),3750)</f>
        <v>3750</v>
      </c>
      <c r="R5" s="142"/>
      <c r="S5" s="94">
        <f ca="1">ROUNDDOWN(TblProd[[#This Row],[Raw Plat/hr]]*(1+TblProd[[#This Row],[Bonus Plat/hr]]),0)</f>
        <v>1252</v>
      </c>
      <c r="T5" s="94">
        <f ca="1">ROUND(TblProd[[#This Row],[Raw Food/hr]]*(1+TblProd[[#This Row],[Bonus Food/hr]])-TblProd[[#This Row],[Food decay]]-TblProd[[#This Row],[Food eaten]],0)</f>
        <v>2215</v>
      </c>
      <c r="U5" s="94">
        <f ca="1">ROUND(TblProd[[#This Row],[Raw Lumber/hr]]*(1+TblProd[[#This Row],[Bonus Lumber/hr]])-TblProd[[#This Row],[Lumber rot]],0)</f>
        <v>842</v>
      </c>
      <c r="V5" s="94">
        <f ca="1">ROUND(TblProd[[#This Row],[Raw Mana/hr]]*(1+TblProd[[#This Row],[Bonus Mana/hr]])-TblProd[[#This Row],[Mana drain]],0)</f>
        <v>0</v>
      </c>
      <c r="W5" s="94">
        <f ca="1">ROUNDDOWN(TblProd[[#This Row],[Raw Ore/hr]]*(1+TblProd[[#This Row],[Bonux Ore/hr]]),0)</f>
        <v>0</v>
      </c>
      <c r="X5" s="94">
        <f ca="1">ROUNDDOWN(TblProd[[#This Row],[Raw Gems/hr]]*(1+TblProd[[#This Row],[Bonus Gems/hr]]),0)</f>
        <v>0</v>
      </c>
      <c r="Y5" s="155">
        <f ca="1">OFFSET(TblConstr[[#This Row],[Tot Doc]],1,0)*dock_boats_hr * (1 + tech_4_1*TblTech[[#This Row],[4-1]])</f>
        <v>0</v>
      </c>
      <c r="Z5" s="154"/>
      <c r="AA5" s="94">
        <f ca="1">TblPop[[#This Row],[Peasants]]*tax*TblPop[[#This Row],[Employment]] + (Construction!AZ6+Construction!BX6)*(alch_plat+(Magic!AN5&gt;0)*alchemist_flame_bonus)</f>
        <v>1252.8000000000002</v>
      </c>
      <c r="AB5" s="94">
        <f ca="1">TblConstr[[#This Row],[Tot Farm]]*farm_food + TblConstr[[#This Row],[Tot Doc]]*dock_food</f>
        <v>2400</v>
      </c>
      <c r="AC5" s="94">
        <f ca="1">TblConstr[[#This Row],[Tot Ly]]*ly_lumber + TblConstr[[#This Row],[Tot Hav]]*fh_lumber + IF(race="Wood Elf",TblMili[[#This Row],[Unit 2]]*MIN(TblMili[[#This Row],[Homeland%]]/wisp_bonus,wisp_cap),0)</f>
        <v>1000</v>
      </c>
      <c r="AD5" s="94">
        <f ca="1">OFFSET(TblConstr[[#This Row],[Tot Tow]],1,0)*(tower_mana + tech_4_5*TblTech[[#This Row],[4-5]]) + OFFSET(TblConstr[[#This Row],[Tot WG]],1,0)*wg_mana_prod</f>
        <v>0</v>
      </c>
      <c r="AE5" s="94">
        <f ca="1">OFFSET(TblConstr[[#This Row],[Tot OM]],1,0)*om_ore+IF(race="Dwarf",TblMili[[#This Row],[Unit 2]]*0.5,0)</f>
        <v>0</v>
      </c>
      <c r="AF5" s="94">
        <f ca="1">OFFSET(TblConstr[[#This Row],[Tot DM]],1,0)*dm_gems</f>
        <v>0</v>
      </c>
      <c r="AG5" s="142"/>
      <c r="AH5" s="156">
        <f ca="1">MIN(race_platinum_bonus + IF(TblMagic[[#This Row],[Active Arc Infusion]]&gt;0,alch_frost_bonus,IF(Magic!AE5&gt;0,midas_bonus)) + TblImps[[#This Row],[Science]] - TblProd[[#This Row],[Guard]]*(0.02 + tech_5_7*TblTech[[#This Row],[5-7]]) + tech_1_5*TblTech[[#This Row],[1-5]] + tech_4_4*TblTech[[#This Row],[4-4]] + IF(TblMagic[[#This Row],[Active Infernal Command]]&gt;0,demonic_pact_plat,0), 0.5)</f>
        <v>0</v>
      </c>
      <c r="AI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 s="156">
        <f ca="1">race_lumber_bonus+ IF(TblMagic[[#This Row],[Active Gaia''s Blessing]]&gt;0,gaias_blessing_lumber)+ tech_1_3*TblTech[[#This Row],[1-3]] + tech_1_6*TblTech[[#This Row],[1-6]] + tech_3_3*TblTech[[#This Row],[3-3]]</f>
        <v>0</v>
      </c>
      <c r="AK5" s="156">
        <f ca="1">race_mana_bonus+ 0 + TblImps[[#This Row],[Spires]] + tech_1_2*TblTech[[#This Row],[1-2]] + tech_3_4*TblTech[[#This Row],[3-4]]</f>
        <v>0</v>
      </c>
      <c r="AL5" s="156">
        <f ca="1">race_ore_bonus + IF(TblMagic[[#This Row],[Active Miner''s Sight]]&gt;0,miners_sight_bonus,IF(TblMagic[[#This Row],[Active Mining Strength]]&gt;0,mining_strength_bonus)) +  tech_1_6*TblTech[[#This Row],[1-6]]</f>
        <v>0</v>
      </c>
      <c r="AM5" s="156">
        <f>race_gem_bonus+ tech_3_2*TblTech[[#This Row],[3-2]] + tech_4_3*TblTech[[#This Row],[4-3]] + tech_6_2*TblTech[[#This Row],[6-2]]</f>
        <v>0</v>
      </c>
      <c r="AN5" s="142"/>
      <c r="AO5" s="94">
        <f ca="1">TblProd[[#This Row],[Food]]*food_decay * (1 + tech_2_1*TblTech[[#This Row],[2-1]] + tech_2_8*TblTech[[#This Row],[2-8]] + IF(AND(TblMagic[[#This Row],[Active DnD]]&lt;12,TblMagic[[#This Row],[Active DnD]]&gt;5),1,0))</f>
        <v>172.38</v>
      </c>
      <c r="AP5" s="94">
        <f ca="1">(1+race_food_consumption)*TblPop[[#This Row],[Total]]*food_per_person*(1+tech_1_10*TblTech[[#This Row],[1-10]]+tech_7_5*TblTech[[#This Row],[7-5]] + IF(TblMagic[[#This Row],[Active Infernal Command]]&gt;0,demonic_pact_food_cons,0))</f>
        <v>192.25</v>
      </c>
      <c r="AQ5" s="94">
        <f ca="1">TblProd[[#This Row],[Lumber]]*lumber_rot * (1 + tech_2_1*TblTech[[#This Row],[2-1]] + tech_2_8*TblTech[[#This Row],[2-8]] + tech_5_2*TblTech[[#This Row],[5-2]] + IF(AND(TblMagic[[#This Row],[Active DnD]]&lt;12,TblMagic[[#This Row],[Active DnD]]&gt;5),1,0))</f>
        <v>158.5</v>
      </c>
      <c r="AR5" s="94">
        <f ca="1">TblProd[[#This Row],[Mana]]*mana_drain * (1 + tech_2_1*TblTech[[#This Row],[2-1]] + tech_2_8*TblTech[[#This Row],[2-8]])</f>
        <v>0</v>
      </c>
      <c r="AS5" s="154"/>
      <c r="AT5" s="94">
        <f ca="1">TblExplore[[#This Row],[Platinum (2)]]+TblConstr[[#This Row],[Total Plat Cost]]+TblMili[[#This Row],[Plat Cost]]+TblRezone[[#This Row],[Platinum cost]]+TblImps[[#This Row],[P1]]-TblProd[[#This Row],[Bank Plat]]</f>
        <v>0</v>
      </c>
      <c r="AU5" s="94">
        <f ca="1">TblConstr[[#This Row],[Total Lum Cost]]+TblImps[[#This Row],[L1]]-TblProd[[#This Row],[Bank Lumber]] + Military!$CO$25*TblMili[[#This Row],[Sec. rec. Cost]]</f>
        <v>0</v>
      </c>
      <c r="AV5" s="94">
        <f ca="1">TblMagic[[#This Row],[Mana cost]] + Military!$CO$26*TblMili[[#This Row],[Sec. rec. Cost]]</f>
        <v>0</v>
      </c>
      <c r="AW5" s="94">
        <f ca="1">Military!$CO$24*TblMili[[#This Row],[Sec. rec. Cost]]+TblImps[[#This Row],[O1]]-TblProd[[#This Row],[Bank Ore]]</f>
        <v>0</v>
      </c>
      <c r="AX5" s="94">
        <f>TblImps[[#This Row],[G1]]-TblProd[[#This Row],[Bank Gems]]</f>
        <v>0</v>
      </c>
      <c r="AY5" s="142"/>
      <c r="AZ5" s="61" t="b">
        <f ca="1">IF(TblProd[[#This Row],[Set Guard]]&lt;&gt;"",TblProd[[#This Row],[Set Guard]],OFFSET(TblProd[[#This Row],[Guard]],-1,0))</f>
        <v>0</v>
      </c>
      <c r="BA5" s="153"/>
      <c r="BB5" s="45">
        <f>TblProd[[#This Row],[Hour]]</f>
        <v>2</v>
      </c>
      <c r="BC5" s="158">
        <f>-TblProd[[#This Row],[Bank Lumber]] / 2 + -TblProd[[#This Row],[Bank Gems]] * 2 + -TblProd[[#This Row],[Bank Ore]] / 2</f>
        <v>0</v>
      </c>
      <c r="BD5" s="158"/>
      <c r="BE5" s="158"/>
      <c r="BF5" s="158"/>
      <c r="BG5" s="159">
        <f ca="1">TblProd[[#This Row],[Time]]</f>
        <v>46320.041666666664</v>
      </c>
      <c r="BH5" s="45"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94">
        <f ca="1">TblProd[[#This Row],[Platinum]]</f>
        <v>121266</v>
      </c>
      <c r="BJ5" s="94">
        <f ca="1">TblProd[[#This Row],[Food]]</f>
        <v>17238</v>
      </c>
      <c r="BK5" s="94">
        <f ca="1">TblProd[[#This Row],[Lumber]]</f>
        <v>15850</v>
      </c>
      <c r="BL5" s="94">
        <f ca="1">TblProd[[#This Row],[Mana]]</f>
        <v>0</v>
      </c>
      <c r="BM5" s="94">
        <f ca="1">TblProd[[#This Row],[Ore]]</f>
        <v>0</v>
      </c>
    </row>
    <row r="6" spans="1:65" x14ac:dyDescent="0.2">
      <c r="A6" s="137">
        <v>3</v>
      </c>
      <c r="B6" s="152">
        <f ca="1">TblImps[[#This Row],[Time]]</f>
        <v>46320.083333333328</v>
      </c>
      <c r="C6" s="153"/>
      <c r="D6" s="154"/>
      <c r="E6" s="94">
        <f ca="1">TblConstr[[#This Row],[Land]]</f>
        <v>50</v>
      </c>
      <c r="F6" s="94">
        <f ca="1">TblPop[[#This Row],[Peasants]]</f>
        <v>459</v>
      </c>
      <c r="G6" s="94">
        <f ca="1">TblMili[[#This Row],[Networth (2)]]</f>
        <v>1250</v>
      </c>
      <c r="H6" s="94">
        <f ca="1">OFFSET(TblProd[[#This Row],[Platinum]],-1,0)+OFFSET(TblProd[[#This Row],[Plat/hr]],-1,0) - TblProd[[#This Row],[Expenses Platinum]] + IF(TblProd[[#This Row],[Plat Bonus]],TblPop[[#This Row],[Peasants]]*4) + SUM(TblConstr[[#This Row],[Dest Hom]:[Dest Doc]])*TblConstr[[#This Row],[CPA Platinum -DB]]*tech_3_3_2*TblTech[[#This Row],[3-3]]</f>
        <v>122518</v>
      </c>
      <c r="I6" s="94">
        <f ca="1">OFFSET(TblProd[[#This Row],[Food]],-1,0)+OFFSET(TblProd[[#This Row],[Food/hr]],-1,0)+ROUNDUP((TblConstr[[#This Row],[Farms]]*80+TblConstr[[#This Row],[Docks]]*35)*(1+OFFSET(TblProd[[#This Row],[Bonus Food/hr]],-1,0)),0)</f>
        <v>19453</v>
      </c>
      <c r="J6" s="94">
        <f ca="1">OFFSET(TblProd[[#This Row],[Lumber]],-1,0)+OFFSET(TblProd[[#This Row],[Lumber/hr]],-1,0) - TblProd[[#This Row],[Expenses Lumber]] + SUM(TblConstr[[#This Row],[Dest Hom]:[Dest Doc]])*TblConstr[[#This Row],[CPA Lumber -DB]]*tech_3_3_2*TblTech[[#This Row],[3-3]]</f>
        <v>16692</v>
      </c>
      <c r="K6" s="94">
        <f ca="1">OFFSET(TblProd[[#This Row],[Mana]],-1,0)+OFFSET(TblProd[[#This Row],[Mana/hr]],-1,0)- TblProd[[#This Row],[Expenses Mana]]</f>
        <v>0</v>
      </c>
      <c r="L6" s="94">
        <f ca="1">OFFSET(TblProd[[#This Row],[Ore]],-1,0)+OFFSET(TblProd[[#This Row],[Ore/hr]],-1,0) -TblProd[[#This Row],[Expenses Ore]]</f>
        <v>0</v>
      </c>
      <c r="M6" s="94">
        <f ca="1">OFFSET(TblProd[[#This Row],[Gems]],-1,0)+OFFSET(TblProd[[#This Row],[Gems/hr]],-1,0) - TblProd[[#This Row],[Expenses Gems]]</f>
        <v>0</v>
      </c>
      <c r="N6" s="94">
        <f ca="1">OFFSET(TblProd[[#This Row],[Boats]],-1,0)+OFFSET(TblProd[[#This Row],[Boats/hr]],-1,0)</f>
        <v>0</v>
      </c>
      <c r="O6" s="94">
        <f ca="1">OFFSET(TblProd[[#This Row],[Prestige]],-1,0)</f>
        <v>250</v>
      </c>
      <c r="P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 s="94">
        <f ca="1">MAX(_xlfn.CEILING.MATH(TblProd[[#This Row],[Land]]*2.5+IFERROR(OFFSET(TblTech[[#This Row],[Sum of tech]],-1,0)*50,0)),3750)</f>
        <v>3750</v>
      </c>
      <c r="R6" s="142"/>
      <c r="S6" s="94">
        <f ca="1">ROUNDDOWN(TblProd[[#This Row],[Raw Plat/hr]]*(1+TblProd[[#This Row],[Bonus Plat/hr]]),0)</f>
        <v>1239</v>
      </c>
      <c r="T6" s="94">
        <f ca="1">ROUND(TblProd[[#This Row],[Raw Food/hr]]*(1+TblProd[[#This Row],[Bonus Food/hr]])-TblProd[[#This Row],[Food decay]]-TblProd[[#This Row],[Food eaten]],0)</f>
        <v>2193</v>
      </c>
      <c r="U6" s="94">
        <f ca="1">ROUND(TblProd[[#This Row],[Raw Lumber/hr]]*(1+TblProd[[#This Row],[Bonus Lumber/hr]])-TblProd[[#This Row],[Lumber rot]],0)</f>
        <v>833</v>
      </c>
      <c r="V6" s="94">
        <f ca="1">ROUND(TblProd[[#This Row],[Raw Mana/hr]]*(1+TblProd[[#This Row],[Bonus Mana/hr]])-TblProd[[#This Row],[Mana drain]],0)</f>
        <v>0</v>
      </c>
      <c r="W6" s="94">
        <f ca="1">ROUNDDOWN(TblProd[[#This Row],[Raw Ore/hr]]*(1+TblProd[[#This Row],[Bonux Ore/hr]]),0)</f>
        <v>0</v>
      </c>
      <c r="X6" s="94">
        <f ca="1">ROUNDDOWN(TblProd[[#This Row],[Raw Gems/hr]]*(1+TblProd[[#This Row],[Bonus Gems/hr]]),0)</f>
        <v>0</v>
      </c>
      <c r="Y6" s="155">
        <f ca="1">OFFSET(TblConstr[[#This Row],[Tot Doc]],1,0)*dock_boats_hr * (1 + tech_4_1*TblTech[[#This Row],[4-1]])</f>
        <v>0</v>
      </c>
      <c r="Z6" s="154"/>
      <c r="AA6" s="94">
        <f ca="1">TblPop[[#This Row],[Peasants]]*tax*TblPop[[#This Row],[Employment]] + (Construction!AZ7+Construction!BX7)*(alch_plat+(Magic!AN6&gt;0)*alchemist_flame_bonus)</f>
        <v>1239.3000000000002</v>
      </c>
      <c r="AB6" s="94">
        <f ca="1">TblConstr[[#This Row],[Tot Farm]]*farm_food + TblConstr[[#This Row],[Tot Doc]]*dock_food</f>
        <v>2400</v>
      </c>
      <c r="AC6" s="94">
        <f ca="1">TblConstr[[#This Row],[Tot Ly]]*ly_lumber + TblConstr[[#This Row],[Tot Hav]]*fh_lumber + IF(race="Wood Elf",TblMili[[#This Row],[Unit 2]]*MIN(TblMili[[#This Row],[Homeland%]]/wisp_bonus,wisp_cap),0)</f>
        <v>1000</v>
      </c>
      <c r="AD6" s="94">
        <f ca="1">OFFSET(TblConstr[[#This Row],[Tot Tow]],1,0)*(tower_mana + tech_4_5*TblTech[[#This Row],[4-5]]) + OFFSET(TblConstr[[#This Row],[Tot WG]],1,0)*wg_mana_prod</f>
        <v>0</v>
      </c>
      <c r="AE6" s="94">
        <f ca="1">OFFSET(TblConstr[[#This Row],[Tot OM]],1,0)*om_ore+IF(race="Dwarf",TblMili[[#This Row],[Unit 2]]*0.5,0)</f>
        <v>0</v>
      </c>
      <c r="AF6" s="94">
        <f ca="1">OFFSET(TblConstr[[#This Row],[Tot DM]],1,0)*dm_gems</f>
        <v>0</v>
      </c>
      <c r="AG6" s="142"/>
      <c r="AH6" s="156">
        <f ca="1">MIN(race_platinum_bonus + IF(TblMagic[[#This Row],[Active Arc Infusion]]&gt;0,alch_frost_bonus,IF(Magic!AE6&gt;0,midas_bonus)) + TblImps[[#This Row],[Science]] - TblProd[[#This Row],[Guard]]*(0.02 + tech_5_7*TblTech[[#This Row],[5-7]]) + tech_1_5*TblTech[[#This Row],[1-5]] + tech_4_4*TblTech[[#This Row],[4-4]] + IF(TblMagic[[#This Row],[Active Infernal Command]]&gt;0,demonic_pact_plat,0), 0.5)</f>
        <v>0</v>
      </c>
      <c r="AI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 s="156">
        <f ca="1">race_lumber_bonus+ IF(TblMagic[[#This Row],[Active Gaia''s Blessing]]&gt;0,gaias_blessing_lumber)+ tech_1_3*TblTech[[#This Row],[1-3]] + tech_1_6*TblTech[[#This Row],[1-6]] + tech_3_3*TblTech[[#This Row],[3-3]]</f>
        <v>0</v>
      </c>
      <c r="AK6" s="156">
        <f ca="1">race_mana_bonus+ 0 + TblImps[[#This Row],[Spires]] + tech_1_2*TblTech[[#This Row],[1-2]] + tech_3_4*TblTech[[#This Row],[3-4]]</f>
        <v>0</v>
      </c>
      <c r="AL6" s="156">
        <f ca="1">race_ore_bonus + IF(TblMagic[[#This Row],[Active Miner''s Sight]]&gt;0,miners_sight_bonus,IF(TblMagic[[#This Row],[Active Mining Strength]]&gt;0,mining_strength_bonus)) +  tech_1_6*TblTech[[#This Row],[1-6]]</f>
        <v>0</v>
      </c>
      <c r="AM6" s="156">
        <f>race_gem_bonus+ tech_3_2*TblTech[[#This Row],[3-2]] + tech_4_3*TblTech[[#This Row],[4-3]] + tech_6_2*TblTech[[#This Row],[6-2]]</f>
        <v>0</v>
      </c>
      <c r="AN6" s="142"/>
      <c r="AO6" s="94">
        <f ca="1">TblProd[[#This Row],[Food]]*food_decay * (1 + tech_2_1*TblTech[[#This Row],[2-1]] + tech_2_8*TblTech[[#This Row],[2-8]] + IF(AND(TblMagic[[#This Row],[Active DnD]]&lt;12,TblMagic[[#This Row],[Active DnD]]&gt;5),1,0))</f>
        <v>194.53</v>
      </c>
      <c r="AP6" s="94">
        <f ca="1">(1+race_food_consumption)*TblPop[[#This Row],[Total]]*food_per_person*(1+tech_1_10*TblTech[[#This Row],[1-10]]+tech_7_5*TblTech[[#This Row],[7-5]] + IF(TblMagic[[#This Row],[Active Infernal Command]]&gt;0,demonic_pact_food_cons,0))</f>
        <v>192.25</v>
      </c>
      <c r="AQ6" s="94">
        <f ca="1">TblProd[[#This Row],[Lumber]]*lumber_rot * (1 + tech_2_1*TblTech[[#This Row],[2-1]] + tech_2_8*TblTech[[#This Row],[2-8]] + tech_5_2*TblTech[[#This Row],[5-2]] + IF(AND(TblMagic[[#This Row],[Active DnD]]&lt;12,TblMagic[[#This Row],[Active DnD]]&gt;5),1,0))</f>
        <v>166.92000000000002</v>
      </c>
      <c r="AR6" s="94">
        <f ca="1">TblProd[[#This Row],[Mana]]*mana_drain * (1 + tech_2_1*TblTech[[#This Row],[2-1]] + tech_2_8*TblTech[[#This Row],[2-8]])</f>
        <v>0</v>
      </c>
      <c r="AS6" s="154"/>
      <c r="AT6" s="94">
        <f ca="1">TblExplore[[#This Row],[Platinum (2)]]+TblConstr[[#This Row],[Total Plat Cost]]+TblMili[[#This Row],[Plat Cost]]+TblRezone[[#This Row],[Platinum cost]]+TblImps[[#This Row],[P1]]-TblProd[[#This Row],[Bank Plat]]</f>
        <v>0</v>
      </c>
      <c r="AU6" s="94">
        <f ca="1">TblConstr[[#This Row],[Total Lum Cost]]+TblImps[[#This Row],[L1]]-TblProd[[#This Row],[Bank Lumber]] + Military!$CO$25*TblMili[[#This Row],[Sec. rec. Cost]]</f>
        <v>0</v>
      </c>
      <c r="AV6" s="94">
        <f ca="1">TblMagic[[#This Row],[Mana cost]] + Military!$CO$26*TblMili[[#This Row],[Sec. rec. Cost]]</f>
        <v>0</v>
      </c>
      <c r="AW6" s="94">
        <f ca="1">Military!$CO$24*TblMili[[#This Row],[Sec. rec. Cost]]+TblImps[[#This Row],[O1]]-TblProd[[#This Row],[Bank Ore]]</f>
        <v>0</v>
      </c>
      <c r="AX6" s="94">
        <f>TblImps[[#This Row],[G1]]-TblProd[[#This Row],[Bank Gems]]</f>
        <v>0</v>
      </c>
      <c r="AY6" s="142"/>
      <c r="AZ6" s="61" t="b">
        <f ca="1">IF(TblProd[[#This Row],[Set Guard]]&lt;&gt;"",TblProd[[#This Row],[Set Guard]],OFFSET(TblProd[[#This Row],[Guard]],-1,0))</f>
        <v>0</v>
      </c>
      <c r="BA6" s="153"/>
      <c r="BB6" s="45">
        <f>TblProd[[#This Row],[Hour]]</f>
        <v>3</v>
      </c>
      <c r="BC6" s="158">
        <f>-TblProd[[#This Row],[Bank Lumber]] / 2 + -TblProd[[#This Row],[Bank Gems]] * 2 + -TblProd[[#This Row],[Bank Ore]] / 2</f>
        <v>0</v>
      </c>
      <c r="BD6" s="158"/>
      <c r="BE6" s="158"/>
      <c r="BF6" s="158"/>
      <c r="BG6" s="159">
        <f ca="1">TblProd[[#This Row],[Time]]</f>
        <v>46320.083333333328</v>
      </c>
      <c r="BH6" s="45"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94">
        <f ca="1">TblProd[[#This Row],[Platinum]]</f>
        <v>122518</v>
      </c>
      <c r="BJ6" s="94">
        <f ca="1">TblProd[[#This Row],[Food]]</f>
        <v>19453</v>
      </c>
      <c r="BK6" s="94">
        <f ca="1">TblProd[[#This Row],[Lumber]]</f>
        <v>16692</v>
      </c>
      <c r="BL6" s="94">
        <f ca="1">TblProd[[#This Row],[Mana]]</f>
        <v>0</v>
      </c>
      <c r="BM6" s="94">
        <f ca="1">TblProd[[#This Row],[Ore]]</f>
        <v>0</v>
      </c>
    </row>
    <row r="7" spans="1:65" x14ac:dyDescent="0.2">
      <c r="A7" s="137">
        <v>4</v>
      </c>
      <c r="B7" s="152">
        <f ca="1">TblImps[[#This Row],[Time]]</f>
        <v>46320.124999999993</v>
      </c>
      <c r="C7" s="153"/>
      <c r="D7" s="154"/>
      <c r="E7" s="94">
        <f ca="1">TblConstr[[#This Row],[Land]]</f>
        <v>50</v>
      </c>
      <c r="F7" s="94">
        <f ca="1">TblPop[[#This Row],[Peasants]]</f>
        <v>454</v>
      </c>
      <c r="G7" s="94">
        <f ca="1">TblMili[[#This Row],[Networth (2)]]</f>
        <v>1250</v>
      </c>
      <c r="H7" s="94">
        <f ca="1">OFFSET(TblProd[[#This Row],[Platinum]],-1,0)+OFFSET(TblProd[[#This Row],[Plat/hr]],-1,0) - TblProd[[#This Row],[Expenses Platinum]] + IF(TblProd[[#This Row],[Plat Bonus]],TblPop[[#This Row],[Peasants]]*4) + SUM(TblConstr[[#This Row],[Dest Hom]:[Dest Doc]])*TblConstr[[#This Row],[CPA Platinum -DB]]*tech_3_3_2*TblTech[[#This Row],[3-3]]</f>
        <v>123757</v>
      </c>
      <c r="I7" s="94">
        <f ca="1">OFFSET(TblProd[[#This Row],[Food]],-1,0)+OFFSET(TblProd[[#This Row],[Food/hr]],-1,0)+ROUNDUP((TblConstr[[#This Row],[Farms]]*80+TblConstr[[#This Row],[Docks]]*35)*(1+OFFSET(TblProd[[#This Row],[Bonus Food/hr]],-1,0)),0)</f>
        <v>21646</v>
      </c>
      <c r="J7" s="94">
        <f ca="1">OFFSET(TblProd[[#This Row],[Lumber]],-1,0)+OFFSET(TblProd[[#This Row],[Lumber/hr]],-1,0) - TblProd[[#This Row],[Expenses Lumber]] + SUM(TblConstr[[#This Row],[Dest Hom]:[Dest Doc]])*TblConstr[[#This Row],[CPA Lumber -DB]]*tech_3_3_2*TblTech[[#This Row],[3-3]]</f>
        <v>17525</v>
      </c>
      <c r="K7" s="94">
        <f ca="1">OFFSET(TblProd[[#This Row],[Mana]],-1,0)+OFFSET(TblProd[[#This Row],[Mana/hr]],-1,0)- TblProd[[#This Row],[Expenses Mana]]</f>
        <v>0</v>
      </c>
      <c r="L7" s="94">
        <f ca="1">OFFSET(TblProd[[#This Row],[Ore]],-1,0)+OFFSET(TblProd[[#This Row],[Ore/hr]],-1,0) -TblProd[[#This Row],[Expenses Ore]]</f>
        <v>0</v>
      </c>
      <c r="M7" s="94">
        <f ca="1">OFFSET(TblProd[[#This Row],[Gems]],-1,0)+OFFSET(TblProd[[#This Row],[Gems/hr]],-1,0) - TblProd[[#This Row],[Expenses Gems]]</f>
        <v>0</v>
      </c>
      <c r="N7" s="94">
        <f ca="1">OFFSET(TblProd[[#This Row],[Boats]],-1,0)+OFFSET(TblProd[[#This Row],[Boats/hr]],-1,0)</f>
        <v>0</v>
      </c>
      <c r="O7" s="94">
        <f ca="1">OFFSET(TblProd[[#This Row],[Prestige]],-1,0)</f>
        <v>250</v>
      </c>
      <c r="P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 s="94">
        <f ca="1">MAX(_xlfn.CEILING.MATH(TblProd[[#This Row],[Land]]*2.5+IFERROR(OFFSET(TblTech[[#This Row],[Sum of tech]],-1,0)*50,0)),3750)</f>
        <v>3750</v>
      </c>
      <c r="R7" s="142"/>
      <c r="S7" s="94">
        <f ca="1">ROUNDDOWN(TblProd[[#This Row],[Raw Plat/hr]]*(1+TblProd[[#This Row],[Bonus Plat/hr]]),0)</f>
        <v>1225</v>
      </c>
      <c r="T7" s="94">
        <f ca="1">ROUND(TblProd[[#This Row],[Raw Food/hr]]*(1+TblProd[[#This Row],[Bonus Food/hr]])-TblProd[[#This Row],[Food decay]]-TblProd[[#This Row],[Food eaten]],0)</f>
        <v>2171</v>
      </c>
      <c r="U7" s="94">
        <f ca="1">ROUND(TblProd[[#This Row],[Raw Lumber/hr]]*(1+TblProd[[#This Row],[Bonus Lumber/hr]])-TblProd[[#This Row],[Lumber rot]],0)</f>
        <v>825</v>
      </c>
      <c r="V7" s="94">
        <f ca="1">ROUND(TblProd[[#This Row],[Raw Mana/hr]]*(1+TblProd[[#This Row],[Bonus Mana/hr]])-TblProd[[#This Row],[Mana drain]],0)</f>
        <v>0</v>
      </c>
      <c r="W7" s="94">
        <f ca="1">ROUNDDOWN(TblProd[[#This Row],[Raw Ore/hr]]*(1+TblProd[[#This Row],[Bonux Ore/hr]]),0)</f>
        <v>0</v>
      </c>
      <c r="X7" s="94">
        <f ca="1">ROUNDDOWN(TblProd[[#This Row],[Raw Gems/hr]]*(1+TblProd[[#This Row],[Bonus Gems/hr]]),0)</f>
        <v>0</v>
      </c>
      <c r="Y7" s="155">
        <f ca="1">OFFSET(TblConstr[[#This Row],[Tot Doc]],1,0)*dock_boats_hr * (1 + tech_4_1*TblTech[[#This Row],[4-1]])</f>
        <v>0</v>
      </c>
      <c r="Z7" s="154"/>
      <c r="AA7" s="94">
        <f ca="1">TblPop[[#This Row],[Peasants]]*tax*TblPop[[#This Row],[Employment]] + (Construction!AZ8+Construction!BX8)*(alch_plat+(Magic!AN7&gt;0)*alchemist_flame_bonus)</f>
        <v>1225.8000000000002</v>
      </c>
      <c r="AB7" s="94">
        <f ca="1">TblConstr[[#This Row],[Tot Farm]]*farm_food + TblConstr[[#This Row],[Tot Doc]]*dock_food</f>
        <v>2400</v>
      </c>
      <c r="AC7" s="94">
        <f ca="1">TblConstr[[#This Row],[Tot Ly]]*ly_lumber + TblConstr[[#This Row],[Tot Hav]]*fh_lumber + IF(race="Wood Elf",TblMili[[#This Row],[Unit 2]]*MIN(TblMili[[#This Row],[Homeland%]]/wisp_bonus,wisp_cap),0)</f>
        <v>1000</v>
      </c>
      <c r="AD7" s="94">
        <f ca="1">OFFSET(TblConstr[[#This Row],[Tot Tow]],1,0)*(tower_mana + tech_4_5*TblTech[[#This Row],[4-5]]) + OFFSET(TblConstr[[#This Row],[Tot WG]],1,0)*wg_mana_prod</f>
        <v>0</v>
      </c>
      <c r="AE7" s="94">
        <f ca="1">OFFSET(TblConstr[[#This Row],[Tot OM]],1,0)*om_ore+IF(race="Dwarf",TblMili[[#This Row],[Unit 2]]*0.5,0)</f>
        <v>0</v>
      </c>
      <c r="AF7" s="94">
        <f ca="1">OFFSET(TblConstr[[#This Row],[Tot DM]],1,0)*dm_gems</f>
        <v>0</v>
      </c>
      <c r="AG7" s="142"/>
      <c r="AH7" s="156">
        <f ca="1">MIN(race_platinum_bonus + IF(TblMagic[[#This Row],[Active Arc Infusion]]&gt;0,alch_frost_bonus,IF(Magic!AE7&gt;0,midas_bonus)) + TblImps[[#This Row],[Science]] - TblProd[[#This Row],[Guard]]*(0.02 + tech_5_7*TblTech[[#This Row],[5-7]]) + tech_1_5*TblTech[[#This Row],[1-5]] + tech_4_4*TblTech[[#This Row],[4-4]] + IF(TblMagic[[#This Row],[Active Infernal Command]]&gt;0,demonic_pact_plat,0), 0.5)</f>
        <v>0</v>
      </c>
      <c r="AI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 s="156">
        <f ca="1">race_lumber_bonus+ IF(TblMagic[[#This Row],[Active Gaia''s Blessing]]&gt;0,gaias_blessing_lumber)+ tech_1_3*TblTech[[#This Row],[1-3]] + tech_1_6*TblTech[[#This Row],[1-6]] + tech_3_3*TblTech[[#This Row],[3-3]]</f>
        <v>0</v>
      </c>
      <c r="AK7" s="156">
        <f ca="1">race_mana_bonus+ 0 + TblImps[[#This Row],[Spires]] + tech_1_2*TblTech[[#This Row],[1-2]] + tech_3_4*TblTech[[#This Row],[3-4]]</f>
        <v>0</v>
      </c>
      <c r="AL7" s="156">
        <f ca="1">race_ore_bonus + IF(TblMagic[[#This Row],[Active Miner''s Sight]]&gt;0,miners_sight_bonus,IF(TblMagic[[#This Row],[Active Mining Strength]]&gt;0,mining_strength_bonus)) +  tech_1_6*TblTech[[#This Row],[1-6]]</f>
        <v>0</v>
      </c>
      <c r="AM7" s="156">
        <f>race_gem_bonus+ tech_3_2*TblTech[[#This Row],[3-2]] + tech_4_3*TblTech[[#This Row],[4-3]] + tech_6_2*TblTech[[#This Row],[6-2]]</f>
        <v>0</v>
      </c>
      <c r="AN7" s="142"/>
      <c r="AO7" s="94">
        <f ca="1">TblProd[[#This Row],[Food]]*food_decay * (1 + tech_2_1*TblTech[[#This Row],[2-1]] + tech_2_8*TblTech[[#This Row],[2-8]] + IF(AND(TblMagic[[#This Row],[Active DnD]]&lt;12,TblMagic[[#This Row],[Active DnD]]&gt;5),1,0))</f>
        <v>216.46</v>
      </c>
      <c r="AP7" s="94">
        <f ca="1">(1+race_food_consumption)*TblPop[[#This Row],[Total]]*food_per_person*(1+tech_1_10*TblTech[[#This Row],[1-10]]+tech_7_5*TblTech[[#This Row],[7-5]] + IF(TblMagic[[#This Row],[Active Infernal Command]]&gt;0,demonic_pact_food_cons,0))</f>
        <v>192.25</v>
      </c>
      <c r="AQ7" s="94">
        <f ca="1">TblProd[[#This Row],[Lumber]]*lumber_rot * (1 + tech_2_1*TblTech[[#This Row],[2-1]] + tech_2_8*TblTech[[#This Row],[2-8]] + tech_5_2*TblTech[[#This Row],[5-2]] + IF(AND(TblMagic[[#This Row],[Active DnD]]&lt;12,TblMagic[[#This Row],[Active DnD]]&gt;5),1,0))</f>
        <v>175.25</v>
      </c>
      <c r="AR7" s="94">
        <f ca="1">TblProd[[#This Row],[Mana]]*mana_drain * (1 + tech_2_1*TblTech[[#This Row],[2-1]] + tech_2_8*TblTech[[#This Row],[2-8]])</f>
        <v>0</v>
      </c>
      <c r="AS7" s="154"/>
      <c r="AT7" s="94">
        <f ca="1">TblExplore[[#This Row],[Platinum (2)]]+TblConstr[[#This Row],[Total Plat Cost]]+TblMili[[#This Row],[Plat Cost]]+TblRezone[[#This Row],[Platinum cost]]+TblImps[[#This Row],[P1]]-TblProd[[#This Row],[Bank Plat]]</f>
        <v>0</v>
      </c>
      <c r="AU7" s="94">
        <f ca="1">TblConstr[[#This Row],[Total Lum Cost]]+TblImps[[#This Row],[L1]]-TblProd[[#This Row],[Bank Lumber]] + Military!$CO$25*TblMili[[#This Row],[Sec. rec. Cost]]</f>
        <v>0</v>
      </c>
      <c r="AV7" s="94">
        <f ca="1">TblMagic[[#This Row],[Mana cost]] + Military!$CO$26*TblMili[[#This Row],[Sec. rec. Cost]]</f>
        <v>0</v>
      </c>
      <c r="AW7" s="94">
        <f ca="1">Military!$CO$24*TblMili[[#This Row],[Sec. rec. Cost]]+TblImps[[#This Row],[O1]]-TblProd[[#This Row],[Bank Ore]]</f>
        <v>0</v>
      </c>
      <c r="AX7" s="94">
        <f>TblImps[[#This Row],[G1]]-TblProd[[#This Row],[Bank Gems]]</f>
        <v>0</v>
      </c>
      <c r="AY7" s="142"/>
      <c r="AZ7" s="61" t="b">
        <f ca="1">IF(TblProd[[#This Row],[Set Guard]]&lt;&gt;"",TblProd[[#This Row],[Set Guard]],OFFSET(TblProd[[#This Row],[Guard]],-1,0))</f>
        <v>0</v>
      </c>
      <c r="BA7" s="153"/>
      <c r="BB7" s="45">
        <f>TblProd[[#This Row],[Hour]]</f>
        <v>4</v>
      </c>
      <c r="BC7" s="158">
        <f>-TblProd[[#This Row],[Bank Lumber]] / 2 + -TblProd[[#This Row],[Bank Gems]] * 2 + -TblProd[[#This Row],[Bank Ore]] / 2</f>
        <v>0</v>
      </c>
      <c r="BD7" s="158"/>
      <c r="BE7" s="158"/>
      <c r="BF7" s="158"/>
      <c r="BG7" s="159">
        <f ca="1">TblProd[[#This Row],[Time]]</f>
        <v>46320.124999999993</v>
      </c>
      <c r="BH7" s="45"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94">
        <f ca="1">TblProd[[#This Row],[Platinum]]</f>
        <v>123757</v>
      </c>
      <c r="BJ7" s="94">
        <f ca="1">TblProd[[#This Row],[Food]]</f>
        <v>21646</v>
      </c>
      <c r="BK7" s="94">
        <f ca="1">TblProd[[#This Row],[Lumber]]</f>
        <v>17525</v>
      </c>
      <c r="BL7" s="94">
        <f ca="1">TblProd[[#This Row],[Mana]]</f>
        <v>0</v>
      </c>
      <c r="BM7" s="94">
        <f ca="1">TblProd[[#This Row],[Ore]]</f>
        <v>0</v>
      </c>
    </row>
    <row r="8" spans="1:65" x14ac:dyDescent="0.2">
      <c r="A8" s="137">
        <v>5</v>
      </c>
      <c r="B8" s="152">
        <f ca="1">TblImps[[#This Row],[Time]]</f>
        <v>46320.166666666657</v>
      </c>
      <c r="C8" s="153"/>
      <c r="D8" s="154"/>
      <c r="E8" s="94">
        <f ca="1">TblConstr[[#This Row],[Land]]</f>
        <v>50</v>
      </c>
      <c r="F8" s="94">
        <f ca="1">TblPop[[#This Row],[Peasants]]</f>
        <v>449</v>
      </c>
      <c r="G8" s="94">
        <f ca="1">TblMili[[#This Row],[Networth (2)]]</f>
        <v>1250</v>
      </c>
      <c r="H8" s="94">
        <f ca="1">OFFSET(TblProd[[#This Row],[Platinum]],-1,0)+OFFSET(TblProd[[#This Row],[Plat/hr]],-1,0) - TblProd[[#This Row],[Expenses Platinum]] + IF(TblProd[[#This Row],[Plat Bonus]],TblPop[[#This Row],[Peasants]]*4) + SUM(TblConstr[[#This Row],[Dest Hom]:[Dest Doc]])*TblConstr[[#This Row],[CPA Platinum -DB]]*tech_3_3_2*TblTech[[#This Row],[3-3]]</f>
        <v>124982</v>
      </c>
      <c r="I8" s="94">
        <f ca="1">OFFSET(TblProd[[#This Row],[Food]],-1,0)+OFFSET(TblProd[[#This Row],[Food/hr]],-1,0)+ROUNDUP((TblConstr[[#This Row],[Farms]]*80+TblConstr[[#This Row],[Docks]]*35)*(1+OFFSET(TblProd[[#This Row],[Bonus Food/hr]],-1,0)),0)</f>
        <v>23817</v>
      </c>
      <c r="J8" s="94">
        <f ca="1">OFFSET(TblProd[[#This Row],[Lumber]],-1,0)+OFFSET(TblProd[[#This Row],[Lumber/hr]],-1,0) - TblProd[[#This Row],[Expenses Lumber]] + SUM(TblConstr[[#This Row],[Dest Hom]:[Dest Doc]])*TblConstr[[#This Row],[CPA Lumber -DB]]*tech_3_3_2*TblTech[[#This Row],[3-3]]</f>
        <v>18350</v>
      </c>
      <c r="K8" s="94">
        <f ca="1">OFFSET(TblProd[[#This Row],[Mana]],-1,0)+OFFSET(TblProd[[#This Row],[Mana/hr]],-1,0)- TblProd[[#This Row],[Expenses Mana]]</f>
        <v>0</v>
      </c>
      <c r="L8" s="94">
        <f ca="1">OFFSET(TblProd[[#This Row],[Ore]],-1,0)+OFFSET(TblProd[[#This Row],[Ore/hr]],-1,0) -TblProd[[#This Row],[Expenses Ore]]</f>
        <v>0</v>
      </c>
      <c r="M8" s="94">
        <f ca="1">OFFSET(TblProd[[#This Row],[Gems]],-1,0)+OFFSET(TblProd[[#This Row],[Gems/hr]],-1,0) - TblProd[[#This Row],[Expenses Gems]]</f>
        <v>0</v>
      </c>
      <c r="N8" s="94">
        <f ca="1">OFFSET(TblProd[[#This Row],[Boats]],-1,0)+OFFSET(TblProd[[#This Row],[Boats/hr]],-1,0)</f>
        <v>0</v>
      </c>
      <c r="O8" s="94">
        <f ca="1">OFFSET(TblProd[[#This Row],[Prestige]],-1,0)</f>
        <v>250</v>
      </c>
      <c r="P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 s="94">
        <f ca="1">MAX(_xlfn.CEILING.MATH(TblProd[[#This Row],[Land]]*2.5+IFERROR(OFFSET(TblTech[[#This Row],[Sum of tech]],-1,0)*50,0)),3750)</f>
        <v>3750</v>
      </c>
      <c r="R8" s="142"/>
      <c r="S8" s="94">
        <f ca="1">ROUNDDOWN(TblProd[[#This Row],[Raw Plat/hr]]*(1+TblProd[[#This Row],[Bonus Plat/hr]]),0)</f>
        <v>1212</v>
      </c>
      <c r="T8" s="94">
        <f ca="1">ROUND(TblProd[[#This Row],[Raw Food/hr]]*(1+TblProd[[#This Row],[Bonus Food/hr]])-TblProd[[#This Row],[Food decay]]-TblProd[[#This Row],[Food eaten]],0)</f>
        <v>2150</v>
      </c>
      <c r="U8" s="94">
        <f ca="1">ROUND(TblProd[[#This Row],[Raw Lumber/hr]]*(1+TblProd[[#This Row],[Bonus Lumber/hr]])-TblProd[[#This Row],[Lumber rot]],0)</f>
        <v>817</v>
      </c>
      <c r="V8" s="94">
        <f ca="1">ROUND(TblProd[[#This Row],[Raw Mana/hr]]*(1+TblProd[[#This Row],[Bonus Mana/hr]])-TblProd[[#This Row],[Mana drain]],0)</f>
        <v>0</v>
      </c>
      <c r="W8" s="94">
        <f ca="1">ROUNDDOWN(TblProd[[#This Row],[Raw Ore/hr]]*(1+TblProd[[#This Row],[Bonux Ore/hr]]),0)</f>
        <v>0</v>
      </c>
      <c r="X8" s="94">
        <f ca="1">ROUNDDOWN(TblProd[[#This Row],[Raw Gems/hr]]*(1+TblProd[[#This Row],[Bonus Gems/hr]]),0)</f>
        <v>0</v>
      </c>
      <c r="Y8" s="155">
        <f ca="1">OFFSET(TblConstr[[#This Row],[Tot Doc]],1,0)*dock_boats_hr * (1 + tech_4_1*TblTech[[#This Row],[4-1]])</f>
        <v>0</v>
      </c>
      <c r="Z8" s="154"/>
      <c r="AA8" s="94">
        <f ca="1">TblPop[[#This Row],[Peasants]]*tax*TblPop[[#This Row],[Employment]] + (Construction!AZ9+Construction!BX9)*(alch_plat+(Magic!AN8&gt;0)*alchemist_flame_bonus)</f>
        <v>1212.3000000000002</v>
      </c>
      <c r="AB8" s="94">
        <f ca="1">TblConstr[[#This Row],[Tot Farm]]*farm_food + TblConstr[[#This Row],[Tot Doc]]*dock_food</f>
        <v>2400</v>
      </c>
      <c r="AC8" s="94">
        <f ca="1">TblConstr[[#This Row],[Tot Ly]]*ly_lumber + TblConstr[[#This Row],[Tot Hav]]*fh_lumber + IF(race="Wood Elf",TblMili[[#This Row],[Unit 2]]*MIN(TblMili[[#This Row],[Homeland%]]/wisp_bonus,wisp_cap),0)</f>
        <v>1000</v>
      </c>
      <c r="AD8" s="94">
        <f ca="1">OFFSET(TblConstr[[#This Row],[Tot Tow]],1,0)*(tower_mana + tech_4_5*TblTech[[#This Row],[4-5]]) + OFFSET(TblConstr[[#This Row],[Tot WG]],1,0)*wg_mana_prod</f>
        <v>0</v>
      </c>
      <c r="AE8" s="94">
        <f ca="1">OFFSET(TblConstr[[#This Row],[Tot OM]],1,0)*om_ore+IF(race="Dwarf",TblMili[[#This Row],[Unit 2]]*0.5,0)</f>
        <v>0</v>
      </c>
      <c r="AF8" s="94">
        <f ca="1">OFFSET(TblConstr[[#This Row],[Tot DM]],1,0)*dm_gems</f>
        <v>0</v>
      </c>
      <c r="AG8" s="142"/>
      <c r="AH8" s="156">
        <f ca="1">MIN(race_platinum_bonus + IF(TblMagic[[#This Row],[Active Arc Infusion]]&gt;0,alch_frost_bonus,IF(Magic!AE8&gt;0,midas_bonus)) + TblImps[[#This Row],[Science]] - TblProd[[#This Row],[Guard]]*(0.02 + tech_5_7*TblTech[[#This Row],[5-7]]) + tech_1_5*TblTech[[#This Row],[1-5]] + tech_4_4*TblTech[[#This Row],[4-4]] + IF(TblMagic[[#This Row],[Active Infernal Command]]&gt;0,demonic_pact_plat,0), 0.5)</f>
        <v>0</v>
      </c>
      <c r="AI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 s="156">
        <f ca="1">race_lumber_bonus+ IF(TblMagic[[#This Row],[Active Gaia''s Blessing]]&gt;0,gaias_blessing_lumber)+ tech_1_3*TblTech[[#This Row],[1-3]] + tech_1_6*TblTech[[#This Row],[1-6]] + tech_3_3*TblTech[[#This Row],[3-3]]</f>
        <v>0</v>
      </c>
      <c r="AK8" s="156">
        <f ca="1">race_mana_bonus+ 0 + TblImps[[#This Row],[Spires]] + tech_1_2*TblTech[[#This Row],[1-2]] + tech_3_4*TblTech[[#This Row],[3-4]]</f>
        <v>0</v>
      </c>
      <c r="AL8" s="156">
        <f ca="1">race_ore_bonus + IF(TblMagic[[#This Row],[Active Miner''s Sight]]&gt;0,miners_sight_bonus,IF(TblMagic[[#This Row],[Active Mining Strength]]&gt;0,mining_strength_bonus)) +  tech_1_6*TblTech[[#This Row],[1-6]]</f>
        <v>0</v>
      </c>
      <c r="AM8" s="156">
        <f>race_gem_bonus+ tech_3_2*TblTech[[#This Row],[3-2]] + tech_4_3*TblTech[[#This Row],[4-3]] + tech_6_2*TblTech[[#This Row],[6-2]]</f>
        <v>0</v>
      </c>
      <c r="AN8" s="142"/>
      <c r="AO8" s="94">
        <f ca="1">TblProd[[#This Row],[Food]]*food_decay * (1 + tech_2_1*TblTech[[#This Row],[2-1]] + tech_2_8*TblTech[[#This Row],[2-8]] + IF(AND(TblMagic[[#This Row],[Active DnD]]&lt;12,TblMagic[[#This Row],[Active DnD]]&gt;5),1,0))</f>
        <v>238.17000000000002</v>
      </c>
      <c r="AP8" s="94">
        <f ca="1">(1+race_food_consumption)*TblPop[[#This Row],[Total]]*food_per_person*(1+tech_1_10*TblTech[[#This Row],[1-10]]+tech_7_5*TblTech[[#This Row],[7-5]] + IF(TblMagic[[#This Row],[Active Infernal Command]]&gt;0,demonic_pact_food_cons,0))</f>
        <v>192.25</v>
      </c>
      <c r="AQ8" s="94">
        <f ca="1">TblProd[[#This Row],[Lumber]]*lumber_rot * (1 + tech_2_1*TblTech[[#This Row],[2-1]] + tech_2_8*TblTech[[#This Row],[2-8]] + tech_5_2*TblTech[[#This Row],[5-2]] + IF(AND(TblMagic[[#This Row],[Active DnD]]&lt;12,TblMagic[[#This Row],[Active DnD]]&gt;5),1,0))</f>
        <v>183.5</v>
      </c>
      <c r="AR8" s="94">
        <f ca="1">TblProd[[#This Row],[Mana]]*mana_drain * (1 + tech_2_1*TblTech[[#This Row],[2-1]] + tech_2_8*TblTech[[#This Row],[2-8]])</f>
        <v>0</v>
      </c>
      <c r="AS8" s="154"/>
      <c r="AT8" s="94">
        <f ca="1">TblExplore[[#This Row],[Platinum (2)]]+TblConstr[[#This Row],[Total Plat Cost]]+TblMili[[#This Row],[Plat Cost]]+TblRezone[[#This Row],[Platinum cost]]+TblImps[[#This Row],[P1]]-TblProd[[#This Row],[Bank Plat]]</f>
        <v>0</v>
      </c>
      <c r="AU8" s="94">
        <f ca="1">TblConstr[[#This Row],[Total Lum Cost]]+TblImps[[#This Row],[L1]]-TblProd[[#This Row],[Bank Lumber]] + Military!$CO$25*TblMili[[#This Row],[Sec. rec. Cost]]</f>
        <v>0</v>
      </c>
      <c r="AV8" s="94">
        <f ca="1">TblMagic[[#This Row],[Mana cost]] + Military!$CO$26*TblMili[[#This Row],[Sec. rec. Cost]]</f>
        <v>0</v>
      </c>
      <c r="AW8" s="94">
        <f ca="1">Military!$CO$24*TblMili[[#This Row],[Sec. rec. Cost]]+TblImps[[#This Row],[O1]]-TblProd[[#This Row],[Bank Ore]]</f>
        <v>0</v>
      </c>
      <c r="AX8" s="94">
        <f>TblImps[[#This Row],[G1]]-TblProd[[#This Row],[Bank Gems]]</f>
        <v>0</v>
      </c>
      <c r="AY8" s="142"/>
      <c r="AZ8" s="61" t="b">
        <f ca="1">IF(TblProd[[#This Row],[Set Guard]]&lt;&gt;"",TblProd[[#This Row],[Set Guard]],OFFSET(TblProd[[#This Row],[Guard]],-1,0))</f>
        <v>0</v>
      </c>
      <c r="BA8" s="153"/>
      <c r="BB8" s="45">
        <f>TblProd[[#This Row],[Hour]]</f>
        <v>5</v>
      </c>
      <c r="BC8" s="158">
        <f>-TblProd[[#This Row],[Bank Lumber]] / 2 + -TblProd[[#This Row],[Bank Gems]] * 2 + -TblProd[[#This Row],[Bank Ore]] / 2</f>
        <v>0</v>
      </c>
      <c r="BD8" s="158"/>
      <c r="BE8" s="158"/>
      <c r="BF8" s="158"/>
      <c r="BG8" s="159">
        <f ca="1">TblProd[[#This Row],[Time]]</f>
        <v>46320.166666666657</v>
      </c>
      <c r="BH8" s="45"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94">
        <f ca="1">TblProd[[#This Row],[Platinum]]</f>
        <v>124982</v>
      </c>
      <c r="BJ8" s="94">
        <f ca="1">TblProd[[#This Row],[Food]]</f>
        <v>23817</v>
      </c>
      <c r="BK8" s="94">
        <f ca="1">TblProd[[#This Row],[Lumber]]</f>
        <v>18350</v>
      </c>
      <c r="BL8" s="94">
        <f ca="1">TblProd[[#This Row],[Mana]]</f>
        <v>0</v>
      </c>
      <c r="BM8" s="94">
        <f ca="1">TblProd[[#This Row],[Ore]]</f>
        <v>0</v>
      </c>
    </row>
    <row r="9" spans="1:65" x14ac:dyDescent="0.2">
      <c r="A9" s="137">
        <v>6</v>
      </c>
      <c r="B9" s="152">
        <f ca="1">TblImps[[#This Row],[Time]]</f>
        <v>46320.208333333321</v>
      </c>
      <c r="C9" s="153"/>
      <c r="D9" s="154"/>
      <c r="E9" s="94">
        <f ca="1">TblConstr[[#This Row],[Land]]</f>
        <v>50</v>
      </c>
      <c r="F9" s="94">
        <f ca="1">TblPop[[#This Row],[Peasants]]</f>
        <v>445</v>
      </c>
      <c r="G9" s="94">
        <f ca="1">TblMili[[#This Row],[Networth (2)]]</f>
        <v>1250</v>
      </c>
      <c r="H9" s="94">
        <f ca="1">OFFSET(TblProd[[#This Row],[Platinum]],-1,0)+OFFSET(TblProd[[#This Row],[Plat/hr]],-1,0) - TblProd[[#This Row],[Expenses Platinum]] + IF(TblProd[[#This Row],[Plat Bonus]],TblPop[[#This Row],[Peasants]]*4) + SUM(TblConstr[[#This Row],[Dest Hom]:[Dest Doc]])*TblConstr[[#This Row],[CPA Platinum -DB]]*tech_3_3_2*TblTech[[#This Row],[3-3]]</f>
        <v>126194</v>
      </c>
      <c r="I9" s="94">
        <f ca="1">OFFSET(TblProd[[#This Row],[Food]],-1,0)+OFFSET(TblProd[[#This Row],[Food/hr]],-1,0)+ROUNDUP((TblConstr[[#This Row],[Farms]]*80+TblConstr[[#This Row],[Docks]]*35)*(1+OFFSET(TblProd[[#This Row],[Bonus Food/hr]],-1,0)),0)</f>
        <v>25967</v>
      </c>
      <c r="J9" s="94">
        <f ca="1">OFFSET(TblProd[[#This Row],[Lumber]],-1,0)+OFFSET(TblProd[[#This Row],[Lumber/hr]],-1,0) - TblProd[[#This Row],[Expenses Lumber]] + SUM(TblConstr[[#This Row],[Dest Hom]:[Dest Doc]])*TblConstr[[#This Row],[CPA Lumber -DB]]*tech_3_3_2*TblTech[[#This Row],[3-3]]</f>
        <v>19167</v>
      </c>
      <c r="K9" s="94">
        <f ca="1">OFFSET(TblProd[[#This Row],[Mana]],-1,0)+OFFSET(TblProd[[#This Row],[Mana/hr]],-1,0)- TblProd[[#This Row],[Expenses Mana]]</f>
        <v>0</v>
      </c>
      <c r="L9" s="94">
        <f ca="1">OFFSET(TblProd[[#This Row],[Ore]],-1,0)+OFFSET(TblProd[[#This Row],[Ore/hr]],-1,0) -TblProd[[#This Row],[Expenses Ore]]</f>
        <v>0</v>
      </c>
      <c r="M9" s="94">
        <f ca="1">OFFSET(TblProd[[#This Row],[Gems]],-1,0)+OFFSET(TblProd[[#This Row],[Gems/hr]],-1,0) - TblProd[[#This Row],[Expenses Gems]]</f>
        <v>0</v>
      </c>
      <c r="N9" s="94">
        <f ca="1">OFFSET(TblProd[[#This Row],[Boats]],-1,0)+OFFSET(TblProd[[#This Row],[Boats/hr]],-1,0)</f>
        <v>0</v>
      </c>
      <c r="O9" s="94">
        <f ca="1">OFFSET(TblProd[[#This Row],[Prestige]],-1,0)</f>
        <v>250</v>
      </c>
      <c r="P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 s="94">
        <f ca="1">MAX(_xlfn.CEILING.MATH(TblProd[[#This Row],[Land]]*2.5+IFERROR(OFFSET(TblTech[[#This Row],[Sum of tech]],-1,0)*50,0)),3750)</f>
        <v>3750</v>
      </c>
      <c r="R9" s="142"/>
      <c r="S9" s="94">
        <f ca="1">ROUNDDOWN(TblProd[[#This Row],[Raw Plat/hr]]*(1+TblProd[[#This Row],[Bonus Plat/hr]]),0)</f>
        <v>1201</v>
      </c>
      <c r="T9" s="94">
        <f ca="1">ROUND(TblProd[[#This Row],[Raw Food/hr]]*(1+TblProd[[#This Row],[Bonus Food/hr]])-TblProd[[#This Row],[Food decay]]-TblProd[[#This Row],[Food eaten]],0)</f>
        <v>2128</v>
      </c>
      <c r="U9" s="94">
        <f ca="1">ROUND(TblProd[[#This Row],[Raw Lumber/hr]]*(1+TblProd[[#This Row],[Bonus Lumber/hr]])-TblProd[[#This Row],[Lumber rot]],0)</f>
        <v>808</v>
      </c>
      <c r="V9" s="94">
        <f ca="1">ROUND(TblProd[[#This Row],[Raw Mana/hr]]*(1+TblProd[[#This Row],[Bonus Mana/hr]])-TblProd[[#This Row],[Mana drain]],0)</f>
        <v>0</v>
      </c>
      <c r="W9" s="94">
        <f ca="1">ROUNDDOWN(TblProd[[#This Row],[Raw Ore/hr]]*(1+TblProd[[#This Row],[Bonux Ore/hr]]),0)</f>
        <v>0</v>
      </c>
      <c r="X9" s="94">
        <f ca="1">ROUNDDOWN(TblProd[[#This Row],[Raw Gems/hr]]*(1+TblProd[[#This Row],[Bonus Gems/hr]]),0)</f>
        <v>0</v>
      </c>
      <c r="Y9" s="155">
        <f ca="1">OFFSET(TblConstr[[#This Row],[Tot Doc]],1,0)*dock_boats_hr * (1 + tech_4_1*TblTech[[#This Row],[4-1]])</f>
        <v>0</v>
      </c>
      <c r="Z9" s="154"/>
      <c r="AA9" s="94">
        <f ca="1">TblPop[[#This Row],[Peasants]]*tax*TblPop[[#This Row],[Employment]] + (Construction!AZ10+Construction!BX10)*(alch_plat+(Magic!AN9&gt;0)*alchemist_flame_bonus)</f>
        <v>1201.5</v>
      </c>
      <c r="AB9" s="94">
        <f ca="1">TblConstr[[#This Row],[Tot Farm]]*farm_food + TblConstr[[#This Row],[Tot Doc]]*dock_food</f>
        <v>2400</v>
      </c>
      <c r="AC9" s="94">
        <f ca="1">TblConstr[[#This Row],[Tot Ly]]*ly_lumber + TblConstr[[#This Row],[Tot Hav]]*fh_lumber + IF(race="Wood Elf",TblMili[[#This Row],[Unit 2]]*MIN(TblMili[[#This Row],[Homeland%]]/wisp_bonus,wisp_cap),0)</f>
        <v>1000</v>
      </c>
      <c r="AD9" s="94">
        <f ca="1">OFFSET(TblConstr[[#This Row],[Tot Tow]],1,0)*(tower_mana + tech_4_5*TblTech[[#This Row],[4-5]]) + OFFSET(TblConstr[[#This Row],[Tot WG]],1,0)*wg_mana_prod</f>
        <v>0</v>
      </c>
      <c r="AE9" s="94">
        <f ca="1">OFFSET(TblConstr[[#This Row],[Tot OM]],1,0)*om_ore+IF(race="Dwarf",TblMili[[#This Row],[Unit 2]]*0.5,0)</f>
        <v>0</v>
      </c>
      <c r="AF9" s="94">
        <f ca="1">OFFSET(TblConstr[[#This Row],[Tot DM]],1,0)*dm_gems</f>
        <v>0</v>
      </c>
      <c r="AG9" s="142"/>
      <c r="AH9" s="156">
        <f ca="1">MIN(race_platinum_bonus + IF(TblMagic[[#This Row],[Active Arc Infusion]]&gt;0,alch_frost_bonus,IF(Magic!AE9&gt;0,midas_bonus)) + TblImps[[#This Row],[Science]] - TblProd[[#This Row],[Guard]]*(0.02 + tech_5_7*TblTech[[#This Row],[5-7]]) + tech_1_5*TblTech[[#This Row],[1-5]] + tech_4_4*TblTech[[#This Row],[4-4]] + IF(TblMagic[[#This Row],[Active Infernal Command]]&gt;0,demonic_pact_plat,0), 0.5)</f>
        <v>0</v>
      </c>
      <c r="AI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 s="156">
        <f ca="1">race_lumber_bonus+ IF(TblMagic[[#This Row],[Active Gaia''s Blessing]]&gt;0,gaias_blessing_lumber)+ tech_1_3*TblTech[[#This Row],[1-3]] + tech_1_6*TblTech[[#This Row],[1-6]] + tech_3_3*TblTech[[#This Row],[3-3]]</f>
        <v>0</v>
      </c>
      <c r="AK9" s="156">
        <f ca="1">race_mana_bonus+ 0 + TblImps[[#This Row],[Spires]] + tech_1_2*TblTech[[#This Row],[1-2]] + tech_3_4*TblTech[[#This Row],[3-4]]</f>
        <v>0</v>
      </c>
      <c r="AL9" s="156">
        <f ca="1">race_ore_bonus + IF(TblMagic[[#This Row],[Active Miner''s Sight]]&gt;0,miners_sight_bonus,IF(TblMagic[[#This Row],[Active Mining Strength]]&gt;0,mining_strength_bonus)) +  tech_1_6*TblTech[[#This Row],[1-6]]</f>
        <v>0</v>
      </c>
      <c r="AM9" s="156">
        <f>race_gem_bonus+ tech_3_2*TblTech[[#This Row],[3-2]] + tech_4_3*TblTech[[#This Row],[4-3]] + tech_6_2*TblTech[[#This Row],[6-2]]</f>
        <v>0</v>
      </c>
      <c r="AN9" s="142"/>
      <c r="AO9" s="94">
        <f ca="1">TblProd[[#This Row],[Food]]*food_decay * (1 + tech_2_1*TblTech[[#This Row],[2-1]] + tech_2_8*TblTech[[#This Row],[2-8]] + IF(AND(TblMagic[[#This Row],[Active DnD]]&lt;12,TblMagic[[#This Row],[Active DnD]]&gt;5),1,0))</f>
        <v>259.67</v>
      </c>
      <c r="AP9" s="94">
        <f ca="1">(1+race_food_consumption)*TblPop[[#This Row],[Total]]*food_per_person*(1+tech_1_10*TblTech[[#This Row],[1-10]]+tech_7_5*TblTech[[#This Row],[7-5]] + IF(TblMagic[[#This Row],[Active Infernal Command]]&gt;0,demonic_pact_food_cons,0))</f>
        <v>192.25</v>
      </c>
      <c r="AQ9" s="94">
        <f ca="1">TblProd[[#This Row],[Lumber]]*lumber_rot * (1 + tech_2_1*TblTech[[#This Row],[2-1]] + tech_2_8*TblTech[[#This Row],[2-8]] + tech_5_2*TblTech[[#This Row],[5-2]] + IF(AND(TblMagic[[#This Row],[Active DnD]]&lt;12,TblMagic[[#This Row],[Active DnD]]&gt;5),1,0))</f>
        <v>191.67000000000002</v>
      </c>
      <c r="AR9" s="94">
        <f ca="1">TblProd[[#This Row],[Mana]]*mana_drain * (1 + tech_2_1*TblTech[[#This Row],[2-1]] + tech_2_8*TblTech[[#This Row],[2-8]])</f>
        <v>0</v>
      </c>
      <c r="AS9" s="154"/>
      <c r="AT9" s="94">
        <f ca="1">TblExplore[[#This Row],[Platinum (2)]]+TblConstr[[#This Row],[Total Plat Cost]]+TblMili[[#This Row],[Plat Cost]]+TblRezone[[#This Row],[Platinum cost]]+TblImps[[#This Row],[P1]]-TblProd[[#This Row],[Bank Plat]]</f>
        <v>0</v>
      </c>
      <c r="AU9" s="94">
        <f ca="1">TblConstr[[#This Row],[Total Lum Cost]]+TblImps[[#This Row],[L1]]-TblProd[[#This Row],[Bank Lumber]] + Military!$CO$25*TblMili[[#This Row],[Sec. rec. Cost]]</f>
        <v>0</v>
      </c>
      <c r="AV9" s="94">
        <f ca="1">TblMagic[[#This Row],[Mana cost]] + Military!$CO$26*TblMili[[#This Row],[Sec. rec. Cost]]</f>
        <v>0</v>
      </c>
      <c r="AW9" s="94">
        <f ca="1">Military!$CO$24*TblMili[[#This Row],[Sec. rec. Cost]]+TblImps[[#This Row],[O1]]-TblProd[[#This Row],[Bank Ore]]</f>
        <v>0</v>
      </c>
      <c r="AX9" s="94">
        <f>TblImps[[#This Row],[G1]]-TblProd[[#This Row],[Bank Gems]]</f>
        <v>0</v>
      </c>
      <c r="AY9" s="142"/>
      <c r="AZ9" s="61" t="b">
        <f ca="1">IF(TblProd[[#This Row],[Set Guard]]&lt;&gt;"",TblProd[[#This Row],[Set Guard]],OFFSET(TblProd[[#This Row],[Guard]],-1,0))</f>
        <v>0</v>
      </c>
      <c r="BA9" s="153"/>
      <c r="BB9" s="45">
        <f>TblProd[[#This Row],[Hour]]</f>
        <v>6</v>
      </c>
      <c r="BC9" s="158">
        <f>-TblProd[[#This Row],[Bank Lumber]] / 2 + -TblProd[[#This Row],[Bank Gems]] * 2 + -TblProd[[#This Row],[Bank Ore]] / 2</f>
        <v>0</v>
      </c>
      <c r="BD9" s="158"/>
      <c r="BE9" s="158"/>
      <c r="BF9" s="158"/>
      <c r="BG9" s="159">
        <f ca="1">TblProd[[#This Row],[Time]]</f>
        <v>46320.208333333321</v>
      </c>
      <c r="BH9" s="45"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94">
        <f ca="1">TblProd[[#This Row],[Platinum]]</f>
        <v>126194</v>
      </c>
      <c r="BJ9" s="94">
        <f ca="1">TblProd[[#This Row],[Food]]</f>
        <v>25967</v>
      </c>
      <c r="BK9" s="94">
        <f ca="1">TblProd[[#This Row],[Lumber]]</f>
        <v>19167</v>
      </c>
      <c r="BL9" s="94">
        <f ca="1">TblProd[[#This Row],[Mana]]</f>
        <v>0</v>
      </c>
      <c r="BM9" s="94">
        <f ca="1">TblProd[[#This Row],[Ore]]</f>
        <v>0</v>
      </c>
    </row>
    <row r="10" spans="1:65" x14ac:dyDescent="0.2">
      <c r="A10" s="137">
        <v>7</v>
      </c>
      <c r="B10" s="152">
        <f ca="1">TblImps[[#This Row],[Time]]</f>
        <v>46320.249999999985</v>
      </c>
      <c r="C10" s="153"/>
      <c r="D10" s="154"/>
      <c r="E10" s="94">
        <f ca="1">TblConstr[[#This Row],[Land]]</f>
        <v>50</v>
      </c>
      <c r="F10" s="94">
        <f ca="1">TblPop[[#This Row],[Peasants]]</f>
        <v>441</v>
      </c>
      <c r="G10" s="94">
        <f ca="1">TblMili[[#This Row],[Networth (2)]]</f>
        <v>1250</v>
      </c>
      <c r="H10" s="94">
        <f ca="1">OFFSET(TblProd[[#This Row],[Platinum]],-1,0)+OFFSET(TblProd[[#This Row],[Plat/hr]],-1,0) - TblProd[[#This Row],[Expenses Platinum]] + IF(TblProd[[#This Row],[Plat Bonus]],TblPop[[#This Row],[Peasants]]*4) + SUM(TblConstr[[#This Row],[Dest Hom]:[Dest Doc]])*TblConstr[[#This Row],[CPA Platinum -DB]]*tech_3_3_2*TblTech[[#This Row],[3-3]]</f>
        <v>127395</v>
      </c>
      <c r="I10" s="94">
        <f ca="1">OFFSET(TblProd[[#This Row],[Food]],-1,0)+OFFSET(TblProd[[#This Row],[Food/hr]],-1,0)+ROUNDUP((TblConstr[[#This Row],[Farms]]*80+TblConstr[[#This Row],[Docks]]*35)*(1+OFFSET(TblProd[[#This Row],[Bonus Food/hr]],-1,0)),0)</f>
        <v>28095</v>
      </c>
      <c r="J10" s="94">
        <f ca="1">OFFSET(TblProd[[#This Row],[Lumber]],-1,0)+OFFSET(TblProd[[#This Row],[Lumber/hr]],-1,0) - TblProd[[#This Row],[Expenses Lumber]] + SUM(TblConstr[[#This Row],[Dest Hom]:[Dest Doc]])*TblConstr[[#This Row],[CPA Lumber -DB]]*tech_3_3_2*TblTech[[#This Row],[3-3]]</f>
        <v>19975</v>
      </c>
      <c r="K10" s="94">
        <f ca="1">OFFSET(TblProd[[#This Row],[Mana]],-1,0)+OFFSET(TblProd[[#This Row],[Mana/hr]],-1,0)- TblProd[[#This Row],[Expenses Mana]]</f>
        <v>0</v>
      </c>
      <c r="L10" s="94">
        <f ca="1">OFFSET(TblProd[[#This Row],[Ore]],-1,0)+OFFSET(TblProd[[#This Row],[Ore/hr]],-1,0) -TblProd[[#This Row],[Expenses Ore]]</f>
        <v>0</v>
      </c>
      <c r="M10" s="94">
        <f ca="1">OFFSET(TblProd[[#This Row],[Gems]],-1,0)+OFFSET(TblProd[[#This Row],[Gems/hr]],-1,0) - TblProd[[#This Row],[Expenses Gems]]</f>
        <v>0</v>
      </c>
      <c r="N10" s="94">
        <f ca="1">OFFSET(TblProd[[#This Row],[Boats]],-1,0)+OFFSET(TblProd[[#This Row],[Boats/hr]],-1,0)</f>
        <v>0</v>
      </c>
      <c r="O10" s="94">
        <f ca="1">OFFSET(TblProd[[#This Row],[Prestige]],-1,0)</f>
        <v>250</v>
      </c>
      <c r="P1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 s="94">
        <f ca="1">MAX(_xlfn.CEILING.MATH(TblProd[[#This Row],[Land]]*2.5+IFERROR(OFFSET(TblTech[[#This Row],[Sum of tech]],-1,0)*50,0)),3750)</f>
        <v>3750</v>
      </c>
      <c r="R10" s="142"/>
      <c r="S10" s="94">
        <f ca="1">ROUNDDOWN(TblProd[[#This Row],[Raw Plat/hr]]*(1+TblProd[[#This Row],[Bonus Plat/hr]]),0)</f>
        <v>1190</v>
      </c>
      <c r="T10" s="94">
        <f ca="1">ROUND(TblProd[[#This Row],[Raw Food/hr]]*(1+TblProd[[#This Row],[Bonus Food/hr]])-TblProd[[#This Row],[Food decay]]-TblProd[[#This Row],[Food eaten]],0)</f>
        <v>2107</v>
      </c>
      <c r="U10" s="94">
        <f ca="1">ROUND(TblProd[[#This Row],[Raw Lumber/hr]]*(1+TblProd[[#This Row],[Bonus Lumber/hr]])-TblProd[[#This Row],[Lumber rot]],0)</f>
        <v>800</v>
      </c>
      <c r="V10" s="94">
        <f ca="1">ROUND(TblProd[[#This Row],[Raw Mana/hr]]*(1+TblProd[[#This Row],[Bonus Mana/hr]])-TblProd[[#This Row],[Mana drain]],0)</f>
        <v>0</v>
      </c>
      <c r="W10" s="94">
        <f ca="1">ROUNDDOWN(TblProd[[#This Row],[Raw Ore/hr]]*(1+TblProd[[#This Row],[Bonux Ore/hr]]),0)</f>
        <v>0</v>
      </c>
      <c r="X10" s="94">
        <f ca="1">ROUNDDOWN(TblProd[[#This Row],[Raw Gems/hr]]*(1+TblProd[[#This Row],[Bonus Gems/hr]]),0)</f>
        <v>0</v>
      </c>
      <c r="Y10" s="155">
        <f ca="1">OFFSET(TblConstr[[#This Row],[Tot Doc]],1,0)*dock_boats_hr * (1 + tech_4_1*TblTech[[#This Row],[4-1]])</f>
        <v>0</v>
      </c>
      <c r="Z10" s="154"/>
      <c r="AA10" s="94">
        <f ca="1">TblPop[[#This Row],[Peasants]]*tax*TblPop[[#This Row],[Employment]] + (Construction!AZ11+Construction!BX11)*(alch_plat+(Magic!AN10&gt;0)*alchemist_flame_bonus)</f>
        <v>1190.7</v>
      </c>
      <c r="AB10" s="94">
        <f ca="1">TblConstr[[#This Row],[Tot Farm]]*farm_food + TblConstr[[#This Row],[Tot Doc]]*dock_food</f>
        <v>2400</v>
      </c>
      <c r="AC10" s="94">
        <f ca="1">TblConstr[[#This Row],[Tot Ly]]*ly_lumber + TblConstr[[#This Row],[Tot Hav]]*fh_lumber + IF(race="Wood Elf",TblMili[[#This Row],[Unit 2]]*MIN(TblMili[[#This Row],[Homeland%]]/wisp_bonus,wisp_cap),0)</f>
        <v>1000</v>
      </c>
      <c r="AD10" s="94">
        <f ca="1">OFFSET(TblConstr[[#This Row],[Tot Tow]],1,0)*(tower_mana + tech_4_5*TblTech[[#This Row],[4-5]]) + OFFSET(TblConstr[[#This Row],[Tot WG]],1,0)*wg_mana_prod</f>
        <v>0</v>
      </c>
      <c r="AE10" s="94">
        <f ca="1">OFFSET(TblConstr[[#This Row],[Tot OM]],1,0)*om_ore+IF(race="Dwarf",TblMili[[#This Row],[Unit 2]]*0.5,0)</f>
        <v>0</v>
      </c>
      <c r="AF10" s="94">
        <f ca="1">OFFSET(TblConstr[[#This Row],[Tot DM]],1,0)*dm_gems</f>
        <v>0</v>
      </c>
      <c r="AG10" s="142"/>
      <c r="AH10" s="156">
        <f ca="1">MIN(race_platinum_bonus + IF(TblMagic[[#This Row],[Active Arc Infusion]]&gt;0,alch_frost_bonus,IF(Magic!AE10&gt;0,midas_bonus)) + TblImps[[#This Row],[Science]] - TblProd[[#This Row],[Guard]]*(0.02 + tech_5_7*TblTech[[#This Row],[5-7]]) + tech_1_5*TblTech[[#This Row],[1-5]] + tech_4_4*TblTech[[#This Row],[4-4]] + IF(TblMagic[[#This Row],[Active Infernal Command]]&gt;0,demonic_pact_plat,0), 0.5)</f>
        <v>0</v>
      </c>
      <c r="AI1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 s="156">
        <f ca="1">race_lumber_bonus+ IF(TblMagic[[#This Row],[Active Gaia''s Blessing]]&gt;0,gaias_blessing_lumber)+ tech_1_3*TblTech[[#This Row],[1-3]] + tech_1_6*TblTech[[#This Row],[1-6]] + tech_3_3*TblTech[[#This Row],[3-3]]</f>
        <v>0</v>
      </c>
      <c r="AK10" s="156">
        <f ca="1">race_mana_bonus+ 0 + TblImps[[#This Row],[Spires]] + tech_1_2*TblTech[[#This Row],[1-2]] + tech_3_4*TblTech[[#This Row],[3-4]]</f>
        <v>0</v>
      </c>
      <c r="AL10" s="156">
        <f ca="1">race_ore_bonus + IF(TblMagic[[#This Row],[Active Miner''s Sight]]&gt;0,miners_sight_bonus,IF(TblMagic[[#This Row],[Active Mining Strength]]&gt;0,mining_strength_bonus)) +  tech_1_6*TblTech[[#This Row],[1-6]]</f>
        <v>0</v>
      </c>
      <c r="AM10" s="156">
        <f>race_gem_bonus+ tech_3_2*TblTech[[#This Row],[3-2]] + tech_4_3*TblTech[[#This Row],[4-3]] + tech_6_2*TblTech[[#This Row],[6-2]]</f>
        <v>0</v>
      </c>
      <c r="AN10" s="142"/>
      <c r="AO10" s="94">
        <f ca="1">TblProd[[#This Row],[Food]]*food_decay * (1 + tech_2_1*TblTech[[#This Row],[2-1]] + tech_2_8*TblTech[[#This Row],[2-8]] + IF(AND(TblMagic[[#This Row],[Active DnD]]&lt;12,TblMagic[[#This Row],[Active DnD]]&gt;5),1,0))</f>
        <v>280.95</v>
      </c>
      <c r="AP10" s="94">
        <f ca="1">(1+race_food_consumption)*TblPop[[#This Row],[Total]]*food_per_person*(1+tech_1_10*TblTech[[#This Row],[1-10]]+tech_7_5*TblTech[[#This Row],[7-5]] + IF(TblMagic[[#This Row],[Active Infernal Command]]&gt;0,demonic_pact_food_cons,0))</f>
        <v>192.25</v>
      </c>
      <c r="AQ10" s="94">
        <f ca="1">TblProd[[#This Row],[Lumber]]*lumber_rot * (1 + tech_2_1*TblTech[[#This Row],[2-1]] + tech_2_8*TblTech[[#This Row],[2-8]] + tech_5_2*TblTech[[#This Row],[5-2]] + IF(AND(TblMagic[[#This Row],[Active DnD]]&lt;12,TblMagic[[#This Row],[Active DnD]]&gt;5),1,0))</f>
        <v>199.75</v>
      </c>
      <c r="AR10" s="94">
        <f ca="1">TblProd[[#This Row],[Mana]]*mana_drain * (1 + tech_2_1*TblTech[[#This Row],[2-1]] + tech_2_8*TblTech[[#This Row],[2-8]])</f>
        <v>0</v>
      </c>
      <c r="AS10" s="154"/>
      <c r="AT10" s="94">
        <f ca="1">TblExplore[[#This Row],[Platinum (2)]]+TblConstr[[#This Row],[Total Plat Cost]]+TblMili[[#This Row],[Plat Cost]]+TblRezone[[#This Row],[Platinum cost]]+TblImps[[#This Row],[P1]]-TblProd[[#This Row],[Bank Plat]]</f>
        <v>0</v>
      </c>
      <c r="AU10" s="94">
        <f ca="1">TblConstr[[#This Row],[Total Lum Cost]]+TblImps[[#This Row],[L1]]-TblProd[[#This Row],[Bank Lumber]] + Military!$CO$25*TblMili[[#This Row],[Sec. rec. Cost]]</f>
        <v>0</v>
      </c>
      <c r="AV10" s="94">
        <f ca="1">TblMagic[[#This Row],[Mana cost]] + Military!$CO$26*TblMili[[#This Row],[Sec. rec. Cost]]</f>
        <v>0</v>
      </c>
      <c r="AW10" s="94">
        <f ca="1">Military!$CO$24*TblMili[[#This Row],[Sec. rec. Cost]]+TblImps[[#This Row],[O1]]-TblProd[[#This Row],[Bank Ore]]</f>
        <v>0</v>
      </c>
      <c r="AX10" s="94">
        <f>TblImps[[#This Row],[G1]]-TblProd[[#This Row],[Bank Gems]]</f>
        <v>0</v>
      </c>
      <c r="AY10" s="142"/>
      <c r="AZ10" s="61" t="b">
        <f ca="1">IF(TblProd[[#This Row],[Set Guard]]&lt;&gt;"",TblProd[[#This Row],[Set Guard]],OFFSET(TblProd[[#This Row],[Guard]],-1,0))</f>
        <v>0</v>
      </c>
      <c r="BA10" s="153"/>
      <c r="BB10" s="45">
        <f>TblProd[[#This Row],[Hour]]</f>
        <v>7</v>
      </c>
      <c r="BC10" s="158">
        <f>-TblProd[[#This Row],[Bank Lumber]] / 2 + -TblProd[[#This Row],[Bank Gems]] * 2 + -TblProd[[#This Row],[Bank Ore]] / 2</f>
        <v>0</v>
      </c>
      <c r="BD10" s="158"/>
      <c r="BE10" s="158"/>
      <c r="BF10" s="158"/>
      <c r="BG10" s="159">
        <f ca="1">TblProd[[#This Row],[Time]]</f>
        <v>46320.249999999985</v>
      </c>
      <c r="BH10" s="45"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94">
        <f ca="1">TblProd[[#This Row],[Platinum]]</f>
        <v>127395</v>
      </c>
      <c r="BJ10" s="94">
        <f ca="1">TblProd[[#This Row],[Food]]</f>
        <v>28095</v>
      </c>
      <c r="BK10" s="94">
        <f ca="1">TblProd[[#This Row],[Lumber]]</f>
        <v>19975</v>
      </c>
      <c r="BL10" s="94">
        <f ca="1">TblProd[[#This Row],[Mana]]</f>
        <v>0</v>
      </c>
      <c r="BM10" s="94">
        <f ca="1">TblProd[[#This Row],[Ore]]</f>
        <v>0</v>
      </c>
    </row>
    <row r="11" spans="1:65" x14ac:dyDescent="0.2">
      <c r="A11" s="137">
        <v>8</v>
      </c>
      <c r="B11" s="152">
        <f ca="1">TblImps[[#This Row],[Time]]</f>
        <v>46320.29166666665</v>
      </c>
      <c r="C11" s="153"/>
      <c r="D11" s="154"/>
      <c r="E11" s="94">
        <f ca="1">TblConstr[[#This Row],[Land]]</f>
        <v>50</v>
      </c>
      <c r="F11" s="94">
        <f ca="1">TblPop[[#This Row],[Peasants]]</f>
        <v>437</v>
      </c>
      <c r="G11" s="94">
        <f ca="1">TblMili[[#This Row],[Networth (2)]]</f>
        <v>1250</v>
      </c>
      <c r="H11" s="94">
        <f ca="1">OFFSET(TblProd[[#This Row],[Platinum]],-1,0)+OFFSET(TblProd[[#This Row],[Plat/hr]],-1,0) - TblProd[[#This Row],[Expenses Platinum]] + IF(TblProd[[#This Row],[Plat Bonus]],TblPop[[#This Row],[Peasants]]*4) + SUM(TblConstr[[#This Row],[Dest Hom]:[Dest Doc]])*TblConstr[[#This Row],[CPA Platinum -DB]]*tech_3_3_2*TblTech[[#This Row],[3-3]]</f>
        <v>128585</v>
      </c>
      <c r="I11" s="94">
        <f ca="1">OFFSET(TblProd[[#This Row],[Food]],-1,0)+OFFSET(TblProd[[#This Row],[Food/hr]],-1,0)+ROUNDUP((TblConstr[[#This Row],[Farms]]*80+TblConstr[[#This Row],[Docks]]*35)*(1+OFFSET(TblProd[[#This Row],[Bonus Food/hr]],-1,0)),0)</f>
        <v>30202</v>
      </c>
      <c r="J11" s="94">
        <f ca="1">OFFSET(TblProd[[#This Row],[Lumber]],-1,0)+OFFSET(TblProd[[#This Row],[Lumber/hr]],-1,0) - TblProd[[#This Row],[Expenses Lumber]] + SUM(TblConstr[[#This Row],[Dest Hom]:[Dest Doc]])*TblConstr[[#This Row],[CPA Lumber -DB]]*tech_3_3_2*TblTech[[#This Row],[3-3]]</f>
        <v>20775</v>
      </c>
      <c r="K11" s="94">
        <f ca="1">OFFSET(TblProd[[#This Row],[Mana]],-1,0)+OFFSET(TblProd[[#This Row],[Mana/hr]],-1,0)- TblProd[[#This Row],[Expenses Mana]]</f>
        <v>0</v>
      </c>
      <c r="L11" s="94">
        <f ca="1">OFFSET(TblProd[[#This Row],[Ore]],-1,0)+OFFSET(TblProd[[#This Row],[Ore/hr]],-1,0) -TblProd[[#This Row],[Expenses Ore]]</f>
        <v>0</v>
      </c>
      <c r="M11" s="94">
        <f ca="1">OFFSET(TblProd[[#This Row],[Gems]],-1,0)+OFFSET(TblProd[[#This Row],[Gems/hr]],-1,0) - TblProd[[#This Row],[Expenses Gems]]</f>
        <v>0</v>
      </c>
      <c r="N11" s="94">
        <f ca="1">OFFSET(TblProd[[#This Row],[Boats]],-1,0)+OFFSET(TblProd[[#This Row],[Boats/hr]],-1,0)</f>
        <v>0</v>
      </c>
      <c r="O11" s="94">
        <f ca="1">OFFSET(TblProd[[#This Row],[Prestige]],-1,0)</f>
        <v>250</v>
      </c>
      <c r="P1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 s="94">
        <f ca="1">MAX(_xlfn.CEILING.MATH(TblProd[[#This Row],[Land]]*2.5+IFERROR(OFFSET(TblTech[[#This Row],[Sum of tech]],-1,0)*50,0)),3750)</f>
        <v>3750</v>
      </c>
      <c r="R11" s="142"/>
      <c r="S11" s="94">
        <f ca="1">ROUNDDOWN(TblProd[[#This Row],[Raw Plat/hr]]*(1+TblProd[[#This Row],[Bonus Plat/hr]]),0)</f>
        <v>1179</v>
      </c>
      <c r="T11" s="94">
        <f ca="1">ROUND(TblProd[[#This Row],[Raw Food/hr]]*(1+TblProd[[#This Row],[Bonus Food/hr]])-TblProd[[#This Row],[Food decay]]-TblProd[[#This Row],[Food eaten]],0)</f>
        <v>2086</v>
      </c>
      <c r="U11" s="94">
        <f ca="1">ROUND(TblProd[[#This Row],[Raw Lumber/hr]]*(1+TblProd[[#This Row],[Bonus Lumber/hr]])-TblProd[[#This Row],[Lumber rot]],0)</f>
        <v>792</v>
      </c>
      <c r="V11" s="94">
        <f ca="1">ROUND(TblProd[[#This Row],[Raw Mana/hr]]*(1+TblProd[[#This Row],[Bonus Mana/hr]])-TblProd[[#This Row],[Mana drain]],0)</f>
        <v>0</v>
      </c>
      <c r="W11" s="94">
        <f ca="1">ROUNDDOWN(TblProd[[#This Row],[Raw Ore/hr]]*(1+TblProd[[#This Row],[Bonux Ore/hr]]),0)</f>
        <v>0</v>
      </c>
      <c r="X11" s="94">
        <f ca="1">ROUNDDOWN(TblProd[[#This Row],[Raw Gems/hr]]*(1+TblProd[[#This Row],[Bonus Gems/hr]]),0)</f>
        <v>0</v>
      </c>
      <c r="Y11" s="155">
        <f ca="1">OFFSET(TblConstr[[#This Row],[Tot Doc]],1,0)*dock_boats_hr * (1 + tech_4_1*TblTech[[#This Row],[4-1]])</f>
        <v>0</v>
      </c>
      <c r="Z11" s="154"/>
      <c r="AA11" s="94">
        <f ca="1">TblPop[[#This Row],[Peasants]]*tax*TblPop[[#This Row],[Employment]] + (Construction!AZ12+Construction!BX12)*(alch_plat+(Magic!AN11&gt;0)*alchemist_flame_bonus)</f>
        <v>1179.9000000000001</v>
      </c>
      <c r="AB11" s="94">
        <f ca="1">TblConstr[[#This Row],[Tot Farm]]*farm_food + TblConstr[[#This Row],[Tot Doc]]*dock_food</f>
        <v>2400</v>
      </c>
      <c r="AC11" s="94">
        <f ca="1">TblConstr[[#This Row],[Tot Ly]]*ly_lumber + TblConstr[[#This Row],[Tot Hav]]*fh_lumber + IF(race="Wood Elf",TblMili[[#This Row],[Unit 2]]*MIN(TblMili[[#This Row],[Homeland%]]/wisp_bonus,wisp_cap),0)</f>
        <v>1000</v>
      </c>
      <c r="AD11" s="94">
        <f ca="1">OFFSET(TblConstr[[#This Row],[Tot Tow]],1,0)*(tower_mana + tech_4_5*TblTech[[#This Row],[4-5]]) + OFFSET(TblConstr[[#This Row],[Tot WG]],1,0)*wg_mana_prod</f>
        <v>0</v>
      </c>
      <c r="AE11" s="94">
        <f ca="1">OFFSET(TblConstr[[#This Row],[Tot OM]],1,0)*om_ore+IF(race="Dwarf",TblMili[[#This Row],[Unit 2]]*0.5,0)</f>
        <v>0</v>
      </c>
      <c r="AF11" s="94">
        <f ca="1">OFFSET(TblConstr[[#This Row],[Tot DM]],1,0)*dm_gems</f>
        <v>0</v>
      </c>
      <c r="AG11" s="142"/>
      <c r="AH11" s="156">
        <f ca="1">MIN(race_platinum_bonus + IF(TblMagic[[#This Row],[Active Arc Infusion]]&gt;0,alch_frost_bonus,IF(Magic!AE11&gt;0,midas_bonus)) + TblImps[[#This Row],[Science]] - TblProd[[#This Row],[Guard]]*(0.02 + tech_5_7*TblTech[[#This Row],[5-7]]) + tech_1_5*TblTech[[#This Row],[1-5]] + tech_4_4*TblTech[[#This Row],[4-4]] + IF(TblMagic[[#This Row],[Active Infernal Command]]&gt;0,demonic_pact_plat,0), 0.5)</f>
        <v>0</v>
      </c>
      <c r="AI1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 s="156">
        <f ca="1">race_lumber_bonus+ IF(TblMagic[[#This Row],[Active Gaia''s Blessing]]&gt;0,gaias_blessing_lumber)+ tech_1_3*TblTech[[#This Row],[1-3]] + tech_1_6*TblTech[[#This Row],[1-6]] + tech_3_3*TblTech[[#This Row],[3-3]]</f>
        <v>0</v>
      </c>
      <c r="AK11" s="156">
        <f ca="1">race_mana_bonus+ 0 + TblImps[[#This Row],[Spires]] + tech_1_2*TblTech[[#This Row],[1-2]] + tech_3_4*TblTech[[#This Row],[3-4]]</f>
        <v>0</v>
      </c>
      <c r="AL11" s="156">
        <f ca="1">race_ore_bonus + IF(TblMagic[[#This Row],[Active Miner''s Sight]]&gt;0,miners_sight_bonus,IF(TblMagic[[#This Row],[Active Mining Strength]]&gt;0,mining_strength_bonus)) +  tech_1_6*TblTech[[#This Row],[1-6]]</f>
        <v>0</v>
      </c>
      <c r="AM11" s="156">
        <f>race_gem_bonus+ tech_3_2*TblTech[[#This Row],[3-2]] + tech_4_3*TblTech[[#This Row],[4-3]] + tech_6_2*TblTech[[#This Row],[6-2]]</f>
        <v>0</v>
      </c>
      <c r="AN11" s="142"/>
      <c r="AO11" s="94">
        <f ca="1">TblProd[[#This Row],[Food]]*food_decay * (1 + tech_2_1*TblTech[[#This Row],[2-1]] + tech_2_8*TblTech[[#This Row],[2-8]] + IF(AND(TblMagic[[#This Row],[Active DnD]]&lt;12,TblMagic[[#This Row],[Active DnD]]&gt;5),1,0))</f>
        <v>302.02</v>
      </c>
      <c r="AP11" s="94">
        <f ca="1">(1+race_food_consumption)*TblPop[[#This Row],[Total]]*food_per_person*(1+tech_1_10*TblTech[[#This Row],[1-10]]+tech_7_5*TblTech[[#This Row],[7-5]] + IF(TblMagic[[#This Row],[Active Infernal Command]]&gt;0,demonic_pact_food_cons,0))</f>
        <v>192.25</v>
      </c>
      <c r="AQ11" s="94">
        <f ca="1">TblProd[[#This Row],[Lumber]]*lumber_rot * (1 + tech_2_1*TblTech[[#This Row],[2-1]] + tech_2_8*TblTech[[#This Row],[2-8]] + tech_5_2*TblTech[[#This Row],[5-2]] + IF(AND(TblMagic[[#This Row],[Active DnD]]&lt;12,TblMagic[[#This Row],[Active DnD]]&gt;5),1,0))</f>
        <v>207.75</v>
      </c>
      <c r="AR11" s="94">
        <f ca="1">TblProd[[#This Row],[Mana]]*mana_drain * (1 + tech_2_1*TblTech[[#This Row],[2-1]] + tech_2_8*TblTech[[#This Row],[2-8]])</f>
        <v>0</v>
      </c>
      <c r="AS11" s="154"/>
      <c r="AT11" s="94">
        <f ca="1">TblExplore[[#This Row],[Platinum (2)]]+TblConstr[[#This Row],[Total Plat Cost]]+TblMili[[#This Row],[Plat Cost]]+TblRezone[[#This Row],[Platinum cost]]+TblImps[[#This Row],[P1]]-TblProd[[#This Row],[Bank Plat]]</f>
        <v>0</v>
      </c>
      <c r="AU11" s="94">
        <f ca="1">TblConstr[[#This Row],[Total Lum Cost]]+TblImps[[#This Row],[L1]]-TblProd[[#This Row],[Bank Lumber]] + Military!$CO$25*TblMili[[#This Row],[Sec. rec. Cost]]</f>
        <v>0</v>
      </c>
      <c r="AV11" s="94">
        <f ca="1">TblMagic[[#This Row],[Mana cost]] + Military!$CO$26*TblMili[[#This Row],[Sec. rec. Cost]]</f>
        <v>0</v>
      </c>
      <c r="AW11" s="94">
        <f ca="1">Military!$CO$24*TblMili[[#This Row],[Sec. rec. Cost]]+TblImps[[#This Row],[O1]]-TblProd[[#This Row],[Bank Ore]]</f>
        <v>0</v>
      </c>
      <c r="AX11" s="94">
        <f>TblImps[[#This Row],[G1]]-TblProd[[#This Row],[Bank Gems]]</f>
        <v>0</v>
      </c>
      <c r="AY11" s="142"/>
      <c r="AZ11" s="61" t="b">
        <f ca="1">IF(TblProd[[#This Row],[Set Guard]]&lt;&gt;"",TblProd[[#This Row],[Set Guard]],OFFSET(TblProd[[#This Row],[Guard]],-1,0))</f>
        <v>0</v>
      </c>
      <c r="BA11" s="153"/>
      <c r="BB11" s="45">
        <f>TblProd[[#This Row],[Hour]]</f>
        <v>8</v>
      </c>
      <c r="BC11" s="158">
        <f>-TblProd[[#This Row],[Bank Lumber]] / 2 + -TblProd[[#This Row],[Bank Gems]] * 2 + -TblProd[[#This Row],[Bank Ore]] / 2</f>
        <v>0</v>
      </c>
      <c r="BD11" s="158"/>
      <c r="BE11" s="158"/>
      <c r="BF11" s="158"/>
      <c r="BG11" s="159">
        <f ca="1">TblProd[[#This Row],[Time]]</f>
        <v>46320.29166666665</v>
      </c>
      <c r="BH11" s="45"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94">
        <f ca="1">TblProd[[#This Row],[Platinum]]</f>
        <v>128585</v>
      </c>
      <c r="BJ11" s="94">
        <f ca="1">TblProd[[#This Row],[Food]]</f>
        <v>30202</v>
      </c>
      <c r="BK11" s="94">
        <f ca="1">TblProd[[#This Row],[Lumber]]</f>
        <v>20775</v>
      </c>
      <c r="BL11" s="94">
        <f ca="1">TblProd[[#This Row],[Mana]]</f>
        <v>0</v>
      </c>
      <c r="BM11" s="94">
        <f ca="1">TblProd[[#This Row],[Ore]]</f>
        <v>0</v>
      </c>
    </row>
    <row r="12" spans="1:65" x14ac:dyDescent="0.2">
      <c r="A12" s="137">
        <v>9</v>
      </c>
      <c r="B12" s="152">
        <f ca="1">TblImps[[#This Row],[Time]]</f>
        <v>46320.333333333314</v>
      </c>
      <c r="C12" s="153"/>
      <c r="D12" s="154"/>
      <c r="E12" s="94">
        <f ca="1">TblConstr[[#This Row],[Land]]</f>
        <v>50</v>
      </c>
      <c r="F12" s="94">
        <f ca="1">TblPop[[#This Row],[Peasants]]</f>
        <v>433</v>
      </c>
      <c r="G12" s="94">
        <f ca="1">TblMili[[#This Row],[Networth (2)]]</f>
        <v>1250</v>
      </c>
      <c r="H12" s="94">
        <f ca="1">OFFSET(TblProd[[#This Row],[Platinum]],-1,0)+OFFSET(TblProd[[#This Row],[Plat/hr]],-1,0) - TblProd[[#This Row],[Expenses Platinum]] + IF(TblProd[[#This Row],[Plat Bonus]],TblPop[[#This Row],[Peasants]]*4) + SUM(TblConstr[[#This Row],[Dest Hom]:[Dest Doc]])*TblConstr[[#This Row],[CPA Platinum -DB]]*tech_3_3_2*TblTech[[#This Row],[3-3]]</f>
        <v>129764</v>
      </c>
      <c r="I12" s="94">
        <f ca="1">OFFSET(TblProd[[#This Row],[Food]],-1,0)+OFFSET(TblProd[[#This Row],[Food/hr]],-1,0)+ROUNDUP((TblConstr[[#This Row],[Farms]]*80+TblConstr[[#This Row],[Docks]]*35)*(1+OFFSET(TblProd[[#This Row],[Bonus Food/hr]],-1,0)),0)</f>
        <v>32288</v>
      </c>
      <c r="J12" s="94">
        <f ca="1">OFFSET(TblProd[[#This Row],[Lumber]],-1,0)+OFFSET(TblProd[[#This Row],[Lumber/hr]],-1,0) - TblProd[[#This Row],[Expenses Lumber]] + SUM(TblConstr[[#This Row],[Dest Hom]:[Dest Doc]])*TblConstr[[#This Row],[CPA Lumber -DB]]*tech_3_3_2*TblTech[[#This Row],[3-3]]</f>
        <v>21567</v>
      </c>
      <c r="K12" s="94">
        <f ca="1">OFFSET(TblProd[[#This Row],[Mana]],-1,0)+OFFSET(TblProd[[#This Row],[Mana/hr]],-1,0)- TblProd[[#This Row],[Expenses Mana]]</f>
        <v>0</v>
      </c>
      <c r="L12" s="94">
        <f ca="1">OFFSET(TblProd[[#This Row],[Ore]],-1,0)+OFFSET(TblProd[[#This Row],[Ore/hr]],-1,0) -TblProd[[#This Row],[Expenses Ore]]</f>
        <v>0</v>
      </c>
      <c r="M12" s="94">
        <f ca="1">OFFSET(TblProd[[#This Row],[Gems]],-1,0)+OFFSET(TblProd[[#This Row],[Gems/hr]],-1,0) - TblProd[[#This Row],[Expenses Gems]]</f>
        <v>0</v>
      </c>
      <c r="N12" s="94">
        <f ca="1">OFFSET(TblProd[[#This Row],[Boats]],-1,0)+OFFSET(TblProd[[#This Row],[Boats/hr]],-1,0)</f>
        <v>0</v>
      </c>
      <c r="O12" s="94">
        <f ca="1">OFFSET(TblProd[[#This Row],[Prestige]],-1,0)</f>
        <v>250</v>
      </c>
      <c r="P1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 s="94">
        <f ca="1">MAX(_xlfn.CEILING.MATH(TblProd[[#This Row],[Land]]*2.5+IFERROR(OFFSET(TblTech[[#This Row],[Sum of tech]],-1,0)*50,0)),3750)</f>
        <v>3750</v>
      </c>
      <c r="R12" s="142"/>
      <c r="S12" s="94">
        <f ca="1">ROUNDDOWN(TblProd[[#This Row],[Raw Plat/hr]]*(1+TblProd[[#This Row],[Bonus Plat/hr]]),0)</f>
        <v>1169</v>
      </c>
      <c r="T12" s="94">
        <f ca="1">ROUND(TblProd[[#This Row],[Raw Food/hr]]*(1+TblProd[[#This Row],[Bonus Food/hr]])-TblProd[[#This Row],[Food decay]]-TblProd[[#This Row],[Food eaten]],0)</f>
        <v>2065</v>
      </c>
      <c r="U12" s="94">
        <f ca="1">ROUND(TblProd[[#This Row],[Raw Lumber/hr]]*(1+TblProd[[#This Row],[Bonus Lumber/hr]])-TblProd[[#This Row],[Lumber rot]],0)</f>
        <v>784</v>
      </c>
      <c r="V12" s="94">
        <f ca="1">ROUND(TblProd[[#This Row],[Raw Mana/hr]]*(1+TblProd[[#This Row],[Bonus Mana/hr]])-TblProd[[#This Row],[Mana drain]],0)</f>
        <v>0</v>
      </c>
      <c r="W12" s="94">
        <f ca="1">ROUNDDOWN(TblProd[[#This Row],[Raw Ore/hr]]*(1+TblProd[[#This Row],[Bonux Ore/hr]]),0)</f>
        <v>0</v>
      </c>
      <c r="X12" s="94">
        <f ca="1">ROUNDDOWN(TblProd[[#This Row],[Raw Gems/hr]]*(1+TblProd[[#This Row],[Bonus Gems/hr]]),0)</f>
        <v>0</v>
      </c>
      <c r="Y12" s="155">
        <f ca="1">OFFSET(TblConstr[[#This Row],[Tot Doc]],1,0)*dock_boats_hr * (1 + tech_4_1*TblTech[[#This Row],[4-1]])</f>
        <v>0</v>
      </c>
      <c r="Z12" s="154"/>
      <c r="AA12" s="94">
        <f ca="1">TblPop[[#This Row],[Peasants]]*tax*TblPop[[#This Row],[Employment]] + (Construction!AZ13+Construction!BX13)*(alch_plat+(Magic!AN12&gt;0)*alchemist_flame_bonus)</f>
        <v>1169.1000000000001</v>
      </c>
      <c r="AB12" s="94">
        <f ca="1">TblConstr[[#This Row],[Tot Farm]]*farm_food + TblConstr[[#This Row],[Tot Doc]]*dock_food</f>
        <v>2400</v>
      </c>
      <c r="AC12" s="94">
        <f ca="1">TblConstr[[#This Row],[Tot Ly]]*ly_lumber + TblConstr[[#This Row],[Tot Hav]]*fh_lumber + IF(race="Wood Elf",TblMili[[#This Row],[Unit 2]]*MIN(TblMili[[#This Row],[Homeland%]]/wisp_bonus,wisp_cap),0)</f>
        <v>1000</v>
      </c>
      <c r="AD12" s="94">
        <f ca="1">OFFSET(TblConstr[[#This Row],[Tot Tow]],1,0)*(tower_mana + tech_4_5*TblTech[[#This Row],[4-5]]) + OFFSET(TblConstr[[#This Row],[Tot WG]],1,0)*wg_mana_prod</f>
        <v>0</v>
      </c>
      <c r="AE12" s="94">
        <f ca="1">OFFSET(TblConstr[[#This Row],[Tot OM]],1,0)*om_ore+IF(race="Dwarf",TblMili[[#This Row],[Unit 2]]*0.5,0)</f>
        <v>0</v>
      </c>
      <c r="AF12" s="94">
        <f ca="1">OFFSET(TblConstr[[#This Row],[Tot DM]],1,0)*dm_gems</f>
        <v>0</v>
      </c>
      <c r="AG12" s="142"/>
      <c r="AH12" s="156">
        <f ca="1">MIN(race_platinum_bonus + IF(TblMagic[[#This Row],[Active Arc Infusion]]&gt;0,alch_frost_bonus,IF(Magic!AE12&gt;0,midas_bonus)) + TblImps[[#This Row],[Science]] - TblProd[[#This Row],[Guard]]*(0.02 + tech_5_7*TblTech[[#This Row],[5-7]]) + tech_1_5*TblTech[[#This Row],[1-5]] + tech_4_4*TblTech[[#This Row],[4-4]] + IF(TblMagic[[#This Row],[Active Infernal Command]]&gt;0,demonic_pact_plat,0), 0.5)</f>
        <v>0</v>
      </c>
      <c r="AI1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 s="156">
        <f ca="1">race_lumber_bonus+ IF(TblMagic[[#This Row],[Active Gaia''s Blessing]]&gt;0,gaias_blessing_lumber)+ tech_1_3*TblTech[[#This Row],[1-3]] + tech_1_6*TblTech[[#This Row],[1-6]] + tech_3_3*TblTech[[#This Row],[3-3]]</f>
        <v>0</v>
      </c>
      <c r="AK12" s="156">
        <f ca="1">race_mana_bonus+ 0 + TblImps[[#This Row],[Spires]] + tech_1_2*TblTech[[#This Row],[1-2]] + tech_3_4*TblTech[[#This Row],[3-4]]</f>
        <v>0</v>
      </c>
      <c r="AL12" s="156">
        <f ca="1">race_ore_bonus + IF(TblMagic[[#This Row],[Active Miner''s Sight]]&gt;0,miners_sight_bonus,IF(TblMagic[[#This Row],[Active Mining Strength]]&gt;0,mining_strength_bonus)) +  tech_1_6*TblTech[[#This Row],[1-6]]</f>
        <v>0</v>
      </c>
      <c r="AM12" s="156">
        <f>race_gem_bonus+ tech_3_2*TblTech[[#This Row],[3-2]] + tech_4_3*TblTech[[#This Row],[4-3]] + tech_6_2*TblTech[[#This Row],[6-2]]</f>
        <v>0</v>
      </c>
      <c r="AN12" s="142"/>
      <c r="AO12" s="94">
        <f ca="1">TblProd[[#This Row],[Food]]*food_decay * (1 + tech_2_1*TblTech[[#This Row],[2-1]] + tech_2_8*TblTech[[#This Row],[2-8]] + IF(AND(TblMagic[[#This Row],[Active DnD]]&lt;12,TblMagic[[#This Row],[Active DnD]]&gt;5),1,0))</f>
        <v>322.88</v>
      </c>
      <c r="AP12" s="94">
        <f ca="1">(1+race_food_consumption)*TblPop[[#This Row],[Total]]*food_per_person*(1+tech_1_10*TblTech[[#This Row],[1-10]]+tech_7_5*TblTech[[#This Row],[7-5]] + IF(TblMagic[[#This Row],[Active Infernal Command]]&gt;0,demonic_pact_food_cons,0))</f>
        <v>192.25</v>
      </c>
      <c r="AQ12" s="94">
        <f ca="1">TblProd[[#This Row],[Lumber]]*lumber_rot * (1 + tech_2_1*TblTech[[#This Row],[2-1]] + tech_2_8*TblTech[[#This Row],[2-8]] + tech_5_2*TblTech[[#This Row],[5-2]] + IF(AND(TblMagic[[#This Row],[Active DnD]]&lt;12,TblMagic[[#This Row],[Active DnD]]&gt;5),1,0))</f>
        <v>215.67000000000002</v>
      </c>
      <c r="AR12" s="94">
        <f ca="1">TblProd[[#This Row],[Mana]]*mana_drain * (1 + tech_2_1*TblTech[[#This Row],[2-1]] + tech_2_8*TblTech[[#This Row],[2-8]])</f>
        <v>0</v>
      </c>
      <c r="AS12" s="154"/>
      <c r="AT12" s="94">
        <f ca="1">TblExplore[[#This Row],[Platinum (2)]]+TblConstr[[#This Row],[Total Plat Cost]]+TblMili[[#This Row],[Plat Cost]]+TblRezone[[#This Row],[Platinum cost]]+TblImps[[#This Row],[P1]]-TblProd[[#This Row],[Bank Plat]]</f>
        <v>0</v>
      </c>
      <c r="AU12" s="94">
        <f ca="1">TblConstr[[#This Row],[Total Lum Cost]]+TblImps[[#This Row],[L1]]-TblProd[[#This Row],[Bank Lumber]] + Military!$CO$25*TblMili[[#This Row],[Sec. rec. Cost]]</f>
        <v>0</v>
      </c>
      <c r="AV12" s="94">
        <f ca="1">TblMagic[[#This Row],[Mana cost]] + Military!$CO$26*TblMili[[#This Row],[Sec. rec. Cost]]</f>
        <v>0</v>
      </c>
      <c r="AW12" s="94">
        <f ca="1">Military!$CO$24*TblMili[[#This Row],[Sec. rec. Cost]]+TblImps[[#This Row],[O1]]-TblProd[[#This Row],[Bank Ore]]</f>
        <v>0</v>
      </c>
      <c r="AX12" s="94">
        <f>TblImps[[#This Row],[G1]]-TblProd[[#This Row],[Bank Gems]]</f>
        <v>0</v>
      </c>
      <c r="AY12" s="142"/>
      <c r="AZ12" s="61" t="b">
        <f ca="1">IF(TblProd[[#This Row],[Set Guard]]&lt;&gt;"",TblProd[[#This Row],[Set Guard]],OFFSET(TblProd[[#This Row],[Guard]],-1,0))</f>
        <v>0</v>
      </c>
      <c r="BA12" s="153"/>
      <c r="BB12" s="45">
        <f>TblProd[[#This Row],[Hour]]</f>
        <v>9</v>
      </c>
      <c r="BC12" s="158">
        <f>-TblProd[[#This Row],[Bank Lumber]] / 2 + -TblProd[[#This Row],[Bank Gems]] * 2 + -TblProd[[#This Row],[Bank Ore]] / 2</f>
        <v>0</v>
      </c>
      <c r="BD12" s="158"/>
      <c r="BE12" s="158"/>
      <c r="BF12" s="158"/>
      <c r="BG12" s="159">
        <f ca="1">TblProd[[#This Row],[Time]]</f>
        <v>46320.333333333314</v>
      </c>
      <c r="BH12" s="45"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94">
        <f ca="1">TblProd[[#This Row],[Platinum]]</f>
        <v>129764</v>
      </c>
      <c r="BJ12" s="94">
        <f ca="1">TblProd[[#This Row],[Food]]</f>
        <v>32288</v>
      </c>
      <c r="BK12" s="94">
        <f ca="1">TblProd[[#This Row],[Lumber]]</f>
        <v>21567</v>
      </c>
      <c r="BL12" s="94">
        <f ca="1">TblProd[[#This Row],[Mana]]</f>
        <v>0</v>
      </c>
      <c r="BM12" s="94">
        <f ca="1">TblProd[[#This Row],[Ore]]</f>
        <v>0</v>
      </c>
    </row>
    <row r="13" spans="1:65" x14ac:dyDescent="0.2">
      <c r="A13" s="137">
        <v>10</v>
      </c>
      <c r="B13" s="152">
        <f ca="1">TblImps[[#This Row],[Time]]</f>
        <v>46320.374999999978</v>
      </c>
      <c r="C13" s="153"/>
      <c r="D13" s="154"/>
      <c r="E13" s="94">
        <f ca="1">TblConstr[[#This Row],[Land]]</f>
        <v>50</v>
      </c>
      <c r="F13" s="94">
        <f ca="1">TblPop[[#This Row],[Peasants]]</f>
        <v>429</v>
      </c>
      <c r="G13" s="94">
        <f ca="1">TblMili[[#This Row],[Networth (2)]]</f>
        <v>1250</v>
      </c>
      <c r="H13" s="94">
        <f ca="1">OFFSET(TblProd[[#This Row],[Platinum]],-1,0)+OFFSET(TblProd[[#This Row],[Plat/hr]],-1,0) - TblProd[[#This Row],[Expenses Platinum]] + IF(TblProd[[#This Row],[Plat Bonus]],TblPop[[#This Row],[Peasants]]*4) + SUM(TblConstr[[#This Row],[Dest Hom]:[Dest Doc]])*TblConstr[[#This Row],[CPA Platinum -DB]]*tech_3_3_2*TblTech[[#This Row],[3-3]]</f>
        <v>130933</v>
      </c>
      <c r="I13" s="94">
        <f ca="1">OFFSET(TblProd[[#This Row],[Food]],-1,0)+OFFSET(TblProd[[#This Row],[Food/hr]],-1,0)+ROUNDUP((TblConstr[[#This Row],[Farms]]*80+TblConstr[[#This Row],[Docks]]*35)*(1+OFFSET(TblProd[[#This Row],[Bonus Food/hr]],-1,0)),0)</f>
        <v>34353</v>
      </c>
      <c r="J13" s="94">
        <f ca="1">OFFSET(TblProd[[#This Row],[Lumber]],-1,0)+OFFSET(TblProd[[#This Row],[Lumber/hr]],-1,0) - TblProd[[#This Row],[Expenses Lumber]] + SUM(TblConstr[[#This Row],[Dest Hom]:[Dest Doc]])*TblConstr[[#This Row],[CPA Lumber -DB]]*tech_3_3_2*TblTech[[#This Row],[3-3]]</f>
        <v>22351</v>
      </c>
      <c r="K13" s="94">
        <f ca="1">OFFSET(TblProd[[#This Row],[Mana]],-1,0)+OFFSET(TblProd[[#This Row],[Mana/hr]],-1,0)- TblProd[[#This Row],[Expenses Mana]]</f>
        <v>0</v>
      </c>
      <c r="L13" s="94">
        <f ca="1">OFFSET(TblProd[[#This Row],[Ore]],-1,0)+OFFSET(TblProd[[#This Row],[Ore/hr]],-1,0) -TblProd[[#This Row],[Expenses Ore]]</f>
        <v>0</v>
      </c>
      <c r="M13" s="94">
        <f ca="1">OFFSET(TblProd[[#This Row],[Gems]],-1,0)+OFFSET(TblProd[[#This Row],[Gems/hr]],-1,0) - TblProd[[#This Row],[Expenses Gems]]</f>
        <v>0</v>
      </c>
      <c r="N13" s="94">
        <f ca="1">OFFSET(TblProd[[#This Row],[Boats]],-1,0)+OFFSET(TblProd[[#This Row],[Boats/hr]],-1,0)</f>
        <v>0</v>
      </c>
      <c r="O13" s="94">
        <f ca="1">OFFSET(TblProd[[#This Row],[Prestige]],-1,0)</f>
        <v>250</v>
      </c>
      <c r="P1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 s="94">
        <f ca="1">MAX(_xlfn.CEILING.MATH(TblProd[[#This Row],[Land]]*2.5+IFERROR(OFFSET(TblTech[[#This Row],[Sum of tech]],-1,0)*50,0)),3750)</f>
        <v>3750</v>
      </c>
      <c r="R13" s="142"/>
      <c r="S13" s="94">
        <f ca="1">ROUNDDOWN(TblProd[[#This Row],[Raw Plat/hr]]*(1+TblProd[[#This Row],[Bonus Plat/hr]]),0)</f>
        <v>1158</v>
      </c>
      <c r="T13" s="94">
        <f ca="1">ROUND(TblProd[[#This Row],[Raw Food/hr]]*(1+TblProd[[#This Row],[Bonus Food/hr]])-TblProd[[#This Row],[Food decay]]-TblProd[[#This Row],[Food eaten]],0)</f>
        <v>2044</v>
      </c>
      <c r="U13" s="94">
        <f ca="1">ROUND(TblProd[[#This Row],[Raw Lumber/hr]]*(1+TblProd[[#This Row],[Bonus Lumber/hr]])-TblProd[[#This Row],[Lumber rot]],0)</f>
        <v>776</v>
      </c>
      <c r="V13" s="94">
        <f ca="1">ROUND(TblProd[[#This Row],[Raw Mana/hr]]*(1+TblProd[[#This Row],[Bonus Mana/hr]])-TblProd[[#This Row],[Mana drain]],0)</f>
        <v>0</v>
      </c>
      <c r="W13" s="94">
        <f ca="1">ROUNDDOWN(TblProd[[#This Row],[Raw Ore/hr]]*(1+TblProd[[#This Row],[Bonux Ore/hr]]),0)</f>
        <v>0</v>
      </c>
      <c r="X13" s="94">
        <f ca="1">ROUNDDOWN(TblProd[[#This Row],[Raw Gems/hr]]*(1+TblProd[[#This Row],[Bonus Gems/hr]]),0)</f>
        <v>0</v>
      </c>
      <c r="Y13" s="155">
        <f ca="1">OFFSET(TblConstr[[#This Row],[Tot Doc]],1,0)*dock_boats_hr * (1 + tech_4_1*TblTech[[#This Row],[4-1]])</f>
        <v>0</v>
      </c>
      <c r="Z13" s="154"/>
      <c r="AA13" s="94">
        <f ca="1">TblPop[[#This Row],[Peasants]]*tax*TblPop[[#This Row],[Employment]] + (Construction!AZ14+Construction!BX14)*(alch_plat+(Magic!AN13&gt;0)*alchemist_flame_bonus)</f>
        <v>1158.3000000000002</v>
      </c>
      <c r="AB13" s="94">
        <f ca="1">TblConstr[[#This Row],[Tot Farm]]*farm_food + TblConstr[[#This Row],[Tot Doc]]*dock_food</f>
        <v>2400</v>
      </c>
      <c r="AC13" s="94">
        <f ca="1">TblConstr[[#This Row],[Tot Ly]]*ly_lumber + TblConstr[[#This Row],[Tot Hav]]*fh_lumber + IF(race="Wood Elf",TblMili[[#This Row],[Unit 2]]*MIN(TblMili[[#This Row],[Homeland%]]/wisp_bonus,wisp_cap),0)</f>
        <v>1000</v>
      </c>
      <c r="AD13" s="94">
        <f ca="1">OFFSET(TblConstr[[#This Row],[Tot Tow]],1,0)*(tower_mana + tech_4_5*TblTech[[#This Row],[4-5]]) + OFFSET(TblConstr[[#This Row],[Tot WG]],1,0)*wg_mana_prod</f>
        <v>0</v>
      </c>
      <c r="AE13" s="94">
        <f ca="1">OFFSET(TblConstr[[#This Row],[Tot OM]],1,0)*om_ore+IF(race="Dwarf",TblMili[[#This Row],[Unit 2]]*0.5,0)</f>
        <v>0</v>
      </c>
      <c r="AF13" s="94">
        <f ca="1">OFFSET(TblConstr[[#This Row],[Tot DM]],1,0)*dm_gems</f>
        <v>0</v>
      </c>
      <c r="AG13" s="142"/>
      <c r="AH13" s="156">
        <f ca="1">MIN(race_platinum_bonus + IF(TblMagic[[#This Row],[Active Arc Infusion]]&gt;0,alch_frost_bonus,IF(Magic!AE13&gt;0,midas_bonus)) + TblImps[[#This Row],[Science]] - TblProd[[#This Row],[Guard]]*(0.02 + tech_5_7*TblTech[[#This Row],[5-7]]) + tech_1_5*TblTech[[#This Row],[1-5]] + tech_4_4*TblTech[[#This Row],[4-4]] + IF(TblMagic[[#This Row],[Active Infernal Command]]&gt;0,demonic_pact_plat,0), 0.5)</f>
        <v>0</v>
      </c>
      <c r="AI1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 s="156">
        <f ca="1">race_lumber_bonus+ IF(TblMagic[[#This Row],[Active Gaia''s Blessing]]&gt;0,gaias_blessing_lumber)+ tech_1_3*TblTech[[#This Row],[1-3]] + tech_1_6*TblTech[[#This Row],[1-6]] + tech_3_3*TblTech[[#This Row],[3-3]]</f>
        <v>0</v>
      </c>
      <c r="AK13" s="156">
        <f ca="1">race_mana_bonus+ 0 + TblImps[[#This Row],[Spires]] + tech_1_2*TblTech[[#This Row],[1-2]] + tech_3_4*TblTech[[#This Row],[3-4]]</f>
        <v>0</v>
      </c>
      <c r="AL13" s="156">
        <f ca="1">race_ore_bonus + IF(TblMagic[[#This Row],[Active Miner''s Sight]]&gt;0,miners_sight_bonus,IF(TblMagic[[#This Row],[Active Mining Strength]]&gt;0,mining_strength_bonus)) +  tech_1_6*TblTech[[#This Row],[1-6]]</f>
        <v>0</v>
      </c>
      <c r="AM13" s="156">
        <f>race_gem_bonus+ tech_3_2*TblTech[[#This Row],[3-2]] + tech_4_3*TblTech[[#This Row],[4-3]] + tech_6_2*TblTech[[#This Row],[6-2]]</f>
        <v>0</v>
      </c>
      <c r="AN13" s="142"/>
      <c r="AO13" s="94">
        <f ca="1">TblProd[[#This Row],[Food]]*food_decay * (1 + tech_2_1*TblTech[[#This Row],[2-1]] + tech_2_8*TblTech[[#This Row],[2-8]] + IF(AND(TblMagic[[#This Row],[Active DnD]]&lt;12,TblMagic[[#This Row],[Active DnD]]&gt;5),1,0))</f>
        <v>343.53000000000003</v>
      </c>
      <c r="AP13" s="94">
        <f ca="1">(1+race_food_consumption)*TblPop[[#This Row],[Total]]*food_per_person*(1+tech_1_10*TblTech[[#This Row],[1-10]]+tech_7_5*TblTech[[#This Row],[7-5]] + IF(TblMagic[[#This Row],[Active Infernal Command]]&gt;0,demonic_pact_food_cons,0))</f>
        <v>192.25</v>
      </c>
      <c r="AQ13" s="94">
        <f ca="1">TblProd[[#This Row],[Lumber]]*lumber_rot * (1 + tech_2_1*TblTech[[#This Row],[2-1]] + tech_2_8*TblTech[[#This Row],[2-8]] + tech_5_2*TblTech[[#This Row],[5-2]] + IF(AND(TblMagic[[#This Row],[Active DnD]]&lt;12,TblMagic[[#This Row],[Active DnD]]&gt;5),1,0))</f>
        <v>223.51</v>
      </c>
      <c r="AR13" s="94">
        <f ca="1">TblProd[[#This Row],[Mana]]*mana_drain * (1 + tech_2_1*TblTech[[#This Row],[2-1]] + tech_2_8*TblTech[[#This Row],[2-8]])</f>
        <v>0</v>
      </c>
      <c r="AS13" s="154"/>
      <c r="AT13" s="94">
        <f ca="1">TblExplore[[#This Row],[Platinum (2)]]+TblConstr[[#This Row],[Total Plat Cost]]+TblMili[[#This Row],[Plat Cost]]+TblRezone[[#This Row],[Platinum cost]]+TblImps[[#This Row],[P1]]-TblProd[[#This Row],[Bank Plat]]</f>
        <v>0</v>
      </c>
      <c r="AU13" s="94">
        <f ca="1">TblConstr[[#This Row],[Total Lum Cost]]+TblImps[[#This Row],[L1]]-TblProd[[#This Row],[Bank Lumber]] + Military!$CO$25*TblMili[[#This Row],[Sec. rec. Cost]]</f>
        <v>0</v>
      </c>
      <c r="AV13" s="94">
        <f ca="1">TblMagic[[#This Row],[Mana cost]] + Military!$CO$26*TblMili[[#This Row],[Sec. rec. Cost]]</f>
        <v>0</v>
      </c>
      <c r="AW13" s="94">
        <f ca="1">Military!$CO$24*TblMili[[#This Row],[Sec. rec. Cost]]+TblImps[[#This Row],[O1]]-TblProd[[#This Row],[Bank Ore]]</f>
        <v>0</v>
      </c>
      <c r="AX13" s="94">
        <f>TblImps[[#This Row],[G1]]-TblProd[[#This Row],[Bank Gems]]</f>
        <v>0</v>
      </c>
      <c r="AY13" s="142"/>
      <c r="AZ13" s="61" t="b">
        <f ca="1">IF(TblProd[[#This Row],[Set Guard]]&lt;&gt;"",TblProd[[#This Row],[Set Guard]],OFFSET(TblProd[[#This Row],[Guard]],-1,0))</f>
        <v>0</v>
      </c>
      <c r="BA13" s="153"/>
      <c r="BB13" s="45">
        <f>TblProd[[#This Row],[Hour]]</f>
        <v>10</v>
      </c>
      <c r="BC13" s="158">
        <f>-TblProd[[#This Row],[Bank Lumber]] / 2 + -TblProd[[#This Row],[Bank Gems]] * 2 + -TblProd[[#This Row],[Bank Ore]] / 2</f>
        <v>0</v>
      </c>
      <c r="BD13" s="158"/>
      <c r="BE13" s="158"/>
      <c r="BF13" s="158"/>
      <c r="BG13" s="159">
        <f ca="1">TblProd[[#This Row],[Time]]</f>
        <v>46320.374999999978</v>
      </c>
      <c r="BH13" s="45"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94">
        <f ca="1">TblProd[[#This Row],[Platinum]]</f>
        <v>130933</v>
      </c>
      <c r="BJ13" s="94">
        <f ca="1">TblProd[[#This Row],[Food]]</f>
        <v>34353</v>
      </c>
      <c r="BK13" s="94">
        <f ca="1">TblProd[[#This Row],[Lumber]]</f>
        <v>22351</v>
      </c>
      <c r="BL13" s="94">
        <f ca="1">TblProd[[#This Row],[Mana]]</f>
        <v>0</v>
      </c>
      <c r="BM13" s="94">
        <f ca="1">TblProd[[#This Row],[Ore]]</f>
        <v>0</v>
      </c>
    </row>
    <row r="14" spans="1:65" x14ac:dyDescent="0.2">
      <c r="A14" s="137">
        <v>11</v>
      </c>
      <c r="B14" s="152">
        <f ca="1">TblImps[[#This Row],[Time]]</f>
        <v>46320.416666666642</v>
      </c>
      <c r="C14" s="153"/>
      <c r="D14" s="154"/>
      <c r="E14" s="94">
        <f ca="1">TblConstr[[#This Row],[Land]]</f>
        <v>50</v>
      </c>
      <c r="F14" s="94">
        <f ca="1">TblPop[[#This Row],[Peasants]]</f>
        <v>425</v>
      </c>
      <c r="G14" s="94">
        <f ca="1">TblMili[[#This Row],[Networth (2)]]</f>
        <v>1250</v>
      </c>
      <c r="H14" s="94">
        <f ca="1">OFFSET(TblProd[[#This Row],[Platinum]],-1,0)+OFFSET(TblProd[[#This Row],[Plat/hr]],-1,0) - TblProd[[#This Row],[Expenses Platinum]] + IF(TblProd[[#This Row],[Plat Bonus]],TblPop[[#This Row],[Peasants]]*4) + SUM(TblConstr[[#This Row],[Dest Hom]:[Dest Doc]])*TblConstr[[#This Row],[CPA Platinum -DB]]*tech_3_3_2*TblTech[[#This Row],[3-3]]</f>
        <v>132091</v>
      </c>
      <c r="I14" s="94">
        <f ca="1">OFFSET(TblProd[[#This Row],[Food]],-1,0)+OFFSET(TblProd[[#This Row],[Food/hr]],-1,0)+ROUNDUP((TblConstr[[#This Row],[Farms]]*80+TblConstr[[#This Row],[Docks]]*35)*(1+OFFSET(TblProd[[#This Row],[Bonus Food/hr]],-1,0)),0)</f>
        <v>36397</v>
      </c>
      <c r="J14" s="94">
        <f ca="1">OFFSET(TblProd[[#This Row],[Lumber]],-1,0)+OFFSET(TblProd[[#This Row],[Lumber/hr]],-1,0) - TblProd[[#This Row],[Expenses Lumber]] + SUM(TblConstr[[#This Row],[Dest Hom]:[Dest Doc]])*TblConstr[[#This Row],[CPA Lumber -DB]]*tech_3_3_2*TblTech[[#This Row],[3-3]]</f>
        <v>23127</v>
      </c>
      <c r="K14" s="94">
        <f ca="1">OFFSET(TblProd[[#This Row],[Mana]],-1,0)+OFFSET(TblProd[[#This Row],[Mana/hr]],-1,0)- TblProd[[#This Row],[Expenses Mana]]</f>
        <v>0</v>
      </c>
      <c r="L14" s="94">
        <f ca="1">OFFSET(TblProd[[#This Row],[Ore]],-1,0)+OFFSET(TblProd[[#This Row],[Ore/hr]],-1,0) -TblProd[[#This Row],[Expenses Ore]]</f>
        <v>0</v>
      </c>
      <c r="M14" s="94">
        <f ca="1">OFFSET(TblProd[[#This Row],[Gems]],-1,0)+OFFSET(TblProd[[#This Row],[Gems/hr]],-1,0) - TblProd[[#This Row],[Expenses Gems]]</f>
        <v>0</v>
      </c>
      <c r="N14" s="94">
        <f ca="1">OFFSET(TblProd[[#This Row],[Boats]],-1,0)+OFFSET(TblProd[[#This Row],[Boats/hr]],-1,0)</f>
        <v>0</v>
      </c>
      <c r="O14" s="94">
        <f ca="1">OFFSET(TblProd[[#This Row],[Prestige]],-1,0)</f>
        <v>250</v>
      </c>
      <c r="P1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4" s="94">
        <f ca="1">MAX(_xlfn.CEILING.MATH(TblProd[[#This Row],[Land]]*2.5+IFERROR(OFFSET(TblTech[[#This Row],[Sum of tech]],-1,0)*50,0)),3750)</f>
        <v>3750</v>
      </c>
      <c r="R14" s="142"/>
      <c r="S14" s="94">
        <f ca="1">ROUNDDOWN(TblProd[[#This Row],[Raw Plat/hr]]*(1+TblProd[[#This Row],[Bonus Plat/hr]]),0)</f>
        <v>1147</v>
      </c>
      <c r="T14" s="94">
        <f ca="1">ROUND(TblProd[[#This Row],[Raw Food/hr]]*(1+TblProd[[#This Row],[Bonus Food/hr]])-TblProd[[#This Row],[Food decay]]-TblProd[[#This Row],[Food eaten]],0)</f>
        <v>2024</v>
      </c>
      <c r="U14" s="94">
        <f ca="1">ROUND(TblProd[[#This Row],[Raw Lumber/hr]]*(1+TblProd[[#This Row],[Bonus Lumber/hr]])-TblProd[[#This Row],[Lumber rot]],0)</f>
        <v>769</v>
      </c>
      <c r="V14" s="94">
        <f ca="1">ROUND(TblProd[[#This Row],[Raw Mana/hr]]*(1+TblProd[[#This Row],[Bonus Mana/hr]])-TblProd[[#This Row],[Mana drain]],0)</f>
        <v>0</v>
      </c>
      <c r="W14" s="94">
        <f ca="1">ROUNDDOWN(TblProd[[#This Row],[Raw Ore/hr]]*(1+TblProd[[#This Row],[Bonux Ore/hr]]),0)</f>
        <v>0</v>
      </c>
      <c r="X14" s="94">
        <f ca="1">ROUNDDOWN(TblProd[[#This Row],[Raw Gems/hr]]*(1+TblProd[[#This Row],[Bonus Gems/hr]]),0)</f>
        <v>0</v>
      </c>
      <c r="Y14" s="155">
        <f ca="1">OFFSET(TblConstr[[#This Row],[Tot Doc]],1,0)*dock_boats_hr * (1 + tech_4_1*TblTech[[#This Row],[4-1]])</f>
        <v>0</v>
      </c>
      <c r="Z14" s="154"/>
      <c r="AA14" s="94">
        <f ca="1">TblPop[[#This Row],[Peasants]]*tax*TblPop[[#This Row],[Employment]] + (Construction!AZ15+Construction!BX15)*(alch_plat+(Magic!AN14&gt;0)*alchemist_flame_bonus)</f>
        <v>1147.5</v>
      </c>
      <c r="AB14" s="94">
        <f ca="1">TblConstr[[#This Row],[Tot Farm]]*farm_food + TblConstr[[#This Row],[Tot Doc]]*dock_food</f>
        <v>2400</v>
      </c>
      <c r="AC14" s="94">
        <f ca="1">TblConstr[[#This Row],[Tot Ly]]*ly_lumber + TblConstr[[#This Row],[Tot Hav]]*fh_lumber + IF(race="Wood Elf",TblMili[[#This Row],[Unit 2]]*MIN(TblMili[[#This Row],[Homeland%]]/wisp_bonus,wisp_cap),0)</f>
        <v>1000</v>
      </c>
      <c r="AD14" s="94">
        <f ca="1">OFFSET(TblConstr[[#This Row],[Tot Tow]],1,0)*(tower_mana + tech_4_5*TblTech[[#This Row],[4-5]]) + OFFSET(TblConstr[[#This Row],[Tot WG]],1,0)*wg_mana_prod</f>
        <v>0</v>
      </c>
      <c r="AE14" s="94">
        <f ca="1">OFFSET(TblConstr[[#This Row],[Tot OM]],1,0)*om_ore+IF(race="Dwarf",TblMili[[#This Row],[Unit 2]]*0.5,0)</f>
        <v>0</v>
      </c>
      <c r="AF14" s="94">
        <f ca="1">OFFSET(TblConstr[[#This Row],[Tot DM]],1,0)*dm_gems</f>
        <v>0</v>
      </c>
      <c r="AG14" s="142"/>
      <c r="AH14" s="156">
        <f ca="1">MIN(race_platinum_bonus + IF(TblMagic[[#This Row],[Active Arc Infusion]]&gt;0,alch_frost_bonus,IF(Magic!AE14&gt;0,midas_bonus)) + TblImps[[#This Row],[Science]] - TblProd[[#This Row],[Guard]]*(0.02 + tech_5_7*TblTech[[#This Row],[5-7]]) + tech_1_5*TblTech[[#This Row],[1-5]] + tech_4_4*TblTech[[#This Row],[4-4]] + IF(TblMagic[[#This Row],[Active Infernal Command]]&gt;0,demonic_pact_plat,0), 0.5)</f>
        <v>0</v>
      </c>
      <c r="AI1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4" s="156">
        <f ca="1">race_lumber_bonus+ IF(TblMagic[[#This Row],[Active Gaia''s Blessing]]&gt;0,gaias_blessing_lumber)+ tech_1_3*TblTech[[#This Row],[1-3]] + tech_1_6*TblTech[[#This Row],[1-6]] + tech_3_3*TblTech[[#This Row],[3-3]]</f>
        <v>0</v>
      </c>
      <c r="AK14" s="156">
        <f ca="1">race_mana_bonus+ 0 + TblImps[[#This Row],[Spires]] + tech_1_2*TblTech[[#This Row],[1-2]] + tech_3_4*TblTech[[#This Row],[3-4]]</f>
        <v>0</v>
      </c>
      <c r="AL14" s="156">
        <f ca="1">race_ore_bonus + IF(TblMagic[[#This Row],[Active Miner''s Sight]]&gt;0,miners_sight_bonus,IF(TblMagic[[#This Row],[Active Mining Strength]]&gt;0,mining_strength_bonus)) +  tech_1_6*TblTech[[#This Row],[1-6]]</f>
        <v>0</v>
      </c>
      <c r="AM14" s="156">
        <f>race_gem_bonus+ tech_3_2*TblTech[[#This Row],[3-2]] + tech_4_3*TblTech[[#This Row],[4-3]] + tech_6_2*TblTech[[#This Row],[6-2]]</f>
        <v>0</v>
      </c>
      <c r="AN14" s="142"/>
      <c r="AO14" s="94">
        <f ca="1">TblProd[[#This Row],[Food]]*food_decay * (1 + tech_2_1*TblTech[[#This Row],[2-1]] + tech_2_8*TblTech[[#This Row],[2-8]] + IF(AND(TblMagic[[#This Row],[Active DnD]]&lt;12,TblMagic[[#This Row],[Active DnD]]&gt;5),1,0))</f>
        <v>363.97</v>
      </c>
      <c r="AP14" s="94">
        <f ca="1">(1+race_food_consumption)*TblPop[[#This Row],[Total]]*food_per_person*(1+tech_1_10*TblTech[[#This Row],[1-10]]+tech_7_5*TblTech[[#This Row],[7-5]] + IF(TblMagic[[#This Row],[Active Infernal Command]]&gt;0,demonic_pact_food_cons,0))</f>
        <v>192.25</v>
      </c>
      <c r="AQ14" s="94">
        <f ca="1">TblProd[[#This Row],[Lumber]]*lumber_rot * (1 + tech_2_1*TblTech[[#This Row],[2-1]] + tech_2_8*TblTech[[#This Row],[2-8]] + tech_5_2*TblTech[[#This Row],[5-2]] + IF(AND(TblMagic[[#This Row],[Active DnD]]&lt;12,TblMagic[[#This Row],[Active DnD]]&gt;5),1,0))</f>
        <v>231.27</v>
      </c>
      <c r="AR14" s="94">
        <f ca="1">TblProd[[#This Row],[Mana]]*mana_drain * (1 + tech_2_1*TblTech[[#This Row],[2-1]] + tech_2_8*TblTech[[#This Row],[2-8]])</f>
        <v>0</v>
      </c>
      <c r="AS14" s="154"/>
      <c r="AT14" s="94">
        <f ca="1">TblExplore[[#This Row],[Platinum (2)]]+TblConstr[[#This Row],[Total Plat Cost]]+TblMili[[#This Row],[Plat Cost]]+TblRezone[[#This Row],[Platinum cost]]+TblImps[[#This Row],[P1]]-TblProd[[#This Row],[Bank Plat]]</f>
        <v>0</v>
      </c>
      <c r="AU14" s="94">
        <f ca="1">TblConstr[[#This Row],[Total Lum Cost]]+TblImps[[#This Row],[L1]]-TblProd[[#This Row],[Bank Lumber]] + Military!$CO$25*TblMili[[#This Row],[Sec. rec. Cost]]</f>
        <v>0</v>
      </c>
      <c r="AV14" s="94">
        <f ca="1">TblMagic[[#This Row],[Mana cost]] + Military!$CO$26*TblMili[[#This Row],[Sec. rec. Cost]]</f>
        <v>0</v>
      </c>
      <c r="AW14" s="94">
        <f ca="1">Military!$CO$24*TblMili[[#This Row],[Sec. rec. Cost]]+TblImps[[#This Row],[O1]]-TblProd[[#This Row],[Bank Ore]]</f>
        <v>0</v>
      </c>
      <c r="AX14" s="94">
        <f>TblImps[[#This Row],[G1]]-TblProd[[#This Row],[Bank Gems]]</f>
        <v>0</v>
      </c>
      <c r="AY14" s="142"/>
      <c r="AZ14" s="61" t="b">
        <f ca="1">IF(TblProd[[#This Row],[Set Guard]]&lt;&gt;"",TblProd[[#This Row],[Set Guard]],OFFSET(TblProd[[#This Row],[Guard]],-1,0))</f>
        <v>0</v>
      </c>
      <c r="BA14" s="153"/>
      <c r="BB14" s="45">
        <f>TblProd[[#This Row],[Hour]]</f>
        <v>11</v>
      </c>
      <c r="BC14" s="158">
        <f>-TblProd[[#This Row],[Bank Lumber]] / 2 + -TblProd[[#This Row],[Bank Gems]] * 2 + -TblProd[[#This Row],[Bank Ore]] / 2</f>
        <v>0</v>
      </c>
      <c r="BD14" s="158"/>
      <c r="BE14" s="158"/>
      <c r="BF14" s="158"/>
      <c r="BG14" s="159">
        <f ca="1">TblProd[[#This Row],[Time]]</f>
        <v>46320.416666666642</v>
      </c>
      <c r="BH14" s="45"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94">
        <f ca="1">TblProd[[#This Row],[Platinum]]</f>
        <v>132091</v>
      </c>
      <c r="BJ14" s="94">
        <f ca="1">TblProd[[#This Row],[Food]]</f>
        <v>36397</v>
      </c>
      <c r="BK14" s="94">
        <f ca="1">TblProd[[#This Row],[Lumber]]</f>
        <v>23127</v>
      </c>
      <c r="BL14" s="94">
        <f ca="1">TblProd[[#This Row],[Mana]]</f>
        <v>0</v>
      </c>
      <c r="BM14" s="94">
        <f ca="1">TblProd[[#This Row],[Ore]]</f>
        <v>0</v>
      </c>
    </row>
    <row r="15" spans="1:65" x14ac:dyDescent="0.2">
      <c r="A15" s="137">
        <v>12</v>
      </c>
      <c r="B15" s="152">
        <f ca="1">TblImps[[#This Row],[Time]]</f>
        <v>46320.458333333307</v>
      </c>
      <c r="C15" s="153"/>
      <c r="D15" s="154"/>
      <c r="E15" s="94">
        <f ca="1">TblConstr[[#This Row],[Land]]</f>
        <v>50</v>
      </c>
      <c r="F15" s="94">
        <f ca="1">TblPop[[#This Row],[Peasants]]</f>
        <v>421</v>
      </c>
      <c r="G15" s="94">
        <f ca="1">TblMili[[#This Row],[Networth (2)]]</f>
        <v>1250</v>
      </c>
      <c r="H15" s="94">
        <f ca="1">OFFSET(TblProd[[#This Row],[Platinum]],-1,0)+OFFSET(TblProd[[#This Row],[Plat/hr]],-1,0) - TblProd[[#This Row],[Expenses Platinum]] + IF(TblProd[[#This Row],[Plat Bonus]],TblPop[[#This Row],[Peasants]]*4) + SUM(TblConstr[[#This Row],[Dest Hom]:[Dest Doc]])*TblConstr[[#This Row],[CPA Platinum -DB]]*tech_3_3_2*TblTech[[#This Row],[3-3]]</f>
        <v>133238</v>
      </c>
      <c r="I15" s="94">
        <f ca="1">OFFSET(TblProd[[#This Row],[Food]],-1,0)+OFFSET(TblProd[[#This Row],[Food/hr]],-1,0)+ROUNDUP((TblConstr[[#This Row],[Farms]]*80+TblConstr[[#This Row],[Docks]]*35)*(1+OFFSET(TblProd[[#This Row],[Bonus Food/hr]],-1,0)),0)</f>
        <v>38421</v>
      </c>
      <c r="J15" s="94">
        <f ca="1">OFFSET(TblProd[[#This Row],[Lumber]],-1,0)+OFFSET(TblProd[[#This Row],[Lumber/hr]],-1,0) - TblProd[[#This Row],[Expenses Lumber]] + SUM(TblConstr[[#This Row],[Dest Hom]:[Dest Doc]])*TblConstr[[#This Row],[CPA Lumber -DB]]*tech_3_3_2*TblTech[[#This Row],[3-3]]</f>
        <v>23896</v>
      </c>
      <c r="K15" s="94">
        <f ca="1">OFFSET(TblProd[[#This Row],[Mana]],-1,0)+OFFSET(TblProd[[#This Row],[Mana/hr]],-1,0)- TblProd[[#This Row],[Expenses Mana]]</f>
        <v>0</v>
      </c>
      <c r="L15" s="94">
        <f ca="1">OFFSET(TblProd[[#This Row],[Ore]],-1,0)+OFFSET(TblProd[[#This Row],[Ore/hr]],-1,0) -TblProd[[#This Row],[Expenses Ore]]</f>
        <v>0</v>
      </c>
      <c r="M15" s="94">
        <f ca="1">OFFSET(TblProd[[#This Row],[Gems]],-1,0)+OFFSET(TblProd[[#This Row],[Gems/hr]],-1,0) - TblProd[[#This Row],[Expenses Gems]]</f>
        <v>0</v>
      </c>
      <c r="N15" s="94">
        <f ca="1">OFFSET(TblProd[[#This Row],[Boats]],-1,0)+OFFSET(TblProd[[#This Row],[Boats/hr]],-1,0)</f>
        <v>0</v>
      </c>
      <c r="O15" s="94">
        <f ca="1">OFFSET(TblProd[[#This Row],[Prestige]],-1,0)</f>
        <v>250</v>
      </c>
      <c r="P1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5" s="94">
        <f ca="1">MAX(_xlfn.CEILING.MATH(TblProd[[#This Row],[Land]]*2.5+IFERROR(OFFSET(TblTech[[#This Row],[Sum of tech]],-1,0)*50,0)),3750)</f>
        <v>3750</v>
      </c>
      <c r="R15" s="142"/>
      <c r="S15" s="94">
        <f ca="1">ROUNDDOWN(TblProd[[#This Row],[Raw Plat/hr]]*(1+TblProd[[#This Row],[Bonus Plat/hr]]),0)</f>
        <v>1136</v>
      </c>
      <c r="T15" s="94">
        <f ca="1">ROUND(TblProd[[#This Row],[Raw Food/hr]]*(1+TblProd[[#This Row],[Bonus Food/hr]])-TblProd[[#This Row],[Food decay]]-TblProd[[#This Row],[Food eaten]],0)</f>
        <v>2004</v>
      </c>
      <c r="U15" s="94">
        <f ca="1">ROUND(TblProd[[#This Row],[Raw Lumber/hr]]*(1+TblProd[[#This Row],[Bonus Lumber/hr]])-TblProd[[#This Row],[Lumber rot]],0)</f>
        <v>761</v>
      </c>
      <c r="V15" s="94">
        <f ca="1">ROUND(TblProd[[#This Row],[Raw Mana/hr]]*(1+TblProd[[#This Row],[Bonus Mana/hr]])-TblProd[[#This Row],[Mana drain]],0)</f>
        <v>0</v>
      </c>
      <c r="W15" s="94">
        <f ca="1">ROUNDDOWN(TblProd[[#This Row],[Raw Ore/hr]]*(1+TblProd[[#This Row],[Bonux Ore/hr]]),0)</f>
        <v>0</v>
      </c>
      <c r="X15" s="94">
        <f ca="1">ROUNDDOWN(TblProd[[#This Row],[Raw Gems/hr]]*(1+TblProd[[#This Row],[Bonus Gems/hr]]),0)</f>
        <v>0</v>
      </c>
      <c r="Y15" s="155">
        <f ca="1">OFFSET(TblConstr[[#This Row],[Tot Doc]],1,0)*dock_boats_hr * (1 + tech_4_1*TblTech[[#This Row],[4-1]])</f>
        <v>0</v>
      </c>
      <c r="Z15" s="154"/>
      <c r="AA15" s="94">
        <f ca="1">TblPop[[#This Row],[Peasants]]*tax*TblPop[[#This Row],[Employment]] + (Construction!AZ16+Construction!BX16)*(alch_plat+(Magic!AN15&gt;0)*alchemist_flame_bonus)</f>
        <v>1136.7</v>
      </c>
      <c r="AB15" s="94">
        <f ca="1">TblConstr[[#This Row],[Tot Farm]]*farm_food + TblConstr[[#This Row],[Tot Doc]]*dock_food</f>
        <v>2400</v>
      </c>
      <c r="AC15" s="94">
        <f ca="1">TblConstr[[#This Row],[Tot Ly]]*ly_lumber + TblConstr[[#This Row],[Tot Hav]]*fh_lumber + IF(race="Wood Elf",TblMili[[#This Row],[Unit 2]]*MIN(TblMili[[#This Row],[Homeland%]]/wisp_bonus,wisp_cap),0)</f>
        <v>1000</v>
      </c>
      <c r="AD15" s="94">
        <f ca="1">OFFSET(TblConstr[[#This Row],[Tot Tow]],1,0)*(tower_mana + tech_4_5*TblTech[[#This Row],[4-5]]) + OFFSET(TblConstr[[#This Row],[Tot WG]],1,0)*wg_mana_prod</f>
        <v>0</v>
      </c>
      <c r="AE15" s="94">
        <f ca="1">OFFSET(TblConstr[[#This Row],[Tot OM]],1,0)*om_ore+IF(race="Dwarf",TblMili[[#This Row],[Unit 2]]*0.5,0)</f>
        <v>0</v>
      </c>
      <c r="AF15" s="94">
        <f ca="1">OFFSET(TblConstr[[#This Row],[Tot DM]],1,0)*dm_gems</f>
        <v>0</v>
      </c>
      <c r="AG15" s="142"/>
      <c r="AH15" s="156">
        <f ca="1">MIN(race_platinum_bonus + IF(TblMagic[[#This Row],[Active Arc Infusion]]&gt;0,alch_frost_bonus,IF(Magic!AE15&gt;0,midas_bonus)) + TblImps[[#This Row],[Science]] - TblProd[[#This Row],[Guard]]*(0.02 + tech_5_7*TblTech[[#This Row],[5-7]]) + tech_1_5*TblTech[[#This Row],[1-5]] + tech_4_4*TblTech[[#This Row],[4-4]] + IF(TblMagic[[#This Row],[Active Infernal Command]]&gt;0,demonic_pact_plat,0), 0.5)</f>
        <v>0</v>
      </c>
      <c r="AI1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5" s="156">
        <f ca="1">race_lumber_bonus+ IF(TblMagic[[#This Row],[Active Gaia''s Blessing]]&gt;0,gaias_blessing_lumber)+ tech_1_3*TblTech[[#This Row],[1-3]] + tech_1_6*TblTech[[#This Row],[1-6]] + tech_3_3*TblTech[[#This Row],[3-3]]</f>
        <v>0</v>
      </c>
      <c r="AK15" s="156">
        <f ca="1">race_mana_bonus+ 0 + TblImps[[#This Row],[Spires]] + tech_1_2*TblTech[[#This Row],[1-2]] + tech_3_4*TblTech[[#This Row],[3-4]]</f>
        <v>0</v>
      </c>
      <c r="AL15" s="156">
        <f ca="1">race_ore_bonus + IF(TblMagic[[#This Row],[Active Miner''s Sight]]&gt;0,miners_sight_bonus,IF(TblMagic[[#This Row],[Active Mining Strength]]&gt;0,mining_strength_bonus)) +  tech_1_6*TblTech[[#This Row],[1-6]]</f>
        <v>0</v>
      </c>
      <c r="AM15" s="156">
        <f>race_gem_bonus+ tech_3_2*TblTech[[#This Row],[3-2]] + tech_4_3*TblTech[[#This Row],[4-3]] + tech_6_2*TblTech[[#This Row],[6-2]]</f>
        <v>0</v>
      </c>
      <c r="AN15" s="142"/>
      <c r="AO15" s="94">
        <f ca="1">TblProd[[#This Row],[Food]]*food_decay * (1 + tech_2_1*TblTech[[#This Row],[2-1]] + tech_2_8*TblTech[[#This Row],[2-8]] + IF(AND(TblMagic[[#This Row],[Active DnD]]&lt;12,TblMagic[[#This Row],[Active DnD]]&gt;5),1,0))</f>
        <v>384.21000000000004</v>
      </c>
      <c r="AP15" s="94">
        <f ca="1">(1+race_food_consumption)*TblPop[[#This Row],[Total]]*food_per_person*(1+tech_1_10*TblTech[[#This Row],[1-10]]+tech_7_5*TblTech[[#This Row],[7-5]] + IF(TblMagic[[#This Row],[Active Infernal Command]]&gt;0,demonic_pact_food_cons,0))</f>
        <v>192.25</v>
      </c>
      <c r="AQ15" s="94">
        <f ca="1">TblProd[[#This Row],[Lumber]]*lumber_rot * (1 + tech_2_1*TblTech[[#This Row],[2-1]] + tech_2_8*TblTech[[#This Row],[2-8]] + tech_5_2*TblTech[[#This Row],[5-2]] + IF(AND(TblMagic[[#This Row],[Active DnD]]&lt;12,TblMagic[[#This Row],[Active DnD]]&gt;5),1,0))</f>
        <v>238.96</v>
      </c>
      <c r="AR15" s="94">
        <f ca="1">TblProd[[#This Row],[Mana]]*mana_drain * (1 + tech_2_1*TblTech[[#This Row],[2-1]] + tech_2_8*TblTech[[#This Row],[2-8]])</f>
        <v>0</v>
      </c>
      <c r="AS15" s="154"/>
      <c r="AT15" s="94">
        <f ca="1">TblExplore[[#This Row],[Platinum (2)]]+TblConstr[[#This Row],[Total Plat Cost]]+TblMili[[#This Row],[Plat Cost]]+TblRezone[[#This Row],[Platinum cost]]+TblImps[[#This Row],[P1]]-TblProd[[#This Row],[Bank Plat]]</f>
        <v>0</v>
      </c>
      <c r="AU15" s="94">
        <f ca="1">TblConstr[[#This Row],[Total Lum Cost]]+TblImps[[#This Row],[L1]]-TblProd[[#This Row],[Bank Lumber]] + Military!$CO$25*TblMili[[#This Row],[Sec. rec. Cost]]</f>
        <v>0</v>
      </c>
      <c r="AV15" s="94">
        <f ca="1">TblMagic[[#This Row],[Mana cost]] + Military!$CO$26*TblMili[[#This Row],[Sec. rec. Cost]]</f>
        <v>0</v>
      </c>
      <c r="AW15" s="94">
        <f ca="1">Military!$CO$24*TblMili[[#This Row],[Sec. rec. Cost]]+TblImps[[#This Row],[O1]]-TblProd[[#This Row],[Bank Ore]]</f>
        <v>0</v>
      </c>
      <c r="AX15" s="94">
        <f>TblImps[[#This Row],[G1]]-TblProd[[#This Row],[Bank Gems]]</f>
        <v>0</v>
      </c>
      <c r="AY15" s="142"/>
      <c r="AZ15" s="61" t="b">
        <f ca="1">IF(TblProd[[#This Row],[Set Guard]]&lt;&gt;"",TblProd[[#This Row],[Set Guard]],OFFSET(TblProd[[#This Row],[Guard]],-1,0))</f>
        <v>0</v>
      </c>
      <c r="BA15" s="153"/>
      <c r="BB15" s="45">
        <f>TblProd[[#This Row],[Hour]]</f>
        <v>12</v>
      </c>
      <c r="BC15" s="158">
        <f>-TblProd[[#This Row],[Bank Lumber]] / 2 + -TblProd[[#This Row],[Bank Gems]] * 2 + -TblProd[[#This Row],[Bank Ore]] / 2</f>
        <v>0</v>
      </c>
      <c r="BD15" s="158"/>
      <c r="BE15" s="158"/>
      <c r="BF15" s="158"/>
      <c r="BG15" s="159">
        <f ca="1">TblProd[[#This Row],[Time]]</f>
        <v>46320.458333333307</v>
      </c>
      <c r="BH15" s="45"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94">
        <f ca="1">TblProd[[#This Row],[Platinum]]</f>
        <v>133238</v>
      </c>
      <c r="BJ15" s="94">
        <f ca="1">TblProd[[#This Row],[Food]]</f>
        <v>38421</v>
      </c>
      <c r="BK15" s="94">
        <f ca="1">TblProd[[#This Row],[Lumber]]</f>
        <v>23896</v>
      </c>
      <c r="BL15" s="94">
        <f ca="1">TblProd[[#This Row],[Mana]]</f>
        <v>0</v>
      </c>
      <c r="BM15" s="94">
        <f ca="1">TblProd[[#This Row],[Ore]]</f>
        <v>0</v>
      </c>
    </row>
    <row r="16" spans="1:65" x14ac:dyDescent="0.2">
      <c r="A16" s="137">
        <v>13</v>
      </c>
      <c r="B16" s="152">
        <f ca="1">TblImps[[#This Row],[Time]]</f>
        <v>46320.499999999971</v>
      </c>
      <c r="C16" s="153"/>
      <c r="D16" s="154"/>
      <c r="E16" s="94">
        <f ca="1">TblConstr[[#This Row],[Land]]</f>
        <v>50</v>
      </c>
      <c r="F16" s="94">
        <f ca="1">TblPop[[#This Row],[Peasants]]</f>
        <v>417</v>
      </c>
      <c r="G16" s="94">
        <f ca="1">TblMili[[#This Row],[Networth (2)]]</f>
        <v>1250</v>
      </c>
      <c r="H16" s="94">
        <f ca="1">OFFSET(TblProd[[#This Row],[Platinum]],-1,0)+OFFSET(TblProd[[#This Row],[Plat/hr]],-1,0) - TblProd[[#This Row],[Expenses Platinum]] + IF(TblProd[[#This Row],[Plat Bonus]],TblPop[[#This Row],[Peasants]]*4) + SUM(TblConstr[[#This Row],[Dest Hom]:[Dest Doc]])*TblConstr[[#This Row],[CPA Platinum -DB]]*tech_3_3_2*TblTech[[#This Row],[3-3]]</f>
        <v>134374</v>
      </c>
      <c r="I16" s="94">
        <f ca="1">OFFSET(TblProd[[#This Row],[Food]],-1,0)+OFFSET(TblProd[[#This Row],[Food/hr]],-1,0)+ROUNDUP((TblConstr[[#This Row],[Farms]]*80+TblConstr[[#This Row],[Docks]]*35)*(1+OFFSET(TblProd[[#This Row],[Bonus Food/hr]],-1,0)),0)</f>
        <v>40425</v>
      </c>
      <c r="J16" s="94">
        <f ca="1">OFFSET(TblProd[[#This Row],[Lumber]],-1,0)+OFFSET(TblProd[[#This Row],[Lumber/hr]],-1,0) - TblProd[[#This Row],[Expenses Lumber]] + SUM(TblConstr[[#This Row],[Dest Hom]:[Dest Doc]])*TblConstr[[#This Row],[CPA Lumber -DB]]*tech_3_3_2*TblTech[[#This Row],[3-3]]</f>
        <v>24657</v>
      </c>
      <c r="K16" s="94">
        <f ca="1">OFFSET(TblProd[[#This Row],[Mana]],-1,0)+OFFSET(TblProd[[#This Row],[Mana/hr]],-1,0)- TblProd[[#This Row],[Expenses Mana]]</f>
        <v>0</v>
      </c>
      <c r="L16" s="94">
        <f ca="1">OFFSET(TblProd[[#This Row],[Ore]],-1,0)+OFFSET(TblProd[[#This Row],[Ore/hr]],-1,0) -TblProd[[#This Row],[Expenses Ore]]</f>
        <v>0</v>
      </c>
      <c r="M16" s="94">
        <f ca="1">OFFSET(TblProd[[#This Row],[Gems]],-1,0)+OFFSET(TblProd[[#This Row],[Gems/hr]],-1,0) - TblProd[[#This Row],[Expenses Gems]]</f>
        <v>0</v>
      </c>
      <c r="N16" s="94">
        <f ca="1">OFFSET(TblProd[[#This Row],[Boats]],-1,0)+OFFSET(TblProd[[#This Row],[Boats/hr]],-1,0)</f>
        <v>0</v>
      </c>
      <c r="O16" s="94">
        <f ca="1">OFFSET(TblProd[[#This Row],[Prestige]],-1,0)</f>
        <v>250</v>
      </c>
      <c r="P1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6" s="94">
        <f ca="1">MAX(_xlfn.CEILING.MATH(TblProd[[#This Row],[Land]]*2.5+IFERROR(OFFSET(TblTech[[#This Row],[Sum of tech]],-1,0)*50,0)),3750)</f>
        <v>3750</v>
      </c>
      <c r="R16" s="142"/>
      <c r="S16" s="94">
        <f ca="1">ROUNDDOWN(TblProd[[#This Row],[Raw Plat/hr]]*(1+TblProd[[#This Row],[Bonus Plat/hr]]),0)</f>
        <v>1125</v>
      </c>
      <c r="T16" s="94">
        <f ca="1">ROUND(TblProd[[#This Row],[Raw Food/hr]]*(1+TblProd[[#This Row],[Bonus Food/hr]])-TblProd[[#This Row],[Food decay]]-TblProd[[#This Row],[Food eaten]],0)</f>
        <v>1984</v>
      </c>
      <c r="U16" s="94">
        <f ca="1">ROUND(TblProd[[#This Row],[Raw Lumber/hr]]*(1+TblProd[[#This Row],[Bonus Lumber/hr]])-TblProd[[#This Row],[Lumber rot]],0)</f>
        <v>753</v>
      </c>
      <c r="V16" s="94">
        <f ca="1">ROUND(TblProd[[#This Row],[Raw Mana/hr]]*(1+TblProd[[#This Row],[Bonus Mana/hr]])-TblProd[[#This Row],[Mana drain]],0)</f>
        <v>0</v>
      </c>
      <c r="W16" s="94">
        <f ca="1">ROUNDDOWN(TblProd[[#This Row],[Raw Ore/hr]]*(1+TblProd[[#This Row],[Bonux Ore/hr]]),0)</f>
        <v>0</v>
      </c>
      <c r="X16" s="94">
        <f ca="1">ROUNDDOWN(TblProd[[#This Row],[Raw Gems/hr]]*(1+TblProd[[#This Row],[Bonus Gems/hr]]),0)</f>
        <v>0</v>
      </c>
      <c r="Y16" s="155">
        <f ca="1">OFFSET(TblConstr[[#This Row],[Tot Doc]],1,0)*dock_boats_hr * (1 + tech_4_1*TblTech[[#This Row],[4-1]])</f>
        <v>0</v>
      </c>
      <c r="Z16" s="154"/>
      <c r="AA16" s="94">
        <f ca="1">TblPop[[#This Row],[Peasants]]*tax*TblPop[[#This Row],[Employment]] + (Construction!AZ17+Construction!BX17)*(alch_plat+(Magic!AN16&gt;0)*alchemist_flame_bonus)</f>
        <v>1125.9000000000001</v>
      </c>
      <c r="AB16" s="94">
        <f ca="1">TblConstr[[#This Row],[Tot Farm]]*farm_food + TblConstr[[#This Row],[Tot Doc]]*dock_food</f>
        <v>2400</v>
      </c>
      <c r="AC16" s="94">
        <f ca="1">TblConstr[[#This Row],[Tot Ly]]*ly_lumber + TblConstr[[#This Row],[Tot Hav]]*fh_lumber + IF(race="Wood Elf",TblMili[[#This Row],[Unit 2]]*MIN(TblMili[[#This Row],[Homeland%]]/wisp_bonus,wisp_cap),0)</f>
        <v>1000</v>
      </c>
      <c r="AD16" s="94">
        <f ca="1">OFFSET(TblConstr[[#This Row],[Tot Tow]],1,0)*(tower_mana + tech_4_5*TblTech[[#This Row],[4-5]]) + OFFSET(TblConstr[[#This Row],[Tot WG]],1,0)*wg_mana_prod</f>
        <v>0</v>
      </c>
      <c r="AE16" s="94">
        <f ca="1">OFFSET(TblConstr[[#This Row],[Tot OM]],1,0)*om_ore+IF(race="Dwarf",TblMili[[#This Row],[Unit 2]]*0.5,0)</f>
        <v>0</v>
      </c>
      <c r="AF16" s="94">
        <f ca="1">OFFSET(TblConstr[[#This Row],[Tot DM]],1,0)*dm_gems</f>
        <v>0</v>
      </c>
      <c r="AG16" s="142"/>
      <c r="AH16" s="156">
        <f ca="1">MIN(race_platinum_bonus + IF(TblMagic[[#This Row],[Active Arc Infusion]]&gt;0,alch_frost_bonus,IF(Magic!AE16&gt;0,midas_bonus)) + TblImps[[#This Row],[Science]] - TblProd[[#This Row],[Guard]]*(0.02 + tech_5_7*TblTech[[#This Row],[5-7]]) + tech_1_5*TblTech[[#This Row],[1-5]] + tech_4_4*TblTech[[#This Row],[4-4]] + IF(TblMagic[[#This Row],[Active Infernal Command]]&gt;0,demonic_pact_plat,0), 0.5)</f>
        <v>0</v>
      </c>
      <c r="AI1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6" s="156">
        <f ca="1">race_lumber_bonus+ IF(TblMagic[[#This Row],[Active Gaia''s Blessing]]&gt;0,gaias_blessing_lumber)+ tech_1_3*TblTech[[#This Row],[1-3]] + tech_1_6*TblTech[[#This Row],[1-6]] + tech_3_3*TblTech[[#This Row],[3-3]]</f>
        <v>0</v>
      </c>
      <c r="AK16" s="156">
        <f ca="1">race_mana_bonus+ 0 + TblImps[[#This Row],[Spires]] + tech_1_2*TblTech[[#This Row],[1-2]] + tech_3_4*TblTech[[#This Row],[3-4]]</f>
        <v>0</v>
      </c>
      <c r="AL16" s="156">
        <f ca="1">race_ore_bonus + IF(TblMagic[[#This Row],[Active Miner''s Sight]]&gt;0,miners_sight_bonus,IF(TblMagic[[#This Row],[Active Mining Strength]]&gt;0,mining_strength_bonus)) +  tech_1_6*TblTech[[#This Row],[1-6]]</f>
        <v>0</v>
      </c>
      <c r="AM16" s="156">
        <f>race_gem_bonus+ tech_3_2*TblTech[[#This Row],[3-2]] + tech_4_3*TblTech[[#This Row],[4-3]] + tech_6_2*TblTech[[#This Row],[6-2]]</f>
        <v>0</v>
      </c>
      <c r="AN16" s="142"/>
      <c r="AO16" s="94">
        <f ca="1">TblProd[[#This Row],[Food]]*food_decay * (1 + tech_2_1*TblTech[[#This Row],[2-1]] + tech_2_8*TblTech[[#This Row],[2-8]] + IF(AND(TblMagic[[#This Row],[Active DnD]]&lt;12,TblMagic[[#This Row],[Active DnD]]&gt;5),1,0))</f>
        <v>404.25</v>
      </c>
      <c r="AP16" s="94">
        <f ca="1">(1+race_food_consumption)*TblPop[[#This Row],[Total]]*food_per_person*(1+tech_1_10*TblTech[[#This Row],[1-10]]+tech_7_5*TblTech[[#This Row],[7-5]] + IF(TblMagic[[#This Row],[Active Infernal Command]]&gt;0,demonic_pact_food_cons,0))</f>
        <v>192.25</v>
      </c>
      <c r="AQ16" s="94">
        <f ca="1">TblProd[[#This Row],[Lumber]]*lumber_rot * (1 + tech_2_1*TblTech[[#This Row],[2-1]] + tech_2_8*TblTech[[#This Row],[2-8]] + tech_5_2*TblTech[[#This Row],[5-2]] + IF(AND(TblMagic[[#This Row],[Active DnD]]&lt;12,TblMagic[[#This Row],[Active DnD]]&gt;5),1,0))</f>
        <v>246.57</v>
      </c>
      <c r="AR16" s="94">
        <f ca="1">TblProd[[#This Row],[Mana]]*mana_drain * (1 + tech_2_1*TblTech[[#This Row],[2-1]] + tech_2_8*TblTech[[#This Row],[2-8]])</f>
        <v>0</v>
      </c>
      <c r="AS16" s="154"/>
      <c r="AT16" s="94">
        <f ca="1">TblExplore[[#This Row],[Platinum (2)]]+TblConstr[[#This Row],[Total Plat Cost]]+TblMili[[#This Row],[Plat Cost]]+TblRezone[[#This Row],[Platinum cost]]+TblImps[[#This Row],[P1]]-TblProd[[#This Row],[Bank Plat]]</f>
        <v>0</v>
      </c>
      <c r="AU16" s="94">
        <f ca="1">TblConstr[[#This Row],[Total Lum Cost]]+TblImps[[#This Row],[L1]]-TblProd[[#This Row],[Bank Lumber]] + Military!$CO$25*TblMili[[#This Row],[Sec. rec. Cost]]</f>
        <v>0</v>
      </c>
      <c r="AV16" s="94">
        <f ca="1">TblMagic[[#This Row],[Mana cost]] + Military!$CO$26*TblMili[[#This Row],[Sec. rec. Cost]]</f>
        <v>0</v>
      </c>
      <c r="AW16" s="94">
        <f ca="1">Military!$CO$24*TblMili[[#This Row],[Sec. rec. Cost]]+TblImps[[#This Row],[O1]]-TblProd[[#This Row],[Bank Ore]]</f>
        <v>0</v>
      </c>
      <c r="AX16" s="94">
        <f>TblImps[[#This Row],[G1]]-TblProd[[#This Row],[Bank Gems]]</f>
        <v>0</v>
      </c>
      <c r="AY16" s="142"/>
      <c r="AZ16" s="61" t="b">
        <f ca="1">IF(TblProd[[#This Row],[Set Guard]]&lt;&gt;"",TblProd[[#This Row],[Set Guard]],OFFSET(TblProd[[#This Row],[Guard]],-1,0))</f>
        <v>0</v>
      </c>
      <c r="BA16" s="153"/>
      <c r="BB16" s="45">
        <f>TblProd[[#This Row],[Hour]]</f>
        <v>13</v>
      </c>
      <c r="BC16" s="158">
        <f>-TblProd[[#This Row],[Bank Lumber]] / 2 + -TblProd[[#This Row],[Bank Gems]] * 2 + -TblProd[[#This Row],[Bank Ore]] / 2</f>
        <v>0</v>
      </c>
      <c r="BD16" s="158"/>
      <c r="BE16" s="158"/>
      <c r="BF16" s="158"/>
      <c r="BG16" s="159">
        <f ca="1">TblProd[[#This Row],[Time]]</f>
        <v>46320.499999999971</v>
      </c>
      <c r="BH16" s="45"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94">
        <f ca="1">TblProd[[#This Row],[Platinum]]</f>
        <v>134374</v>
      </c>
      <c r="BJ16" s="94">
        <f ca="1">TblProd[[#This Row],[Food]]</f>
        <v>40425</v>
      </c>
      <c r="BK16" s="94">
        <f ca="1">TblProd[[#This Row],[Lumber]]</f>
        <v>24657</v>
      </c>
      <c r="BL16" s="94">
        <f ca="1">TblProd[[#This Row],[Mana]]</f>
        <v>0</v>
      </c>
      <c r="BM16" s="94">
        <f ca="1">TblProd[[#This Row],[Ore]]</f>
        <v>0</v>
      </c>
    </row>
    <row r="17" spans="1:65" x14ac:dyDescent="0.2">
      <c r="A17" s="137">
        <v>14</v>
      </c>
      <c r="B17" s="152">
        <f ca="1">TblImps[[#This Row],[Time]]</f>
        <v>46320.541666666635</v>
      </c>
      <c r="C17" s="153"/>
      <c r="D17" s="154"/>
      <c r="E17" s="94">
        <f ca="1">TblConstr[[#This Row],[Land]]</f>
        <v>50</v>
      </c>
      <c r="F17" s="94">
        <f ca="1">TblPop[[#This Row],[Peasants]]</f>
        <v>413</v>
      </c>
      <c r="G17" s="94">
        <f ca="1">TblMili[[#This Row],[Networth (2)]]</f>
        <v>1250</v>
      </c>
      <c r="H17" s="94">
        <f ca="1">OFFSET(TblProd[[#This Row],[Platinum]],-1,0)+OFFSET(TblProd[[#This Row],[Plat/hr]],-1,0) - TblProd[[#This Row],[Expenses Platinum]] + IF(TblProd[[#This Row],[Plat Bonus]],TblPop[[#This Row],[Peasants]]*4) + SUM(TblConstr[[#This Row],[Dest Hom]:[Dest Doc]])*TblConstr[[#This Row],[CPA Platinum -DB]]*tech_3_3_2*TblTech[[#This Row],[3-3]]</f>
        <v>135499</v>
      </c>
      <c r="I17" s="94">
        <f ca="1">OFFSET(TblProd[[#This Row],[Food]],-1,0)+OFFSET(TblProd[[#This Row],[Food/hr]],-1,0)+ROUNDUP((TblConstr[[#This Row],[Farms]]*80+TblConstr[[#This Row],[Docks]]*35)*(1+OFFSET(TblProd[[#This Row],[Bonus Food/hr]],-1,0)),0)</f>
        <v>42409</v>
      </c>
      <c r="J17" s="94">
        <f ca="1">OFFSET(TblProd[[#This Row],[Lumber]],-1,0)+OFFSET(TblProd[[#This Row],[Lumber/hr]],-1,0) - TblProd[[#This Row],[Expenses Lumber]] + SUM(TblConstr[[#This Row],[Dest Hom]:[Dest Doc]])*TblConstr[[#This Row],[CPA Lumber -DB]]*tech_3_3_2*TblTech[[#This Row],[3-3]]</f>
        <v>25410</v>
      </c>
      <c r="K17" s="94">
        <f ca="1">OFFSET(TblProd[[#This Row],[Mana]],-1,0)+OFFSET(TblProd[[#This Row],[Mana/hr]],-1,0)- TblProd[[#This Row],[Expenses Mana]]</f>
        <v>0</v>
      </c>
      <c r="L17" s="94">
        <f ca="1">OFFSET(TblProd[[#This Row],[Ore]],-1,0)+OFFSET(TblProd[[#This Row],[Ore/hr]],-1,0) -TblProd[[#This Row],[Expenses Ore]]</f>
        <v>0</v>
      </c>
      <c r="M17" s="94">
        <f ca="1">OFFSET(TblProd[[#This Row],[Gems]],-1,0)+OFFSET(TblProd[[#This Row],[Gems/hr]],-1,0) - TblProd[[#This Row],[Expenses Gems]]</f>
        <v>0</v>
      </c>
      <c r="N17" s="94">
        <f ca="1">OFFSET(TblProd[[#This Row],[Boats]],-1,0)+OFFSET(TblProd[[#This Row],[Boats/hr]],-1,0)</f>
        <v>0</v>
      </c>
      <c r="O17" s="94">
        <f ca="1">OFFSET(TblProd[[#This Row],[Prestige]],-1,0)</f>
        <v>250</v>
      </c>
      <c r="P1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7" s="94">
        <f ca="1">MAX(_xlfn.CEILING.MATH(TblProd[[#This Row],[Land]]*2.5+IFERROR(OFFSET(TblTech[[#This Row],[Sum of tech]],-1,0)*50,0)),3750)</f>
        <v>3750</v>
      </c>
      <c r="R17" s="142"/>
      <c r="S17" s="94">
        <f ca="1">ROUNDDOWN(TblProd[[#This Row],[Raw Plat/hr]]*(1+TblProd[[#This Row],[Bonus Plat/hr]]),0)</f>
        <v>1115</v>
      </c>
      <c r="T17" s="94">
        <f ca="1">ROUND(TblProd[[#This Row],[Raw Food/hr]]*(1+TblProd[[#This Row],[Bonus Food/hr]])-TblProd[[#This Row],[Food decay]]-TblProd[[#This Row],[Food eaten]],0)</f>
        <v>1964</v>
      </c>
      <c r="U17" s="94">
        <f ca="1">ROUND(TblProd[[#This Row],[Raw Lumber/hr]]*(1+TblProd[[#This Row],[Bonus Lumber/hr]])-TblProd[[#This Row],[Lumber rot]],0)</f>
        <v>746</v>
      </c>
      <c r="V17" s="94">
        <f ca="1">ROUND(TblProd[[#This Row],[Raw Mana/hr]]*(1+TblProd[[#This Row],[Bonus Mana/hr]])-TblProd[[#This Row],[Mana drain]],0)</f>
        <v>0</v>
      </c>
      <c r="W17" s="94">
        <f ca="1">ROUNDDOWN(TblProd[[#This Row],[Raw Ore/hr]]*(1+TblProd[[#This Row],[Bonux Ore/hr]]),0)</f>
        <v>0</v>
      </c>
      <c r="X17" s="94">
        <f ca="1">ROUNDDOWN(TblProd[[#This Row],[Raw Gems/hr]]*(1+TblProd[[#This Row],[Bonus Gems/hr]]),0)</f>
        <v>0</v>
      </c>
      <c r="Y17" s="155">
        <f ca="1">OFFSET(TblConstr[[#This Row],[Tot Doc]],1,0)*dock_boats_hr * (1 + tech_4_1*TblTech[[#This Row],[4-1]])</f>
        <v>0</v>
      </c>
      <c r="Z17" s="154"/>
      <c r="AA17" s="94">
        <f ca="1">TblPop[[#This Row],[Peasants]]*tax*TblPop[[#This Row],[Employment]] + (Construction!AZ18+Construction!BX18)*(alch_plat+(Magic!AN17&gt;0)*alchemist_flame_bonus)</f>
        <v>1115.1000000000001</v>
      </c>
      <c r="AB17" s="94">
        <f ca="1">TblConstr[[#This Row],[Tot Farm]]*farm_food + TblConstr[[#This Row],[Tot Doc]]*dock_food</f>
        <v>2400</v>
      </c>
      <c r="AC17" s="94">
        <f ca="1">TblConstr[[#This Row],[Tot Ly]]*ly_lumber + TblConstr[[#This Row],[Tot Hav]]*fh_lumber + IF(race="Wood Elf",TblMili[[#This Row],[Unit 2]]*MIN(TblMili[[#This Row],[Homeland%]]/wisp_bonus,wisp_cap),0)</f>
        <v>1000</v>
      </c>
      <c r="AD17" s="94">
        <f ca="1">OFFSET(TblConstr[[#This Row],[Tot Tow]],1,0)*(tower_mana + tech_4_5*TblTech[[#This Row],[4-5]]) + OFFSET(TblConstr[[#This Row],[Tot WG]],1,0)*wg_mana_prod</f>
        <v>0</v>
      </c>
      <c r="AE17" s="94">
        <f ca="1">OFFSET(TblConstr[[#This Row],[Tot OM]],1,0)*om_ore+IF(race="Dwarf",TblMili[[#This Row],[Unit 2]]*0.5,0)</f>
        <v>0</v>
      </c>
      <c r="AF17" s="94">
        <f ca="1">OFFSET(TblConstr[[#This Row],[Tot DM]],1,0)*dm_gems</f>
        <v>0</v>
      </c>
      <c r="AG17" s="142"/>
      <c r="AH17" s="156">
        <f ca="1">MIN(race_platinum_bonus + IF(TblMagic[[#This Row],[Active Arc Infusion]]&gt;0,alch_frost_bonus,IF(Magic!AE17&gt;0,midas_bonus)) + TblImps[[#This Row],[Science]] - TblProd[[#This Row],[Guard]]*(0.02 + tech_5_7*TblTech[[#This Row],[5-7]]) + tech_1_5*TblTech[[#This Row],[1-5]] + tech_4_4*TblTech[[#This Row],[4-4]] + IF(TblMagic[[#This Row],[Active Infernal Command]]&gt;0,demonic_pact_plat,0), 0.5)</f>
        <v>0</v>
      </c>
      <c r="AI1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7" s="156">
        <f ca="1">race_lumber_bonus+ IF(TblMagic[[#This Row],[Active Gaia''s Blessing]]&gt;0,gaias_blessing_lumber)+ tech_1_3*TblTech[[#This Row],[1-3]] + tech_1_6*TblTech[[#This Row],[1-6]] + tech_3_3*TblTech[[#This Row],[3-3]]</f>
        <v>0</v>
      </c>
      <c r="AK17" s="156">
        <f ca="1">race_mana_bonus+ 0 + TblImps[[#This Row],[Spires]] + tech_1_2*TblTech[[#This Row],[1-2]] + tech_3_4*TblTech[[#This Row],[3-4]]</f>
        <v>0</v>
      </c>
      <c r="AL17" s="156">
        <f ca="1">race_ore_bonus + IF(TblMagic[[#This Row],[Active Miner''s Sight]]&gt;0,miners_sight_bonus,IF(TblMagic[[#This Row],[Active Mining Strength]]&gt;0,mining_strength_bonus)) +  tech_1_6*TblTech[[#This Row],[1-6]]</f>
        <v>0</v>
      </c>
      <c r="AM17" s="156">
        <f>race_gem_bonus+ tech_3_2*TblTech[[#This Row],[3-2]] + tech_4_3*TblTech[[#This Row],[4-3]] + tech_6_2*TblTech[[#This Row],[6-2]]</f>
        <v>0</v>
      </c>
      <c r="AN17" s="142"/>
      <c r="AO17" s="94">
        <f ca="1">TblProd[[#This Row],[Food]]*food_decay * (1 + tech_2_1*TblTech[[#This Row],[2-1]] + tech_2_8*TblTech[[#This Row],[2-8]] + IF(AND(TblMagic[[#This Row],[Active DnD]]&lt;12,TblMagic[[#This Row],[Active DnD]]&gt;5),1,0))</f>
        <v>424.09000000000003</v>
      </c>
      <c r="AP17" s="94">
        <f ca="1">(1+race_food_consumption)*TblPop[[#This Row],[Total]]*food_per_person*(1+tech_1_10*TblTech[[#This Row],[1-10]]+tech_7_5*TblTech[[#This Row],[7-5]] + IF(TblMagic[[#This Row],[Active Infernal Command]]&gt;0,demonic_pact_food_cons,0))</f>
        <v>192.25</v>
      </c>
      <c r="AQ17" s="94">
        <f ca="1">TblProd[[#This Row],[Lumber]]*lumber_rot * (1 + tech_2_1*TblTech[[#This Row],[2-1]] + tech_2_8*TblTech[[#This Row],[2-8]] + tech_5_2*TblTech[[#This Row],[5-2]] + IF(AND(TblMagic[[#This Row],[Active DnD]]&lt;12,TblMagic[[#This Row],[Active DnD]]&gt;5),1,0))</f>
        <v>254.1</v>
      </c>
      <c r="AR17" s="94">
        <f ca="1">TblProd[[#This Row],[Mana]]*mana_drain * (1 + tech_2_1*TblTech[[#This Row],[2-1]] + tech_2_8*TblTech[[#This Row],[2-8]])</f>
        <v>0</v>
      </c>
      <c r="AS17" s="154"/>
      <c r="AT17" s="94">
        <f ca="1">TblExplore[[#This Row],[Platinum (2)]]+TblConstr[[#This Row],[Total Plat Cost]]+TblMili[[#This Row],[Plat Cost]]+TblRezone[[#This Row],[Platinum cost]]+TblImps[[#This Row],[P1]]-TblProd[[#This Row],[Bank Plat]]</f>
        <v>0</v>
      </c>
      <c r="AU17" s="94">
        <f ca="1">TblConstr[[#This Row],[Total Lum Cost]]+TblImps[[#This Row],[L1]]-TblProd[[#This Row],[Bank Lumber]] + Military!$CO$25*TblMili[[#This Row],[Sec. rec. Cost]]</f>
        <v>0</v>
      </c>
      <c r="AV17" s="94">
        <f ca="1">TblMagic[[#This Row],[Mana cost]] + Military!$CO$26*TblMili[[#This Row],[Sec. rec. Cost]]</f>
        <v>0</v>
      </c>
      <c r="AW17" s="94">
        <f ca="1">Military!$CO$24*TblMili[[#This Row],[Sec. rec. Cost]]+TblImps[[#This Row],[O1]]-TblProd[[#This Row],[Bank Ore]]</f>
        <v>0</v>
      </c>
      <c r="AX17" s="94">
        <f>TblImps[[#This Row],[G1]]-TblProd[[#This Row],[Bank Gems]]</f>
        <v>0</v>
      </c>
      <c r="AY17" s="142"/>
      <c r="AZ17" s="61" t="b">
        <f ca="1">IF(TblProd[[#This Row],[Set Guard]]&lt;&gt;"",TblProd[[#This Row],[Set Guard]],OFFSET(TblProd[[#This Row],[Guard]],-1,0))</f>
        <v>0</v>
      </c>
      <c r="BA17" s="153"/>
      <c r="BB17" s="45">
        <f>TblProd[[#This Row],[Hour]]</f>
        <v>14</v>
      </c>
      <c r="BC17" s="158">
        <f>-TblProd[[#This Row],[Bank Lumber]] / 2 + -TblProd[[#This Row],[Bank Gems]] * 2 + -TblProd[[#This Row],[Bank Ore]] / 2</f>
        <v>0</v>
      </c>
      <c r="BD17" s="158"/>
      <c r="BE17" s="158"/>
      <c r="BF17" s="158"/>
      <c r="BG17" s="159">
        <f ca="1">TblProd[[#This Row],[Time]]</f>
        <v>46320.541666666635</v>
      </c>
      <c r="BH17" s="45"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94">
        <f ca="1">TblProd[[#This Row],[Platinum]]</f>
        <v>135499</v>
      </c>
      <c r="BJ17" s="94">
        <f ca="1">TblProd[[#This Row],[Food]]</f>
        <v>42409</v>
      </c>
      <c r="BK17" s="94">
        <f ca="1">TblProd[[#This Row],[Lumber]]</f>
        <v>25410</v>
      </c>
      <c r="BL17" s="94">
        <f ca="1">TblProd[[#This Row],[Mana]]</f>
        <v>0</v>
      </c>
      <c r="BM17" s="94">
        <f ca="1">TblProd[[#This Row],[Ore]]</f>
        <v>0</v>
      </c>
    </row>
    <row r="18" spans="1:65" x14ac:dyDescent="0.2">
      <c r="A18" s="137">
        <v>15</v>
      </c>
      <c r="B18" s="152">
        <f ca="1">TblImps[[#This Row],[Time]]</f>
        <v>46320.583333333299</v>
      </c>
      <c r="C18" s="153"/>
      <c r="D18" s="154"/>
      <c r="E18" s="94">
        <f ca="1">TblConstr[[#This Row],[Land]]</f>
        <v>50</v>
      </c>
      <c r="F18" s="94">
        <f ca="1">TblPop[[#This Row],[Peasants]]</f>
        <v>409</v>
      </c>
      <c r="G18" s="94">
        <f ca="1">TblMili[[#This Row],[Networth (2)]]</f>
        <v>1250</v>
      </c>
      <c r="H18" s="94">
        <f ca="1">OFFSET(TblProd[[#This Row],[Platinum]],-1,0)+OFFSET(TblProd[[#This Row],[Plat/hr]],-1,0) - TblProd[[#This Row],[Expenses Platinum]] + IF(TblProd[[#This Row],[Plat Bonus]],TblPop[[#This Row],[Peasants]]*4) + SUM(TblConstr[[#This Row],[Dest Hom]:[Dest Doc]])*TblConstr[[#This Row],[CPA Platinum -DB]]*tech_3_3_2*TblTech[[#This Row],[3-3]]</f>
        <v>136614</v>
      </c>
      <c r="I18" s="94">
        <f ca="1">OFFSET(TblProd[[#This Row],[Food]],-1,0)+OFFSET(TblProd[[#This Row],[Food/hr]],-1,0)+ROUNDUP((TblConstr[[#This Row],[Farms]]*80+TblConstr[[#This Row],[Docks]]*35)*(1+OFFSET(TblProd[[#This Row],[Bonus Food/hr]],-1,0)),0)</f>
        <v>44373</v>
      </c>
      <c r="J18" s="94">
        <f ca="1">OFFSET(TblProd[[#This Row],[Lumber]],-1,0)+OFFSET(TblProd[[#This Row],[Lumber/hr]],-1,0) - TblProd[[#This Row],[Expenses Lumber]] + SUM(TblConstr[[#This Row],[Dest Hom]:[Dest Doc]])*TblConstr[[#This Row],[CPA Lumber -DB]]*tech_3_3_2*TblTech[[#This Row],[3-3]]</f>
        <v>26156</v>
      </c>
      <c r="K18" s="94">
        <f ca="1">OFFSET(TblProd[[#This Row],[Mana]],-1,0)+OFFSET(TblProd[[#This Row],[Mana/hr]],-1,0)- TblProd[[#This Row],[Expenses Mana]]</f>
        <v>0</v>
      </c>
      <c r="L18" s="94">
        <f ca="1">OFFSET(TblProd[[#This Row],[Ore]],-1,0)+OFFSET(TblProd[[#This Row],[Ore/hr]],-1,0) -TblProd[[#This Row],[Expenses Ore]]</f>
        <v>0</v>
      </c>
      <c r="M18" s="94">
        <f ca="1">OFFSET(TblProd[[#This Row],[Gems]],-1,0)+OFFSET(TblProd[[#This Row],[Gems/hr]],-1,0) - TblProd[[#This Row],[Expenses Gems]]</f>
        <v>0</v>
      </c>
      <c r="N18" s="94">
        <f ca="1">OFFSET(TblProd[[#This Row],[Boats]],-1,0)+OFFSET(TblProd[[#This Row],[Boats/hr]],-1,0)</f>
        <v>0</v>
      </c>
      <c r="O18" s="94">
        <f ca="1">OFFSET(TblProd[[#This Row],[Prestige]],-1,0)</f>
        <v>250</v>
      </c>
      <c r="P1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8" s="94">
        <f ca="1">MAX(_xlfn.CEILING.MATH(TblProd[[#This Row],[Land]]*2.5+IFERROR(OFFSET(TblTech[[#This Row],[Sum of tech]],-1,0)*50,0)),3750)</f>
        <v>3750</v>
      </c>
      <c r="R18" s="142"/>
      <c r="S18" s="94">
        <f ca="1">ROUNDDOWN(TblProd[[#This Row],[Raw Plat/hr]]*(1+TblProd[[#This Row],[Bonus Plat/hr]]),0)</f>
        <v>1104</v>
      </c>
      <c r="T18" s="94">
        <f ca="1">ROUND(TblProd[[#This Row],[Raw Food/hr]]*(1+TblProd[[#This Row],[Bonus Food/hr]])-TblProd[[#This Row],[Food decay]]-TblProd[[#This Row],[Food eaten]],0)</f>
        <v>1944</v>
      </c>
      <c r="U18" s="94">
        <f ca="1">ROUND(TblProd[[#This Row],[Raw Lumber/hr]]*(1+TblProd[[#This Row],[Bonus Lumber/hr]])-TblProd[[#This Row],[Lumber rot]],0)</f>
        <v>738</v>
      </c>
      <c r="V18" s="94">
        <f ca="1">ROUND(TblProd[[#This Row],[Raw Mana/hr]]*(1+TblProd[[#This Row],[Bonus Mana/hr]])-TblProd[[#This Row],[Mana drain]],0)</f>
        <v>0</v>
      </c>
      <c r="W18" s="94">
        <f ca="1">ROUNDDOWN(TblProd[[#This Row],[Raw Ore/hr]]*(1+TblProd[[#This Row],[Bonux Ore/hr]]),0)</f>
        <v>0</v>
      </c>
      <c r="X18" s="94">
        <f ca="1">ROUNDDOWN(TblProd[[#This Row],[Raw Gems/hr]]*(1+TblProd[[#This Row],[Bonus Gems/hr]]),0)</f>
        <v>0</v>
      </c>
      <c r="Y18" s="155">
        <f ca="1">OFFSET(TblConstr[[#This Row],[Tot Doc]],1,0)*dock_boats_hr * (1 + tech_4_1*TblTech[[#This Row],[4-1]])</f>
        <v>0</v>
      </c>
      <c r="Z18" s="154"/>
      <c r="AA18" s="94">
        <f ca="1">TblPop[[#This Row],[Peasants]]*tax*TblPop[[#This Row],[Employment]] + (Construction!AZ19+Construction!BX19)*(alch_plat+(Magic!AN18&gt;0)*alchemist_flame_bonus)</f>
        <v>1104.3000000000002</v>
      </c>
      <c r="AB18" s="94">
        <f ca="1">TblConstr[[#This Row],[Tot Farm]]*farm_food + TblConstr[[#This Row],[Tot Doc]]*dock_food</f>
        <v>2400</v>
      </c>
      <c r="AC18" s="94">
        <f ca="1">TblConstr[[#This Row],[Tot Ly]]*ly_lumber + TblConstr[[#This Row],[Tot Hav]]*fh_lumber + IF(race="Wood Elf",TblMili[[#This Row],[Unit 2]]*MIN(TblMili[[#This Row],[Homeland%]]/wisp_bonus,wisp_cap),0)</f>
        <v>1000</v>
      </c>
      <c r="AD18" s="94">
        <f ca="1">OFFSET(TblConstr[[#This Row],[Tot Tow]],1,0)*(tower_mana + tech_4_5*TblTech[[#This Row],[4-5]]) + OFFSET(TblConstr[[#This Row],[Tot WG]],1,0)*wg_mana_prod</f>
        <v>0</v>
      </c>
      <c r="AE18" s="94">
        <f ca="1">OFFSET(TblConstr[[#This Row],[Tot OM]],1,0)*om_ore+IF(race="Dwarf",TblMili[[#This Row],[Unit 2]]*0.5,0)</f>
        <v>0</v>
      </c>
      <c r="AF18" s="94">
        <f ca="1">OFFSET(TblConstr[[#This Row],[Tot DM]],1,0)*dm_gems</f>
        <v>0</v>
      </c>
      <c r="AG18" s="142"/>
      <c r="AH18" s="156">
        <f ca="1">MIN(race_platinum_bonus + IF(TblMagic[[#This Row],[Active Arc Infusion]]&gt;0,alch_frost_bonus,IF(Magic!AE18&gt;0,midas_bonus)) + TblImps[[#This Row],[Science]] - TblProd[[#This Row],[Guard]]*(0.02 + tech_5_7*TblTech[[#This Row],[5-7]]) + tech_1_5*TblTech[[#This Row],[1-5]] + tech_4_4*TblTech[[#This Row],[4-4]] + IF(TblMagic[[#This Row],[Active Infernal Command]]&gt;0,demonic_pact_plat,0), 0.5)</f>
        <v>0</v>
      </c>
      <c r="AI1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8" s="156">
        <f ca="1">race_lumber_bonus+ IF(TblMagic[[#This Row],[Active Gaia''s Blessing]]&gt;0,gaias_blessing_lumber)+ tech_1_3*TblTech[[#This Row],[1-3]] + tech_1_6*TblTech[[#This Row],[1-6]] + tech_3_3*TblTech[[#This Row],[3-3]]</f>
        <v>0</v>
      </c>
      <c r="AK18" s="156">
        <f ca="1">race_mana_bonus+ 0 + TblImps[[#This Row],[Spires]] + tech_1_2*TblTech[[#This Row],[1-2]] + tech_3_4*TblTech[[#This Row],[3-4]]</f>
        <v>0</v>
      </c>
      <c r="AL18" s="156">
        <f ca="1">race_ore_bonus + IF(TblMagic[[#This Row],[Active Miner''s Sight]]&gt;0,miners_sight_bonus,IF(TblMagic[[#This Row],[Active Mining Strength]]&gt;0,mining_strength_bonus)) +  tech_1_6*TblTech[[#This Row],[1-6]]</f>
        <v>0</v>
      </c>
      <c r="AM18" s="156">
        <f>race_gem_bonus+ tech_3_2*TblTech[[#This Row],[3-2]] + tech_4_3*TblTech[[#This Row],[4-3]] + tech_6_2*TblTech[[#This Row],[6-2]]</f>
        <v>0</v>
      </c>
      <c r="AN18" s="142"/>
      <c r="AO18" s="94">
        <f ca="1">TblProd[[#This Row],[Food]]*food_decay * (1 + tech_2_1*TblTech[[#This Row],[2-1]] + tech_2_8*TblTech[[#This Row],[2-8]] + IF(AND(TblMagic[[#This Row],[Active DnD]]&lt;12,TblMagic[[#This Row],[Active DnD]]&gt;5),1,0))</f>
        <v>443.73</v>
      </c>
      <c r="AP18" s="94">
        <f ca="1">(1+race_food_consumption)*TblPop[[#This Row],[Total]]*food_per_person*(1+tech_1_10*TblTech[[#This Row],[1-10]]+tech_7_5*TblTech[[#This Row],[7-5]] + IF(TblMagic[[#This Row],[Active Infernal Command]]&gt;0,demonic_pact_food_cons,0))</f>
        <v>192.25</v>
      </c>
      <c r="AQ18" s="94">
        <f ca="1">TblProd[[#This Row],[Lumber]]*lumber_rot * (1 + tech_2_1*TblTech[[#This Row],[2-1]] + tech_2_8*TblTech[[#This Row],[2-8]] + tech_5_2*TblTech[[#This Row],[5-2]] + IF(AND(TblMagic[[#This Row],[Active DnD]]&lt;12,TblMagic[[#This Row],[Active DnD]]&gt;5),1,0))</f>
        <v>261.56</v>
      </c>
      <c r="AR18" s="94">
        <f ca="1">TblProd[[#This Row],[Mana]]*mana_drain * (1 + tech_2_1*TblTech[[#This Row],[2-1]] + tech_2_8*TblTech[[#This Row],[2-8]])</f>
        <v>0</v>
      </c>
      <c r="AS18" s="154"/>
      <c r="AT18" s="94">
        <f ca="1">TblExplore[[#This Row],[Platinum (2)]]+TblConstr[[#This Row],[Total Plat Cost]]+TblMili[[#This Row],[Plat Cost]]+TblRezone[[#This Row],[Platinum cost]]+TblImps[[#This Row],[P1]]-TblProd[[#This Row],[Bank Plat]]</f>
        <v>0</v>
      </c>
      <c r="AU18" s="94">
        <f ca="1">TblConstr[[#This Row],[Total Lum Cost]]+TblImps[[#This Row],[L1]]-TblProd[[#This Row],[Bank Lumber]] + Military!$CO$25*TblMili[[#This Row],[Sec. rec. Cost]]</f>
        <v>0</v>
      </c>
      <c r="AV18" s="94">
        <f ca="1">TblMagic[[#This Row],[Mana cost]] + Military!$CO$26*TblMili[[#This Row],[Sec. rec. Cost]]</f>
        <v>0</v>
      </c>
      <c r="AW18" s="94">
        <f ca="1">Military!$CO$24*TblMili[[#This Row],[Sec. rec. Cost]]+TblImps[[#This Row],[O1]]-TblProd[[#This Row],[Bank Ore]]</f>
        <v>0</v>
      </c>
      <c r="AX18" s="94">
        <f>TblImps[[#This Row],[G1]]-TblProd[[#This Row],[Bank Gems]]</f>
        <v>0</v>
      </c>
      <c r="AY18" s="142"/>
      <c r="AZ18" s="61" t="b">
        <f ca="1">IF(TblProd[[#This Row],[Set Guard]]&lt;&gt;"",TblProd[[#This Row],[Set Guard]],OFFSET(TblProd[[#This Row],[Guard]],-1,0))</f>
        <v>0</v>
      </c>
      <c r="BA18" s="153"/>
      <c r="BB18" s="45">
        <f>TblProd[[#This Row],[Hour]]</f>
        <v>15</v>
      </c>
      <c r="BC18" s="158">
        <f>-TblProd[[#This Row],[Bank Lumber]] / 2 + -TblProd[[#This Row],[Bank Gems]] * 2 + -TblProd[[#This Row],[Bank Ore]] / 2</f>
        <v>0</v>
      </c>
      <c r="BD18" s="158"/>
      <c r="BE18" s="158"/>
      <c r="BF18" s="158"/>
      <c r="BG18" s="159">
        <f ca="1">TblProd[[#This Row],[Time]]</f>
        <v>46320.583333333299</v>
      </c>
      <c r="BH18" s="45"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94">
        <f ca="1">TblProd[[#This Row],[Platinum]]</f>
        <v>136614</v>
      </c>
      <c r="BJ18" s="94">
        <f ca="1">TblProd[[#This Row],[Food]]</f>
        <v>44373</v>
      </c>
      <c r="BK18" s="94">
        <f ca="1">TblProd[[#This Row],[Lumber]]</f>
        <v>26156</v>
      </c>
      <c r="BL18" s="94">
        <f ca="1">TblProd[[#This Row],[Mana]]</f>
        <v>0</v>
      </c>
      <c r="BM18" s="94">
        <f ca="1">TblProd[[#This Row],[Ore]]</f>
        <v>0</v>
      </c>
    </row>
    <row r="19" spans="1:65" x14ac:dyDescent="0.2">
      <c r="A19" s="137">
        <v>16</v>
      </c>
      <c r="B19" s="152">
        <f ca="1">TblImps[[#This Row],[Time]]</f>
        <v>46320.624999999964</v>
      </c>
      <c r="C19" s="153"/>
      <c r="D19" s="154"/>
      <c r="E19" s="94">
        <f ca="1">TblConstr[[#This Row],[Land]]</f>
        <v>50</v>
      </c>
      <c r="F19" s="94">
        <f ca="1">TblPop[[#This Row],[Peasants]]</f>
        <v>405</v>
      </c>
      <c r="G19" s="94">
        <f ca="1">TblMili[[#This Row],[Networth (2)]]</f>
        <v>1250</v>
      </c>
      <c r="H19" s="94">
        <f ca="1">OFFSET(TblProd[[#This Row],[Platinum]],-1,0)+OFFSET(TblProd[[#This Row],[Plat/hr]],-1,0) - TblProd[[#This Row],[Expenses Platinum]] + IF(TblProd[[#This Row],[Plat Bonus]],TblPop[[#This Row],[Peasants]]*4) + SUM(TblConstr[[#This Row],[Dest Hom]:[Dest Doc]])*TblConstr[[#This Row],[CPA Platinum -DB]]*tech_3_3_2*TblTech[[#This Row],[3-3]]</f>
        <v>137718</v>
      </c>
      <c r="I19" s="94">
        <f ca="1">OFFSET(TblProd[[#This Row],[Food]],-1,0)+OFFSET(TblProd[[#This Row],[Food/hr]],-1,0)+ROUNDUP((TblConstr[[#This Row],[Farms]]*80+TblConstr[[#This Row],[Docks]]*35)*(1+OFFSET(TblProd[[#This Row],[Bonus Food/hr]],-1,0)),0)</f>
        <v>46317</v>
      </c>
      <c r="J19" s="94">
        <f ca="1">OFFSET(TblProd[[#This Row],[Lumber]],-1,0)+OFFSET(TblProd[[#This Row],[Lumber/hr]],-1,0) - TblProd[[#This Row],[Expenses Lumber]] + SUM(TblConstr[[#This Row],[Dest Hom]:[Dest Doc]])*TblConstr[[#This Row],[CPA Lumber -DB]]*tech_3_3_2*TblTech[[#This Row],[3-3]]</f>
        <v>26894</v>
      </c>
      <c r="K19" s="94">
        <f ca="1">OFFSET(TblProd[[#This Row],[Mana]],-1,0)+OFFSET(TblProd[[#This Row],[Mana/hr]],-1,0)- TblProd[[#This Row],[Expenses Mana]]</f>
        <v>0</v>
      </c>
      <c r="L19" s="94">
        <f ca="1">OFFSET(TblProd[[#This Row],[Ore]],-1,0)+OFFSET(TblProd[[#This Row],[Ore/hr]],-1,0) -TblProd[[#This Row],[Expenses Ore]]</f>
        <v>0</v>
      </c>
      <c r="M19" s="94">
        <f ca="1">OFFSET(TblProd[[#This Row],[Gems]],-1,0)+OFFSET(TblProd[[#This Row],[Gems/hr]],-1,0) - TblProd[[#This Row],[Expenses Gems]]</f>
        <v>0</v>
      </c>
      <c r="N19" s="94">
        <f ca="1">OFFSET(TblProd[[#This Row],[Boats]],-1,0)+OFFSET(TblProd[[#This Row],[Boats/hr]],-1,0)</f>
        <v>0</v>
      </c>
      <c r="O19" s="94">
        <f ca="1">OFFSET(TblProd[[#This Row],[Prestige]],-1,0)</f>
        <v>250</v>
      </c>
      <c r="P1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9" s="94">
        <f ca="1">MAX(_xlfn.CEILING.MATH(TblProd[[#This Row],[Land]]*2.5+IFERROR(OFFSET(TblTech[[#This Row],[Sum of tech]],-1,0)*50,0)),3750)</f>
        <v>3750</v>
      </c>
      <c r="R19" s="142"/>
      <c r="S19" s="94">
        <f ca="1">ROUNDDOWN(TblProd[[#This Row],[Raw Plat/hr]]*(1+TblProd[[#This Row],[Bonus Plat/hr]]),0)</f>
        <v>1093</v>
      </c>
      <c r="T19" s="94">
        <f ca="1">ROUND(TblProd[[#This Row],[Raw Food/hr]]*(1+TblProd[[#This Row],[Bonus Food/hr]])-TblProd[[#This Row],[Food decay]]-TblProd[[#This Row],[Food eaten]],0)</f>
        <v>1925</v>
      </c>
      <c r="U19" s="94">
        <f ca="1">ROUND(TblProd[[#This Row],[Raw Lumber/hr]]*(1+TblProd[[#This Row],[Bonus Lumber/hr]])-TblProd[[#This Row],[Lumber rot]],0)</f>
        <v>731</v>
      </c>
      <c r="V19" s="94">
        <f ca="1">ROUND(TblProd[[#This Row],[Raw Mana/hr]]*(1+TblProd[[#This Row],[Bonus Mana/hr]])-TblProd[[#This Row],[Mana drain]],0)</f>
        <v>0</v>
      </c>
      <c r="W19" s="94">
        <f ca="1">ROUNDDOWN(TblProd[[#This Row],[Raw Ore/hr]]*(1+TblProd[[#This Row],[Bonux Ore/hr]]),0)</f>
        <v>0</v>
      </c>
      <c r="X19" s="94">
        <f ca="1">ROUNDDOWN(TblProd[[#This Row],[Raw Gems/hr]]*(1+TblProd[[#This Row],[Bonus Gems/hr]]),0)</f>
        <v>0</v>
      </c>
      <c r="Y19" s="155">
        <f ca="1">OFFSET(TblConstr[[#This Row],[Tot Doc]],1,0)*dock_boats_hr * (1 + tech_4_1*TblTech[[#This Row],[4-1]])</f>
        <v>0</v>
      </c>
      <c r="Z19" s="154"/>
      <c r="AA19" s="94">
        <f ca="1">TblPop[[#This Row],[Peasants]]*tax*TblPop[[#This Row],[Employment]] + (Construction!AZ20+Construction!BX20)*(alch_plat+(Magic!AN19&gt;0)*alchemist_flame_bonus)</f>
        <v>1093.5</v>
      </c>
      <c r="AB19" s="94">
        <f ca="1">TblConstr[[#This Row],[Tot Farm]]*farm_food + TblConstr[[#This Row],[Tot Doc]]*dock_food</f>
        <v>2400</v>
      </c>
      <c r="AC19" s="94">
        <f ca="1">TblConstr[[#This Row],[Tot Ly]]*ly_lumber + TblConstr[[#This Row],[Tot Hav]]*fh_lumber + IF(race="Wood Elf",TblMili[[#This Row],[Unit 2]]*MIN(TblMili[[#This Row],[Homeland%]]/wisp_bonus,wisp_cap),0)</f>
        <v>1000</v>
      </c>
      <c r="AD19" s="94">
        <f ca="1">OFFSET(TblConstr[[#This Row],[Tot Tow]],1,0)*(tower_mana + tech_4_5*TblTech[[#This Row],[4-5]]) + OFFSET(TblConstr[[#This Row],[Tot WG]],1,0)*wg_mana_prod</f>
        <v>0</v>
      </c>
      <c r="AE19" s="94">
        <f ca="1">OFFSET(TblConstr[[#This Row],[Tot OM]],1,0)*om_ore+IF(race="Dwarf",TblMili[[#This Row],[Unit 2]]*0.5,0)</f>
        <v>0</v>
      </c>
      <c r="AF19" s="94">
        <f ca="1">OFFSET(TblConstr[[#This Row],[Tot DM]],1,0)*dm_gems</f>
        <v>0</v>
      </c>
      <c r="AG19" s="142"/>
      <c r="AH19" s="156">
        <f ca="1">MIN(race_platinum_bonus + IF(TblMagic[[#This Row],[Active Arc Infusion]]&gt;0,alch_frost_bonus,IF(Magic!AE19&gt;0,midas_bonus)) + TblImps[[#This Row],[Science]] - TblProd[[#This Row],[Guard]]*(0.02 + tech_5_7*TblTech[[#This Row],[5-7]]) + tech_1_5*TblTech[[#This Row],[1-5]] + tech_4_4*TblTech[[#This Row],[4-4]] + IF(TblMagic[[#This Row],[Active Infernal Command]]&gt;0,demonic_pact_plat,0), 0.5)</f>
        <v>0</v>
      </c>
      <c r="AI1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9" s="156">
        <f ca="1">race_lumber_bonus+ IF(TblMagic[[#This Row],[Active Gaia''s Blessing]]&gt;0,gaias_blessing_lumber)+ tech_1_3*TblTech[[#This Row],[1-3]] + tech_1_6*TblTech[[#This Row],[1-6]] + tech_3_3*TblTech[[#This Row],[3-3]]</f>
        <v>0</v>
      </c>
      <c r="AK19" s="156">
        <f ca="1">race_mana_bonus+ 0 + TblImps[[#This Row],[Spires]] + tech_1_2*TblTech[[#This Row],[1-2]] + tech_3_4*TblTech[[#This Row],[3-4]]</f>
        <v>0</v>
      </c>
      <c r="AL19" s="156">
        <f ca="1">race_ore_bonus + IF(TblMagic[[#This Row],[Active Miner''s Sight]]&gt;0,miners_sight_bonus,IF(TblMagic[[#This Row],[Active Mining Strength]]&gt;0,mining_strength_bonus)) +  tech_1_6*TblTech[[#This Row],[1-6]]</f>
        <v>0</v>
      </c>
      <c r="AM19" s="156">
        <f>race_gem_bonus+ tech_3_2*TblTech[[#This Row],[3-2]] + tech_4_3*TblTech[[#This Row],[4-3]] + tech_6_2*TblTech[[#This Row],[6-2]]</f>
        <v>0</v>
      </c>
      <c r="AN19" s="142"/>
      <c r="AO19" s="94">
        <f ca="1">TblProd[[#This Row],[Food]]*food_decay * (1 + tech_2_1*TblTech[[#This Row],[2-1]] + tech_2_8*TblTech[[#This Row],[2-8]] + IF(AND(TblMagic[[#This Row],[Active DnD]]&lt;12,TblMagic[[#This Row],[Active DnD]]&gt;5),1,0))</f>
        <v>463.17</v>
      </c>
      <c r="AP19" s="94">
        <f ca="1">(1+race_food_consumption)*TblPop[[#This Row],[Total]]*food_per_person*(1+tech_1_10*TblTech[[#This Row],[1-10]]+tech_7_5*TblTech[[#This Row],[7-5]] + IF(TblMagic[[#This Row],[Active Infernal Command]]&gt;0,demonic_pact_food_cons,0))</f>
        <v>192.25</v>
      </c>
      <c r="AQ19" s="94">
        <f ca="1">TblProd[[#This Row],[Lumber]]*lumber_rot * (1 + tech_2_1*TblTech[[#This Row],[2-1]] + tech_2_8*TblTech[[#This Row],[2-8]] + tech_5_2*TblTech[[#This Row],[5-2]] + IF(AND(TblMagic[[#This Row],[Active DnD]]&lt;12,TblMagic[[#This Row],[Active DnD]]&gt;5),1,0))</f>
        <v>268.94</v>
      </c>
      <c r="AR19" s="94">
        <f ca="1">TblProd[[#This Row],[Mana]]*mana_drain * (1 + tech_2_1*TblTech[[#This Row],[2-1]] + tech_2_8*TblTech[[#This Row],[2-8]])</f>
        <v>0</v>
      </c>
      <c r="AS19" s="154"/>
      <c r="AT19" s="94">
        <f ca="1">TblExplore[[#This Row],[Platinum (2)]]+TblConstr[[#This Row],[Total Plat Cost]]+TblMili[[#This Row],[Plat Cost]]+TblRezone[[#This Row],[Platinum cost]]+TblImps[[#This Row],[P1]]-TblProd[[#This Row],[Bank Plat]]</f>
        <v>0</v>
      </c>
      <c r="AU19" s="94">
        <f ca="1">TblConstr[[#This Row],[Total Lum Cost]]+TblImps[[#This Row],[L1]]-TblProd[[#This Row],[Bank Lumber]] + Military!$CO$25*TblMili[[#This Row],[Sec. rec. Cost]]</f>
        <v>0</v>
      </c>
      <c r="AV19" s="94">
        <f ca="1">TblMagic[[#This Row],[Mana cost]] + Military!$CO$26*TblMili[[#This Row],[Sec. rec. Cost]]</f>
        <v>0</v>
      </c>
      <c r="AW19" s="94">
        <f ca="1">Military!$CO$24*TblMili[[#This Row],[Sec. rec. Cost]]+TblImps[[#This Row],[O1]]-TblProd[[#This Row],[Bank Ore]]</f>
        <v>0</v>
      </c>
      <c r="AX19" s="94">
        <f>TblImps[[#This Row],[G1]]-TblProd[[#This Row],[Bank Gems]]</f>
        <v>0</v>
      </c>
      <c r="AY19" s="142"/>
      <c r="AZ19" s="61" t="b">
        <f ca="1">IF(TblProd[[#This Row],[Set Guard]]&lt;&gt;"",TblProd[[#This Row],[Set Guard]],OFFSET(TblProd[[#This Row],[Guard]],-1,0))</f>
        <v>0</v>
      </c>
      <c r="BA19" s="153"/>
      <c r="BB19" s="45">
        <f>TblProd[[#This Row],[Hour]]</f>
        <v>16</v>
      </c>
      <c r="BC19" s="158">
        <f>-TblProd[[#This Row],[Bank Lumber]] / 2 + -TblProd[[#This Row],[Bank Gems]] * 2 + -TblProd[[#This Row],[Bank Ore]] / 2</f>
        <v>0</v>
      </c>
      <c r="BD19" s="158"/>
      <c r="BE19" s="158"/>
      <c r="BF19" s="158"/>
      <c r="BG19" s="159">
        <f ca="1">TblProd[[#This Row],[Time]]</f>
        <v>46320.624999999964</v>
      </c>
      <c r="BH19" s="45"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94">
        <f ca="1">TblProd[[#This Row],[Platinum]]</f>
        <v>137718</v>
      </c>
      <c r="BJ19" s="94">
        <f ca="1">TblProd[[#This Row],[Food]]</f>
        <v>46317</v>
      </c>
      <c r="BK19" s="94">
        <f ca="1">TblProd[[#This Row],[Lumber]]</f>
        <v>26894</v>
      </c>
      <c r="BL19" s="94">
        <f ca="1">TblProd[[#This Row],[Mana]]</f>
        <v>0</v>
      </c>
      <c r="BM19" s="94">
        <f ca="1">TblProd[[#This Row],[Ore]]</f>
        <v>0</v>
      </c>
    </row>
    <row r="20" spans="1:65" x14ac:dyDescent="0.2">
      <c r="A20" s="137">
        <v>17</v>
      </c>
      <c r="B20" s="152">
        <f ca="1">TblImps[[#This Row],[Time]]</f>
        <v>46320.666666666628</v>
      </c>
      <c r="C20" s="153"/>
      <c r="D20" s="154"/>
      <c r="E20" s="94">
        <f ca="1">TblConstr[[#This Row],[Land]]</f>
        <v>50</v>
      </c>
      <c r="F20" s="94">
        <f ca="1">TblPop[[#This Row],[Peasants]]</f>
        <v>401</v>
      </c>
      <c r="G20" s="94">
        <f ca="1">TblMili[[#This Row],[Networth (2)]]</f>
        <v>1250</v>
      </c>
      <c r="H20" s="94">
        <f ca="1">OFFSET(TblProd[[#This Row],[Platinum]],-1,0)+OFFSET(TblProd[[#This Row],[Plat/hr]],-1,0) - TblProd[[#This Row],[Expenses Platinum]] + IF(TblProd[[#This Row],[Plat Bonus]],TblPop[[#This Row],[Peasants]]*4) + SUM(TblConstr[[#This Row],[Dest Hom]:[Dest Doc]])*TblConstr[[#This Row],[CPA Platinum -DB]]*tech_3_3_2*TblTech[[#This Row],[3-3]]</f>
        <v>138811</v>
      </c>
      <c r="I20" s="94">
        <f ca="1">OFFSET(TblProd[[#This Row],[Food]],-1,0)+OFFSET(TblProd[[#This Row],[Food/hr]],-1,0)+ROUNDUP((TblConstr[[#This Row],[Farms]]*80+TblConstr[[#This Row],[Docks]]*35)*(1+OFFSET(TblProd[[#This Row],[Bonus Food/hr]],-1,0)),0)</f>
        <v>48242</v>
      </c>
      <c r="J20" s="94">
        <f ca="1">OFFSET(TblProd[[#This Row],[Lumber]],-1,0)+OFFSET(TblProd[[#This Row],[Lumber/hr]],-1,0) - TblProd[[#This Row],[Expenses Lumber]] + SUM(TblConstr[[#This Row],[Dest Hom]:[Dest Doc]])*TblConstr[[#This Row],[CPA Lumber -DB]]*tech_3_3_2*TblTech[[#This Row],[3-3]]</f>
        <v>27625</v>
      </c>
      <c r="K20" s="94">
        <f ca="1">OFFSET(TblProd[[#This Row],[Mana]],-1,0)+OFFSET(TblProd[[#This Row],[Mana/hr]],-1,0)- TblProd[[#This Row],[Expenses Mana]]</f>
        <v>0</v>
      </c>
      <c r="L20" s="94">
        <f ca="1">OFFSET(TblProd[[#This Row],[Ore]],-1,0)+OFFSET(TblProd[[#This Row],[Ore/hr]],-1,0) -TblProd[[#This Row],[Expenses Ore]]</f>
        <v>0</v>
      </c>
      <c r="M20" s="94">
        <f ca="1">OFFSET(TblProd[[#This Row],[Gems]],-1,0)+OFFSET(TblProd[[#This Row],[Gems/hr]],-1,0) - TblProd[[#This Row],[Expenses Gems]]</f>
        <v>0</v>
      </c>
      <c r="N20" s="94">
        <f ca="1">OFFSET(TblProd[[#This Row],[Boats]],-1,0)+OFFSET(TblProd[[#This Row],[Boats/hr]],-1,0)</f>
        <v>0</v>
      </c>
      <c r="O20" s="94">
        <f ca="1">OFFSET(TblProd[[#This Row],[Prestige]],-1,0)</f>
        <v>250</v>
      </c>
      <c r="P2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0" s="94">
        <f ca="1">MAX(_xlfn.CEILING.MATH(TblProd[[#This Row],[Land]]*2.5+IFERROR(OFFSET(TblTech[[#This Row],[Sum of tech]],-1,0)*50,0)),3750)</f>
        <v>3750</v>
      </c>
      <c r="R20" s="142"/>
      <c r="S20" s="94">
        <f ca="1">ROUNDDOWN(TblProd[[#This Row],[Raw Plat/hr]]*(1+TblProd[[#This Row],[Bonus Plat/hr]]),0)</f>
        <v>1082</v>
      </c>
      <c r="T20" s="94">
        <f ca="1">ROUND(TblProd[[#This Row],[Raw Food/hr]]*(1+TblProd[[#This Row],[Bonus Food/hr]])-TblProd[[#This Row],[Food decay]]-TblProd[[#This Row],[Food eaten]],0)</f>
        <v>1905</v>
      </c>
      <c r="U20" s="94">
        <f ca="1">ROUND(TblProd[[#This Row],[Raw Lumber/hr]]*(1+TblProd[[#This Row],[Bonus Lumber/hr]])-TblProd[[#This Row],[Lumber rot]],0)</f>
        <v>724</v>
      </c>
      <c r="V20" s="94">
        <f ca="1">ROUND(TblProd[[#This Row],[Raw Mana/hr]]*(1+TblProd[[#This Row],[Bonus Mana/hr]])-TblProd[[#This Row],[Mana drain]],0)</f>
        <v>0</v>
      </c>
      <c r="W20" s="94">
        <f ca="1">ROUNDDOWN(TblProd[[#This Row],[Raw Ore/hr]]*(1+TblProd[[#This Row],[Bonux Ore/hr]]),0)</f>
        <v>0</v>
      </c>
      <c r="X20" s="94">
        <f ca="1">ROUNDDOWN(TblProd[[#This Row],[Raw Gems/hr]]*(1+TblProd[[#This Row],[Bonus Gems/hr]]),0)</f>
        <v>0</v>
      </c>
      <c r="Y20" s="155">
        <f ca="1">OFFSET(TblConstr[[#This Row],[Tot Doc]],1,0)*dock_boats_hr * (1 + tech_4_1*TblTech[[#This Row],[4-1]])</f>
        <v>0</v>
      </c>
      <c r="Z20" s="154"/>
      <c r="AA20" s="94">
        <f ca="1">TblPop[[#This Row],[Peasants]]*tax*TblPop[[#This Row],[Employment]] + (Construction!AZ21+Construction!BX21)*(alch_plat+(Magic!AN20&gt;0)*alchemist_flame_bonus)</f>
        <v>1082.7</v>
      </c>
      <c r="AB20" s="94">
        <f ca="1">TblConstr[[#This Row],[Tot Farm]]*farm_food + TblConstr[[#This Row],[Tot Doc]]*dock_food</f>
        <v>2400</v>
      </c>
      <c r="AC20" s="94">
        <f ca="1">TblConstr[[#This Row],[Tot Ly]]*ly_lumber + TblConstr[[#This Row],[Tot Hav]]*fh_lumber + IF(race="Wood Elf",TblMili[[#This Row],[Unit 2]]*MIN(TblMili[[#This Row],[Homeland%]]/wisp_bonus,wisp_cap),0)</f>
        <v>1000</v>
      </c>
      <c r="AD20" s="94">
        <f ca="1">OFFSET(TblConstr[[#This Row],[Tot Tow]],1,0)*(tower_mana + tech_4_5*TblTech[[#This Row],[4-5]]) + OFFSET(TblConstr[[#This Row],[Tot WG]],1,0)*wg_mana_prod</f>
        <v>0</v>
      </c>
      <c r="AE20" s="94">
        <f ca="1">OFFSET(TblConstr[[#This Row],[Tot OM]],1,0)*om_ore+IF(race="Dwarf",TblMili[[#This Row],[Unit 2]]*0.5,0)</f>
        <v>0</v>
      </c>
      <c r="AF20" s="94">
        <f ca="1">OFFSET(TblConstr[[#This Row],[Tot DM]],1,0)*dm_gems</f>
        <v>0</v>
      </c>
      <c r="AG20" s="142"/>
      <c r="AH20" s="156">
        <f ca="1">MIN(race_platinum_bonus + IF(TblMagic[[#This Row],[Active Arc Infusion]]&gt;0,alch_frost_bonus,IF(Magic!AE20&gt;0,midas_bonus)) + TblImps[[#This Row],[Science]] - TblProd[[#This Row],[Guard]]*(0.02 + tech_5_7*TblTech[[#This Row],[5-7]]) + tech_1_5*TblTech[[#This Row],[1-5]] + tech_4_4*TblTech[[#This Row],[4-4]] + IF(TblMagic[[#This Row],[Active Infernal Command]]&gt;0,demonic_pact_plat,0), 0.5)</f>
        <v>0</v>
      </c>
      <c r="AI2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0" s="156">
        <f ca="1">race_lumber_bonus+ IF(TblMagic[[#This Row],[Active Gaia''s Blessing]]&gt;0,gaias_blessing_lumber)+ tech_1_3*TblTech[[#This Row],[1-3]] + tech_1_6*TblTech[[#This Row],[1-6]] + tech_3_3*TblTech[[#This Row],[3-3]]</f>
        <v>0</v>
      </c>
      <c r="AK20" s="156">
        <f ca="1">race_mana_bonus+ 0 + TblImps[[#This Row],[Spires]] + tech_1_2*TblTech[[#This Row],[1-2]] + tech_3_4*TblTech[[#This Row],[3-4]]</f>
        <v>0</v>
      </c>
      <c r="AL20" s="156">
        <f ca="1">race_ore_bonus + IF(TblMagic[[#This Row],[Active Miner''s Sight]]&gt;0,miners_sight_bonus,IF(TblMagic[[#This Row],[Active Mining Strength]]&gt;0,mining_strength_bonus)) +  tech_1_6*TblTech[[#This Row],[1-6]]</f>
        <v>0</v>
      </c>
      <c r="AM20" s="156">
        <f>race_gem_bonus+ tech_3_2*TblTech[[#This Row],[3-2]] + tech_4_3*TblTech[[#This Row],[4-3]] + tech_6_2*TblTech[[#This Row],[6-2]]</f>
        <v>0</v>
      </c>
      <c r="AN20" s="142"/>
      <c r="AO20" s="94">
        <f ca="1">TblProd[[#This Row],[Food]]*food_decay * (1 + tech_2_1*TblTech[[#This Row],[2-1]] + tech_2_8*TblTech[[#This Row],[2-8]] + IF(AND(TblMagic[[#This Row],[Active DnD]]&lt;12,TblMagic[[#This Row],[Active DnD]]&gt;5),1,0))</f>
        <v>482.42</v>
      </c>
      <c r="AP20" s="94">
        <f ca="1">(1+race_food_consumption)*TblPop[[#This Row],[Total]]*food_per_person*(1+tech_1_10*TblTech[[#This Row],[1-10]]+tech_7_5*TblTech[[#This Row],[7-5]] + IF(TblMagic[[#This Row],[Active Infernal Command]]&gt;0,demonic_pact_food_cons,0))</f>
        <v>192.25</v>
      </c>
      <c r="AQ20" s="94">
        <f ca="1">TblProd[[#This Row],[Lumber]]*lumber_rot * (1 + tech_2_1*TblTech[[#This Row],[2-1]] + tech_2_8*TblTech[[#This Row],[2-8]] + tech_5_2*TblTech[[#This Row],[5-2]] + IF(AND(TblMagic[[#This Row],[Active DnD]]&lt;12,TblMagic[[#This Row],[Active DnD]]&gt;5),1,0))</f>
        <v>276.25</v>
      </c>
      <c r="AR20" s="94">
        <f ca="1">TblProd[[#This Row],[Mana]]*mana_drain * (1 + tech_2_1*TblTech[[#This Row],[2-1]] + tech_2_8*TblTech[[#This Row],[2-8]])</f>
        <v>0</v>
      </c>
      <c r="AS20" s="154"/>
      <c r="AT20" s="94">
        <f ca="1">TblExplore[[#This Row],[Platinum (2)]]+TblConstr[[#This Row],[Total Plat Cost]]+TblMili[[#This Row],[Plat Cost]]+TblRezone[[#This Row],[Platinum cost]]+TblImps[[#This Row],[P1]]-TblProd[[#This Row],[Bank Plat]]</f>
        <v>0</v>
      </c>
      <c r="AU20" s="94">
        <f ca="1">TblConstr[[#This Row],[Total Lum Cost]]+TblImps[[#This Row],[L1]]-TblProd[[#This Row],[Bank Lumber]] + Military!$CO$25*TblMili[[#This Row],[Sec. rec. Cost]]</f>
        <v>0</v>
      </c>
      <c r="AV20" s="94">
        <f ca="1">TblMagic[[#This Row],[Mana cost]] + Military!$CO$26*TblMili[[#This Row],[Sec. rec. Cost]]</f>
        <v>0</v>
      </c>
      <c r="AW20" s="94">
        <f ca="1">Military!$CO$24*TblMili[[#This Row],[Sec. rec. Cost]]+TblImps[[#This Row],[O1]]-TblProd[[#This Row],[Bank Ore]]</f>
        <v>0</v>
      </c>
      <c r="AX20" s="94">
        <f>TblImps[[#This Row],[G1]]-TblProd[[#This Row],[Bank Gems]]</f>
        <v>0</v>
      </c>
      <c r="AY20" s="142"/>
      <c r="AZ20" s="61" t="b">
        <f ca="1">IF(TblProd[[#This Row],[Set Guard]]&lt;&gt;"",TblProd[[#This Row],[Set Guard]],OFFSET(TblProd[[#This Row],[Guard]],-1,0))</f>
        <v>0</v>
      </c>
      <c r="BA20" s="153"/>
      <c r="BB20" s="45">
        <f>TblProd[[#This Row],[Hour]]</f>
        <v>17</v>
      </c>
      <c r="BC20" s="158">
        <f>-TblProd[[#This Row],[Bank Lumber]] / 2 + -TblProd[[#This Row],[Bank Gems]] * 2 + -TblProd[[#This Row],[Bank Ore]] / 2</f>
        <v>0</v>
      </c>
      <c r="BD20" s="158"/>
      <c r="BE20" s="158"/>
      <c r="BF20" s="158"/>
      <c r="BG20" s="159">
        <f ca="1">TblProd[[#This Row],[Time]]</f>
        <v>46320.666666666628</v>
      </c>
      <c r="BH20" s="45"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94">
        <f ca="1">TblProd[[#This Row],[Platinum]]</f>
        <v>138811</v>
      </c>
      <c r="BJ20" s="94">
        <f ca="1">TblProd[[#This Row],[Food]]</f>
        <v>48242</v>
      </c>
      <c r="BK20" s="94">
        <f ca="1">TblProd[[#This Row],[Lumber]]</f>
        <v>27625</v>
      </c>
      <c r="BL20" s="94">
        <f ca="1">TblProd[[#This Row],[Mana]]</f>
        <v>0</v>
      </c>
      <c r="BM20" s="94">
        <f ca="1">TblProd[[#This Row],[Ore]]</f>
        <v>0</v>
      </c>
    </row>
    <row r="21" spans="1:65" x14ac:dyDescent="0.2">
      <c r="A21" s="137">
        <v>18</v>
      </c>
      <c r="B21" s="152">
        <f ca="1">TblImps[[#This Row],[Time]]</f>
        <v>46320.708333333292</v>
      </c>
      <c r="C21" s="153"/>
      <c r="D21" s="154"/>
      <c r="E21" s="94">
        <f ca="1">TblConstr[[#This Row],[Land]]</f>
        <v>50</v>
      </c>
      <c r="F21" s="94">
        <f ca="1">TblPop[[#This Row],[Peasants]]</f>
        <v>397</v>
      </c>
      <c r="G21" s="94">
        <f ca="1">TblMili[[#This Row],[Networth (2)]]</f>
        <v>1250</v>
      </c>
      <c r="H21" s="94">
        <f ca="1">OFFSET(TblProd[[#This Row],[Platinum]],-1,0)+OFFSET(TblProd[[#This Row],[Plat/hr]],-1,0) - TblProd[[#This Row],[Expenses Platinum]] + IF(TblProd[[#This Row],[Plat Bonus]],TblPop[[#This Row],[Peasants]]*4) + SUM(TblConstr[[#This Row],[Dest Hom]:[Dest Doc]])*TblConstr[[#This Row],[CPA Platinum -DB]]*tech_3_3_2*TblTech[[#This Row],[3-3]]</f>
        <v>139893</v>
      </c>
      <c r="I21" s="94">
        <f ca="1">OFFSET(TblProd[[#This Row],[Food]],-1,0)+OFFSET(TblProd[[#This Row],[Food/hr]],-1,0)+ROUNDUP((TblConstr[[#This Row],[Farms]]*80+TblConstr[[#This Row],[Docks]]*35)*(1+OFFSET(TblProd[[#This Row],[Bonus Food/hr]],-1,0)),0)</f>
        <v>50147</v>
      </c>
      <c r="J21" s="94">
        <f ca="1">OFFSET(TblProd[[#This Row],[Lumber]],-1,0)+OFFSET(TblProd[[#This Row],[Lumber/hr]],-1,0) - TblProd[[#This Row],[Expenses Lumber]] + SUM(TblConstr[[#This Row],[Dest Hom]:[Dest Doc]])*TblConstr[[#This Row],[CPA Lumber -DB]]*tech_3_3_2*TblTech[[#This Row],[3-3]]</f>
        <v>28349</v>
      </c>
      <c r="K21" s="94">
        <f ca="1">OFFSET(TblProd[[#This Row],[Mana]],-1,0)+OFFSET(TblProd[[#This Row],[Mana/hr]],-1,0)- TblProd[[#This Row],[Expenses Mana]]</f>
        <v>0</v>
      </c>
      <c r="L21" s="94">
        <f ca="1">OFFSET(TblProd[[#This Row],[Ore]],-1,0)+OFFSET(TblProd[[#This Row],[Ore/hr]],-1,0) -TblProd[[#This Row],[Expenses Ore]]</f>
        <v>0</v>
      </c>
      <c r="M21" s="94">
        <f ca="1">OFFSET(TblProd[[#This Row],[Gems]],-1,0)+OFFSET(TblProd[[#This Row],[Gems/hr]],-1,0) - TblProd[[#This Row],[Expenses Gems]]</f>
        <v>0</v>
      </c>
      <c r="N21" s="94">
        <f ca="1">OFFSET(TblProd[[#This Row],[Boats]],-1,0)+OFFSET(TblProd[[#This Row],[Boats/hr]],-1,0)</f>
        <v>0</v>
      </c>
      <c r="O21" s="94">
        <f ca="1">OFFSET(TblProd[[#This Row],[Prestige]],-1,0)</f>
        <v>250</v>
      </c>
      <c r="P2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1" s="94">
        <f ca="1">MAX(_xlfn.CEILING.MATH(TblProd[[#This Row],[Land]]*2.5+IFERROR(OFFSET(TblTech[[#This Row],[Sum of tech]],-1,0)*50,0)),3750)</f>
        <v>3750</v>
      </c>
      <c r="R21" s="142"/>
      <c r="S21" s="94">
        <f ca="1">ROUNDDOWN(TblProd[[#This Row],[Raw Plat/hr]]*(1+TblProd[[#This Row],[Bonus Plat/hr]]),0)</f>
        <v>1071</v>
      </c>
      <c r="T21" s="94">
        <f ca="1">ROUND(TblProd[[#This Row],[Raw Food/hr]]*(1+TblProd[[#This Row],[Bonus Food/hr]])-TblProd[[#This Row],[Food decay]]-TblProd[[#This Row],[Food eaten]],0)</f>
        <v>1886</v>
      </c>
      <c r="U21" s="94">
        <f ca="1">ROUND(TblProd[[#This Row],[Raw Lumber/hr]]*(1+TblProd[[#This Row],[Bonus Lumber/hr]])-TblProd[[#This Row],[Lumber rot]],0)</f>
        <v>717</v>
      </c>
      <c r="V21" s="94">
        <f ca="1">ROUND(TblProd[[#This Row],[Raw Mana/hr]]*(1+TblProd[[#This Row],[Bonus Mana/hr]])-TblProd[[#This Row],[Mana drain]],0)</f>
        <v>0</v>
      </c>
      <c r="W21" s="94">
        <f ca="1">ROUNDDOWN(TblProd[[#This Row],[Raw Ore/hr]]*(1+TblProd[[#This Row],[Bonux Ore/hr]]),0)</f>
        <v>0</v>
      </c>
      <c r="X21" s="94">
        <f ca="1">ROUNDDOWN(TblProd[[#This Row],[Raw Gems/hr]]*(1+TblProd[[#This Row],[Bonus Gems/hr]]),0)</f>
        <v>0</v>
      </c>
      <c r="Y21" s="155">
        <f ca="1">OFFSET(TblConstr[[#This Row],[Tot Doc]],1,0)*dock_boats_hr * (1 + tech_4_1*TblTech[[#This Row],[4-1]])</f>
        <v>0</v>
      </c>
      <c r="Z21" s="154"/>
      <c r="AA21" s="94">
        <f ca="1">TblPop[[#This Row],[Peasants]]*tax*TblPop[[#This Row],[Employment]] + (Construction!AZ22+Construction!BX22)*(alch_plat+(Magic!AN21&gt;0)*alchemist_flame_bonus)</f>
        <v>1071.9000000000001</v>
      </c>
      <c r="AB21" s="94">
        <f ca="1">TblConstr[[#This Row],[Tot Farm]]*farm_food + TblConstr[[#This Row],[Tot Doc]]*dock_food</f>
        <v>2400</v>
      </c>
      <c r="AC21" s="94">
        <f ca="1">TblConstr[[#This Row],[Tot Ly]]*ly_lumber + TblConstr[[#This Row],[Tot Hav]]*fh_lumber + IF(race="Wood Elf",TblMili[[#This Row],[Unit 2]]*MIN(TblMili[[#This Row],[Homeland%]]/wisp_bonus,wisp_cap),0)</f>
        <v>1000</v>
      </c>
      <c r="AD21" s="94">
        <f ca="1">OFFSET(TblConstr[[#This Row],[Tot Tow]],1,0)*(tower_mana + tech_4_5*TblTech[[#This Row],[4-5]]) + OFFSET(TblConstr[[#This Row],[Tot WG]],1,0)*wg_mana_prod</f>
        <v>0</v>
      </c>
      <c r="AE21" s="94">
        <f ca="1">OFFSET(TblConstr[[#This Row],[Tot OM]],1,0)*om_ore+IF(race="Dwarf",TblMili[[#This Row],[Unit 2]]*0.5,0)</f>
        <v>0</v>
      </c>
      <c r="AF21" s="94">
        <f ca="1">OFFSET(TblConstr[[#This Row],[Tot DM]],1,0)*dm_gems</f>
        <v>0</v>
      </c>
      <c r="AG21" s="142"/>
      <c r="AH21" s="156">
        <f ca="1">MIN(race_platinum_bonus + IF(TblMagic[[#This Row],[Active Arc Infusion]]&gt;0,alch_frost_bonus,IF(Magic!AE21&gt;0,midas_bonus)) + TblImps[[#This Row],[Science]] - TblProd[[#This Row],[Guard]]*(0.02 + tech_5_7*TblTech[[#This Row],[5-7]]) + tech_1_5*TblTech[[#This Row],[1-5]] + tech_4_4*TblTech[[#This Row],[4-4]] + IF(TblMagic[[#This Row],[Active Infernal Command]]&gt;0,demonic_pact_plat,0), 0.5)</f>
        <v>0</v>
      </c>
      <c r="AI2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1" s="156">
        <f ca="1">race_lumber_bonus+ IF(TblMagic[[#This Row],[Active Gaia''s Blessing]]&gt;0,gaias_blessing_lumber)+ tech_1_3*TblTech[[#This Row],[1-3]] + tech_1_6*TblTech[[#This Row],[1-6]] + tech_3_3*TblTech[[#This Row],[3-3]]</f>
        <v>0</v>
      </c>
      <c r="AK21" s="156">
        <f ca="1">race_mana_bonus+ 0 + TblImps[[#This Row],[Spires]] + tech_1_2*TblTech[[#This Row],[1-2]] + tech_3_4*TblTech[[#This Row],[3-4]]</f>
        <v>0</v>
      </c>
      <c r="AL21" s="156">
        <f ca="1">race_ore_bonus + IF(TblMagic[[#This Row],[Active Miner''s Sight]]&gt;0,miners_sight_bonus,IF(TblMagic[[#This Row],[Active Mining Strength]]&gt;0,mining_strength_bonus)) +  tech_1_6*TblTech[[#This Row],[1-6]]</f>
        <v>0</v>
      </c>
      <c r="AM21" s="156">
        <f>race_gem_bonus+ tech_3_2*TblTech[[#This Row],[3-2]] + tech_4_3*TblTech[[#This Row],[4-3]] + tech_6_2*TblTech[[#This Row],[6-2]]</f>
        <v>0</v>
      </c>
      <c r="AN21" s="142"/>
      <c r="AO21" s="94">
        <f ca="1">TblProd[[#This Row],[Food]]*food_decay * (1 + tech_2_1*TblTech[[#This Row],[2-1]] + tech_2_8*TblTech[[#This Row],[2-8]] + IF(AND(TblMagic[[#This Row],[Active DnD]]&lt;12,TblMagic[[#This Row],[Active DnD]]&gt;5),1,0))</f>
        <v>501.47</v>
      </c>
      <c r="AP21" s="94">
        <f ca="1">(1+race_food_consumption)*TblPop[[#This Row],[Total]]*food_per_person*(1+tech_1_10*TblTech[[#This Row],[1-10]]+tech_7_5*TblTech[[#This Row],[7-5]] + IF(TblMagic[[#This Row],[Active Infernal Command]]&gt;0,demonic_pact_food_cons,0))</f>
        <v>192.25</v>
      </c>
      <c r="AQ21" s="94">
        <f ca="1">TblProd[[#This Row],[Lumber]]*lumber_rot * (1 + tech_2_1*TblTech[[#This Row],[2-1]] + tech_2_8*TblTech[[#This Row],[2-8]] + tech_5_2*TblTech[[#This Row],[5-2]] + IF(AND(TblMagic[[#This Row],[Active DnD]]&lt;12,TblMagic[[#This Row],[Active DnD]]&gt;5),1,0))</f>
        <v>283.49</v>
      </c>
      <c r="AR21" s="94">
        <f ca="1">TblProd[[#This Row],[Mana]]*mana_drain * (1 + tech_2_1*TblTech[[#This Row],[2-1]] + tech_2_8*TblTech[[#This Row],[2-8]])</f>
        <v>0</v>
      </c>
      <c r="AS21" s="154"/>
      <c r="AT21" s="94">
        <f ca="1">TblExplore[[#This Row],[Platinum (2)]]+TblConstr[[#This Row],[Total Plat Cost]]+TblMili[[#This Row],[Plat Cost]]+TblRezone[[#This Row],[Platinum cost]]+TblImps[[#This Row],[P1]]-TblProd[[#This Row],[Bank Plat]]</f>
        <v>0</v>
      </c>
      <c r="AU21" s="94">
        <f ca="1">TblConstr[[#This Row],[Total Lum Cost]]+TblImps[[#This Row],[L1]]-TblProd[[#This Row],[Bank Lumber]] + Military!$CO$25*TblMili[[#This Row],[Sec. rec. Cost]]</f>
        <v>0</v>
      </c>
      <c r="AV21" s="94">
        <f ca="1">TblMagic[[#This Row],[Mana cost]] + Military!$CO$26*TblMili[[#This Row],[Sec. rec. Cost]]</f>
        <v>0</v>
      </c>
      <c r="AW21" s="94">
        <f ca="1">Military!$CO$24*TblMili[[#This Row],[Sec. rec. Cost]]+TblImps[[#This Row],[O1]]-TblProd[[#This Row],[Bank Ore]]</f>
        <v>0</v>
      </c>
      <c r="AX21" s="94">
        <f>TblImps[[#This Row],[G1]]-TblProd[[#This Row],[Bank Gems]]</f>
        <v>0</v>
      </c>
      <c r="AY21" s="142"/>
      <c r="AZ21" s="61" t="b">
        <f ca="1">IF(TblProd[[#This Row],[Set Guard]]&lt;&gt;"",TblProd[[#This Row],[Set Guard]],OFFSET(TblProd[[#This Row],[Guard]],-1,0))</f>
        <v>0</v>
      </c>
      <c r="BA21" s="153"/>
      <c r="BB21" s="45">
        <f>TblProd[[#This Row],[Hour]]</f>
        <v>18</v>
      </c>
      <c r="BC21" s="158">
        <f>-TblProd[[#This Row],[Bank Lumber]] / 2 + -TblProd[[#This Row],[Bank Gems]] * 2 + -TblProd[[#This Row],[Bank Ore]] / 2</f>
        <v>0</v>
      </c>
      <c r="BD21" s="158"/>
      <c r="BE21" s="158"/>
      <c r="BF21" s="158"/>
      <c r="BG21" s="159">
        <f ca="1">TblProd[[#This Row],[Time]]</f>
        <v>46320.708333333292</v>
      </c>
      <c r="BH21" s="45"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94">
        <f ca="1">TblProd[[#This Row],[Platinum]]</f>
        <v>139893</v>
      </c>
      <c r="BJ21" s="94">
        <f ca="1">TblProd[[#This Row],[Food]]</f>
        <v>50147</v>
      </c>
      <c r="BK21" s="94">
        <f ca="1">TblProd[[#This Row],[Lumber]]</f>
        <v>28349</v>
      </c>
      <c r="BL21" s="94">
        <f ca="1">TblProd[[#This Row],[Mana]]</f>
        <v>0</v>
      </c>
      <c r="BM21" s="94">
        <f ca="1">TblProd[[#This Row],[Ore]]</f>
        <v>0</v>
      </c>
    </row>
    <row r="22" spans="1:65" x14ac:dyDescent="0.2">
      <c r="A22" s="137">
        <v>19</v>
      </c>
      <c r="B22" s="152">
        <f ca="1">TblImps[[#This Row],[Time]]</f>
        <v>46320.749999999956</v>
      </c>
      <c r="C22" s="153"/>
      <c r="D22" s="154"/>
      <c r="E22" s="94">
        <f ca="1">TblConstr[[#This Row],[Land]]</f>
        <v>50</v>
      </c>
      <c r="F22" s="94">
        <f ca="1">TblPop[[#This Row],[Peasants]]</f>
        <v>393</v>
      </c>
      <c r="G22" s="94">
        <f ca="1">TblMili[[#This Row],[Networth (2)]]</f>
        <v>1250</v>
      </c>
      <c r="H22" s="94">
        <f ca="1">OFFSET(TblProd[[#This Row],[Platinum]],-1,0)+OFFSET(TblProd[[#This Row],[Plat/hr]],-1,0) - TblProd[[#This Row],[Expenses Platinum]] + IF(TblProd[[#This Row],[Plat Bonus]],TblPop[[#This Row],[Peasants]]*4) + SUM(TblConstr[[#This Row],[Dest Hom]:[Dest Doc]])*TblConstr[[#This Row],[CPA Platinum -DB]]*tech_3_3_2*TblTech[[#This Row],[3-3]]</f>
        <v>140964</v>
      </c>
      <c r="I22" s="94">
        <f ca="1">OFFSET(TblProd[[#This Row],[Food]],-1,0)+OFFSET(TblProd[[#This Row],[Food/hr]],-1,0)+ROUNDUP((TblConstr[[#This Row],[Farms]]*80+TblConstr[[#This Row],[Docks]]*35)*(1+OFFSET(TblProd[[#This Row],[Bonus Food/hr]],-1,0)),0)</f>
        <v>52033</v>
      </c>
      <c r="J22" s="94">
        <f ca="1">OFFSET(TblProd[[#This Row],[Lumber]],-1,0)+OFFSET(TblProd[[#This Row],[Lumber/hr]],-1,0) - TblProd[[#This Row],[Expenses Lumber]] + SUM(TblConstr[[#This Row],[Dest Hom]:[Dest Doc]])*TblConstr[[#This Row],[CPA Lumber -DB]]*tech_3_3_2*TblTech[[#This Row],[3-3]]</f>
        <v>29066</v>
      </c>
      <c r="K22" s="94">
        <f ca="1">OFFSET(TblProd[[#This Row],[Mana]],-1,0)+OFFSET(TblProd[[#This Row],[Mana/hr]],-1,0)- TblProd[[#This Row],[Expenses Mana]]</f>
        <v>0</v>
      </c>
      <c r="L22" s="94">
        <f ca="1">OFFSET(TblProd[[#This Row],[Ore]],-1,0)+OFFSET(TblProd[[#This Row],[Ore/hr]],-1,0) -TblProd[[#This Row],[Expenses Ore]]</f>
        <v>0</v>
      </c>
      <c r="M22" s="94">
        <f ca="1">OFFSET(TblProd[[#This Row],[Gems]],-1,0)+OFFSET(TblProd[[#This Row],[Gems/hr]],-1,0) - TblProd[[#This Row],[Expenses Gems]]</f>
        <v>0</v>
      </c>
      <c r="N22" s="94">
        <f ca="1">OFFSET(TblProd[[#This Row],[Boats]],-1,0)+OFFSET(TblProd[[#This Row],[Boats/hr]],-1,0)</f>
        <v>0</v>
      </c>
      <c r="O22" s="94">
        <f ca="1">OFFSET(TblProd[[#This Row],[Prestige]],-1,0)</f>
        <v>250</v>
      </c>
      <c r="P2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2" s="94">
        <f ca="1">MAX(_xlfn.CEILING.MATH(TblProd[[#This Row],[Land]]*2.5+IFERROR(OFFSET(TblTech[[#This Row],[Sum of tech]],-1,0)*50,0)),3750)</f>
        <v>3750</v>
      </c>
      <c r="R22" s="142"/>
      <c r="S22" s="94">
        <f ca="1">ROUNDDOWN(TblProd[[#This Row],[Raw Plat/hr]]*(1+TblProd[[#This Row],[Bonus Plat/hr]]),0)</f>
        <v>1061</v>
      </c>
      <c r="T22" s="94">
        <f ca="1">ROUND(TblProd[[#This Row],[Raw Food/hr]]*(1+TblProd[[#This Row],[Bonus Food/hr]])-TblProd[[#This Row],[Food decay]]-TblProd[[#This Row],[Food eaten]],0)</f>
        <v>1867</v>
      </c>
      <c r="U22" s="94">
        <f ca="1">ROUND(TblProd[[#This Row],[Raw Lumber/hr]]*(1+TblProd[[#This Row],[Bonus Lumber/hr]])-TblProd[[#This Row],[Lumber rot]],0)</f>
        <v>709</v>
      </c>
      <c r="V22" s="94">
        <f ca="1">ROUND(TblProd[[#This Row],[Raw Mana/hr]]*(1+TblProd[[#This Row],[Bonus Mana/hr]])-TblProd[[#This Row],[Mana drain]],0)</f>
        <v>0</v>
      </c>
      <c r="W22" s="94">
        <f ca="1">ROUNDDOWN(TblProd[[#This Row],[Raw Ore/hr]]*(1+TblProd[[#This Row],[Bonux Ore/hr]]),0)</f>
        <v>0</v>
      </c>
      <c r="X22" s="94">
        <f ca="1">ROUNDDOWN(TblProd[[#This Row],[Raw Gems/hr]]*(1+TblProd[[#This Row],[Bonus Gems/hr]]),0)</f>
        <v>0</v>
      </c>
      <c r="Y22" s="155">
        <f ca="1">OFFSET(TblConstr[[#This Row],[Tot Doc]],1,0)*dock_boats_hr * (1 + tech_4_1*TblTech[[#This Row],[4-1]])</f>
        <v>0</v>
      </c>
      <c r="Z22" s="154"/>
      <c r="AA22" s="94">
        <f ca="1">TblPop[[#This Row],[Peasants]]*tax*TblPop[[#This Row],[Employment]] + (Construction!AZ23+Construction!BX23)*(alch_plat+(Magic!AN22&gt;0)*alchemist_flame_bonus)</f>
        <v>1061.1000000000001</v>
      </c>
      <c r="AB22" s="94">
        <f ca="1">TblConstr[[#This Row],[Tot Farm]]*farm_food + TblConstr[[#This Row],[Tot Doc]]*dock_food</f>
        <v>2400</v>
      </c>
      <c r="AC22" s="94">
        <f ca="1">TblConstr[[#This Row],[Tot Ly]]*ly_lumber + TblConstr[[#This Row],[Tot Hav]]*fh_lumber + IF(race="Wood Elf",TblMili[[#This Row],[Unit 2]]*MIN(TblMili[[#This Row],[Homeland%]]/wisp_bonus,wisp_cap),0)</f>
        <v>1000</v>
      </c>
      <c r="AD22" s="94">
        <f ca="1">OFFSET(TblConstr[[#This Row],[Tot Tow]],1,0)*(tower_mana + tech_4_5*TblTech[[#This Row],[4-5]]) + OFFSET(TblConstr[[#This Row],[Tot WG]],1,0)*wg_mana_prod</f>
        <v>0</v>
      </c>
      <c r="AE22" s="94">
        <f ca="1">OFFSET(TblConstr[[#This Row],[Tot OM]],1,0)*om_ore+IF(race="Dwarf",TblMili[[#This Row],[Unit 2]]*0.5,0)</f>
        <v>0</v>
      </c>
      <c r="AF22" s="94">
        <f ca="1">OFFSET(TblConstr[[#This Row],[Tot DM]],1,0)*dm_gems</f>
        <v>0</v>
      </c>
      <c r="AG22" s="142"/>
      <c r="AH22" s="156">
        <f ca="1">MIN(race_platinum_bonus + IF(TblMagic[[#This Row],[Active Arc Infusion]]&gt;0,alch_frost_bonus,IF(Magic!AE22&gt;0,midas_bonus)) + TblImps[[#This Row],[Science]] - TblProd[[#This Row],[Guard]]*(0.02 + tech_5_7*TblTech[[#This Row],[5-7]]) + tech_1_5*TblTech[[#This Row],[1-5]] + tech_4_4*TblTech[[#This Row],[4-4]] + IF(TblMagic[[#This Row],[Active Infernal Command]]&gt;0,demonic_pact_plat,0), 0.5)</f>
        <v>0</v>
      </c>
      <c r="AI2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2" s="156">
        <f ca="1">race_lumber_bonus+ IF(TblMagic[[#This Row],[Active Gaia''s Blessing]]&gt;0,gaias_blessing_lumber)+ tech_1_3*TblTech[[#This Row],[1-3]] + tech_1_6*TblTech[[#This Row],[1-6]] + tech_3_3*TblTech[[#This Row],[3-3]]</f>
        <v>0</v>
      </c>
      <c r="AK22" s="156">
        <f ca="1">race_mana_bonus+ 0 + TblImps[[#This Row],[Spires]] + tech_1_2*TblTech[[#This Row],[1-2]] + tech_3_4*TblTech[[#This Row],[3-4]]</f>
        <v>0</v>
      </c>
      <c r="AL22" s="156">
        <f ca="1">race_ore_bonus + IF(TblMagic[[#This Row],[Active Miner''s Sight]]&gt;0,miners_sight_bonus,IF(TblMagic[[#This Row],[Active Mining Strength]]&gt;0,mining_strength_bonus)) +  tech_1_6*TblTech[[#This Row],[1-6]]</f>
        <v>0</v>
      </c>
      <c r="AM22" s="156">
        <f>race_gem_bonus+ tech_3_2*TblTech[[#This Row],[3-2]] + tech_4_3*TblTech[[#This Row],[4-3]] + tech_6_2*TblTech[[#This Row],[6-2]]</f>
        <v>0</v>
      </c>
      <c r="AN22" s="142"/>
      <c r="AO22" s="94">
        <f ca="1">TblProd[[#This Row],[Food]]*food_decay * (1 + tech_2_1*TblTech[[#This Row],[2-1]] + tech_2_8*TblTech[[#This Row],[2-8]] + IF(AND(TblMagic[[#This Row],[Active DnD]]&lt;12,TblMagic[[#This Row],[Active DnD]]&gt;5),1,0))</f>
        <v>520.33000000000004</v>
      </c>
      <c r="AP22" s="94">
        <f ca="1">(1+race_food_consumption)*TblPop[[#This Row],[Total]]*food_per_person*(1+tech_1_10*TblTech[[#This Row],[1-10]]+tech_7_5*TblTech[[#This Row],[7-5]] + IF(TblMagic[[#This Row],[Active Infernal Command]]&gt;0,demonic_pact_food_cons,0))</f>
        <v>192.25</v>
      </c>
      <c r="AQ22" s="94">
        <f ca="1">TblProd[[#This Row],[Lumber]]*lumber_rot * (1 + tech_2_1*TblTech[[#This Row],[2-1]] + tech_2_8*TblTech[[#This Row],[2-8]] + tech_5_2*TblTech[[#This Row],[5-2]] + IF(AND(TblMagic[[#This Row],[Active DnD]]&lt;12,TblMagic[[#This Row],[Active DnD]]&gt;5),1,0))</f>
        <v>290.66000000000003</v>
      </c>
      <c r="AR22" s="94">
        <f ca="1">TblProd[[#This Row],[Mana]]*mana_drain * (1 + tech_2_1*TblTech[[#This Row],[2-1]] + tech_2_8*TblTech[[#This Row],[2-8]])</f>
        <v>0</v>
      </c>
      <c r="AS22" s="154"/>
      <c r="AT22" s="94">
        <f ca="1">TblExplore[[#This Row],[Platinum (2)]]+TblConstr[[#This Row],[Total Plat Cost]]+TblMili[[#This Row],[Plat Cost]]+TblRezone[[#This Row],[Platinum cost]]+TblImps[[#This Row],[P1]]-TblProd[[#This Row],[Bank Plat]]</f>
        <v>0</v>
      </c>
      <c r="AU22" s="94">
        <f ca="1">TblConstr[[#This Row],[Total Lum Cost]]+TblImps[[#This Row],[L1]]-TblProd[[#This Row],[Bank Lumber]] + Military!$CO$25*TblMili[[#This Row],[Sec. rec. Cost]]</f>
        <v>0</v>
      </c>
      <c r="AV22" s="94">
        <f ca="1">TblMagic[[#This Row],[Mana cost]] + Military!$CO$26*TblMili[[#This Row],[Sec. rec. Cost]]</f>
        <v>0</v>
      </c>
      <c r="AW22" s="94">
        <f ca="1">Military!$CO$24*TblMili[[#This Row],[Sec. rec. Cost]]+TblImps[[#This Row],[O1]]-TblProd[[#This Row],[Bank Ore]]</f>
        <v>0</v>
      </c>
      <c r="AX22" s="94">
        <f>TblImps[[#This Row],[G1]]-TblProd[[#This Row],[Bank Gems]]</f>
        <v>0</v>
      </c>
      <c r="AY22" s="142"/>
      <c r="AZ22" s="61" t="b">
        <f ca="1">IF(TblProd[[#This Row],[Set Guard]]&lt;&gt;"",TblProd[[#This Row],[Set Guard]],OFFSET(TblProd[[#This Row],[Guard]],-1,0))</f>
        <v>0</v>
      </c>
      <c r="BA22" s="153"/>
      <c r="BB22" s="45">
        <f>TblProd[[#This Row],[Hour]]</f>
        <v>19</v>
      </c>
      <c r="BC22" s="158">
        <f>-TblProd[[#This Row],[Bank Lumber]] / 2 + -TblProd[[#This Row],[Bank Gems]] * 2 + -TblProd[[#This Row],[Bank Ore]] / 2</f>
        <v>0</v>
      </c>
      <c r="BD22" s="158"/>
      <c r="BE22" s="158"/>
      <c r="BF22" s="158"/>
      <c r="BG22" s="159">
        <f ca="1">TblProd[[#This Row],[Time]]</f>
        <v>46320.749999999956</v>
      </c>
      <c r="BH22" s="45"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94">
        <f ca="1">TblProd[[#This Row],[Platinum]]</f>
        <v>140964</v>
      </c>
      <c r="BJ22" s="94">
        <f ca="1">TblProd[[#This Row],[Food]]</f>
        <v>52033</v>
      </c>
      <c r="BK22" s="94">
        <f ca="1">TblProd[[#This Row],[Lumber]]</f>
        <v>29066</v>
      </c>
      <c r="BL22" s="94">
        <f ca="1">TblProd[[#This Row],[Mana]]</f>
        <v>0</v>
      </c>
      <c r="BM22" s="94">
        <f ca="1">TblProd[[#This Row],[Ore]]</f>
        <v>0</v>
      </c>
    </row>
    <row r="23" spans="1:65" x14ac:dyDescent="0.2">
      <c r="A23" s="137">
        <v>20</v>
      </c>
      <c r="B23" s="152">
        <f ca="1">TblImps[[#This Row],[Time]]</f>
        <v>46320.791666666621</v>
      </c>
      <c r="C23" s="153"/>
      <c r="D23" s="154"/>
      <c r="E23" s="94">
        <f ca="1">TblConstr[[#This Row],[Land]]</f>
        <v>50</v>
      </c>
      <c r="F23" s="94">
        <f ca="1">TblPop[[#This Row],[Peasants]]</f>
        <v>389</v>
      </c>
      <c r="G23" s="94">
        <f ca="1">TblMili[[#This Row],[Networth (2)]]</f>
        <v>1250</v>
      </c>
      <c r="H23" s="94">
        <f ca="1">OFFSET(TblProd[[#This Row],[Platinum]],-1,0)+OFFSET(TblProd[[#This Row],[Plat/hr]],-1,0) - TblProd[[#This Row],[Expenses Platinum]] + IF(TblProd[[#This Row],[Plat Bonus]],TblPop[[#This Row],[Peasants]]*4) + SUM(TblConstr[[#This Row],[Dest Hom]:[Dest Doc]])*TblConstr[[#This Row],[CPA Platinum -DB]]*tech_3_3_2*TblTech[[#This Row],[3-3]]</f>
        <v>142025</v>
      </c>
      <c r="I23" s="94">
        <f ca="1">OFFSET(TblProd[[#This Row],[Food]],-1,0)+OFFSET(TblProd[[#This Row],[Food/hr]],-1,0)+ROUNDUP((TblConstr[[#This Row],[Farms]]*80+TblConstr[[#This Row],[Docks]]*35)*(1+OFFSET(TblProd[[#This Row],[Bonus Food/hr]],-1,0)),0)</f>
        <v>53900</v>
      </c>
      <c r="J23" s="94">
        <f ca="1">OFFSET(TblProd[[#This Row],[Lumber]],-1,0)+OFFSET(TblProd[[#This Row],[Lumber/hr]],-1,0) - TblProd[[#This Row],[Expenses Lumber]] + SUM(TblConstr[[#This Row],[Dest Hom]:[Dest Doc]])*TblConstr[[#This Row],[CPA Lumber -DB]]*tech_3_3_2*TblTech[[#This Row],[3-3]]</f>
        <v>29775</v>
      </c>
      <c r="K23" s="94">
        <f ca="1">OFFSET(TblProd[[#This Row],[Mana]],-1,0)+OFFSET(TblProd[[#This Row],[Mana/hr]],-1,0)- TblProd[[#This Row],[Expenses Mana]]</f>
        <v>0</v>
      </c>
      <c r="L23" s="94">
        <f ca="1">OFFSET(TblProd[[#This Row],[Ore]],-1,0)+OFFSET(TblProd[[#This Row],[Ore/hr]],-1,0) -TblProd[[#This Row],[Expenses Ore]]</f>
        <v>0</v>
      </c>
      <c r="M23" s="94">
        <f ca="1">OFFSET(TblProd[[#This Row],[Gems]],-1,0)+OFFSET(TblProd[[#This Row],[Gems/hr]],-1,0) - TblProd[[#This Row],[Expenses Gems]]</f>
        <v>0</v>
      </c>
      <c r="N23" s="94">
        <f ca="1">OFFSET(TblProd[[#This Row],[Boats]],-1,0)+OFFSET(TblProd[[#This Row],[Boats/hr]],-1,0)</f>
        <v>0</v>
      </c>
      <c r="O23" s="94">
        <f ca="1">OFFSET(TblProd[[#This Row],[Prestige]],-1,0)</f>
        <v>250</v>
      </c>
      <c r="P2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3" s="94">
        <f ca="1">MAX(_xlfn.CEILING.MATH(TblProd[[#This Row],[Land]]*2.5+IFERROR(OFFSET(TblTech[[#This Row],[Sum of tech]],-1,0)*50,0)),3750)</f>
        <v>3750</v>
      </c>
      <c r="R23" s="142"/>
      <c r="S23" s="94">
        <f ca="1">ROUNDDOWN(TblProd[[#This Row],[Raw Plat/hr]]*(1+TblProd[[#This Row],[Bonus Plat/hr]]),0)</f>
        <v>1050</v>
      </c>
      <c r="T23" s="94">
        <f ca="1">ROUND(TblProd[[#This Row],[Raw Food/hr]]*(1+TblProd[[#This Row],[Bonus Food/hr]])-TblProd[[#This Row],[Food decay]]-TblProd[[#This Row],[Food eaten]],0)</f>
        <v>1849</v>
      </c>
      <c r="U23" s="94">
        <f ca="1">ROUND(TblProd[[#This Row],[Raw Lumber/hr]]*(1+TblProd[[#This Row],[Bonus Lumber/hr]])-TblProd[[#This Row],[Lumber rot]],0)</f>
        <v>702</v>
      </c>
      <c r="V23" s="94">
        <f ca="1">ROUND(TblProd[[#This Row],[Raw Mana/hr]]*(1+TblProd[[#This Row],[Bonus Mana/hr]])-TblProd[[#This Row],[Mana drain]],0)</f>
        <v>0</v>
      </c>
      <c r="W23" s="94">
        <f ca="1">ROUNDDOWN(TblProd[[#This Row],[Raw Ore/hr]]*(1+TblProd[[#This Row],[Bonux Ore/hr]]),0)</f>
        <v>0</v>
      </c>
      <c r="X23" s="94">
        <f ca="1">ROUNDDOWN(TblProd[[#This Row],[Raw Gems/hr]]*(1+TblProd[[#This Row],[Bonus Gems/hr]]),0)</f>
        <v>0</v>
      </c>
      <c r="Y23" s="155">
        <f ca="1">OFFSET(TblConstr[[#This Row],[Tot Doc]],1,0)*dock_boats_hr * (1 + tech_4_1*TblTech[[#This Row],[4-1]])</f>
        <v>0</v>
      </c>
      <c r="Z23" s="154"/>
      <c r="AA23" s="94">
        <f ca="1">TblPop[[#This Row],[Peasants]]*tax*TblPop[[#This Row],[Employment]] + (Construction!AZ24+Construction!BX24)*(alch_plat+(Magic!AN23&gt;0)*alchemist_flame_bonus)</f>
        <v>1050.3000000000002</v>
      </c>
      <c r="AB23" s="94">
        <f ca="1">TblConstr[[#This Row],[Tot Farm]]*farm_food + TblConstr[[#This Row],[Tot Doc]]*dock_food</f>
        <v>2400</v>
      </c>
      <c r="AC23" s="94">
        <f ca="1">TblConstr[[#This Row],[Tot Ly]]*ly_lumber + TblConstr[[#This Row],[Tot Hav]]*fh_lumber + IF(race="Wood Elf",TblMili[[#This Row],[Unit 2]]*MIN(TblMili[[#This Row],[Homeland%]]/wisp_bonus,wisp_cap),0)</f>
        <v>1000</v>
      </c>
      <c r="AD23" s="94">
        <f ca="1">OFFSET(TblConstr[[#This Row],[Tot Tow]],1,0)*(tower_mana + tech_4_5*TblTech[[#This Row],[4-5]]) + OFFSET(TblConstr[[#This Row],[Tot WG]],1,0)*wg_mana_prod</f>
        <v>0</v>
      </c>
      <c r="AE23" s="94">
        <f ca="1">OFFSET(TblConstr[[#This Row],[Tot OM]],1,0)*om_ore+IF(race="Dwarf",TblMili[[#This Row],[Unit 2]]*0.5,0)</f>
        <v>0</v>
      </c>
      <c r="AF23" s="94">
        <f ca="1">OFFSET(TblConstr[[#This Row],[Tot DM]],1,0)*dm_gems</f>
        <v>0</v>
      </c>
      <c r="AG23" s="142"/>
      <c r="AH23" s="156">
        <f ca="1">MIN(race_platinum_bonus + IF(TblMagic[[#This Row],[Active Arc Infusion]]&gt;0,alch_frost_bonus,IF(Magic!AE23&gt;0,midas_bonus)) + TblImps[[#This Row],[Science]] - TblProd[[#This Row],[Guard]]*(0.02 + tech_5_7*TblTech[[#This Row],[5-7]]) + tech_1_5*TblTech[[#This Row],[1-5]] + tech_4_4*TblTech[[#This Row],[4-4]] + IF(TblMagic[[#This Row],[Active Infernal Command]]&gt;0,demonic_pact_plat,0), 0.5)</f>
        <v>0</v>
      </c>
      <c r="AI2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3" s="156">
        <f ca="1">race_lumber_bonus+ IF(TblMagic[[#This Row],[Active Gaia''s Blessing]]&gt;0,gaias_blessing_lumber)+ tech_1_3*TblTech[[#This Row],[1-3]] + tech_1_6*TblTech[[#This Row],[1-6]] + tech_3_3*TblTech[[#This Row],[3-3]]</f>
        <v>0</v>
      </c>
      <c r="AK23" s="156">
        <f ca="1">race_mana_bonus+ 0 + TblImps[[#This Row],[Spires]] + tech_1_2*TblTech[[#This Row],[1-2]] + tech_3_4*TblTech[[#This Row],[3-4]]</f>
        <v>0</v>
      </c>
      <c r="AL23" s="156">
        <f ca="1">race_ore_bonus + IF(TblMagic[[#This Row],[Active Miner''s Sight]]&gt;0,miners_sight_bonus,IF(TblMagic[[#This Row],[Active Mining Strength]]&gt;0,mining_strength_bonus)) +  tech_1_6*TblTech[[#This Row],[1-6]]</f>
        <v>0</v>
      </c>
      <c r="AM23" s="156">
        <f>race_gem_bonus+ tech_3_2*TblTech[[#This Row],[3-2]] + tech_4_3*TblTech[[#This Row],[4-3]] + tech_6_2*TblTech[[#This Row],[6-2]]</f>
        <v>0</v>
      </c>
      <c r="AN23" s="142"/>
      <c r="AO23" s="94">
        <f ca="1">TblProd[[#This Row],[Food]]*food_decay * (1 + tech_2_1*TblTech[[#This Row],[2-1]] + tech_2_8*TblTech[[#This Row],[2-8]] + IF(AND(TblMagic[[#This Row],[Active DnD]]&lt;12,TblMagic[[#This Row],[Active DnD]]&gt;5),1,0))</f>
        <v>539</v>
      </c>
      <c r="AP23" s="94">
        <f ca="1">(1+race_food_consumption)*TblPop[[#This Row],[Total]]*food_per_person*(1+tech_1_10*TblTech[[#This Row],[1-10]]+tech_7_5*TblTech[[#This Row],[7-5]] + IF(TblMagic[[#This Row],[Active Infernal Command]]&gt;0,demonic_pact_food_cons,0))</f>
        <v>192.25</v>
      </c>
      <c r="AQ23" s="94">
        <f ca="1">TblProd[[#This Row],[Lumber]]*lumber_rot * (1 + tech_2_1*TblTech[[#This Row],[2-1]] + tech_2_8*TblTech[[#This Row],[2-8]] + tech_5_2*TblTech[[#This Row],[5-2]] + IF(AND(TblMagic[[#This Row],[Active DnD]]&lt;12,TblMagic[[#This Row],[Active DnD]]&gt;5),1,0))</f>
        <v>297.75</v>
      </c>
      <c r="AR23" s="94">
        <f ca="1">TblProd[[#This Row],[Mana]]*mana_drain * (1 + tech_2_1*TblTech[[#This Row],[2-1]] + tech_2_8*TblTech[[#This Row],[2-8]])</f>
        <v>0</v>
      </c>
      <c r="AS23" s="154"/>
      <c r="AT23" s="94">
        <f ca="1">TblExplore[[#This Row],[Platinum (2)]]+TblConstr[[#This Row],[Total Plat Cost]]+TblMili[[#This Row],[Plat Cost]]+TblRezone[[#This Row],[Platinum cost]]+TblImps[[#This Row],[P1]]-TblProd[[#This Row],[Bank Plat]]</f>
        <v>0</v>
      </c>
      <c r="AU23" s="94">
        <f ca="1">TblConstr[[#This Row],[Total Lum Cost]]+TblImps[[#This Row],[L1]]-TblProd[[#This Row],[Bank Lumber]] + Military!$CO$25*TblMili[[#This Row],[Sec. rec. Cost]]</f>
        <v>0</v>
      </c>
      <c r="AV23" s="94">
        <f ca="1">TblMagic[[#This Row],[Mana cost]] + Military!$CO$26*TblMili[[#This Row],[Sec. rec. Cost]]</f>
        <v>0</v>
      </c>
      <c r="AW23" s="94">
        <f ca="1">Military!$CO$24*TblMili[[#This Row],[Sec. rec. Cost]]+TblImps[[#This Row],[O1]]-TblProd[[#This Row],[Bank Ore]]</f>
        <v>0</v>
      </c>
      <c r="AX23" s="94">
        <f>TblImps[[#This Row],[G1]]-TblProd[[#This Row],[Bank Gems]]</f>
        <v>0</v>
      </c>
      <c r="AY23" s="142"/>
      <c r="AZ23" s="61" t="b">
        <f ca="1">IF(TblProd[[#This Row],[Set Guard]]&lt;&gt;"",TblProd[[#This Row],[Set Guard]],OFFSET(TblProd[[#This Row],[Guard]],-1,0))</f>
        <v>0</v>
      </c>
      <c r="BA23" s="153"/>
      <c r="BB23" s="45">
        <f>TblProd[[#This Row],[Hour]]</f>
        <v>20</v>
      </c>
      <c r="BC23" s="158">
        <f>-TblProd[[#This Row],[Bank Lumber]] / 2 + -TblProd[[#This Row],[Bank Gems]] * 2 + -TblProd[[#This Row],[Bank Ore]] / 2</f>
        <v>0</v>
      </c>
      <c r="BD23" s="158"/>
      <c r="BE23" s="158"/>
      <c r="BF23" s="158"/>
      <c r="BG23" s="159">
        <f ca="1">TblProd[[#This Row],[Time]]</f>
        <v>46320.791666666621</v>
      </c>
      <c r="BH23" s="45"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94">
        <f ca="1">TblProd[[#This Row],[Platinum]]</f>
        <v>142025</v>
      </c>
      <c r="BJ23" s="94">
        <f ca="1">TblProd[[#This Row],[Food]]</f>
        <v>53900</v>
      </c>
      <c r="BK23" s="94">
        <f ca="1">TblProd[[#This Row],[Lumber]]</f>
        <v>29775</v>
      </c>
      <c r="BL23" s="94">
        <f ca="1">TblProd[[#This Row],[Mana]]</f>
        <v>0</v>
      </c>
      <c r="BM23" s="94">
        <f ca="1">TblProd[[#This Row],[Ore]]</f>
        <v>0</v>
      </c>
    </row>
    <row r="24" spans="1:65" x14ac:dyDescent="0.2">
      <c r="A24" s="137">
        <v>21</v>
      </c>
      <c r="B24" s="152">
        <f ca="1">TblImps[[#This Row],[Time]]</f>
        <v>46320.833333333285</v>
      </c>
      <c r="C24" s="153"/>
      <c r="D24" s="154"/>
      <c r="E24" s="94">
        <f ca="1">TblConstr[[#This Row],[Land]]</f>
        <v>50</v>
      </c>
      <c r="F24" s="94">
        <f ca="1">TblPop[[#This Row],[Peasants]]</f>
        <v>385</v>
      </c>
      <c r="G24" s="94">
        <f ca="1">TblMili[[#This Row],[Networth (2)]]</f>
        <v>1250</v>
      </c>
      <c r="H24" s="94">
        <f ca="1">OFFSET(TblProd[[#This Row],[Platinum]],-1,0)+OFFSET(TblProd[[#This Row],[Plat/hr]],-1,0) - TblProd[[#This Row],[Expenses Platinum]] + IF(TblProd[[#This Row],[Plat Bonus]],TblPop[[#This Row],[Peasants]]*4) + SUM(TblConstr[[#This Row],[Dest Hom]:[Dest Doc]])*TblConstr[[#This Row],[CPA Platinum -DB]]*tech_3_3_2*TblTech[[#This Row],[3-3]]</f>
        <v>143075</v>
      </c>
      <c r="I24" s="94">
        <f ca="1">OFFSET(TblProd[[#This Row],[Food]],-1,0)+OFFSET(TblProd[[#This Row],[Food/hr]],-1,0)+ROUNDUP((TblConstr[[#This Row],[Farms]]*80+TblConstr[[#This Row],[Docks]]*35)*(1+OFFSET(TblProd[[#This Row],[Bonus Food/hr]],-1,0)),0)</f>
        <v>55749</v>
      </c>
      <c r="J24" s="94">
        <f ca="1">OFFSET(TblProd[[#This Row],[Lumber]],-1,0)+OFFSET(TblProd[[#This Row],[Lumber/hr]],-1,0) - TblProd[[#This Row],[Expenses Lumber]] + SUM(TblConstr[[#This Row],[Dest Hom]:[Dest Doc]])*TblConstr[[#This Row],[CPA Lumber -DB]]*tech_3_3_2*TblTech[[#This Row],[3-3]]</f>
        <v>30477</v>
      </c>
      <c r="K24" s="94">
        <f ca="1">OFFSET(TblProd[[#This Row],[Mana]],-1,0)+OFFSET(TblProd[[#This Row],[Mana/hr]],-1,0)- TblProd[[#This Row],[Expenses Mana]]</f>
        <v>0</v>
      </c>
      <c r="L24" s="94">
        <f ca="1">OFFSET(TblProd[[#This Row],[Ore]],-1,0)+OFFSET(TblProd[[#This Row],[Ore/hr]],-1,0) -TblProd[[#This Row],[Expenses Ore]]</f>
        <v>0</v>
      </c>
      <c r="M24" s="94">
        <f ca="1">OFFSET(TblProd[[#This Row],[Gems]],-1,0)+OFFSET(TblProd[[#This Row],[Gems/hr]],-1,0) - TblProd[[#This Row],[Expenses Gems]]</f>
        <v>0</v>
      </c>
      <c r="N24" s="94">
        <f ca="1">OFFSET(TblProd[[#This Row],[Boats]],-1,0)+OFFSET(TblProd[[#This Row],[Boats/hr]],-1,0)</f>
        <v>0</v>
      </c>
      <c r="O24" s="94">
        <f ca="1">OFFSET(TblProd[[#This Row],[Prestige]],-1,0)</f>
        <v>250</v>
      </c>
      <c r="P2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4" s="94">
        <f ca="1">MAX(_xlfn.CEILING.MATH(TblProd[[#This Row],[Land]]*2.5+IFERROR(OFFSET(TblTech[[#This Row],[Sum of tech]],-1,0)*50,0)),3750)</f>
        <v>3750</v>
      </c>
      <c r="R24" s="142"/>
      <c r="S24" s="94">
        <f ca="1">ROUNDDOWN(TblProd[[#This Row],[Raw Plat/hr]]*(1+TblProd[[#This Row],[Bonus Plat/hr]]),0)</f>
        <v>1039</v>
      </c>
      <c r="T24" s="94">
        <f ca="1">ROUND(TblProd[[#This Row],[Raw Food/hr]]*(1+TblProd[[#This Row],[Bonus Food/hr]])-TblProd[[#This Row],[Food decay]]-TblProd[[#This Row],[Food eaten]],0)</f>
        <v>1830</v>
      </c>
      <c r="U24" s="94">
        <f ca="1">ROUND(TblProd[[#This Row],[Raw Lumber/hr]]*(1+TblProd[[#This Row],[Bonus Lumber/hr]])-TblProd[[#This Row],[Lumber rot]],0)</f>
        <v>695</v>
      </c>
      <c r="V24" s="94">
        <f ca="1">ROUND(TblProd[[#This Row],[Raw Mana/hr]]*(1+TblProd[[#This Row],[Bonus Mana/hr]])-TblProd[[#This Row],[Mana drain]],0)</f>
        <v>0</v>
      </c>
      <c r="W24" s="94">
        <f ca="1">ROUNDDOWN(TblProd[[#This Row],[Raw Ore/hr]]*(1+TblProd[[#This Row],[Bonux Ore/hr]]),0)</f>
        <v>0</v>
      </c>
      <c r="X24" s="94">
        <f ca="1">ROUNDDOWN(TblProd[[#This Row],[Raw Gems/hr]]*(1+TblProd[[#This Row],[Bonus Gems/hr]]),0)</f>
        <v>0</v>
      </c>
      <c r="Y24" s="155">
        <f ca="1">OFFSET(TblConstr[[#This Row],[Tot Doc]],1,0)*dock_boats_hr * (1 + tech_4_1*TblTech[[#This Row],[4-1]])</f>
        <v>0</v>
      </c>
      <c r="Z24" s="154"/>
      <c r="AA24" s="94">
        <f ca="1">TblPop[[#This Row],[Peasants]]*tax*TblPop[[#This Row],[Employment]] + (Construction!AZ25+Construction!BX25)*(alch_plat+(Magic!AN24&gt;0)*alchemist_flame_bonus)</f>
        <v>1039.5</v>
      </c>
      <c r="AB24" s="94">
        <f ca="1">TblConstr[[#This Row],[Tot Farm]]*farm_food + TblConstr[[#This Row],[Tot Doc]]*dock_food</f>
        <v>2400</v>
      </c>
      <c r="AC24" s="94">
        <f ca="1">TblConstr[[#This Row],[Tot Ly]]*ly_lumber + TblConstr[[#This Row],[Tot Hav]]*fh_lumber + IF(race="Wood Elf",TblMili[[#This Row],[Unit 2]]*MIN(TblMili[[#This Row],[Homeland%]]/wisp_bonus,wisp_cap),0)</f>
        <v>1000</v>
      </c>
      <c r="AD24" s="94">
        <f ca="1">OFFSET(TblConstr[[#This Row],[Tot Tow]],1,0)*(tower_mana + tech_4_5*TblTech[[#This Row],[4-5]]) + OFFSET(TblConstr[[#This Row],[Tot WG]],1,0)*wg_mana_prod</f>
        <v>0</v>
      </c>
      <c r="AE24" s="94">
        <f ca="1">OFFSET(TblConstr[[#This Row],[Tot OM]],1,0)*om_ore+IF(race="Dwarf",TblMili[[#This Row],[Unit 2]]*0.5,0)</f>
        <v>0</v>
      </c>
      <c r="AF24" s="94">
        <f ca="1">OFFSET(TblConstr[[#This Row],[Tot DM]],1,0)*dm_gems</f>
        <v>0</v>
      </c>
      <c r="AG24" s="142"/>
      <c r="AH24" s="156">
        <f ca="1">MIN(race_platinum_bonus + IF(TblMagic[[#This Row],[Active Arc Infusion]]&gt;0,alch_frost_bonus,IF(Magic!AE24&gt;0,midas_bonus)) + TblImps[[#This Row],[Science]] - TblProd[[#This Row],[Guard]]*(0.02 + tech_5_7*TblTech[[#This Row],[5-7]]) + tech_1_5*TblTech[[#This Row],[1-5]] + tech_4_4*TblTech[[#This Row],[4-4]] + IF(TblMagic[[#This Row],[Active Infernal Command]]&gt;0,demonic_pact_plat,0), 0.5)</f>
        <v>0</v>
      </c>
      <c r="AI2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4" s="156">
        <f ca="1">race_lumber_bonus+ IF(TblMagic[[#This Row],[Active Gaia''s Blessing]]&gt;0,gaias_blessing_lumber)+ tech_1_3*TblTech[[#This Row],[1-3]] + tech_1_6*TblTech[[#This Row],[1-6]] + tech_3_3*TblTech[[#This Row],[3-3]]</f>
        <v>0</v>
      </c>
      <c r="AK24" s="156">
        <f ca="1">race_mana_bonus+ 0 + TblImps[[#This Row],[Spires]] + tech_1_2*TblTech[[#This Row],[1-2]] + tech_3_4*TblTech[[#This Row],[3-4]]</f>
        <v>0</v>
      </c>
      <c r="AL24" s="156">
        <f ca="1">race_ore_bonus + IF(TblMagic[[#This Row],[Active Miner''s Sight]]&gt;0,miners_sight_bonus,IF(TblMagic[[#This Row],[Active Mining Strength]]&gt;0,mining_strength_bonus)) +  tech_1_6*TblTech[[#This Row],[1-6]]</f>
        <v>0</v>
      </c>
      <c r="AM24" s="156">
        <f>race_gem_bonus+ tech_3_2*TblTech[[#This Row],[3-2]] + tech_4_3*TblTech[[#This Row],[4-3]] + tech_6_2*TblTech[[#This Row],[6-2]]</f>
        <v>0</v>
      </c>
      <c r="AN24" s="142"/>
      <c r="AO24" s="94">
        <f ca="1">TblProd[[#This Row],[Food]]*food_decay * (1 + tech_2_1*TblTech[[#This Row],[2-1]] + tech_2_8*TblTech[[#This Row],[2-8]] + IF(AND(TblMagic[[#This Row],[Active DnD]]&lt;12,TblMagic[[#This Row],[Active DnD]]&gt;5),1,0))</f>
        <v>557.49</v>
      </c>
      <c r="AP24" s="94">
        <f ca="1">(1+race_food_consumption)*TblPop[[#This Row],[Total]]*food_per_person*(1+tech_1_10*TblTech[[#This Row],[1-10]]+tech_7_5*TblTech[[#This Row],[7-5]] + IF(TblMagic[[#This Row],[Active Infernal Command]]&gt;0,demonic_pact_food_cons,0))</f>
        <v>192.25</v>
      </c>
      <c r="AQ24" s="94">
        <f ca="1">TblProd[[#This Row],[Lumber]]*lumber_rot * (1 + tech_2_1*TblTech[[#This Row],[2-1]] + tech_2_8*TblTech[[#This Row],[2-8]] + tech_5_2*TblTech[[#This Row],[5-2]] + IF(AND(TblMagic[[#This Row],[Active DnD]]&lt;12,TblMagic[[#This Row],[Active DnD]]&gt;5),1,0))</f>
        <v>304.77</v>
      </c>
      <c r="AR24" s="94">
        <f ca="1">TblProd[[#This Row],[Mana]]*mana_drain * (1 + tech_2_1*TblTech[[#This Row],[2-1]] + tech_2_8*TblTech[[#This Row],[2-8]])</f>
        <v>0</v>
      </c>
      <c r="AS24" s="154"/>
      <c r="AT24" s="94">
        <f ca="1">TblExplore[[#This Row],[Platinum (2)]]+TblConstr[[#This Row],[Total Plat Cost]]+TblMili[[#This Row],[Plat Cost]]+TblRezone[[#This Row],[Platinum cost]]+TblImps[[#This Row],[P1]]-TblProd[[#This Row],[Bank Plat]]</f>
        <v>0</v>
      </c>
      <c r="AU24" s="94">
        <f ca="1">TblConstr[[#This Row],[Total Lum Cost]]+TblImps[[#This Row],[L1]]-TblProd[[#This Row],[Bank Lumber]] + Military!$CO$25*TblMili[[#This Row],[Sec. rec. Cost]]</f>
        <v>0</v>
      </c>
      <c r="AV24" s="94">
        <f ca="1">TblMagic[[#This Row],[Mana cost]] + Military!$CO$26*TblMili[[#This Row],[Sec. rec. Cost]]</f>
        <v>0</v>
      </c>
      <c r="AW24" s="94">
        <f ca="1">Military!$CO$24*TblMili[[#This Row],[Sec. rec. Cost]]+TblImps[[#This Row],[O1]]-TblProd[[#This Row],[Bank Ore]]</f>
        <v>0</v>
      </c>
      <c r="AX24" s="94">
        <f>TblImps[[#This Row],[G1]]-TblProd[[#This Row],[Bank Gems]]</f>
        <v>0</v>
      </c>
      <c r="AY24" s="142"/>
      <c r="AZ24" s="61" t="b">
        <f ca="1">IF(TblProd[[#This Row],[Set Guard]]&lt;&gt;"",TblProd[[#This Row],[Set Guard]],OFFSET(TblProd[[#This Row],[Guard]],-1,0))</f>
        <v>0</v>
      </c>
      <c r="BA24" s="153"/>
      <c r="BB24" s="45">
        <f>TblProd[[#This Row],[Hour]]</f>
        <v>21</v>
      </c>
      <c r="BC24" s="158">
        <f>-TblProd[[#This Row],[Bank Lumber]] / 2 + -TblProd[[#This Row],[Bank Gems]] * 2 + -TblProd[[#This Row],[Bank Ore]] / 2</f>
        <v>0</v>
      </c>
      <c r="BD24" s="158"/>
      <c r="BE24" s="158"/>
      <c r="BF24" s="158"/>
      <c r="BG24" s="159">
        <f ca="1">TblProd[[#This Row],[Time]]</f>
        <v>46320.833333333285</v>
      </c>
      <c r="BH24" s="45"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94">
        <f ca="1">TblProd[[#This Row],[Platinum]]</f>
        <v>143075</v>
      </c>
      <c r="BJ24" s="94">
        <f ca="1">TblProd[[#This Row],[Food]]</f>
        <v>55749</v>
      </c>
      <c r="BK24" s="94">
        <f ca="1">TblProd[[#This Row],[Lumber]]</f>
        <v>30477</v>
      </c>
      <c r="BL24" s="94">
        <f ca="1">TblProd[[#This Row],[Mana]]</f>
        <v>0</v>
      </c>
      <c r="BM24" s="94">
        <f ca="1">TblProd[[#This Row],[Ore]]</f>
        <v>0</v>
      </c>
    </row>
    <row r="25" spans="1:65" x14ac:dyDescent="0.2">
      <c r="A25" s="137">
        <v>22</v>
      </c>
      <c r="B25" s="152">
        <f ca="1">TblImps[[#This Row],[Time]]</f>
        <v>46320.874999999949</v>
      </c>
      <c r="C25" s="153"/>
      <c r="D25" s="154"/>
      <c r="E25" s="94">
        <f ca="1">TblConstr[[#This Row],[Land]]</f>
        <v>50</v>
      </c>
      <c r="F25" s="94">
        <f ca="1">TblPop[[#This Row],[Peasants]]</f>
        <v>381</v>
      </c>
      <c r="G25" s="94">
        <f ca="1">TblMili[[#This Row],[Networth (2)]]</f>
        <v>1250</v>
      </c>
      <c r="H25" s="94">
        <f ca="1">OFFSET(TblProd[[#This Row],[Platinum]],-1,0)+OFFSET(TblProd[[#This Row],[Plat/hr]],-1,0) - TblProd[[#This Row],[Expenses Platinum]] + IF(TblProd[[#This Row],[Plat Bonus]],TblPop[[#This Row],[Peasants]]*4) + SUM(TblConstr[[#This Row],[Dest Hom]:[Dest Doc]])*TblConstr[[#This Row],[CPA Platinum -DB]]*tech_3_3_2*TblTech[[#This Row],[3-3]]</f>
        <v>144114</v>
      </c>
      <c r="I25" s="94">
        <f ca="1">OFFSET(TblProd[[#This Row],[Food]],-1,0)+OFFSET(TblProd[[#This Row],[Food/hr]],-1,0)+ROUNDUP((TblConstr[[#This Row],[Farms]]*80+TblConstr[[#This Row],[Docks]]*35)*(1+OFFSET(TblProd[[#This Row],[Bonus Food/hr]],-1,0)),0)</f>
        <v>57579</v>
      </c>
      <c r="J25" s="94">
        <f ca="1">OFFSET(TblProd[[#This Row],[Lumber]],-1,0)+OFFSET(TblProd[[#This Row],[Lumber/hr]],-1,0) - TblProd[[#This Row],[Expenses Lumber]] + SUM(TblConstr[[#This Row],[Dest Hom]:[Dest Doc]])*TblConstr[[#This Row],[CPA Lumber -DB]]*tech_3_3_2*TblTech[[#This Row],[3-3]]</f>
        <v>31172</v>
      </c>
      <c r="K25" s="94">
        <f ca="1">OFFSET(TblProd[[#This Row],[Mana]],-1,0)+OFFSET(TblProd[[#This Row],[Mana/hr]],-1,0)- TblProd[[#This Row],[Expenses Mana]]</f>
        <v>0</v>
      </c>
      <c r="L25" s="94">
        <f ca="1">OFFSET(TblProd[[#This Row],[Ore]],-1,0)+OFFSET(TblProd[[#This Row],[Ore/hr]],-1,0) -TblProd[[#This Row],[Expenses Ore]]</f>
        <v>0</v>
      </c>
      <c r="M25" s="94">
        <f ca="1">OFFSET(TblProd[[#This Row],[Gems]],-1,0)+OFFSET(TblProd[[#This Row],[Gems/hr]],-1,0) - TblProd[[#This Row],[Expenses Gems]]</f>
        <v>0</v>
      </c>
      <c r="N25" s="94">
        <f ca="1">OFFSET(TblProd[[#This Row],[Boats]],-1,0)+OFFSET(TblProd[[#This Row],[Boats/hr]],-1,0)</f>
        <v>0</v>
      </c>
      <c r="O25" s="94">
        <f ca="1">OFFSET(TblProd[[#This Row],[Prestige]],-1,0)</f>
        <v>250</v>
      </c>
      <c r="P2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5" s="94">
        <f ca="1">MAX(_xlfn.CEILING.MATH(TblProd[[#This Row],[Land]]*2.5+IFERROR(OFFSET(TblTech[[#This Row],[Sum of tech]],-1,0)*50,0)),3750)</f>
        <v>3750</v>
      </c>
      <c r="R25" s="142"/>
      <c r="S25" s="94">
        <f ca="1">ROUNDDOWN(TblProd[[#This Row],[Raw Plat/hr]]*(1+TblProd[[#This Row],[Bonus Plat/hr]]),0)</f>
        <v>1028</v>
      </c>
      <c r="T25" s="94">
        <f ca="1">ROUND(TblProd[[#This Row],[Raw Food/hr]]*(1+TblProd[[#This Row],[Bonus Food/hr]])-TblProd[[#This Row],[Food decay]]-TblProd[[#This Row],[Food eaten]],0)</f>
        <v>1812</v>
      </c>
      <c r="U25" s="94">
        <f ca="1">ROUND(TblProd[[#This Row],[Raw Lumber/hr]]*(1+TblProd[[#This Row],[Bonus Lumber/hr]])-TblProd[[#This Row],[Lumber rot]],0)</f>
        <v>688</v>
      </c>
      <c r="V25" s="94">
        <f ca="1">ROUND(TblProd[[#This Row],[Raw Mana/hr]]*(1+TblProd[[#This Row],[Bonus Mana/hr]])-TblProd[[#This Row],[Mana drain]],0)</f>
        <v>0</v>
      </c>
      <c r="W25" s="94">
        <f ca="1">ROUNDDOWN(TblProd[[#This Row],[Raw Ore/hr]]*(1+TblProd[[#This Row],[Bonux Ore/hr]]),0)</f>
        <v>0</v>
      </c>
      <c r="X25" s="94">
        <f ca="1">ROUNDDOWN(TblProd[[#This Row],[Raw Gems/hr]]*(1+TblProd[[#This Row],[Bonus Gems/hr]]),0)</f>
        <v>0</v>
      </c>
      <c r="Y25" s="155">
        <f ca="1">OFFSET(TblConstr[[#This Row],[Tot Doc]],1,0)*dock_boats_hr * (1 + tech_4_1*TblTech[[#This Row],[4-1]])</f>
        <v>0</v>
      </c>
      <c r="Z25" s="154"/>
      <c r="AA25" s="94">
        <f ca="1">TblPop[[#This Row],[Peasants]]*tax*TblPop[[#This Row],[Employment]] + (Construction!AZ26+Construction!BX26)*(alch_plat+(Magic!AN25&gt;0)*alchemist_flame_bonus)</f>
        <v>1028.7</v>
      </c>
      <c r="AB25" s="94">
        <f ca="1">TblConstr[[#This Row],[Tot Farm]]*farm_food + TblConstr[[#This Row],[Tot Doc]]*dock_food</f>
        <v>2400</v>
      </c>
      <c r="AC25" s="94">
        <f ca="1">TblConstr[[#This Row],[Tot Ly]]*ly_lumber + TblConstr[[#This Row],[Tot Hav]]*fh_lumber + IF(race="Wood Elf",TblMili[[#This Row],[Unit 2]]*MIN(TblMili[[#This Row],[Homeland%]]/wisp_bonus,wisp_cap),0)</f>
        <v>1000</v>
      </c>
      <c r="AD25" s="94">
        <f ca="1">OFFSET(TblConstr[[#This Row],[Tot Tow]],1,0)*(tower_mana + tech_4_5*TblTech[[#This Row],[4-5]]) + OFFSET(TblConstr[[#This Row],[Tot WG]],1,0)*wg_mana_prod</f>
        <v>0</v>
      </c>
      <c r="AE25" s="94">
        <f ca="1">OFFSET(TblConstr[[#This Row],[Tot OM]],1,0)*om_ore+IF(race="Dwarf",TblMili[[#This Row],[Unit 2]]*0.5,0)</f>
        <v>0</v>
      </c>
      <c r="AF25" s="94">
        <f ca="1">OFFSET(TblConstr[[#This Row],[Tot DM]],1,0)*dm_gems</f>
        <v>0</v>
      </c>
      <c r="AG25" s="142"/>
      <c r="AH25" s="156">
        <f ca="1">MIN(race_platinum_bonus + IF(TblMagic[[#This Row],[Active Arc Infusion]]&gt;0,alch_frost_bonus,IF(Magic!AE25&gt;0,midas_bonus)) + TblImps[[#This Row],[Science]] - TblProd[[#This Row],[Guard]]*(0.02 + tech_5_7*TblTech[[#This Row],[5-7]]) + tech_1_5*TblTech[[#This Row],[1-5]] + tech_4_4*TblTech[[#This Row],[4-4]] + IF(TblMagic[[#This Row],[Active Infernal Command]]&gt;0,demonic_pact_plat,0), 0.5)</f>
        <v>0</v>
      </c>
      <c r="AI2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5" s="156">
        <f ca="1">race_lumber_bonus+ IF(TblMagic[[#This Row],[Active Gaia''s Blessing]]&gt;0,gaias_blessing_lumber)+ tech_1_3*TblTech[[#This Row],[1-3]] + tech_1_6*TblTech[[#This Row],[1-6]] + tech_3_3*TblTech[[#This Row],[3-3]]</f>
        <v>0</v>
      </c>
      <c r="AK25" s="156">
        <f ca="1">race_mana_bonus+ 0 + TblImps[[#This Row],[Spires]] + tech_1_2*TblTech[[#This Row],[1-2]] + tech_3_4*TblTech[[#This Row],[3-4]]</f>
        <v>0</v>
      </c>
      <c r="AL25" s="156">
        <f ca="1">race_ore_bonus + IF(TblMagic[[#This Row],[Active Miner''s Sight]]&gt;0,miners_sight_bonus,IF(TblMagic[[#This Row],[Active Mining Strength]]&gt;0,mining_strength_bonus)) +  tech_1_6*TblTech[[#This Row],[1-6]]</f>
        <v>0</v>
      </c>
      <c r="AM25" s="156">
        <f>race_gem_bonus+ tech_3_2*TblTech[[#This Row],[3-2]] + tech_4_3*TblTech[[#This Row],[4-3]] + tech_6_2*TblTech[[#This Row],[6-2]]</f>
        <v>0</v>
      </c>
      <c r="AN25" s="142"/>
      <c r="AO25" s="94">
        <f ca="1">TblProd[[#This Row],[Food]]*food_decay * (1 + tech_2_1*TblTech[[#This Row],[2-1]] + tech_2_8*TblTech[[#This Row],[2-8]] + IF(AND(TblMagic[[#This Row],[Active DnD]]&lt;12,TblMagic[[#This Row],[Active DnD]]&gt;5),1,0))</f>
        <v>575.79</v>
      </c>
      <c r="AP25" s="94">
        <f ca="1">(1+race_food_consumption)*TblPop[[#This Row],[Total]]*food_per_person*(1+tech_1_10*TblTech[[#This Row],[1-10]]+tech_7_5*TblTech[[#This Row],[7-5]] + IF(TblMagic[[#This Row],[Active Infernal Command]]&gt;0,demonic_pact_food_cons,0))</f>
        <v>192.25</v>
      </c>
      <c r="AQ25" s="94">
        <f ca="1">TblProd[[#This Row],[Lumber]]*lumber_rot * (1 + tech_2_1*TblTech[[#This Row],[2-1]] + tech_2_8*TblTech[[#This Row],[2-8]] + tech_5_2*TblTech[[#This Row],[5-2]] + IF(AND(TblMagic[[#This Row],[Active DnD]]&lt;12,TblMagic[[#This Row],[Active DnD]]&gt;5),1,0))</f>
        <v>311.72000000000003</v>
      </c>
      <c r="AR25" s="94">
        <f ca="1">TblProd[[#This Row],[Mana]]*mana_drain * (1 + tech_2_1*TblTech[[#This Row],[2-1]] + tech_2_8*TblTech[[#This Row],[2-8]])</f>
        <v>0</v>
      </c>
      <c r="AS25" s="154"/>
      <c r="AT25" s="94">
        <f ca="1">TblExplore[[#This Row],[Platinum (2)]]+TblConstr[[#This Row],[Total Plat Cost]]+TblMili[[#This Row],[Plat Cost]]+TblRezone[[#This Row],[Platinum cost]]+TblImps[[#This Row],[P1]]-TblProd[[#This Row],[Bank Plat]]</f>
        <v>0</v>
      </c>
      <c r="AU25" s="94">
        <f ca="1">TblConstr[[#This Row],[Total Lum Cost]]+TblImps[[#This Row],[L1]]-TblProd[[#This Row],[Bank Lumber]] + Military!$CO$25*TblMili[[#This Row],[Sec. rec. Cost]]</f>
        <v>0</v>
      </c>
      <c r="AV25" s="94">
        <f ca="1">TblMagic[[#This Row],[Mana cost]] + Military!$CO$26*TblMili[[#This Row],[Sec. rec. Cost]]</f>
        <v>0</v>
      </c>
      <c r="AW25" s="94">
        <f ca="1">Military!$CO$24*TblMili[[#This Row],[Sec. rec. Cost]]+TblImps[[#This Row],[O1]]-TblProd[[#This Row],[Bank Ore]]</f>
        <v>0</v>
      </c>
      <c r="AX25" s="94">
        <f>TblImps[[#This Row],[G1]]-TblProd[[#This Row],[Bank Gems]]</f>
        <v>0</v>
      </c>
      <c r="AY25" s="142"/>
      <c r="AZ25" s="61" t="b">
        <f ca="1">IF(TblProd[[#This Row],[Set Guard]]&lt;&gt;"",TblProd[[#This Row],[Set Guard]],OFFSET(TblProd[[#This Row],[Guard]],-1,0))</f>
        <v>0</v>
      </c>
      <c r="BA25" s="153"/>
      <c r="BB25" s="45">
        <f>TblProd[[#This Row],[Hour]]</f>
        <v>22</v>
      </c>
      <c r="BC25" s="158">
        <f>-TblProd[[#This Row],[Bank Lumber]] / 2 + -TblProd[[#This Row],[Bank Gems]] * 2 + -TblProd[[#This Row],[Bank Ore]] / 2</f>
        <v>0</v>
      </c>
      <c r="BD25" s="158"/>
      <c r="BE25" s="158"/>
      <c r="BF25" s="158"/>
      <c r="BG25" s="159">
        <f ca="1">TblProd[[#This Row],[Time]]</f>
        <v>46320.874999999949</v>
      </c>
      <c r="BH25" s="45"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94">
        <f ca="1">TblProd[[#This Row],[Platinum]]</f>
        <v>144114</v>
      </c>
      <c r="BJ25" s="94">
        <f ca="1">TblProd[[#This Row],[Food]]</f>
        <v>57579</v>
      </c>
      <c r="BK25" s="94">
        <f ca="1">TblProd[[#This Row],[Lumber]]</f>
        <v>31172</v>
      </c>
      <c r="BL25" s="94">
        <f ca="1">TblProd[[#This Row],[Mana]]</f>
        <v>0</v>
      </c>
      <c r="BM25" s="94">
        <f ca="1">TblProd[[#This Row],[Ore]]</f>
        <v>0</v>
      </c>
    </row>
    <row r="26" spans="1:65" x14ac:dyDescent="0.2">
      <c r="A26" s="137">
        <v>23</v>
      </c>
      <c r="B26" s="152">
        <f ca="1">TblImps[[#This Row],[Time]]</f>
        <v>46320.916666666613</v>
      </c>
      <c r="C26" s="153"/>
      <c r="D26" s="154"/>
      <c r="E26" s="94">
        <f ca="1">TblConstr[[#This Row],[Land]]</f>
        <v>50</v>
      </c>
      <c r="F26" s="94">
        <f ca="1">TblPop[[#This Row],[Peasants]]</f>
        <v>377</v>
      </c>
      <c r="G26" s="94">
        <f ca="1">TblMili[[#This Row],[Networth (2)]]</f>
        <v>1250</v>
      </c>
      <c r="H26" s="94">
        <f ca="1">OFFSET(TblProd[[#This Row],[Platinum]],-1,0)+OFFSET(TblProd[[#This Row],[Plat/hr]],-1,0) - TblProd[[#This Row],[Expenses Platinum]] + IF(TblProd[[#This Row],[Plat Bonus]],TblPop[[#This Row],[Peasants]]*4) + SUM(TblConstr[[#This Row],[Dest Hom]:[Dest Doc]])*TblConstr[[#This Row],[CPA Platinum -DB]]*tech_3_3_2*TblTech[[#This Row],[3-3]]</f>
        <v>145142</v>
      </c>
      <c r="I26" s="94">
        <f ca="1">OFFSET(TblProd[[#This Row],[Food]],-1,0)+OFFSET(TblProd[[#This Row],[Food/hr]],-1,0)+ROUNDUP((TblConstr[[#This Row],[Farms]]*80+TblConstr[[#This Row],[Docks]]*35)*(1+OFFSET(TblProd[[#This Row],[Bonus Food/hr]],-1,0)),0)</f>
        <v>59391</v>
      </c>
      <c r="J26" s="94">
        <f ca="1">OFFSET(TblProd[[#This Row],[Lumber]],-1,0)+OFFSET(TblProd[[#This Row],[Lumber/hr]],-1,0) - TblProd[[#This Row],[Expenses Lumber]] + SUM(TblConstr[[#This Row],[Dest Hom]:[Dest Doc]])*TblConstr[[#This Row],[CPA Lumber -DB]]*tech_3_3_2*TblTech[[#This Row],[3-3]]</f>
        <v>31860</v>
      </c>
      <c r="K26" s="94">
        <f ca="1">OFFSET(TblProd[[#This Row],[Mana]],-1,0)+OFFSET(TblProd[[#This Row],[Mana/hr]],-1,0)- TblProd[[#This Row],[Expenses Mana]]</f>
        <v>0</v>
      </c>
      <c r="L26" s="94">
        <f ca="1">OFFSET(TblProd[[#This Row],[Ore]],-1,0)+OFFSET(TblProd[[#This Row],[Ore/hr]],-1,0) -TblProd[[#This Row],[Expenses Ore]]</f>
        <v>0</v>
      </c>
      <c r="M26" s="94">
        <f ca="1">OFFSET(TblProd[[#This Row],[Gems]],-1,0)+OFFSET(TblProd[[#This Row],[Gems/hr]],-1,0) - TblProd[[#This Row],[Expenses Gems]]</f>
        <v>0</v>
      </c>
      <c r="N26" s="94">
        <f ca="1">OFFSET(TblProd[[#This Row],[Boats]],-1,0)+OFFSET(TblProd[[#This Row],[Boats/hr]],-1,0)</f>
        <v>0</v>
      </c>
      <c r="O26" s="94">
        <f ca="1">OFFSET(TblProd[[#This Row],[Prestige]],-1,0)</f>
        <v>250</v>
      </c>
      <c r="P2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6" s="94">
        <f ca="1">MAX(_xlfn.CEILING.MATH(TblProd[[#This Row],[Land]]*2.5+IFERROR(OFFSET(TblTech[[#This Row],[Sum of tech]],-1,0)*50,0)),3750)</f>
        <v>3750</v>
      </c>
      <c r="R26" s="142"/>
      <c r="S26" s="94">
        <f ca="1">ROUNDDOWN(TblProd[[#This Row],[Raw Plat/hr]]*(1+TblProd[[#This Row],[Bonus Plat/hr]]),0)</f>
        <v>1017</v>
      </c>
      <c r="T26" s="94">
        <f ca="1">ROUND(TblProd[[#This Row],[Raw Food/hr]]*(1+TblProd[[#This Row],[Bonus Food/hr]])-TblProd[[#This Row],[Food decay]]-TblProd[[#This Row],[Food eaten]],0)</f>
        <v>1794</v>
      </c>
      <c r="U26" s="94">
        <f ca="1">ROUND(TblProd[[#This Row],[Raw Lumber/hr]]*(1+TblProd[[#This Row],[Bonus Lumber/hr]])-TblProd[[#This Row],[Lumber rot]],0)</f>
        <v>681</v>
      </c>
      <c r="V26" s="94">
        <f ca="1">ROUND(TblProd[[#This Row],[Raw Mana/hr]]*(1+TblProd[[#This Row],[Bonus Mana/hr]])-TblProd[[#This Row],[Mana drain]],0)</f>
        <v>0</v>
      </c>
      <c r="W26" s="94">
        <f ca="1">ROUNDDOWN(TblProd[[#This Row],[Raw Ore/hr]]*(1+TblProd[[#This Row],[Bonux Ore/hr]]),0)</f>
        <v>0</v>
      </c>
      <c r="X26" s="94">
        <f ca="1">ROUNDDOWN(TblProd[[#This Row],[Raw Gems/hr]]*(1+TblProd[[#This Row],[Bonus Gems/hr]]),0)</f>
        <v>0</v>
      </c>
      <c r="Y26" s="155">
        <f ca="1">OFFSET(TblConstr[[#This Row],[Tot Doc]],1,0)*dock_boats_hr * (1 + tech_4_1*TblTech[[#This Row],[4-1]])</f>
        <v>0</v>
      </c>
      <c r="Z26" s="154"/>
      <c r="AA26" s="94">
        <f ca="1">TblPop[[#This Row],[Peasants]]*tax*TblPop[[#This Row],[Employment]] + (Construction!AZ27+Construction!BX27)*(alch_plat+(Magic!AN26&gt;0)*alchemist_flame_bonus)</f>
        <v>1017.9000000000001</v>
      </c>
      <c r="AB26" s="94">
        <f ca="1">TblConstr[[#This Row],[Tot Farm]]*farm_food + TblConstr[[#This Row],[Tot Doc]]*dock_food</f>
        <v>2400</v>
      </c>
      <c r="AC26" s="94">
        <f ca="1">TblConstr[[#This Row],[Tot Ly]]*ly_lumber + TblConstr[[#This Row],[Tot Hav]]*fh_lumber + IF(race="Wood Elf",TblMili[[#This Row],[Unit 2]]*MIN(TblMili[[#This Row],[Homeland%]]/wisp_bonus,wisp_cap),0)</f>
        <v>1000</v>
      </c>
      <c r="AD26" s="94">
        <f ca="1">OFFSET(TblConstr[[#This Row],[Tot Tow]],1,0)*(tower_mana + tech_4_5*TblTech[[#This Row],[4-5]]) + OFFSET(TblConstr[[#This Row],[Tot WG]],1,0)*wg_mana_prod</f>
        <v>0</v>
      </c>
      <c r="AE26" s="94">
        <f ca="1">OFFSET(TblConstr[[#This Row],[Tot OM]],1,0)*om_ore+IF(race="Dwarf",TblMili[[#This Row],[Unit 2]]*0.5,0)</f>
        <v>0</v>
      </c>
      <c r="AF26" s="94">
        <f ca="1">OFFSET(TblConstr[[#This Row],[Tot DM]],1,0)*dm_gems</f>
        <v>0</v>
      </c>
      <c r="AG26" s="142"/>
      <c r="AH26" s="156">
        <f ca="1">MIN(race_platinum_bonus + IF(TblMagic[[#This Row],[Active Arc Infusion]]&gt;0,alch_frost_bonus,IF(Magic!AE26&gt;0,midas_bonus)) + TblImps[[#This Row],[Science]] - TblProd[[#This Row],[Guard]]*(0.02 + tech_5_7*TblTech[[#This Row],[5-7]]) + tech_1_5*TblTech[[#This Row],[1-5]] + tech_4_4*TblTech[[#This Row],[4-4]] + IF(TblMagic[[#This Row],[Active Infernal Command]]&gt;0,demonic_pact_plat,0), 0.5)</f>
        <v>0</v>
      </c>
      <c r="AI2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6" s="156">
        <f ca="1">race_lumber_bonus+ IF(TblMagic[[#This Row],[Active Gaia''s Blessing]]&gt;0,gaias_blessing_lumber)+ tech_1_3*TblTech[[#This Row],[1-3]] + tech_1_6*TblTech[[#This Row],[1-6]] + tech_3_3*TblTech[[#This Row],[3-3]]</f>
        <v>0</v>
      </c>
      <c r="AK26" s="156">
        <f ca="1">race_mana_bonus+ 0 + TblImps[[#This Row],[Spires]] + tech_1_2*TblTech[[#This Row],[1-2]] + tech_3_4*TblTech[[#This Row],[3-4]]</f>
        <v>0</v>
      </c>
      <c r="AL26" s="156">
        <f ca="1">race_ore_bonus + IF(TblMagic[[#This Row],[Active Miner''s Sight]]&gt;0,miners_sight_bonus,IF(TblMagic[[#This Row],[Active Mining Strength]]&gt;0,mining_strength_bonus)) +  tech_1_6*TblTech[[#This Row],[1-6]]</f>
        <v>0</v>
      </c>
      <c r="AM26" s="156">
        <f>race_gem_bonus+ tech_3_2*TblTech[[#This Row],[3-2]] + tech_4_3*TblTech[[#This Row],[4-3]] + tech_6_2*TblTech[[#This Row],[6-2]]</f>
        <v>0</v>
      </c>
      <c r="AN26" s="142"/>
      <c r="AO26" s="94">
        <f ca="1">TblProd[[#This Row],[Food]]*food_decay * (1 + tech_2_1*TblTech[[#This Row],[2-1]] + tech_2_8*TblTech[[#This Row],[2-8]] + IF(AND(TblMagic[[#This Row],[Active DnD]]&lt;12,TblMagic[[#This Row],[Active DnD]]&gt;5),1,0))</f>
        <v>593.91</v>
      </c>
      <c r="AP26" s="94">
        <f ca="1">(1+race_food_consumption)*TblPop[[#This Row],[Total]]*food_per_person*(1+tech_1_10*TblTech[[#This Row],[1-10]]+tech_7_5*TblTech[[#This Row],[7-5]] + IF(TblMagic[[#This Row],[Active Infernal Command]]&gt;0,demonic_pact_food_cons,0))</f>
        <v>192.25</v>
      </c>
      <c r="AQ26" s="94">
        <f ca="1">TblProd[[#This Row],[Lumber]]*lumber_rot * (1 + tech_2_1*TblTech[[#This Row],[2-1]] + tech_2_8*TblTech[[#This Row],[2-8]] + tech_5_2*TblTech[[#This Row],[5-2]] + IF(AND(TblMagic[[#This Row],[Active DnD]]&lt;12,TblMagic[[#This Row],[Active DnD]]&gt;5),1,0))</f>
        <v>318.60000000000002</v>
      </c>
      <c r="AR26" s="94">
        <f ca="1">TblProd[[#This Row],[Mana]]*mana_drain * (1 + tech_2_1*TblTech[[#This Row],[2-1]] + tech_2_8*TblTech[[#This Row],[2-8]])</f>
        <v>0</v>
      </c>
      <c r="AS26" s="154"/>
      <c r="AT26" s="94">
        <f ca="1">TblExplore[[#This Row],[Platinum (2)]]+TblConstr[[#This Row],[Total Plat Cost]]+TblMili[[#This Row],[Plat Cost]]+TblRezone[[#This Row],[Platinum cost]]+TblImps[[#This Row],[P1]]-TblProd[[#This Row],[Bank Plat]]</f>
        <v>0</v>
      </c>
      <c r="AU26" s="94">
        <f ca="1">TblConstr[[#This Row],[Total Lum Cost]]+TblImps[[#This Row],[L1]]-TblProd[[#This Row],[Bank Lumber]] + Military!$CO$25*TblMili[[#This Row],[Sec. rec. Cost]]</f>
        <v>0</v>
      </c>
      <c r="AV26" s="94">
        <f ca="1">TblMagic[[#This Row],[Mana cost]] + Military!$CO$26*TblMili[[#This Row],[Sec. rec. Cost]]</f>
        <v>0</v>
      </c>
      <c r="AW26" s="94">
        <f ca="1">Military!$CO$24*TblMili[[#This Row],[Sec. rec. Cost]]+TblImps[[#This Row],[O1]]-TblProd[[#This Row],[Bank Ore]]</f>
        <v>0</v>
      </c>
      <c r="AX26" s="94">
        <f>TblImps[[#This Row],[G1]]-TblProd[[#This Row],[Bank Gems]]</f>
        <v>0</v>
      </c>
      <c r="AY26" s="142"/>
      <c r="AZ26" s="61" t="b">
        <f ca="1">IF(TblProd[[#This Row],[Set Guard]]&lt;&gt;"",TblProd[[#This Row],[Set Guard]],OFFSET(TblProd[[#This Row],[Guard]],-1,0))</f>
        <v>0</v>
      </c>
      <c r="BA26" s="153"/>
      <c r="BB26" s="45">
        <f>TblProd[[#This Row],[Hour]]</f>
        <v>23</v>
      </c>
      <c r="BC26" s="158">
        <f>-TblProd[[#This Row],[Bank Lumber]] / 2 + -TblProd[[#This Row],[Bank Gems]] * 2 + -TblProd[[#This Row],[Bank Ore]] / 2</f>
        <v>0</v>
      </c>
      <c r="BD26" s="158"/>
      <c r="BE26" s="158"/>
      <c r="BF26" s="158"/>
      <c r="BG26" s="159">
        <f ca="1">TblProd[[#This Row],[Time]]</f>
        <v>46320.916666666613</v>
      </c>
      <c r="BH26" s="45"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94">
        <f ca="1">TblProd[[#This Row],[Platinum]]</f>
        <v>145142</v>
      </c>
      <c r="BJ26" s="94">
        <f ca="1">TblProd[[#This Row],[Food]]</f>
        <v>59391</v>
      </c>
      <c r="BK26" s="94">
        <f ca="1">TblProd[[#This Row],[Lumber]]</f>
        <v>31860</v>
      </c>
      <c r="BL26" s="94">
        <f ca="1">TblProd[[#This Row],[Mana]]</f>
        <v>0</v>
      </c>
      <c r="BM26" s="94">
        <f ca="1">TblProd[[#This Row],[Ore]]</f>
        <v>0</v>
      </c>
    </row>
    <row r="27" spans="1:65" x14ac:dyDescent="0.2">
      <c r="A27" s="137">
        <v>24</v>
      </c>
      <c r="B27" s="152">
        <f ca="1">TblImps[[#This Row],[Time]]</f>
        <v>46320.958333333278</v>
      </c>
      <c r="C27" s="153"/>
      <c r="D27" s="154"/>
      <c r="E27" s="94">
        <f ca="1">TblConstr[[#This Row],[Land]]</f>
        <v>50</v>
      </c>
      <c r="F27" s="94">
        <f ca="1">TblPop[[#This Row],[Peasants]]</f>
        <v>373</v>
      </c>
      <c r="G27" s="94">
        <f ca="1">TblMili[[#This Row],[Networth (2)]]</f>
        <v>1250</v>
      </c>
      <c r="H27" s="94">
        <f ca="1">OFFSET(TblProd[[#This Row],[Platinum]],-1,0)+OFFSET(TblProd[[#This Row],[Plat/hr]],-1,0) - TblProd[[#This Row],[Expenses Platinum]] + IF(TblProd[[#This Row],[Plat Bonus]],TblPop[[#This Row],[Peasants]]*4) + SUM(TblConstr[[#This Row],[Dest Hom]:[Dest Doc]])*TblConstr[[#This Row],[CPA Platinum -DB]]*tech_3_3_2*TblTech[[#This Row],[3-3]]</f>
        <v>146159</v>
      </c>
      <c r="I27" s="94">
        <f ca="1">OFFSET(TblProd[[#This Row],[Food]],-1,0)+OFFSET(TblProd[[#This Row],[Food/hr]],-1,0)+ROUNDUP((TblConstr[[#This Row],[Farms]]*80+TblConstr[[#This Row],[Docks]]*35)*(1+OFFSET(TblProd[[#This Row],[Bonus Food/hr]],-1,0)),0)</f>
        <v>61185</v>
      </c>
      <c r="J27" s="94">
        <f ca="1">OFFSET(TblProd[[#This Row],[Lumber]],-1,0)+OFFSET(TblProd[[#This Row],[Lumber/hr]],-1,0) - TblProd[[#This Row],[Expenses Lumber]] + SUM(TblConstr[[#This Row],[Dest Hom]:[Dest Doc]])*TblConstr[[#This Row],[CPA Lumber -DB]]*tech_3_3_2*TblTech[[#This Row],[3-3]]</f>
        <v>32541</v>
      </c>
      <c r="K27" s="94">
        <f ca="1">OFFSET(TblProd[[#This Row],[Mana]],-1,0)+OFFSET(TblProd[[#This Row],[Mana/hr]],-1,0)- TblProd[[#This Row],[Expenses Mana]]</f>
        <v>0</v>
      </c>
      <c r="L27" s="94">
        <f ca="1">OFFSET(TblProd[[#This Row],[Ore]],-1,0)+OFFSET(TblProd[[#This Row],[Ore/hr]],-1,0) -TblProd[[#This Row],[Expenses Ore]]</f>
        <v>0</v>
      </c>
      <c r="M27" s="94">
        <f ca="1">OFFSET(TblProd[[#This Row],[Gems]],-1,0)+OFFSET(TblProd[[#This Row],[Gems/hr]],-1,0) - TblProd[[#This Row],[Expenses Gems]]</f>
        <v>0</v>
      </c>
      <c r="N27" s="94">
        <f ca="1">OFFSET(TblProd[[#This Row],[Boats]],-1,0)+OFFSET(TblProd[[#This Row],[Boats/hr]],-1,0)</f>
        <v>0</v>
      </c>
      <c r="O27" s="94">
        <f ca="1">OFFSET(TblProd[[#This Row],[Prestige]],-1,0)</f>
        <v>250</v>
      </c>
      <c r="P2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7" s="94">
        <f ca="1">MAX(_xlfn.CEILING.MATH(TblProd[[#This Row],[Land]]*2.5+IFERROR(OFFSET(TblTech[[#This Row],[Sum of tech]],-1,0)*50,0)),3750)</f>
        <v>3750</v>
      </c>
      <c r="R27" s="142"/>
      <c r="S27" s="94">
        <f ca="1">ROUNDDOWN(TblProd[[#This Row],[Raw Plat/hr]]*(1+TblProd[[#This Row],[Bonus Plat/hr]]),0)</f>
        <v>1007</v>
      </c>
      <c r="T27" s="94">
        <f ca="1">ROUND(TblProd[[#This Row],[Raw Food/hr]]*(1+TblProd[[#This Row],[Bonus Food/hr]])-TblProd[[#This Row],[Food decay]]-TblProd[[#This Row],[Food eaten]],0)</f>
        <v>1776</v>
      </c>
      <c r="U27" s="94">
        <f ca="1">ROUND(TblProd[[#This Row],[Raw Lumber/hr]]*(1+TblProd[[#This Row],[Bonus Lumber/hr]])-TblProd[[#This Row],[Lumber rot]],0)</f>
        <v>675</v>
      </c>
      <c r="V27" s="94">
        <f ca="1">ROUND(TblProd[[#This Row],[Raw Mana/hr]]*(1+TblProd[[#This Row],[Bonus Mana/hr]])-TblProd[[#This Row],[Mana drain]],0)</f>
        <v>0</v>
      </c>
      <c r="W27" s="94">
        <f ca="1">ROUNDDOWN(TblProd[[#This Row],[Raw Ore/hr]]*(1+TblProd[[#This Row],[Bonux Ore/hr]]),0)</f>
        <v>0</v>
      </c>
      <c r="X27" s="94">
        <f ca="1">ROUNDDOWN(TblProd[[#This Row],[Raw Gems/hr]]*(1+TblProd[[#This Row],[Bonus Gems/hr]]),0)</f>
        <v>0</v>
      </c>
      <c r="Y27" s="155">
        <f ca="1">OFFSET(TblConstr[[#This Row],[Tot Doc]],1,0)*dock_boats_hr * (1 + tech_4_1*TblTech[[#This Row],[4-1]])</f>
        <v>0</v>
      </c>
      <c r="Z27" s="154"/>
      <c r="AA27" s="94">
        <f ca="1">TblPop[[#This Row],[Peasants]]*tax*TblPop[[#This Row],[Employment]] + (Construction!AZ28+Construction!BX28)*(alch_plat+(Magic!AN27&gt;0)*alchemist_flame_bonus)</f>
        <v>1007.1</v>
      </c>
      <c r="AB27" s="94">
        <f ca="1">TblConstr[[#This Row],[Tot Farm]]*farm_food + TblConstr[[#This Row],[Tot Doc]]*dock_food</f>
        <v>2400</v>
      </c>
      <c r="AC27" s="94">
        <f ca="1">TblConstr[[#This Row],[Tot Ly]]*ly_lumber + TblConstr[[#This Row],[Tot Hav]]*fh_lumber + IF(race="Wood Elf",TblMili[[#This Row],[Unit 2]]*MIN(TblMili[[#This Row],[Homeland%]]/wisp_bonus,wisp_cap),0)</f>
        <v>1000</v>
      </c>
      <c r="AD27" s="94">
        <f ca="1">OFFSET(TblConstr[[#This Row],[Tot Tow]],1,0)*(tower_mana + tech_4_5*TblTech[[#This Row],[4-5]]) + OFFSET(TblConstr[[#This Row],[Tot WG]],1,0)*wg_mana_prod</f>
        <v>0</v>
      </c>
      <c r="AE27" s="94">
        <f ca="1">OFFSET(TblConstr[[#This Row],[Tot OM]],1,0)*om_ore+IF(race="Dwarf",TblMili[[#This Row],[Unit 2]]*0.5,0)</f>
        <v>0</v>
      </c>
      <c r="AF27" s="94">
        <f ca="1">OFFSET(TblConstr[[#This Row],[Tot DM]],1,0)*dm_gems</f>
        <v>0</v>
      </c>
      <c r="AG27" s="142"/>
      <c r="AH27" s="156">
        <f ca="1">MIN(race_platinum_bonus + IF(TblMagic[[#This Row],[Active Arc Infusion]]&gt;0,alch_frost_bonus,IF(Magic!AE27&gt;0,midas_bonus)) + TblImps[[#This Row],[Science]] - TblProd[[#This Row],[Guard]]*(0.02 + tech_5_7*TblTech[[#This Row],[5-7]]) + tech_1_5*TblTech[[#This Row],[1-5]] + tech_4_4*TblTech[[#This Row],[4-4]] + IF(TblMagic[[#This Row],[Active Infernal Command]]&gt;0,demonic_pact_plat,0), 0.5)</f>
        <v>0</v>
      </c>
      <c r="AI2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7" s="156">
        <f ca="1">race_lumber_bonus+ IF(TblMagic[[#This Row],[Active Gaia''s Blessing]]&gt;0,gaias_blessing_lumber)+ tech_1_3*TblTech[[#This Row],[1-3]] + tech_1_6*TblTech[[#This Row],[1-6]] + tech_3_3*TblTech[[#This Row],[3-3]]</f>
        <v>0</v>
      </c>
      <c r="AK27" s="156">
        <f ca="1">race_mana_bonus+ 0 + TblImps[[#This Row],[Spires]] + tech_1_2*TblTech[[#This Row],[1-2]] + tech_3_4*TblTech[[#This Row],[3-4]]</f>
        <v>0</v>
      </c>
      <c r="AL27" s="156">
        <f ca="1">race_ore_bonus + IF(TblMagic[[#This Row],[Active Miner''s Sight]]&gt;0,miners_sight_bonus,IF(TblMagic[[#This Row],[Active Mining Strength]]&gt;0,mining_strength_bonus)) +  tech_1_6*TblTech[[#This Row],[1-6]]</f>
        <v>0</v>
      </c>
      <c r="AM27" s="156">
        <f>race_gem_bonus+ tech_3_2*TblTech[[#This Row],[3-2]] + tech_4_3*TblTech[[#This Row],[4-3]] + tech_6_2*TblTech[[#This Row],[6-2]]</f>
        <v>0</v>
      </c>
      <c r="AN27" s="142"/>
      <c r="AO27" s="94">
        <f ca="1">TblProd[[#This Row],[Food]]*food_decay * (1 + tech_2_1*TblTech[[#This Row],[2-1]] + tech_2_8*TblTech[[#This Row],[2-8]] + IF(AND(TblMagic[[#This Row],[Active DnD]]&lt;12,TblMagic[[#This Row],[Active DnD]]&gt;5),1,0))</f>
        <v>611.85</v>
      </c>
      <c r="AP27" s="94">
        <f ca="1">(1+race_food_consumption)*TblPop[[#This Row],[Total]]*food_per_person*(1+tech_1_10*TblTech[[#This Row],[1-10]]+tech_7_5*TblTech[[#This Row],[7-5]] + IF(TblMagic[[#This Row],[Active Infernal Command]]&gt;0,demonic_pact_food_cons,0))</f>
        <v>192.25</v>
      </c>
      <c r="AQ27" s="94">
        <f ca="1">TblProd[[#This Row],[Lumber]]*lumber_rot * (1 + tech_2_1*TblTech[[#This Row],[2-1]] + tech_2_8*TblTech[[#This Row],[2-8]] + tech_5_2*TblTech[[#This Row],[5-2]] + IF(AND(TblMagic[[#This Row],[Active DnD]]&lt;12,TblMagic[[#This Row],[Active DnD]]&gt;5),1,0))</f>
        <v>325.41000000000003</v>
      </c>
      <c r="AR27" s="94">
        <f ca="1">TblProd[[#This Row],[Mana]]*mana_drain * (1 + tech_2_1*TblTech[[#This Row],[2-1]] + tech_2_8*TblTech[[#This Row],[2-8]])</f>
        <v>0</v>
      </c>
      <c r="AS27" s="154"/>
      <c r="AT27" s="94">
        <f ca="1">TblExplore[[#This Row],[Platinum (2)]]+TblConstr[[#This Row],[Total Plat Cost]]+TblMili[[#This Row],[Plat Cost]]+TblRezone[[#This Row],[Platinum cost]]+TblImps[[#This Row],[P1]]-TblProd[[#This Row],[Bank Plat]]</f>
        <v>0</v>
      </c>
      <c r="AU27" s="94">
        <f ca="1">TblConstr[[#This Row],[Total Lum Cost]]+TblImps[[#This Row],[L1]]-TblProd[[#This Row],[Bank Lumber]] + Military!$CO$25*TblMili[[#This Row],[Sec. rec. Cost]]</f>
        <v>0</v>
      </c>
      <c r="AV27" s="94">
        <f ca="1">TblMagic[[#This Row],[Mana cost]] + Military!$CO$26*TblMili[[#This Row],[Sec. rec. Cost]]</f>
        <v>0</v>
      </c>
      <c r="AW27" s="94">
        <f ca="1">Military!$CO$24*TblMili[[#This Row],[Sec. rec. Cost]]+TblImps[[#This Row],[O1]]-TblProd[[#This Row],[Bank Ore]]</f>
        <v>0</v>
      </c>
      <c r="AX27" s="94">
        <f>TblImps[[#This Row],[G1]]-TblProd[[#This Row],[Bank Gems]]</f>
        <v>0</v>
      </c>
      <c r="AY27" s="142"/>
      <c r="AZ27" s="61" t="b">
        <f ca="1">IF(TblProd[[#This Row],[Set Guard]]&lt;&gt;"",TblProd[[#This Row],[Set Guard]],OFFSET(TblProd[[#This Row],[Guard]],-1,0))</f>
        <v>0</v>
      </c>
      <c r="BA27" s="153"/>
      <c r="BB27" s="45">
        <f>TblProd[[#This Row],[Hour]]</f>
        <v>24</v>
      </c>
      <c r="BC27" s="158">
        <f>-TblProd[[#This Row],[Bank Lumber]] / 2 + -TblProd[[#This Row],[Bank Gems]] * 2 + -TblProd[[#This Row],[Bank Ore]] / 2</f>
        <v>0</v>
      </c>
      <c r="BD27" s="158"/>
      <c r="BE27" s="158"/>
      <c r="BF27" s="158"/>
      <c r="BG27" s="159">
        <f ca="1">TblProd[[#This Row],[Time]]</f>
        <v>46320.958333333278</v>
      </c>
      <c r="BH27" s="45"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94">
        <f ca="1">TblProd[[#This Row],[Platinum]]</f>
        <v>146159</v>
      </c>
      <c r="BJ27" s="94">
        <f ca="1">TblProd[[#This Row],[Food]]</f>
        <v>61185</v>
      </c>
      <c r="BK27" s="94">
        <f ca="1">TblProd[[#This Row],[Lumber]]</f>
        <v>32541</v>
      </c>
      <c r="BL27" s="94">
        <f ca="1">TblProd[[#This Row],[Mana]]</f>
        <v>0</v>
      </c>
      <c r="BM27" s="94">
        <f ca="1">TblProd[[#This Row],[Ore]]</f>
        <v>0</v>
      </c>
    </row>
    <row r="28" spans="1:65" x14ac:dyDescent="0.2">
      <c r="A28" s="137">
        <v>25</v>
      </c>
      <c r="B28" s="152">
        <f ca="1">TblImps[[#This Row],[Time]]</f>
        <v>46320.999999999942</v>
      </c>
      <c r="C28" s="153"/>
      <c r="D28" s="154"/>
      <c r="E28" s="94">
        <f ca="1">TblConstr[[#This Row],[Land]]</f>
        <v>50</v>
      </c>
      <c r="F28" s="94">
        <f ca="1">TblPop[[#This Row],[Peasants]]</f>
        <v>369</v>
      </c>
      <c r="G28" s="94">
        <f ca="1">TblMili[[#This Row],[Networth (2)]]</f>
        <v>1250</v>
      </c>
      <c r="H28" s="94">
        <f ca="1">OFFSET(TblProd[[#This Row],[Platinum]],-1,0)+OFFSET(TblProd[[#This Row],[Plat/hr]],-1,0) - TblProd[[#This Row],[Expenses Platinum]] + IF(TblProd[[#This Row],[Plat Bonus]],TblPop[[#This Row],[Peasants]]*4) + SUM(TblConstr[[#This Row],[Dest Hom]:[Dest Doc]])*TblConstr[[#This Row],[CPA Platinum -DB]]*tech_3_3_2*TblTech[[#This Row],[3-3]]</f>
        <v>147166</v>
      </c>
      <c r="I28" s="94">
        <f ca="1">OFFSET(TblProd[[#This Row],[Food]],-1,0)+OFFSET(TblProd[[#This Row],[Food/hr]],-1,0)+ROUNDUP((TblConstr[[#This Row],[Farms]]*80+TblConstr[[#This Row],[Docks]]*35)*(1+OFFSET(TblProd[[#This Row],[Bonus Food/hr]],-1,0)),0)</f>
        <v>62961</v>
      </c>
      <c r="J28" s="94">
        <f ca="1">OFFSET(TblProd[[#This Row],[Lumber]],-1,0)+OFFSET(TblProd[[#This Row],[Lumber/hr]],-1,0) - TblProd[[#This Row],[Expenses Lumber]] + SUM(TblConstr[[#This Row],[Dest Hom]:[Dest Doc]])*TblConstr[[#This Row],[CPA Lumber -DB]]*tech_3_3_2*TblTech[[#This Row],[3-3]]</f>
        <v>33216</v>
      </c>
      <c r="K28" s="94">
        <f ca="1">OFFSET(TblProd[[#This Row],[Mana]],-1,0)+OFFSET(TblProd[[#This Row],[Mana/hr]],-1,0)- TblProd[[#This Row],[Expenses Mana]]</f>
        <v>0</v>
      </c>
      <c r="L28" s="94">
        <f ca="1">OFFSET(TblProd[[#This Row],[Ore]],-1,0)+OFFSET(TblProd[[#This Row],[Ore/hr]],-1,0) -TblProd[[#This Row],[Expenses Ore]]</f>
        <v>0</v>
      </c>
      <c r="M28" s="94">
        <f ca="1">OFFSET(TblProd[[#This Row],[Gems]],-1,0)+OFFSET(TblProd[[#This Row],[Gems/hr]],-1,0) - TblProd[[#This Row],[Expenses Gems]]</f>
        <v>0</v>
      </c>
      <c r="N28" s="94">
        <f ca="1">OFFSET(TblProd[[#This Row],[Boats]],-1,0)+OFFSET(TblProd[[#This Row],[Boats/hr]],-1,0)</f>
        <v>0</v>
      </c>
      <c r="O28" s="94">
        <f ca="1">OFFSET(TblProd[[#This Row],[Prestige]],-1,0)</f>
        <v>250</v>
      </c>
      <c r="P2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8" s="94">
        <f ca="1">MAX(_xlfn.CEILING.MATH(TblProd[[#This Row],[Land]]*2.5+IFERROR(OFFSET(TblTech[[#This Row],[Sum of tech]],-1,0)*50,0)),3750)</f>
        <v>3750</v>
      </c>
      <c r="R28" s="142"/>
      <c r="S28" s="94">
        <f ca="1">ROUNDDOWN(TblProd[[#This Row],[Raw Plat/hr]]*(1+TblProd[[#This Row],[Bonus Plat/hr]]),0)</f>
        <v>996</v>
      </c>
      <c r="T28" s="94">
        <f ca="1">ROUND(TblProd[[#This Row],[Raw Food/hr]]*(1+TblProd[[#This Row],[Bonus Food/hr]])-TblProd[[#This Row],[Food decay]]-TblProd[[#This Row],[Food eaten]],0)</f>
        <v>1758</v>
      </c>
      <c r="U28" s="94">
        <f ca="1">ROUND(TblProd[[#This Row],[Raw Lumber/hr]]*(1+TblProd[[#This Row],[Bonus Lumber/hr]])-TblProd[[#This Row],[Lumber rot]],0)</f>
        <v>668</v>
      </c>
      <c r="V28" s="94">
        <f ca="1">ROUND(TblProd[[#This Row],[Raw Mana/hr]]*(1+TblProd[[#This Row],[Bonus Mana/hr]])-TblProd[[#This Row],[Mana drain]],0)</f>
        <v>0</v>
      </c>
      <c r="W28" s="94">
        <f ca="1">ROUNDDOWN(TblProd[[#This Row],[Raw Ore/hr]]*(1+TblProd[[#This Row],[Bonux Ore/hr]]),0)</f>
        <v>0</v>
      </c>
      <c r="X28" s="94">
        <f ca="1">ROUNDDOWN(TblProd[[#This Row],[Raw Gems/hr]]*(1+TblProd[[#This Row],[Bonus Gems/hr]]),0)</f>
        <v>0</v>
      </c>
      <c r="Y28" s="155">
        <f ca="1">OFFSET(TblConstr[[#This Row],[Tot Doc]],1,0)*dock_boats_hr * (1 + tech_4_1*TblTech[[#This Row],[4-1]])</f>
        <v>0</v>
      </c>
      <c r="Z28" s="154"/>
      <c r="AA28" s="94">
        <f ca="1">TblPop[[#This Row],[Peasants]]*tax*TblPop[[#This Row],[Employment]] + (Construction!AZ29+Construction!BX29)*(alch_plat+(Magic!AN28&gt;0)*alchemist_flame_bonus)</f>
        <v>996.30000000000007</v>
      </c>
      <c r="AB28" s="94">
        <f ca="1">TblConstr[[#This Row],[Tot Farm]]*farm_food + TblConstr[[#This Row],[Tot Doc]]*dock_food</f>
        <v>2400</v>
      </c>
      <c r="AC28" s="94">
        <f ca="1">TblConstr[[#This Row],[Tot Ly]]*ly_lumber + TblConstr[[#This Row],[Tot Hav]]*fh_lumber + IF(race="Wood Elf",TblMili[[#This Row],[Unit 2]]*MIN(TblMili[[#This Row],[Homeland%]]/wisp_bonus,wisp_cap),0)</f>
        <v>1000</v>
      </c>
      <c r="AD28" s="94">
        <f ca="1">OFFSET(TblConstr[[#This Row],[Tot Tow]],1,0)*(tower_mana + tech_4_5*TblTech[[#This Row],[4-5]]) + OFFSET(TblConstr[[#This Row],[Tot WG]],1,0)*wg_mana_prod</f>
        <v>0</v>
      </c>
      <c r="AE28" s="94">
        <f ca="1">OFFSET(TblConstr[[#This Row],[Tot OM]],1,0)*om_ore+IF(race="Dwarf",TblMili[[#This Row],[Unit 2]]*0.5,0)</f>
        <v>0</v>
      </c>
      <c r="AF28" s="94">
        <f ca="1">OFFSET(TblConstr[[#This Row],[Tot DM]],1,0)*dm_gems</f>
        <v>0</v>
      </c>
      <c r="AG28" s="142"/>
      <c r="AH28" s="156">
        <f ca="1">MIN(race_platinum_bonus + IF(TblMagic[[#This Row],[Active Arc Infusion]]&gt;0,alch_frost_bonus,IF(Magic!AE28&gt;0,midas_bonus)) + TblImps[[#This Row],[Science]] - TblProd[[#This Row],[Guard]]*(0.02 + tech_5_7*TblTech[[#This Row],[5-7]]) + tech_1_5*TblTech[[#This Row],[1-5]] + tech_4_4*TblTech[[#This Row],[4-4]] + IF(TblMagic[[#This Row],[Active Infernal Command]]&gt;0,demonic_pact_plat,0), 0.5)</f>
        <v>0</v>
      </c>
      <c r="AI2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8" s="156">
        <f ca="1">race_lumber_bonus+ IF(TblMagic[[#This Row],[Active Gaia''s Blessing]]&gt;0,gaias_blessing_lumber)+ tech_1_3*TblTech[[#This Row],[1-3]] + tech_1_6*TblTech[[#This Row],[1-6]] + tech_3_3*TblTech[[#This Row],[3-3]]</f>
        <v>0</v>
      </c>
      <c r="AK28" s="156">
        <f ca="1">race_mana_bonus+ 0 + TblImps[[#This Row],[Spires]] + tech_1_2*TblTech[[#This Row],[1-2]] + tech_3_4*TblTech[[#This Row],[3-4]]</f>
        <v>0</v>
      </c>
      <c r="AL28" s="156">
        <f ca="1">race_ore_bonus + IF(TblMagic[[#This Row],[Active Miner''s Sight]]&gt;0,miners_sight_bonus,IF(TblMagic[[#This Row],[Active Mining Strength]]&gt;0,mining_strength_bonus)) +  tech_1_6*TblTech[[#This Row],[1-6]]</f>
        <v>0</v>
      </c>
      <c r="AM28" s="156">
        <f>race_gem_bonus+ tech_3_2*TblTech[[#This Row],[3-2]] + tech_4_3*TblTech[[#This Row],[4-3]] + tech_6_2*TblTech[[#This Row],[6-2]]</f>
        <v>0</v>
      </c>
      <c r="AN28" s="142"/>
      <c r="AO28" s="94">
        <f ca="1">TblProd[[#This Row],[Food]]*food_decay * (1 + tech_2_1*TblTech[[#This Row],[2-1]] + tech_2_8*TblTech[[#This Row],[2-8]] + IF(AND(TblMagic[[#This Row],[Active DnD]]&lt;12,TblMagic[[#This Row],[Active DnD]]&gt;5),1,0))</f>
        <v>629.61</v>
      </c>
      <c r="AP28" s="94">
        <f ca="1">(1+race_food_consumption)*TblPop[[#This Row],[Total]]*food_per_person*(1+tech_1_10*TblTech[[#This Row],[1-10]]+tech_7_5*TblTech[[#This Row],[7-5]] + IF(TblMagic[[#This Row],[Active Infernal Command]]&gt;0,demonic_pact_food_cons,0))</f>
        <v>192.25</v>
      </c>
      <c r="AQ28" s="94">
        <f ca="1">TblProd[[#This Row],[Lumber]]*lumber_rot * (1 + tech_2_1*TblTech[[#This Row],[2-1]] + tech_2_8*TblTech[[#This Row],[2-8]] + tech_5_2*TblTech[[#This Row],[5-2]] + IF(AND(TblMagic[[#This Row],[Active DnD]]&lt;12,TblMagic[[#This Row],[Active DnD]]&gt;5),1,0))</f>
        <v>332.16</v>
      </c>
      <c r="AR28" s="94">
        <f ca="1">TblProd[[#This Row],[Mana]]*mana_drain * (1 + tech_2_1*TblTech[[#This Row],[2-1]] + tech_2_8*TblTech[[#This Row],[2-8]])</f>
        <v>0</v>
      </c>
      <c r="AS28" s="154"/>
      <c r="AT28" s="94">
        <f ca="1">TblExplore[[#This Row],[Platinum (2)]]+TblConstr[[#This Row],[Total Plat Cost]]+TblMili[[#This Row],[Plat Cost]]+TblRezone[[#This Row],[Platinum cost]]+TblImps[[#This Row],[P1]]-TblProd[[#This Row],[Bank Plat]]</f>
        <v>0</v>
      </c>
      <c r="AU28" s="94">
        <f ca="1">TblConstr[[#This Row],[Total Lum Cost]]+TblImps[[#This Row],[L1]]-TblProd[[#This Row],[Bank Lumber]] + Military!$CO$25*TblMili[[#This Row],[Sec. rec. Cost]]</f>
        <v>0</v>
      </c>
      <c r="AV28" s="94">
        <f ca="1">TblMagic[[#This Row],[Mana cost]] + Military!$CO$26*TblMili[[#This Row],[Sec. rec. Cost]]</f>
        <v>0</v>
      </c>
      <c r="AW28" s="94">
        <f ca="1">Military!$CO$24*TblMili[[#This Row],[Sec. rec. Cost]]+TblImps[[#This Row],[O1]]-TblProd[[#This Row],[Bank Ore]]</f>
        <v>0</v>
      </c>
      <c r="AX28" s="94">
        <f>TblImps[[#This Row],[G1]]-TblProd[[#This Row],[Bank Gems]]</f>
        <v>0</v>
      </c>
      <c r="AY28" s="142"/>
      <c r="AZ28" s="61" t="b">
        <f ca="1">IF(TblProd[[#This Row],[Set Guard]]&lt;&gt;"",TblProd[[#This Row],[Set Guard]],OFFSET(TblProd[[#This Row],[Guard]],-1,0))</f>
        <v>0</v>
      </c>
      <c r="BA28" s="153"/>
      <c r="BB28" s="45">
        <f>TblProd[[#This Row],[Hour]]</f>
        <v>25</v>
      </c>
      <c r="BC28" s="158">
        <f>-TblProd[[#This Row],[Bank Lumber]] / 2 + -TblProd[[#This Row],[Bank Gems]] * 2 + -TblProd[[#This Row],[Bank Ore]] / 2</f>
        <v>0</v>
      </c>
      <c r="BD28" s="158"/>
      <c r="BE28" s="158"/>
      <c r="BF28" s="158"/>
      <c r="BG28" s="159">
        <f ca="1">TblProd[[#This Row],[Time]]</f>
        <v>46320.999999999942</v>
      </c>
      <c r="BH28" s="45"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94">
        <f ca="1">TblProd[[#This Row],[Platinum]]</f>
        <v>147166</v>
      </c>
      <c r="BJ28" s="94">
        <f ca="1">TblProd[[#This Row],[Food]]</f>
        <v>62961</v>
      </c>
      <c r="BK28" s="94">
        <f ca="1">TblProd[[#This Row],[Lumber]]</f>
        <v>33216</v>
      </c>
      <c r="BL28" s="94">
        <f ca="1">TblProd[[#This Row],[Mana]]</f>
        <v>0</v>
      </c>
      <c r="BM28" s="94">
        <f ca="1">TblProd[[#This Row],[Ore]]</f>
        <v>0</v>
      </c>
    </row>
    <row r="29" spans="1:65" x14ac:dyDescent="0.2">
      <c r="A29" s="137">
        <v>26</v>
      </c>
      <c r="B29" s="152">
        <f ca="1">TblImps[[#This Row],[Time]]</f>
        <v>46321.041666666606</v>
      </c>
      <c r="C29" s="153"/>
      <c r="D29" s="154"/>
      <c r="E29" s="94">
        <f ca="1">TblConstr[[#This Row],[Land]]</f>
        <v>50</v>
      </c>
      <c r="F29" s="94">
        <f ca="1">TblPop[[#This Row],[Peasants]]</f>
        <v>365</v>
      </c>
      <c r="G29" s="94">
        <f ca="1">TblMili[[#This Row],[Networth (2)]]</f>
        <v>1250</v>
      </c>
      <c r="H29" s="94">
        <f ca="1">OFFSET(TblProd[[#This Row],[Platinum]],-1,0)+OFFSET(TblProd[[#This Row],[Plat/hr]],-1,0) - TblProd[[#This Row],[Expenses Platinum]] + IF(TblProd[[#This Row],[Plat Bonus]],TblPop[[#This Row],[Peasants]]*4) + SUM(TblConstr[[#This Row],[Dest Hom]:[Dest Doc]])*TblConstr[[#This Row],[CPA Platinum -DB]]*tech_3_3_2*TblTech[[#This Row],[3-3]]</f>
        <v>148162</v>
      </c>
      <c r="I29" s="94">
        <f ca="1">OFFSET(TblProd[[#This Row],[Food]],-1,0)+OFFSET(TblProd[[#This Row],[Food/hr]],-1,0)+ROUNDUP((TblConstr[[#This Row],[Farms]]*80+TblConstr[[#This Row],[Docks]]*35)*(1+OFFSET(TblProd[[#This Row],[Bonus Food/hr]],-1,0)),0)</f>
        <v>64719</v>
      </c>
      <c r="J29" s="94">
        <f ca="1">OFFSET(TblProd[[#This Row],[Lumber]],-1,0)+OFFSET(TblProd[[#This Row],[Lumber/hr]],-1,0) - TblProd[[#This Row],[Expenses Lumber]] + SUM(TblConstr[[#This Row],[Dest Hom]:[Dest Doc]])*TblConstr[[#This Row],[CPA Lumber -DB]]*tech_3_3_2*TblTech[[#This Row],[3-3]]</f>
        <v>33884</v>
      </c>
      <c r="K29" s="94">
        <f ca="1">OFFSET(TblProd[[#This Row],[Mana]],-1,0)+OFFSET(TblProd[[#This Row],[Mana/hr]],-1,0)- TblProd[[#This Row],[Expenses Mana]]</f>
        <v>0</v>
      </c>
      <c r="L29" s="94">
        <f ca="1">OFFSET(TblProd[[#This Row],[Ore]],-1,0)+OFFSET(TblProd[[#This Row],[Ore/hr]],-1,0) -TblProd[[#This Row],[Expenses Ore]]</f>
        <v>0</v>
      </c>
      <c r="M29" s="94">
        <f ca="1">OFFSET(TblProd[[#This Row],[Gems]],-1,0)+OFFSET(TblProd[[#This Row],[Gems/hr]],-1,0) - TblProd[[#This Row],[Expenses Gems]]</f>
        <v>0</v>
      </c>
      <c r="N29" s="94">
        <f ca="1">OFFSET(TblProd[[#This Row],[Boats]],-1,0)+OFFSET(TblProd[[#This Row],[Boats/hr]],-1,0)</f>
        <v>0</v>
      </c>
      <c r="O29" s="94">
        <f ca="1">OFFSET(TblProd[[#This Row],[Prestige]],-1,0)</f>
        <v>250</v>
      </c>
      <c r="P2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9" s="94">
        <f ca="1">MAX(_xlfn.CEILING.MATH(TblProd[[#This Row],[Land]]*2.5+IFERROR(OFFSET(TblTech[[#This Row],[Sum of tech]],-1,0)*50,0)),3750)</f>
        <v>3750</v>
      </c>
      <c r="R29" s="142"/>
      <c r="S29" s="94">
        <f ca="1">ROUNDDOWN(TblProd[[#This Row],[Raw Plat/hr]]*(1+TblProd[[#This Row],[Bonus Plat/hr]]),0)</f>
        <v>985</v>
      </c>
      <c r="T29" s="94">
        <f ca="1">ROUND(TblProd[[#This Row],[Raw Food/hr]]*(1+TblProd[[#This Row],[Bonus Food/hr]])-TblProd[[#This Row],[Food decay]]-TblProd[[#This Row],[Food eaten]],0)</f>
        <v>1741</v>
      </c>
      <c r="U29" s="94">
        <f ca="1">ROUND(TblProd[[#This Row],[Raw Lumber/hr]]*(1+TblProd[[#This Row],[Bonus Lumber/hr]])-TblProd[[#This Row],[Lumber rot]],0)</f>
        <v>661</v>
      </c>
      <c r="V29" s="94">
        <f ca="1">ROUND(TblProd[[#This Row],[Raw Mana/hr]]*(1+TblProd[[#This Row],[Bonus Mana/hr]])-TblProd[[#This Row],[Mana drain]],0)</f>
        <v>0</v>
      </c>
      <c r="W29" s="94">
        <f ca="1">ROUNDDOWN(TblProd[[#This Row],[Raw Ore/hr]]*(1+TblProd[[#This Row],[Bonux Ore/hr]]),0)</f>
        <v>0</v>
      </c>
      <c r="X29" s="94">
        <f ca="1">ROUNDDOWN(TblProd[[#This Row],[Raw Gems/hr]]*(1+TblProd[[#This Row],[Bonus Gems/hr]]),0)</f>
        <v>0</v>
      </c>
      <c r="Y29" s="155">
        <f ca="1">OFFSET(TblConstr[[#This Row],[Tot Doc]],1,0)*dock_boats_hr * (1 + tech_4_1*TblTech[[#This Row],[4-1]])</f>
        <v>0</v>
      </c>
      <c r="Z29" s="154"/>
      <c r="AA29" s="94">
        <f ca="1">TblPop[[#This Row],[Peasants]]*tax*TblPop[[#This Row],[Employment]] + (Construction!AZ30+Construction!BX30)*(alch_plat+(Magic!AN29&gt;0)*alchemist_flame_bonus)</f>
        <v>985.50000000000011</v>
      </c>
      <c r="AB29" s="94">
        <f ca="1">TblConstr[[#This Row],[Tot Farm]]*farm_food + TblConstr[[#This Row],[Tot Doc]]*dock_food</f>
        <v>2400</v>
      </c>
      <c r="AC29" s="94">
        <f ca="1">TblConstr[[#This Row],[Tot Ly]]*ly_lumber + TblConstr[[#This Row],[Tot Hav]]*fh_lumber + IF(race="Wood Elf",TblMili[[#This Row],[Unit 2]]*MIN(TblMili[[#This Row],[Homeland%]]/wisp_bonus,wisp_cap),0)</f>
        <v>1000</v>
      </c>
      <c r="AD29" s="94">
        <f ca="1">OFFSET(TblConstr[[#This Row],[Tot Tow]],1,0)*(tower_mana + tech_4_5*TblTech[[#This Row],[4-5]]) + OFFSET(TblConstr[[#This Row],[Tot WG]],1,0)*wg_mana_prod</f>
        <v>0</v>
      </c>
      <c r="AE29" s="94">
        <f ca="1">OFFSET(TblConstr[[#This Row],[Tot OM]],1,0)*om_ore+IF(race="Dwarf",TblMili[[#This Row],[Unit 2]]*0.5,0)</f>
        <v>0</v>
      </c>
      <c r="AF29" s="94">
        <f ca="1">OFFSET(TblConstr[[#This Row],[Tot DM]],1,0)*dm_gems</f>
        <v>0</v>
      </c>
      <c r="AG29" s="142"/>
      <c r="AH29" s="156">
        <f ca="1">MIN(race_platinum_bonus + IF(TblMagic[[#This Row],[Active Arc Infusion]]&gt;0,alch_frost_bonus,IF(Magic!AE29&gt;0,midas_bonus)) + TblImps[[#This Row],[Science]] - TblProd[[#This Row],[Guard]]*(0.02 + tech_5_7*TblTech[[#This Row],[5-7]]) + tech_1_5*TblTech[[#This Row],[1-5]] + tech_4_4*TblTech[[#This Row],[4-4]] + IF(TblMagic[[#This Row],[Active Infernal Command]]&gt;0,demonic_pact_plat,0), 0.5)</f>
        <v>0</v>
      </c>
      <c r="AI2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9" s="156">
        <f ca="1">race_lumber_bonus+ IF(TblMagic[[#This Row],[Active Gaia''s Blessing]]&gt;0,gaias_blessing_lumber)+ tech_1_3*TblTech[[#This Row],[1-3]] + tech_1_6*TblTech[[#This Row],[1-6]] + tech_3_3*TblTech[[#This Row],[3-3]]</f>
        <v>0</v>
      </c>
      <c r="AK29" s="156">
        <f ca="1">race_mana_bonus+ 0 + TblImps[[#This Row],[Spires]] + tech_1_2*TblTech[[#This Row],[1-2]] + tech_3_4*TblTech[[#This Row],[3-4]]</f>
        <v>0</v>
      </c>
      <c r="AL29" s="156">
        <f ca="1">race_ore_bonus + IF(TblMagic[[#This Row],[Active Miner''s Sight]]&gt;0,miners_sight_bonus,IF(TblMagic[[#This Row],[Active Mining Strength]]&gt;0,mining_strength_bonus)) +  tech_1_6*TblTech[[#This Row],[1-6]]</f>
        <v>0</v>
      </c>
      <c r="AM29" s="156">
        <f>race_gem_bonus+ tech_3_2*TblTech[[#This Row],[3-2]] + tech_4_3*TblTech[[#This Row],[4-3]] + tech_6_2*TblTech[[#This Row],[6-2]]</f>
        <v>0</v>
      </c>
      <c r="AN29" s="142"/>
      <c r="AO29" s="94">
        <f ca="1">TblProd[[#This Row],[Food]]*food_decay * (1 + tech_2_1*TblTech[[#This Row],[2-1]] + tech_2_8*TblTech[[#This Row],[2-8]] + IF(AND(TblMagic[[#This Row],[Active DnD]]&lt;12,TblMagic[[#This Row],[Active DnD]]&gt;5),1,0))</f>
        <v>647.19000000000005</v>
      </c>
      <c r="AP29" s="94">
        <f ca="1">(1+race_food_consumption)*TblPop[[#This Row],[Total]]*food_per_person*(1+tech_1_10*TblTech[[#This Row],[1-10]]+tech_7_5*TblTech[[#This Row],[7-5]] + IF(TblMagic[[#This Row],[Active Infernal Command]]&gt;0,demonic_pact_food_cons,0))</f>
        <v>192.25</v>
      </c>
      <c r="AQ29" s="94">
        <f ca="1">TblProd[[#This Row],[Lumber]]*lumber_rot * (1 + tech_2_1*TblTech[[#This Row],[2-1]] + tech_2_8*TblTech[[#This Row],[2-8]] + tech_5_2*TblTech[[#This Row],[5-2]] + IF(AND(TblMagic[[#This Row],[Active DnD]]&lt;12,TblMagic[[#This Row],[Active DnD]]&gt;5),1,0))</f>
        <v>338.84000000000003</v>
      </c>
      <c r="AR29" s="94">
        <f ca="1">TblProd[[#This Row],[Mana]]*mana_drain * (1 + tech_2_1*TblTech[[#This Row],[2-1]] + tech_2_8*TblTech[[#This Row],[2-8]])</f>
        <v>0</v>
      </c>
      <c r="AS29" s="154"/>
      <c r="AT29" s="94">
        <f ca="1">TblExplore[[#This Row],[Platinum (2)]]+TblConstr[[#This Row],[Total Plat Cost]]+TblMili[[#This Row],[Plat Cost]]+TblRezone[[#This Row],[Platinum cost]]+TblImps[[#This Row],[P1]]-TblProd[[#This Row],[Bank Plat]]</f>
        <v>0</v>
      </c>
      <c r="AU29" s="94">
        <f ca="1">TblConstr[[#This Row],[Total Lum Cost]]+TblImps[[#This Row],[L1]]-TblProd[[#This Row],[Bank Lumber]] + Military!$CO$25*TblMili[[#This Row],[Sec. rec. Cost]]</f>
        <v>0</v>
      </c>
      <c r="AV29" s="94">
        <f ca="1">TblMagic[[#This Row],[Mana cost]] + Military!$CO$26*TblMili[[#This Row],[Sec. rec. Cost]]</f>
        <v>0</v>
      </c>
      <c r="AW29" s="94">
        <f ca="1">Military!$CO$24*TblMili[[#This Row],[Sec. rec. Cost]]+TblImps[[#This Row],[O1]]-TblProd[[#This Row],[Bank Ore]]</f>
        <v>0</v>
      </c>
      <c r="AX29" s="94">
        <f>TblImps[[#This Row],[G1]]-TblProd[[#This Row],[Bank Gems]]</f>
        <v>0</v>
      </c>
      <c r="AY29" s="142"/>
      <c r="AZ29" s="61" t="b">
        <f ca="1">IF(TblProd[[#This Row],[Set Guard]]&lt;&gt;"",TblProd[[#This Row],[Set Guard]],OFFSET(TblProd[[#This Row],[Guard]],-1,0))</f>
        <v>0</v>
      </c>
      <c r="BA29" s="153"/>
      <c r="BB29" s="45">
        <f>TblProd[[#This Row],[Hour]]</f>
        <v>26</v>
      </c>
      <c r="BC29" s="158">
        <f>-TblProd[[#This Row],[Bank Lumber]] / 2 + -TblProd[[#This Row],[Bank Gems]] * 2 + -TblProd[[#This Row],[Bank Ore]] / 2</f>
        <v>0</v>
      </c>
      <c r="BD29" s="158"/>
      <c r="BE29" s="158"/>
      <c r="BF29" s="158"/>
      <c r="BG29" s="159">
        <f ca="1">TblProd[[#This Row],[Time]]</f>
        <v>46321.041666666606</v>
      </c>
      <c r="BH29" s="45"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94">
        <f ca="1">TblProd[[#This Row],[Platinum]]</f>
        <v>148162</v>
      </c>
      <c r="BJ29" s="94">
        <f ca="1">TblProd[[#This Row],[Food]]</f>
        <v>64719</v>
      </c>
      <c r="BK29" s="94">
        <f ca="1">TblProd[[#This Row],[Lumber]]</f>
        <v>33884</v>
      </c>
      <c r="BL29" s="94">
        <f ca="1">TblProd[[#This Row],[Mana]]</f>
        <v>0</v>
      </c>
      <c r="BM29" s="94">
        <f ca="1">TblProd[[#This Row],[Ore]]</f>
        <v>0</v>
      </c>
    </row>
    <row r="30" spans="1:65" x14ac:dyDescent="0.2">
      <c r="A30" s="137">
        <v>27</v>
      </c>
      <c r="B30" s="152">
        <f ca="1">TblImps[[#This Row],[Time]]</f>
        <v>46321.08333333327</v>
      </c>
      <c r="C30" s="153"/>
      <c r="D30" s="154"/>
      <c r="E30" s="94">
        <f ca="1">TblConstr[[#This Row],[Land]]</f>
        <v>50</v>
      </c>
      <c r="F30" s="94">
        <f ca="1">TblPop[[#This Row],[Peasants]]</f>
        <v>361</v>
      </c>
      <c r="G30" s="94">
        <f ca="1">TblMili[[#This Row],[Networth (2)]]</f>
        <v>1250</v>
      </c>
      <c r="H30" s="94">
        <f ca="1">OFFSET(TblProd[[#This Row],[Platinum]],-1,0)+OFFSET(TblProd[[#This Row],[Plat/hr]],-1,0) - TblProd[[#This Row],[Expenses Platinum]] + IF(TblProd[[#This Row],[Plat Bonus]],TblPop[[#This Row],[Peasants]]*4) + SUM(TblConstr[[#This Row],[Dest Hom]:[Dest Doc]])*TblConstr[[#This Row],[CPA Platinum -DB]]*tech_3_3_2*TblTech[[#This Row],[3-3]]</f>
        <v>149147</v>
      </c>
      <c r="I30" s="94">
        <f ca="1">OFFSET(TblProd[[#This Row],[Food]],-1,0)+OFFSET(TblProd[[#This Row],[Food/hr]],-1,0)+ROUNDUP((TblConstr[[#This Row],[Farms]]*80+TblConstr[[#This Row],[Docks]]*35)*(1+OFFSET(TblProd[[#This Row],[Bonus Food/hr]],-1,0)),0)</f>
        <v>66460</v>
      </c>
      <c r="J30" s="94">
        <f ca="1">OFFSET(TblProd[[#This Row],[Lumber]],-1,0)+OFFSET(TblProd[[#This Row],[Lumber/hr]],-1,0) - TblProd[[#This Row],[Expenses Lumber]] + SUM(TblConstr[[#This Row],[Dest Hom]:[Dest Doc]])*TblConstr[[#This Row],[CPA Lumber -DB]]*tech_3_3_2*TblTech[[#This Row],[3-3]]</f>
        <v>34545</v>
      </c>
      <c r="K30" s="94">
        <f ca="1">OFFSET(TblProd[[#This Row],[Mana]],-1,0)+OFFSET(TblProd[[#This Row],[Mana/hr]],-1,0)- TblProd[[#This Row],[Expenses Mana]]</f>
        <v>0</v>
      </c>
      <c r="L30" s="94">
        <f ca="1">OFFSET(TblProd[[#This Row],[Ore]],-1,0)+OFFSET(TblProd[[#This Row],[Ore/hr]],-1,0) -TblProd[[#This Row],[Expenses Ore]]</f>
        <v>0</v>
      </c>
      <c r="M30" s="94">
        <f ca="1">OFFSET(TblProd[[#This Row],[Gems]],-1,0)+OFFSET(TblProd[[#This Row],[Gems/hr]],-1,0) - TblProd[[#This Row],[Expenses Gems]]</f>
        <v>0</v>
      </c>
      <c r="N30" s="94">
        <f ca="1">OFFSET(TblProd[[#This Row],[Boats]],-1,0)+OFFSET(TblProd[[#This Row],[Boats/hr]],-1,0)</f>
        <v>0</v>
      </c>
      <c r="O30" s="94">
        <f ca="1">OFFSET(TblProd[[#This Row],[Prestige]],-1,0)</f>
        <v>250</v>
      </c>
      <c r="P3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0" s="94">
        <f ca="1">MAX(_xlfn.CEILING.MATH(TblProd[[#This Row],[Land]]*2.5+IFERROR(OFFSET(TblTech[[#This Row],[Sum of tech]],-1,0)*50,0)),3750)</f>
        <v>3750</v>
      </c>
      <c r="R30" s="142"/>
      <c r="S30" s="94">
        <f ca="1">ROUNDDOWN(TblProd[[#This Row],[Raw Plat/hr]]*(1+TblProd[[#This Row],[Bonus Plat/hr]]),0)</f>
        <v>974</v>
      </c>
      <c r="T30" s="94">
        <f ca="1">ROUND(TblProd[[#This Row],[Raw Food/hr]]*(1+TblProd[[#This Row],[Bonus Food/hr]])-TblProd[[#This Row],[Food decay]]-TblProd[[#This Row],[Food eaten]],0)</f>
        <v>1723</v>
      </c>
      <c r="U30" s="94">
        <f ca="1">ROUND(TblProd[[#This Row],[Raw Lumber/hr]]*(1+TblProd[[#This Row],[Bonus Lumber/hr]])-TblProd[[#This Row],[Lumber rot]],0)</f>
        <v>655</v>
      </c>
      <c r="V30" s="94">
        <f ca="1">ROUND(TblProd[[#This Row],[Raw Mana/hr]]*(1+TblProd[[#This Row],[Bonus Mana/hr]])-TblProd[[#This Row],[Mana drain]],0)</f>
        <v>0</v>
      </c>
      <c r="W30" s="94">
        <f ca="1">ROUNDDOWN(TblProd[[#This Row],[Raw Ore/hr]]*(1+TblProd[[#This Row],[Bonux Ore/hr]]),0)</f>
        <v>0</v>
      </c>
      <c r="X30" s="94">
        <f ca="1">ROUNDDOWN(TblProd[[#This Row],[Raw Gems/hr]]*(1+TblProd[[#This Row],[Bonus Gems/hr]]),0)</f>
        <v>0</v>
      </c>
      <c r="Y30" s="155">
        <f ca="1">OFFSET(TblConstr[[#This Row],[Tot Doc]],1,0)*dock_boats_hr * (1 + tech_4_1*TblTech[[#This Row],[4-1]])</f>
        <v>0</v>
      </c>
      <c r="Z30" s="154"/>
      <c r="AA30" s="94">
        <f ca="1">TblPop[[#This Row],[Peasants]]*tax*TblPop[[#This Row],[Employment]] + (Construction!AZ31+Construction!BX31)*(alch_plat+(Magic!AN30&gt;0)*alchemist_flame_bonus)</f>
        <v>974.7</v>
      </c>
      <c r="AB30" s="94">
        <f ca="1">TblConstr[[#This Row],[Tot Farm]]*farm_food + TblConstr[[#This Row],[Tot Doc]]*dock_food</f>
        <v>2400</v>
      </c>
      <c r="AC30" s="94">
        <f ca="1">TblConstr[[#This Row],[Tot Ly]]*ly_lumber + TblConstr[[#This Row],[Tot Hav]]*fh_lumber + IF(race="Wood Elf",TblMili[[#This Row],[Unit 2]]*MIN(TblMili[[#This Row],[Homeland%]]/wisp_bonus,wisp_cap),0)</f>
        <v>1000</v>
      </c>
      <c r="AD30" s="94">
        <f ca="1">OFFSET(TblConstr[[#This Row],[Tot Tow]],1,0)*(tower_mana + tech_4_5*TblTech[[#This Row],[4-5]]) + OFFSET(TblConstr[[#This Row],[Tot WG]],1,0)*wg_mana_prod</f>
        <v>0</v>
      </c>
      <c r="AE30" s="94">
        <f ca="1">OFFSET(TblConstr[[#This Row],[Tot OM]],1,0)*om_ore+IF(race="Dwarf",TblMili[[#This Row],[Unit 2]]*0.5,0)</f>
        <v>0</v>
      </c>
      <c r="AF30" s="94">
        <f ca="1">OFFSET(TblConstr[[#This Row],[Tot DM]],1,0)*dm_gems</f>
        <v>0</v>
      </c>
      <c r="AG30" s="142"/>
      <c r="AH30" s="156">
        <f ca="1">MIN(race_platinum_bonus + IF(TblMagic[[#This Row],[Active Arc Infusion]]&gt;0,alch_frost_bonus,IF(Magic!AE30&gt;0,midas_bonus)) + TblImps[[#This Row],[Science]] - TblProd[[#This Row],[Guard]]*(0.02 + tech_5_7*TblTech[[#This Row],[5-7]]) + tech_1_5*TblTech[[#This Row],[1-5]] + tech_4_4*TblTech[[#This Row],[4-4]] + IF(TblMagic[[#This Row],[Active Infernal Command]]&gt;0,demonic_pact_plat,0), 0.5)</f>
        <v>0</v>
      </c>
      <c r="AI3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0" s="156">
        <f ca="1">race_lumber_bonus+ IF(TblMagic[[#This Row],[Active Gaia''s Blessing]]&gt;0,gaias_blessing_lumber)+ tech_1_3*TblTech[[#This Row],[1-3]] + tech_1_6*TblTech[[#This Row],[1-6]] + tech_3_3*TblTech[[#This Row],[3-3]]</f>
        <v>0</v>
      </c>
      <c r="AK30" s="156">
        <f ca="1">race_mana_bonus+ 0 + TblImps[[#This Row],[Spires]] + tech_1_2*TblTech[[#This Row],[1-2]] + tech_3_4*TblTech[[#This Row],[3-4]]</f>
        <v>0</v>
      </c>
      <c r="AL30" s="156">
        <f ca="1">race_ore_bonus + IF(TblMagic[[#This Row],[Active Miner''s Sight]]&gt;0,miners_sight_bonus,IF(TblMagic[[#This Row],[Active Mining Strength]]&gt;0,mining_strength_bonus)) +  tech_1_6*TblTech[[#This Row],[1-6]]</f>
        <v>0</v>
      </c>
      <c r="AM30" s="156">
        <f>race_gem_bonus+ tech_3_2*TblTech[[#This Row],[3-2]] + tech_4_3*TblTech[[#This Row],[4-3]] + tech_6_2*TblTech[[#This Row],[6-2]]</f>
        <v>0</v>
      </c>
      <c r="AN30" s="142"/>
      <c r="AO30" s="94">
        <f ca="1">TblProd[[#This Row],[Food]]*food_decay * (1 + tech_2_1*TblTech[[#This Row],[2-1]] + tech_2_8*TblTech[[#This Row],[2-8]] + IF(AND(TblMagic[[#This Row],[Active DnD]]&lt;12,TblMagic[[#This Row],[Active DnD]]&gt;5),1,0))</f>
        <v>664.6</v>
      </c>
      <c r="AP30" s="94">
        <f ca="1">(1+race_food_consumption)*TblPop[[#This Row],[Total]]*food_per_person*(1+tech_1_10*TblTech[[#This Row],[1-10]]+tech_7_5*TblTech[[#This Row],[7-5]] + IF(TblMagic[[#This Row],[Active Infernal Command]]&gt;0,demonic_pact_food_cons,0))</f>
        <v>192.25</v>
      </c>
      <c r="AQ30" s="94">
        <f ca="1">TblProd[[#This Row],[Lumber]]*lumber_rot * (1 + tech_2_1*TblTech[[#This Row],[2-1]] + tech_2_8*TblTech[[#This Row],[2-8]] + tech_5_2*TblTech[[#This Row],[5-2]] + IF(AND(TblMagic[[#This Row],[Active DnD]]&lt;12,TblMagic[[#This Row],[Active DnD]]&gt;5),1,0))</f>
        <v>345.45</v>
      </c>
      <c r="AR30" s="94">
        <f ca="1">TblProd[[#This Row],[Mana]]*mana_drain * (1 + tech_2_1*TblTech[[#This Row],[2-1]] + tech_2_8*TblTech[[#This Row],[2-8]])</f>
        <v>0</v>
      </c>
      <c r="AS30" s="154"/>
      <c r="AT30" s="94">
        <f ca="1">TblExplore[[#This Row],[Platinum (2)]]+TblConstr[[#This Row],[Total Plat Cost]]+TblMili[[#This Row],[Plat Cost]]+TblRezone[[#This Row],[Platinum cost]]+TblImps[[#This Row],[P1]]-TblProd[[#This Row],[Bank Plat]]</f>
        <v>0</v>
      </c>
      <c r="AU30" s="94">
        <f ca="1">TblConstr[[#This Row],[Total Lum Cost]]+TblImps[[#This Row],[L1]]-TblProd[[#This Row],[Bank Lumber]] + Military!$CO$25*TblMili[[#This Row],[Sec. rec. Cost]]</f>
        <v>0</v>
      </c>
      <c r="AV30" s="94">
        <f ca="1">TblMagic[[#This Row],[Mana cost]] + Military!$CO$26*TblMili[[#This Row],[Sec. rec. Cost]]</f>
        <v>0</v>
      </c>
      <c r="AW30" s="94">
        <f ca="1">Military!$CO$24*TblMili[[#This Row],[Sec. rec. Cost]]+TblImps[[#This Row],[O1]]-TblProd[[#This Row],[Bank Ore]]</f>
        <v>0</v>
      </c>
      <c r="AX30" s="94">
        <f>TblImps[[#This Row],[G1]]-TblProd[[#This Row],[Bank Gems]]</f>
        <v>0</v>
      </c>
      <c r="AY30" s="142"/>
      <c r="AZ30" s="61" t="b">
        <f ca="1">IF(TblProd[[#This Row],[Set Guard]]&lt;&gt;"",TblProd[[#This Row],[Set Guard]],OFFSET(TblProd[[#This Row],[Guard]],-1,0))</f>
        <v>0</v>
      </c>
      <c r="BA30" s="153"/>
      <c r="BB30" s="45">
        <f>TblProd[[#This Row],[Hour]]</f>
        <v>27</v>
      </c>
      <c r="BC30" s="158">
        <f>-TblProd[[#This Row],[Bank Lumber]] / 2 + -TblProd[[#This Row],[Bank Gems]] * 2 + -TblProd[[#This Row],[Bank Ore]] / 2</f>
        <v>0</v>
      </c>
      <c r="BD30" s="158"/>
      <c r="BE30" s="158"/>
      <c r="BF30" s="158"/>
      <c r="BG30" s="159">
        <f ca="1">TblProd[[#This Row],[Time]]</f>
        <v>46321.08333333327</v>
      </c>
      <c r="BH30" s="45"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94">
        <f ca="1">TblProd[[#This Row],[Platinum]]</f>
        <v>149147</v>
      </c>
      <c r="BJ30" s="94">
        <f ca="1">TblProd[[#This Row],[Food]]</f>
        <v>66460</v>
      </c>
      <c r="BK30" s="94">
        <f ca="1">TblProd[[#This Row],[Lumber]]</f>
        <v>34545</v>
      </c>
      <c r="BL30" s="94">
        <f ca="1">TblProd[[#This Row],[Mana]]</f>
        <v>0</v>
      </c>
      <c r="BM30" s="94">
        <f ca="1">TblProd[[#This Row],[Ore]]</f>
        <v>0</v>
      </c>
    </row>
    <row r="31" spans="1:65" x14ac:dyDescent="0.2">
      <c r="A31" s="137">
        <v>28</v>
      </c>
      <c r="B31" s="152">
        <f ca="1">TblImps[[#This Row],[Time]]</f>
        <v>46321.124999999935</v>
      </c>
      <c r="C31" s="153"/>
      <c r="D31" s="154"/>
      <c r="E31" s="94">
        <f ca="1">TblConstr[[#This Row],[Land]]</f>
        <v>50</v>
      </c>
      <c r="F31" s="94">
        <f ca="1">TblPop[[#This Row],[Peasants]]</f>
        <v>357</v>
      </c>
      <c r="G31" s="94">
        <f ca="1">TblMili[[#This Row],[Networth (2)]]</f>
        <v>1250</v>
      </c>
      <c r="H31" s="94">
        <f ca="1">OFFSET(TblProd[[#This Row],[Platinum]],-1,0)+OFFSET(TblProd[[#This Row],[Plat/hr]],-1,0) - TblProd[[#This Row],[Expenses Platinum]] + IF(TblProd[[#This Row],[Plat Bonus]],TblPop[[#This Row],[Peasants]]*4) + SUM(TblConstr[[#This Row],[Dest Hom]:[Dest Doc]])*TblConstr[[#This Row],[CPA Platinum -DB]]*tech_3_3_2*TblTech[[#This Row],[3-3]]</f>
        <v>150121</v>
      </c>
      <c r="I31" s="94">
        <f ca="1">OFFSET(TblProd[[#This Row],[Food]],-1,0)+OFFSET(TblProd[[#This Row],[Food/hr]],-1,0)+ROUNDUP((TblConstr[[#This Row],[Farms]]*80+TblConstr[[#This Row],[Docks]]*35)*(1+OFFSET(TblProd[[#This Row],[Bonus Food/hr]],-1,0)),0)</f>
        <v>68183</v>
      </c>
      <c r="J31" s="94">
        <f ca="1">OFFSET(TblProd[[#This Row],[Lumber]],-1,0)+OFFSET(TblProd[[#This Row],[Lumber/hr]],-1,0) - TblProd[[#This Row],[Expenses Lumber]] + SUM(TblConstr[[#This Row],[Dest Hom]:[Dest Doc]])*TblConstr[[#This Row],[CPA Lumber -DB]]*tech_3_3_2*TblTech[[#This Row],[3-3]]</f>
        <v>35200</v>
      </c>
      <c r="K31" s="94">
        <f ca="1">OFFSET(TblProd[[#This Row],[Mana]],-1,0)+OFFSET(TblProd[[#This Row],[Mana/hr]],-1,0)- TblProd[[#This Row],[Expenses Mana]]</f>
        <v>0</v>
      </c>
      <c r="L31" s="94">
        <f ca="1">OFFSET(TblProd[[#This Row],[Ore]],-1,0)+OFFSET(TblProd[[#This Row],[Ore/hr]],-1,0) -TblProd[[#This Row],[Expenses Ore]]</f>
        <v>0</v>
      </c>
      <c r="M31" s="94">
        <f ca="1">OFFSET(TblProd[[#This Row],[Gems]],-1,0)+OFFSET(TblProd[[#This Row],[Gems/hr]],-1,0) - TblProd[[#This Row],[Expenses Gems]]</f>
        <v>0</v>
      </c>
      <c r="N31" s="94">
        <f ca="1">OFFSET(TblProd[[#This Row],[Boats]],-1,0)+OFFSET(TblProd[[#This Row],[Boats/hr]],-1,0)</f>
        <v>0</v>
      </c>
      <c r="O31" s="94">
        <f ca="1">OFFSET(TblProd[[#This Row],[Prestige]],-1,0)</f>
        <v>250</v>
      </c>
      <c r="P3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1" s="94">
        <f ca="1">MAX(_xlfn.CEILING.MATH(TblProd[[#This Row],[Land]]*2.5+IFERROR(OFFSET(TblTech[[#This Row],[Sum of tech]],-1,0)*50,0)),3750)</f>
        <v>3750</v>
      </c>
      <c r="R31" s="142"/>
      <c r="S31" s="94">
        <f ca="1">ROUNDDOWN(TblProd[[#This Row],[Raw Plat/hr]]*(1+TblProd[[#This Row],[Bonus Plat/hr]]),0)</f>
        <v>963</v>
      </c>
      <c r="T31" s="94">
        <f ca="1">ROUND(TblProd[[#This Row],[Raw Food/hr]]*(1+TblProd[[#This Row],[Bonus Food/hr]])-TblProd[[#This Row],[Food decay]]-TblProd[[#This Row],[Food eaten]],0)</f>
        <v>1706</v>
      </c>
      <c r="U31" s="94">
        <f ca="1">ROUND(TblProd[[#This Row],[Raw Lumber/hr]]*(1+TblProd[[#This Row],[Bonus Lumber/hr]])-TblProd[[#This Row],[Lumber rot]],0)</f>
        <v>648</v>
      </c>
      <c r="V31" s="94">
        <f ca="1">ROUND(TblProd[[#This Row],[Raw Mana/hr]]*(1+TblProd[[#This Row],[Bonus Mana/hr]])-TblProd[[#This Row],[Mana drain]],0)</f>
        <v>0</v>
      </c>
      <c r="W31" s="94">
        <f ca="1">ROUNDDOWN(TblProd[[#This Row],[Raw Ore/hr]]*(1+TblProd[[#This Row],[Bonux Ore/hr]]),0)</f>
        <v>0</v>
      </c>
      <c r="X31" s="94">
        <f ca="1">ROUNDDOWN(TblProd[[#This Row],[Raw Gems/hr]]*(1+TblProd[[#This Row],[Bonus Gems/hr]]),0)</f>
        <v>0</v>
      </c>
      <c r="Y31" s="155">
        <f ca="1">OFFSET(TblConstr[[#This Row],[Tot Doc]],1,0)*dock_boats_hr * (1 + tech_4_1*TblTech[[#This Row],[4-1]])</f>
        <v>0</v>
      </c>
      <c r="Z31" s="154"/>
      <c r="AA31" s="94">
        <f ca="1">TblPop[[#This Row],[Peasants]]*tax*TblPop[[#This Row],[Employment]] + (Construction!AZ32+Construction!BX32)*(alch_plat+(Magic!AN31&gt;0)*alchemist_flame_bonus)</f>
        <v>963.90000000000009</v>
      </c>
      <c r="AB31" s="94">
        <f ca="1">TblConstr[[#This Row],[Tot Farm]]*farm_food + TblConstr[[#This Row],[Tot Doc]]*dock_food</f>
        <v>2400</v>
      </c>
      <c r="AC31" s="94">
        <f ca="1">TblConstr[[#This Row],[Tot Ly]]*ly_lumber + TblConstr[[#This Row],[Tot Hav]]*fh_lumber + IF(race="Wood Elf",TblMili[[#This Row],[Unit 2]]*MIN(TblMili[[#This Row],[Homeland%]]/wisp_bonus,wisp_cap),0)</f>
        <v>1000</v>
      </c>
      <c r="AD31" s="94">
        <f ca="1">OFFSET(TblConstr[[#This Row],[Tot Tow]],1,0)*(tower_mana + tech_4_5*TblTech[[#This Row],[4-5]]) + OFFSET(TblConstr[[#This Row],[Tot WG]],1,0)*wg_mana_prod</f>
        <v>0</v>
      </c>
      <c r="AE31" s="94">
        <f ca="1">OFFSET(TblConstr[[#This Row],[Tot OM]],1,0)*om_ore+IF(race="Dwarf",TblMili[[#This Row],[Unit 2]]*0.5,0)</f>
        <v>0</v>
      </c>
      <c r="AF31" s="94">
        <f ca="1">OFFSET(TblConstr[[#This Row],[Tot DM]],1,0)*dm_gems</f>
        <v>0</v>
      </c>
      <c r="AG31" s="142"/>
      <c r="AH31" s="156">
        <f ca="1">MIN(race_platinum_bonus + IF(TblMagic[[#This Row],[Active Arc Infusion]]&gt;0,alch_frost_bonus,IF(Magic!AE31&gt;0,midas_bonus)) + TblImps[[#This Row],[Science]] - TblProd[[#This Row],[Guard]]*(0.02 + tech_5_7*TblTech[[#This Row],[5-7]]) + tech_1_5*TblTech[[#This Row],[1-5]] + tech_4_4*TblTech[[#This Row],[4-4]] + IF(TblMagic[[#This Row],[Active Infernal Command]]&gt;0,demonic_pact_plat,0), 0.5)</f>
        <v>0</v>
      </c>
      <c r="AI3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1" s="156">
        <f ca="1">race_lumber_bonus+ IF(TblMagic[[#This Row],[Active Gaia''s Blessing]]&gt;0,gaias_blessing_lumber)+ tech_1_3*TblTech[[#This Row],[1-3]] + tech_1_6*TblTech[[#This Row],[1-6]] + tech_3_3*TblTech[[#This Row],[3-3]]</f>
        <v>0</v>
      </c>
      <c r="AK31" s="156">
        <f ca="1">race_mana_bonus+ 0 + TblImps[[#This Row],[Spires]] + tech_1_2*TblTech[[#This Row],[1-2]] + tech_3_4*TblTech[[#This Row],[3-4]]</f>
        <v>0</v>
      </c>
      <c r="AL31" s="156">
        <f ca="1">race_ore_bonus + IF(TblMagic[[#This Row],[Active Miner''s Sight]]&gt;0,miners_sight_bonus,IF(TblMagic[[#This Row],[Active Mining Strength]]&gt;0,mining_strength_bonus)) +  tech_1_6*TblTech[[#This Row],[1-6]]</f>
        <v>0</v>
      </c>
      <c r="AM31" s="156">
        <f>race_gem_bonus+ tech_3_2*TblTech[[#This Row],[3-2]] + tech_4_3*TblTech[[#This Row],[4-3]] + tech_6_2*TblTech[[#This Row],[6-2]]</f>
        <v>0</v>
      </c>
      <c r="AN31" s="142"/>
      <c r="AO31" s="94">
        <f ca="1">TblProd[[#This Row],[Food]]*food_decay * (1 + tech_2_1*TblTech[[#This Row],[2-1]] + tech_2_8*TblTech[[#This Row],[2-8]] + IF(AND(TblMagic[[#This Row],[Active DnD]]&lt;12,TblMagic[[#This Row],[Active DnD]]&gt;5),1,0))</f>
        <v>681.83</v>
      </c>
      <c r="AP31" s="94">
        <f ca="1">(1+race_food_consumption)*TblPop[[#This Row],[Total]]*food_per_person*(1+tech_1_10*TblTech[[#This Row],[1-10]]+tech_7_5*TblTech[[#This Row],[7-5]] + IF(TblMagic[[#This Row],[Active Infernal Command]]&gt;0,demonic_pact_food_cons,0))</f>
        <v>192.25</v>
      </c>
      <c r="AQ31" s="94">
        <f ca="1">TblProd[[#This Row],[Lumber]]*lumber_rot * (1 + tech_2_1*TblTech[[#This Row],[2-1]] + tech_2_8*TblTech[[#This Row],[2-8]] + tech_5_2*TblTech[[#This Row],[5-2]] + IF(AND(TblMagic[[#This Row],[Active DnD]]&lt;12,TblMagic[[#This Row],[Active DnD]]&gt;5),1,0))</f>
        <v>352</v>
      </c>
      <c r="AR31" s="94">
        <f ca="1">TblProd[[#This Row],[Mana]]*mana_drain * (1 + tech_2_1*TblTech[[#This Row],[2-1]] + tech_2_8*TblTech[[#This Row],[2-8]])</f>
        <v>0</v>
      </c>
      <c r="AS31" s="154"/>
      <c r="AT31" s="94">
        <f ca="1">TblExplore[[#This Row],[Platinum (2)]]+TblConstr[[#This Row],[Total Plat Cost]]+TblMili[[#This Row],[Plat Cost]]+TblRezone[[#This Row],[Platinum cost]]+TblImps[[#This Row],[P1]]-TblProd[[#This Row],[Bank Plat]]</f>
        <v>0</v>
      </c>
      <c r="AU31" s="94">
        <f ca="1">TblConstr[[#This Row],[Total Lum Cost]]+TblImps[[#This Row],[L1]]-TblProd[[#This Row],[Bank Lumber]] + Military!$CO$25*TblMili[[#This Row],[Sec. rec. Cost]]</f>
        <v>0</v>
      </c>
      <c r="AV31" s="94">
        <f ca="1">TblMagic[[#This Row],[Mana cost]] + Military!$CO$26*TblMili[[#This Row],[Sec. rec. Cost]]</f>
        <v>0</v>
      </c>
      <c r="AW31" s="94">
        <f ca="1">Military!$CO$24*TblMili[[#This Row],[Sec. rec. Cost]]+TblImps[[#This Row],[O1]]-TblProd[[#This Row],[Bank Ore]]</f>
        <v>0</v>
      </c>
      <c r="AX31" s="94">
        <f>TblImps[[#This Row],[G1]]-TblProd[[#This Row],[Bank Gems]]</f>
        <v>0</v>
      </c>
      <c r="AY31" s="142"/>
      <c r="AZ31" s="61" t="b">
        <f ca="1">IF(TblProd[[#This Row],[Set Guard]]&lt;&gt;"",TblProd[[#This Row],[Set Guard]],OFFSET(TblProd[[#This Row],[Guard]],-1,0))</f>
        <v>0</v>
      </c>
      <c r="BA31" s="153"/>
      <c r="BB31" s="45">
        <f>TblProd[[#This Row],[Hour]]</f>
        <v>28</v>
      </c>
      <c r="BC31" s="158">
        <f>-TblProd[[#This Row],[Bank Lumber]] / 2 + -TblProd[[#This Row],[Bank Gems]] * 2 + -TblProd[[#This Row],[Bank Ore]] / 2</f>
        <v>0</v>
      </c>
      <c r="BD31" s="158"/>
      <c r="BE31" s="158"/>
      <c r="BF31" s="158"/>
      <c r="BG31" s="159">
        <f ca="1">TblProd[[#This Row],[Time]]</f>
        <v>46321.124999999935</v>
      </c>
      <c r="BH31" s="45"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94">
        <f ca="1">TblProd[[#This Row],[Platinum]]</f>
        <v>150121</v>
      </c>
      <c r="BJ31" s="94">
        <f ca="1">TblProd[[#This Row],[Food]]</f>
        <v>68183</v>
      </c>
      <c r="BK31" s="94">
        <f ca="1">TblProd[[#This Row],[Lumber]]</f>
        <v>35200</v>
      </c>
      <c r="BL31" s="94">
        <f ca="1">TblProd[[#This Row],[Mana]]</f>
        <v>0</v>
      </c>
      <c r="BM31" s="94">
        <f ca="1">TblProd[[#This Row],[Ore]]</f>
        <v>0</v>
      </c>
    </row>
    <row r="32" spans="1:65" x14ac:dyDescent="0.2">
      <c r="A32" s="137">
        <v>29</v>
      </c>
      <c r="B32" s="152">
        <f ca="1">TblImps[[#This Row],[Time]]</f>
        <v>46321.166666666599</v>
      </c>
      <c r="C32" s="153"/>
      <c r="D32" s="154"/>
      <c r="E32" s="94">
        <f ca="1">TblConstr[[#This Row],[Land]]</f>
        <v>50</v>
      </c>
      <c r="F32" s="94">
        <f ca="1">TblPop[[#This Row],[Peasants]]</f>
        <v>353</v>
      </c>
      <c r="G32" s="94">
        <f ca="1">TblMili[[#This Row],[Networth (2)]]</f>
        <v>1250</v>
      </c>
      <c r="H32" s="94">
        <f ca="1">OFFSET(TblProd[[#This Row],[Platinum]],-1,0)+OFFSET(TblProd[[#This Row],[Plat/hr]],-1,0) - TblProd[[#This Row],[Expenses Platinum]] + IF(TblProd[[#This Row],[Plat Bonus]],TblPop[[#This Row],[Peasants]]*4) + SUM(TblConstr[[#This Row],[Dest Hom]:[Dest Doc]])*TblConstr[[#This Row],[CPA Platinum -DB]]*tech_3_3_2*TblTech[[#This Row],[3-3]]</f>
        <v>151084</v>
      </c>
      <c r="I32" s="94">
        <f ca="1">OFFSET(TblProd[[#This Row],[Food]],-1,0)+OFFSET(TblProd[[#This Row],[Food/hr]],-1,0)+ROUNDUP((TblConstr[[#This Row],[Farms]]*80+TblConstr[[#This Row],[Docks]]*35)*(1+OFFSET(TblProd[[#This Row],[Bonus Food/hr]],-1,0)),0)</f>
        <v>69889</v>
      </c>
      <c r="J32" s="94">
        <f ca="1">OFFSET(TblProd[[#This Row],[Lumber]],-1,0)+OFFSET(TblProd[[#This Row],[Lumber/hr]],-1,0) - TblProd[[#This Row],[Expenses Lumber]] + SUM(TblConstr[[#This Row],[Dest Hom]:[Dest Doc]])*TblConstr[[#This Row],[CPA Lumber -DB]]*tech_3_3_2*TblTech[[#This Row],[3-3]]</f>
        <v>35848</v>
      </c>
      <c r="K32" s="94">
        <f ca="1">OFFSET(TblProd[[#This Row],[Mana]],-1,0)+OFFSET(TblProd[[#This Row],[Mana/hr]],-1,0)- TblProd[[#This Row],[Expenses Mana]]</f>
        <v>0</v>
      </c>
      <c r="L32" s="94">
        <f ca="1">OFFSET(TblProd[[#This Row],[Ore]],-1,0)+OFFSET(TblProd[[#This Row],[Ore/hr]],-1,0) -TblProd[[#This Row],[Expenses Ore]]</f>
        <v>0</v>
      </c>
      <c r="M32" s="94">
        <f ca="1">OFFSET(TblProd[[#This Row],[Gems]],-1,0)+OFFSET(TblProd[[#This Row],[Gems/hr]],-1,0) - TblProd[[#This Row],[Expenses Gems]]</f>
        <v>0</v>
      </c>
      <c r="N32" s="94">
        <f ca="1">OFFSET(TblProd[[#This Row],[Boats]],-1,0)+OFFSET(TblProd[[#This Row],[Boats/hr]],-1,0)</f>
        <v>0</v>
      </c>
      <c r="O32" s="94">
        <f ca="1">OFFSET(TblProd[[#This Row],[Prestige]],-1,0)</f>
        <v>250</v>
      </c>
      <c r="P3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2" s="94">
        <f ca="1">MAX(_xlfn.CEILING.MATH(TblProd[[#This Row],[Land]]*2.5+IFERROR(OFFSET(TblTech[[#This Row],[Sum of tech]],-1,0)*50,0)),3750)</f>
        <v>3750</v>
      </c>
      <c r="R32" s="142"/>
      <c r="S32" s="94">
        <f ca="1">ROUNDDOWN(TblProd[[#This Row],[Raw Plat/hr]]*(1+TblProd[[#This Row],[Bonus Plat/hr]]),0)</f>
        <v>953</v>
      </c>
      <c r="T32" s="94">
        <f ca="1">ROUND(TblProd[[#This Row],[Raw Food/hr]]*(1+TblProd[[#This Row],[Bonus Food/hr]])-TblProd[[#This Row],[Food decay]]-TblProd[[#This Row],[Food eaten]],0)</f>
        <v>1689</v>
      </c>
      <c r="U32" s="94">
        <f ca="1">ROUND(TblProd[[#This Row],[Raw Lumber/hr]]*(1+TblProd[[#This Row],[Bonus Lumber/hr]])-TblProd[[#This Row],[Lumber rot]],0)</f>
        <v>642</v>
      </c>
      <c r="V32" s="94">
        <f ca="1">ROUND(TblProd[[#This Row],[Raw Mana/hr]]*(1+TblProd[[#This Row],[Bonus Mana/hr]])-TblProd[[#This Row],[Mana drain]],0)</f>
        <v>0</v>
      </c>
      <c r="W32" s="94">
        <f ca="1">ROUNDDOWN(TblProd[[#This Row],[Raw Ore/hr]]*(1+TblProd[[#This Row],[Bonux Ore/hr]]),0)</f>
        <v>0</v>
      </c>
      <c r="X32" s="94">
        <f ca="1">ROUNDDOWN(TblProd[[#This Row],[Raw Gems/hr]]*(1+TblProd[[#This Row],[Bonus Gems/hr]]),0)</f>
        <v>0</v>
      </c>
      <c r="Y32" s="155">
        <f ca="1">OFFSET(TblConstr[[#This Row],[Tot Doc]],1,0)*dock_boats_hr * (1 + tech_4_1*TblTech[[#This Row],[4-1]])</f>
        <v>0</v>
      </c>
      <c r="Z32" s="154"/>
      <c r="AA32" s="94">
        <f ca="1">TblPop[[#This Row],[Peasants]]*tax*TblPop[[#This Row],[Employment]] + (Construction!AZ33+Construction!BX33)*(alch_plat+(Magic!AN32&gt;0)*alchemist_flame_bonus)</f>
        <v>953.1</v>
      </c>
      <c r="AB32" s="94">
        <f ca="1">TblConstr[[#This Row],[Tot Farm]]*farm_food + TblConstr[[#This Row],[Tot Doc]]*dock_food</f>
        <v>2400</v>
      </c>
      <c r="AC32" s="94">
        <f ca="1">TblConstr[[#This Row],[Tot Ly]]*ly_lumber + TblConstr[[#This Row],[Tot Hav]]*fh_lumber + IF(race="Wood Elf",TblMili[[#This Row],[Unit 2]]*MIN(TblMili[[#This Row],[Homeland%]]/wisp_bonus,wisp_cap),0)</f>
        <v>1000</v>
      </c>
      <c r="AD32" s="94">
        <f ca="1">OFFSET(TblConstr[[#This Row],[Tot Tow]],1,0)*(tower_mana + tech_4_5*TblTech[[#This Row],[4-5]]) + OFFSET(TblConstr[[#This Row],[Tot WG]],1,0)*wg_mana_prod</f>
        <v>0</v>
      </c>
      <c r="AE32" s="94">
        <f ca="1">OFFSET(TblConstr[[#This Row],[Tot OM]],1,0)*om_ore+IF(race="Dwarf",TblMili[[#This Row],[Unit 2]]*0.5,0)</f>
        <v>0</v>
      </c>
      <c r="AF32" s="94">
        <f ca="1">OFFSET(TblConstr[[#This Row],[Tot DM]],1,0)*dm_gems</f>
        <v>0</v>
      </c>
      <c r="AG32" s="142"/>
      <c r="AH32" s="156">
        <f ca="1">MIN(race_platinum_bonus + IF(TblMagic[[#This Row],[Active Arc Infusion]]&gt;0,alch_frost_bonus,IF(Magic!AE32&gt;0,midas_bonus)) + TblImps[[#This Row],[Science]] - TblProd[[#This Row],[Guard]]*(0.02 + tech_5_7*TblTech[[#This Row],[5-7]]) + tech_1_5*TblTech[[#This Row],[1-5]] + tech_4_4*TblTech[[#This Row],[4-4]] + IF(TblMagic[[#This Row],[Active Infernal Command]]&gt;0,demonic_pact_plat,0), 0.5)</f>
        <v>0</v>
      </c>
      <c r="AI3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2" s="156">
        <f ca="1">race_lumber_bonus+ IF(TblMagic[[#This Row],[Active Gaia''s Blessing]]&gt;0,gaias_blessing_lumber)+ tech_1_3*TblTech[[#This Row],[1-3]] + tech_1_6*TblTech[[#This Row],[1-6]] + tech_3_3*TblTech[[#This Row],[3-3]]</f>
        <v>0</v>
      </c>
      <c r="AK32" s="156">
        <f ca="1">race_mana_bonus+ 0 + TblImps[[#This Row],[Spires]] + tech_1_2*TblTech[[#This Row],[1-2]] + tech_3_4*TblTech[[#This Row],[3-4]]</f>
        <v>0</v>
      </c>
      <c r="AL32" s="156">
        <f ca="1">race_ore_bonus + IF(TblMagic[[#This Row],[Active Miner''s Sight]]&gt;0,miners_sight_bonus,IF(TblMagic[[#This Row],[Active Mining Strength]]&gt;0,mining_strength_bonus)) +  tech_1_6*TblTech[[#This Row],[1-6]]</f>
        <v>0</v>
      </c>
      <c r="AM32" s="156">
        <f>race_gem_bonus+ tech_3_2*TblTech[[#This Row],[3-2]] + tech_4_3*TblTech[[#This Row],[4-3]] + tech_6_2*TblTech[[#This Row],[6-2]]</f>
        <v>0</v>
      </c>
      <c r="AN32" s="142"/>
      <c r="AO32" s="94">
        <f ca="1">TblProd[[#This Row],[Food]]*food_decay * (1 + tech_2_1*TblTech[[#This Row],[2-1]] + tech_2_8*TblTech[[#This Row],[2-8]] + IF(AND(TblMagic[[#This Row],[Active DnD]]&lt;12,TblMagic[[#This Row],[Active DnD]]&gt;5),1,0))</f>
        <v>698.89</v>
      </c>
      <c r="AP32" s="94">
        <f ca="1">(1+race_food_consumption)*TblPop[[#This Row],[Total]]*food_per_person*(1+tech_1_10*TblTech[[#This Row],[1-10]]+tech_7_5*TblTech[[#This Row],[7-5]] + IF(TblMagic[[#This Row],[Active Infernal Command]]&gt;0,demonic_pact_food_cons,0))</f>
        <v>192.25</v>
      </c>
      <c r="AQ32" s="94">
        <f ca="1">TblProd[[#This Row],[Lumber]]*lumber_rot * (1 + tech_2_1*TblTech[[#This Row],[2-1]] + tech_2_8*TblTech[[#This Row],[2-8]] + tech_5_2*TblTech[[#This Row],[5-2]] + IF(AND(TblMagic[[#This Row],[Active DnD]]&lt;12,TblMagic[[#This Row],[Active DnD]]&gt;5),1,0))</f>
        <v>358.48</v>
      </c>
      <c r="AR32" s="94">
        <f ca="1">TblProd[[#This Row],[Mana]]*mana_drain * (1 + tech_2_1*TblTech[[#This Row],[2-1]] + tech_2_8*TblTech[[#This Row],[2-8]])</f>
        <v>0</v>
      </c>
      <c r="AS32" s="154"/>
      <c r="AT32" s="94">
        <f ca="1">TblExplore[[#This Row],[Platinum (2)]]+TblConstr[[#This Row],[Total Plat Cost]]+TblMili[[#This Row],[Plat Cost]]+TblRezone[[#This Row],[Platinum cost]]+TblImps[[#This Row],[P1]]-TblProd[[#This Row],[Bank Plat]]</f>
        <v>0</v>
      </c>
      <c r="AU32" s="94">
        <f ca="1">TblConstr[[#This Row],[Total Lum Cost]]+TblImps[[#This Row],[L1]]-TblProd[[#This Row],[Bank Lumber]] + Military!$CO$25*TblMili[[#This Row],[Sec. rec. Cost]]</f>
        <v>0</v>
      </c>
      <c r="AV32" s="94">
        <f ca="1">TblMagic[[#This Row],[Mana cost]] + Military!$CO$26*TblMili[[#This Row],[Sec. rec. Cost]]</f>
        <v>0</v>
      </c>
      <c r="AW32" s="94">
        <f ca="1">Military!$CO$24*TblMili[[#This Row],[Sec. rec. Cost]]+TblImps[[#This Row],[O1]]-TblProd[[#This Row],[Bank Ore]]</f>
        <v>0</v>
      </c>
      <c r="AX32" s="94">
        <f>TblImps[[#This Row],[G1]]-TblProd[[#This Row],[Bank Gems]]</f>
        <v>0</v>
      </c>
      <c r="AY32" s="142"/>
      <c r="AZ32" s="61" t="b">
        <f ca="1">IF(TblProd[[#This Row],[Set Guard]]&lt;&gt;"",TblProd[[#This Row],[Set Guard]],OFFSET(TblProd[[#This Row],[Guard]],-1,0))</f>
        <v>0</v>
      </c>
      <c r="BA32" s="153"/>
      <c r="BB32" s="45">
        <f>TblProd[[#This Row],[Hour]]</f>
        <v>29</v>
      </c>
      <c r="BC32" s="158">
        <f>-TblProd[[#This Row],[Bank Lumber]] / 2 + -TblProd[[#This Row],[Bank Gems]] * 2 + -TblProd[[#This Row],[Bank Ore]] / 2</f>
        <v>0</v>
      </c>
      <c r="BD32" s="158"/>
      <c r="BE32" s="158"/>
      <c r="BF32" s="158"/>
      <c r="BG32" s="159">
        <f ca="1">TblProd[[#This Row],[Time]]</f>
        <v>46321.166666666599</v>
      </c>
      <c r="BH32" s="45"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94">
        <f ca="1">TblProd[[#This Row],[Platinum]]</f>
        <v>151084</v>
      </c>
      <c r="BJ32" s="94">
        <f ca="1">TblProd[[#This Row],[Food]]</f>
        <v>69889</v>
      </c>
      <c r="BK32" s="94">
        <f ca="1">TblProd[[#This Row],[Lumber]]</f>
        <v>35848</v>
      </c>
      <c r="BL32" s="94">
        <f ca="1">TblProd[[#This Row],[Mana]]</f>
        <v>0</v>
      </c>
      <c r="BM32" s="94">
        <f ca="1">TblProd[[#This Row],[Ore]]</f>
        <v>0</v>
      </c>
    </row>
    <row r="33" spans="1:65" x14ac:dyDescent="0.2">
      <c r="A33" s="137">
        <v>30</v>
      </c>
      <c r="B33" s="152">
        <f ca="1">TblImps[[#This Row],[Time]]</f>
        <v>46321.208333333263</v>
      </c>
      <c r="C33" s="153"/>
      <c r="D33" s="154"/>
      <c r="E33" s="94">
        <f ca="1">TblConstr[[#This Row],[Land]]</f>
        <v>50</v>
      </c>
      <c r="F33" s="94">
        <f ca="1">TblPop[[#This Row],[Peasants]]</f>
        <v>349</v>
      </c>
      <c r="G33" s="94">
        <f ca="1">TblMili[[#This Row],[Networth (2)]]</f>
        <v>1250</v>
      </c>
      <c r="H33" s="94">
        <f ca="1">OFFSET(TblProd[[#This Row],[Platinum]],-1,0)+OFFSET(TblProd[[#This Row],[Plat/hr]],-1,0) - TblProd[[#This Row],[Expenses Platinum]] + IF(TblProd[[#This Row],[Plat Bonus]],TblPop[[#This Row],[Peasants]]*4) + SUM(TblConstr[[#This Row],[Dest Hom]:[Dest Doc]])*TblConstr[[#This Row],[CPA Platinum -DB]]*tech_3_3_2*TblTech[[#This Row],[3-3]]</f>
        <v>152037</v>
      </c>
      <c r="I33" s="94">
        <f ca="1">OFFSET(TblProd[[#This Row],[Food]],-1,0)+OFFSET(TblProd[[#This Row],[Food/hr]],-1,0)+ROUNDUP((TblConstr[[#This Row],[Farms]]*80+TblConstr[[#This Row],[Docks]]*35)*(1+OFFSET(TblProd[[#This Row],[Bonus Food/hr]],-1,0)),0)</f>
        <v>71578</v>
      </c>
      <c r="J33" s="94">
        <f ca="1">OFFSET(TblProd[[#This Row],[Lumber]],-1,0)+OFFSET(TblProd[[#This Row],[Lumber/hr]],-1,0) - TblProd[[#This Row],[Expenses Lumber]] + SUM(TblConstr[[#This Row],[Dest Hom]:[Dest Doc]])*TblConstr[[#This Row],[CPA Lumber -DB]]*tech_3_3_2*TblTech[[#This Row],[3-3]]</f>
        <v>36490</v>
      </c>
      <c r="K33" s="94">
        <f ca="1">OFFSET(TblProd[[#This Row],[Mana]],-1,0)+OFFSET(TblProd[[#This Row],[Mana/hr]],-1,0)- TblProd[[#This Row],[Expenses Mana]]</f>
        <v>0</v>
      </c>
      <c r="L33" s="94">
        <f ca="1">OFFSET(TblProd[[#This Row],[Ore]],-1,0)+OFFSET(TblProd[[#This Row],[Ore/hr]],-1,0) -TblProd[[#This Row],[Expenses Ore]]</f>
        <v>0</v>
      </c>
      <c r="M33" s="94">
        <f ca="1">OFFSET(TblProd[[#This Row],[Gems]],-1,0)+OFFSET(TblProd[[#This Row],[Gems/hr]],-1,0) - TblProd[[#This Row],[Expenses Gems]]</f>
        <v>0</v>
      </c>
      <c r="N33" s="94">
        <f ca="1">OFFSET(TblProd[[#This Row],[Boats]],-1,0)+OFFSET(TblProd[[#This Row],[Boats/hr]],-1,0)</f>
        <v>0</v>
      </c>
      <c r="O33" s="94">
        <f ca="1">OFFSET(TblProd[[#This Row],[Prestige]],-1,0)</f>
        <v>250</v>
      </c>
      <c r="P3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3" s="94">
        <f ca="1">MAX(_xlfn.CEILING.MATH(TblProd[[#This Row],[Land]]*2.5+IFERROR(OFFSET(TblTech[[#This Row],[Sum of tech]],-1,0)*50,0)),3750)</f>
        <v>3750</v>
      </c>
      <c r="R33" s="142"/>
      <c r="S33" s="94">
        <f ca="1">ROUNDDOWN(TblProd[[#This Row],[Raw Plat/hr]]*(1+TblProd[[#This Row],[Bonus Plat/hr]]),0)</f>
        <v>942</v>
      </c>
      <c r="T33" s="94">
        <f ca="1">ROUND(TblProd[[#This Row],[Raw Food/hr]]*(1+TblProd[[#This Row],[Bonus Food/hr]])-TblProd[[#This Row],[Food decay]]-TblProd[[#This Row],[Food eaten]],0)</f>
        <v>1672</v>
      </c>
      <c r="U33" s="94">
        <f ca="1">ROUND(TblProd[[#This Row],[Raw Lumber/hr]]*(1+TblProd[[#This Row],[Bonus Lumber/hr]])-TblProd[[#This Row],[Lumber rot]],0)</f>
        <v>635</v>
      </c>
      <c r="V33" s="94">
        <f ca="1">ROUND(TblProd[[#This Row],[Raw Mana/hr]]*(1+TblProd[[#This Row],[Bonus Mana/hr]])-TblProd[[#This Row],[Mana drain]],0)</f>
        <v>0</v>
      </c>
      <c r="W33" s="94">
        <f ca="1">ROUNDDOWN(TblProd[[#This Row],[Raw Ore/hr]]*(1+TblProd[[#This Row],[Bonux Ore/hr]]),0)</f>
        <v>0</v>
      </c>
      <c r="X33" s="94">
        <f ca="1">ROUNDDOWN(TblProd[[#This Row],[Raw Gems/hr]]*(1+TblProd[[#This Row],[Bonus Gems/hr]]),0)</f>
        <v>0</v>
      </c>
      <c r="Y33" s="155">
        <f ca="1">OFFSET(TblConstr[[#This Row],[Tot Doc]],1,0)*dock_boats_hr * (1 + tech_4_1*TblTech[[#This Row],[4-1]])</f>
        <v>0</v>
      </c>
      <c r="Z33" s="154"/>
      <c r="AA33" s="94">
        <f ca="1">TblPop[[#This Row],[Peasants]]*tax*TblPop[[#This Row],[Employment]] + (Construction!AZ34+Construction!BX34)*(alch_plat+(Magic!AN33&gt;0)*alchemist_flame_bonus)</f>
        <v>942.30000000000007</v>
      </c>
      <c r="AB33" s="94">
        <f ca="1">TblConstr[[#This Row],[Tot Farm]]*farm_food + TblConstr[[#This Row],[Tot Doc]]*dock_food</f>
        <v>2400</v>
      </c>
      <c r="AC33" s="94">
        <f ca="1">TblConstr[[#This Row],[Tot Ly]]*ly_lumber + TblConstr[[#This Row],[Tot Hav]]*fh_lumber + IF(race="Wood Elf",TblMili[[#This Row],[Unit 2]]*MIN(TblMili[[#This Row],[Homeland%]]/wisp_bonus,wisp_cap),0)</f>
        <v>1000</v>
      </c>
      <c r="AD33" s="94">
        <f ca="1">OFFSET(TblConstr[[#This Row],[Tot Tow]],1,0)*(tower_mana + tech_4_5*TblTech[[#This Row],[4-5]]) + OFFSET(TblConstr[[#This Row],[Tot WG]],1,0)*wg_mana_prod</f>
        <v>0</v>
      </c>
      <c r="AE33" s="94">
        <f ca="1">OFFSET(TblConstr[[#This Row],[Tot OM]],1,0)*om_ore+IF(race="Dwarf",TblMili[[#This Row],[Unit 2]]*0.5,0)</f>
        <v>0</v>
      </c>
      <c r="AF33" s="94">
        <f ca="1">OFFSET(TblConstr[[#This Row],[Tot DM]],1,0)*dm_gems</f>
        <v>0</v>
      </c>
      <c r="AG33" s="142"/>
      <c r="AH33" s="156">
        <f ca="1">MIN(race_platinum_bonus + IF(TblMagic[[#This Row],[Active Arc Infusion]]&gt;0,alch_frost_bonus,IF(Magic!AE33&gt;0,midas_bonus)) + TblImps[[#This Row],[Science]] - TblProd[[#This Row],[Guard]]*(0.02 + tech_5_7*TblTech[[#This Row],[5-7]]) + tech_1_5*TblTech[[#This Row],[1-5]] + tech_4_4*TblTech[[#This Row],[4-4]] + IF(TblMagic[[#This Row],[Active Infernal Command]]&gt;0,demonic_pact_plat,0), 0.5)</f>
        <v>0</v>
      </c>
      <c r="AI3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3" s="156">
        <f ca="1">race_lumber_bonus+ IF(TblMagic[[#This Row],[Active Gaia''s Blessing]]&gt;0,gaias_blessing_lumber)+ tech_1_3*TblTech[[#This Row],[1-3]] + tech_1_6*TblTech[[#This Row],[1-6]] + tech_3_3*TblTech[[#This Row],[3-3]]</f>
        <v>0</v>
      </c>
      <c r="AK33" s="156">
        <f ca="1">race_mana_bonus+ 0 + TblImps[[#This Row],[Spires]] + tech_1_2*TblTech[[#This Row],[1-2]] + tech_3_4*TblTech[[#This Row],[3-4]]</f>
        <v>0</v>
      </c>
      <c r="AL33" s="156">
        <f ca="1">race_ore_bonus + IF(TblMagic[[#This Row],[Active Miner''s Sight]]&gt;0,miners_sight_bonus,IF(TblMagic[[#This Row],[Active Mining Strength]]&gt;0,mining_strength_bonus)) +  tech_1_6*TblTech[[#This Row],[1-6]]</f>
        <v>0</v>
      </c>
      <c r="AM33" s="156">
        <f>race_gem_bonus+ tech_3_2*TblTech[[#This Row],[3-2]] + tech_4_3*TblTech[[#This Row],[4-3]] + tech_6_2*TblTech[[#This Row],[6-2]]</f>
        <v>0</v>
      </c>
      <c r="AN33" s="142"/>
      <c r="AO33" s="94">
        <f ca="1">TblProd[[#This Row],[Food]]*food_decay * (1 + tech_2_1*TblTech[[#This Row],[2-1]] + tech_2_8*TblTech[[#This Row],[2-8]] + IF(AND(TblMagic[[#This Row],[Active DnD]]&lt;12,TblMagic[[#This Row],[Active DnD]]&gt;5),1,0))</f>
        <v>715.78</v>
      </c>
      <c r="AP33" s="94">
        <f ca="1">(1+race_food_consumption)*TblPop[[#This Row],[Total]]*food_per_person*(1+tech_1_10*TblTech[[#This Row],[1-10]]+tech_7_5*TblTech[[#This Row],[7-5]] + IF(TblMagic[[#This Row],[Active Infernal Command]]&gt;0,demonic_pact_food_cons,0))</f>
        <v>192.25</v>
      </c>
      <c r="AQ33" s="94">
        <f ca="1">TblProd[[#This Row],[Lumber]]*lumber_rot * (1 + tech_2_1*TblTech[[#This Row],[2-1]] + tech_2_8*TblTech[[#This Row],[2-8]] + tech_5_2*TblTech[[#This Row],[5-2]] + IF(AND(TblMagic[[#This Row],[Active DnD]]&lt;12,TblMagic[[#This Row],[Active DnD]]&gt;5),1,0))</f>
        <v>364.90000000000003</v>
      </c>
      <c r="AR33" s="94">
        <f ca="1">TblProd[[#This Row],[Mana]]*mana_drain * (1 + tech_2_1*TblTech[[#This Row],[2-1]] + tech_2_8*TblTech[[#This Row],[2-8]])</f>
        <v>0</v>
      </c>
      <c r="AS33" s="154"/>
      <c r="AT33" s="94">
        <f ca="1">TblExplore[[#This Row],[Platinum (2)]]+TblConstr[[#This Row],[Total Plat Cost]]+TblMili[[#This Row],[Plat Cost]]+TblRezone[[#This Row],[Platinum cost]]+TblImps[[#This Row],[P1]]-TblProd[[#This Row],[Bank Plat]]</f>
        <v>0</v>
      </c>
      <c r="AU33" s="94">
        <f ca="1">TblConstr[[#This Row],[Total Lum Cost]]+TblImps[[#This Row],[L1]]-TblProd[[#This Row],[Bank Lumber]] + Military!$CO$25*TblMili[[#This Row],[Sec. rec. Cost]]</f>
        <v>0</v>
      </c>
      <c r="AV33" s="94">
        <f ca="1">TblMagic[[#This Row],[Mana cost]] + Military!$CO$26*TblMili[[#This Row],[Sec. rec. Cost]]</f>
        <v>0</v>
      </c>
      <c r="AW33" s="94">
        <f ca="1">Military!$CO$24*TblMili[[#This Row],[Sec. rec. Cost]]+TblImps[[#This Row],[O1]]-TblProd[[#This Row],[Bank Ore]]</f>
        <v>0</v>
      </c>
      <c r="AX33" s="94">
        <f>TblImps[[#This Row],[G1]]-TblProd[[#This Row],[Bank Gems]]</f>
        <v>0</v>
      </c>
      <c r="AY33" s="142"/>
      <c r="AZ33" s="61" t="b">
        <f ca="1">IF(TblProd[[#This Row],[Set Guard]]&lt;&gt;"",TblProd[[#This Row],[Set Guard]],OFFSET(TblProd[[#This Row],[Guard]],-1,0))</f>
        <v>0</v>
      </c>
      <c r="BA33" s="153"/>
      <c r="BB33" s="45">
        <f>TblProd[[#This Row],[Hour]]</f>
        <v>30</v>
      </c>
      <c r="BC33" s="158">
        <f>-TblProd[[#This Row],[Bank Lumber]] / 2 + -TblProd[[#This Row],[Bank Gems]] * 2 + -TblProd[[#This Row],[Bank Ore]] / 2</f>
        <v>0</v>
      </c>
      <c r="BD33" s="158"/>
      <c r="BE33" s="158"/>
      <c r="BF33" s="158"/>
      <c r="BG33" s="159">
        <f ca="1">TblProd[[#This Row],[Time]]</f>
        <v>46321.208333333263</v>
      </c>
      <c r="BH33" s="45"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94">
        <f ca="1">TblProd[[#This Row],[Platinum]]</f>
        <v>152037</v>
      </c>
      <c r="BJ33" s="94">
        <f ca="1">TblProd[[#This Row],[Food]]</f>
        <v>71578</v>
      </c>
      <c r="BK33" s="94">
        <f ca="1">TblProd[[#This Row],[Lumber]]</f>
        <v>36490</v>
      </c>
      <c r="BL33" s="94">
        <f ca="1">TblProd[[#This Row],[Mana]]</f>
        <v>0</v>
      </c>
      <c r="BM33" s="94">
        <f ca="1">TblProd[[#This Row],[Ore]]</f>
        <v>0</v>
      </c>
    </row>
    <row r="34" spans="1:65" x14ac:dyDescent="0.2">
      <c r="A34" s="137">
        <v>31</v>
      </c>
      <c r="B34" s="152">
        <f ca="1">TblImps[[#This Row],[Time]]</f>
        <v>46321.249999999927</v>
      </c>
      <c r="C34" s="153"/>
      <c r="D34" s="154"/>
      <c r="E34" s="94">
        <f ca="1">TblConstr[[#This Row],[Land]]</f>
        <v>50</v>
      </c>
      <c r="F34" s="94">
        <f ca="1">TblPop[[#This Row],[Peasants]]</f>
        <v>346</v>
      </c>
      <c r="G34" s="94">
        <f ca="1">TblMili[[#This Row],[Networth (2)]]</f>
        <v>1250</v>
      </c>
      <c r="H34" s="94">
        <f ca="1">OFFSET(TblProd[[#This Row],[Platinum]],-1,0)+OFFSET(TblProd[[#This Row],[Plat/hr]],-1,0) - TblProd[[#This Row],[Expenses Platinum]] + IF(TblProd[[#This Row],[Plat Bonus]],TblPop[[#This Row],[Peasants]]*4) + SUM(TblConstr[[#This Row],[Dest Hom]:[Dest Doc]])*TblConstr[[#This Row],[CPA Platinum -DB]]*tech_3_3_2*TblTech[[#This Row],[3-3]]</f>
        <v>152979</v>
      </c>
      <c r="I34" s="94">
        <f ca="1">OFFSET(TblProd[[#This Row],[Food]],-1,0)+OFFSET(TblProd[[#This Row],[Food/hr]],-1,0)+ROUNDUP((TblConstr[[#This Row],[Farms]]*80+TblConstr[[#This Row],[Docks]]*35)*(1+OFFSET(TblProd[[#This Row],[Bonus Food/hr]],-1,0)),0)</f>
        <v>73250</v>
      </c>
      <c r="J34" s="94">
        <f ca="1">OFFSET(TblProd[[#This Row],[Lumber]],-1,0)+OFFSET(TblProd[[#This Row],[Lumber/hr]],-1,0) - TblProd[[#This Row],[Expenses Lumber]] + SUM(TblConstr[[#This Row],[Dest Hom]:[Dest Doc]])*TblConstr[[#This Row],[CPA Lumber -DB]]*tech_3_3_2*TblTech[[#This Row],[3-3]]</f>
        <v>37125</v>
      </c>
      <c r="K34" s="94">
        <f ca="1">OFFSET(TblProd[[#This Row],[Mana]],-1,0)+OFFSET(TblProd[[#This Row],[Mana/hr]],-1,0)- TblProd[[#This Row],[Expenses Mana]]</f>
        <v>0</v>
      </c>
      <c r="L34" s="94">
        <f ca="1">OFFSET(TblProd[[#This Row],[Ore]],-1,0)+OFFSET(TblProd[[#This Row],[Ore/hr]],-1,0) -TblProd[[#This Row],[Expenses Ore]]</f>
        <v>0</v>
      </c>
      <c r="M34" s="94">
        <f ca="1">OFFSET(TblProd[[#This Row],[Gems]],-1,0)+OFFSET(TblProd[[#This Row],[Gems/hr]],-1,0) - TblProd[[#This Row],[Expenses Gems]]</f>
        <v>0</v>
      </c>
      <c r="N34" s="94">
        <f ca="1">OFFSET(TblProd[[#This Row],[Boats]],-1,0)+OFFSET(TblProd[[#This Row],[Boats/hr]],-1,0)</f>
        <v>0</v>
      </c>
      <c r="O34" s="94">
        <f ca="1">OFFSET(TblProd[[#This Row],[Prestige]],-1,0)</f>
        <v>250</v>
      </c>
      <c r="P3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4" s="94">
        <f ca="1">MAX(_xlfn.CEILING.MATH(TblProd[[#This Row],[Land]]*2.5+IFERROR(OFFSET(TblTech[[#This Row],[Sum of tech]],-1,0)*50,0)),3750)</f>
        <v>3750</v>
      </c>
      <c r="R34" s="142"/>
      <c r="S34" s="94">
        <f ca="1">ROUNDDOWN(TblProd[[#This Row],[Raw Plat/hr]]*(1+TblProd[[#This Row],[Bonus Plat/hr]]),0)</f>
        <v>934</v>
      </c>
      <c r="T34" s="94">
        <f ca="1">ROUND(TblProd[[#This Row],[Raw Food/hr]]*(1+TblProd[[#This Row],[Bonus Food/hr]])-TblProd[[#This Row],[Food decay]]-TblProd[[#This Row],[Food eaten]],0)</f>
        <v>1655</v>
      </c>
      <c r="U34" s="94">
        <f ca="1">ROUND(TblProd[[#This Row],[Raw Lumber/hr]]*(1+TblProd[[#This Row],[Bonus Lumber/hr]])-TblProd[[#This Row],[Lumber rot]],0)</f>
        <v>629</v>
      </c>
      <c r="V34" s="94">
        <f ca="1">ROUND(TblProd[[#This Row],[Raw Mana/hr]]*(1+TblProd[[#This Row],[Bonus Mana/hr]])-TblProd[[#This Row],[Mana drain]],0)</f>
        <v>0</v>
      </c>
      <c r="W34" s="94">
        <f ca="1">ROUNDDOWN(TblProd[[#This Row],[Raw Ore/hr]]*(1+TblProd[[#This Row],[Bonux Ore/hr]]),0)</f>
        <v>0</v>
      </c>
      <c r="X34" s="94">
        <f ca="1">ROUNDDOWN(TblProd[[#This Row],[Raw Gems/hr]]*(1+TblProd[[#This Row],[Bonus Gems/hr]]),0)</f>
        <v>0</v>
      </c>
      <c r="Y34" s="155">
        <f ca="1">OFFSET(TblConstr[[#This Row],[Tot Doc]],1,0)*dock_boats_hr * (1 + tech_4_1*TblTech[[#This Row],[4-1]])</f>
        <v>0</v>
      </c>
      <c r="Z34" s="154"/>
      <c r="AA34" s="94">
        <f ca="1">TblPop[[#This Row],[Peasants]]*tax*TblPop[[#This Row],[Employment]] + (Construction!AZ35+Construction!BX35)*(alch_plat+(Magic!AN34&gt;0)*alchemist_flame_bonus)</f>
        <v>934.2</v>
      </c>
      <c r="AB34" s="94">
        <f ca="1">TblConstr[[#This Row],[Tot Farm]]*farm_food + TblConstr[[#This Row],[Tot Doc]]*dock_food</f>
        <v>2400</v>
      </c>
      <c r="AC34" s="94">
        <f ca="1">TblConstr[[#This Row],[Tot Ly]]*ly_lumber + TblConstr[[#This Row],[Tot Hav]]*fh_lumber + IF(race="Wood Elf",TblMili[[#This Row],[Unit 2]]*MIN(TblMili[[#This Row],[Homeland%]]/wisp_bonus,wisp_cap),0)</f>
        <v>1000</v>
      </c>
      <c r="AD34" s="94">
        <f ca="1">OFFSET(TblConstr[[#This Row],[Tot Tow]],1,0)*(tower_mana + tech_4_5*TblTech[[#This Row],[4-5]]) + OFFSET(TblConstr[[#This Row],[Tot WG]],1,0)*wg_mana_prod</f>
        <v>0</v>
      </c>
      <c r="AE34" s="94">
        <f ca="1">OFFSET(TblConstr[[#This Row],[Tot OM]],1,0)*om_ore+IF(race="Dwarf",TblMili[[#This Row],[Unit 2]]*0.5,0)</f>
        <v>0</v>
      </c>
      <c r="AF34" s="94">
        <f ca="1">OFFSET(TblConstr[[#This Row],[Tot DM]],1,0)*dm_gems</f>
        <v>0</v>
      </c>
      <c r="AG34" s="142"/>
      <c r="AH34" s="156">
        <f ca="1">MIN(race_platinum_bonus + IF(TblMagic[[#This Row],[Active Arc Infusion]]&gt;0,alch_frost_bonus,IF(Magic!AE34&gt;0,midas_bonus)) + TblImps[[#This Row],[Science]] - TblProd[[#This Row],[Guard]]*(0.02 + tech_5_7*TblTech[[#This Row],[5-7]]) + tech_1_5*TblTech[[#This Row],[1-5]] + tech_4_4*TblTech[[#This Row],[4-4]] + IF(TblMagic[[#This Row],[Active Infernal Command]]&gt;0,demonic_pact_plat,0), 0.5)</f>
        <v>0</v>
      </c>
      <c r="AI3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4" s="156">
        <f ca="1">race_lumber_bonus+ IF(TblMagic[[#This Row],[Active Gaia''s Blessing]]&gt;0,gaias_blessing_lumber)+ tech_1_3*TblTech[[#This Row],[1-3]] + tech_1_6*TblTech[[#This Row],[1-6]] + tech_3_3*TblTech[[#This Row],[3-3]]</f>
        <v>0</v>
      </c>
      <c r="AK34" s="156">
        <f ca="1">race_mana_bonus+ 0 + TblImps[[#This Row],[Spires]] + tech_1_2*TblTech[[#This Row],[1-2]] + tech_3_4*TblTech[[#This Row],[3-4]]</f>
        <v>0</v>
      </c>
      <c r="AL34" s="156">
        <f ca="1">race_ore_bonus + IF(TblMagic[[#This Row],[Active Miner''s Sight]]&gt;0,miners_sight_bonus,IF(TblMagic[[#This Row],[Active Mining Strength]]&gt;0,mining_strength_bonus)) +  tech_1_6*TblTech[[#This Row],[1-6]]</f>
        <v>0</v>
      </c>
      <c r="AM34" s="156">
        <f>race_gem_bonus+ tech_3_2*TblTech[[#This Row],[3-2]] + tech_4_3*TblTech[[#This Row],[4-3]] + tech_6_2*TblTech[[#This Row],[6-2]]</f>
        <v>0</v>
      </c>
      <c r="AN34" s="142"/>
      <c r="AO34" s="94">
        <f ca="1">TblProd[[#This Row],[Food]]*food_decay * (1 + tech_2_1*TblTech[[#This Row],[2-1]] + tech_2_8*TblTech[[#This Row],[2-8]] + IF(AND(TblMagic[[#This Row],[Active DnD]]&lt;12,TblMagic[[#This Row],[Active DnD]]&gt;5),1,0))</f>
        <v>732.5</v>
      </c>
      <c r="AP34" s="94">
        <f ca="1">(1+race_food_consumption)*TblPop[[#This Row],[Total]]*food_per_person*(1+tech_1_10*TblTech[[#This Row],[1-10]]+tech_7_5*TblTech[[#This Row],[7-5]] + IF(TblMagic[[#This Row],[Active Infernal Command]]&gt;0,demonic_pact_food_cons,0))</f>
        <v>192.25</v>
      </c>
      <c r="AQ34" s="94">
        <f ca="1">TblProd[[#This Row],[Lumber]]*lumber_rot * (1 + tech_2_1*TblTech[[#This Row],[2-1]] + tech_2_8*TblTech[[#This Row],[2-8]] + tech_5_2*TblTech[[#This Row],[5-2]] + IF(AND(TblMagic[[#This Row],[Active DnD]]&lt;12,TblMagic[[#This Row],[Active DnD]]&gt;5),1,0))</f>
        <v>371.25</v>
      </c>
      <c r="AR34" s="94">
        <f ca="1">TblProd[[#This Row],[Mana]]*mana_drain * (1 + tech_2_1*TblTech[[#This Row],[2-1]] + tech_2_8*TblTech[[#This Row],[2-8]])</f>
        <v>0</v>
      </c>
      <c r="AS34" s="154"/>
      <c r="AT34" s="94">
        <f ca="1">TblExplore[[#This Row],[Platinum (2)]]+TblConstr[[#This Row],[Total Plat Cost]]+TblMili[[#This Row],[Plat Cost]]+TblRezone[[#This Row],[Platinum cost]]+TblImps[[#This Row],[P1]]-TblProd[[#This Row],[Bank Plat]]</f>
        <v>0</v>
      </c>
      <c r="AU34" s="94">
        <f ca="1">TblConstr[[#This Row],[Total Lum Cost]]+TblImps[[#This Row],[L1]]-TblProd[[#This Row],[Bank Lumber]] + Military!$CO$25*TblMili[[#This Row],[Sec. rec. Cost]]</f>
        <v>0</v>
      </c>
      <c r="AV34" s="94">
        <f ca="1">TblMagic[[#This Row],[Mana cost]] + Military!$CO$26*TblMili[[#This Row],[Sec. rec. Cost]]</f>
        <v>0</v>
      </c>
      <c r="AW34" s="94">
        <f ca="1">Military!$CO$24*TblMili[[#This Row],[Sec. rec. Cost]]+TblImps[[#This Row],[O1]]-TblProd[[#This Row],[Bank Ore]]</f>
        <v>0</v>
      </c>
      <c r="AX34" s="94">
        <f>TblImps[[#This Row],[G1]]-TblProd[[#This Row],[Bank Gems]]</f>
        <v>0</v>
      </c>
      <c r="AY34" s="142"/>
      <c r="AZ34" s="61" t="b">
        <f ca="1">IF(TblProd[[#This Row],[Set Guard]]&lt;&gt;"",TblProd[[#This Row],[Set Guard]],OFFSET(TblProd[[#This Row],[Guard]],-1,0))</f>
        <v>0</v>
      </c>
      <c r="BA34" s="153"/>
      <c r="BB34" s="45">
        <f>TblProd[[#This Row],[Hour]]</f>
        <v>31</v>
      </c>
      <c r="BC34" s="158">
        <f>-TblProd[[#This Row],[Bank Lumber]] / 2 + -TblProd[[#This Row],[Bank Gems]] * 2 + -TblProd[[#This Row],[Bank Ore]] / 2</f>
        <v>0</v>
      </c>
      <c r="BD34" s="158"/>
      <c r="BE34" s="158"/>
      <c r="BF34" s="158"/>
      <c r="BG34" s="159">
        <f ca="1">TblProd[[#This Row],[Time]]</f>
        <v>46321.249999999927</v>
      </c>
      <c r="BH34" s="45"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94">
        <f ca="1">TblProd[[#This Row],[Platinum]]</f>
        <v>152979</v>
      </c>
      <c r="BJ34" s="94">
        <f ca="1">TblProd[[#This Row],[Food]]</f>
        <v>73250</v>
      </c>
      <c r="BK34" s="94">
        <f ca="1">TblProd[[#This Row],[Lumber]]</f>
        <v>37125</v>
      </c>
      <c r="BL34" s="94">
        <f ca="1">TblProd[[#This Row],[Mana]]</f>
        <v>0</v>
      </c>
      <c r="BM34" s="94">
        <f ca="1">TblProd[[#This Row],[Ore]]</f>
        <v>0</v>
      </c>
    </row>
    <row r="35" spans="1:65" x14ac:dyDescent="0.2">
      <c r="A35" s="137">
        <v>32</v>
      </c>
      <c r="B35" s="152">
        <f ca="1">TblImps[[#This Row],[Time]]</f>
        <v>46321.291666666591</v>
      </c>
      <c r="C35" s="153"/>
      <c r="D35" s="154"/>
      <c r="E35" s="94">
        <f ca="1">TblConstr[[#This Row],[Land]]</f>
        <v>50</v>
      </c>
      <c r="F35" s="94">
        <f ca="1">TblPop[[#This Row],[Peasants]]</f>
        <v>343</v>
      </c>
      <c r="G35" s="94">
        <f ca="1">TblMili[[#This Row],[Networth (2)]]</f>
        <v>1250</v>
      </c>
      <c r="H35" s="94">
        <f ca="1">OFFSET(TblProd[[#This Row],[Platinum]],-1,0)+OFFSET(TblProd[[#This Row],[Plat/hr]],-1,0) - TblProd[[#This Row],[Expenses Platinum]] + IF(TblProd[[#This Row],[Plat Bonus]],TblPop[[#This Row],[Peasants]]*4) + SUM(TblConstr[[#This Row],[Dest Hom]:[Dest Doc]])*TblConstr[[#This Row],[CPA Platinum -DB]]*tech_3_3_2*TblTech[[#This Row],[3-3]]</f>
        <v>153913</v>
      </c>
      <c r="I35" s="94">
        <f ca="1">OFFSET(TblProd[[#This Row],[Food]],-1,0)+OFFSET(TblProd[[#This Row],[Food/hr]],-1,0)+ROUNDUP((TblConstr[[#This Row],[Farms]]*80+TblConstr[[#This Row],[Docks]]*35)*(1+OFFSET(TblProd[[#This Row],[Bonus Food/hr]],-1,0)),0)</f>
        <v>74905</v>
      </c>
      <c r="J35" s="94">
        <f ca="1">OFFSET(TblProd[[#This Row],[Lumber]],-1,0)+OFFSET(TblProd[[#This Row],[Lumber/hr]],-1,0) - TblProd[[#This Row],[Expenses Lumber]] + SUM(TblConstr[[#This Row],[Dest Hom]:[Dest Doc]])*TblConstr[[#This Row],[CPA Lumber -DB]]*tech_3_3_2*TblTech[[#This Row],[3-3]]</f>
        <v>37754</v>
      </c>
      <c r="K35" s="94">
        <f ca="1">OFFSET(TblProd[[#This Row],[Mana]],-1,0)+OFFSET(TblProd[[#This Row],[Mana/hr]],-1,0)- TblProd[[#This Row],[Expenses Mana]]</f>
        <v>0</v>
      </c>
      <c r="L35" s="94">
        <f ca="1">OFFSET(TblProd[[#This Row],[Ore]],-1,0)+OFFSET(TblProd[[#This Row],[Ore/hr]],-1,0) -TblProd[[#This Row],[Expenses Ore]]</f>
        <v>0</v>
      </c>
      <c r="M35" s="94">
        <f ca="1">OFFSET(TblProd[[#This Row],[Gems]],-1,0)+OFFSET(TblProd[[#This Row],[Gems/hr]],-1,0) - TblProd[[#This Row],[Expenses Gems]]</f>
        <v>0</v>
      </c>
      <c r="N35" s="94">
        <f ca="1">OFFSET(TblProd[[#This Row],[Boats]],-1,0)+OFFSET(TblProd[[#This Row],[Boats/hr]],-1,0)</f>
        <v>0</v>
      </c>
      <c r="O35" s="94">
        <f ca="1">OFFSET(TblProd[[#This Row],[Prestige]],-1,0)</f>
        <v>250</v>
      </c>
      <c r="P3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5" s="94">
        <f ca="1">MAX(_xlfn.CEILING.MATH(TblProd[[#This Row],[Land]]*2.5+IFERROR(OFFSET(TblTech[[#This Row],[Sum of tech]],-1,0)*50,0)),3750)</f>
        <v>3750</v>
      </c>
      <c r="R35" s="142"/>
      <c r="S35" s="94">
        <f ca="1">ROUNDDOWN(TblProd[[#This Row],[Raw Plat/hr]]*(1+TblProd[[#This Row],[Bonus Plat/hr]]),0)</f>
        <v>926</v>
      </c>
      <c r="T35" s="94">
        <f ca="1">ROUND(TblProd[[#This Row],[Raw Food/hr]]*(1+TblProd[[#This Row],[Bonus Food/hr]])-TblProd[[#This Row],[Food decay]]-TblProd[[#This Row],[Food eaten]],0)</f>
        <v>1639</v>
      </c>
      <c r="U35" s="94">
        <f ca="1">ROUND(TblProd[[#This Row],[Raw Lumber/hr]]*(1+TblProd[[#This Row],[Bonus Lumber/hr]])-TblProd[[#This Row],[Lumber rot]],0)</f>
        <v>622</v>
      </c>
      <c r="V35" s="94">
        <f ca="1">ROUND(TblProd[[#This Row],[Raw Mana/hr]]*(1+TblProd[[#This Row],[Bonus Mana/hr]])-TblProd[[#This Row],[Mana drain]],0)</f>
        <v>0</v>
      </c>
      <c r="W35" s="94">
        <f ca="1">ROUNDDOWN(TblProd[[#This Row],[Raw Ore/hr]]*(1+TblProd[[#This Row],[Bonux Ore/hr]]),0)</f>
        <v>0</v>
      </c>
      <c r="X35" s="94">
        <f ca="1">ROUNDDOWN(TblProd[[#This Row],[Raw Gems/hr]]*(1+TblProd[[#This Row],[Bonus Gems/hr]]),0)</f>
        <v>0</v>
      </c>
      <c r="Y35" s="155">
        <f ca="1">OFFSET(TblConstr[[#This Row],[Tot Doc]],1,0)*dock_boats_hr * (1 + tech_4_1*TblTech[[#This Row],[4-1]])</f>
        <v>0</v>
      </c>
      <c r="Z35" s="154"/>
      <c r="AA35" s="94">
        <f ca="1">TblPop[[#This Row],[Peasants]]*tax*TblPop[[#This Row],[Employment]] + (Construction!AZ36+Construction!BX36)*(alch_plat+(Magic!AN35&gt;0)*alchemist_flame_bonus)</f>
        <v>926.1</v>
      </c>
      <c r="AB35" s="94">
        <f ca="1">TblConstr[[#This Row],[Tot Farm]]*farm_food + TblConstr[[#This Row],[Tot Doc]]*dock_food</f>
        <v>2400</v>
      </c>
      <c r="AC35" s="94">
        <f ca="1">TblConstr[[#This Row],[Tot Ly]]*ly_lumber + TblConstr[[#This Row],[Tot Hav]]*fh_lumber + IF(race="Wood Elf",TblMili[[#This Row],[Unit 2]]*MIN(TblMili[[#This Row],[Homeland%]]/wisp_bonus,wisp_cap),0)</f>
        <v>1000</v>
      </c>
      <c r="AD35" s="94">
        <f ca="1">OFFSET(TblConstr[[#This Row],[Tot Tow]],1,0)*(tower_mana + tech_4_5*TblTech[[#This Row],[4-5]]) + OFFSET(TblConstr[[#This Row],[Tot WG]],1,0)*wg_mana_prod</f>
        <v>0</v>
      </c>
      <c r="AE35" s="94">
        <f ca="1">OFFSET(TblConstr[[#This Row],[Tot OM]],1,0)*om_ore+IF(race="Dwarf",TblMili[[#This Row],[Unit 2]]*0.5,0)</f>
        <v>0</v>
      </c>
      <c r="AF35" s="94">
        <f ca="1">OFFSET(TblConstr[[#This Row],[Tot DM]],1,0)*dm_gems</f>
        <v>0</v>
      </c>
      <c r="AG35" s="142"/>
      <c r="AH35" s="156">
        <f ca="1">MIN(race_platinum_bonus + IF(TblMagic[[#This Row],[Active Arc Infusion]]&gt;0,alch_frost_bonus,IF(Magic!AE35&gt;0,midas_bonus)) + TblImps[[#This Row],[Science]] - TblProd[[#This Row],[Guard]]*(0.02 + tech_5_7*TblTech[[#This Row],[5-7]]) + tech_1_5*TblTech[[#This Row],[1-5]] + tech_4_4*TblTech[[#This Row],[4-4]] + IF(TblMagic[[#This Row],[Active Infernal Command]]&gt;0,demonic_pact_plat,0), 0.5)</f>
        <v>0</v>
      </c>
      <c r="AI3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5" s="156">
        <f ca="1">race_lumber_bonus+ IF(TblMagic[[#This Row],[Active Gaia''s Blessing]]&gt;0,gaias_blessing_lumber)+ tech_1_3*TblTech[[#This Row],[1-3]] + tech_1_6*TblTech[[#This Row],[1-6]] + tech_3_3*TblTech[[#This Row],[3-3]]</f>
        <v>0</v>
      </c>
      <c r="AK35" s="156">
        <f ca="1">race_mana_bonus+ 0 + TblImps[[#This Row],[Spires]] + tech_1_2*TblTech[[#This Row],[1-2]] + tech_3_4*TblTech[[#This Row],[3-4]]</f>
        <v>0</v>
      </c>
      <c r="AL35" s="156">
        <f ca="1">race_ore_bonus + IF(TblMagic[[#This Row],[Active Miner''s Sight]]&gt;0,miners_sight_bonus,IF(TblMagic[[#This Row],[Active Mining Strength]]&gt;0,mining_strength_bonus)) +  tech_1_6*TblTech[[#This Row],[1-6]]</f>
        <v>0</v>
      </c>
      <c r="AM35" s="156">
        <f>race_gem_bonus+ tech_3_2*TblTech[[#This Row],[3-2]] + tech_4_3*TblTech[[#This Row],[4-3]] + tech_6_2*TblTech[[#This Row],[6-2]]</f>
        <v>0</v>
      </c>
      <c r="AN35" s="142"/>
      <c r="AO35" s="94">
        <f ca="1">TblProd[[#This Row],[Food]]*food_decay * (1 + tech_2_1*TblTech[[#This Row],[2-1]] + tech_2_8*TblTech[[#This Row],[2-8]] + IF(AND(TblMagic[[#This Row],[Active DnD]]&lt;12,TblMagic[[#This Row],[Active DnD]]&gt;5),1,0))</f>
        <v>749.05000000000007</v>
      </c>
      <c r="AP35" s="94">
        <f ca="1">(1+race_food_consumption)*TblPop[[#This Row],[Total]]*food_per_person*(1+tech_1_10*TblTech[[#This Row],[1-10]]+tech_7_5*TblTech[[#This Row],[7-5]] + IF(TblMagic[[#This Row],[Active Infernal Command]]&gt;0,demonic_pact_food_cons,0))</f>
        <v>192.25</v>
      </c>
      <c r="AQ35" s="94">
        <f ca="1">TblProd[[#This Row],[Lumber]]*lumber_rot * (1 + tech_2_1*TblTech[[#This Row],[2-1]] + tech_2_8*TblTech[[#This Row],[2-8]] + tech_5_2*TblTech[[#This Row],[5-2]] + IF(AND(TblMagic[[#This Row],[Active DnD]]&lt;12,TblMagic[[#This Row],[Active DnD]]&gt;5),1,0))</f>
        <v>377.54</v>
      </c>
      <c r="AR35" s="94">
        <f ca="1">TblProd[[#This Row],[Mana]]*mana_drain * (1 + tech_2_1*TblTech[[#This Row],[2-1]] + tech_2_8*TblTech[[#This Row],[2-8]])</f>
        <v>0</v>
      </c>
      <c r="AS35" s="154"/>
      <c r="AT35" s="94">
        <f ca="1">TblExplore[[#This Row],[Platinum (2)]]+TblConstr[[#This Row],[Total Plat Cost]]+TblMili[[#This Row],[Plat Cost]]+TblRezone[[#This Row],[Platinum cost]]+TblImps[[#This Row],[P1]]-TblProd[[#This Row],[Bank Plat]]</f>
        <v>0</v>
      </c>
      <c r="AU35" s="94">
        <f ca="1">TblConstr[[#This Row],[Total Lum Cost]]+TblImps[[#This Row],[L1]]-TblProd[[#This Row],[Bank Lumber]] + Military!$CO$25*TblMili[[#This Row],[Sec. rec. Cost]]</f>
        <v>0</v>
      </c>
      <c r="AV35" s="94">
        <f ca="1">TblMagic[[#This Row],[Mana cost]] + Military!$CO$26*TblMili[[#This Row],[Sec. rec. Cost]]</f>
        <v>0</v>
      </c>
      <c r="AW35" s="94">
        <f ca="1">Military!$CO$24*TblMili[[#This Row],[Sec. rec. Cost]]+TblImps[[#This Row],[O1]]-TblProd[[#This Row],[Bank Ore]]</f>
        <v>0</v>
      </c>
      <c r="AX35" s="94">
        <f>TblImps[[#This Row],[G1]]-TblProd[[#This Row],[Bank Gems]]</f>
        <v>0</v>
      </c>
      <c r="AY35" s="142"/>
      <c r="AZ35" s="61" t="b">
        <f ca="1">IF(TblProd[[#This Row],[Set Guard]]&lt;&gt;"",TblProd[[#This Row],[Set Guard]],OFFSET(TblProd[[#This Row],[Guard]],-1,0))</f>
        <v>0</v>
      </c>
      <c r="BA35" s="153"/>
      <c r="BB35" s="45">
        <f>TblProd[[#This Row],[Hour]]</f>
        <v>32</v>
      </c>
      <c r="BC35" s="158">
        <f>-TblProd[[#This Row],[Bank Lumber]] / 2 + -TblProd[[#This Row],[Bank Gems]] * 2 + -TblProd[[#This Row],[Bank Ore]] / 2</f>
        <v>0</v>
      </c>
      <c r="BD35" s="158"/>
      <c r="BE35" s="158"/>
      <c r="BF35" s="158"/>
      <c r="BG35" s="159">
        <f ca="1">TblProd[[#This Row],[Time]]</f>
        <v>46321.291666666591</v>
      </c>
      <c r="BH35" s="45"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94">
        <f ca="1">TblProd[[#This Row],[Platinum]]</f>
        <v>153913</v>
      </c>
      <c r="BJ35" s="94">
        <f ca="1">TblProd[[#This Row],[Food]]</f>
        <v>74905</v>
      </c>
      <c r="BK35" s="94">
        <f ca="1">TblProd[[#This Row],[Lumber]]</f>
        <v>37754</v>
      </c>
      <c r="BL35" s="94">
        <f ca="1">TblProd[[#This Row],[Mana]]</f>
        <v>0</v>
      </c>
      <c r="BM35" s="94">
        <f ca="1">TblProd[[#This Row],[Ore]]</f>
        <v>0</v>
      </c>
    </row>
    <row r="36" spans="1:65" x14ac:dyDescent="0.2">
      <c r="A36" s="137">
        <v>33</v>
      </c>
      <c r="B36" s="152">
        <f ca="1">TblImps[[#This Row],[Time]]</f>
        <v>46321.333333333256</v>
      </c>
      <c r="C36" s="153"/>
      <c r="D36" s="154"/>
      <c r="E36" s="94">
        <f ca="1">TblConstr[[#This Row],[Land]]</f>
        <v>50</v>
      </c>
      <c r="F36" s="94">
        <f ca="1">TblPop[[#This Row],[Peasants]]</f>
        <v>340</v>
      </c>
      <c r="G36" s="94">
        <f ca="1">TblMili[[#This Row],[Networth (2)]]</f>
        <v>1250</v>
      </c>
      <c r="H36" s="94">
        <f ca="1">OFFSET(TblProd[[#This Row],[Platinum]],-1,0)+OFFSET(TblProd[[#This Row],[Plat/hr]],-1,0) - TblProd[[#This Row],[Expenses Platinum]] + IF(TblProd[[#This Row],[Plat Bonus]],TblPop[[#This Row],[Peasants]]*4) + SUM(TblConstr[[#This Row],[Dest Hom]:[Dest Doc]])*TblConstr[[#This Row],[CPA Platinum -DB]]*tech_3_3_2*TblTech[[#This Row],[3-3]]</f>
        <v>154839</v>
      </c>
      <c r="I36" s="94">
        <f ca="1">OFFSET(TblProd[[#This Row],[Food]],-1,0)+OFFSET(TblProd[[#This Row],[Food/hr]],-1,0)+ROUNDUP((TblConstr[[#This Row],[Farms]]*80+TblConstr[[#This Row],[Docks]]*35)*(1+OFFSET(TblProd[[#This Row],[Bonus Food/hr]],-1,0)),0)</f>
        <v>76544</v>
      </c>
      <c r="J36" s="94">
        <f ca="1">OFFSET(TblProd[[#This Row],[Lumber]],-1,0)+OFFSET(TblProd[[#This Row],[Lumber/hr]],-1,0) - TblProd[[#This Row],[Expenses Lumber]] + SUM(TblConstr[[#This Row],[Dest Hom]:[Dest Doc]])*TblConstr[[#This Row],[CPA Lumber -DB]]*tech_3_3_2*TblTech[[#This Row],[3-3]]</f>
        <v>38376</v>
      </c>
      <c r="K36" s="94">
        <f ca="1">OFFSET(TblProd[[#This Row],[Mana]],-1,0)+OFFSET(TblProd[[#This Row],[Mana/hr]],-1,0)- TblProd[[#This Row],[Expenses Mana]]</f>
        <v>0</v>
      </c>
      <c r="L36" s="94">
        <f ca="1">OFFSET(TblProd[[#This Row],[Ore]],-1,0)+OFFSET(TblProd[[#This Row],[Ore/hr]],-1,0) -TblProd[[#This Row],[Expenses Ore]]</f>
        <v>0</v>
      </c>
      <c r="M36" s="94">
        <f ca="1">OFFSET(TblProd[[#This Row],[Gems]],-1,0)+OFFSET(TblProd[[#This Row],[Gems/hr]],-1,0) - TblProd[[#This Row],[Expenses Gems]]</f>
        <v>0</v>
      </c>
      <c r="N36" s="94">
        <f ca="1">OFFSET(TblProd[[#This Row],[Boats]],-1,0)+OFFSET(TblProd[[#This Row],[Boats/hr]],-1,0)</f>
        <v>0</v>
      </c>
      <c r="O36" s="94">
        <f ca="1">OFFSET(TblProd[[#This Row],[Prestige]],-1,0)</f>
        <v>250</v>
      </c>
      <c r="P3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6" s="94">
        <f ca="1">MAX(_xlfn.CEILING.MATH(TblProd[[#This Row],[Land]]*2.5+IFERROR(OFFSET(TblTech[[#This Row],[Sum of tech]],-1,0)*50,0)),3750)</f>
        <v>3750</v>
      </c>
      <c r="R36" s="142"/>
      <c r="S36" s="94">
        <f ca="1">ROUNDDOWN(TblProd[[#This Row],[Raw Plat/hr]]*(1+TblProd[[#This Row],[Bonus Plat/hr]]),0)</f>
        <v>918</v>
      </c>
      <c r="T36" s="94">
        <f ca="1">ROUND(TblProd[[#This Row],[Raw Food/hr]]*(1+TblProd[[#This Row],[Bonus Food/hr]])-TblProd[[#This Row],[Food decay]]-TblProd[[#This Row],[Food eaten]],0)</f>
        <v>1622</v>
      </c>
      <c r="U36" s="94">
        <f ca="1">ROUND(TblProd[[#This Row],[Raw Lumber/hr]]*(1+TblProd[[#This Row],[Bonus Lumber/hr]])-TblProd[[#This Row],[Lumber rot]],0)</f>
        <v>616</v>
      </c>
      <c r="V36" s="94">
        <f ca="1">ROUND(TblProd[[#This Row],[Raw Mana/hr]]*(1+TblProd[[#This Row],[Bonus Mana/hr]])-TblProd[[#This Row],[Mana drain]],0)</f>
        <v>0</v>
      </c>
      <c r="W36" s="94">
        <f ca="1">ROUNDDOWN(TblProd[[#This Row],[Raw Ore/hr]]*(1+TblProd[[#This Row],[Bonux Ore/hr]]),0)</f>
        <v>0</v>
      </c>
      <c r="X36" s="94">
        <f ca="1">ROUNDDOWN(TblProd[[#This Row],[Raw Gems/hr]]*(1+TblProd[[#This Row],[Bonus Gems/hr]]),0)</f>
        <v>0</v>
      </c>
      <c r="Y36" s="155">
        <f ca="1">OFFSET(TblConstr[[#This Row],[Tot Doc]],1,0)*dock_boats_hr * (1 + tech_4_1*TblTech[[#This Row],[4-1]])</f>
        <v>0</v>
      </c>
      <c r="Z36" s="154"/>
      <c r="AA36" s="94">
        <f ca="1">TblPop[[#This Row],[Peasants]]*tax*TblPop[[#This Row],[Employment]] + (Construction!AZ37+Construction!BX37)*(alch_plat+(Magic!AN36&gt;0)*alchemist_flame_bonus)</f>
        <v>918.00000000000011</v>
      </c>
      <c r="AB36" s="94">
        <f ca="1">TblConstr[[#This Row],[Tot Farm]]*farm_food + TblConstr[[#This Row],[Tot Doc]]*dock_food</f>
        <v>2400</v>
      </c>
      <c r="AC36" s="94">
        <f ca="1">TblConstr[[#This Row],[Tot Ly]]*ly_lumber + TblConstr[[#This Row],[Tot Hav]]*fh_lumber + IF(race="Wood Elf",TblMili[[#This Row],[Unit 2]]*MIN(TblMili[[#This Row],[Homeland%]]/wisp_bonus,wisp_cap),0)</f>
        <v>1000</v>
      </c>
      <c r="AD36" s="94">
        <f ca="1">OFFSET(TblConstr[[#This Row],[Tot Tow]],1,0)*(tower_mana + tech_4_5*TblTech[[#This Row],[4-5]]) + OFFSET(TblConstr[[#This Row],[Tot WG]],1,0)*wg_mana_prod</f>
        <v>0</v>
      </c>
      <c r="AE36" s="94">
        <f ca="1">OFFSET(TblConstr[[#This Row],[Tot OM]],1,0)*om_ore+IF(race="Dwarf",TblMili[[#This Row],[Unit 2]]*0.5,0)</f>
        <v>0</v>
      </c>
      <c r="AF36" s="94">
        <f ca="1">OFFSET(TblConstr[[#This Row],[Tot DM]],1,0)*dm_gems</f>
        <v>0</v>
      </c>
      <c r="AG36" s="142"/>
      <c r="AH36" s="156">
        <f ca="1">MIN(race_platinum_bonus + IF(TblMagic[[#This Row],[Active Arc Infusion]]&gt;0,alch_frost_bonus,IF(Magic!AE36&gt;0,midas_bonus)) + TblImps[[#This Row],[Science]] - TblProd[[#This Row],[Guard]]*(0.02 + tech_5_7*TblTech[[#This Row],[5-7]]) + tech_1_5*TblTech[[#This Row],[1-5]] + tech_4_4*TblTech[[#This Row],[4-4]] + IF(TblMagic[[#This Row],[Active Infernal Command]]&gt;0,demonic_pact_plat,0), 0.5)</f>
        <v>0</v>
      </c>
      <c r="AI3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6" s="156">
        <f ca="1">race_lumber_bonus+ IF(TblMagic[[#This Row],[Active Gaia''s Blessing]]&gt;0,gaias_blessing_lumber)+ tech_1_3*TblTech[[#This Row],[1-3]] + tech_1_6*TblTech[[#This Row],[1-6]] + tech_3_3*TblTech[[#This Row],[3-3]]</f>
        <v>0</v>
      </c>
      <c r="AK36" s="156">
        <f ca="1">race_mana_bonus+ 0 + TblImps[[#This Row],[Spires]] + tech_1_2*TblTech[[#This Row],[1-2]] + tech_3_4*TblTech[[#This Row],[3-4]]</f>
        <v>0</v>
      </c>
      <c r="AL36" s="156">
        <f ca="1">race_ore_bonus + IF(TblMagic[[#This Row],[Active Miner''s Sight]]&gt;0,miners_sight_bonus,IF(TblMagic[[#This Row],[Active Mining Strength]]&gt;0,mining_strength_bonus)) +  tech_1_6*TblTech[[#This Row],[1-6]]</f>
        <v>0</v>
      </c>
      <c r="AM36" s="156">
        <f>race_gem_bonus+ tech_3_2*TblTech[[#This Row],[3-2]] + tech_4_3*TblTech[[#This Row],[4-3]] + tech_6_2*TblTech[[#This Row],[6-2]]</f>
        <v>0</v>
      </c>
      <c r="AN36" s="142"/>
      <c r="AO36" s="94">
        <f ca="1">TblProd[[#This Row],[Food]]*food_decay * (1 + tech_2_1*TblTech[[#This Row],[2-1]] + tech_2_8*TblTech[[#This Row],[2-8]] + IF(AND(TblMagic[[#This Row],[Active DnD]]&lt;12,TblMagic[[#This Row],[Active DnD]]&gt;5),1,0))</f>
        <v>765.44</v>
      </c>
      <c r="AP36" s="94">
        <f ca="1">(1+race_food_consumption)*TblPop[[#This Row],[Total]]*food_per_person*(1+tech_1_10*TblTech[[#This Row],[1-10]]+tech_7_5*TblTech[[#This Row],[7-5]] + IF(TblMagic[[#This Row],[Active Infernal Command]]&gt;0,demonic_pact_food_cons,0))</f>
        <v>192.25</v>
      </c>
      <c r="AQ36" s="94">
        <f ca="1">TblProd[[#This Row],[Lumber]]*lumber_rot * (1 + tech_2_1*TblTech[[#This Row],[2-1]] + tech_2_8*TblTech[[#This Row],[2-8]] + tech_5_2*TblTech[[#This Row],[5-2]] + IF(AND(TblMagic[[#This Row],[Active DnD]]&lt;12,TblMagic[[#This Row],[Active DnD]]&gt;5),1,0))</f>
        <v>383.76</v>
      </c>
      <c r="AR36" s="94">
        <f ca="1">TblProd[[#This Row],[Mana]]*mana_drain * (1 + tech_2_1*TblTech[[#This Row],[2-1]] + tech_2_8*TblTech[[#This Row],[2-8]])</f>
        <v>0</v>
      </c>
      <c r="AS36" s="154"/>
      <c r="AT36" s="94">
        <f ca="1">TblExplore[[#This Row],[Platinum (2)]]+TblConstr[[#This Row],[Total Plat Cost]]+TblMili[[#This Row],[Plat Cost]]+TblRezone[[#This Row],[Platinum cost]]+TblImps[[#This Row],[P1]]-TblProd[[#This Row],[Bank Plat]]</f>
        <v>0</v>
      </c>
      <c r="AU36" s="94">
        <f ca="1">TblConstr[[#This Row],[Total Lum Cost]]+TblImps[[#This Row],[L1]]-TblProd[[#This Row],[Bank Lumber]] + Military!$CO$25*TblMili[[#This Row],[Sec. rec. Cost]]</f>
        <v>0</v>
      </c>
      <c r="AV36" s="94">
        <f ca="1">TblMagic[[#This Row],[Mana cost]] + Military!$CO$26*TblMili[[#This Row],[Sec. rec. Cost]]</f>
        <v>0</v>
      </c>
      <c r="AW36" s="94">
        <f ca="1">Military!$CO$24*TblMili[[#This Row],[Sec. rec. Cost]]+TblImps[[#This Row],[O1]]-TblProd[[#This Row],[Bank Ore]]</f>
        <v>0</v>
      </c>
      <c r="AX36" s="94">
        <f>TblImps[[#This Row],[G1]]-TblProd[[#This Row],[Bank Gems]]</f>
        <v>0</v>
      </c>
      <c r="AY36" s="142"/>
      <c r="AZ36" s="61" t="b">
        <f ca="1">IF(TblProd[[#This Row],[Set Guard]]&lt;&gt;"",TblProd[[#This Row],[Set Guard]],OFFSET(TblProd[[#This Row],[Guard]],-1,0))</f>
        <v>0</v>
      </c>
      <c r="BA36" s="153"/>
      <c r="BB36" s="45">
        <f>TblProd[[#This Row],[Hour]]</f>
        <v>33</v>
      </c>
      <c r="BC36" s="158">
        <f>-TblProd[[#This Row],[Bank Lumber]] / 2 + -TblProd[[#This Row],[Bank Gems]] * 2 + -TblProd[[#This Row],[Bank Ore]] / 2</f>
        <v>0</v>
      </c>
      <c r="BD36" s="158"/>
      <c r="BE36" s="158"/>
      <c r="BF36" s="158"/>
      <c r="BG36" s="159">
        <f ca="1">TblProd[[#This Row],[Time]]</f>
        <v>46321.333333333256</v>
      </c>
      <c r="BH36" s="45"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94">
        <f ca="1">TblProd[[#This Row],[Platinum]]</f>
        <v>154839</v>
      </c>
      <c r="BJ36" s="94">
        <f ca="1">TblProd[[#This Row],[Food]]</f>
        <v>76544</v>
      </c>
      <c r="BK36" s="94">
        <f ca="1">TblProd[[#This Row],[Lumber]]</f>
        <v>38376</v>
      </c>
      <c r="BL36" s="94">
        <f ca="1">TblProd[[#This Row],[Mana]]</f>
        <v>0</v>
      </c>
      <c r="BM36" s="94">
        <f ca="1">TblProd[[#This Row],[Ore]]</f>
        <v>0</v>
      </c>
    </row>
    <row r="37" spans="1:65" x14ac:dyDescent="0.2">
      <c r="A37" s="137">
        <v>34</v>
      </c>
      <c r="B37" s="152">
        <f ca="1">TblImps[[#This Row],[Time]]</f>
        <v>46321.37499999992</v>
      </c>
      <c r="C37" s="153"/>
      <c r="D37" s="154"/>
      <c r="E37" s="94">
        <f ca="1">TblConstr[[#This Row],[Land]]</f>
        <v>50</v>
      </c>
      <c r="F37" s="94">
        <f ca="1">TblPop[[#This Row],[Peasants]]</f>
        <v>337</v>
      </c>
      <c r="G37" s="94">
        <f ca="1">TblMili[[#This Row],[Networth (2)]]</f>
        <v>1250</v>
      </c>
      <c r="H37" s="94">
        <f ca="1">OFFSET(TblProd[[#This Row],[Platinum]],-1,0)+OFFSET(TblProd[[#This Row],[Plat/hr]],-1,0) - TblProd[[#This Row],[Expenses Platinum]] + IF(TblProd[[#This Row],[Plat Bonus]],TblPop[[#This Row],[Peasants]]*4) + SUM(TblConstr[[#This Row],[Dest Hom]:[Dest Doc]])*TblConstr[[#This Row],[CPA Platinum -DB]]*tech_3_3_2*TblTech[[#This Row],[3-3]]</f>
        <v>155757</v>
      </c>
      <c r="I37" s="94">
        <f ca="1">OFFSET(TblProd[[#This Row],[Food]],-1,0)+OFFSET(TblProd[[#This Row],[Food/hr]],-1,0)+ROUNDUP((TblConstr[[#This Row],[Farms]]*80+TblConstr[[#This Row],[Docks]]*35)*(1+OFFSET(TblProd[[#This Row],[Bonus Food/hr]],-1,0)),0)</f>
        <v>78166</v>
      </c>
      <c r="J37" s="94">
        <f ca="1">OFFSET(TblProd[[#This Row],[Lumber]],-1,0)+OFFSET(TblProd[[#This Row],[Lumber/hr]],-1,0) - TblProd[[#This Row],[Expenses Lumber]] + SUM(TblConstr[[#This Row],[Dest Hom]:[Dest Doc]])*TblConstr[[#This Row],[CPA Lumber -DB]]*tech_3_3_2*TblTech[[#This Row],[3-3]]</f>
        <v>38992</v>
      </c>
      <c r="K37" s="94">
        <f ca="1">OFFSET(TblProd[[#This Row],[Mana]],-1,0)+OFFSET(TblProd[[#This Row],[Mana/hr]],-1,0)- TblProd[[#This Row],[Expenses Mana]]</f>
        <v>0</v>
      </c>
      <c r="L37" s="94">
        <f ca="1">OFFSET(TblProd[[#This Row],[Ore]],-1,0)+OFFSET(TblProd[[#This Row],[Ore/hr]],-1,0) -TblProd[[#This Row],[Expenses Ore]]</f>
        <v>0</v>
      </c>
      <c r="M37" s="94">
        <f ca="1">OFFSET(TblProd[[#This Row],[Gems]],-1,0)+OFFSET(TblProd[[#This Row],[Gems/hr]],-1,0) - TblProd[[#This Row],[Expenses Gems]]</f>
        <v>0</v>
      </c>
      <c r="N37" s="94">
        <f ca="1">OFFSET(TblProd[[#This Row],[Boats]],-1,0)+OFFSET(TblProd[[#This Row],[Boats/hr]],-1,0)</f>
        <v>0</v>
      </c>
      <c r="O37" s="94">
        <f ca="1">OFFSET(TblProd[[#This Row],[Prestige]],-1,0)</f>
        <v>250</v>
      </c>
      <c r="P3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7" s="94">
        <f ca="1">MAX(_xlfn.CEILING.MATH(TblProd[[#This Row],[Land]]*2.5+IFERROR(OFFSET(TblTech[[#This Row],[Sum of tech]],-1,0)*50,0)),3750)</f>
        <v>3750</v>
      </c>
      <c r="R37" s="142"/>
      <c r="S37" s="94">
        <f ca="1">ROUNDDOWN(TblProd[[#This Row],[Raw Plat/hr]]*(1+TblProd[[#This Row],[Bonus Plat/hr]]),0)</f>
        <v>909</v>
      </c>
      <c r="T37" s="94">
        <f ca="1">ROUND(TblProd[[#This Row],[Raw Food/hr]]*(1+TblProd[[#This Row],[Bonus Food/hr]])-TblProd[[#This Row],[Food decay]]-TblProd[[#This Row],[Food eaten]],0)</f>
        <v>1606</v>
      </c>
      <c r="U37" s="94">
        <f ca="1">ROUND(TblProd[[#This Row],[Raw Lumber/hr]]*(1+TblProd[[#This Row],[Bonus Lumber/hr]])-TblProd[[#This Row],[Lumber rot]],0)</f>
        <v>610</v>
      </c>
      <c r="V37" s="94">
        <f ca="1">ROUND(TblProd[[#This Row],[Raw Mana/hr]]*(1+TblProd[[#This Row],[Bonus Mana/hr]])-TblProd[[#This Row],[Mana drain]],0)</f>
        <v>0</v>
      </c>
      <c r="W37" s="94">
        <f ca="1">ROUNDDOWN(TblProd[[#This Row],[Raw Ore/hr]]*(1+TblProd[[#This Row],[Bonux Ore/hr]]),0)</f>
        <v>0</v>
      </c>
      <c r="X37" s="94">
        <f ca="1">ROUNDDOWN(TblProd[[#This Row],[Raw Gems/hr]]*(1+TblProd[[#This Row],[Bonus Gems/hr]]),0)</f>
        <v>0</v>
      </c>
      <c r="Y37" s="155">
        <f ca="1">OFFSET(TblConstr[[#This Row],[Tot Doc]],1,0)*dock_boats_hr * (1 + tech_4_1*TblTech[[#This Row],[4-1]])</f>
        <v>0</v>
      </c>
      <c r="Z37" s="154"/>
      <c r="AA37" s="94">
        <f ca="1">TblPop[[#This Row],[Peasants]]*tax*TblPop[[#This Row],[Employment]] + (Construction!AZ38+Construction!BX38)*(alch_plat+(Magic!AN37&gt;0)*alchemist_flame_bonus)</f>
        <v>909.90000000000009</v>
      </c>
      <c r="AB37" s="94">
        <f ca="1">TblConstr[[#This Row],[Tot Farm]]*farm_food + TblConstr[[#This Row],[Tot Doc]]*dock_food</f>
        <v>2400</v>
      </c>
      <c r="AC37" s="94">
        <f ca="1">TblConstr[[#This Row],[Tot Ly]]*ly_lumber + TblConstr[[#This Row],[Tot Hav]]*fh_lumber + IF(race="Wood Elf",TblMili[[#This Row],[Unit 2]]*MIN(TblMili[[#This Row],[Homeland%]]/wisp_bonus,wisp_cap),0)</f>
        <v>1000</v>
      </c>
      <c r="AD37" s="94">
        <f ca="1">OFFSET(TblConstr[[#This Row],[Tot Tow]],1,0)*(tower_mana + tech_4_5*TblTech[[#This Row],[4-5]]) + OFFSET(TblConstr[[#This Row],[Tot WG]],1,0)*wg_mana_prod</f>
        <v>0</v>
      </c>
      <c r="AE37" s="94">
        <f ca="1">OFFSET(TblConstr[[#This Row],[Tot OM]],1,0)*om_ore+IF(race="Dwarf",TblMili[[#This Row],[Unit 2]]*0.5,0)</f>
        <v>0</v>
      </c>
      <c r="AF37" s="94">
        <f ca="1">OFFSET(TblConstr[[#This Row],[Tot DM]],1,0)*dm_gems</f>
        <v>0</v>
      </c>
      <c r="AG37" s="142"/>
      <c r="AH37" s="156">
        <f ca="1">MIN(race_platinum_bonus + IF(TblMagic[[#This Row],[Active Arc Infusion]]&gt;0,alch_frost_bonus,IF(Magic!AE37&gt;0,midas_bonus)) + TblImps[[#This Row],[Science]] - TblProd[[#This Row],[Guard]]*(0.02 + tech_5_7*TblTech[[#This Row],[5-7]]) + tech_1_5*TblTech[[#This Row],[1-5]] + tech_4_4*TblTech[[#This Row],[4-4]] + IF(TblMagic[[#This Row],[Active Infernal Command]]&gt;0,demonic_pact_plat,0), 0.5)</f>
        <v>0</v>
      </c>
      <c r="AI3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7" s="156">
        <f ca="1">race_lumber_bonus+ IF(TblMagic[[#This Row],[Active Gaia''s Blessing]]&gt;0,gaias_blessing_lumber)+ tech_1_3*TblTech[[#This Row],[1-3]] + tech_1_6*TblTech[[#This Row],[1-6]] + tech_3_3*TblTech[[#This Row],[3-3]]</f>
        <v>0</v>
      </c>
      <c r="AK37" s="156">
        <f ca="1">race_mana_bonus+ 0 + TblImps[[#This Row],[Spires]] + tech_1_2*TblTech[[#This Row],[1-2]] + tech_3_4*TblTech[[#This Row],[3-4]]</f>
        <v>0</v>
      </c>
      <c r="AL37" s="156">
        <f ca="1">race_ore_bonus + IF(TblMagic[[#This Row],[Active Miner''s Sight]]&gt;0,miners_sight_bonus,IF(TblMagic[[#This Row],[Active Mining Strength]]&gt;0,mining_strength_bonus)) +  tech_1_6*TblTech[[#This Row],[1-6]]</f>
        <v>0</v>
      </c>
      <c r="AM37" s="156">
        <f>race_gem_bonus+ tech_3_2*TblTech[[#This Row],[3-2]] + tech_4_3*TblTech[[#This Row],[4-3]] + tech_6_2*TblTech[[#This Row],[6-2]]</f>
        <v>0</v>
      </c>
      <c r="AN37" s="142"/>
      <c r="AO37" s="94">
        <f ca="1">TblProd[[#This Row],[Food]]*food_decay * (1 + tech_2_1*TblTech[[#This Row],[2-1]] + tech_2_8*TblTech[[#This Row],[2-8]] + IF(AND(TblMagic[[#This Row],[Active DnD]]&lt;12,TblMagic[[#This Row],[Active DnD]]&gt;5),1,0))</f>
        <v>781.66</v>
      </c>
      <c r="AP37" s="94">
        <f ca="1">(1+race_food_consumption)*TblPop[[#This Row],[Total]]*food_per_person*(1+tech_1_10*TblTech[[#This Row],[1-10]]+tech_7_5*TblTech[[#This Row],[7-5]] + IF(TblMagic[[#This Row],[Active Infernal Command]]&gt;0,demonic_pact_food_cons,0))</f>
        <v>192.25</v>
      </c>
      <c r="AQ37" s="94">
        <f ca="1">TblProd[[#This Row],[Lumber]]*lumber_rot * (1 + tech_2_1*TblTech[[#This Row],[2-1]] + tech_2_8*TblTech[[#This Row],[2-8]] + tech_5_2*TblTech[[#This Row],[5-2]] + IF(AND(TblMagic[[#This Row],[Active DnD]]&lt;12,TblMagic[[#This Row],[Active DnD]]&gt;5),1,0))</f>
        <v>389.92</v>
      </c>
      <c r="AR37" s="94">
        <f ca="1">TblProd[[#This Row],[Mana]]*mana_drain * (1 + tech_2_1*TblTech[[#This Row],[2-1]] + tech_2_8*TblTech[[#This Row],[2-8]])</f>
        <v>0</v>
      </c>
      <c r="AS37" s="154"/>
      <c r="AT37" s="94">
        <f ca="1">TblExplore[[#This Row],[Platinum (2)]]+TblConstr[[#This Row],[Total Plat Cost]]+TblMili[[#This Row],[Plat Cost]]+TblRezone[[#This Row],[Platinum cost]]+TblImps[[#This Row],[P1]]-TblProd[[#This Row],[Bank Plat]]</f>
        <v>0</v>
      </c>
      <c r="AU37" s="94">
        <f ca="1">TblConstr[[#This Row],[Total Lum Cost]]+TblImps[[#This Row],[L1]]-TblProd[[#This Row],[Bank Lumber]] + Military!$CO$25*TblMili[[#This Row],[Sec. rec. Cost]]</f>
        <v>0</v>
      </c>
      <c r="AV37" s="94">
        <f ca="1">TblMagic[[#This Row],[Mana cost]] + Military!$CO$26*TblMili[[#This Row],[Sec. rec. Cost]]</f>
        <v>0</v>
      </c>
      <c r="AW37" s="94">
        <f ca="1">Military!$CO$24*TblMili[[#This Row],[Sec. rec. Cost]]+TblImps[[#This Row],[O1]]-TblProd[[#This Row],[Bank Ore]]</f>
        <v>0</v>
      </c>
      <c r="AX37" s="94">
        <f>TblImps[[#This Row],[G1]]-TblProd[[#This Row],[Bank Gems]]</f>
        <v>0</v>
      </c>
      <c r="AY37" s="142"/>
      <c r="AZ37" s="61" t="b">
        <f ca="1">IF(TblProd[[#This Row],[Set Guard]]&lt;&gt;"",TblProd[[#This Row],[Set Guard]],OFFSET(TblProd[[#This Row],[Guard]],-1,0))</f>
        <v>0</v>
      </c>
      <c r="BA37" s="153"/>
      <c r="BB37" s="45">
        <f>TblProd[[#This Row],[Hour]]</f>
        <v>34</v>
      </c>
      <c r="BC37" s="158">
        <f>-TblProd[[#This Row],[Bank Lumber]] / 2 + -TblProd[[#This Row],[Bank Gems]] * 2 + -TblProd[[#This Row],[Bank Ore]] / 2</f>
        <v>0</v>
      </c>
      <c r="BD37" s="158"/>
      <c r="BE37" s="158"/>
      <c r="BF37" s="158"/>
      <c r="BG37" s="159">
        <f ca="1">TblProd[[#This Row],[Time]]</f>
        <v>46321.37499999992</v>
      </c>
      <c r="BH37" s="45"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94">
        <f ca="1">TblProd[[#This Row],[Platinum]]</f>
        <v>155757</v>
      </c>
      <c r="BJ37" s="94">
        <f ca="1">TblProd[[#This Row],[Food]]</f>
        <v>78166</v>
      </c>
      <c r="BK37" s="94">
        <f ca="1">TblProd[[#This Row],[Lumber]]</f>
        <v>38992</v>
      </c>
      <c r="BL37" s="94">
        <f ca="1">TblProd[[#This Row],[Mana]]</f>
        <v>0</v>
      </c>
      <c r="BM37" s="94">
        <f ca="1">TblProd[[#This Row],[Ore]]</f>
        <v>0</v>
      </c>
    </row>
    <row r="38" spans="1:65" x14ac:dyDescent="0.2">
      <c r="A38" s="137">
        <v>35</v>
      </c>
      <c r="B38" s="152">
        <f ca="1">TblImps[[#This Row],[Time]]</f>
        <v>46321.416666666584</v>
      </c>
      <c r="C38" s="153"/>
      <c r="D38" s="154"/>
      <c r="E38" s="94">
        <f ca="1">TblConstr[[#This Row],[Land]]</f>
        <v>50</v>
      </c>
      <c r="F38" s="94">
        <f ca="1">TblPop[[#This Row],[Peasants]]</f>
        <v>334</v>
      </c>
      <c r="G38" s="94">
        <f ca="1">TblMili[[#This Row],[Networth (2)]]</f>
        <v>1250</v>
      </c>
      <c r="H38" s="94">
        <f ca="1">OFFSET(TblProd[[#This Row],[Platinum]],-1,0)+OFFSET(TblProd[[#This Row],[Plat/hr]],-1,0) - TblProd[[#This Row],[Expenses Platinum]] + IF(TblProd[[#This Row],[Plat Bonus]],TblPop[[#This Row],[Peasants]]*4) + SUM(TblConstr[[#This Row],[Dest Hom]:[Dest Doc]])*TblConstr[[#This Row],[CPA Platinum -DB]]*tech_3_3_2*TblTech[[#This Row],[3-3]]</f>
        <v>156666</v>
      </c>
      <c r="I38" s="94">
        <f ca="1">OFFSET(TblProd[[#This Row],[Food]],-1,0)+OFFSET(TblProd[[#This Row],[Food/hr]],-1,0)+ROUNDUP((TblConstr[[#This Row],[Farms]]*80+TblConstr[[#This Row],[Docks]]*35)*(1+OFFSET(TblProd[[#This Row],[Bonus Food/hr]],-1,0)),0)</f>
        <v>79772</v>
      </c>
      <c r="J38" s="94">
        <f ca="1">OFFSET(TblProd[[#This Row],[Lumber]],-1,0)+OFFSET(TblProd[[#This Row],[Lumber/hr]],-1,0) - TblProd[[#This Row],[Expenses Lumber]] + SUM(TblConstr[[#This Row],[Dest Hom]:[Dest Doc]])*TblConstr[[#This Row],[CPA Lumber -DB]]*tech_3_3_2*TblTech[[#This Row],[3-3]]</f>
        <v>39602</v>
      </c>
      <c r="K38" s="94">
        <f ca="1">OFFSET(TblProd[[#This Row],[Mana]],-1,0)+OFFSET(TblProd[[#This Row],[Mana/hr]],-1,0)- TblProd[[#This Row],[Expenses Mana]]</f>
        <v>0</v>
      </c>
      <c r="L38" s="94">
        <f ca="1">OFFSET(TblProd[[#This Row],[Ore]],-1,0)+OFFSET(TblProd[[#This Row],[Ore/hr]],-1,0) -TblProd[[#This Row],[Expenses Ore]]</f>
        <v>0</v>
      </c>
      <c r="M38" s="94">
        <f ca="1">OFFSET(TblProd[[#This Row],[Gems]],-1,0)+OFFSET(TblProd[[#This Row],[Gems/hr]],-1,0) - TblProd[[#This Row],[Expenses Gems]]</f>
        <v>0</v>
      </c>
      <c r="N38" s="94">
        <f ca="1">OFFSET(TblProd[[#This Row],[Boats]],-1,0)+OFFSET(TblProd[[#This Row],[Boats/hr]],-1,0)</f>
        <v>0</v>
      </c>
      <c r="O38" s="94">
        <f ca="1">OFFSET(TblProd[[#This Row],[Prestige]],-1,0)</f>
        <v>250</v>
      </c>
      <c r="P3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8" s="94">
        <f ca="1">MAX(_xlfn.CEILING.MATH(TblProd[[#This Row],[Land]]*2.5+IFERROR(OFFSET(TblTech[[#This Row],[Sum of tech]],-1,0)*50,0)),3750)</f>
        <v>3750</v>
      </c>
      <c r="R38" s="142"/>
      <c r="S38" s="94">
        <f ca="1">ROUNDDOWN(TblProd[[#This Row],[Raw Plat/hr]]*(1+TblProd[[#This Row],[Bonus Plat/hr]]),0)</f>
        <v>901</v>
      </c>
      <c r="T38" s="94">
        <f ca="1">ROUND(TblProd[[#This Row],[Raw Food/hr]]*(1+TblProd[[#This Row],[Bonus Food/hr]])-TblProd[[#This Row],[Food decay]]-TblProd[[#This Row],[Food eaten]],0)</f>
        <v>1590</v>
      </c>
      <c r="U38" s="94">
        <f ca="1">ROUND(TblProd[[#This Row],[Raw Lumber/hr]]*(1+TblProd[[#This Row],[Bonus Lumber/hr]])-TblProd[[#This Row],[Lumber rot]],0)</f>
        <v>604</v>
      </c>
      <c r="V38" s="94">
        <f ca="1">ROUND(TblProd[[#This Row],[Raw Mana/hr]]*(1+TblProd[[#This Row],[Bonus Mana/hr]])-TblProd[[#This Row],[Mana drain]],0)</f>
        <v>0</v>
      </c>
      <c r="W38" s="94">
        <f ca="1">ROUNDDOWN(TblProd[[#This Row],[Raw Ore/hr]]*(1+TblProd[[#This Row],[Bonux Ore/hr]]),0)</f>
        <v>0</v>
      </c>
      <c r="X38" s="94">
        <f ca="1">ROUNDDOWN(TblProd[[#This Row],[Raw Gems/hr]]*(1+TblProd[[#This Row],[Bonus Gems/hr]]),0)</f>
        <v>0</v>
      </c>
      <c r="Y38" s="155">
        <f ca="1">OFFSET(TblConstr[[#This Row],[Tot Doc]],1,0)*dock_boats_hr * (1 + tech_4_1*TblTech[[#This Row],[4-1]])</f>
        <v>0</v>
      </c>
      <c r="Z38" s="154"/>
      <c r="AA38" s="94">
        <f ca="1">TblPop[[#This Row],[Peasants]]*tax*TblPop[[#This Row],[Employment]] + (Construction!AZ39+Construction!BX39)*(alch_plat+(Magic!AN38&gt;0)*alchemist_flame_bonus)</f>
        <v>901.80000000000007</v>
      </c>
      <c r="AB38" s="94">
        <f ca="1">TblConstr[[#This Row],[Tot Farm]]*farm_food + TblConstr[[#This Row],[Tot Doc]]*dock_food</f>
        <v>2400</v>
      </c>
      <c r="AC38" s="94">
        <f ca="1">TblConstr[[#This Row],[Tot Ly]]*ly_lumber + TblConstr[[#This Row],[Tot Hav]]*fh_lumber + IF(race="Wood Elf",TblMili[[#This Row],[Unit 2]]*MIN(TblMili[[#This Row],[Homeland%]]/wisp_bonus,wisp_cap),0)</f>
        <v>1000</v>
      </c>
      <c r="AD38" s="94">
        <f ca="1">OFFSET(TblConstr[[#This Row],[Tot Tow]],1,0)*(tower_mana + tech_4_5*TblTech[[#This Row],[4-5]]) + OFFSET(TblConstr[[#This Row],[Tot WG]],1,0)*wg_mana_prod</f>
        <v>0</v>
      </c>
      <c r="AE38" s="94">
        <f ca="1">OFFSET(TblConstr[[#This Row],[Tot OM]],1,0)*om_ore+IF(race="Dwarf",TblMili[[#This Row],[Unit 2]]*0.5,0)</f>
        <v>0</v>
      </c>
      <c r="AF38" s="94">
        <f ca="1">OFFSET(TblConstr[[#This Row],[Tot DM]],1,0)*dm_gems</f>
        <v>0</v>
      </c>
      <c r="AG38" s="142"/>
      <c r="AH38" s="156">
        <f ca="1">MIN(race_platinum_bonus + IF(TblMagic[[#This Row],[Active Arc Infusion]]&gt;0,alch_frost_bonus,IF(Magic!AE38&gt;0,midas_bonus)) + TblImps[[#This Row],[Science]] - TblProd[[#This Row],[Guard]]*(0.02 + tech_5_7*TblTech[[#This Row],[5-7]]) + tech_1_5*TblTech[[#This Row],[1-5]] + tech_4_4*TblTech[[#This Row],[4-4]] + IF(TblMagic[[#This Row],[Active Infernal Command]]&gt;0,demonic_pact_plat,0), 0.5)</f>
        <v>0</v>
      </c>
      <c r="AI3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8" s="156">
        <f ca="1">race_lumber_bonus+ IF(TblMagic[[#This Row],[Active Gaia''s Blessing]]&gt;0,gaias_blessing_lumber)+ tech_1_3*TblTech[[#This Row],[1-3]] + tech_1_6*TblTech[[#This Row],[1-6]] + tech_3_3*TblTech[[#This Row],[3-3]]</f>
        <v>0</v>
      </c>
      <c r="AK38" s="156">
        <f ca="1">race_mana_bonus+ 0 + TblImps[[#This Row],[Spires]] + tech_1_2*TblTech[[#This Row],[1-2]] + tech_3_4*TblTech[[#This Row],[3-4]]</f>
        <v>0</v>
      </c>
      <c r="AL38" s="156">
        <f ca="1">race_ore_bonus + IF(TblMagic[[#This Row],[Active Miner''s Sight]]&gt;0,miners_sight_bonus,IF(TblMagic[[#This Row],[Active Mining Strength]]&gt;0,mining_strength_bonus)) +  tech_1_6*TblTech[[#This Row],[1-6]]</f>
        <v>0</v>
      </c>
      <c r="AM38" s="156">
        <f>race_gem_bonus+ tech_3_2*TblTech[[#This Row],[3-2]] + tech_4_3*TblTech[[#This Row],[4-3]] + tech_6_2*TblTech[[#This Row],[6-2]]</f>
        <v>0</v>
      </c>
      <c r="AN38" s="142"/>
      <c r="AO38" s="94">
        <f ca="1">TblProd[[#This Row],[Food]]*food_decay * (1 + tech_2_1*TblTech[[#This Row],[2-1]] + tech_2_8*TblTech[[#This Row],[2-8]] + IF(AND(TblMagic[[#This Row],[Active DnD]]&lt;12,TblMagic[[#This Row],[Active DnD]]&gt;5),1,0))</f>
        <v>797.72</v>
      </c>
      <c r="AP38" s="94">
        <f ca="1">(1+race_food_consumption)*TblPop[[#This Row],[Total]]*food_per_person*(1+tech_1_10*TblTech[[#This Row],[1-10]]+tech_7_5*TblTech[[#This Row],[7-5]] + IF(TblMagic[[#This Row],[Active Infernal Command]]&gt;0,demonic_pact_food_cons,0))</f>
        <v>192.25</v>
      </c>
      <c r="AQ38" s="94">
        <f ca="1">TblProd[[#This Row],[Lumber]]*lumber_rot * (1 + tech_2_1*TblTech[[#This Row],[2-1]] + tech_2_8*TblTech[[#This Row],[2-8]] + tech_5_2*TblTech[[#This Row],[5-2]] + IF(AND(TblMagic[[#This Row],[Active DnD]]&lt;12,TblMagic[[#This Row],[Active DnD]]&gt;5),1,0))</f>
        <v>396.02</v>
      </c>
      <c r="AR38" s="94">
        <f ca="1">TblProd[[#This Row],[Mana]]*mana_drain * (1 + tech_2_1*TblTech[[#This Row],[2-1]] + tech_2_8*TblTech[[#This Row],[2-8]])</f>
        <v>0</v>
      </c>
      <c r="AS38" s="154"/>
      <c r="AT38" s="94">
        <f ca="1">TblExplore[[#This Row],[Platinum (2)]]+TblConstr[[#This Row],[Total Plat Cost]]+TblMili[[#This Row],[Plat Cost]]+TblRezone[[#This Row],[Platinum cost]]+TblImps[[#This Row],[P1]]-TblProd[[#This Row],[Bank Plat]]</f>
        <v>0</v>
      </c>
      <c r="AU38" s="94">
        <f ca="1">TblConstr[[#This Row],[Total Lum Cost]]+TblImps[[#This Row],[L1]]-TblProd[[#This Row],[Bank Lumber]] + Military!$CO$25*TblMili[[#This Row],[Sec. rec. Cost]]</f>
        <v>0</v>
      </c>
      <c r="AV38" s="94">
        <f ca="1">TblMagic[[#This Row],[Mana cost]] + Military!$CO$26*TblMili[[#This Row],[Sec. rec. Cost]]</f>
        <v>0</v>
      </c>
      <c r="AW38" s="94">
        <f ca="1">Military!$CO$24*TblMili[[#This Row],[Sec. rec. Cost]]+TblImps[[#This Row],[O1]]-TblProd[[#This Row],[Bank Ore]]</f>
        <v>0</v>
      </c>
      <c r="AX38" s="94">
        <f>TblImps[[#This Row],[G1]]-TblProd[[#This Row],[Bank Gems]]</f>
        <v>0</v>
      </c>
      <c r="AY38" s="142"/>
      <c r="AZ38" s="61" t="b">
        <f ca="1">IF(TblProd[[#This Row],[Set Guard]]&lt;&gt;"",TblProd[[#This Row],[Set Guard]],OFFSET(TblProd[[#This Row],[Guard]],-1,0))</f>
        <v>0</v>
      </c>
      <c r="BA38" s="153"/>
      <c r="BB38" s="45">
        <f>TblProd[[#This Row],[Hour]]</f>
        <v>35</v>
      </c>
      <c r="BC38" s="158">
        <f>-TblProd[[#This Row],[Bank Lumber]] / 2 + -TblProd[[#This Row],[Bank Gems]] * 2 + -TblProd[[#This Row],[Bank Ore]] / 2</f>
        <v>0</v>
      </c>
      <c r="BD38" s="158"/>
      <c r="BE38" s="158"/>
      <c r="BF38" s="158"/>
      <c r="BG38" s="159">
        <f ca="1">TblProd[[#This Row],[Time]]</f>
        <v>46321.416666666584</v>
      </c>
      <c r="BH38" s="45"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94">
        <f ca="1">TblProd[[#This Row],[Platinum]]</f>
        <v>156666</v>
      </c>
      <c r="BJ38" s="94">
        <f ca="1">TblProd[[#This Row],[Food]]</f>
        <v>79772</v>
      </c>
      <c r="BK38" s="94">
        <f ca="1">TblProd[[#This Row],[Lumber]]</f>
        <v>39602</v>
      </c>
      <c r="BL38" s="94">
        <f ca="1">TblProd[[#This Row],[Mana]]</f>
        <v>0</v>
      </c>
      <c r="BM38" s="94">
        <f ca="1">TblProd[[#This Row],[Ore]]</f>
        <v>0</v>
      </c>
    </row>
    <row r="39" spans="1:65" x14ac:dyDescent="0.2">
      <c r="A39" s="137">
        <v>36</v>
      </c>
      <c r="B39" s="152">
        <f ca="1">TblImps[[#This Row],[Time]]</f>
        <v>46321.458333333248</v>
      </c>
      <c r="C39" s="153"/>
      <c r="D39" s="154"/>
      <c r="E39" s="94">
        <f ca="1">TblConstr[[#This Row],[Land]]</f>
        <v>50</v>
      </c>
      <c r="F39" s="94">
        <f ca="1">TblPop[[#This Row],[Peasants]]</f>
        <v>331</v>
      </c>
      <c r="G39" s="94">
        <f ca="1">TblMili[[#This Row],[Networth (2)]]</f>
        <v>1250</v>
      </c>
      <c r="H39" s="94">
        <f ca="1">OFFSET(TblProd[[#This Row],[Platinum]],-1,0)+OFFSET(TblProd[[#This Row],[Plat/hr]],-1,0) - TblProd[[#This Row],[Expenses Platinum]] + IF(TblProd[[#This Row],[Plat Bonus]],TblPop[[#This Row],[Peasants]]*4) + SUM(TblConstr[[#This Row],[Dest Hom]:[Dest Doc]])*TblConstr[[#This Row],[CPA Platinum -DB]]*tech_3_3_2*TblTech[[#This Row],[3-3]]</f>
        <v>157567</v>
      </c>
      <c r="I39" s="94">
        <f ca="1">OFFSET(TblProd[[#This Row],[Food]],-1,0)+OFFSET(TblProd[[#This Row],[Food/hr]],-1,0)+ROUNDUP((TblConstr[[#This Row],[Farms]]*80+TblConstr[[#This Row],[Docks]]*35)*(1+OFFSET(TblProd[[#This Row],[Bonus Food/hr]],-1,0)),0)</f>
        <v>81362</v>
      </c>
      <c r="J39" s="94">
        <f ca="1">OFFSET(TblProd[[#This Row],[Lumber]],-1,0)+OFFSET(TblProd[[#This Row],[Lumber/hr]],-1,0) - TblProd[[#This Row],[Expenses Lumber]] + SUM(TblConstr[[#This Row],[Dest Hom]:[Dest Doc]])*TblConstr[[#This Row],[CPA Lumber -DB]]*tech_3_3_2*TblTech[[#This Row],[3-3]]</f>
        <v>40206</v>
      </c>
      <c r="K39" s="94">
        <f ca="1">OFFSET(TblProd[[#This Row],[Mana]],-1,0)+OFFSET(TblProd[[#This Row],[Mana/hr]],-1,0)- TblProd[[#This Row],[Expenses Mana]]</f>
        <v>0</v>
      </c>
      <c r="L39" s="94">
        <f ca="1">OFFSET(TblProd[[#This Row],[Ore]],-1,0)+OFFSET(TblProd[[#This Row],[Ore/hr]],-1,0) -TblProd[[#This Row],[Expenses Ore]]</f>
        <v>0</v>
      </c>
      <c r="M39" s="94">
        <f ca="1">OFFSET(TblProd[[#This Row],[Gems]],-1,0)+OFFSET(TblProd[[#This Row],[Gems/hr]],-1,0) - TblProd[[#This Row],[Expenses Gems]]</f>
        <v>0</v>
      </c>
      <c r="N39" s="94">
        <f ca="1">OFFSET(TblProd[[#This Row],[Boats]],-1,0)+OFFSET(TblProd[[#This Row],[Boats/hr]],-1,0)</f>
        <v>0</v>
      </c>
      <c r="O39" s="94">
        <f ca="1">OFFSET(TblProd[[#This Row],[Prestige]],-1,0)</f>
        <v>250</v>
      </c>
      <c r="P3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9" s="94">
        <f ca="1">MAX(_xlfn.CEILING.MATH(TblProd[[#This Row],[Land]]*2.5+IFERROR(OFFSET(TblTech[[#This Row],[Sum of tech]],-1,0)*50,0)),3750)</f>
        <v>3750</v>
      </c>
      <c r="R39" s="142"/>
      <c r="S39" s="94">
        <f ca="1">ROUNDDOWN(TblProd[[#This Row],[Raw Plat/hr]]*(1+TblProd[[#This Row],[Bonus Plat/hr]]),0)</f>
        <v>893</v>
      </c>
      <c r="T39" s="94">
        <f ca="1">ROUND(TblProd[[#This Row],[Raw Food/hr]]*(1+TblProd[[#This Row],[Bonus Food/hr]])-TblProd[[#This Row],[Food decay]]-TblProd[[#This Row],[Food eaten]],0)</f>
        <v>1574</v>
      </c>
      <c r="U39" s="94">
        <f ca="1">ROUND(TblProd[[#This Row],[Raw Lumber/hr]]*(1+TblProd[[#This Row],[Bonus Lumber/hr]])-TblProd[[#This Row],[Lumber rot]],0)</f>
        <v>598</v>
      </c>
      <c r="V39" s="94">
        <f ca="1">ROUND(TblProd[[#This Row],[Raw Mana/hr]]*(1+TblProd[[#This Row],[Bonus Mana/hr]])-TblProd[[#This Row],[Mana drain]],0)</f>
        <v>0</v>
      </c>
      <c r="W39" s="94">
        <f ca="1">ROUNDDOWN(TblProd[[#This Row],[Raw Ore/hr]]*(1+TblProd[[#This Row],[Bonux Ore/hr]]),0)</f>
        <v>0</v>
      </c>
      <c r="X39" s="94">
        <f ca="1">ROUNDDOWN(TblProd[[#This Row],[Raw Gems/hr]]*(1+TblProd[[#This Row],[Bonus Gems/hr]]),0)</f>
        <v>0</v>
      </c>
      <c r="Y39" s="155">
        <f ca="1">OFFSET(TblConstr[[#This Row],[Tot Doc]],1,0)*dock_boats_hr * (1 + tech_4_1*TblTech[[#This Row],[4-1]])</f>
        <v>0</v>
      </c>
      <c r="Z39" s="154"/>
      <c r="AA39" s="94">
        <f ca="1">TblPop[[#This Row],[Peasants]]*tax*TblPop[[#This Row],[Employment]] + (Construction!AZ40+Construction!BX40)*(alch_plat+(Magic!AN39&gt;0)*alchemist_flame_bonus)</f>
        <v>893.7</v>
      </c>
      <c r="AB39" s="94">
        <f ca="1">TblConstr[[#This Row],[Tot Farm]]*farm_food + TblConstr[[#This Row],[Tot Doc]]*dock_food</f>
        <v>2400</v>
      </c>
      <c r="AC39" s="94">
        <f ca="1">TblConstr[[#This Row],[Tot Ly]]*ly_lumber + TblConstr[[#This Row],[Tot Hav]]*fh_lumber + IF(race="Wood Elf",TblMili[[#This Row],[Unit 2]]*MIN(TblMili[[#This Row],[Homeland%]]/wisp_bonus,wisp_cap),0)</f>
        <v>1000</v>
      </c>
      <c r="AD39" s="94">
        <f ca="1">OFFSET(TblConstr[[#This Row],[Tot Tow]],1,0)*(tower_mana + tech_4_5*TblTech[[#This Row],[4-5]]) + OFFSET(TblConstr[[#This Row],[Tot WG]],1,0)*wg_mana_prod</f>
        <v>0</v>
      </c>
      <c r="AE39" s="94">
        <f ca="1">OFFSET(TblConstr[[#This Row],[Tot OM]],1,0)*om_ore+IF(race="Dwarf",TblMili[[#This Row],[Unit 2]]*0.5,0)</f>
        <v>0</v>
      </c>
      <c r="AF39" s="94">
        <f ca="1">OFFSET(TblConstr[[#This Row],[Tot DM]],1,0)*dm_gems</f>
        <v>0</v>
      </c>
      <c r="AG39" s="142"/>
      <c r="AH39" s="156">
        <f ca="1">MIN(race_platinum_bonus + IF(TblMagic[[#This Row],[Active Arc Infusion]]&gt;0,alch_frost_bonus,IF(Magic!AE39&gt;0,midas_bonus)) + TblImps[[#This Row],[Science]] - TblProd[[#This Row],[Guard]]*(0.02 + tech_5_7*TblTech[[#This Row],[5-7]]) + tech_1_5*TblTech[[#This Row],[1-5]] + tech_4_4*TblTech[[#This Row],[4-4]] + IF(TblMagic[[#This Row],[Active Infernal Command]]&gt;0,demonic_pact_plat,0), 0.5)</f>
        <v>0</v>
      </c>
      <c r="AI3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9" s="156">
        <f ca="1">race_lumber_bonus+ IF(TblMagic[[#This Row],[Active Gaia''s Blessing]]&gt;0,gaias_blessing_lumber)+ tech_1_3*TblTech[[#This Row],[1-3]] + tech_1_6*TblTech[[#This Row],[1-6]] + tech_3_3*TblTech[[#This Row],[3-3]]</f>
        <v>0</v>
      </c>
      <c r="AK39" s="156">
        <f ca="1">race_mana_bonus+ 0 + TblImps[[#This Row],[Spires]] + tech_1_2*TblTech[[#This Row],[1-2]] + tech_3_4*TblTech[[#This Row],[3-4]]</f>
        <v>0</v>
      </c>
      <c r="AL39" s="156">
        <f ca="1">race_ore_bonus + IF(TblMagic[[#This Row],[Active Miner''s Sight]]&gt;0,miners_sight_bonus,IF(TblMagic[[#This Row],[Active Mining Strength]]&gt;0,mining_strength_bonus)) +  tech_1_6*TblTech[[#This Row],[1-6]]</f>
        <v>0</v>
      </c>
      <c r="AM39" s="156">
        <f>race_gem_bonus+ tech_3_2*TblTech[[#This Row],[3-2]] + tech_4_3*TblTech[[#This Row],[4-3]] + tech_6_2*TblTech[[#This Row],[6-2]]</f>
        <v>0</v>
      </c>
      <c r="AN39" s="142"/>
      <c r="AO39" s="94">
        <f ca="1">TblProd[[#This Row],[Food]]*food_decay * (1 + tech_2_1*TblTech[[#This Row],[2-1]] + tech_2_8*TblTech[[#This Row],[2-8]] + IF(AND(TblMagic[[#This Row],[Active DnD]]&lt;12,TblMagic[[#This Row],[Active DnD]]&gt;5),1,0))</f>
        <v>813.62</v>
      </c>
      <c r="AP39" s="94">
        <f ca="1">(1+race_food_consumption)*TblPop[[#This Row],[Total]]*food_per_person*(1+tech_1_10*TblTech[[#This Row],[1-10]]+tech_7_5*TblTech[[#This Row],[7-5]] + IF(TblMagic[[#This Row],[Active Infernal Command]]&gt;0,demonic_pact_food_cons,0))</f>
        <v>192.25</v>
      </c>
      <c r="AQ39" s="94">
        <f ca="1">TblProd[[#This Row],[Lumber]]*lumber_rot * (1 + tech_2_1*TblTech[[#This Row],[2-1]] + tech_2_8*TblTech[[#This Row],[2-8]] + tech_5_2*TblTech[[#This Row],[5-2]] + IF(AND(TblMagic[[#This Row],[Active DnD]]&lt;12,TblMagic[[#This Row],[Active DnD]]&gt;5),1,0))</f>
        <v>402.06</v>
      </c>
      <c r="AR39" s="94">
        <f ca="1">TblProd[[#This Row],[Mana]]*mana_drain * (1 + tech_2_1*TblTech[[#This Row],[2-1]] + tech_2_8*TblTech[[#This Row],[2-8]])</f>
        <v>0</v>
      </c>
      <c r="AS39" s="154"/>
      <c r="AT39" s="94">
        <f ca="1">TblExplore[[#This Row],[Platinum (2)]]+TblConstr[[#This Row],[Total Plat Cost]]+TblMili[[#This Row],[Plat Cost]]+TblRezone[[#This Row],[Platinum cost]]+TblImps[[#This Row],[P1]]-TblProd[[#This Row],[Bank Plat]]</f>
        <v>0</v>
      </c>
      <c r="AU39" s="94">
        <f ca="1">TblConstr[[#This Row],[Total Lum Cost]]+TblImps[[#This Row],[L1]]-TblProd[[#This Row],[Bank Lumber]] + Military!$CO$25*TblMili[[#This Row],[Sec. rec. Cost]]</f>
        <v>0</v>
      </c>
      <c r="AV39" s="94">
        <f ca="1">TblMagic[[#This Row],[Mana cost]] + Military!$CO$26*TblMili[[#This Row],[Sec. rec. Cost]]</f>
        <v>0</v>
      </c>
      <c r="AW39" s="94">
        <f ca="1">Military!$CO$24*TblMili[[#This Row],[Sec. rec. Cost]]+TblImps[[#This Row],[O1]]-TblProd[[#This Row],[Bank Ore]]</f>
        <v>0</v>
      </c>
      <c r="AX39" s="94">
        <f>TblImps[[#This Row],[G1]]-TblProd[[#This Row],[Bank Gems]]</f>
        <v>0</v>
      </c>
      <c r="AY39" s="142"/>
      <c r="AZ39" s="61" t="b">
        <f ca="1">IF(TblProd[[#This Row],[Set Guard]]&lt;&gt;"",TblProd[[#This Row],[Set Guard]],OFFSET(TblProd[[#This Row],[Guard]],-1,0))</f>
        <v>0</v>
      </c>
      <c r="BA39" s="153"/>
      <c r="BB39" s="45">
        <f>TblProd[[#This Row],[Hour]]</f>
        <v>36</v>
      </c>
      <c r="BC39" s="158">
        <f>-TblProd[[#This Row],[Bank Lumber]] / 2 + -TblProd[[#This Row],[Bank Gems]] * 2 + -TblProd[[#This Row],[Bank Ore]] / 2</f>
        <v>0</v>
      </c>
      <c r="BD39" s="158"/>
      <c r="BE39" s="158"/>
      <c r="BF39" s="158"/>
      <c r="BG39" s="159">
        <f ca="1">TblProd[[#This Row],[Time]]</f>
        <v>46321.458333333248</v>
      </c>
      <c r="BH39" s="45"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94">
        <f ca="1">TblProd[[#This Row],[Platinum]]</f>
        <v>157567</v>
      </c>
      <c r="BJ39" s="94">
        <f ca="1">TblProd[[#This Row],[Food]]</f>
        <v>81362</v>
      </c>
      <c r="BK39" s="94">
        <f ca="1">TblProd[[#This Row],[Lumber]]</f>
        <v>40206</v>
      </c>
      <c r="BL39" s="94">
        <f ca="1">TblProd[[#This Row],[Mana]]</f>
        <v>0</v>
      </c>
      <c r="BM39" s="94">
        <f ca="1">TblProd[[#This Row],[Ore]]</f>
        <v>0</v>
      </c>
    </row>
    <row r="40" spans="1:65" x14ac:dyDescent="0.2">
      <c r="A40" s="137">
        <v>37</v>
      </c>
      <c r="B40" s="152">
        <f ca="1">TblImps[[#This Row],[Time]]</f>
        <v>46321.499999999913</v>
      </c>
      <c r="C40" s="153"/>
      <c r="D40" s="154"/>
      <c r="E40" s="94">
        <f ca="1">TblConstr[[#This Row],[Land]]</f>
        <v>50</v>
      </c>
      <c r="F40" s="94">
        <f ca="1">TblPop[[#This Row],[Peasants]]</f>
        <v>328</v>
      </c>
      <c r="G40" s="94">
        <f ca="1">TblMili[[#This Row],[Networth (2)]]</f>
        <v>1250</v>
      </c>
      <c r="H40" s="94">
        <f ca="1">OFFSET(TblProd[[#This Row],[Platinum]],-1,0)+OFFSET(TblProd[[#This Row],[Plat/hr]],-1,0) - TblProd[[#This Row],[Expenses Platinum]] + IF(TblProd[[#This Row],[Plat Bonus]],TblPop[[#This Row],[Peasants]]*4) + SUM(TblConstr[[#This Row],[Dest Hom]:[Dest Doc]])*TblConstr[[#This Row],[CPA Platinum -DB]]*tech_3_3_2*TblTech[[#This Row],[3-3]]</f>
        <v>158460</v>
      </c>
      <c r="I40" s="94">
        <f ca="1">OFFSET(TblProd[[#This Row],[Food]],-1,0)+OFFSET(TblProd[[#This Row],[Food/hr]],-1,0)+ROUNDUP((TblConstr[[#This Row],[Farms]]*80+TblConstr[[#This Row],[Docks]]*35)*(1+OFFSET(TblProd[[#This Row],[Bonus Food/hr]],-1,0)),0)</f>
        <v>82936</v>
      </c>
      <c r="J40" s="94">
        <f ca="1">OFFSET(TblProd[[#This Row],[Lumber]],-1,0)+OFFSET(TblProd[[#This Row],[Lumber/hr]],-1,0) - TblProd[[#This Row],[Expenses Lumber]] + SUM(TblConstr[[#This Row],[Dest Hom]:[Dest Doc]])*TblConstr[[#This Row],[CPA Lumber -DB]]*tech_3_3_2*TblTech[[#This Row],[3-3]]</f>
        <v>40804</v>
      </c>
      <c r="K40" s="94">
        <f ca="1">OFFSET(TblProd[[#This Row],[Mana]],-1,0)+OFFSET(TblProd[[#This Row],[Mana/hr]],-1,0)- TblProd[[#This Row],[Expenses Mana]]</f>
        <v>0</v>
      </c>
      <c r="L40" s="94">
        <f ca="1">OFFSET(TblProd[[#This Row],[Ore]],-1,0)+OFFSET(TblProd[[#This Row],[Ore/hr]],-1,0) -TblProd[[#This Row],[Expenses Ore]]</f>
        <v>0</v>
      </c>
      <c r="M40" s="94">
        <f ca="1">OFFSET(TblProd[[#This Row],[Gems]],-1,0)+OFFSET(TblProd[[#This Row],[Gems/hr]],-1,0) - TblProd[[#This Row],[Expenses Gems]]</f>
        <v>0</v>
      </c>
      <c r="N40" s="94">
        <f ca="1">OFFSET(TblProd[[#This Row],[Boats]],-1,0)+OFFSET(TblProd[[#This Row],[Boats/hr]],-1,0)</f>
        <v>0</v>
      </c>
      <c r="O40" s="94">
        <f ca="1">OFFSET(TblProd[[#This Row],[Prestige]],-1,0)</f>
        <v>250</v>
      </c>
      <c r="P4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0" s="94">
        <f ca="1">MAX(_xlfn.CEILING.MATH(TblProd[[#This Row],[Land]]*2.5+IFERROR(OFFSET(TblTech[[#This Row],[Sum of tech]],-1,0)*50,0)),3750)</f>
        <v>3750</v>
      </c>
      <c r="R40" s="142"/>
      <c r="S40" s="94">
        <f ca="1">ROUNDDOWN(TblProd[[#This Row],[Raw Plat/hr]]*(1+TblProd[[#This Row],[Bonus Plat/hr]]),0)</f>
        <v>885</v>
      </c>
      <c r="T40" s="94">
        <f ca="1">ROUND(TblProd[[#This Row],[Raw Food/hr]]*(1+TblProd[[#This Row],[Bonus Food/hr]])-TblProd[[#This Row],[Food decay]]-TblProd[[#This Row],[Food eaten]],0)</f>
        <v>1558</v>
      </c>
      <c r="U40" s="94">
        <f ca="1">ROUND(TblProd[[#This Row],[Raw Lumber/hr]]*(1+TblProd[[#This Row],[Bonus Lumber/hr]])-TblProd[[#This Row],[Lumber rot]],0)</f>
        <v>592</v>
      </c>
      <c r="V40" s="94">
        <f ca="1">ROUND(TblProd[[#This Row],[Raw Mana/hr]]*(1+TblProd[[#This Row],[Bonus Mana/hr]])-TblProd[[#This Row],[Mana drain]],0)</f>
        <v>0</v>
      </c>
      <c r="W40" s="94">
        <f ca="1">ROUNDDOWN(TblProd[[#This Row],[Raw Ore/hr]]*(1+TblProd[[#This Row],[Bonux Ore/hr]]),0)</f>
        <v>0</v>
      </c>
      <c r="X40" s="94">
        <f ca="1">ROUNDDOWN(TblProd[[#This Row],[Raw Gems/hr]]*(1+TblProd[[#This Row],[Bonus Gems/hr]]),0)</f>
        <v>0</v>
      </c>
      <c r="Y40" s="155">
        <f ca="1">OFFSET(TblConstr[[#This Row],[Tot Doc]],1,0)*dock_boats_hr * (1 + tech_4_1*TblTech[[#This Row],[4-1]])</f>
        <v>0</v>
      </c>
      <c r="Z40" s="154"/>
      <c r="AA40" s="94">
        <f ca="1">TblPop[[#This Row],[Peasants]]*tax*TblPop[[#This Row],[Employment]] + (Construction!AZ41+Construction!BX41)*(alch_plat+(Magic!AN40&gt;0)*alchemist_flame_bonus)</f>
        <v>885.6</v>
      </c>
      <c r="AB40" s="94">
        <f ca="1">TblConstr[[#This Row],[Tot Farm]]*farm_food + TblConstr[[#This Row],[Tot Doc]]*dock_food</f>
        <v>2400</v>
      </c>
      <c r="AC40" s="94">
        <f ca="1">TblConstr[[#This Row],[Tot Ly]]*ly_lumber + TblConstr[[#This Row],[Tot Hav]]*fh_lumber + IF(race="Wood Elf",TblMili[[#This Row],[Unit 2]]*MIN(TblMili[[#This Row],[Homeland%]]/wisp_bonus,wisp_cap),0)</f>
        <v>1000</v>
      </c>
      <c r="AD40" s="94">
        <f ca="1">OFFSET(TblConstr[[#This Row],[Tot Tow]],1,0)*(tower_mana + tech_4_5*TblTech[[#This Row],[4-5]]) + OFFSET(TblConstr[[#This Row],[Tot WG]],1,0)*wg_mana_prod</f>
        <v>0</v>
      </c>
      <c r="AE40" s="94">
        <f ca="1">OFFSET(TblConstr[[#This Row],[Tot OM]],1,0)*om_ore+IF(race="Dwarf",TblMili[[#This Row],[Unit 2]]*0.5,0)</f>
        <v>0</v>
      </c>
      <c r="AF40" s="94">
        <f ca="1">OFFSET(TblConstr[[#This Row],[Tot DM]],1,0)*dm_gems</f>
        <v>0</v>
      </c>
      <c r="AG40" s="142"/>
      <c r="AH40" s="156">
        <f ca="1">MIN(race_platinum_bonus + IF(TblMagic[[#This Row],[Active Arc Infusion]]&gt;0,alch_frost_bonus,IF(Magic!AE40&gt;0,midas_bonus)) + TblImps[[#This Row],[Science]] - TblProd[[#This Row],[Guard]]*(0.02 + tech_5_7*TblTech[[#This Row],[5-7]]) + tech_1_5*TblTech[[#This Row],[1-5]] + tech_4_4*TblTech[[#This Row],[4-4]] + IF(TblMagic[[#This Row],[Active Infernal Command]]&gt;0,demonic_pact_plat,0), 0.5)</f>
        <v>0</v>
      </c>
      <c r="AI4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0" s="156">
        <f ca="1">race_lumber_bonus+ IF(TblMagic[[#This Row],[Active Gaia''s Blessing]]&gt;0,gaias_blessing_lumber)+ tech_1_3*TblTech[[#This Row],[1-3]] + tech_1_6*TblTech[[#This Row],[1-6]] + tech_3_3*TblTech[[#This Row],[3-3]]</f>
        <v>0</v>
      </c>
      <c r="AK40" s="156">
        <f ca="1">race_mana_bonus+ 0 + TblImps[[#This Row],[Spires]] + tech_1_2*TblTech[[#This Row],[1-2]] + tech_3_4*TblTech[[#This Row],[3-4]]</f>
        <v>0</v>
      </c>
      <c r="AL40" s="156">
        <f ca="1">race_ore_bonus + IF(TblMagic[[#This Row],[Active Miner''s Sight]]&gt;0,miners_sight_bonus,IF(TblMagic[[#This Row],[Active Mining Strength]]&gt;0,mining_strength_bonus)) +  tech_1_6*TblTech[[#This Row],[1-6]]</f>
        <v>0</v>
      </c>
      <c r="AM40" s="156">
        <f>race_gem_bonus+ tech_3_2*TblTech[[#This Row],[3-2]] + tech_4_3*TblTech[[#This Row],[4-3]] + tech_6_2*TblTech[[#This Row],[6-2]]</f>
        <v>0</v>
      </c>
      <c r="AN40" s="142"/>
      <c r="AO40" s="94">
        <f ca="1">TblProd[[#This Row],[Food]]*food_decay * (1 + tech_2_1*TblTech[[#This Row],[2-1]] + tech_2_8*TblTech[[#This Row],[2-8]] + IF(AND(TblMagic[[#This Row],[Active DnD]]&lt;12,TblMagic[[#This Row],[Active DnD]]&gt;5),1,0))</f>
        <v>829.36</v>
      </c>
      <c r="AP40" s="94">
        <f ca="1">(1+race_food_consumption)*TblPop[[#This Row],[Total]]*food_per_person*(1+tech_1_10*TblTech[[#This Row],[1-10]]+tech_7_5*TblTech[[#This Row],[7-5]] + IF(TblMagic[[#This Row],[Active Infernal Command]]&gt;0,demonic_pact_food_cons,0))</f>
        <v>192.25</v>
      </c>
      <c r="AQ40" s="94">
        <f ca="1">TblProd[[#This Row],[Lumber]]*lumber_rot * (1 + tech_2_1*TblTech[[#This Row],[2-1]] + tech_2_8*TblTech[[#This Row],[2-8]] + tech_5_2*TblTech[[#This Row],[5-2]] + IF(AND(TblMagic[[#This Row],[Active DnD]]&lt;12,TblMagic[[#This Row],[Active DnD]]&gt;5),1,0))</f>
        <v>408.04</v>
      </c>
      <c r="AR40" s="94">
        <f ca="1">TblProd[[#This Row],[Mana]]*mana_drain * (1 + tech_2_1*TblTech[[#This Row],[2-1]] + tech_2_8*TblTech[[#This Row],[2-8]])</f>
        <v>0</v>
      </c>
      <c r="AS40" s="154"/>
      <c r="AT40" s="94">
        <f ca="1">TblExplore[[#This Row],[Platinum (2)]]+TblConstr[[#This Row],[Total Plat Cost]]+TblMili[[#This Row],[Plat Cost]]+TblRezone[[#This Row],[Platinum cost]]+TblImps[[#This Row],[P1]]-TblProd[[#This Row],[Bank Plat]]</f>
        <v>0</v>
      </c>
      <c r="AU40" s="94">
        <f ca="1">TblConstr[[#This Row],[Total Lum Cost]]+TblImps[[#This Row],[L1]]-TblProd[[#This Row],[Bank Lumber]] + Military!$CO$25*TblMili[[#This Row],[Sec. rec. Cost]]</f>
        <v>0</v>
      </c>
      <c r="AV40" s="94">
        <f ca="1">TblMagic[[#This Row],[Mana cost]] + Military!$CO$26*TblMili[[#This Row],[Sec. rec. Cost]]</f>
        <v>0</v>
      </c>
      <c r="AW40" s="94">
        <f ca="1">Military!$CO$24*TblMili[[#This Row],[Sec. rec. Cost]]+TblImps[[#This Row],[O1]]-TblProd[[#This Row],[Bank Ore]]</f>
        <v>0</v>
      </c>
      <c r="AX40" s="94">
        <f>TblImps[[#This Row],[G1]]-TblProd[[#This Row],[Bank Gems]]</f>
        <v>0</v>
      </c>
      <c r="AY40" s="142"/>
      <c r="AZ40" s="61" t="b">
        <f ca="1">IF(TblProd[[#This Row],[Set Guard]]&lt;&gt;"",TblProd[[#This Row],[Set Guard]],OFFSET(TblProd[[#This Row],[Guard]],-1,0))</f>
        <v>0</v>
      </c>
      <c r="BA40" s="153"/>
      <c r="BB40" s="45">
        <f>TblProd[[#This Row],[Hour]]</f>
        <v>37</v>
      </c>
      <c r="BC40" s="158">
        <f>-TblProd[[#This Row],[Bank Lumber]] / 2 + -TblProd[[#This Row],[Bank Gems]] * 2 + -TblProd[[#This Row],[Bank Ore]] / 2</f>
        <v>0</v>
      </c>
      <c r="BD40" s="158"/>
      <c r="BE40" s="158"/>
      <c r="BF40" s="158"/>
      <c r="BG40" s="159">
        <f ca="1">TblProd[[#This Row],[Time]]</f>
        <v>46321.499999999913</v>
      </c>
      <c r="BH40" s="45"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94">
        <f ca="1">TblProd[[#This Row],[Platinum]]</f>
        <v>158460</v>
      </c>
      <c r="BJ40" s="94">
        <f ca="1">TblProd[[#This Row],[Food]]</f>
        <v>82936</v>
      </c>
      <c r="BK40" s="94">
        <f ca="1">TblProd[[#This Row],[Lumber]]</f>
        <v>40804</v>
      </c>
      <c r="BL40" s="94">
        <f ca="1">TblProd[[#This Row],[Mana]]</f>
        <v>0</v>
      </c>
      <c r="BM40" s="94">
        <f ca="1">TblProd[[#This Row],[Ore]]</f>
        <v>0</v>
      </c>
    </row>
    <row r="41" spans="1:65" x14ac:dyDescent="0.2">
      <c r="A41" s="137">
        <v>38</v>
      </c>
      <c r="B41" s="152">
        <f ca="1">TblImps[[#This Row],[Time]]</f>
        <v>46321.541666666577</v>
      </c>
      <c r="C41" s="153"/>
      <c r="D41" s="154"/>
      <c r="E41" s="94">
        <f ca="1">TblConstr[[#This Row],[Land]]</f>
        <v>50</v>
      </c>
      <c r="F41" s="94">
        <f ca="1">TblPop[[#This Row],[Peasants]]</f>
        <v>325</v>
      </c>
      <c r="G41" s="94">
        <f ca="1">TblMili[[#This Row],[Networth (2)]]</f>
        <v>1250</v>
      </c>
      <c r="H41" s="94">
        <f ca="1">OFFSET(TblProd[[#This Row],[Platinum]],-1,0)+OFFSET(TblProd[[#This Row],[Plat/hr]],-1,0) - TblProd[[#This Row],[Expenses Platinum]] + IF(TblProd[[#This Row],[Plat Bonus]],TblPop[[#This Row],[Peasants]]*4) + SUM(TblConstr[[#This Row],[Dest Hom]:[Dest Doc]])*TblConstr[[#This Row],[CPA Platinum -DB]]*tech_3_3_2*TblTech[[#This Row],[3-3]]</f>
        <v>159345</v>
      </c>
      <c r="I41" s="94">
        <f ca="1">OFFSET(TblProd[[#This Row],[Food]],-1,0)+OFFSET(TblProd[[#This Row],[Food/hr]],-1,0)+ROUNDUP((TblConstr[[#This Row],[Farms]]*80+TblConstr[[#This Row],[Docks]]*35)*(1+OFFSET(TblProd[[#This Row],[Bonus Food/hr]],-1,0)),0)</f>
        <v>84494</v>
      </c>
      <c r="J41" s="94">
        <f ca="1">OFFSET(TblProd[[#This Row],[Lumber]],-1,0)+OFFSET(TblProd[[#This Row],[Lumber/hr]],-1,0) - TblProd[[#This Row],[Expenses Lumber]] + SUM(TblConstr[[#This Row],[Dest Hom]:[Dest Doc]])*TblConstr[[#This Row],[CPA Lumber -DB]]*tech_3_3_2*TblTech[[#This Row],[3-3]]</f>
        <v>41396</v>
      </c>
      <c r="K41" s="94">
        <f ca="1">OFFSET(TblProd[[#This Row],[Mana]],-1,0)+OFFSET(TblProd[[#This Row],[Mana/hr]],-1,0)- TblProd[[#This Row],[Expenses Mana]]</f>
        <v>0</v>
      </c>
      <c r="L41" s="94">
        <f ca="1">OFFSET(TblProd[[#This Row],[Ore]],-1,0)+OFFSET(TblProd[[#This Row],[Ore/hr]],-1,0) -TblProd[[#This Row],[Expenses Ore]]</f>
        <v>0</v>
      </c>
      <c r="M41" s="94">
        <f ca="1">OFFSET(TblProd[[#This Row],[Gems]],-1,0)+OFFSET(TblProd[[#This Row],[Gems/hr]],-1,0) - TblProd[[#This Row],[Expenses Gems]]</f>
        <v>0</v>
      </c>
      <c r="N41" s="94">
        <f ca="1">OFFSET(TblProd[[#This Row],[Boats]],-1,0)+OFFSET(TblProd[[#This Row],[Boats/hr]],-1,0)</f>
        <v>0</v>
      </c>
      <c r="O41" s="94">
        <f ca="1">OFFSET(TblProd[[#This Row],[Prestige]],-1,0)</f>
        <v>250</v>
      </c>
      <c r="P4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1" s="94">
        <f ca="1">MAX(_xlfn.CEILING.MATH(TblProd[[#This Row],[Land]]*2.5+IFERROR(OFFSET(TblTech[[#This Row],[Sum of tech]],-1,0)*50,0)),3750)</f>
        <v>3750</v>
      </c>
      <c r="R41" s="142"/>
      <c r="S41" s="94">
        <f ca="1">ROUNDDOWN(TblProd[[#This Row],[Raw Plat/hr]]*(1+TblProd[[#This Row],[Bonus Plat/hr]]),0)</f>
        <v>877</v>
      </c>
      <c r="T41" s="94">
        <f ca="1">ROUND(TblProd[[#This Row],[Raw Food/hr]]*(1+TblProd[[#This Row],[Bonus Food/hr]])-TblProd[[#This Row],[Food decay]]-TblProd[[#This Row],[Food eaten]],0)</f>
        <v>1543</v>
      </c>
      <c r="U41" s="94">
        <f ca="1">ROUND(TblProd[[#This Row],[Raw Lumber/hr]]*(1+TblProd[[#This Row],[Bonus Lumber/hr]])-TblProd[[#This Row],[Lumber rot]],0)</f>
        <v>586</v>
      </c>
      <c r="V41" s="94">
        <f ca="1">ROUND(TblProd[[#This Row],[Raw Mana/hr]]*(1+TblProd[[#This Row],[Bonus Mana/hr]])-TblProd[[#This Row],[Mana drain]],0)</f>
        <v>0</v>
      </c>
      <c r="W41" s="94">
        <f ca="1">ROUNDDOWN(TblProd[[#This Row],[Raw Ore/hr]]*(1+TblProd[[#This Row],[Bonux Ore/hr]]),0)</f>
        <v>0</v>
      </c>
      <c r="X41" s="94">
        <f ca="1">ROUNDDOWN(TblProd[[#This Row],[Raw Gems/hr]]*(1+TblProd[[#This Row],[Bonus Gems/hr]]),0)</f>
        <v>0</v>
      </c>
      <c r="Y41" s="155">
        <f ca="1">OFFSET(TblConstr[[#This Row],[Tot Doc]],1,0)*dock_boats_hr * (1 + tech_4_1*TblTech[[#This Row],[4-1]])</f>
        <v>0</v>
      </c>
      <c r="Z41" s="154"/>
      <c r="AA41" s="94">
        <f ca="1">TblPop[[#This Row],[Peasants]]*tax*TblPop[[#This Row],[Employment]] + (Construction!AZ42+Construction!BX42)*(alch_plat+(Magic!AN41&gt;0)*alchemist_flame_bonus)</f>
        <v>877.50000000000011</v>
      </c>
      <c r="AB41" s="94">
        <f ca="1">TblConstr[[#This Row],[Tot Farm]]*farm_food + TblConstr[[#This Row],[Tot Doc]]*dock_food</f>
        <v>2400</v>
      </c>
      <c r="AC41" s="94">
        <f ca="1">TblConstr[[#This Row],[Tot Ly]]*ly_lumber + TblConstr[[#This Row],[Tot Hav]]*fh_lumber + IF(race="Wood Elf",TblMili[[#This Row],[Unit 2]]*MIN(TblMili[[#This Row],[Homeland%]]/wisp_bonus,wisp_cap),0)</f>
        <v>1000</v>
      </c>
      <c r="AD41" s="94">
        <f ca="1">OFFSET(TblConstr[[#This Row],[Tot Tow]],1,0)*(tower_mana + tech_4_5*TblTech[[#This Row],[4-5]]) + OFFSET(TblConstr[[#This Row],[Tot WG]],1,0)*wg_mana_prod</f>
        <v>0</v>
      </c>
      <c r="AE41" s="94">
        <f ca="1">OFFSET(TblConstr[[#This Row],[Tot OM]],1,0)*om_ore+IF(race="Dwarf",TblMili[[#This Row],[Unit 2]]*0.5,0)</f>
        <v>0</v>
      </c>
      <c r="AF41" s="94">
        <f ca="1">OFFSET(TblConstr[[#This Row],[Tot DM]],1,0)*dm_gems</f>
        <v>0</v>
      </c>
      <c r="AG41" s="142"/>
      <c r="AH41" s="156">
        <f ca="1">MIN(race_platinum_bonus + IF(TblMagic[[#This Row],[Active Arc Infusion]]&gt;0,alch_frost_bonus,IF(Magic!AE41&gt;0,midas_bonus)) + TblImps[[#This Row],[Science]] - TblProd[[#This Row],[Guard]]*(0.02 + tech_5_7*TblTech[[#This Row],[5-7]]) + tech_1_5*TblTech[[#This Row],[1-5]] + tech_4_4*TblTech[[#This Row],[4-4]] + IF(TblMagic[[#This Row],[Active Infernal Command]]&gt;0,demonic_pact_plat,0), 0.5)</f>
        <v>0</v>
      </c>
      <c r="AI4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1" s="156">
        <f ca="1">race_lumber_bonus+ IF(TblMagic[[#This Row],[Active Gaia''s Blessing]]&gt;0,gaias_blessing_lumber)+ tech_1_3*TblTech[[#This Row],[1-3]] + tech_1_6*TblTech[[#This Row],[1-6]] + tech_3_3*TblTech[[#This Row],[3-3]]</f>
        <v>0</v>
      </c>
      <c r="AK41" s="156">
        <f ca="1">race_mana_bonus+ 0 + TblImps[[#This Row],[Spires]] + tech_1_2*TblTech[[#This Row],[1-2]] + tech_3_4*TblTech[[#This Row],[3-4]]</f>
        <v>0</v>
      </c>
      <c r="AL41" s="156">
        <f ca="1">race_ore_bonus + IF(TblMagic[[#This Row],[Active Miner''s Sight]]&gt;0,miners_sight_bonus,IF(TblMagic[[#This Row],[Active Mining Strength]]&gt;0,mining_strength_bonus)) +  tech_1_6*TblTech[[#This Row],[1-6]]</f>
        <v>0</v>
      </c>
      <c r="AM41" s="156">
        <f>race_gem_bonus+ tech_3_2*TblTech[[#This Row],[3-2]] + tech_4_3*TblTech[[#This Row],[4-3]] + tech_6_2*TblTech[[#This Row],[6-2]]</f>
        <v>0</v>
      </c>
      <c r="AN41" s="142"/>
      <c r="AO41" s="94">
        <f ca="1">TblProd[[#This Row],[Food]]*food_decay * (1 + tech_2_1*TblTech[[#This Row],[2-1]] + tech_2_8*TblTech[[#This Row],[2-8]] + IF(AND(TblMagic[[#This Row],[Active DnD]]&lt;12,TblMagic[[#This Row],[Active DnD]]&gt;5),1,0))</f>
        <v>844.94</v>
      </c>
      <c r="AP41" s="94">
        <f ca="1">(1+race_food_consumption)*TblPop[[#This Row],[Total]]*food_per_person*(1+tech_1_10*TblTech[[#This Row],[1-10]]+tech_7_5*TblTech[[#This Row],[7-5]] + IF(TblMagic[[#This Row],[Active Infernal Command]]&gt;0,demonic_pact_food_cons,0))</f>
        <v>192.25</v>
      </c>
      <c r="AQ41" s="94">
        <f ca="1">TblProd[[#This Row],[Lumber]]*lumber_rot * (1 + tech_2_1*TblTech[[#This Row],[2-1]] + tech_2_8*TblTech[[#This Row],[2-8]] + tech_5_2*TblTech[[#This Row],[5-2]] + IF(AND(TblMagic[[#This Row],[Active DnD]]&lt;12,TblMagic[[#This Row],[Active DnD]]&gt;5),1,0))</f>
        <v>413.96000000000004</v>
      </c>
      <c r="AR41" s="94">
        <f ca="1">TblProd[[#This Row],[Mana]]*mana_drain * (1 + tech_2_1*TblTech[[#This Row],[2-1]] + tech_2_8*TblTech[[#This Row],[2-8]])</f>
        <v>0</v>
      </c>
      <c r="AS41" s="154"/>
      <c r="AT41" s="94">
        <f ca="1">TblExplore[[#This Row],[Platinum (2)]]+TblConstr[[#This Row],[Total Plat Cost]]+TblMili[[#This Row],[Plat Cost]]+TblRezone[[#This Row],[Platinum cost]]+TblImps[[#This Row],[P1]]-TblProd[[#This Row],[Bank Plat]]</f>
        <v>0</v>
      </c>
      <c r="AU41" s="94">
        <f ca="1">TblConstr[[#This Row],[Total Lum Cost]]+TblImps[[#This Row],[L1]]-TblProd[[#This Row],[Bank Lumber]] + Military!$CO$25*TblMili[[#This Row],[Sec. rec. Cost]]</f>
        <v>0</v>
      </c>
      <c r="AV41" s="94">
        <f ca="1">TblMagic[[#This Row],[Mana cost]] + Military!$CO$26*TblMili[[#This Row],[Sec. rec. Cost]]</f>
        <v>0</v>
      </c>
      <c r="AW41" s="94">
        <f ca="1">Military!$CO$24*TblMili[[#This Row],[Sec. rec. Cost]]+TblImps[[#This Row],[O1]]-TblProd[[#This Row],[Bank Ore]]</f>
        <v>0</v>
      </c>
      <c r="AX41" s="94">
        <f>TblImps[[#This Row],[G1]]-TblProd[[#This Row],[Bank Gems]]</f>
        <v>0</v>
      </c>
      <c r="AY41" s="142"/>
      <c r="AZ41" s="61" t="b">
        <f ca="1">IF(TblProd[[#This Row],[Set Guard]]&lt;&gt;"",TblProd[[#This Row],[Set Guard]],OFFSET(TblProd[[#This Row],[Guard]],-1,0))</f>
        <v>0</v>
      </c>
      <c r="BA41" s="153"/>
      <c r="BB41" s="45">
        <f>TblProd[[#This Row],[Hour]]</f>
        <v>38</v>
      </c>
      <c r="BC41" s="158">
        <f>-TblProd[[#This Row],[Bank Lumber]] / 2 + -TblProd[[#This Row],[Bank Gems]] * 2 + -TblProd[[#This Row],[Bank Ore]] / 2</f>
        <v>0</v>
      </c>
      <c r="BD41" s="158"/>
      <c r="BE41" s="158"/>
      <c r="BF41" s="158"/>
      <c r="BG41" s="159">
        <f ca="1">TblProd[[#This Row],[Time]]</f>
        <v>46321.541666666577</v>
      </c>
      <c r="BH41" s="45"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94">
        <f ca="1">TblProd[[#This Row],[Platinum]]</f>
        <v>159345</v>
      </c>
      <c r="BJ41" s="94">
        <f ca="1">TblProd[[#This Row],[Food]]</f>
        <v>84494</v>
      </c>
      <c r="BK41" s="94">
        <f ca="1">TblProd[[#This Row],[Lumber]]</f>
        <v>41396</v>
      </c>
      <c r="BL41" s="94">
        <f ca="1">TblProd[[#This Row],[Mana]]</f>
        <v>0</v>
      </c>
      <c r="BM41" s="94">
        <f ca="1">TblProd[[#This Row],[Ore]]</f>
        <v>0</v>
      </c>
    </row>
    <row r="42" spans="1:65" x14ac:dyDescent="0.2">
      <c r="A42" s="137">
        <v>39</v>
      </c>
      <c r="B42" s="152">
        <f ca="1">TblImps[[#This Row],[Time]]</f>
        <v>46321.583333333241</v>
      </c>
      <c r="C42" s="153"/>
      <c r="D42" s="154"/>
      <c r="E42" s="94">
        <f ca="1">TblConstr[[#This Row],[Land]]</f>
        <v>50</v>
      </c>
      <c r="F42" s="94">
        <f ca="1">TblPop[[#This Row],[Peasants]]</f>
        <v>322</v>
      </c>
      <c r="G42" s="94">
        <f ca="1">TblMili[[#This Row],[Networth (2)]]</f>
        <v>1250</v>
      </c>
      <c r="H42" s="94">
        <f ca="1">OFFSET(TblProd[[#This Row],[Platinum]],-1,0)+OFFSET(TblProd[[#This Row],[Plat/hr]],-1,0) - TblProd[[#This Row],[Expenses Platinum]] + IF(TblProd[[#This Row],[Plat Bonus]],TblPop[[#This Row],[Peasants]]*4) + SUM(TblConstr[[#This Row],[Dest Hom]:[Dest Doc]])*TblConstr[[#This Row],[CPA Platinum -DB]]*tech_3_3_2*TblTech[[#This Row],[3-3]]</f>
        <v>160222</v>
      </c>
      <c r="I42" s="94">
        <f ca="1">OFFSET(TblProd[[#This Row],[Food]],-1,0)+OFFSET(TblProd[[#This Row],[Food/hr]],-1,0)+ROUNDUP((TblConstr[[#This Row],[Farms]]*80+TblConstr[[#This Row],[Docks]]*35)*(1+OFFSET(TblProd[[#This Row],[Bonus Food/hr]],-1,0)),0)</f>
        <v>86037</v>
      </c>
      <c r="J42" s="94">
        <f ca="1">OFFSET(TblProd[[#This Row],[Lumber]],-1,0)+OFFSET(TblProd[[#This Row],[Lumber/hr]],-1,0) - TblProd[[#This Row],[Expenses Lumber]] + SUM(TblConstr[[#This Row],[Dest Hom]:[Dest Doc]])*TblConstr[[#This Row],[CPA Lumber -DB]]*tech_3_3_2*TblTech[[#This Row],[3-3]]</f>
        <v>41982</v>
      </c>
      <c r="K42" s="94">
        <f ca="1">OFFSET(TblProd[[#This Row],[Mana]],-1,0)+OFFSET(TblProd[[#This Row],[Mana/hr]],-1,0)- TblProd[[#This Row],[Expenses Mana]]</f>
        <v>0</v>
      </c>
      <c r="L42" s="94">
        <f ca="1">OFFSET(TblProd[[#This Row],[Ore]],-1,0)+OFFSET(TblProd[[#This Row],[Ore/hr]],-1,0) -TblProd[[#This Row],[Expenses Ore]]</f>
        <v>0</v>
      </c>
      <c r="M42" s="94">
        <f ca="1">OFFSET(TblProd[[#This Row],[Gems]],-1,0)+OFFSET(TblProd[[#This Row],[Gems/hr]],-1,0) - TblProd[[#This Row],[Expenses Gems]]</f>
        <v>0</v>
      </c>
      <c r="N42" s="94">
        <f ca="1">OFFSET(TblProd[[#This Row],[Boats]],-1,0)+OFFSET(TblProd[[#This Row],[Boats/hr]],-1,0)</f>
        <v>0</v>
      </c>
      <c r="O42" s="94">
        <f ca="1">OFFSET(TblProd[[#This Row],[Prestige]],-1,0)</f>
        <v>250</v>
      </c>
      <c r="P4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2" s="94">
        <f ca="1">MAX(_xlfn.CEILING.MATH(TblProd[[#This Row],[Land]]*2.5+IFERROR(OFFSET(TblTech[[#This Row],[Sum of tech]],-1,0)*50,0)),3750)</f>
        <v>3750</v>
      </c>
      <c r="R42" s="142"/>
      <c r="S42" s="94">
        <f ca="1">ROUNDDOWN(TblProd[[#This Row],[Raw Plat/hr]]*(1+TblProd[[#This Row],[Bonus Plat/hr]]),0)</f>
        <v>869</v>
      </c>
      <c r="T42" s="94">
        <f ca="1">ROUND(TblProd[[#This Row],[Raw Food/hr]]*(1+TblProd[[#This Row],[Bonus Food/hr]])-TblProd[[#This Row],[Food decay]]-TblProd[[#This Row],[Food eaten]],0)</f>
        <v>1527</v>
      </c>
      <c r="U42" s="94">
        <f ca="1">ROUND(TblProd[[#This Row],[Raw Lumber/hr]]*(1+TblProd[[#This Row],[Bonus Lumber/hr]])-TblProd[[#This Row],[Lumber rot]],0)</f>
        <v>580</v>
      </c>
      <c r="V42" s="94">
        <f ca="1">ROUND(TblProd[[#This Row],[Raw Mana/hr]]*(1+TblProd[[#This Row],[Bonus Mana/hr]])-TblProd[[#This Row],[Mana drain]],0)</f>
        <v>0</v>
      </c>
      <c r="W42" s="94">
        <f ca="1">ROUNDDOWN(TblProd[[#This Row],[Raw Ore/hr]]*(1+TblProd[[#This Row],[Bonux Ore/hr]]),0)</f>
        <v>0</v>
      </c>
      <c r="X42" s="94">
        <f ca="1">ROUNDDOWN(TblProd[[#This Row],[Raw Gems/hr]]*(1+TblProd[[#This Row],[Bonus Gems/hr]]),0)</f>
        <v>0</v>
      </c>
      <c r="Y42" s="155">
        <f ca="1">OFFSET(TblConstr[[#This Row],[Tot Doc]],1,0)*dock_boats_hr * (1 + tech_4_1*TblTech[[#This Row],[4-1]])</f>
        <v>0</v>
      </c>
      <c r="Z42" s="154"/>
      <c r="AA42" s="94">
        <f ca="1">TblPop[[#This Row],[Peasants]]*tax*TblPop[[#This Row],[Employment]] + (Construction!AZ43+Construction!BX43)*(alch_plat+(Magic!AN42&gt;0)*alchemist_flame_bonus)</f>
        <v>869.40000000000009</v>
      </c>
      <c r="AB42" s="94">
        <f ca="1">TblConstr[[#This Row],[Tot Farm]]*farm_food + TblConstr[[#This Row],[Tot Doc]]*dock_food</f>
        <v>2400</v>
      </c>
      <c r="AC42" s="94">
        <f ca="1">TblConstr[[#This Row],[Tot Ly]]*ly_lumber + TblConstr[[#This Row],[Tot Hav]]*fh_lumber + IF(race="Wood Elf",TblMili[[#This Row],[Unit 2]]*MIN(TblMili[[#This Row],[Homeland%]]/wisp_bonus,wisp_cap),0)</f>
        <v>1000</v>
      </c>
      <c r="AD42" s="94">
        <f ca="1">OFFSET(TblConstr[[#This Row],[Tot Tow]],1,0)*(tower_mana + tech_4_5*TblTech[[#This Row],[4-5]]) + OFFSET(TblConstr[[#This Row],[Tot WG]],1,0)*wg_mana_prod</f>
        <v>0</v>
      </c>
      <c r="AE42" s="94">
        <f ca="1">OFFSET(TblConstr[[#This Row],[Tot OM]],1,0)*om_ore+IF(race="Dwarf",TblMili[[#This Row],[Unit 2]]*0.5,0)</f>
        <v>0</v>
      </c>
      <c r="AF42" s="94">
        <f ca="1">OFFSET(TblConstr[[#This Row],[Tot DM]],1,0)*dm_gems</f>
        <v>0</v>
      </c>
      <c r="AG42" s="142"/>
      <c r="AH42" s="156">
        <f ca="1">MIN(race_platinum_bonus + IF(TblMagic[[#This Row],[Active Arc Infusion]]&gt;0,alch_frost_bonus,IF(Magic!AE42&gt;0,midas_bonus)) + TblImps[[#This Row],[Science]] - TblProd[[#This Row],[Guard]]*(0.02 + tech_5_7*TblTech[[#This Row],[5-7]]) + tech_1_5*TblTech[[#This Row],[1-5]] + tech_4_4*TblTech[[#This Row],[4-4]] + IF(TblMagic[[#This Row],[Active Infernal Command]]&gt;0,demonic_pact_plat,0), 0.5)</f>
        <v>0</v>
      </c>
      <c r="AI4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2" s="156">
        <f ca="1">race_lumber_bonus+ IF(TblMagic[[#This Row],[Active Gaia''s Blessing]]&gt;0,gaias_blessing_lumber)+ tech_1_3*TblTech[[#This Row],[1-3]] + tech_1_6*TblTech[[#This Row],[1-6]] + tech_3_3*TblTech[[#This Row],[3-3]]</f>
        <v>0</v>
      </c>
      <c r="AK42" s="156">
        <f ca="1">race_mana_bonus+ 0 + TblImps[[#This Row],[Spires]] + tech_1_2*TblTech[[#This Row],[1-2]] + tech_3_4*TblTech[[#This Row],[3-4]]</f>
        <v>0</v>
      </c>
      <c r="AL42" s="156">
        <f ca="1">race_ore_bonus + IF(TblMagic[[#This Row],[Active Miner''s Sight]]&gt;0,miners_sight_bonus,IF(TblMagic[[#This Row],[Active Mining Strength]]&gt;0,mining_strength_bonus)) +  tech_1_6*TblTech[[#This Row],[1-6]]</f>
        <v>0</v>
      </c>
      <c r="AM42" s="156">
        <f>race_gem_bonus+ tech_3_2*TblTech[[#This Row],[3-2]] + tech_4_3*TblTech[[#This Row],[4-3]] + tech_6_2*TblTech[[#This Row],[6-2]]</f>
        <v>0</v>
      </c>
      <c r="AN42" s="142"/>
      <c r="AO42" s="94">
        <f ca="1">TblProd[[#This Row],[Food]]*food_decay * (1 + tech_2_1*TblTech[[#This Row],[2-1]] + tech_2_8*TblTech[[#This Row],[2-8]] + IF(AND(TblMagic[[#This Row],[Active DnD]]&lt;12,TblMagic[[#This Row],[Active DnD]]&gt;5),1,0))</f>
        <v>860.37</v>
      </c>
      <c r="AP42" s="94">
        <f ca="1">(1+race_food_consumption)*TblPop[[#This Row],[Total]]*food_per_person*(1+tech_1_10*TblTech[[#This Row],[1-10]]+tech_7_5*TblTech[[#This Row],[7-5]] + IF(TblMagic[[#This Row],[Active Infernal Command]]&gt;0,demonic_pact_food_cons,0))</f>
        <v>192.25</v>
      </c>
      <c r="AQ42" s="94">
        <f ca="1">TblProd[[#This Row],[Lumber]]*lumber_rot * (1 + tech_2_1*TblTech[[#This Row],[2-1]] + tech_2_8*TblTech[[#This Row],[2-8]] + tech_5_2*TblTech[[#This Row],[5-2]] + IF(AND(TblMagic[[#This Row],[Active DnD]]&lt;12,TblMagic[[#This Row],[Active DnD]]&gt;5),1,0))</f>
        <v>419.82</v>
      </c>
      <c r="AR42" s="94">
        <f ca="1">TblProd[[#This Row],[Mana]]*mana_drain * (1 + tech_2_1*TblTech[[#This Row],[2-1]] + tech_2_8*TblTech[[#This Row],[2-8]])</f>
        <v>0</v>
      </c>
      <c r="AS42" s="154"/>
      <c r="AT42" s="94">
        <f ca="1">TblExplore[[#This Row],[Platinum (2)]]+TblConstr[[#This Row],[Total Plat Cost]]+TblMili[[#This Row],[Plat Cost]]+TblRezone[[#This Row],[Platinum cost]]+TblImps[[#This Row],[P1]]-TblProd[[#This Row],[Bank Plat]]</f>
        <v>0</v>
      </c>
      <c r="AU42" s="94">
        <f ca="1">TblConstr[[#This Row],[Total Lum Cost]]+TblImps[[#This Row],[L1]]-TblProd[[#This Row],[Bank Lumber]] + Military!$CO$25*TblMili[[#This Row],[Sec. rec. Cost]]</f>
        <v>0</v>
      </c>
      <c r="AV42" s="94">
        <f ca="1">TblMagic[[#This Row],[Mana cost]] + Military!$CO$26*TblMili[[#This Row],[Sec. rec. Cost]]</f>
        <v>0</v>
      </c>
      <c r="AW42" s="94">
        <f ca="1">Military!$CO$24*TblMili[[#This Row],[Sec. rec. Cost]]+TblImps[[#This Row],[O1]]-TblProd[[#This Row],[Bank Ore]]</f>
        <v>0</v>
      </c>
      <c r="AX42" s="94">
        <f>TblImps[[#This Row],[G1]]-TblProd[[#This Row],[Bank Gems]]</f>
        <v>0</v>
      </c>
      <c r="AY42" s="142"/>
      <c r="AZ42" s="61" t="b">
        <f ca="1">IF(TblProd[[#This Row],[Set Guard]]&lt;&gt;"",TblProd[[#This Row],[Set Guard]],OFFSET(TblProd[[#This Row],[Guard]],-1,0))</f>
        <v>0</v>
      </c>
      <c r="BA42" s="153"/>
      <c r="BB42" s="45">
        <f>TblProd[[#This Row],[Hour]]</f>
        <v>39</v>
      </c>
      <c r="BC42" s="158">
        <f>-TblProd[[#This Row],[Bank Lumber]] / 2 + -TblProd[[#This Row],[Bank Gems]] * 2 + -TblProd[[#This Row],[Bank Ore]] / 2</f>
        <v>0</v>
      </c>
      <c r="BD42" s="158"/>
      <c r="BE42" s="158"/>
      <c r="BF42" s="158"/>
      <c r="BG42" s="159">
        <f ca="1">TblProd[[#This Row],[Time]]</f>
        <v>46321.583333333241</v>
      </c>
      <c r="BH42" s="45"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94">
        <f ca="1">TblProd[[#This Row],[Platinum]]</f>
        <v>160222</v>
      </c>
      <c r="BJ42" s="94">
        <f ca="1">TblProd[[#This Row],[Food]]</f>
        <v>86037</v>
      </c>
      <c r="BK42" s="94">
        <f ca="1">TblProd[[#This Row],[Lumber]]</f>
        <v>41982</v>
      </c>
      <c r="BL42" s="94">
        <f ca="1">TblProd[[#This Row],[Mana]]</f>
        <v>0</v>
      </c>
      <c r="BM42" s="94">
        <f ca="1">TblProd[[#This Row],[Ore]]</f>
        <v>0</v>
      </c>
    </row>
    <row r="43" spans="1:65" x14ac:dyDescent="0.2">
      <c r="A43" s="137">
        <v>40</v>
      </c>
      <c r="B43" s="152">
        <f ca="1">TblImps[[#This Row],[Time]]</f>
        <v>46321.624999999905</v>
      </c>
      <c r="C43" s="153"/>
      <c r="D43" s="154"/>
      <c r="E43" s="94">
        <f ca="1">TblConstr[[#This Row],[Land]]</f>
        <v>50</v>
      </c>
      <c r="F43" s="94">
        <f ca="1">TblPop[[#This Row],[Peasants]]</f>
        <v>319</v>
      </c>
      <c r="G43" s="94">
        <f ca="1">TblMili[[#This Row],[Networth (2)]]</f>
        <v>1250</v>
      </c>
      <c r="H43" s="94">
        <f ca="1">OFFSET(TblProd[[#This Row],[Platinum]],-1,0)+OFFSET(TblProd[[#This Row],[Plat/hr]],-1,0) - TblProd[[#This Row],[Expenses Platinum]] + IF(TblProd[[#This Row],[Plat Bonus]],TblPop[[#This Row],[Peasants]]*4) + SUM(TblConstr[[#This Row],[Dest Hom]:[Dest Doc]])*TblConstr[[#This Row],[CPA Platinum -DB]]*tech_3_3_2*TblTech[[#This Row],[3-3]]</f>
        <v>161091</v>
      </c>
      <c r="I43" s="94">
        <f ca="1">OFFSET(TblProd[[#This Row],[Food]],-1,0)+OFFSET(TblProd[[#This Row],[Food/hr]],-1,0)+ROUNDUP((TblConstr[[#This Row],[Farms]]*80+TblConstr[[#This Row],[Docks]]*35)*(1+OFFSET(TblProd[[#This Row],[Bonus Food/hr]],-1,0)),0)</f>
        <v>87564</v>
      </c>
      <c r="J43" s="94">
        <f ca="1">OFFSET(TblProd[[#This Row],[Lumber]],-1,0)+OFFSET(TblProd[[#This Row],[Lumber/hr]],-1,0) - TblProd[[#This Row],[Expenses Lumber]] + SUM(TblConstr[[#This Row],[Dest Hom]:[Dest Doc]])*TblConstr[[#This Row],[CPA Lumber -DB]]*tech_3_3_2*TblTech[[#This Row],[3-3]]</f>
        <v>42562</v>
      </c>
      <c r="K43" s="94">
        <f ca="1">OFFSET(TblProd[[#This Row],[Mana]],-1,0)+OFFSET(TblProd[[#This Row],[Mana/hr]],-1,0)- TblProd[[#This Row],[Expenses Mana]]</f>
        <v>0</v>
      </c>
      <c r="L43" s="94">
        <f ca="1">OFFSET(TblProd[[#This Row],[Ore]],-1,0)+OFFSET(TblProd[[#This Row],[Ore/hr]],-1,0) -TblProd[[#This Row],[Expenses Ore]]</f>
        <v>0</v>
      </c>
      <c r="M43" s="94">
        <f ca="1">OFFSET(TblProd[[#This Row],[Gems]],-1,0)+OFFSET(TblProd[[#This Row],[Gems/hr]],-1,0) - TblProd[[#This Row],[Expenses Gems]]</f>
        <v>0</v>
      </c>
      <c r="N43" s="94">
        <f ca="1">OFFSET(TblProd[[#This Row],[Boats]],-1,0)+OFFSET(TblProd[[#This Row],[Boats/hr]],-1,0)</f>
        <v>0</v>
      </c>
      <c r="O43" s="94">
        <f ca="1">OFFSET(TblProd[[#This Row],[Prestige]],-1,0)</f>
        <v>250</v>
      </c>
      <c r="P4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3" s="94">
        <f ca="1">MAX(_xlfn.CEILING.MATH(TblProd[[#This Row],[Land]]*2.5+IFERROR(OFFSET(TblTech[[#This Row],[Sum of tech]],-1,0)*50,0)),3750)</f>
        <v>3750</v>
      </c>
      <c r="R43" s="142"/>
      <c r="S43" s="94">
        <f ca="1">ROUNDDOWN(TblProd[[#This Row],[Raw Plat/hr]]*(1+TblProd[[#This Row],[Bonus Plat/hr]]),0)</f>
        <v>861</v>
      </c>
      <c r="T43" s="94">
        <f ca="1">ROUND(TblProd[[#This Row],[Raw Food/hr]]*(1+TblProd[[#This Row],[Bonus Food/hr]])-TblProd[[#This Row],[Food decay]]-TblProd[[#This Row],[Food eaten]],0)</f>
        <v>1512</v>
      </c>
      <c r="U43" s="94">
        <f ca="1">ROUND(TblProd[[#This Row],[Raw Lumber/hr]]*(1+TblProd[[#This Row],[Bonus Lumber/hr]])-TblProd[[#This Row],[Lumber rot]],0)</f>
        <v>574</v>
      </c>
      <c r="V43" s="94">
        <f ca="1">ROUND(TblProd[[#This Row],[Raw Mana/hr]]*(1+TblProd[[#This Row],[Bonus Mana/hr]])-TblProd[[#This Row],[Mana drain]],0)</f>
        <v>0</v>
      </c>
      <c r="W43" s="94">
        <f ca="1">ROUNDDOWN(TblProd[[#This Row],[Raw Ore/hr]]*(1+TblProd[[#This Row],[Bonux Ore/hr]]),0)</f>
        <v>0</v>
      </c>
      <c r="X43" s="94">
        <f ca="1">ROUNDDOWN(TblProd[[#This Row],[Raw Gems/hr]]*(1+TblProd[[#This Row],[Bonus Gems/hr]]),0)</f>
        <v>0</v>
      </c>
      <c r="Y43" s="155">
        <f ca="1">OFFSET(TblConstr[[#This Row],[Tot Doc]],1,0)*dock_boats_hr * (1 + tech_4_1*TblTech[[#This Row],[4-1]])</f>
        <v>0</v>
      </c>
      <c r="Z43" s="154"/>
      <c r="AA43" s="94">
        <f ca="1">TblPop[[#This Row],[Peasants]]*tax*TblPop[[#This Row],[Employment]] + (Construction!AZ44+Construction!BX44)*(alch_plat+(Magic!AN43&gt;0)*alchemist_flame_bonus)</f>
        <v>861.30000000000007</v>
      </c>
      <c r="AB43" s="94">
        <f ca="1">TblConstr[[#This Row],[Tot Farm]]*farm_food + TblConstr[[#This Row],[Tot Doc]]*dock_food</f>
        <v>2400</v>
      </c>
      <c r="AC43" s="94">
        <f ca="1">TblConstr[[#This Row],[Tot Ly]]*ly_lumber + TblConstr[[#This Row],[Tot Hav]]*fh_lumber + IF(race="Wood Elf",TblMili[[#This Row],[Unit 2]]*MIN(TblMili[[#This Row],[Homeland%]]/wisp_bonus,wisp_cap),0)</f>
        <v>1000</v>
      </c>
      <c r="AD43" s="94">
        <f ca="1">OFFSET(TblConstr[[#This Row],[Tot Tow]],1,0)*(tower_mana + tech_4_5*TblTech[[#This Row],[4-5]]) + OFFSET(TblConstr[[#This Row],[Tot WG]],1,0)*wg_mana_prod</f>
        <v>0</v>
      </c>
      <c r="AE43" s="94">
        <f ca="1">OFFSET(TblConstr[[#This Row],[Tot OM]],1,0)*om_ore+IF(race="Dwarf",TblMili[[#This Row],[Unit 2]]*0.5,0)</f>
        <v>0</v>
      </c>
      <c r="AF43" s="94">
        <f ca="1">OFFSET(TblConstr[[#This Row],[Tot DM]],1,0)*dm_gems</f>
        <v>0</v>
      </c>
      <c r="AG43" s="142"/>
      <c r="AH43" s="156">
        <f ca="1">MIN(race_platinum_bonus + IF(TblMagic[[#This Row],[Active Arc Infusion]]&gt;0,alch_frost_bonus,IF(Magic!AE43&gt;0,midas_bonus)) + TblImps[[#This Row],[Science]] - TblProd[[#This Row],[Guard]]*(0.02 + tech_5_7*TblTech[[#This Row],[5-7]]) + tech_1_5*TblTech[[#This Row],[1-5]] + tech_4_4*TblTech[[#This Row],[4-4]] + IF(TblMagic[[#This Row],[Active Infernal Command]]&gt;0,demonic_pact_plat,0), 0.5)</f>
        <v>0</v>
      </c>
      <c r="AI4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3" s="156">
        <f ca="1">race_lumber_bonus+ IF(TblMagic[[#This Row],[Active Gaia''s Blessing]]&gt;0,gaias_blessing_lumber)+ tech_1_3*TblTech[[#This Row],[1-3]] + tech_1_6*TblTech[[#This Row],[1-6]] + tech_3_3*TblTech[[#This Row],[3-3]]</f>
        <v>0</v>
      </c>
      <c r="AK43" s="156">
        <f ca="1">race_mana_bonus+ 0 + TblImps[[#This Row],[Spires]] + tech_1_2*TblTech[[#This Row],[1-2]] + tech_3_4*TblTech[[#This Row],[3-4]]</f>
        <v>0</v>
      </c>
      <c r="AL43" s="156">
        <f ca="1">race_ore_bonus + IF(TblMagic[[#This Row],[Active Miner''s Sight]]&gt;0,miners_sight_bonus,IF(TblMagic[[#This Row],[Active Mining Strength]]&gt;0,mining_strength_bonus)) +  tech_1_6*TblTech[[#This Row],[1-6]]</f>
        <v>0</v>
      </c>
      <c r="AM43" s="156">
        <f>race_gem_bonus+ tech_3_2*TblTech[[#This Row],[3-2]] + tech_4_3*TblTech[[#This Row],[4-3]] + tech_6_2*TblTech[[#This Row],[6-2]]</f>
        <v>0</v>
      </c>
      <c r="AN43" s="142"/>
      <c r="AO43" s="94">
        <f ca="1">TblProd[[#This Row],[Food]]*food_decay * (1 + tech_2_1*TblTech[[#This Row],[2-1]] + tech_2_8*TblTech[[#This Row],[2-8]] + IF(AND(TblMagic[[#This Row],[Active DnD]]&lt;12,TblMagic[[#This Row],[Active DnD]]&gt;5),1,0))</f>
        <v>875.64</v>
      </c>
      <c r="AP43" s="94">
        <f ca="1">(1+race_food_consumption)*TblPop[[#This Row],[Total]]*food_per_person*(1+tech_1_10*TblTech[[#This Row],[1-10]]+tech_7_5*TblTech[[#This Row],[7-5]] + IF(TblMagic[[#This Row],[Active Infernal Command]]&gt;0,demonic_pact_food_cons,0))</f>
        <v>192.25</v>
      </c>
      <c r="AQ43" s="94">
        <f ca="1">TblProd[[#This Row],[Lumber]]*lumber_rot * (1 + tech_2_1*TblTech[[#This Row],[2-1]] + tech_2_8*TblTech[[#This Row],[2-8]] + tech_5_2*TblTech[[#This Row],[5-2]] + IF(AND(TblMagic[[#This Row],[Active DnD]]&lt;12,TblMagic[[#This Row],[Active DnD]]&gt;5),1,0))</f>
        <v>425.62</v>
      </c>
      <c r="AR43" s="94">
        <f ca="1">TblProd[[#This Row],[Mana]]*mana_drain * (1 + tech_2_1*TblTech[[#This Row],[2-1]] + tech_2_8*TblTech[[#This Row],[2-8]])</f>
        <v>0</v>
      </c>
      <c r="AS43" s="154"/>
      <c r="AT43" s="94">
        <f ca="1">TblExplore[[#This Row],[Platinum (2)]]+TblConstr[[#This Row],[Total Plat Cost]]+TblMili[[#This Row],[Plat Cost]]+TblRezone[[#This Row],[Platinum cost]]+TblImps[[#This Row],[P1]]-TblProd[[#This Row],[Bank Plat]]</f>
        <v>0</v>
      </c>
      <c r="AU43" s="94">
        <f ca="1">TblConstr[[#This Row],[Total Lum Cost]]+TblImps[[#This Row],[L1]]-TblProd[[#This Row],[Bank Lumber]] + Military!$CO$25*TblMili[[#This Row],[Sec. rec. Cost]]</f>
        <v>0</v>
      </c>
      <c r="AV43" s="94">
        <f ca="1">TblMagic[[#This Row],[Mana cost]] + Military!$CO$26*TblMili[[#This Row],[Sec. rec. Cost]]</f>
        <v>0</v>
      </c>
      <c r="AW43" s="94">
        <f ca="1">Military!$CO$24*TblMili[[#This Row],[Sec. rec. Cost]]+TblImps[[#This Row],[O1]]-TblProd[[#This Row],[Bank Ore]]</f>
        <v>0</v>
      </c>
      <c r="AX43" s="94">
        <f>TblImps[[#This Row],[G1]]-TblProd[[#This Row],[Bank Gems]]</f>
        <v>0</v>
      </c>
      <c r="AY43" s="142"/>
      <c r="AZ43" s="61" t="b">
        <f ca="1">IF(TblProd[[#This Row],[Set Guard]]&lt;&gt;"",TblProd[[#This Row],[Set Guard]],OFFSET(TblProd[[#This Row],[Guard]],-1,0))</f>
        <v>0</v>
      </c>
      <c r="BA43" s="153"/>
      <c r="BB43" s="45">
        <f>TblProd[[#This Row],[Hour]]</f>
        <v>40</v>
      </c>
      <c r="BC43" s="158">
        <f>-TblProd[[#This Row],[Bank Lumber]] / 2 + -TblProd[[#This Row],[Bank Gems]] * 2 + -TblProd[[#This Row],[Bank Ore]] / 2</f>
        <v>0</v>
      </c>
      <c r="BD43" s="158"/>
      <c r="BE43" s="158"/>
      <c r="BF43" s="158"/>
      <c r="BG43" s="159">
        <f ca="1">TblProd[[#This Row],[Time]]</f>
        <v>46321.624999999905</v>
      </c>
      <c r="BH43" s="45"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94">
        <f ca="1">TblProd[[#This Row],[Platinum]]</f>
        <v>161091</v>
      </c>
      <c r="BJ43" s="94">
        <f ca="1">TblProd[[#This Row],[Food]]</f>
        <v>87564</v>
      </c>
      <c r="BK43" s="94">
        <f ca="1">TblProd[[#This Row],[Lumber]]</f>
        <v>42562</v>
      </c>
      <c r="BL43" s="94">
        <f ca="1">TblProd[[#This Row],[Mana]]</f>
        <v>0</v>
      </c>
      <c r="BM43" s="94">
        <f ca="1">TblProd[[#This Row],[Ore]]</f>
        <v>0</v>
      </c>
    </row>
    <row r="44" spans="1:65" x14ac:dyDescent="0.2">
      <c r="A44" s="137">
        <v>41</v>
      </c>
      <c r="B44" s="152">
        <f ca="1">TblImps[[#This Row],[Time]]</f>
        <v>46321.66666666657</v>
      </c>
      <c r="C44" s="153"/>
      <c r="D44" s="154"/>
      <c r="E44" s="94">
        <f ca="1">TblConstr[[#This Row],[Land]]</f>
        <v>50</v>
      </c>
      <c r="F44" s="94">
        <f ca="1">TblPop[[#This Row],[Peasants]]</f>
        <v>316</v>
      </c>
      <c r="G44" s="94">
        <f ca="1">TblMili[[#This Row],[Networth (2)]]</f>
        <v>1250</v>
      </c>
      <c r="H44" s="94">
        <f ca="1">OFFSET(TblProd[[#This Row],[Platinum]],-1,0)+OFFSET(TblProd[[#This Row],[Plat/hr]],-1,0) - TblProd[[#This Row],[Expenses Platinum]] + IF(TblProd[[#This Row],[Plat Bonus]],TblPop[[#This Row],[Peasants]]*4) + SUM(TblConstr[[#This Row],[Dest Hom]:[Dest Doc]])*TblConstr[[#This Row],[CPA Platinum -DB]]*tech_3_3_2*TblTech[[#This Row],[3-3]]</f>
        <v>161952</v>
      </c>
      <c r="I44" s="94">
        <f ca="1">OFFSET(TblProd[[#This Row],[Food]],-1,0)+OFFSET(TblProd[[#This Row],[Food/hr]],-1,0)+ROUNDUP((TblConstr[[#This Row],[Farms]]*80+TblConstr[[#This Row],[Docks]]*35)*(1+OFFSET(TblProd[[#This Row],[Bonus Food/hr]],-1,0)),0)</f>
        <v>89076</v>
      </c>
      <c r="J44" s="94">
        <f ca="1">OFFSET(TblProd[[#This Row],[Lumber]],-1,0)+OFFSET(TblProd[[#This Row],[Lumber/hr]],-1,0) - TblProd[[#This Row],[Expenses Lumber]] + SUM(TblConstr[[#This Row],[Dest Hom]:[Dest Doc]])*TblConstr[[#This Row],[CPA Lumber -DB]]*tech_3_3_2*TblTech[[#This Row],[3-3]]</f>
        <v>43136</v>
      </c>
      <c r="K44" s="94">
        <f ca="1">OFFSET(TblProd[[#This Row],[Mana]],-1,0)+OFFSET(TblProd[[#This Row],[Mana/hr]],-1,0)- TblProd[[#This Row],[Expenses Mana]]</f>
        <v>0</v>
      </c>
      <c r="L44" s="94">
        <f ca="1">OFFSET(TblProd[[#This Row],[Ore]],-1,0)+OFFSET(TblProd[[#This Row],[Ore/hr]],-1,0) -TblProd[[#This Row],[Expenses Ore]]</f>
        <v>0</v>
      </c>
      <c r="M44" s="94">
        <f ca="1">OFFSET(TblProd[[#This Row],[Gems]],-1,0)+OFFSET(TblProd[[#This Row],[Gems/hr]],-1,0) - TblProd[[#This Row],[Expenses Gems]]</f>
        <v>0</v>
      </c>
      <c r="N44" s="94">
        <f ca="1">OFFSET(TblProd[[#This Row],[Boats]],-1,0)+OFFSET(TblProd[[#This Row],[Boats/hr]],-1,0)</f>
        <v>0</v>
      </c>
      <c r="O44" s="94">
        <f ca="1">OFFSET(TblProd[[#This Row],[Prestige]],-1,0)</f>
        <v>250</v>
      </c>
      <c r="P4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4" s="94">
        <f ca="1">MAX(_xlfn.CEILING.MATH(TblProd[[#This Row],[Land]]*2.5+IFERROR(OFFSET(TblTech[[#This Row],[Sum of tech]],-1,0)*50,0)),3750)</f>
        <v>3750</v>
      </c>
      <c r="R44" s="142"/>
      <c r="S44" s="94">
        <f ca="1">ROUNDDOWN(TblProd[[#This Row],[Raw Plat/hr]]*(1+TblProd[[#This Row],[Bonus Plat/hr]]),0)</f>
        <v>853</v>
      </c>
      <c r="T44" s="94">
        <f ca="1">ROUND(TblProd[[#This Row],[Raw Food/hr]]*(1+TblProd[[#This Row],[Bonus Food/hr]])-TblProd[[#This Row],[Food decay]]-TblProd[[#This Row],[Food eaten]],0)</f>
        <v>1497</v>
      </c>
      <c r="U44" s="94">
        <f ca="1">ROUND(TblProd[[#This Row],[Raw Lumber/hr]]*(1+TblProd[[#This Row],[Bonus Lumber/hr]])-TblProd[[#This Row],[Lumber rot]],0)</f>
        <v>569</v>
      </c>
      <c r="V44" s="94">
        <f ca="1">ROUND(TblProd[[#This Row],[Raw Mana/hr]]*(1+TblProd[[#This Row],[Bonus Mana/hr]])-TblProd[[#This Row],[Mana drain]],0)</f>
        <v>0</v>
      </c>
      <c r="W44" s="94">
        <f ca="1">ROUNDDOWN(TblProd[[#This Row],[Raw Ore/hr]]*(1+TblProd[[#This Row],[Bonux Ore/hr]]),0)</f>
        <v>0</v>
      </c>
      <c r="X44" s="94">
        <f ca="1">ROUNDDOWN(TblProd[[#This Row],[Raw Gems/hr]]*(1+TblProd[[#This Row],[Bonus Gems/hr]]),0)</f>
        <v>0</v>
      </c>
      <c r="Y44" s="155">
        <f ca="1">OFFSET(TblConstr[[#This Row],[Tot Doc]],1,0)*dock_boats_hr * (1 + tech_4_1*TblTech[[#This Row],[4-1]])</f>
        <v>0</v>
      </c>
      <c r="Z44" s="154"/>
      <c r="AA44" s="94">
        <f ca="1">TblPop[[#This Row],[Peasants]]*tax*TblPop[[#This Row],[Employment]] + (Construction!AZ45+Construction!BX45)*(alch_plat+(Magic!AN44&gt;0)*alchemist_flame_bonus)</f>
        <v>853.2</v>
      </c>
      <c r="AB44" s="94">
        <f ca="1">TblConstr[[#This Row],[Tot Farm]]*farm_food + TblConstr[[#This Row],[Tot Doc]]*dock_food</f>
        <v>2400</v>
      </c>
      <c r="AC44" s="94">
        <f ca="1">TblConstr[[#This Row],[Tot Ly]]*ly_lumber + TblConstr[[#This Row],[Tot Hav]]*fh_lumber + IF(race="Wood Elf",TblMili[[#This Row],[Unit 2]]*MIN(TblMili[[#This Row],[Homeland%]]/wisp_bonus,wisp_cap),0)</f>
        <v>1000</v>
      </c>
      <c r="AD44" s="94">
        <f ca="1">OFFSET(TblConstr[[#This Row],[Tot Tow]],1,0)*(tower_mana + tech_4_5*TblTech[[#This Row],[4-5]]) + OFFSET(TblConstr[[#This Row],[Tot WG]],1,0)*wg_mana_prod</f>
        <v>0</v>
      </c>
      <c r="AE44" s="94">
        <f ca="1">OFFSET(TblConstr[[#This Row],[Tot OM]],1,0)*om_ore+IF(race="Dwarf",TblMili[[#This Row],[Unit 2]]*0.5,0)</f>
        <v>0</v>
      </c>
      <c r="AF44" s="94">
        <f ca="1">OFFSET(TblConstr[[#This Row],[Tot DM]],1,0)*dm_gems</f>
        <v>0</v>
      </c>
      <c r="AG44" s="142"/>
      <c r="AH44" s="156">
        <f ca="1">MIN(race_platinum_bonus + IF(TblMagic[[#This Row],[Active Arc Infusion]]&gt;0,alch_frost_bonus,IF(Magic!AE44&gt;0,midas_bonus)) + TblImps[[#This Row],[Science]] - TblProd[[#This Row],[Guard]]*(0.02 + tech_5_7*TblTech[[#This Row],[5-7]]) + tech_1_5*TblTech[[#This Row],[1-5]] + tech_4_4*TblTech[[#This Row],[4-4]] + IF(TblMagic[[#This Row],[Active Infernal Command]]&gt;0,demonic_pact_plat,0), 0.5)</f>
        <v>0</v>
      </c>
      <c r="AI4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4" s="156">
        <f ca="1">race_lumber_bonus+ IF(TblMagic[[#This Row],[Active Gaia''s Blessing]]&gt;0,gaias_blessing_lumber)+ tech_1_3*TblTech[[#This Row],[1-3]] + tech_1_6*TblTech[[#This Row],[1-6]] + tech_3_3*TblTech[[#This Row],[3-3]]</f>
        <v>0</v>
      </c>
      <c r="AK44" s="156">
        <f ca="1">race_mana_bonus+ 0 + TblImps[[#This Row],[Spires]] + tech_1_2*TblTech[[#This Row],[1-2]] + tech_3_4*TblTech[[#This Row],[3-4]]</f>
        <v>0</v>
      </c>
      <c r="AL44" s="156">
        <f ca="1">race_ore_bonus + IF(TblMagic[[#This Row],[Active Miner''s Sight]]&gt;0,miners_sight_bonus,IF(TblMagic[[#This Row],[Active Mining Strength]]&gt;0,mining_strength_bonus)) +  tech_1_6*TblTech[[#This Row],[1-6]]</f>
        <v>0</v>
      </c>
      <c r="AM44" s="156">
        <f>race_gem_bonus+ tech_3_2*TblTech[[#This Row],[3-2]] + tech_4_3*TblTech[[#This Row],[4-3]] + tech_6_2*TblTech[[#This Row],[6-2]]</f>
        <v>0</v>
      </c>
      <c r="AN44" s="142"/>
      <c r="AO44" s="94">
        <f ca="1">TblProd[[#This Row],[Food]]*food_decay * (1 + tech_2_1*TblTech[[#This Row],[2-1]] + tech_2_8*TblTech[[#This Row],[2-8]] + IF(AND(TblMagic[[#This Row],[Active DnD]]&lt;12,TblMagic[[#This Row],[Active DnD]]&gt;5),1,0))</f>
        <v>890.76</v>
      </c>
      <c r="AP44" s="94">
        <f ca="1">(1+race_food_consumption)*TblPop[[#This Row],[Total]]*food_per_person*(1+tech_1_10*TblTech[[#This Row],[1-10]]+tech_7_5*TblTech[[#This Row],[7-5]] + IF(TblMagic[[#This Row],[Active Infernal Command]]&gt;0,demonic_pact_food_cons,0))</f>
        <v>192.25</v>
      </c>
      <c r="AQ44" s="94">
        <f ca="1">TblProd[[#This Row],[Lumber]]*lumber_rot * (1 + tech_2_1*TblTech[[#This Row],[2-1]] + tech_2_8*TblTech[[#This Row],[2-8]] + tech_5_2*TblTech[[#This Row],[5-2]] + IF(AND(TblMagic[[#This Row],[Active DnD]]&lt;12,TblMagic[[#This Row],[Active DnD]]&gt;5),1,0))</f>
        <v>431.36</v>
      </c>
      <c r="AR44" s="94">
        <f ca="1">TblProd[[#This Row],[Mana]]*mana_drain * (1 + tech_2_1*TblTech[[#This Row],[2-1]] + tech_2_8*TblTech[[#This Row],[2-8]])</f>
        <v>0</v>
      </c>
      <c r="AS44" s="154"/>
      <c r="AT44" s="94">
        <f ca="1">TblExplore[[#This Row],[Platinum (2)]]+TblConstr[[#This Row],[Total Plat Cost]]+TblMili[[#This Row],[Plat Cost]]+TblRezone[[#This Row],[Platinum cost]]+TblImps[[#This Row],[P1]]-TblProd[[#This Row],[Bank Plat]]</f>
        <v>0</v>
      </c>
      <c r="AU44" s="94">
        <f ca="1">TblConstr[[#This Row],[Total Lum Cost]]+TblImps[[#This Row],[L1]]-TblProd[[#This Row],[Bank Lumber]] + Military!$CO$25*TblMili[[#This Row],[Sec. rec. Cost]]</f>
        <v>0</v>
      </c>
      <c r="AV44" s="94">
        <f ca="1">TblMagic[[#This Row],[Mana cost]] + Military!$CO$26*TblMili[[#This Row],[Sec. rec. Cost]]</f>
        <v>0</v>
      </c>
      <c r="AW44" s="94">
        <f ca="1">Military!$CO$24*TblMili[[#This Row],[Sec. rec. Cost]]+TblImps[[#This Row],[O1]]-TblProd[[#This Row],[Bank Ore]]</f>
        <v>0</v>
      </c>
      <c r="AX44" s="94">
        <f>TblImps[[#This Row],[G1]]-TblProd[[#This Row],[Bank Gems]]</f>
        <v>0</v>
      </c>
      <c r="AY44" s="142"/>
      <c r="AZ44" s="61" t="b">
        <f ca="1">IF(TblProd[[#This Row],[Set Guard]]&lt;&gt;"",TblProd[[#This Row],[Set Guard]],OFFSET(TblProd[[#This Row],[Guard]],-1,0))</f>
        <v>0</v>
      </c>
      <c r="BA44" s="153"/>
      <c r="BB44" s="45">
        <f>TblProd[[#This Row],[Hour]]</f>
        <v>41</v>
      </c>
      <c r="BC44" s="158">
        <f>-TblProd[[#This Row],[Bank Lumber]] / 2 + -TblProd[[#This Row],[Bank Gems]] * 2 + -TblProd[[#This Row],[Bank Ore]] / 2</f>
        <v>0</v>
      </c>
      <c r="BD44" s="158"/>
      <c r="BE44" s="158"/>
      <c r="BF44" s="158"/>
      <c r="BG44" s="159">
        <f ca="1">TblProd[[#This Row],[Time]]</f>
        <v>46321.66666666657</v>
      </c>
      <c r="BH44" s="45"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94">
        <f ca="1">TblProd[[#This Row],[Platinum]]</f>
        <v>161952</v>
      </c>
      <c r="BJ44" s="94">
        <f ca="1">TblProd[[#This Row],[Food]]</f>
        <v>89076</v>
      </c>
      <c r="BK44" s="94">
        <f ca="1">TblProd[[#This Row],[Lumber]]</f>
        <v>43136</v>
      </c>
      <c r="BL44" s="94">
        <f ca="1">TblProd[[#This Row],[Mana]]</f>
        <v>0</v>
      </c>
      <c r="BM44" s="94">
        <f ca="1">TblProd[[#This Row],[Ore]]</f>
        <v>0</v>
      </c>
    </row>
    <row r="45" spans="1:65" x14ac:dyDescent="0.2">
      <c r="A45" s="137">
        <v>42</v>
      </c>
      <c r="B45" s="152">
        <f ca="1">TblImps[[#This Row],[Time]]</f>
        <v>46321.708333333234</v>
      </c>
      <c r="C45" s="153"/>
      <c r="D45" s="154"/>
      <c r="E45" s="94">
        <f ca="1">TblConstr[[#This Row],[Land]]</f>
        <v>50</v>
      </c>
      <c r="F45" s="94">
        <f ca="1">TblPop[[#This Row],[Peasants]]</f>
        <v>313</v>
      </c>
      <c r="G45" s="94">
        <f ca="1">TblMili[[#This Row],[Networth (2)]]</f>
        <v>1250</v>
      </c>
      <c r="H45" s="94">
        <f ca="1">OFFSET(TblProd[[#This Row],[Platinum]],-1,0)+OFFSET(TblProd[[#This Row],[Plat/hr]],-1,0) - TblProd[[#This Row],[Expenses Platinum]] + IF(TblProd[[#This Row],[Plat Bonus]],TblPop[[#This Row],[Peasants]]*4) + SUM(TblConstr[[#This Row],[Dest Hom]:[Dest Doc]])*TblConstr[[#This Row],[CPA Platinum -DB]]*tech_3_3_2*TblTech[[#This Row],[3-3]]</f>
        <v>162805</v>
      </c>
      <c r="I45" s="94">
        <f ca="1">OFFSET(TblProd[[#This Row],[Food]],-1,0)+OFFSET(TblProd[[#This Row],[Food/hr]],-1,0)+ROUNDUP((TblConstr[[#This Row],[Farms]]*80+TblConstr[[#This Row],[Docks]]*35)*(1+OFFSET(TblProd[[#This Row],[Bonus Food/hr]],-1,0)),0)</f>
        <v>90573</v>
      </c>
      <c r="J45" s="94">
        <f ca="1">OFFSET(TblProd[[#This Row],[Lumber]],-1,0)+OFFSET(TblProd[[#This Row],[Lumber/hr]],-1,0) - TblProd[[#This Row],[Expenses Lumber]] + SUM(TblConstr[[#This Row],[Dest Hom]:[Dest Doc]])*TblConstr[[#This Row],[CPA Lumber -DB]]*tech_3_3_2*TblTech[[#This Row],[3-3]]</f>
        <v>43705</v>
      </c>
      <c r="K45" s="94">
        <f ca="1">OFFSET(TblProd[[#This Row],[Mana]],-1,0)+OFFSET(TblProd[[#This Row],[Mana/hr]],-1,0)- TblProd[[#This Row],[Expenses Mana]]</f>
        <v>0</v>
      </c>
      <c r="L45" s="94">
        <f ca="1">OFFSET(TblProd[[#This Row],[Ore]],-1,0)+OFFSET(TblProd[[#This Row],[Ore/hr]],-1,0) -TblProd[[#This Row],[Expenses Ore]]</f>
        <v>0</v>
      </c>
      <c r="M45" s="94">
        <f ca="1">OFFSET(TblProd[[#This Row],[Gems]],-1,0)+OFFSET(TblProd[[#This Row],[Gems/hr]],-1,0) - TblProd[[#This Row],[Expenses Gems]]</f>
        <v>0</v>
      </c>
      <c r="N45" s="94">
        <f ca="1">OFFSET(TblProd[[#This Row],[Boats]],-1,0)+OFFSET(TblProd[[#This Row],[Boats/hr]],-1,0)</f>
        <v>0</v>
      </c>
      <c r="O45" s="94">
        <f ca="1">OFFSET(TblProd[[#This Row],[Prestige]],-1,0)</f>
        <v>250</v>
      </c>
      <c r="P4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5" s="94">
        <f ca="1">MAX(_xlfn.CEILING.MATH(TblProd[[#This Row],[Land]]*2.5+IFERROR(OFFSET(TblTech[[#This Row],[Sum of tech]],-1,0)*50,0)),3750)</f>
        <v>3750</v>
      </c>
      <c r="R45" s="142"/>
      <c r="S45" s="94">
        <f ca="1">ROUNDDOWN(TblProd[[#This Row],[Raw Plat/hr]]*(1+TblProd[[#This Row],[Bonus Plat/hr]]),0)</f>
        <v>845</v>
      </c>
      <c r="T45" s="94">
        <f ca="1">ROUND(TblProd[[#This Row],[Raw Food/hr]]*(1+TblProd[[#This Row],[Bonus Food/hr]])-TblProd[[#This Row],[Food decay]]-TblProd[[#This Row],[Food eaten]],0)</f>
        <v>1482</v>
      </c>
      <c r="U45" s="94">
        <f ca="1">ROUND(TblProd[[#This Row],[Raw Lumber/hr]]*(1+TblProd[[#This Row],[Bonus Lumber/hr]])-TblProd[[#This Row],[Lumber rot]],0)</f>
        <v>563</v>
      </c>
      <c r="V45" s="94">
        <f ca="1">ROUND(TblProd[[#This Row],[Raw Mana/hr]]*(1+TblProd[[#This Row],[Bonus Mana/hr]])-TblProd[[#This Row],[Mana drain]],0)</f>
        <v>0</v>
      </c>
      <c r="W45" s="94">
        <f ca="1">ROUNDDOWN(TblProd[[#This Row],[Raw Ore/hr]]*(1+TblProd[[#This Row],[Bonux Ore/hr]]),0)</f>
        <v>0</v>
      </c>
      <c r="X45" s="94">
        <f ca="1">ROUNDDOWN(TblProd[[#This Row],[Raw Gems/hr]]*(1+TblProd[[#This Row],[Bonus Gems/hr]]),0)</f>
        <v>0</v>
      </c>
      <c r="Y45" s="155">
        <f ca="1">OFFSET(TblConstr[[#This Row],[Tot Doc]],1,0)*dock_boats_hr * (1 + tech_4_1*TblTech[[#This Row],[4-1]])</f>
        <v>0</v>
      </c>
      <c r="Z45" s="154"/>
      <c r="AA45" s="94">
        <f ca="1">TblPop[[#This Row],[Peasants]]*tax*TblPop[[#This Row],[Employment]] + (Construction!AZ46+Construction!BX46)*(alch_plat+(Magic!AN45&gt;0)*alchemist_flame_bonus)</f>
        <v>845.1</v>
      </c>
      <c r="AB45" s="94">
        <f ca="1">TblConstr[[#This Row],[Tot Farm]]*farm_food + TblConstr[[#This Row],[Tot Doc]]*dock_food</f>
        <v>2400</v>
      </c>
      <c r="AC45" s="94">
        <f ca="1">TblConstr[[#This Row],[Tot Ly]]*ly_lumber + TblConstr[[#This Row],[Tot Hav]]*fh_lumber + IF(race="Wood Elf",TblMili[[#This Row],[Unit 2]]*MIN(TblMili[[#This Row],[Homeland%]]/wisp_bonus,wisp_cap),0)</f>
        <v>1000</v>
      </c>
      <c r="AD45" s="94">
        <f ca="1">OFFSET(TblConstr[[#This Row],[Tot Tow]],1,0)*(tower_mana + tech_4_5*TblTech[[#This Row],[4-5]]) + OFFSET(TblConstr[[#This Row],[Tot WG]],1,0)*wg_mana_prod</f>
        <v>0</v>
      </c>
      <c r="AE45" s="94">
        <f ca="1">OFFSET(TblConstr[[#This Row],[Tot OM]],1,0)*om_ore+IF(race="Dwarf",TblMili[[#This Row],[Unit 2]]*0.5,0)</f>
        <v>0</v>
      </c>
      <c r="AF45" s="94">
        <f ca="1">OFFSET(TblConstr[[#This Row],[Tot DM]],1,0)*dm_gems</f>
        <v>0</v>
      </c>
      <c r="AG45" s="142"/>
      <c r="AH45" s="156">
        <f ca="1">MIN(race_platinum_bonus + IF(TblMagic[[#This Row],[Active Arc Infusion]]&gt;0,alch_frost_bonus,IF(Magic!AE45&gt;0,midas_bonus)) + TblImps[[#This Row],[Science]] - TblProd[[#This Row],[Guard]]*(0.02 + tech_5_7*TblTech[[#This Row],[5-7]]) + tech_1_5*TblTech[[#This Row],[1-5]] + tech_4_4*TblTech[[#This Row],[4-4]] + IF(TblMagic[[#This Row],[Active Infernal Command]]&gt;0,demonic_pact_plat,0), 0.5)</f>
        <v>0</v>
      </c>
      <c r="AI4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5" s="156">
        <f ca="1">race_lumber_bonus+ IF(TblMagic[[#This Row],[Active Gaia''s Blessing]]&gt;0,gaias_blessing_lumber)+ tech_1_3*TblTech[[#This Row],[1-3]] + tech_1_6*TblTech[[#This Row],[1-6]] + tech_3_3*TblTech[[#This Row],[3-3]]</f>
        <v>0</v>
      </c>
      <c r="AK45" s="156">
        <f ca="1">race_mana_bonus+ 0 + TblImps[[#This Row],[Spires]] + tech_1_2*TblTech[[#This Row],[1-2]] + tech_3_4*TblTech[[#This Row],[3-4]]</f>
        <v>0</v>
      </c>
      <c r="AL45" s="156">
        <f ca="1">race_ore_bonus + IF(TblMagic[[#This Row],[Active Miner''s Sight]]&gt;0,miners_sight_bonus,IF(TblMagic[[#This Row],[Active Mining Strength]]&gt;0,mining_strength_bonus)) +  tech_1_6*TblTech[[#This Row],[1-6]]</f>
        <v>0</v>
      </c>
      <c r="AM45" s="156">
        <f>race_gem_bonus+ tech_3_2*TblTech[[#This Row],[3-2]] + tech_4_3*TblTech[[#This Row],[4-3]] + tech_6_2*TblTech[[#This Row],[6-2]]</f>
        <v>0</v>
      </c>
      <c r="AN45" s="142"/>
      <c r="AO45" s="94">
        <f ca="1">TblProd[[#This Row],[Food]]*food_decay * (1 + tech_2_1*TblTech[[#This Row],[2-1]] + tech_2_8*TblTech[[#This Row],[2-8]] + IF(AND(TblMagic[[#This Row],[Active DnD]]&lt;12,TblMagic[[#This Row],[Active DnD]]&gt;5),1,0))</f>
        <v>905.73</v>
      </c>
      <c r="AP45" s="94">
        <f ca="1">(1+race_food_consumption)*TblPop[[#This Row],[Total]]*food_per_person*(1+tech_1_10*TblTech[[#This Row],[1-10]]+tech_7_5*TblTech[[#This Row],[7-5]] + IF(TblMagic[[#This Row],[Active Infernal Command]]&gt;0,demonic_pact_food_cons,0))</f>
        <v>192.25</v>
      </c>
      <c r="AQ45" s="94">
        <f ca="1">TblProd[[#This Row],[Lumber]]*lumber_rot * (1 + tech_2_1*TblTech[[#This Row],[2-1]] + tech_2_8*TblTech[[#This Row],[2-8]] + tech_5_2*TblTech[[#This Row],[5-2]] + IF(AND(TblMagic[[#This Row],[Active DnD]]&lt;12,TblMagic[[#This Row],[Active DnD]]&gt;5),1,0))</f>
        <v>437.05</v>
      </c>
      <c r="AR45" s="94">
        <f ca="1">TblProd[[#This Row],[Mana]]*mana_drain * (1 + tech_2_1*TblTech[[#This Row],[2-1]] + tech_2_8*TblTech[[#This Row],[2-8]])</f>
        <v>0</v>
      </c>
      <c r="AS45" s="154"/>
      <c r="AT45" s="94">
        <f ca="1">TblExplore[[#This Row],[Platinum (2)]]+TblConstr[[#This Row],[Total Plat Cost]]+TblMili[[#This Row],[Plat Cost]]+TblRezone[[#This Row],[Platinum cost]]+TblImps[[#This Row],[P1]]-TblProd[[#This Row],[Bank Plat]]</f>
        <v>0</v>
      </c>
      <c r="AU45" s="94">
        <f ca="1">TblConstr[[#This Row],[Total Lum Cost]]+TblImps[[#This Row],[L1]]-TblProd[[#This Row],[Bank Lumber]] + Military!$CO$25*TblMili[[#This Row],[Sec. rec. Cost]]</f>
        <v>0</v>
      </c>
      <c r="AV45" s="94">
        <f ca="1">TblMagic[[#This Row],[Mana cost]] + Military!$CO$26*TblMili[[#This Row],[Sec. rec. Cost]]</f>
        <v>0</v>
      </c>
      <c r="AW45" s="94">
        <f ca="1">Military!$CO$24*TblMili[[#This Row],[Sec. rec. Cost]]+TblImps[[#This Row],[O1]]-TblProd[[#This Row],[Bank Ore]]</f>
        <v>0</v>
      </c>
      <c r="AX45" s="94">
        <f>TblImps[[#This Row],[G1]]-TblProd[[#This Row],[Bank Gems]]</f>
        <v>0</v>
      </c>
      <c r="AY45" s="142"/>
      <c r="AZ45" s="61" t="b">
        <f ca="1">IF(TblProd[[#This Row],[Set Guard]]&lt;&gt;"",TblProd[[#This Row],[Set Guard]],OFFSET(TblProd[[#This Row],[Guard]],-1,0))</f>
        <v>0</v>
      </c>
      <c r="BA45" s="153"/>
      <c r="BB45" s="45">
        <f>TblProd[[#This Row],[Hour]]</f>
        <v>42</v>
      </c>
      <c r="BC45" s="158">
        <f>-TblProd[[#This Row],[Bank Lumber]] / 2 + -TblProd[[#This Row],[Bank Gems]] * 2 + -TblProd[[#This Row],[Bank Ore]] / 2</f>
        <v>0</v>
      </c>
      <c r="BD45" s="158"/>
      <c r="BE45" s="158"/>
      <c r="BF45" s="158"/>
      <c r="BG45" s="159">
        <f ca="1">TblProd[[#This Row],[Time]]</f>
        <v>46321.708333333234</v>
      </c>
      <c r="BH45" s="45"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94">
        <f ca="1">TblProd[[#This Row],[Platinum]]</f>
        <v>162805</v>
      </c>
      <c r="BJ45" s="94">
        <f ca="1">TblProd[[#This Row],[Food]]</f>
        <v>90573</v>
      </c>
      <c r="BK45" s="94">
        <f ca="1">TblProd[[#This Row],[Lumber]]</f>
        <v>43705</v>
      </c>
      <c r="BL45" s="94">
        <f ca="1">TblProd[[#This Row],[Mana]]</f>
        <v>0</v>
      </c>
      <c r="BM45" s="94">
        <f ca="1">TblProd[[#This Row],[Ore]]</f>
        <v>0</v>
      </c>
    </row>
    <row r="46" spans="1:65" x14ac:dyDescent="0.2">
      <c r="A46" s="137">
        <v>43</v>
      </c>
      <c r="B46" s="152">
        <f ca="1">TblImps[[#This Row],[Time]]</f>
        <v>46321.749999999898</v>
      </c>
      <c r="C46" s="153"/>
      <c r="D46" s="154"/>
      <c r="E46" s="94">
        <f ca="1">TblConstr[[#This Row],[Land]]</f>
        <v>50</v>
      </c>
      <c r="F46" s="94">
        <f ca="1">TblPop[[#This Row],[Peasants]]</f>
        <v>310</v>
      </c>
      <c r="G46" s="94">
        <f ca="1">TblMili[[#This Row],[Networth (2)]]</f>
        <v>1250</v>
      </c>
      <c r="H46" s="94">
        <f ca="1">OFFSET(TblProd[[#This Row],[Platinum]],-1,0)+OFFSET(TblProd[[#This Row],[Plat/hr]],-1,0) - TblProd[[#This Row],[Expenses Platinum]] + IF(TblProd[[#This Row],[Plat Bonus]],TblPop[[#This Row],[Peasants]]*4) + SUM(TblConstr[[#This Row],[Dest Hom]:[Dest Doc]])*TblConstr[[#This Row],[CPA Platinum -DB]]*tech_3_3_2*TblTech[[#This Row],[3-3]]</f>
        <v>163650</v>
      </c>
      <c r="I46" s="94">
        <f ca="1">OFFSET(TblProd[[#This Row],[Food]],-1,0)+OFFSET(TblProd[[#This Row],[Food/hr]],-1,0)+ROUNDUP((TblConstr[[#This Row],[Farms]]*80+TblConstr[[#This Row],[Docks]]*35)*(1+OFFSET(TblProd[[#This Row],[Bonus Food/hr]],-1,0)),0)</f>
        <v>92055</v>
      </c>
      <c r="J46" s="94">
        <f ca="1">OFFSET(TblProd[[#This Row],[Lumber]],-1,0)+OFFSET(TblProd[[#This Row],[Lumber/hr]],-1,0) - TblProd[[#This Row],[Expenses Lumber]] + SUM(TblConstr[[#This Row],[Dest Hom]:[Dest Doc]])*TblConstr[[#This Row],[CPA Lumber -DB]]*tech_3_3_2*TblTech[[#This Row],[3-3]]</f>
        <v>44268</v>
      </c>
      <c r="K46" s="94">
        <f ca="1">OFFSET(TblProd[[#This Row],[Mana]],-1,0)+OFFSET(TblProd[[#This Row],[Mana/hr]],-1,0)- TblProd[[#This Row],[Expenses Mana]]</f>
        <v>0</v>
      </c>
      <c r="L46" s="94">
        <f ca="1">OFFSET(TblProd[[#This Row],[Ore]],-1,0)+OFFSET(TblProd[[#This Row],[Ore/hr]],-1,0) -TblProd[[#This Row],[Expenses Ore]]</f>
        <v>0</v>
      </c>
      <c r="M46" s="94">
        <f ca="1">OFFSET(TblProd[[#This Row],[Gems]],-1,0)+OFFSET(TblProd[[#This Row],[Gems/hr]],-1,0) - TblProd[[#This Row],[Expenses Gems]]</f>
        <v>0</v>
      </c>
      <c r="N46" s="94">
        <f ca="1">OFFSET(TblProd[[#This Row],[Boats]],-1,0)+OFFSET(TblProd[[#This Row],[Boats/hr]],-1,0)</f>
        <v>0</v>
      </c>
      <c r="O46" s="94">
        <f ca="1">OFFSET(TblProd[[#This Row],[Prestige]],-1,0)</f>
        <v>250</v>
      </c>
      <c r="P4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6" s="94">
        <f ca="1">MAX(_xlfn.CEILING.MATH(TblProd[[#This Row],[Land]]*2.5+IFERROR(OFFSET(TblTech[[#This Row],[Sum of tech]],-1,0)*50,0)),3750)</f>
        <v>3750</v>
      </c>
      <c r="R46" s="142"/>
      <c r="S46" s="94">
        <f ca="1">ROUNDDOWN(TblProd[[#This Row],[Raw Plat/hr]]*(1+TblProd[[#This Row],[Bonus Plat/hr]]),0)</f>
        <v>837</v>
      </c>
      <c r="T46" s="94">
        <f ca="1">ROUND(TblProd[[#This Row],[Raw Food/hr]]*(1+TblProd[[#This Row],[Bonus Food/hr]])-TblProd[[#This Row],[Food decay]]-TblProd[[#This Row],[Food eaten]],0)</f>
        <v>1467</v>
      </c>
      <c r="U46" s="94">
        <f ca="1">ROUND(TblProd[[#This Row],[Raw Lumber/hr]]*(1+TblProd[[#This Row],[Bonus Lumber/hr]])-TblProd[[#This Row],[Lumber rot]],0)</f>
        <v>557</v>
      </c>
      <c r="V46" s="94">
        <f ca="1">ROUND(TblProd[[#This Row],[Raw Mana/hr]]*(1+TblProd[[#This Row],[Bonus Mana/hr]])-TblProd[[#This Row],[Mana drain]],0)</f>
        <v>0</v>
      </c>
      <c r="W46" s="94">
        <f ca="1">ROUNDDOWN(TblProd[[#This Row],[Raw Ore/hr]]*(1+TblProd[[#This Row],[Bonux Ore/hr]]),0)</f>
        <v>0</v>
      </c>
      <c r="X46" s="94">
        <f ca="1">ROUNDDOWN(TblProd[[#This Row],[Raw Gems/hr]]*(1+TblProd[[#This Row],[Bonus Gems/hr]]),0)</f>
        <v>0</v>
      </c>
      <c r="Y46" s="155">
        <f ca="1">OFFSET(TblConstr[[#This Row],[Tot Doc]],1,0)*dock_boats_hr * (1 + tech_4_1*TblTech[[#This Row],[4-1]])</f>
        <v>0</v>
      </c>
      <c r="Z46" s="154"/>
      <c r="AA46" s="94">
        <f ca="1">TblPop[[#This Row],[Peasants]]*tax*TblPop[[#This Row],[Employment]] + (Construction!AZ47+Construction!BX47)*(alch_plat+(Magic!AN46&gt;0)*alchemist_flame_bonus)</f>
        <v>837</v>
      </c>
      <c r="AB46" s="94">
        <f ca="1">TblConstr[[#This Row],[Tot Farm]]*farm_food + TblConstr[[#This Row],[Tot Doc]]*dock_food</f>
        <v>2400</v>
      </c>
      <c r="AC46" s="94">
        <f ca="1">TblConstr[[#This Row],[Tot Ly]]*ly_lumber + TblConstr[[#This Row],[Tot Hav]]*fh_lumber + IF(race="Wood Elf",TblMili[[#This Row],[Unit 2]]*MIN(TblMili[[#This Row],[Homeland%]]/wisp_bonus,wisp_cap),0)</f>
        <v>1000</v>
      </c>
      <c r="AD46" s="94">
        <f ca="1">OFFSET(TblConstr[[#This Row],[Tot Tow]],1,0)*(tower_mana + tech_4_5*TblTech[[#This Row],[4-5]]) + OFFSET(TblConstr[[#This Row],[Tot WG]],1,0)*wg_mana_prod</f>
        <v>0</v>
      </c>
      <c r="AE46" s="94">
        <f ca="1">OFFSET(TblConstr[[#This Row],[Tot OM]],1,0)*om_ore+IF(race="Dwarf",TblMili[[#This Row],[Unit 2]]*0.5,0)</f>
        <v>0</v>
      </c>
      <c r="AF46" s="94">
        <f ca="1">OFFSET(TblConstr[[#This Row],[Tot DM]],1,0)*dm_gems</f>
        <v>0</v>
      </c>
      <c r="AG46" s="142"/>
      <c r="AH46" s="156">
        <f ca="1">MIN(race_platinum_bonus + IF(TblMagic[[#This Row],[Active Arc Infusion]]&gt;0,alch_frost_bonus,IF(Magic!AE46&gt;0,midas_bonus)) + TblImps[[#This Row],[Science]] - TblProd[[#This Row],[Guard]]*(0.02 + tech_5_7*TblTech[[#This Row],[5-7]]) + tech_1_5*TblTech[[#This Row],[1-5]] + tech_4_4*TblTech[[#This Row],[4-4]] + IF(TblMagic[[#This Row],[Active Infernal Command]]&gt;0,demonic_pact_plat,0), 0.5)</f>
        <v>0</v>
      </c>
      <c r="AI4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6" s="156">
        <f ca="1">race_lumber_bonus+ IF(TblMagic[[#This Row],[Active Gaia''s Blessing]]&gt;0,gaias_blessing_lumber)+ tech_1_3*TblTech[[#This Row],[1-3]] + tech_1_6*TblTech[[#This Row],[1-6]] + tech_3_3*TblTech[[#This Row],[3-3]]</f>
        <v>0</v>
      </c>
      <c r="AK46" s="156">
        <f ca="1">race_mana_bonus+ 0 + TblImps[[#This Row],[Spires]] + tech_1_2*TblTech[[#This Row],[1-2]] + tech_3_4*TblTech[[#This Row],[3-4]]</f>
        <v>0</v>
      </c>
      <c r="AL46" s="156">
        <f ca="1">race_ore_bonus + IF(TblMagic[[#This Row],[Active Miner''s Sight]]&gt;0,miners_sight_bonus,IF(TblMagic[[#This Row],[Active Mining Strength]]&gt;0,mining_strength_bonus)) +  tech_1_6*TblTech[[#This Row],[1-6]]</f>
        <v>0</v>
      </c>
      <c r="AM46" s="156">
        <f>race_gem_bonus+ tech_3_2*TblTech[[#This Row],[3-2]] + tech_4_3*TblTech[[#This Row],[4-3]] + tech_6_2*TblTech[[#This Row],[6-2]]</f>
        <v>0</v>
      </c>
      <c r="AN46" s="142"/>
      <c r="AO46" s="94">
        <f ca="1">TblProd[[#This Row],[Food]]*food_decay * (1 + tech_2_1*TblTech[[#This Row],[2-1]] + tech_2_8*TblTech[[#This Row],[2-8]] + IF(AND(TblMagic[[#This Row],[Active DnD]]&lt;12,TblMagic[[#This Row],[Active DnD]]&gt;5),1,0))</f>
        <v>920.55000000000007</v>
      </c>
      <c r="AP46" s="94">
        <f ca="1">(1+race_food_consumption)*TblPop[[#This Row],[Total]]*food_per_person*(1+tech_1_10*TblTech[[#This Row],[1-10]]+tech_7_5*TblTech[[#This Row],[7-5]] + IF(TblMagic[[#This Row],[Active Infernal Command]]&gt;0,demonic_pact_food_cons,0))</f>
        <v>192.25</v>
      </c>
      <c r="AQ46" s="94">
        <f ca="1">TblProd[[#This Row],[Lumber]]*lumber_rot * (1 + tech_2_1*TblTech[[#This Row],[2-1]] + tech_2_8*TblTech[[#This Row],[2-8]] + tech_5_2*TblTech[[#This Row],[5-2]] + IF(AND(TblMagic[[#This Row],[Active DnD]]&lt;12,TblMagic[[#This Row],[Active DnD]]&gt;5),1,0))</f>
        <v>442.68</v>
      </c>
      <c r="AR46" s="94">
        <f ca="1">TblProd[[#This Row],[Mana]]*mana_drain * (1 + tech_2_1*TblTech[[#This Row],[2-1]] + tech_2_8*TblTech[[#This Row],[2-8]])</f>
        <v>0</v>
      </c>
      <c r="AS46" s="154"/>
      <c r="AT46" s="94">
        <f ca="1">TblExplore[[#This Row],[Platinum (2)]]+TblConstr[[#This Row],[Total Plat Cost]]+TblMili[[#This Row],[Plat Cost]]+TblRezone[[#This Row],[Platinum cost]]+TblImps[[#This Row],[P1]]-TblProd[[#This Row],[Bank Plat]]</f>
        <v>0</v>
      </c>
      <c r="AU46" s="94">
        <f ca="1">TblConstr[[#This Row],[Total Lum Cost]]+TblImps[[#This Row],[L1]]-TblProd[[#This Row],[Bank Lumber]] + Military!$CO$25*TblMili[[#This Row],[Sec. rec. Cost]]</f>
        <v>0</v>
      </c>
      <c r="AV46" s="94">
        <f ca="1">TblMagic[[#This Row],[Mana cost]] + Military!$CO$26*TblMili[[#This Row],[Sec. rec. Cost]]</f>
        <v>0</v>
      </c>
      <c r="AW46" s="94">
        <f ca="1">Military!$CO$24*TblMili[[#This Row],[Sec. rec. Cost]]+TblImps[[#This Row],[O1]]-TblProd[[#This Row],[Bank Ore]]</f>
        <v>0</v>
      </c>
      <c r="AX46" s="94">
        <f>TblImps[[#This Row],[G1]]-TblProd[[#This Row],[Bank Gems]]</f>
        <v>0</v>
      </c>
      <c r="AY46" s="142"/>
      <c r="AZ46" s="61" t="b">
        <f ca="1">IF(TblProd[[#This Row],[Set Guard]]&lt;&gt;"",TblProd[[#This Row],[Set Guard]],OFFSET(TblProd[[#This Row],[Guard]],-1,0))</f>
        <v>0</v>
      </c>
      <c r="BA46" s="153"/>
      <c r="BB46" s="45">
        <f>TblProd[[#This Row],[Hour]]</f>
        <v>43</v>
      </c>
      <c r="BC46" s="158">
        <f>-TblProd[[#This Row],[Bank Lumber]] / 2 + -TblProd[[#This Row],[Bank Gems]] * 2 + -TblProd[[#This Row],[Bank Ore]] / 2</f>
        <v>0</v>
      </c>
      <c r="BD46" s="158"/>
      <c r="BE46" s="158"/>
      <c r="BF46" s="158"/>
      <c r="BG46" s="159">
        <f ca="1">TblProd[[#This Row],[Time]]</f>
        <v>46321.749999999898</v>
      </c>
      <c r="BH46" s="45"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94">
        <f ca="1">TblProd[[#This Row],[Platinum]]</f>
        <v>163650</v>
      </c>
      <c r="BJ46" s="94">
        <f ca="1">TblProd[[#This Row],[Food]]</f>
        <v>92055</v>
      </c>
      <c r="BK46" s="94">
        <f ca="1">TblProd[[#This Row],[Lumber]]</f>
        <v>44268</v>
      </c>
      <c r="BL46" s="94">
        <f ca="1">TblProd[[#This Row],[Mana]]</f>
        <v>0</v>
      </c>
      <c r="BM46" s="94">
        <f ca="1">TblProd[[#This Row],[Ore]]</f>
        <v>0</v>
      </c>
    </row>
    <row r="47" spans="1:65" x14ac:dyDescent="0.2">
      <c r="A47" s="137">
        <v>44</v>
      </c>
      <c r="B47" s="152">
        <f ca="1">TblImps[[#This Row],[Time]]</f>
        <v>46321.791666666562</v>
      </c>
      <c r="C47" s="153"/>
      <c r="D47" s="154"/>
      <c r="E47" s="94">
        <f ca="1">TblConstr[[#This Row],[Land]]</f>
        <v>50</v>
      </c>
      <c r="F47" s="94">
        <f ca="1">TblPop[[#This Row],[Peasants]]</f>
        <v>307</v>
      </c>
      <c r="G47" s="94">
        <f ca="1">TblMili[[#This Row],[Networth (2)]]</f>
        <v>1250</v>
      </c>
      <c r="H47" s="94">
        <f ca="1">OFFSET(TblProd[[#This Row],[Platinum]],-1,0)+OFFSET(TblProd[[#This Row],[Plat/hr]],-1,0) - TblProd[[#This Row],[Expenses Platinum]] + IF(TblProd[[#This Row],[Plat Bonus]],TblPop[[#This Row],[Peasants]]*4) + SUM(TblConstr[[#This Row],[Dest Hom]:[Dest Doc]])*TblConstr[[#This Row],[CPA Platinum -DB]]*tech_3_3_2*TblTech[[#This Row],[3-3]]</f>
        <v>164487</v>
      </c>
      <c r="I47" s="94">
        <f ca="1">OFFSET(TblProd[[#This Row],[Food]],-1,0)+OFFSET(TblProd[[#This Row],[Food/hr]],-1,0)+ROUNDUP((TblConstr[[#This Row],[Farms]]*80+TblConstr[[#This Row],[Docks]]*35)*(1+OFFSET(TblProd[[#This Row],[Bonus Food/hr]],-1,0)),0)</f>
        <v>93522</v>
      </c>
      <c r="J47" s="94">
        <f ca="1">OFFSET(TblProd[[#This Row],[Lumber]],-1,0)+OFFSET(TblProd[[#This Row],[Lumber/hr]],-1,0) - TblProd[[#This Row],[Expenses Lumber]] + SUM(TblConstr[[#This Row],[Dest Hom]:[Dest Doc]])*TblConstr[[#This Row],[CPA Lumber -DB]]*tech_3_3_2*TblTech[[#This Row],[3-3]]</f>
        <v>44825</v>
      </c>
      <c r="K47" s="94">
        <f ca="1">OFFSET(TblProd[[#This Row],[Mana]],-1,0)+OFFSET(TblProd[[#This Row],[Mana/hr]],-1,0)- TblProd[[#This Row],[Expenses Mana]]</f>
        <v>0</v>
      </c>
      <c r="L47" s="94">
        <f ca="1">OFFSET(TblProd[[#This Row],[Ore]],-1,0)+OFFSET(TblProd[[#This Row],[Ore/hr]],-1,0) -TblProd[[#This Row],[Expenses Ore]]</f>
        <v>0</v>
      </c>
      <c r="M47" s="94">
        <f ca="1">OFFSET(TblProd[[#This Row],[Gems]],-1,0)+OFFSET(TblProd[[#This Row],[Gems/hr]],-1,0) - TblProd[[#This Row],[Expenses Gems]]</f>
        <v>0</v>
      </c>
      <c r="N47" s="94">
        <f ca="1">OFFSET(TblProd[[#This Row],[Boats]],-1,0)+OFFSET(TblProd[[#This Row],[Boats/hr]],-1,0)</f>
        <v>0</v>
      </c>
      <c r="O47" s="94">
        <f ca="1">OFFSET(TblProd[[#This Row],[Prestige]],-1,0)</f>
        <v>250</v>
      </c>
      <c r="P4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7" s="94">
        <f ca="1">MAX(_xlfn.CEILING.MATH(TblProd[[#This Row],[Land]]*2.5+IFERROR(OFFSET(TblTech[[#This Row],[Sum of tech]],-1,0)*50,0)),3750)</f>
        <v>3750</v>
      </c>
      <c r="R47" s="142"/>
      <c r="S47" s="94">
        <f ca="1">ROUNDDOWN(TblProd[[#This Row],[Raw Plat/hr]]*(1+TblProd[[#This Row],[Bonus Plat/hr]]),0)</f>
        <v>828</v>
      </c>
      <c r="T47" s="94">
        <f ca="1">ROUND(TblProd[[#This Row],[Raw Food/hr]]*(1+TblProd[[#This Row],[Bonus Food/hr]])-TblProd[[#This Row],[Food decay]]-TblProd[[#This Row],[Food eaten]],0)</f>
        <v>1453</v>
      </c>
      <c r="U47" s="94">
        <f ca="1">ROUND(TblProd[[#This Row],[Raw Lumber/hr]]*(1+TblProd[[#This Row],[Bonus Lumber/hr]])-TblProd[[#This Row],[Lumber rot]],0)</f>
        <v>552</v>
      </c>
      <c r="V47" s="94">
        <f ca="1">ROUND(TblProd[[#This Row],[Raw Mana/hr]]*(1+TblProd[[#This Row],[Bonus Mana/hr]])-TblProd[[#This Row],[Mana drain]],0)</f>
        <v>0</v>
      </c>
      <c r="W47" s="94">
        <f ca="1">ROUNDDOWN(TblProd[[#This Row],[Raw Ore/hr]]*(1+TblProd[[#This Row],[Bonux Ore/hr]]),0)</f>
        <v>0</v>
      </c>
      <c r="X47" s="94">
        <f ca="1">ROUNDDOWN(TblProd[[#This Row],[Raw Gems/hr]]*(1+TblProd[[#This Row],[Bonus Gems/hr]]),0)</f>
        <v>0</v>
      </c>
      <c r="Y47" s="155">
        <f ca="1">OFFSET(TblConstr[[#This Row],[Tot Doc]],1,0)*dock_boats_hr * (1 + tech_4_1*TblTech[[#This Row],[4-1]])</f>
        <v>0</v>
      </c>
      <c r="Z47" s="154"/>
      <c r="AA47" s="94">
        <f ca="1">TblPop[[#This Row],[Peasants]]*tax*TblPop[[#This Row],[Employment]] + (Construction!AZ48+Construction!BX48)*(alch_plat+(Magic!AN47&gt;0)*alchemist_flame_bonus)</f>
        <v>828.90000000000009</v>
      </c>
      <c r="AB47" s="94">
        <f ca="1">TblConstr[[#This Row],[Tot Farm]]*farm_food + TblConstr[[#This Row],[Tot Doc]]*dock_food</f>
        <v>2400</v>
      </c>
      <c r="AC47" s="94">
        <f ca="1">TblConstr[[#This Row],[Tot Ly]]*ly_lumber + TblConstr[[#This Row],[Tot Hav]]*fh_lumber + IF(race="Wood Elf",TblMili[[#This Row],[Unit 2]]*MIN(TblMili[[#This Row],[Homeland%]]/wisp_bonus,wisp_cap),0)</f>
        <v>1000</v>
      </c>
      <c r="AD47" s="94">
        <f ca="1">OFFSET(TblConstr[[#This Row],[Tot Tow]],1,0)*(tower_mana + tech_4_5*TblTech[[#This Row],[4-5]]) + OFFSET(TblConstr[[#This Row],[Tot WG]],1,0)*wg_mana_prod</f>
        <v>0</v>
      </c>
      <c r="AE47" s="94">
        <f ca="1">OFFSET(TblConstr[[#This Row],[Tot OM]],1,0)*om_ore+IF(race="Dwarf",TblMili[[#This Row],[Unit 2]]*0.5,0)</f>
        <v>0</v>
      </c>
      <c r="AF47" s="94">
        <f ca="1">OFFSET(TblConstr[[#This Row],[Tot DM]],1,0)*dm_gems</f>
        <v>0</v>
      </c>
      <c r="AG47" s="142"/>
      <c r="AH47" s="156">
        <f ca="1">MIN(race_platinum_bonus + IF(TblMagic[[#This Row],[Active Arc Infusion]]&gt;0,alch_frost_bonus,IF(Magic!AE47&gt;0,midas_bonus)) + TblImps[[#This Row],[Science]] - TblProd[[#This Row],[Guard]]*(0.02 + tech_5_7*TblTech[[#This Row],[5-7]]) + tech_1_5*TblTech[[#This Row],[1-5]] + tech_4_4*TblTech[[#This Row],[4-4]] + IF(TblMagic[[#This Row],[Active Infernal Command]]&gt;0,demonic_pact_plat,0), 0.5)</f>
        <v>0</v>
      </c>
      <c r="AI4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7" s="156">
        <f ca="1">race_lumber_bonus+ IF(TblMagic[[#This Row],[Active Gaia''s Blessing]]&gt;0,gaias_blessing_lumber)+ tech_1_3*TblTech[[#This Row],[1-3]] + tech_1_6*TblTech[[#This Row],[1-6]] + tech_3_3*TblTech[[#This Row],[3-3]]</f>
        <v>0</v>
      </c>
      <c r="AK47" s="156">
        <f ca="1">race_mana_bonus+ 0 + TblImps[[#This Row],[Spires]] + tech_1_2*TblTech[[#This Row],[1-2]] + tech_3_4*TblTech[[#This Row],[3-4]]</f>
        <v>0</v>
      </c>
      <c r="AL47" s="156">
        <f ca="1">race_ore_bonus + IF(TblMagic[[#This Row],[Active Miner''s Sight]]&gt;0,miners_sight_bonus,IF(TblMagic[[#This Row],[Active Mining Strength]]&gt;0,mining_strength_bonus)) +  tech_1_6*TblTech[[#This Row],[1-6]]</f>
        <v>0</v>
      </c>
      <c r="AM47" s="156">
        <f>race_gem_bonus+ tech_3_2*TblTech[[#This Row],[3-2]] + tech_4_3*TblTech[[#This Row],[4-3]] + tech_6_2*TblTech[[#This Row],[6-2]]</f>
        <v>0</v>
      </c>
      <c r="AN47" s="142"/>
      <c r="AO47" s="94">
        <f ca="1">TblProd[[#This Row],[Food]]*food_decay * (1 + tech_2_1*TblTech[[#This Row],[2-1]] + tech_2_8*TblTech[[#This Row],[2-8]] + IF(AND(TblMagic[[#This Row],[Active DnD]]&lt;12,TblMagic[[#This Row],[Active DnD]]&gt;5),1,0))</f>
        <v>935.22</v>
      </c>
      <c r="AP47" s="94">
        <f ca="1">(1+race_food_consumption)*TblPop[[#This Row],[Total]]*food_per_person*(1+tech_1_10*TblTech[[#This Row],[1-10]]+tech_7_5*TblTech[[#This Row],[7-5]] + IF(TblMagic[[#This Row],[Active Infernal Command]]&gt;0,demonic_pact_food_cons,0))</f>
        <v>192.25</v>
      </c>
      <c r="AQ47" s="94">
        <f ca="1">TblProd[[#This Row],[Lumber]]*lumber_rot * (1 + tech_2_1*TblTech[[#This Row],[2-1]] + tech_2_8*TblTech[[#This Row],[2-8]] + tech_5_2*TblTech[[#This Row],[5-2]] + IF(AND(TblMagic[[#This Row],[Active DnD]]&lt;12,TblMagic[[#This Row],[Active DnD]]&gt;5),1,0))</f>
        <v>448.25</v>
      </c>
      <c r="AR47" s="94">
        <f ca="1">TblProd[[#This Row],[Mana]]*mana_drain * (1 + tech_2_1*TblTech[[#This Row],[2-1]] + tech_2_8*TblTech[[#This Row],[2-8]])</f>
        <v>0</v>
      </c>
      <c r="AS47" s="154"/>
      <c r="AT47" s="94">
        <f ca="1">TblExplore[[#This Row],[Platinum (2)]]+TblConstr[[#This Row],[Total Plat Cost]]+TblMili[[#This Row],[Plat Cost]]+TblRezone[[#This Row],[Platinum cost]]+TblImps[[#This Row],[P1]]-TblProd[[#This Row],[Bank Plat]]</f>
        <v>0</v>
      </c>
      <c r="AU47" s="94">
        <f ca="1">TblConstr[[#This Row],[Total Lum Cost]]+TblImps[[#This Row],[L1]]-TblProd[[#This Row],[Bank Lumber]] + Military!$CO$25*TblMili[[#This Row],[Sec. rec. Cost]]</f>
        <v>0</v>
      </c>
      <c r="AV47" s="94">
        <f ca="1">TblMagic[[#This Row],[Mana cost]] + Military!$CO$26*TblMili[[#This Row],[Sec. rec. Cost]]</f>
        <v>0</v>
      </c>
      <c r="AW47" s="94">
        <f ca="1">Military!$CO$24*TblMili[[#This Row],[Sec. rec. Cost]]+TblImps[[#This Row],[O1]]-TblProd[[#This Row],[Bank Ore]]</f>
        <v>0</v>
      </c>
      <c r="AX47" s="94">
        <f>TblImps[[#This Row],[G1]]-TblProd[[#This Row],[Bank Gems]]</f>
        <v>0</v>
      </c>
      <c r="AY47" s="142"/>
      <c r="AZ47" s="61" t="b">
        <f ca="1">IF(TblProd[[#This Row],[Set Guard]]&lt;&gt;"",TblProd[[#This Row],[Set Guard]],OFFSET(TblProd[[#This Row],[Guard]],-1,0))</f>
        <v>0</v>
      </c>
      <c r="BA47" s="153"/>
      <c r="BB47" s="45">
        <f>TblProd[[#This Row],[Hour]]</f>
        <v>44</v>
      </c>
      <c r="BC47" s="158">
        <f>-TblProd[[#This Row],[Bank Lumber]] / 2 + -TblProd[[#This Row],[Bank Gems]] * 2 + -TblProd[[#This Row],[Bank Ore]] / 2</f>
        <v>0</v>
      </c>
      <c r="BD47" s="158"/>
      <c r="BE47" s="158"/>
      <c r="BF47" s="158"/>
      <c r="BG47" s="159">
        <f ca="1">TblProd[[#This Row],[Time]]</f>
        <v>46321.791666666562</v>
      </c>
      <c r="BH47" s="45"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94">
        <f ca="1">TblProd[[#This Row],[Platinum]]</f>
        <v>164487</v>
      </c>
      <c r="BJ47" s="94">
        <f ca="1">TblProd[[#This Row],[Food]]</f>
        <v>93522</v>
      </c>
      <c r="BK47" s="94">
        <f ca="1">TblProd[[#This Row],[Lumber]]</f>
        <v>44825</v>
      </c>
      <c r="BL47" s="94">
        <f ca="1">TblProd[[#This Row],[Mana]]</f>
        <v>0</v>
      </c>
      <c r="BM47" s="94">
        <f ca="1">TblProd[[#This Row],[Ore]]</f>
        <v>0</v>
      </c>
    </row>
    <row r="48" spans="1:65" x14ac:dyDescent="0.2">
      <c r="A48" s="137">
        <v>45</v>
      </c>
      <c r="B48" s="152">
        <f ca="1">TblImps[[#This Row],[Time]]</f>
        <v>46321.833333333227</v>
      </c>
      <c r="C48" s="153"/>
      <c r="D48" s="154"/>
      <c r="E48" s="94">
        <f ca="1">TblConstr[[#This Row],[Land]]</f>
        <v>50</v>
      </c>
      <c r="F48" s="94">
        <f ca="1">TblPop[[#This Row],[Peasants]]</f>
        <v>304</v>
      </c>
      <c r="G48" s="94">
        <f ca="1">TblMili[[#This Row],[Networth (2)]]</f>
        <v>1250</v>
      </c>
      <c r="H48" s="94">
        <f ca="1">OFFSET(TblProd[[#This Row],[Platinum]],-1,0)+OFFSET(TblProd[[#This Row],[Plat/hr]],-1,0) - TblProd[[#This Row],[Expenses Platinum]] + IF(TblProd[[#This Row],[Plat Bonus]],TblPop[[#This Row],[Peasants]]*4) + SUM(TblConstr[[#This Row],[Dest Hom]:[Dest Doc]])*TblConstr[[#This Row],[CPA Platinum -DB]]*tech_3_3_2*TblTech[[#This Row],[3-3]]</f>
        <v>165315</v>
      </c>
      <c r="I48" s="94">
        <f ca="1">OFFSET(TblProd[[#This Row],[Food]],-1,0)+OFFSET(TblProd[[#This Row],[Food/hr]],-1,0)+ROUNDUP((TblConstr[[#This Row],[Farms]]*80+TblConstr[[#This Row],[Docks]]*35)*(1+OFFSET(TblProd[[#This Row],[Bonus Food/hr]],-1,0)),0)</f>
        <v>94975</v>
      </c>
      <c r="J48" s="94">
        <f ca="1">OFFSET(TblProd[[#This Row],[Lumber]],-1,0)+OFFSET(TblProd[[#This Row],[Lumber/hr]],-1,0) - TblProd[[#This Row],[Expenses Lumber]] + SUM(TblConstr[[#This Row],[Dest Hom]:[Dest Doc]])*TblConstr[[#This Row],[CPA Lumber -DB]]*tech_3_3_2*TblTech[[#This Row],[3-3]]</f>
        <v>45377</v>
      </c>
      <c r="K48" s="94">
        <f ca="1">OFFSET(TblProd[[#This Row],[Mana]],-1,0)+OFFSET(TblProd[[#This Row],[Mana/hr]],-1,0)- TblProd[[#This Row],[Expenses Mana]]</f>
        <v>0</v>
      </c>
      <c r="L48" s="94">
        <f ca="1">OFFSET(TblProd[[#This Row],[Ore]],-1,0)+OFFSET(TblProd[[#This Row],[Ore/hr]],-1,0) -TblProd[[#This Row],[Expenses Ore]]</f>
        <v>0</v>
      </c>
      <c r="M48" s="94">
        <f ca="1">OFFSET(TblProd[[#This Row],[Gems]],-1,0)+OFFSET(TblProd[[#This Row],[Gems/hr]],-1,0) - TblProd[[#This Row],[Expenses Gems]]</f>
        <v>0</v>
      </c>
      <c r="N48" s="94">
        <f ca="1">OFFSET(TblProd[[#This Row],[Boats]],-1,0)+OFFSET(TblProd[[#This Row],[Boats/hr]],-1,0)</f>
        <v>0</v>
      </c>
      <c r="O48" s="94">
        <f ca="1">OFFSET(TblProd[[#This Row],[Prestige]],-1,0)</f>
        <v>250</v>
      </c>
      <c r="P4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8" s="94">
        <f ca="1">MAX(_xlfn.CEILING.MATH(TblProd[[#This Row],[Land]]*2.5+IFERROR(OFFSET(TblTech[[#This Row],[Sum of tech]],-1,0)*50,0)),3750)</f>
        <v>3750</v>
      </c>
      <c r="R48" s="142"/>
      <c r="S48" s="94">
        <f ca="1">ROUNDDOWN(TblProd[[#This Row],[Raw Plat/hr]]*(1+TblProd[[#This Row],[Bonus Plat/hr]]),0)</f>
        <v>820</v>
      </c>
      <c r="T48" s="94">
        <f ca="1">ROUND(TblProd[[#This Row],[Raw Food/hr]]*(1+TblProd[[#This Row],[Bonus Food/hr]])-TblProd[[#This Row],[Food decay]]-TblProd[[#This Row],[Food eaten]],0)</f>
        <v>1438</v>
      </c>
      <c r="U48" s="94">
        <f ca="1">ROUND(TblProd[[#This Row],[Raw Lumber/hr]]*(1+TblProd[[#This Row],[Bonus Lumber/hr]])-TblProd[[#This Row],[Lumber rot]],0)</f>
        <v>546</v>
      </c>
      <c r="V48" s="94">
        <f ca="1">ROUND(TblProd[[#This Row],[Raw Mana/hr]]*(1+TblProd[[#This Row],[Bonus Mana/hr]])-TblProd[[#This Row],[Mana drain]],0)</f>
        <v>0</v>
      </c>
      <c r="W48" s="94">
        <f ca="1">ROUNDDOWN(TblProd[[#This Row],[Raw Ore/hr]]*(1+TblProd[[#This Row],[Bonux Ore/hr]]),0)</f>
        <v>0</v>
      </c>
      <c r="X48" s="94">
        <f ca="1">ROUNDDOWN(TblProd[[#This Row],[Raw Gems/hr]]*(1+TblProd[[#This Row],[Bonus Gems/hr]]),0)</f>
        <v>0</v>
      </c>
      <c r="Y48" s="155">
        <f ca="1">OFFSET(TblConstr[[#This Row],[Tot Doc]],1,0)*dock_boats_hr * (1 + tech_4_1*TblTech[[#This Row],[4-1]])</f>
        <v>0</v>
      </c>
      <c r="Z48" s="154"/>
      <c r="AA48" s="94">
        <f ca="1">TblPop[[#This Row],[Peasants]]*tax*TblPop[[#This Row],[Employment]] + (Construction!AZ49+Construction!BX49)*(alch_plat+(Magic!AN48&gt;0)*alchemist_flame_bonus)</f>
        <v>820.80000000000007</v>
      </c>
      <c r="AB48" s="94">
        <f ca="1">TblConstr[[#This Row],[Tot Farm]]*farm_food + TblConstr[[#This Row],[Tot Doc]]*dock_food</f>
        <v>2400</v>
      </c>
      <c r="AC48" s="94">
        <f ca="1">TblConstr[[#This Row],[Tot Ly]]*ly_lumber + TblConstr[[#This Row],[Tot Hav]]*fh_lumber + IF(race="Wood Elf",TblMili[[#This Row],[Unit 2]]*MIN(TblMili[[#This Row],[Homeland%]]/wisp_bonus,wisp_cap),0)</f>
        <v>1000</v>
      </c>
      <c r="AD48" s="94">
        <f ca="1">OFFSET(TblConstr[[#This Row],[Tot Tow]],1,0)*(tower_mana + tech_4_5*TblTech[[#This Row],[4-5]]) + OFFSET(TblConstr[[#This Row],[Tot WG]],1,0)*wg_mana_prod</f>
        <v>0</v>
      </c>
      <c r="AE48" s="94">
        <f ca="1">OFFSET(TblConstr[[#This Row],[Tot OM]],1,0)*om_ore+IF(race="Dwarf",TblMili[[#This Row],[Unit 2]]*0.5,0)</f>
        <v>0</v>
      </c>
      <c r="AF48" s="94">
        <f ca="1">OFFSET(TblConstr[[#This Row],[Tot DM]],1,0)*dm_gems</f>
        <v>0</v>
      </c>
      <c r="AG48" s="142"/>
      <c r="AH48" s="156">
        <f ca="1">MIN(race_platinum_bonus + IF(TblMagic[[#This Row],[Active Arc Infusion]]&gt;0,alch_frost_bonus,IF(Magic!AE48&gt;0,midas_bonus)) + TblImps[[#This Row],[Science]] - TblProd[[#This Row],[Guard]]*(0.02 + tech_5_7*TblTech[[#This Row],[5-7]]) + tech_1_5*TblTech[[#This Row],[1-5]] + tech_4_4*TblTech[[#This Row],[4-4]] + IF(TblMagic[[#This Row],[Active Infernal Command]]&gt;0,demonic_pact_plat,0), 0.5)</f>
        <v>0</v>
      </c>
      <c r="AI4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8" s="156">
        <f ca="1">race_lumber_bonus+ IF(TblMagic[[#This Row],[Active Gaia''s Blessing]]&gt;0,gaias_blessing_lumber)+ tech_1_3*TblTech[[#This Row],[1-3]] + tech_1_6*TblTech[[#This Row],[1-6]] + tech_3_3*TblTech[[#This Row],[3-3]]</f>
        <v>0</v>
      </c>
      <c r="AK48" s="156">
        <f ca="1">race_mana_bonus+ 0 + TblImps[[#This Row],[Spires]] + tech_1_2*TblTech[[#This Row],[1-2]] + tech_3_4*TblTech[[#This Row],[3-4]]</f>
        <v>0</v>
      </c>
      <c r="AL48" s="156">
        <f ca="1">race_ore_bonus + IF(TblMagic[[#This Row],[Active Miner''s Sight]]&gt;0,miners_sight_bonus,IF(TblMagic[[#This Row],[Active Mining Strength]]&gt;0,mining_strength_bonus)) +  tech_1_6*TblTech[[#This Row],[1-6]]</f>
        <v>0</v>
      </c>
      <c r="AM48" s="156">
        <f>race_gem_bonus+ tech_3_2*TblTech[[#This Row],[3-2]] + tech_4_3*TblTech[[#This Row],[4-3]] + tech_6_2*TblTech[[#This Row],[6-2]]</f>
        <v>0</v>
      </c>
      <c r="AN48" s="142"/>
      <c r="AO48" s="94">
        <f ca="1">TblProd[[#This Row],[Food]]*food_decay * (1 + tech_2_1*TblTech[[#This Row],[2-1]] + tech_2_8*TblTech[[#This Row],[2-8]] + IF(AND(TblMagic[[#This Row],[Active DnD]]&lt;12,TblMagic[[#This Row],[Active DnD]]&gt;5),1,0))</f>
        <v>949.75</v>
      </c>
      <c r="AP48" s="94">
        <f ca="1">(1+race_food_consumption)*TblPop[[#This Row],[Total]]*food_per_person*(1+tech_1_10*TblTech[[#This Row],[1-10]]+tech_7_5*TblTech[[#This Row],[7-5]] + IF(TblMagic[[#This Row],[Active Infernal Command]]&gt;0,demonic_pact_food_cons,0))</f>
        <v>192.25</v>
      </c>
      <c r="AQ48" s="94">
        <f ca="1">TblProd[[#This Row],[Lumber]]*lumber_rot * (1 + tech_2_1*TblTech[[#This Row],[2-1]] + tech_2_8*TblTech[[#This Row],[2-8]] + tech_5_2*TblTech[[#This Row],[5-2]] + IF(AND(TblMagic[[#This Row],[Active DnD]]&lt;12,TblMagic[[#This Row],[Active DnD]]&gt;5),1,0))</f>
        <v>453.77</v>
      </c>
      <c r="AR48" s="94">
        <f ca="1">TblProd[[#This Row],[Mana]]*mana_drain * (1 + tech_2_1*TblTech[[#This Row],[2-1]] + tech_2_8*TblTech[[#This Row],[2-8]])</f>
        <v>0</v>
      </c>
      <c r="AS48" s="154"/>
      <c r="AT48" s="94">
        <f ca="1">TblExplore[[#This Row],[Platinum (2)]]+TblConstr[[#This Row],[Total Plat Cost]]+TblMili[[#This Row],[Plat Cost]]+TblRezone[[#This Row],[Platinum cost]]+TblImps[[#This Row],[P1]]-TblProd[[#This Row],[Bank Plat]]</f>
        <v>0</v>
      </c>
      <c r="AU48" s="94">
        <f ca="1">TblConstr[[#This Row],[Total Lum Cost]]+TblImps[[#This Row],[L1]]-TblProd[[#This Row],[Bank Lumber]] + Military!$CO$25*TblMili[[#This Row],[Sec. rec. Cost]]</f>
        <v>0</v>
      </c>
      <c r="AV48" s="94">
        <f ca="1">TblMagic[[#This Row],[Mana cost]] + Military!$CO$26*TblMili[[#This Row],[Sec. rec. Cost]]</f>
        <v>0</v>
      </c>
      <c r="AW48" s="94">
        <f ca="1">Military!$CO$24*TblMili[[#This Row],[Sec. rec. Cost]]+TblImps[[#This Row],[O1]]-TblProd[[#This Row],[Bank Ore]]</f>
        <v>0</v>
      </c>
      <c r="AX48" s="94">
        <f>TblImps[[#This Row],[G1]]-TblProd[[#This Row],[Bank Gems]]</f>
        <v>0</v>
      </c>
      <c r="AY48" s="142"/>
      <c r="AZ48" s="61" t="b">
        <f ca="1">IF(TblProd[[#This Row],[Set Guard]]&lt;&gt;"",TblProd[[#This Row],[Set Guard]],OFFSET(TblProd[[#This Row],[Guard]],-1,0))</f>
        <v>0</v>
      </c>
      <c r="BA48" s="153"/>
      <c r="BB48" s="45">
        <f>TblProd[[#This Row],[Hour]]</f>
        <v>45</v>
      </c>
      <c r="BC48" s="158">
        <f>-TblProd[[#This Row],[Bank Lumber]] / 2 + -TblProd[[#This Row],[Bank Gems]] * 2 + -TblProd[[#This Row],[Bank Ore]] / 2</f>
        <v>0</v>
      </c>
      <c r="BD48" s="158"/>
      <c r="BE48" s="158"/>
      <c r="BF48" s="158"/>
      <c r="BG48" s="159">
        <f ca="1">TblProd[[#This Row],[Time]]</f>
        <v>46321.833333333227</v>
      </c>
      <c r="BH48" s="45"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94">
        <f ca="1">TblProd[[#This Row],[Platinum]]</f>
        <v>165315</v>
      </c>
      <c r="BJ48" s="94">
        <f ca="1">TblProd[[#This Row],[Food]]</f>
        <v>94975</v>
      </c>
      <c r="BK48" s="94">
        <f ca="1">TblProd[[#This Row],[Lumber]]</f>
        <v>45377</v>
      </c>
      <c r="BL48" s="94">
        <f ca="1">TblProd[[#This Row],[Mana]]</f>
        <v>0</v>
      </c>
      <c r="BM48" s="94">
        <f ca="1">TblProd[[#This Row],[Ore]]</f>
        <v>0</v>
      </c>
    </row>
    <row r="49" spans="1:65" x14ac:dyDescent="0.2">
      <c r="A49" s="137">
        <v>46</v>
      </c>
      <c r="B49" s="152">
        <f ca="1">TblImps[[#This Row],[Time]]</f>
        <v>46321.874999999891</v>
      </c>
      <c r="C49" s="153"/>
      <c r="D49" s="154"/>
      <c r="E49" s="94">
        <f ca="1">TblConstr[[#This Row],[Land]]</f>
        <v>50</v>
      </c>
      <c r="F49" s="94">
        <f ca="1">TblPop[[#This Row],[Peasants]]</f>
        <v>301</v>
      </c>
      <c r="G49" s="94">
        <f ca="1">TblMili[[#This Row],[Networth (2)]]</f>
        <v>1250</v>
      </c>
      <c r="H49" s="94">
        <f ca="1">OFFSET(TblProd[[#This Row],[Platinum]],-1,0)+OFFSET(TblProd[[#This Row],[Plat/hr]],-1,0) - TblProd[[#This Row],[Expenses Platinum]] + IF(TblProd[[#This Row],[Plat Bonus]],TblPop[[#This Row],[Peasants]]*4) + SUM(TblConstr[[#This Row],[Dest Hom]:[Dest Doc]])*TblConstr[[#This Row],[CPA Platinum -DB]]*tech_3_3_2*TblTech[[#This Row],[3-3]]</f>
        <v>166135</v>
      </c>
      <c r="I49" s="94">
        <f ca="1">OFFSET(TblProd[[#This Row],[Food]],-1,0)+OFFSET(TblProd[[#This Row],[Food/hr]],-1,0)+ROUNDUP((TblConstr[[#This Row],[Farms]]*80+TblConstr[[#This Row],[Docks]]*35)*(1+OFFSET(TblProd[[#This Row],[Bonus Food/hr]],-1,0)),0)</f>
        <v>96413</v>
      </c>
      <c r="J49" s="94">
        <f ca="1">OFFSET(TblProd[[#This Row],[Lumber]],-1,0)+OFFSET(TblProd[[#This Row],[Lumber/hr]],-1,0) - TblProd[[#This Row],[Expenses Lumber]] + SUM(TblConstr[[#This Row],[Dest Hom]:[Dest Doc]])*TblConstr[[#This Row],[CPA Lumber -DB]]*tech_3_3_2*TblTech[[#This Row],[3-3]]</f>
        <v>45923</v>
      </c>
      <c r="K49" s="94">
        <f ca="1">OFFSET(TblProd[[#This Row],[Mana]],-1,0)+OFFSET(TblProd[[#This Row],[Mana/hr]],-1,0)- TblProd[[#This Row],[Expenses Mana]]</f>
        <v>0</v>
      </c>
      <c r="L49" s="94">
        <f ca="1">OFFSET(TblProd[[#This Row],[Ore]],-1,0)+OFFSET(TblProd[[#This Row],[Ore/hr]],-1,0) -TblProd[[#This Row],[Expenses Ore]]</f>
        <v>0</v>
      </c>
      <c r="M49" s="94">
        <f ca="1">OFFSET(TblProd[[#This Row],[Gems]],-1,0)+OFFSET(TblProd[[#This Row],[Gems/hr]],-1,0) - TblProd[[#This Row],[Expenses Gems]]</f>
        <v>0</v>
      </c>
      <c r="N49" s="94">
        <f ca="1">OFFSET(TblProd[[#This Row],[Boats]],-1,0)+OFFSET(TblProd[[#This Row],[Boats/hr]],-1,0)</f>
        <v>0</v>
      </c>
      <c r="O49" s="94">
        <f ca="1">OFFSET(TblProd[[#This Row],[Prestige]],-1,0)</f>
        <v>250</v>
      </c>
      <c r="P4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9" s="94">
        <f ca="1">MAX(_xlfn.CEILING.MATH(TblProd[[#This Row],[Land]]*2.5+IFERROR(OFFSET(TblTech[[#This Row],[Sum of tech]],-1,0)*50,0)),3750)</f>
        <v>3750</v>
      </c>
      <c r="R49" s="142"/>
      <c r="S49" s="94">
        <f ca="1">ROUNDDOWN(TblProd[[#This Row],[Raw Plat/hr]]*(1+TblProd[[#This Row],[Bonus Plat/hr]]),0)</f>
        <v>812</v>
      </c>
      <c r="T49" s="94">
        <f ca="1">ROUND(TblProd[[#This Row],[Raw Food/hr]]*(1+TblProd[[#This Row],[Bonus Food/hr]])-TblProd[[#This Row],[Food decay]]-TblProd[[#This Row],[Food eaten]],0)</f>
        <v>1424</v>
      </c>
      <c r="U49" s="94">
        <f ca="1">ROUND(TblProd[[#This Row],[Raw Lumber/hr]]*(1+TblProd[[#This Row],[Bonus Lumber/hr]])-TblProd[[#This Row],[Lumber rot]],0)</f>
        <v>541</v>
      </c>
      <c r="V49" s="94">
        <f ca="1">ROUND(TblProd[[#This Row],[Raw Mana/hr]]*(1+TblProd[[#This Row],[Bonus Mana/hr]])-TblProd[[#This Row],[Mana drain]],0)</f>
        <v>0</v>
      </c>
      <c r="W49" s="94">
        <f ca="1">ROUNDDOWN(TblProd[[#This Row],[Raw Ore/hr]]*(1+TblProd[[#This Row],[Bonux Ore/hr]]),0)</f>
        <v>0</v>
      </c>
      <c r="X49" s="94">
        <f ca="1">ROUNDDOWN(TblProd[[#This Row],[Raw Gems/hr]]*(1+TblProd[[#This Row],[Bonus Gems/hr]]),0)</f>
        <v>0</v>
      </c>
      <c r="Y49" s="155">
        <f ca="1">OFFSET(TblConstr[[#This Row],[Tot Doc]],1,0)*dock_boats_hr * (1 + tech_4_1*TblTech[[#This Row],[4-1]])</f>
        <v>0</v>
      </c>
      <c r="Z49" s="154"/>
      <c r="AA49" s="94">
        <f ca="1">TblPop[[#This Row],[Peasants]]*tax*TblPop[[#This Row],[Employment]] + (Construction!AZ50+Construction!BX50)*(alch_plat+(Magic!AN49&gt;0)*alchemist_flame_bonus)</f>
        <v>812.7</v>
      </c>
      <c r="AB49" s="94">
        <f ca="1">TblConstr[[#This Row],[Tot Farm]]*farm_food + TblConstr[[#This Row],[Tot Doc]]*dock_food</f>
        <v>2400</v>
      </c>
      <c r="AC49" s="94">
        <f ca="1">TblConstr[[#This Row],[Tot Ly]]*ly_lumber + TblConstr[[#This Row],[Tot Hav]]*fh_lumber + IF(race="Wood Elf",TblMili[[#This Row],[Unit 2]]*MIN(TblMili[[#This Row],[Homeland%]]/wisp_bonus,wisp_cap),0)</f>
        <v>1000</v>
      </c>
      <c r="AD49" s="94">
        <f ca="1">OFFSET(TblConstr[[#This Row],[Tot Tow]],1,0)*(tower_mana + tech_4_5*TblTech[[#This Row],[4-5]]) + OFFSET(TblConstr[[#This Row],[Tot WG]],1,0)*wg_mana_prod</f>
        <v>0</v>
      </c>
      <c r="AE49" s="94">
        <f ca="1">OFFSET(TblConstr[[#This Row],[Tot OM]],1,0)*om_ore+IF(race="Dwarf",TblMili[[#This Row],[Unit 2]]*0.5,0)</f>
        <v>0</v>
      </c>
      <c r="AF49" s="94">
        <f ca="1">OFFSET(TblConstr[[#This Row],[Tot DM]],1,0)*dm_gems</f>
        <v>0</v>
      </c>
      <c r="AG49" s="142"/>
      <c r="AH49" s="156">
        <f ca="1">MIN(race_platinum_bonus + IF(TblMagic[[#This Row],[Active Arc Infusion]]&gt;0,alch_frost_bonus,IF(Magic!AE49&gt;0,midas_bonus)) + TblImps[[#This Row],[Science]] - TblProd[[#This Row],[Guard]]*(0.02 + tech_5_7*TblTech[[#This Row],[5-7]]) + tech_1_5*TblTech[[#This Row],[1-5]] + tech_4_4*TblTech[[#This Row],[4-4]] + IF(TblMagic[[#This Row],[Active Infernal Command]]&gt;0,demonic_pact_plat,0), 0.5)</f>
        <v>0</v>
      </c>
      <c r="AI4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9" s="156">
        <f ca="1">race_lumber_bonus+ IF(TblMagic[[#This Row],[Active Gaia''s Blessing]]&gt;0,gaias_blessing_lumber)+ tech_1_3*TblTech[[#This Row],[1-3]] + tech_1_6*TblTech[[#This Row],[1-6]] + tech_3_3*TblTech[[#This Row],[3-3]]</f>
        <v>0</v>
      </c>
      <c r="AK49" s="156">
        <f ca="1">race_mana_bonus+ 0 + TblImps[[#This Row],[Spires]] + tech_1_2*TblTech[[#This Row],[1-2]] + tech_3_4*TblTech[[#This Row],[3-4]]</f>
        <v>0</v>
      </c>
      <c r="AL49" s="156">
        <f ca="1">race_ore_bonus + IF(TblMagic[[#This Row],[Active Miner''s Sight]]&gt;0,miners_sight_bonus,IF(TblMagic[[#This Row],[Active Mining Strength]]&gt;0,mining_strength_bonus)) +  tech_1_6*TblTech[[#This Row],[1-6]]</f>
        <v>0</v>
      </c>
      <c r="AM49" s="156">
        <f>race_gem_bonus+ tech_3_2*TblTech[[#This Row],[3-2]] + tech_4_3*TblTech[[#This Row],[4-3]] + tech_6_2*TblTech[[#This Row],[6-2]]</f>
        <v>0</v>
      </c>
      <c r="AN49" s="142"/>
      <c r="AO49" s="94">
        <f ca="1">TblProd[[#This Row],[Food]]*food_decay * (1 + tech_2_1*TblTech[[#This Row],[2-1]] + tech_2_8*TblTech[[#This Row],[2-8]] + IF(AND(TblMagic[[#This Row],[Active DnD]]&lt;12,TblMagic[[#This Row],[Active DnD]]&gt;5),1,0))</f>
        <v>964.13</v>
      </c>
      <c r="AP49" s="94">
        <f ca="1">(1+race_food_consumption)*TblPop[[#This Row],[Total]]*food_per_person*(1+tech_1_10*TblTech[[#This Row],[1-10]]+tech_7_5*TblTech[[#This Row],[7-5]] + IF(TblMagic[[#This Row],[Active Infernal Command]]&gt;0,demonic_pact_food_cons,0))</f>
        <v>192.25</v>
      </c>
      <c r="AQ49" s="94">
        <f ca="1">TblProd[[#This Row],[Lumber]]*lumber_rot * (1 + tech_2_1*TblTech[[#This Row],[2-1]] + tech_2_8*TblTech[[#This Row],[2-8]] + tech_5_2*TblTech[[#This Row],[5-2]] + IF(AND(TblMagic[[#This Row],[Active DnD]]&lt;12,TblMagic[[#This Row],[Active DnD]]&gt;5),1,0))</f>
        <v>459.23</v>
      </c>
      <c r="AR49" s="94">
        <f ca="1">TblProd[[#This Row],[Mana]]*mana_drain * (1 + tech_2_1*TblTech[[#This Row],[2-1]] + tech_2_8*TblTech[[#This Row],[2-8]])</f>
        <v>0</v>
      </c>
      <c r="AS49" s="154"/>
      <c r="AT49" s="94">
        <f ca="1">TblExplore[[#This Row],[Platinum (2)]]+TblConstr[[#This Row],[Total Plat Cost]]+TblMili[[#This Row],[Plat Cost]]+TblRezone[[#This Row],[Platinum cost]]+TblImps[[#This Row],[P1]]-TblProd[[#This Row],[Bank Plat]]</f>
        <v>0</v>
      </c>
      <c r="AU49" s="94">
        <f ca="1">TblConstr[[#This Row],[Total Lum Cost]]+TblImps[[#This Row],[L1]]-TblProd[[#This Row],[Bank Lumber]] + Military!$CO$25*TblMili[[#This Row],[Sec. rec. Cost]]</f>
        <v>0</v>
      </c>
      <c r="AV49" s="94">
        <f ca="1">TblMagic[[#This Row],[Mana cost]] + Military!$CO$26*TblMili[[#This Row],[Sec. rec. Cost]]</f>
        <v>0</v>
      </c>
      <c r="AW49" s="94">
        <f ca="1">Military!$CO$24*TblMili[[#This Row],[Sec. rec. Cost]]+TblImps[[#This Row],[O1]]-TblProd[[#This Row],[Bank Ore]]</f>
        <v>0</v>
      </c>
      <c r="AX49" s="94">
        <f>TblImps[[#This Row],[G1]]-TblProd[[#This Row],[Bank Gems]]</f>
        <v>0</v>
      </c>
      <c r="AY49" s="142"/>
      <c r="AZ49" s="61" t="b">
        <f ca="1">IF(TblProd[[#This Row],[Set Guard]]&lt;&gt;"",TblProd[[#This Row],[Set Guard]],OFFSET(TblProd[[#This Row],[Guard]],-1,0))</f>
        <v>0</v>
      </c>
      <c r="BA49" s="153"/>
      <c r="BB49" s="45">
        <f>TblProd[[#This Row],[Hour]]</f>
        <v>46</v>
      </c>
      <c r="BC49" s="158">
        <f>-TblProd[[#This Row],[Bank Lumber]] / 2 + -TblProd[[#This Row],[Bank Gems]] * 2 + -TblProd[[#This Row],[Bank Ore]] / 2</f>
        <v>0</v>
      </c>
      <c r="BD49" s="158"/>
      <c r="BE49" s="158"/>
      <c r="BF49" s="158"/>
      <c r="BG49" s="159">
        <f ca="1">TblProd[[#This Row],[Time]]</f>
        <v>46321.874999999891</v>
      </c>
      <c r="BH49" s="45"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94">
        <f ca="1">TblProd[[#This Row],[Platinum]]</f>
        <v>166135</v>
      </c>
      <c r="BJ49" s="94">
        <f ca="1">TblProd[[#This Row],[Food]]</f>
        <v>96413</v>
      </c>
      <c r="BK49" s="94">
        <f ca="1">TblProd[[#This Row],[Lumber]]</f>
        <v>45923</v>
      </c>
      <c r="BL49" s="94">
        <f ca="1">TblProd[[#This Row],[Mana]]</f>
        <v>0</v>
      </c>
      <c r="BM49" s="94">
        <f ca="1">TblProd[[#This Row],[Ore]]</f>
        <v>0</v>
      </c>
    </row>
    <row r="50" spans="1:65" x14ac:dyDescent="0.2">
      <c r="A50" s="137">
        <v>47</v>
      </c>
      <c r="B50" s="152">
        <f ca="1">TblImps[[#This Row],[Time]]</f>
        <v>46321.916666666555</v>
      </c>
      <c r="C50" s="153"/>
      <c r="D50" s="154"/>
      <c r="E50" s="94">
        <f ca="1">TblConstr[[#This Row],[Land]]</f>
        <v>50</v>
      </c>
      <c r="F50" s="94">
        <f ca="1">TblPop[[#This Row],[Peasants]]</f>
        <v>298</v>
      </c>
      <c r="G50" s="94">
        <f ca="1">TblMili[[#This Row],[Networth (2)]]</f>
        <v>1250</v>
      </c>
      <c r="H50" s="94">
        <f ca="1">OFFSET(TblProd[[#This Row],[Platinum]],-1,0)+OFFSET(TblProd[[#This Row],[Plat/hr]],-1,0) - TblProd[[#This Row],[Expenses Platinum]] + IF(TblProd[[#This Row],[Plat Bonus]],TblPop[[#This Row],[Peasants]]*4) + SUM(TblConstr[[#This Row],[Dest Hom]:[Dest Doc]])*TblConstr[[#This Row],[CPA Platinum -DB]]*tech_3_3_2*TblTech[[#This Row],[3-3]]</f>
        <v>166947</v>
      </c>
      <c r="I50" s="94">
        <f ca="1">OFFSET(TblProd[[#This Row],[Food]],-1,0)+OFFSET(TblProd[[#This Row],[Food/hr]],-1,0)+ROUNDUP((TblConstr[[#This Row],[Farms]]*80+TblConstr[[#This Row],[Docks]]*35)*(1+OFFSET(TblProd[[#This Row],[Bonus Food/hr]],-1,0)),0)</f>
        <v>97837</v>
      </c>
      <c r="J50" s="94">
        <f ca="1">OFFSET(TblProd[[#This Row],[Lumber]],-1,0)+OFFSET(TblProd[[#This Row],[Lumber/hr]],-1,0) - TblProd[[#This Row],[Expenses Lumber]] + SUM(TblConstr[[#This Row],[Dest Hom]:[Dest Doc]])*TblConstr[[#This Row],[CPA Lumber -DB]]*tech_3_3_2*TblTech[[#This Row],[3-3]]</f>
        <v>46464</v>
      </c>
      <c r="K50" s="94">
        <f ca="1">OFFSET(TblProd[[#This Row],[Mana]],-1,0)+OFFSET(TblProd[[#This Row],[Mana/hr]],-1,0)- TblProd[[#This Row],[Expenses Mana]]</f>
        <v>0</v>
      </c>
      <c r="L50" s="94">
        <f ca="1">OFFSET(TblProd[[#This Row],[Ore]],-1,0)+OFFSET(TblProd[[#This Row],[Ore/hr]],-1,0) -TblProd[[#This Row],[Expenses Ore]]</f>
        <v>0</v>
      </c>
      <c r="M50" s="94">
        <f ca="1">OFFSET(TblProd[[#This Row],[Gems]],-1,0)+OFFSET(TblProd[[#This Row],[Gems/hr]],-1,0) - TblProd[[#This Row],[Expenses Gems]]</f>
        <v>0</v>
      </c>
      <c r="N50" s="94">
        <f ca="1">OFFSET(TblProd[[#This Row],[Boats]],-1,0)+OFFSET(TblProd[[#This Row],[Boats/hr]],-1,0)</f>
        <v>0</v>
      </c>
      <c r="O50" s="94">
        <f ca="1">OFFSET(TblProd[[#This Row],[Prestige]],-1,0)</f>
        <v>250</v>
      </c>
      <c r="P5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0" s="94">
        <f ca="1">MAX(_xlfn.CEILING.MATH(TblProd[[#This Row],[Land]]*2.5+IFERROR(OFFSET(TblTech[[#This Row],[Sum of tech]],-1,0)*50,0)),3750)</f>
        <v>3750</v>
      </c>
      <c r="R50" s="142"/>
      <c r="S50" s="94">
        <f ca="1">ROUNDDOWN(TblProd[[#This Row],[Raw Plat/hr]]*(1+TblProd[[#This Row],[Bonus Plat/hr]]),0)</f>
        <v>804</v>
      </c>
      <c r="T50" s="94">
        <f ca="1">ROUND(TblProd[[#This Row],[Raw Food/hr]]*(1+TblProd[[#This Row],[Bonus Food/hr]])-TblProd[[#This Row],[Food decay]]-TblProd[[#This Row],[Food eaten]],0)</f>
        <v>1409</v>
      </c>
      <c r="U50" s="94">
        <f ca="1">ROUND(TblProd[[#This Row],[Raw Lumber/hr]]*(1+TblProd[[#This Row],[Bonus Lumber/hr]])-TblProd[[#This Row],[Lumber rot]],0)</f>
        <v>535</v>
      </c>
      <c r="V50" s="94">
        <f ca="1">ROUND(TblProd[[#This Row],[Raw Mana/hr]]*(1+TblProd[[#This Row],[Bonus Mana/hr]])-TblProd[[#This Row],[Mana drain]],0)</f>
        <v>0</v>
      </c>
      <c r="W50" s="94">
        <f ca="1">ROUNDDOWN(TblProd[[#This Row],[Raw Ore/hr]]*(1+TblProd[[#This Row],[Bonux Ore/hr]]),0)</f>
        <v>0</v>
      </c>
      <c r="X50" s="94">
        <f ca="1">ROUNDDOWN(TblProd[[#This Row],[Raw Gems/hr]]*(1+TblProd[[#This Row],[Bonus Gems/hr]]),0)</f>
        <v>0</v>
      </c>
      <c r="Y50" s="155">
        <f ca="1">OFFSET(TblConstr[[#This Row],[Tot Doc]],1,0)*dock_boats_hr * (1 + tech_4_1*TblTech[[#This Row],[4-1]])</f>
        <v>0</v>
      </c>
      <c r="Z50" s="154"/>
      <c r="AA50" s="94">
        <f ca="1">TblPop[[#This Row],[Peasants]]*tax*TblPop[[#This Row],[Employment]] + (Construction!AZ51+Construction!BX51)*(alch_plat+(Magic!AN50&gt;0)*alchemist_flame_bonus)</f>
        <v>804.6</v>
      </c>
      <c r="AB50" s="94">
        <f ca="1">TblConstr[[#This Row],[Tot Farm]]*farm_food + TblConstr[[#This Row],[Tot Doc]]*dock_food</f>
        <v>2400</v>
      </c>
      <c r="AC50" s="94">
        <f ca="1">TblConstr[[#This Row],[Tot Ly]]*ly_lumber + TblConstr[[#This Row],[Tot Hav]]*fh_lumber + IF(race="Wood Elf",TblMili[[#This Row],[Unit 2]]*MIN(TblMili[[#This Row],[Homeland%]]/wisp_bonus,wisp_cap),0)</f>
        <v>1000</v>
      </c>
      <c r="AD50" s="94">
        <f ca="1">OFFSET(TblConstr[[#This Row],[Tot Tow]],1,0)*(tower_mana + tech_4_5*TblTech[[#This Row],[4-5]]) + OFFSET(TblConstr[[#This Row],[Tot WG]],1,0)*wg_mana_prod</f>
        <v>0</v>
      </c>
      <c r="AE50" s="94">
        <f ca="1">OFFSET(TblConstr[[#This Row],[Tot OM]],1,0)*om_ore+IF(race="Dwarf",TblMili[[#This Row],[Unit 2]]*0.5,0)</f>
        <v>0</v>
      </c>
      <c r="AF50" s="94">
        <f ca="1">OFFSET(TblConstr[[#This Row],[Tot DM]],1,0)*dm_gems</f>
        <v>0</v>
      </c>
      <c r="AG50" s="142"/>
      <c r="AH50" s="156">
        <f ca="1">MIN(race_platinum_bonus + IF(TblMagic[[#This Row],[Active Arc Infusion]]&gt;0,alch_frost_bonus,IF(Magic!AE50&gt;0,midas_bonus)) + TblImps[[#This Row],[Science]] - TblProd[[#This Row],[Guard]]*(0.02 + tech_5_7*TblTech[[#This Row],[5-7]]) + tech_1_5*TblTech[[#This Row],[1-5]] + tech_4_4*TblTech[[#This Row],[4-4]] + IF(TblMagic[[#This Row],[Active Infernal Command]]&gt;0,demonic_pact_plat,0), 0.5)</f>
        <v>0</v>
      </c>
      <c r="AI5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0" s="156">
        <f ca="1">race_lumber_bonus+ IF(TblMagic[[#This Row],[Active Gaia''s Blessing]]&gt;0,gaias_blessing_lumber)+ tech_1_3*TblTech[[#This Row],[1-3]] + tech_1_6*TblTech[[#This Row],[1-6]] + tech_3_3*TblTech[[#This Row],[3-3]]</f>
        <v>0</v>
      </c>
      <c r="AK50" s="156">
        <f ca="1">race_mana_bonus+ 0 + TblImps[[#This Row],[Spires]] + tech_1_2*TblTech[[#This Row],[1-2]] + tech_3_4*TblTech[[#This Row],[3-4]]</f>
        <v>0</v>
      </c>
      <c r="AL50" s="156">
        <f ca="1">race_ore_bonus + IF(TblMagic[[#This Row],[Active Miner''s Sight]]&gt;0,miners_sight_bonus,IF(TblMagic[[#This Row],[Active Mining Strength]]&gt;0,mining_strength_bonus)) +  tech_1_6*TblTech[[#This Row],[1-6]]</f>
        <v>0</v>
      </c>
      <c r="AM50" s="156">
        <f>race_gem_bonus+ tech_3_2*TblTech[[#This Row],[3-2]] + tech_4_3*TblTech[[#This Row],[4-3]] + tech_6_2*TblTech[[#This Row],[6-2]]</f>
        <v>0</v>
      </c>
      <c r="AN50" s="142"/>
      <c r="AO50" s="94">
        <f ca="1">TblProd[[#This Row],[Food]]*food_decay * (1 + tech_2_1*TblTech[[#This Row],[2-1]] + tech_2_8*TblTech[[#This Row],[2-8]] + IF(AND(TblMagic[[#This Row],[Active DnD]]&lt;12,TblMagic[[#This Row],[Active DnD]]&gt;5),1,0))</f>
        <v>978.37</v>
      </c>
      <c r="AP50" s="94">
        <f ca="1">(1+race_food_consumption)*TblPop[[#This Row],[Total]]*food_per_person*(1+tech_1_10*TblTech[[#This Row],[1-10]]+tech_7_5*TblTech[[#This Row],[7-5]] + IF(TblMagic[[#This Row],[Active Infernal Command]]&gt;0,demonic_pact_food_cons,0))</f>
        <v>192.25</v>
      </c>
      <c r="AQ50" s="94">
        <f ca="1">TblProd[[#This Row],[Lumber]]*lumber_rot * (1 + tech_2_1*TblTech[[#This Row],[2-1]] + tech_2_8*TblTech[[#This Row],[2-8]] + tech_5_2*TblTech[[#This Row],[5-2]] + IF(AND(TblMagic[[#This Row],[Active DnD]]&lt;12,TblMagic[[#This Row],[Active DnD]]&gt;5),1,0))</f>
        <v>464.64</v>
      </c>
      <c r="AR50" s="94">
        <f ca="1">TblProd[[#This Row],[Mana]]*mana_drain * (1 + tech_2_1*TblTech[[#This Row],[2-1]] + tech_2_8*TblTech[[#This Row],[2-8]])</f>
        <v>0</v>
      </c>
      <c r="AS50" s="154"/>
      <c r="AT50" s="94">
        <f ca="1">TblExplore[[#This Row],[Platinum (2)]]+TblConstr[[#This Row],[Total Plat Cost]]+TblMili[[#This Row],[Plat Cost]]+TblRezone[[#This Row],[Platinum cost]]+TblImps[[#This Row],[P1]]-TblProd[[#This Row],[Bank Plat]]</f>
        <v>0</v>
      </c>
      <c r="AU50" s="94">
        <f ca="1">TblConstr[[#This Row],[Total Lum Cost]]+TblImps[[#This Row],[L1]]-TblProd[[#This Row],[Bank Lumber]] + Military!$CO$25*TblMili[[#This Row],[Sec. rec. Cost]]</f>
        <v>0</v>
      </c>
      <c r="AV50" s="94">
        <f ca="1">TblMagic[[#This Row],[Mana cost]] + Military!$CO$26*TblMili[[#This Row],[Sec. rec. Cost]]</f>
        <v>0</v>
      </c>
      <c r="AW50" s="94">
        <f ca="1">Military!$CO$24*TblMili[[#This Row],[Sec. rec. Cost]]+TblImps[[#This Row],[O1]]-TblProd[[#This Row],[Bank Ore]]</f>
        <v>0</v>
      </c>
      <c r="AX50" s="94">
        <f>TblImps[[#This Row],[G1]]-TblProd[[#This Row],[Bank Gems]]</f>
        <v>0</v>
      </c>
      <c r="AY50" s="142"/>
      <c r="AZ50" s="61" t="b">
        <f ca="1">IF(TblProd[[#This Row],[Set Guard]]&lt;&gt;"",TblProd[[#This Row],[Set Guard]],OFFSET(TblProd[[#This Row],[Guard]],-1,0))</f>
        <v>0</v>
      </c>
      <c r="BA50" s="153"/>
      <c r="BB50" s="45">
        <f>TblProd[[#This Row],[Hour]]</f>
        <v>47</v>
      </c>
      <c r="BC50" s="158">
        <f>-TblProd[[#This Row],[Bank Lumber]] / 2 + -TblProd[[#This Row],[Bank Gems]] * 2 + -TblProd[[#This Row],[Bank Ore]] / 2</f>
        <v>0</v>
      </c>
      <c r="BD50" s="158"/>
      <c r="BE50" s="158"/>
      <c r="BF50" s="158"/>
      <c r="BG50" s="159">
        <f ca="1">TblProd[[#This Row],[Time]]</f>
        <v>46321.916666666555</v>
      </c>
      <c r="BH50" s="45"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94">
        <f ca="1">TblProd[[#This Row],[Platinum]]</f>
        <v>166947</v>
      </c>
      <c r="BJ50" s="94">
        <f ca="1">TblProd[[#This Row],[Food]]</f>
        <v>97837</v>
      </c>
      <c r="BK50" s="94">
        <f ca="1">TblProd[[#This Row],[Lumber]]</f>
        <v>46464</v>
      </c>
      <c r="BL50" s="94">
        <f ca="1">TblProd[[#This Row],[Mana]]</f>
        <v>0</v>
      </c>
      <c r="BM50" s="94">
        <f ca="1">TblProd[[#This Row],[Ore]]</f>
        <v>0</v>
      </c>
    </row>
    <row r="51" spans="1:65" x14ac:dyDescent="0.2">
      <c r="A51" s="137">
        <v>48</v>
      </c>
      <c r="B51" s="152">
        <f ca="1">TblImps[[#This Row],[Time]]</f>
        <v>46321.958333333219</v>
      </c>
      <c r="C51" s="153"/>
      <c r="D51" s="154"/>
      <c r="E51" s="94">
        <f ca="1">TblConstr[[#This Row],[Land]]</f>
        <v>50</v>
      </c>
      <c r="F51" s="94">
        <f ca="1">TblPop[[#This Row],[Peasants]]</f>
        <v>295</v>
      </c>
      <c r="G51" s="94">
        <f ca="1">TblMili[[#This Row],[Networth (2)]]</f>
        <v>1250</v>
      </c>
      <c r="H51" s="94">
        <f ca="1">OFFSET(TblProd[[#This Row],[Platinum]],-1,0)+OFFSET(TblProd[[#This Row],[Plat/hr]],-1,0) - TblProd[[#This Row],[Expenses Platinum]] + IF(TblProd[[#This Row],[Plat Bonus]],TblPop[[#This Row],[Peasants]]*4) + SUM(TblConstr[[#This Row],[Dest Hom]:[Dest Doc]])*TblConstr[[#This Row],[CPA Platinum -DB]]*tech_3_3_2*TblTech[[#This Row],[3-3]]</f>
        <v>167751</v>
      </c>
      <c r="I51" s="94">
        <f ca="1">OFFSET(TblProd[[#This Row],[Food]],-1,0)+OFFSET(TblProd[[#This Row],[Food/hr]],-1,0)+ROUNDUP((TblConstr[[#This Row],[Farms]]*80+TblConstr[[#This Row],[Docks]]*35)*(1+OFFSET(TblProd[[#This Row],[Bonus Food/hr]],-1,0)),0)</f>
        <v>99246</v>
      </c>
      <c r="J51" s="94">
        <f ca="1">OFFSET(TblProd[[#This Row],[Lumber]],-1,0)+OFFSET(TblProd[[#This Row],[Lumber/hr]],-1,0) - TblProd[[#This Row],[Expenses Lumber]] + SUM(TblConstr[[#This Row],[Dest Hom]:[Dest Doc]])*TblConstr[[#This Row],[CPA Lumber -DB]]*tech_3_3_2*TblTech[[#This Row],[3-3]]</f>
        <v>46999</v>
      </c>
      <c r="K51" s="94">
        <f ca="1">OFFSET(TblProd[[#This Row],[Mana]],-1,0)+OFFSET(TblProd[[#This Row],[Mana/hr]],-1,0)- TblProd[[#This Row],[Expenses Mana]]</f>
        <v>0</v>
      </c>
      <c r="L51" s="94">
        <f ca="1">OFFSET(TblProd[[#This Row],[Ore]],-1,0)+OFFSET(TblProd[[#This Row],[Ore/hr]],-1,0) -TblProd[[#This Row],[Expenses Ore]]</f>
        <v>0</v>
      </c>
      <c r="M51" s="94">
        <f ca="1">OFFSET(TblProd[[#This Row],[Gems]],-1,0)+OFFSET(TblProd[[#This Row],[Gems/hr]],-1,0) - TblProd[[#This Row],[Expenses Gems]]</f>
        <v>0</v>
      </c>
      <c r="N51" s="94">
        <f ca="1">OFFSET(TblProd[[#This Row],[Boats]],-1,0)+OFFSET(TblProd[[#This Row],[Boats/hr]],-1,0)</f>
        <v>0</v>
      </c>
      <c r="O51" s="94">
        <f ca="1">OFFSET(TblProd[[#This Row],[Prestige]],-1,0)</f>
        <v>250</v>
      </c>
      <c r="P5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1" s="94">
        <f ca="1">MAX(_xlfn.CEILING.MATH(TblProd[[#This Row],[Land]]*2.5+IFERROR(OFFSET(TblTech[[#This Row],[Sum of tech]],-1,0)*50,0)),3750)</f>
        <v>3750</v>
      </c>
      <c r="R51" s="142"/>
      <c r="S51" s="94">
        <f ca="1">ROUNDDOWN(TblProd[[#This Row],[Raw Plat/hr]]*(1+TblProd[[#This Row],[Bonus Plat/hr]]),0)</f>
        <v>796</v>
      </c>
      <c r="T51" s="94">
        <f ca="1">ROUND(TblProd[[#This Row],[Raw Food/hr]]*(1+TblProd[[#This Row],[Bonus Food/hr]])-TblProd[[#This Row],[Food decay]]-TblProd[[#This Row],[Food eaten]],0)</f>
        <v>1395</v>
      </c>
      <c r="U51" s="94">
        <f ca="1">ROUND(TblProd[[#This Row],[Raw Lumber/hr]]*(1+TblProd[[#This Row],[Bonus Lumber/hr]])-TblProd[[#This Row],[Lumber rot]],0)</f>
        <v>530</v>
      </c>
      <c r="V51" s="94">
        <f ca="1">ROUND(TblProd[[#This Row],[Raw Mana/hr]]*(1+TblProd[[#This Row],[Bonus Mana/hr]])-TblProd[[#This Row],[Mana drain]],0)</f>
        <v>0</v>
      </c>
      <c r="W51" s="94">
        <f ca="1">ROUNDDOWN(TblProd[[#This Row],[Raw Ore/hr]]*(1+TblProd[[#This Row],[Bonux Ore/hr]]),0)</f>
        <v>0</v>
      </c>
      <c r="X51" s="94">
        <f ca="1">ROUNDDOWN(TblProd[[#This Row],[Raw Gems/hr]]*(1+TblProd[[#This Row],[Bonus Gems/hr]]),0)</f>
        <v>0</v>
      </c>
      <c r="Y51" s="155">
        <f ca="1">OFFSET(TblConstr[[#This Row],[Tot Doc]],1,0)*dock_boats_hr * (1 + tech_4_1*TblTech[[#This Row],[4-1]])</f>
        <v>0</v>
      </c>
      <c r="Z51" s="154"/>
      <c r="AA51" s="94">
        <f ca="1">TblPop[[#This Row],[Peasants]]*tax*TblPop[[#This Row],[Employment]] + (Construction!AZ52+Construction!BX52)*(alch_plat+(Magic!AN51&gt;0)*alchemist_flame_bonus)</f>
        <v>796.5</v>
      </c>
      <c r="AB51" s="94">
        <f ca="1">TblConstr[[#This Row],[Tot Farm]]*farm_food + TblConstr[[#This Row],[Tot Doc]]*dock_food</f>
        <v>2400</v>
      </c>
      <c r="AC51" s="94">
        <f ca="1">TblConstr[[#This Row],[Tot Ly]]*ly_lumber + TblConstr[[#This Row],[Tot Hav]]*fh_lumber + IF(race="Wood Elf",TblMili[[#This Row],[Unit 2]]*MIN(TblMili[[#This Row],[Homeland%]]/wisp_bonus,wisp_cap),0)</f>
        <v>1000</v>
      </c>
      <c r="AD51" s="94">
        <f ca="1">OFFSET(TblConstr[[#This Row],[Tot Tow]],1,0)*(tower_mana + tech_4_5*TblTech[[#This Row],[4-5]]) + OFFSET(TblConstr[[#This Row],[Tot WG]],1,0)*wg_mana_prod</f>
        <v>0</v>
      </c>
      <c r="AE51" s="94">
        <f ca="1">OFFSET(TblConstr[[#This Row],[Tot OM]],1,0)*om_ore+IF(race="Dwarf",TblMili[[#This Row],[Unit 2]]*0.5,0)</f>
        <v>0</v>
      </c>
      <c r="AF51" s="94">
        <f ca="1">OFFSET(TblConstr[[#This Row],[Tot DM]],1,0)*dm_gems</f>
        <v>0</v>
      </c>
      <c r="AG51" s="142"/>
      <c r="AH51" s="156">
        <f ca="1">MIN(race_platinum_bonus + IF(TblMagic[[#This Row],[Active Arc Infusion]]&gt;0,alch_frost_bonus,IF(Magic!AE51&gt;0,midas_bonus)) + TblImps[[#This Row],[Science]] - TblProd[[#This Row],[Guard]]*(0.02 + tech_5_7*TblTech[[#This Row],[5-7]]) + tech_1_5*TblTech[[#This Row],[1-5]] + tech_4_4*TblTech[[#This Row],[4-4]] + IF(TblMagic[[#This Row],[Active Infernal Command]]&gt;0,demonic_pact_plat,0), 0.5)</f>
        <v>0</v>
      </c>
      <c r="AI5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1" s="156">
        <f ca="1">race_lumber_bonus+ IF(TblMagic[[#This Row],[Active Gaia''s Blessing]]&gt;0,gaias_blessing_lumber)+ tech_1_3*TblTech[[#This Row],[1-3]] + tech_1_6*TblTech[[#This Row],[1-6]] + tech_3_3*TblTech[[#This Row],[3-3]]</f>
        <v>0</v>
      </c>
      <c r="AK51" s="156">
        <f ca="1">race_mana_bonus+ 0 + TblImps[[#This Row],[Spires]] + tech_1_2*TblTech[[#This Row],[1-2]] + tech_3_4*TblTech[[#This Row],[3-4]]</f>
        <v>0</v>
      </c>
      <c r="AL51" s="156">
        <f ca="1">race_ore_bonus + IF(TblMagic[[#This Row],[Active Miner''s Sight]]&gt;0,miners_sight_bonus,IF(TblMagic[[#This Row],[Active Mining Strength]]&gt;0,mining_strength_bonus)) +  tech_1_6*TblTech[[#This Row],[1-6]]</f>
        <v>0</v>
      </c>
      <c r="AM51" s="156">
        <f>race_gem_bonus+ tech_3_2*TblTech[[#This Row],[3-2]] + tech_4_3*TblTech[[#This Row],[4-3]] + tech_6_2*TblTech[[#This Row],[6-2]]</f>
        <v>0</v>
      </c>
      <c r="AN51" s="142"/>
      <c r="AO51" s="94">
        <f ca="1">TblProd[[#This Row],[Food]]*food_decay * (1 + tech_2_1*TblTech[[#This Row],[2-1]] + tech_2_8*TblTech[[#This Row],[2-8]] + IF(AND(TblMagic[[#This Row],[Active DnD]]&lt;12,TblMagic[[#This Row],[Active DnD]]&gt;5),1,0))</f>
        <v>992.46</v>
      </c>
      <c r="AP51" s="94">
        <f ca="1">(1+race_food_consumption)*TblPop[[#This Row],[Total]]*food_per_person*(1+tech_1_10*TblTech[[#This Row],[1-10]]+tech_7_5*TblTech[[#This Row],[7-5]] + IF(TblMagic[[#This Row],[Active Infernal Command]]&gt;0,demonic_pact_food_cons,0))</f>
        <v>192.25</v>
      </c>
      <c r="AQ51" s="94">
        <f ca="1">TblProd[[#This Row],[Lumber]]*lumber_rot * (1 + tech_2_1*TblTech[[#This Row],[2-1]] + tech_2_8*TblTech[[#This Row],[2-8]] + tech_5_2*TblTech[[#This Row],[5-2]] + IF(AND(TblMagic[[#This Row],[Active DnD]]&lt;12,TblMagic[[#This Row],[Active DnD]]&gt;5),1,0))</f>
        <v>469.99</v>
      </c>
      <c r="AR51" s="94">
        <f ca="1">TblProd[[#This Row],[Mana]]*mana_drain * (1 + tech_2_1*TblTech[[#This Row],[2-1]] + tech_2_8*TblTech[[#This Row],[2-8]])</f>
        <v>0</v>
      </c>
      <c r="AS51" s="154"/>
      <c r="AT51" s="94">
        <f ca="1">TblExplore[[#This Row],[Platinum (2)]]+TblConstr[[#This Row],[Total Plat Cost]]+TblMili[[#This Row],[Plat Cost]]+TblRezone[[#This Row],[Platinum cost]]+TblImps[[#This Row],[P1]]-TblProd[[#This Row],[Bank Plat]]</f>
        <v>0</v>
      </c>
      <c r="AU51" s="94">
        <f ca="1">TblConstr[[#This Row],[Total Lum Cost]]+TblImps[[#This Row],[L1]]-TblProd[[#This Row],[Bank Lumber]] + Military!$CO$25*TblMili[[#This Row],[Sec. rec. Cost]]</f>
        <v>0</v>
      </c>
      <c r="AV51" s="94">
        <f ca="1">TblMagic[[#This Row],[Mana cost]] + Military!$CO$26*TblMili[[#This Row],[Sec. rec. Cost]]</f>
        <v>0</v>
      </c>
      <c r="AW51" s="94">
        <f ca="1">Military!$CO$24*TblMili[[#This Row],[Sec. rec. Cost]]+TblImps[[#This Row],[O1]]-TblProd[[#This Row],[Bank Ore]]</f>
        <v>0</v>
      </c>
      <c r="AX51" s="94">
        <f>TblImps[[#This Row],[G1]]-TblProd[[#This Row],[Bank Gems]]</f>
        <v>0</v>
      </c>
      <c r="AY51" s="142"/>
      <c r="AZ51" s="61" t="b">
        <f ca="1">IF(TblProd[[#This Row],[Set Guard]]&lt;&gt;"",TblProd[[#This Row],[Set Guard]],OFFSET(TblProd[[#This Row],[Guard]],-1,0))</f>
        <v>0</v>
      </c>
      <c r="BA51" s="153"/>
      <c r="BB51" s="45">
        <f>TblProd[[#This Row],[Hour]]</f>
        <v>48</v>
      </c>
      <c r="BC51" s="158">
        <f>-TblProd[[#This Row],[Bank Lumber]] / 2 + -TblProd[[#This Row],[Bank Gems]] * 2 + -TblProd[[#This Row],[Bank Ore]] / 2</f>
        <v>0</v>
      </c>
      <c r="BD51" s="158"/>
      <c r="BE51" s="158"/>
      <c r="BF51" s="158"/>
      <c r="BG51" s="159">
        <f ca="1">TblProd[[#This Row],[Time]]</f>
        <v>46321.958333333219</v>
      </c>
      <c r="BH51" s="45"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94">
        <f ca="1">TblProd[[#This Row],[Platinum]]</f>
        <v>167751</v>
      </c>
      <c r="BJ51" s="94">
        <f ca="1">TblProd[[#This Row],[Food]]</f>
        <v>99246</v>
      </c>
      <c r="BK51" s="94">
        <f ca="1">TblProd[[#This Row],[Lumber]]</f>
        <v>46999</v>
      </c>
      <c r="BL51" s="94">
        <f ca="1">TblProd[[#This Row],[Mana]]</f>
        <v>0</v>
      </c>
      <c r="BM51" s="94">
        <f ca="1">TblProd[[#This Row],[Ore]]</f>
        <v>0</v>
      </c>
    </row>
    <row r="52" spans="1:65" s="5" customFormat="1" x14ac:dyDescent="0.2">
      <c r="A52" s="144" t="s">
        <v>229</v>
      </c>
      <c r="B52" s="160">
        <f ca="1">TblImps[[#This Row],[Time]]</f>
        <v>46321.999999999884</v>
      </c>
      <c r="C52" s="161"/>
      <c r="D52" s="162"/>
      <c r="E52" s="35">
        <f ca="1">TblConstr[[#This Row],[Land]]</f>
        <v>50</v>
      </c>
      <c r="F52" s="35">
        <f ca="1">TblPop[[#This Row],[Peasants]]</f>
        <v>292</v>
      </c>
      <c r="G52" s="35">
        <f ca="1">TblMili[[#This Row],[Networth (2)]]</f>
        <v>1250</v>
      </c>
      <c r="H52" s="35">
        <f ca="1">OFFSET(TblProd[[#This Row],[Platinum]],-1,0)+OFFSET(TblProd[[#This Row],[Plat/hr]],-1,0) - TblProd[[#This Row],[Expenses Platinum]] + IF(TblProd[[#This Row],[Plat Bonus]],TblPop[[#This Row],[Peasants]]*4) + SUM(TblConstr[[#This Row],[Dest Hom]:[Dest Doc]])*TblConstr[[#This Row],[CPA Platinum -DB]]*tech_3_3_2*TblTech[[#This Row],[3-3]]</f>
        <v>168547</v>
      </c>
      <c r="I52" s="35">
        <f ca="1">OFFSET(TblProd[[#This Row],[Food]],-1,0)+OFFSET(TblProd[[#This Row],[Food/hr]],-1,0)+ROUNDUP((TblConstr[[#This Row],[Farms]]*80+TblConstr[[#This Row],[Docks]]*35)*(1+OFFSET(TblProd[[#This Row],[Bonus Food/hr]],-1,0)),0)</f>
        <v>100641</v>
      </c>
      <c r="J52" s="35">
        <f ca="1">OFFSET(TblProd[[#This Row],[Lumber]],-1,0)+OFFSET(TblProd[[#This Row],[Lumber/hr]],-1,0) - TblProd[[#This Row],[Expenses Lumber]] + SUM(TblConstr[[#This Row],[Dest Hom]:[Dest Doc]])*TblConstr[[#This Row],[CPA Lumber -DB]]*tech_3_3_2*TblTech[[#This Row],[3-3]]</f>
        <v>47529</v>
      </c>
      <c r="K52" s="35">
        <f ca="1">OFFSET(TblProd[[#This Row],[Mana]],-1,0)+OFFSET(TblProd[[#This Row],[Mana/hr]],-1,0)- TblProd[[#This Row],[Expenses Mana]]</f>
        <v>0</v>
      </c>
      <c r="L52" s="35">
        <f ca="1">OFFSET(TblProd[[#This Row],[Ore]],-1,0)+OFFSET(TblProd[[#This Row],[Ore/hr]],-1,0) -TblProd[[#This Row],[Expenses Ore]]</f>
        <v>0</v>
      </c>
      <c r="M52" s="35">
        <f ca="1">OFFSET(TblProd[[#This Row],[Gems]],-1,0)+OFFSET(TblProd[[#This Row],[Gems/hr]],-1,0) - TblProd[[#This Row],[Expenses Gems]]</f>
        <v>0</v>
      </c>
      <c r="N52" s="35">
        <f ca="1">OFFSET(TblProd[[#This Row],[Boats]],-1,0)+OFFSET(TblProd[[#This Row],[Boats/hr]],-1,0)</f>
        <v>0</v>
      </c>
      <c r="O52" s="35">
        <f ca="1">OFFSET(TblProd[[#This Row],[Prestige]],-1,0)</f>
        <v>250</v>
      </c>
      <c r="P52" s="35">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2" s="35">
        <f ca="1">MAX(_xlfn.CEILING.MATH(TblProd[[#This Row],[Land]]*2.5+IFERROR(OFFSET(TblTech[[#This Row],[Sum of tech]],-1,0)*50,0)),3750)</f>
        <v>3750</v>
      </c>
      <c r="R52" s="149"/>
      <c r="S52" s="35">
        <f ca="1">ROUNDDOWN(TblProd[[#This Row],[Raw Plat/hr]]*(1+TblProd[[#This Row],[Bonus Plat/hr]]),0)</f>
        <v>788</v>
      </c>
      <c r="T52" s="35">
        <f ca="1">ROUND(TblProd[[#This Row],[Raw Food/hr]]*(1+TblProd[[#This Row],[Bonus Food/hr]])-TblProd[[#This Row],[Food decay]]-TblProd[[#This Row],[Food eaten]],0)</f>
        <v>1381</v>
      </c>
      <c r="U52" s="35">
        <f ca="1">ROUND(TblProd[[#This Row],[Raw Lumber/hr]]*(1+TblProd[[#This Row],[Bonus Lumber/hr]])-TblProd[[#This Row],[Lumber rot]],0)</f>
        <v>525</v>
      </c>
      <c r="V52" s="35">
        <f ca="1">ROUND(TblProd[[#This Row],[Raw Mana/hr]]*(1+TblProd[[#This Row],[Bonus Mana/hr]])-TblProd[[#This Row],[Mana drain]],0)</f>
        <v>0</v>
      </c>
      <c r="W52" s="35">
        <f ca="1">ROUNDDOWN(TblProd[[#This Row],[Raw Ore/hr]]*(1+TblProd[[#This Row],[Bonux Ore/hr]]),0)</f>
        <v>0</v>
      </c>
      <c r="X52" s="35">
        <f ca="1">ROUNDDOWN(TblProd[[#This Row],[Raw Gems/hr]]*(1+TblProd[[#This Row],[Bonus Gems/hr]]),0)</f>
        <v>0</v>
      </c>
      <c r="Y52" s="163">
        <f ca="1">OFFSET(TblConstr[[#This Row],[Tot Doc]],1,0)*dock_boats_hr * (1 + tech_4_1*TblTech[[#This Row],[4-1]])</f>
        <v>0</v>
      </c>
      <c r="Z52" s="162"/>
      <c r="AA52" s="35">
        <f ca="1">TblPop[[#This Row],[Peasants]]*tax*TblPop[[#This Row],[Employment]] + (Construction!AZ53+Construction!BX53)*(alch_plat+(Magic!AN52&gt;0)*alchemist_flame_bonus)</f>
        <v>788.40000000000009</v>
      </c>
      <c r="AB52" s="35">
        <f ca="1">TblConstr[[#This Row],[Tot Farm]]*farm_food + TblConstr[[#This Row],[Tot Doc]]*dock_food</f>
        <v>2400</v>
      </c>
      <c r="AC52" s="35">
        <f ca="1">TblConstr[[#This Row],[Tot Ly]]*ly_lumber + TblConstr[[#This Row],[Tot Hav]]*fh_lumber + IF(race="Wood Elf",TblMili[[#This Row],[Unit 2]]*MIN(TblMili[[#This Row],[Homeland%]]/wisp_bonus,wisp_cap),0)</f>
        <v>1000</v>
      </c>
      <c r="AD52" s="35">
        <f ca="1">OFFSET(TblConstr[[#This Row],[Tot Tow]],1,0)*(tower_mana + tech_4_5*TblTech[[#This Row],[4-5]]) + OFFSET(TblConstr[[#This Row],[Tot WG]],1,0)*wg_mana_prod</f>
        <v>0</v>
      </c>
      <c r="AE52" s="35">
        <f ca="1">OFFSET(TblConstr[[#This Row],[Tot OM]],1,0)*om_ore+IF(race="Dwarf",TblMili[[#This Row],[Unit 2]]*0.5,0)</f>
        <v>0</v>
      </c>
      <c r="AF52" s="35">
        <f ca="1">OFFSET(TblConstr[[#This Row],[Tot DM]],1,0)*dm_gems</f>
        <v>0</v>
      </c>
      <c r="AG52" s="149"/>
      <c r="AH52" s="164">
        <f ca="1">MIN(race_platinum_bonus + IF(TblMagic[[#This Row],[Active Arc Infusion]]&gt;0,alch_frost_bonus,IF(Magic!AE52&gt;0,midas_bonus)) + TblImps[[#This Row],[Science]] - TblProd[[#This Row],[Guard]]*(0.02 + tech_5_7*TblTech[[#This Row],[5-7]]) + tech_1_5*TblTech[[#This Row],[1-5]] + tech_4_4*TblTech[[#This Row],[4-4]] + IF(TblMagic[[#This Row],[Active Infernal Command]]&gt;0,demonic_pact_plat,0), 0.5)</f>
        <v>0</v>
      </c>
      <c r="AI52" s="165">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2" s="164">
        <f ca="1">race_lumber_bonus+ IF(TblMagic[[#This Row],[Active Gaia''s Blessing]]&gt;0,gaias_blessing_lumber)+ tech_1_3*TblTech[[#This Row],[1-3]] + tech_1_6*TblTech[[#This Row],[1-6]] + tech_3_3*TblTech[[#This Row],[3-3]]</f>
        <v>0</v>
      </c>
      <c r="AK52" s="164">
        <f ca="1">race_mana_bonus+ 0 + TblImps[[#This Row],[Spires]] + tech_1_2*TblTech[[#This Row],[1-2]] + tech_3_4*TblTech[[#This Row],[3-4]]</f>
        <v>0</v>
      </c>
      <c r="AL52" s="164">
        <f ca="1">race_ore_bonus + IF(TblMagic[[#This Row],[Active Miner''s Sight]]&gt;0,miners_sight_bonus,IF(TblMagic[[#This Row],[Active Mining Strength]]&gt;0,mining_strength_bonus)) +  tech_1_6*TblTech[[#This Row],[1-6]]</f>
        <v>0</v>
      </c>
      <c r="AM52" s="164">
        <f>race_gem_bonus+ tech_3_2*TblTech[[#This Row],[3-2]] + tech_4_3*TblTech[[#This Row],[4-3]] + tech_6_2*TblTech[[#This Row],[6-2]]</f>
        <v>0</v>
      </c>
      <c r="AN52" s="149"/>
      <c r="AO52" s="35">
        <f ca="1">TblProd[[#This Row],[Food]]*food_decay * (1 + tech_2_1*TblTech[[#This Row],[2-1]] + tech_2_8*TblTech[[#This Row],[2-8]] + IF(AND(TblMagic[[#This Row],[Active DnD]]&lt;12,TblMagic[[#This Row],[Active DnD]]&gt;5),1,0))</f>
        <v>1006.41</v>
      </c>
      <c r="AP52" s="35">
        <f ca="1">(1+race_food_consumption)*TblPop[[#This Row],[Total]]*food_per_person*(1+tech_1_10*TblTech[[#This Row],[1-10]]+tech_7_5*TblTech[[#This Row],[7-5]] + IF(TblMagic[[#This Row],[Active Infernal Command]]&gt;0,demonic_pact_food_cons,0))</f>
        <v>192.25</v>
      </c>
      <c r="AQ52" s="35">
        <f ca="1">TblProd[[#This Row],[Lumber]]*lumber_rot * (1 + tech_2_1*TblTech[[#This Row],[2-1]] + tech_2_8*TblTech[[#This Row],[2-8]] + tech_5_2*TblTech[[#This Row],[5-2]] + IF(AND(TblMagic[[#This Row],[Active DnD]]&lt;12,TblMagic[[#This Row],[Active DnD]]&gt;5),1,0))</f>
        <v>475.29</v>
      </c>
      <c r="AR52" s="35">
        <f ca="1">TblProd[[#This Row],[Mana]]*mana_drain * (1 + tech_2_1*TblTech[[#This Row],[2-1]] + tech_2_8*TblTech[[#This Row],[2-8]])</f>
        <v>0</v>
      </c>
      <c r="AS52" s="162"/>
      <c r="AT52" s="35">
        <f ca="1">TblExplore[[#This Row],[Platinum (2)]]+TblConstr[[#This Row],[Total Plat Cost]]+TblMili[[#This Row],[Plat Cost]]+TblRezone[[#This Row],[Platinum cost]]+TblImps[[#This Row],[P1]]-TblProd[[#This Row],[Bank Plat]]</f>
        <v>0</v>
      </c>
      <c r="AU52" s="35">
        <f ca="1">TblConstr[[#This Row],[Total Lum Cost]]+TblImps[[#This Row],[L1]]-TblProd[[#This Row],[Bank Lumber]] + Military!$CO$25*TblMili[[#This Row],[Sec. rec. Cost]]</f>
        <v>0</v>
      </c>
      <c r="AV52" s="35">
        <f ca="1">TblMagic[[#This Row],[Mana cost]] + Military!$CO$26*TblMili[[#This Row],[Sec. rec. Cost]]</f>
        <v>0</v>
      </c>
      <c r="AW52" s="35">
        <f ca="1">Military!$CO$24*TblMili[[#This Row],[Sec. rec. Cost]]+TblImps[[#This Row],[O1]]-TblProd[[#This Row],[Bank Ore]]</f>
        <v>0</v>
      </c>
      <c r="AX52" s="35">
        <f>TblImps[[#This Row],[G1]]-TblProd[[#This Row],[Bank Gems]]</f>
        <v>0</v>
      </c>
      <c r="AY52" s="149"/>
      <c r="AZ52" s="148" t="b">
        <f ca="1">IF(TblProd[[#This Row],[Set Guard]]&lt;&gt;"",TblProd[[#This Row],[Set Guard]],OFFSET(TblProd[[#This Row],[Guard]],-1,0))</f>
        <v>0</v>
      </c>
      <c r="BA52" s="161"/>
      <c r="BB52" s="5" t="str">
        <f>TblProd[[#This Row],[Hour]]</f>
        <v>OOP</v>
      </c>
      <c r="BC52" s="166">
        <f>-TblProd[[#This Row],[Bank Lumber]] / 2 + -TblProd[[#This Row],[Bank Gems]] * 2 + -TblProd[[#This Row],[Bank Ore]] / 2</f>
        <v>0</v>
      </c>
      <c r="BD52" s="166"/>
      <c r="BE52" s="166"/>
      <c r="BF52" s="166"/>
      <c r="BG52" s="167">
        <f ca="1">TblProd[[#This Row],[Time]]</f>
        <v>46321.999999999884</v>
      </c>
      <c r="BH52" s="5"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35">
        <f ca="1">TblProd[[#This Row],[Platinum]]</f>
        <v>168547</v>
      </c>
      <c r="BJ52" s="35">
        <f ca="1">TblProd[[#This Row],[Food]]</f>
        <v>100641</v>
      </c>
      <c r="BK52" s="35">
        <f ca="1">TblProd[[#This Row],[Lumber]]</f>
        <v>47529</v>
      </c>
      <c r="BL52" s="35">
        <f ca="1">TblProd[[#This Row],[Mana]]</f>
        <v>0</v>
      </c>
      <c r="BM52" s="35">
        <f ca="1">TblProd[[#This Row],[Ore]]</f>
        <v>0</v>
      </c>
    </row>
    <row r="53" spans="1:65" x14ac:dyDescent="0.2">
      <c r="A53" s="137">
        <v>2</v>
      </c>
      <c r="B53" s="152">
        <f ca="1">TblImps[[#This Row],[Time]]</f>
        <v>46322.041666666548</v>
      </c>
      <c r="C53" s="153"/>
      <c r="D53" s="154"/>
      <c r="E53" s="94">
        <f ca="1">TblConstr[[#This Row],[Land]]</f>
        <v>50</v>
      </c>
      <c r="F53" s="94">
        <f ca="1">TblPop[[#This Row],[Peasants]]</f>
        <v>289</v>
      </c>
      <c r="G53" s="94">
        <f ca="1">TblMili[[#This Row],[Networth (2)]]</f>
        <v>1250</v>
      </c>
      <c r="H53" s="94">
        <f ca="1">OFFSET(TblProd[[#This Row],[Platinum]],-1,0)+OFFSET(TblProd[[#This Row],[Plat/hr]],-1,0) - TblProd[[#This Row],[Expenses Platinum]] + IF(TblProd[[#This Row],[Plat Bonus]],TblPop[[#This Row],[Peasants]]*4) + SUM(TblConstr[[#This Row],[Dest Hom]:[Dest Doc]])*TblConstr[[#This Row],[CPA Platinum -DB]]*tech_3_3_2*TblTech[[#This Row],[3-3]]</f>
        <v>169335</v>
      </c>
      <c r="I53" s="94">
        <f ca="1">OFFSET(TblProd[[#This Row],[Food]],-1,0)+OFFSET(TblProd[[#This Row],[Food/hr]],-1,0)+ROUNDUP((TblConstr[[#This Row],[Farms]]*80+TblConstr[[#This Row],[Docks]]*35)*(1+OFFSET(TblProd[[#This Row],[Bonus Food/hr]],-1,0)),0)</f>
        <v>102022</v>
      </c>
      <c r="J53" s="94">
        <f ca="1">OFFSET(TblProd[[#This Row],[Lumber]],-1,0)+OFFSET(TblProd[[#This Row],[Lumber/hr]],-1,0) - TblProd[[#This Row],[Expenses Lumber]] + SUM(TblConstr[[#This Row],[Dest Hom]:[Dest Doc]])*TblConstr[[#This Row],[CPA Lumber -DB]]*tech_3_3_2*TblTech[[#This Row],[3-3]]</f>
        <v>48054</v>
      </c>
      <c r="K53" s="94">
        <f ca="1">OFFSET(TblProd[[#This Row],[Mana]],-1,0)+OFFSET(TblProd[[#This Row],[Mana/hr]],-1,0)- TblProd[[#This Row],[Expenses Mana]]</f>
        <v>0</v>
      </c>
      <c r="L53" s="94">
        <f ca="1">OFFSET(TblProd[[#This Row],[Ore]],-1,0)+OFFSET(TblProd[[#This Row],[Ore/hr]],-1,0) -TblProd[[#This Row],[Expenses Ore]]</f>
        <v>0</v>
      </c>
      <c r="M53" s="94">
        <f ca="1">OFFSET(TblProd[[#This Row],[Gems]],-1,0)+OFFSET(TblProd[[#This Row],[Gems/hr]],-1,0) - TblProd[[#This Row],[Expenses Gems]]</f>
        <v>0</v>
      </c>
      <c r="N53" s="94">
        <f ca="1">OFFSET(TblProd[[#This Row],[Boats]],-1,0)+OFFSET(TblProd[[#This Row],[Boats/hr]],-1,0)</f>
        <v>0</v>
      </c>
      <c r="O53" s="94">
        <f ca="1">OFFSET(TblProd[[#This Row],[Prestige]],-1,0)</f>
        <v>250</v>
      </c>
      <c r="P5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3" s="94">
        <f ca="1">MAX(_xlfn.CEILING.MATH(TblProd[[#This Row],[Land]]*2.5+IFERROR(OFFSET(TblTech[[#This Row],[Sum of tech]],-1,0)*50,0)),3750)</f>
        <v>3750</v>
      </c>
      <c r="R53" s="142"/>
      <c r="S53" s="94">
        <f ca="1">ROUNDDOWN(TblProd[[#This Row],[Raw Plat/hr]]*(1+TblProd[[#This Row],[Bonus Plat/hr]]),0)</f>
        <v>780</v>
      </c>
      <c r="T53" s="94">
        <f ca="1">ROUND(TblProd[[#This Row],[Raw Food/hr]]*(1+TblProd[[#This Row],[Bonus Food/hr]])-TblProd[[#This Row],[Food decay]]-TblProd[[#This Row],[Food eaten]],0)</f>
        <v>1368</v>
      </c>
      <c r="U53" s="94">
        <f ca="1">ROUND(TblProd[[#This Row],[Raw Lumber/hr]]*(1+TblProd[[#This Row],[Bonus Lumber/hr]])-TblProd[[#This Row],[Lumber rot]],0)</f>
        <v>519</v>
      </c>
      <c r="V53" s="94">
        <f ca="1">ROUND(TblProd[[#This Row],[Raw Mana/hr]]*(1+TblProd[[#This Row],[Bonus Mana/hr]])-TblProd[[#This Row],[Mana drain]],0)</f>
        <v>0</v>
      </c>
      <c r="W53" s="94">
        <f ca="1">ROUNDDOWN(TblProd[[#This Row],[Raw Ore/hr]]*(1+TblProd[[#This Row],[Bonux Ore/hr]]),0)</f>
        <v>0</v>
      </c>
      <c r="X53" s="94">
        <f ca="1">ROUNDDOWN(TblProd[[#This Row],[Raw Gems/hr]]*(1+TblProd[[#This Row],[Bonus Gems/hr]]),0)</f>
        <v>0</v>
      </c>
      <c r="Y53" s="155">
        <f ca="1">OFFSET(TblConstr[[#This Row],[Tot Doc]],1,0)*dock_boats_hr * (1 + tech_4_1*TblTech[[#This Row],[4-1]])</f>
        <v>0</v>
      </c>
      <c r="Z53" s="154"/>
      <c r="AA53" s="94">
        <f ca="1">TblPop[[#This Row],[Peasants]]*tax*TblPop[[#This Row],[Employment]] + (Construction!AZ54+Construction!BX54)*(alch_plat+(Magic!AN53&gt;0)*alchemist_flame_bonus)</f>
        <v>780.30000000000007</v>
      </c>
      <c r="AB53" s="94">
        <f ca="1">TblConstr[[#This Row],[Tot Farm]]*farm_food + TblConstr[[#This Row],[Tot Doc]]*dock_food</f>
        <v>2400</v>
      </c>
      <c r="AC53" s="94">
        <f ca="1">TblConstr[[#This Row],[Tot Ly]]*ly_lumber + TblConstr[[#This Row],[Tot Hav]]*fh_lumber + IF(race="Wood Elf",TblMili[[#This Row],[Unit 2]]*MIN(TblMili[[#This Row],[Homeland%]]/wisp_bonus,wisp_cap),0)</f>
        <v>1000</v>
      </c>
      <c r="AD53" s="94">
        <f ca="1">OFFSET(TblConstr[[#This Row],[Tot Tow]],1,0)*(tower_mana + tech_4_5*TblTech[[#This Row],[4-5]]) + OFFSET(TblConstr[[#This Row],[Tot WG]],1,0)*wg_mana_prod</f>
        <v>0</v>
      </c>
      <c r="AE53" s="94">
        <f ca="1">OFFSET(TblConstr[[#This Row],[Tot OM]],1,0)*om_ore+IF(race="Dwarf",TblMili[[#This Row],[Unit 2]]*0.5,0)</f>
        <v>0</v>
      </c>
      <c r="AF53" s="94">
        <f ca="1">OFFSET(TblConstr[[#This Row],[Tot DM]],1,0)*dm_gems</f>
        <v>0</v>
      </c>
      <c r="AG53" s="142"/>
      <c r="AH53" s="156">
        <f ca="1">MIN(race_platinum_bonus + IF(TblMagic[[#This Row],[Active Arc Infusion]]&gt;0,alch_frost_bonus,IF(Magic!AE53&gt;0,midas_bonus)) + TblImps[[#This Row],[Science]] - TblProd[[#This Row],[Guard]]*(0.02 + tech_5_7*TblTech[[#This Row],[5-7]]) + tech_1_5*TblTech[[#This Row],[1-5]] + tech_4_4*TblTech[[#This Row],[4-4]] + IF(TblMagic[[#This Row],[Active Infernal Command]]&gt;0,demonic_pact_plat,0), 0.5)</f>
        <v>0</v>
      </c>
      <c r="AI5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3" s="156">
        <f ca="1">race_lumber_bonus+ IF(TblMagic[[#This Row],[Active Gaia''s Blessing]]&gt;0,gaias_blessing_lumber)+ tech_1_3*TblTech[[#This Row],[1-3]] + tech_1_6*TblTech[[#This Row],[1-6]] + tech_3_3*TblTech[[#This Row],[3-3]]</f>
        <v>0</v>
      </c>
      <c r="AK53" s="156">
        <f ca="1">race_mana_bonus+ 0 + TblImps[[#This Row],[Spires]] + tech_1_2*TblTech[[#This Row],[1-2]] + tech_3_4*TblTech[[#This Row],[3-4]]</f>
        <v>0</v>
      </c>
      <c r="AL53" s="156">
        <f ca="1">race_ore_bonus + IF(TblMagic[[#This Row],[Active Miner''s Sight]]&gt;0,miners_sight_bonus,IF(TblMagic[[#This Row],[Active Mining Strength]]&gt;0,mining_strength_bonus)) +  tech_1_6*TblTech[[#This Row],[1-6]]</f>
        <v>0</v>
      </c>
      <c r="AM53" s="156">
        <f>race_gem_bonus+ tech_3_2*TblTech[[#This Row],[3-2]] + tech_4_3*TblTech[[#This Row],[4-3]] + tech_6_2*TblTech[[#This Row],[6-2]]</f>
        <v>0</v>
      </c>
      <c r="AN53" s="142"/>
      <c r="AO53" s="94">
        <f ca="1">TblProd[[#This Row],[Food]]*food_decay * (1 + tech_2_1*TblTech[[#This Row],[2-1]] + tech_2_8*TblTech[[#This Row],[2-8]] + IF(AND(TblMagic[[#This Row],[Active DnD]]&lt;12,TblMagic[[#This Row],[Active DnD]]&gt;5),1,0))</f>
        <v>1020.22</v>
      </c>
      <c r="AP53" s="94">
        <f ca="1">(1+race_food_consumption)*TblPop[[#This Row],[Total]]*food_per_person*(1+tech_1_10*TblTech[[#This Row],[1-10]]+tech_7_5*TblTech[[#This Row],[7-5]] + IF(TblMagic[[#This Row],[Active Infernal Command]]&gt;0,demonic_pact_food_cons,0))</f>
        <v>192.25</v>
      </c>
      <c r="AQ53" s="94">
        <f ca="1">TblProd[[#This Row],[Lumber]]*lumber_rot * (1 + tech_2_1*TblTech[[#This Row],[2-1]] + tech_2_8*TblTech[[#This Row],[2-8]] + tech_5_2*TblTech[[#This Row],[5-2]] + IF(AND(TblMagic[[#This Row],[Active DnD]]&lt;12,TblMagic[[#This Row],[Active DnD]]&gt;5),1,0))</f>
        <v>480.54</v>
      </c>
      <c r="AR53" s="94">
        <f ca="1">TblProd[[#This Row],[Mana]]*mana_drain * (1 + tech_2_1*TblTech[[#This Row],[2-1]] + tech_2_8*TblTech[[#This Row],[2-8]])</f>
        <v>0</v>
      </c>
      <c r="AS53" s="154"/>
      <c r="AT53" s="94">
        <f ca="1">TblExplore[[#This Row],[Platinum (2)]]+TblConstr[[#This Row],[Total Plat Cost]]+TblMili[[#This Row],[Plat Cost]]+TblRezone[[#This Row],[Platinum cost]]+TblImps[[#This Row],[P1]]-TblProd[[#This Row],[Bank Plat]]</f>
        <v>0</v>
      </c>
      <c r="AU53" s="94">
        <f ca="1">TblConstr[[#This Row],[Total Lum Cost]]+TblImps[[#This Row],[L1]]-TblProd[[#This Row],[Bank Lumber]] + Military!$CO$25*TblMili[[#This Row],[Sec. rec. Cost]]</f>
        <v>0</v>
      </c>
      <c r="AV53" s="94">
        <f ca="1">TblMagic[[#This Row],[Mana cost]] + Military!$CO$26*TblMili[[#This Row],[Sec. rec. Cost]]</f>
        <v>0</v>
      </c>
      <c r="AW53" s="94">
        <f ca="1">Military!$CO$24*TblMili[[#This Row],[Sec. rec. Cost]]+TblImps[[#This Row],[O1]]-TblProd[[#This Row],[Bank Ore]]</f>
        <v>0</v>
      </c>
      <c r="AX53" s="94">
        <f>TblImps[[#This Row],[G1]]-TblProd[[#This Row],[Bank Gems]]</f>
        <v>0</v>
      </c>
      <c r="AY53" s="142"/>
      <c r="AZ53" s="61" t="b">
        <f ca="1">IF(TblProd[[#This Row],[Set Guard]]&lt;&gt;"",TblProd[[#This Row],[Set Guard]],OFFSET(TblProd[[#This Row],[Guard]],-1,0))</f>
        <v>0</v>
      </c>
      <c r="BA53" s="153"/>
      <c r="BB53" s="45">
        <f>TblProd[[#This Row],[Hour]]</f>
        <v>2</v>
      </c>
      <c r="BC53" s="158">
        <f>-TblProd[[#This Row],[Bank Lumber]] / 2 + -TblProd[[#This Row],[Bank Gems]] * 2 + -TblProd[[#This Row],[Bank Ore]] / 2</f>
        <v>0</v>
      </c>
      <c r="BD53" s="158"/>
      <c r="BE53" s="158"/>
      <c r="BF53" s="158"/>
      <c r="BG53" s="159">
        <f ca="1">TblProd[[#This Row],[Time]]</f>
        <v>46322.041666666548</v>
      </c>
      <c r="BH53" s="45"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94">
        <f ca="1">TblProd[[#This Row],[Platinum]]</f>
        <v>169335</v>
      </c>
      <c r="BJ53" s="94">
        <f ca="1">TblProd[[#This Row],[Food]]</f>
        <v>102022</v>
      </c>
      <c r="BK53" s="94">
        <f ca="1">TblProd[[#This Row],[Lumber]]</f>
        <v>48054</v>
      </c>
      <c r="BL53" s="94">
        <f ca="1">TblProd[[#This Row],[Mana]]</f>
        <v>0</v>
      </c>
      <c r="BM53" s="94">
        <f ca="1">TblProd[[#This Row],[Ore]]</f>
        <v>0</v>
      </c>
    </row>
    <row r="54" spans="1:65" x14ac:dyDescent="0.2">
      <c r="A54" s="137">
        <f>A53+1</f>
        <v>3</v>
      </c>
      <c r="B54" s="152">
        <f ca="1">TblImps[[#This Row],[Time]]</f>
        <v>46322.083333333212</v>
      </c>
      <c r="C54" s="153"/>
      <c r="D54" s="154"/>
      <c r="E54" s="94">
        <f ca="1">TblConstr[[#This Row],[Land]]</f>
        <v>50</v>
      </c>
      <c r="F54" s="94">
        <f ca="1">TblPop[[#This Row],[Peasants]]</f>
        <v>286</v>
      </c>
      <c r="G54" s="94">
        <f ca="1">TblMili[[#This Row],[Networth (2)]]</f>
        <v>1250</v>
      </c>
      <c r="H54" s="94">
        <f ca="1">OFFSET(TblProd[[#This Row],[Platinum]],-1,0)+OFFSET(TblProd[[#This Row],[Plat/hr]],-1,0) - TblProd[[#This Row],[Expenses Platinum]] + IF(TblProd[[#This Row],[Plat Bonus]],TblPop[[#This Row],[Peasants]]*4) + SUM(TblConstr[[#This Row],[Dest Hom]:[Dest Doc]])*TblConstr[[#This Row],[CPA Platinum -DB]]*tech_3_3_2*TblTech[[#This Row],[3-3]]</f>
        <v>170115</v>
      </c>
      <c r="I54" s="94">
        <f ca="1">OFFSET(TblProd[[#This Row],[Food]],-1,0)+OFFSET(TblProd[[#This Row],[Food/hr]],-1,0)+ROUNDUP((TblConstr[[#This Row],[Farms]]*80+TblConstr[[#This Row],[Docks]]*35)*(1+OFFSET(TblProd[[#This Row],[Bonus Food/hr]],-1,0)),0)</f>
        <v>103390</v>
      </c>
      <c r="J54" s="94">
        <f ca="1">OFFSET(TblProd[[#This Row],[Lumber]],-1,0)+OFFSET(TblProd[[#This Row],[Lumber/hr]],-1,0) - TblProd[[#This Row],[Expenses Lumber]] + SUM(TblConstr[[#This Row],[Dest Hom]:[Dest Doc]])*TblConstr[[#This Row],[CPA Lumber -DB]]*tech_3_3_2*TblTech[[#This Row],[3-3]]</f>
        <v>48573</v>
      </c>
      <c r="K54" s="94">
        <f ca="1">OFFSET(TblProd[[#This Row],[Mana]],-1,0)+OFFSET(TblProd[[#This Row],[Mana/hr]],-1,0)- TblProd[[#This Row],[Expenses Mana]]</f>
        <v>0</v>
      </c>
      <c r="L54" s="94">
        <f ca="1">OFFSET(TblProd[[#This Row],[Ore]],-1,0)+OFFSET(TblProd[[#This Row],[Ore/hr]],-1,0) -TblProd[[#This Row],[Expenses Ore]]</f>
        <v>0</v>
      </c>
      <c r="M54" s="94">
        <f ca="1">OFFSET(TblProd[[#This Row],[Gems]],-1,0)+OFFSET(TblProd[[#This Row],[Gems/hr]],-1,0) - TblProd[[#This Row],[Expenses Gems]]</f>
        <v>0</v>
      </c>
      <c r="N54" s="94">
        <f ca="1">OFFSET(TblProd[[#This Row],[Boats]],-1,0)+OFFSET(TblProd[[#This Row],[Boats/hr]],-1,0)</f>
        <v>0</v>
      </c>
      <c r="O54" s="94">
        <f ca="1">OFFSET(TblProd[[#This Row],[Prestige]],-1,0)</f>
        <v>250</v>
      </c>
      <c r="P5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4" s="94">
        <f ca="1">MAX(_xlfn.CEILING.MATH(TblProd[[#This Row],[Land]]*2.5+IFERROR(OFFSET(TblTech[[#This Row],[Sum of tech]],-1,0)*50,0)),3750)</f>
        <v>3750</v>
      </c>
      <c r="R54" s="142"/>
      <c r="S54" s="94">
        <f ca="1">ROUNDDOWN(TblProd[[#This Row],[Raw Plat/hr]]*(1+TblProd[[#This Row],[Bonus Plat/hr]]),0)</f>
        <v>772</v>
      </c>
      <c r="T54" s="94">
        <f ca="1">ROUND(TblProd[[#This Row],[Raw Food/hr]]*(1+TblProd[[#This Row],[Bonus Food/hr]])-TblProd[[#This Row],[Food decay]]-TblProd[[#This Row],[Food eaten]],0)</f>
        <v>1354</v>
      </c>
      <c r="U54" s="94">
        <f ca="1">ROUND(TblProd[[#This Row],[Raw Lumber/hr]]*(1+TblProd[[#This Row],[Bonus Lumber/hr]])-TblProd[[#This Row],[Lumber rot]],0)</f>
        <v>514</v>
      </c>
      <c r="V54" s="94">
        <f ca="1">ROUND(TblProd[[#This Row],[Raw Mana/hr]]*(1+TblProd[[#This Row],[Bonus Mana/hr]])-TblProd[[#This Row],[Mana drain]],0)</f>
        <v>0</v>
      </c>
      <c r="W54" s="94">
        <f ca="1">ROUNDDOWN(TblProd[[#This Row],[Raw Ore/hr]]*(1+TblProd[[#This Row],[Bonux Ore/hr]]),0)</f>
        <v>0</v>
      </c>
      <c r="X54" s="94">
        <f ca="1">ROUNDDOWN(TblProd[[#This Row],[Raw Gems/hr]]*(1+TblProd[[#This Row],[Bonus Gems/hr]]),0)</f>
        <v>0</v>
      </c>
      <c r="Y54" s="155">
        <f ca="1">OFFSET(TblConstr[[#This Row],[Tot Doc]],1,0)*dock_boats_hr * (1 + tech_4_1*TblTech[[#This Row],[4-1]])</f>
        <v>0</v>
      </c>
      <c r="Z54" s="154"/>
      <c r="AA54" s="94">
        <f ca="1">TblPop[[#This Row],[Peasants]]*tax*TblPop[[#This Row],[Employment]] + (Construction!AZ55+Construction!BX55)*(alch_plat+(Magic!AN54&gt;0)*alchemist_flame_bonus)</f>
        <v>772.2</v>
      </c>
      <c r="AB54" s="94">
        <f ca="1">TblConstr[[#This Row],[Tot Farm]]*farm_food + TblConstr[[#This Row],[Tot Doc]]*dock_food</f>
        <v>2400</v>
      </c>
      <c r="AC54" s="94">
        <f ca="1">TblConstr[[#This Row],[Tot Ly]]*ly_lumber + TblConstr[[#This Row],[Tot Hav]]*fh_lumber + IF(race="Wood Elf",TblMili[[#This Row],[Unit 2]]*MIN(TblMili[[#This Row],[Homeland%]]/wisp_bonus,wisp_cap),0)</f>
        <v>1000</v>
      </c>
      <c r="AD54" s="94">
        <f ca="1">OFFSET(TblConstr[[#This Row],[Tot Tow]],1,0)*(tower_mana + tech_4_5*TblTech[[#This Row],[4-5]]) + OFFSET(TblConstr[[#This Row],[Tot WG]],1,0)*wg_mana_prod</f>
        <v>0</v>
      </c>
      <c r="AE54" s="94">
        <f ca="1">OFFSET(TblConstr[[#This Row],[Tot OM]],1,0)*om_ore+IF(race="Dwarf",TblMili[[#This Row],[Unit 2]]*0.5,0)</f>
        <v>0</v>
      </c>
      <c r="AF54" s="94">
        <f ca="1">OFFSET(TblConstr[[#This Row],[Tot DM]],1,0)*dm_gems</f>
        <v>0</v>
      </c>
      <c r="AG54" s="142"/>
      <c r="AH54" s="156">
        <f ca="1">MIN(race_platinum_bonus + IF(TblMagic[[#This Row],[Active Arc Infusion]]&gt;0,alch_frost_bonus,IF(Magic!AE54&gt;0,midas_bonus)) + TblImps[[#This Row],[Science]] - TblProd[[#This Row],[Guard]]*(0.02 + tech_5_7*TblTech[[#This Row],[5-7]]) + tech_1_5*TblTech[[#This Row],[1-5]] + tech_4_4*TblTech[[#This Row],[4-4]] + IF(TblMagic[[#This Row],[Active Infernal Command]]&gt;0,demonic_pact_plat,0), 0.5)</f>
        <v>0</v>
      </c>
      <c r="AI5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4" s="156">
        <f ca="1">race_lumber_bonus+ IF(TblMagic[[#This Row],[Active Gaia''s Blessing]]&gt;0,gaias_blessing_lumber)+ tech_1_3*TblTech[[#This Row],[1-3]] + tech_1_6*TblTech[[#This Row],[1-6]] + tech_3_3*TblTech[[#This Row],[3-3]]</f>
        <v>0</v>
      </c>
      <c r="AK54" s="156">
        <f ca="1">race_mana_bonus+ 0 + TblImps[[#This Row],[Spires]] + tech_1_2*TblTech[[#This Row],[1-2]] + tech_3_4*TblTech[[#This Row],[3-4]]</f>
        <v>0</v>
      </c>
      <c r="AL54" s="156">
        <f ca="1">race_ore_bonus + IF(TblMagic[[#This Row],[Active Miner''s Sight]]&gt;0,miners_sight_bonus,IF(TblMagic[[#This Row],[Active Mining Strength]]&gt;0,mining_strength_bonus)) +  tech_1_6*TblTech[[#This Row],[1-6]]</f>
        <v>0</v>
      </c>
      <c r="AM54" s="156">
        <f>race_gem_bonus+ tech_3_2*TblTech[[#This Row],[3-2]] + tech_4_3*TblTech[[#This Row],[4-3]] + tech_6_2*TblTech[[#This Row],[6-2]]</f>
        <v>0</v>
      </c>
      <c r="AN54" s="142"/>
      <c r="AO54" s="94">
        <f ca="1">TblProd[[#This Row],[Food]]*food_decay * (1 + tech_2_1*TblTech[[#This Row],[2-1]] + tech_2_8*TblTech[[#This Row],[2-8]] + IF(AND(TblMagic[[#This Row],[Active DnD]]&lt;12,TblMagic[[#This Row],[Active DnD]]&gt;5),1,0))</f>
        <v>1033.9000000000001</v>
      </c>
      <c r="AP54" s="94">
        <f ca="1">(1+race_food_consumption)*TblPop[[#This Row],[Total]]*food_per_person*(1+tech_1_10*TblTech[[#This Row],[1-10]]+tech_7_5*TblTech[[#This Row],[7-5]] + IF(TblMagic[[#This Row],[Active Infernal Command]]&gt;0,demonic_pact_food_cons,0))</f>
        <v>192.25</v>
      </c>
      <c r="AQ54" s="94">
        <f ca="1">TblProd[[#This Row],[Lumber]]*lumber_rot * (1 + tech_2_1*TblTech[[#This Row],[2-1]] + tech_2_8*TblTech[[#This Row],[2-8]] + tech_5_2*TblTech[[#This Row],[5-2]] + IF(AND(TblMagic[[#This Row],[Active DnD]]&lt;12,TblMagic[[#This Row],[Active DnD]]&gt;5),1,0))</f>
        <v>485.73</v>
      </c>
      <c r="AR54" s="94">
        <f ca="1">TblProd[[#This Row],[Mana]]*mana_drain * (1 + tech_2_1*TblTech[[#This Row],[2-1]] + tech_2_8*TblTech[[#This Row],[2-8]])</f>
        <v>0</v>
      </c>
      <c r="AS54" s="154"/>
      <c r="AT54" s="94">
        <f ca="1">TblExplore[[#This Row],[Platinum (2)]]+TblConstr[[#This Row],[Total Plat Cost]]+TblMili[[#This Row],[Plat Cost]]+TblRezone[[#This Row],[Platinum cost]]+TblImps[[#This Row],[P1]]-TblProd[[#This Row],[Bank Plat]]</f>
        <v>0</v>
      </c>
      <c r="AU54" s="94">
        <f ca="1">TblConstr[[#This Row],[Total Lum Cost]]+TblImps[[#This Row],[L1]]-TblProd[[#This Row],[Bank Lumber]] + Military!$CO$25*TblMili[[#This Row],[Sec. rec. Cost]]</f>
        <v>0</v>
      </c>
      <c r="AV54" s="94">
        <f ca="1">TblMagic[[#This Row],[Mana cost]] + Military!$CO$26*TblMili[[#This Row],[Sec. rec. Cost]]</f>
        <v>0</v>
      </c>
      <c r="AW54" s="94">
        <f ca="1">Military!$CO$24*TblMili[[#This Row],[Sec. rec. Cost]]+TblImps[[#This Row],[O1]]-TblProd[[#This Row],[Bank Ore]]</f>
        <v>0</v>
      </c>
      <c r="AX54" s="94">
        <f>TblImps[[#This Row],[G1]]-TblProd[[#This Row],[Bank Gems]]</f>
        <v>0</v>
      </c>
      <c r="AY54" s="142"/>
      <c r="AZ54" s="61" t="b">
        <f ca="1">IF(TblProd[[#This Row],[Set Guard]]&lt;&gt;"",TblProd[[#This Row],[Set Guard]],OFFSET(TblProd[[#This Row],[Guard]],-1,0))</f>
        <v>0</v>
      </c>
      <c r="BA54" s="153"/>
      <c r="BB54" s="45">
        <f>TblProd[[#This Row],[Hour]]</f>
        <v>3</v>
      </c>
      <c r="BC54" s="158">
        <f>-TblProd[[#This Row],[Bank Lumber]] / 2 + -TblProd[[#This Row],[Bank Gems]] * 2 + -TblProd[[#This Row],[Bank Ore]] / 2</f>
        <v>0</v>
      </c>
      <c r="BD54" s="158"/>
      <c r="BE54" s="158"/>
      <c r="BF54" s="158"/>
      <c r="BG54" s="159">
        <f ca="1">TblProd[[#This Row],[Time]]</f>
        <v>46322.083333333212</v>
      </c>
      <c r="BH54" s="45"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94">
        <f ca="1">TblProd[[#This Row],[Platinum]]</f>
        <v>170115</v>
      </c>
      <c r="BJ54" s="94">
        <f ca="1">TblProd[[#This Row],[Food]]</f>
        <v>103390</v>
      </c>
      <c r="BK54" s="94">
        <f ca="1">TblProd[[#This Row],[Lumber]]</f>
        <v>48573</v>
      </c>
      <c r="BL54" s="94">
        <f ca="1">TblProd[[#This Row],[Mana]]</f>
        <v>0</v>
      </c>
      <c r="BM54" s="94">
        <f ca="1">TblProd[[#This Row],[Ore]]</f>
        <v>0</v>
      </c>
    </row>
    <row r="55" spans="1:65" x14ac:dyDescent="0.2">
      <c r="A55" s="137">
        <f t="shared" ref="A55:A118" si="0">A54+1</f>
        <v>4</v>
      </c>
      <c r="B55" s="152">
        <f ca="1">TblImps[[#This Row],[Time]]</f>
        <v>46322.124999999876</v>
      </c>
      <c r="C55" s="153"/>
      <c r="D55" s="154"/>
      <c r="E55" s="94">
        <f ca="1">TblConstr[[#This Row],[Land]]</f>
        <v>50</v>
      </c>
      <c r="F55" s="94">
        <f ca="1">TblPop[[#This Row],[Peasants]]</f>
        <v>283</v>
      </c>
      <c r="G55" s="94">
        <f ca="1">TblMili[[#This Row],[Networth (2)]]</f>
        <v>1250</v>
      </c>
      <c r="H55" s="94">
        <f ca="1">OFFSET(TblProd[[#This Row],[Platinum]],-1,0)+OFFSET(TblProd[[#This Row],[Plat/hr]],-1,0) - TblProd[[#This Row],[Expenses Platinum]] + IF(TblProd[[#This Row],[Plat Bonus]],TblPop[[#This Row],[Peasants]]*4) + SUM(TblConstr[[#This Row],[Dest Hom]:[Dest Doc]])*TblConstr[[#This Row],[CPA Platinum -DB]]*tech_3_3_2*TblTech[[#This Row],[3-3]]</f>
        <v>170887</v>
      </c>
      <c r="I55" s="94">
        <f ca="1">OFFSET(TblProd[[#This Row],[Food]],-1,0)+OFFSET(TblProd[[#This Row],[Food/hr]],-1,0)+ROUNDUP((TblConstr[[#This Row],[Farms]]*80+TblConstr[[#This Row],[Docks]]*35)*(1+OFFSET(TblProd[[#This Row],[Bonus Food/hr]],-1,0)),0)</f>
        <v>104744</v>
      </c>
      <c r="J55" s="94">
        <f ca="1">OFFSET(TblProd[[#This Row],[Lumber]],-1,0)+OFFSET(TblProd[[#This Row],[Lumber/hr]],-1,0) - TblProd[[#This Row],[Expenses Lumber]] + SUM(TblConstr[[#This Row],[Dest Hom]:[Dest Doc]])*TblConstr[[#This Row],[CPA Lumber -DB]]*tech_3_3_2*TblTech[[#This Row],[3-3]]</f>
        <v>49087</v>
      </c>
      <c r="K55" s="94">
        <f ca="1">OFFSET(TblProd[[#This Row],[Mana]],-1,0)+OFFSET(TblProd[[#This Row],[Mana/hr]],-1,0)- TblProd[[#This Row],[Expenses Mana]]</f>
        <v>0</v>
      </c>
      <c r="L55" s="94">
        <f ca="1">OFFSET(TblProd[[#This Row],[Ore]],-1,0)+OFFSET(TblProd[[#This Row],[Ore/hr]],-1,0) -TblProd[[#This Row],[Expenses Ore]]</f>
        <v>0</v>
      </c>
      <c r="M55" s="94">
        <f ca="1">OFFSET(TblProd[[#This Row],[Gems]],-1,0)+OFFSET(TblProd[[#This Row],[Gems/hr]],-1,0) - TblProd[[#This Row],[Expenses Gems]]</f>
        <v>0</v>
      </c>
      <c r="N55" s="94">
        <f ca="1">OFFSET(TblProd[[#This Row],[Boats]],-1,0)+OFFSET(TblProd[[#This Row],[Boats/hr]],-1,0)</f>
        <v>0</v>
      </c>
      <c r="O55" s="94">
        <f ca="1">OFFSET(TblProd[[#This Row],[Prestige]],-1,0)</f>
        <v>250</v>
      </c>
      <c r="P5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5" s="94">
        <f ca="1">MAX(_xlfn.CEILING.MATH(TblProd[[#This Row],[Land]]*2.5+IFERROR(OFFSET(TblTech[[#This Row],[Sum of tech]],-1,0)*50,0)),3750)</f>
        <v>3750</v>
      </c>
      <c r="R55" s="142"/>
      <c r="S55" s="94">
        <f ca="1">ROUNDDOWN(TblProd[[#This Row],[Raw Plat/hr]]*(1+TblProd[[#This Row],[Bonus Plat/hr]]),0)</f>
        <v>764</v>
      </c>
      <c r="T55" s="94">
        <f ca="1">ROUND(TblProd[[#This Row],[Raw Food/hr]]*(1+TblProd[[#This Row],[Bonus Food/hr]])-TblProd[[#This Row],[Food decay]]-TblProd[[#This Row],[Food eaten]],0)</f>
        <v>1340</v>
      </c>
      <c r="U55" s="94">
        <f ca="1">ROUND(TblProd[[#This Row],[Raw Lumber/hr]]*(1+TblProd[[#This Row],[Bonus Lumber/hr]])-TblProd[[#This Row],[Lumber rot]],0)</f>
        <v>509</v>
      </c>
      <c r="V55" s="94">
        <f ca="1">ROUND(TblProd[[#This Row],[Raw Mana/hr]]*(1+TblProd[[#This Row],[Bonus Mana/hr]])-TblProd[[#This Row],[Mana drain]],0)</f>
        <v>0</v>
      </c>
      <c r="W55" s="94">
        <f ca="1">ROUNDDOWN(TblProd[[#This Row],[Raw Ore/hr]]*(1+TblProd[[#This Row],[Bonux Ore/hr]]),0)</f>
        <v>0</v>
      </c>
      <c r="X55" s="94">
        <f ca="1">ROUNDDOWN(TblProd[[#This Row],[Raw Gems/hr]]*(1+TblProd[[#This Row],[Bonus Gems/hr]]),0)</f>
        <v>0</v>
      </c>
      <c r="Y55" s="155">
        <f ca="1">OFFSET(TblConstr[[#This Row],[Tot Doc]],1,0)*dock_boats_hr * (1 + tech_4_1*TblTech[[#This Row],[4-1]])</f>
        <v>0</v>
      </c>
      <c r="Z55" s="154"/>
      <c r="AA55" s="94">
        <f ca="1">TblPop[[#This Row],[Peasants]]*tax*TblPop[[#This Row],[Employment]] + (Construction!AZ56+Construction!BX56)*(alch_plat+(Magic!AN55&gt;0)*alchemist_flame_bonus)</f>
        <v>764.1</v>
      </c>
      <c r="AB55" s="94">
        <f ca="1">TblConstr[[#This Row],[Tot Farm]]*farm_food + TblConstr[[#This Row],[Tot Doc]]*dock_food</f>
        <v>2400</v>
      </c>
      <c r="AC55" s="94">
        <f ca="1">TblConstr[[#This Row],[Tot Ly]]*ly_lumber + TblConstr[[#This Row],[Tot Hav]]*fh_lumber + IF(race="Wood Elf",TblMili[[#This Row],[Unit 2]]*MIN(TblMili[[#This Row],[Homeland%]]/wisp_bonus,wisp_cap),0)</f>
        <v>1000</v>
      </c>
      <c r="AD55" s="94">
        <f ca="1">OFFSET(TblConstr[[#This Row],[Tot Tow]],1,0)*(tower_mana + tech_4_5*TblTech[[#This Row],[4-5]]) + OFFSET(TblConstr[[#This Row],[Tot WG]],1,0)*wg_mana_prod</f>
        <v>0</v>
      </c>
      <c r="AE55" s="94">
        <f ca="1">OFFSET(TblConstr[[#This Row],[Tot OM]],1,0)*om_ore+IF(race="Dwarf",TblMili[[#This Row],[Unit 2]]*0.5,0)</f>
        <v>0</v>
      </c>
      <c r="AF55" s="94">
        <f ca="1">OFFSET(TblConstr[[#This Row],[Tot DM]],1,0)*dm_gems</f>
        <v>0</v>
      </c>
      <c r="AG55" s="142"/>
      <c r="AH55" s="156">
        <f ca="1">MIN(race_platinum_bonus + IF(TblMagic[[#This Row],[Active Arc Infusion]]&gt;0,alch_frost_bonus,IF(Magic!AE55&gt;0,midas_bonus)) + TblImps[[#This Row],[Science]] - TblProd[[#This Row],[Guard]]*(0.02 + tech_5_7*TblTech[[#This Row],[5-7]]) + tech_1_5*TblTech[[#This Row],[1-5]] + tech_4_4*TblTech[[#This Row],[4-4]] + IF(TblMagic[[#This Row],[Active Infernal Command]]&gt;0,demonic_pact_plat,0), 0.5)</f>
        <v>0</v>
      </c>
      <c r="AI5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5" s="156">
        <f ca="1">race_lumber_bonus+ IF(TblMagic[[#This Row],[Active Gaia''s Blessing]]&gt;0,gaias_blessing_lumber)+ tech_1_3*TblTech[[#This Row],[1-3]] + tech_1_6*TblTech[[#This Row],[1-6]] + tech_3_3*TblTech[[#This Row],[3-3]]</f>
        <v>0</v>
      </c>
      <c r="AK55" s="156">
        <f ca="1">race_mana_bonus+ 0 + TblImps[[#This Row],[Spires]] + tech_1_2*TblTech[[#This Row],[1-2]] + tech_3_4*TblTech[[#This Row],[3-4]]</f>
        <v>0</v>
      </c>
      <c r="AL55" s="156">
        <f ca="1">race_ore_bonus + IF(TblMagic[[#This Row],[Active Miner''s Sight]]&gt;0,miners_sight_bonus,IF(TblMagic[[#This Row],[Active Mining Strength]]&gt;0,mining_strength_bonus)) +  tech_1_6*TblTech[[#This Row],[1-6]]</f>
        <v>0</v>
      </c>
      <c r="AM55" s="156">
        <f>race_gem_bonus+ tech_3_2*TblTech[[#This Row],[3-2]] + tech_4_3*TblTech[[#This Row],[4-3]] + tech_6_2*TblTech[[#This Row],[6-2]]</f>
        <v>0</v>
      </c>
      <c r="AN55" s="142"/>
      <c r="AO55" s="94">
        <f ca="1">TblProd[[#This Row],[Food]]*food_decay * (1 + tech_2_1*TblTech[[#This Row],[2-1]] + tech_2_8*TblTech[[#This Row],[2-8]] + IF(AND(TblMagic[[#This Row],[Active DnD]]&lt;12,TblMagic[[#This Row],[Active DnD]]&gt;5),1,0))</f>
        <v>1047.44</v>
      </c>
      <c r="AP55" s="94">
        <f ca="1">(1+race_food_consumption)*TblPop[[#This Row],[Total]]*food_per_person*(1+tech_1_10*TblTech[[#This Row],[1-10]]+tech_7_5*TblTech[[#This Row],[7-5]] + IF(TblMagic[[#This Row],[Active Infernal Command]]&gt;0,demonic_pact_food_cons,0))</f>
        <v>192.25</v>
      </c>
      <c r="AQ55" s="94">
        <f ca="1">TblProd[[#This Row],[Lumber]]*lumber_rot * (1 + tech_2_1*TblTech[[#This Row],[2-1]] + tech_2_8*TblTech[[#This Row],[2-8]] + tech_5_2*TblTech[[#This Row],[5-2]] + IF(AND(TblMagic[[#This Row],[Active DnD]]&lt;12,TblMagic[[#This Row],[Active DnD]]&gt;5),1,0))</f>
        <v>490.87</v>
      </c>
      <c r="AR55" s="94">
        <f ca="1">TblProd[[#This Row],[Mana]]*mana_drain * (1 + tech_2_1*TblTech[[#This Row],[2-1]] + tech_2_8*TblTech[[#This Row],[2-8]])</f>
        <v>0</v>
      </c>
      <c r="AS55" s="154"/>
      <c r="AT55" s="94">
        <f ca="1">TblExplore[[#This Row],[Platinum (2)]]+TblConstr[[#This Row],[Total Plat Cost]]+TblMili[[#This Row],[Plat Cost]]+TblRezone[[#This Row],[Platinum cost]]+TblImps[[#This Row],[P1]]-TblProd[[#This Row],[Bank Plat]]</f>
        <v>0</v>
      </c>
      <c r="AU55" s="94">
        <f ca="1">TblConstr[[#This Row],[Total Lum Cost]]+TblImps[[#This Row],[L1]]-TblProd[[#This Row],[Bank Lumber]] + Military!$CO$25*TblMili[[#This Row],[Sec. rec. Cost]]</f>
        <v>0</v>
      </c>
      <c r="AV55" s="94">
        <f ca="1">TblMagic[[#This Row],[Mana cost]] + Military!$CO$26*TblMili[[#This Row],[Sec. rec. Cost]]</f>
        <v>0</v>
      </c>
      <c r="AW55" s="94">
        <f ca="1">Military!$CO$24*TblMili[[#This Row],[Sec. rec. Cost]]+TblImps[[#This Row],[O1]]-TblProd[[#This Row],[Bank Ore]]</f>
        <v>0</v>
      </c>
      <c r="AX55" s="94">
        <f>TblImps[[#This Row],[G1]]-TblProd[[#This Row],[Bank Gems]]</f>
        <v>0</v>
      </c>
      <c r="AY55" s="142"/>
      <c r="AZ55" s="61" t="b">
        <f ca="1">IF(TblProd[[#This Row],[Set Guard]]&lt;&gt;"",TblProd[[#This Row],[Set Guard]],OFFSET(TblProd[[#This Row],[Guard]],-1,0))</f>
        <v>0</v>
      </c>
      <c r="BA55" s="153"/>
      <c r="BB55" s="45">
        <f>TblProd[[#This Row],[Hour]]</f>
        <v>4</v>
      </c>
      <c r="BC55" s="158">
        <f>-TblProd[[#This Row],[Bank Lumber]] / 2 + -TblProd[[#This Row],[Bank Gems]] * 2 + -TblProd[[#This Row],[Bank Ore]] / 2</f>
        <v>0</v>
      </c>
      <c r="BD55" s="158"/>
      <c r="BE55" s="158"/>
      <c r="BF55" s="158"/>
      <c r="BG55" s="159">
        <f ca="1">TblProd[[#This Row],[Time]]</f>
        <v>46322.124999999876</v>
      </c>
      <c r="BH55" s="45"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94">
        <f ca="1">TblProd[[#This Row],[Platinum]]</f>
        <v>170887</v>
      </c>
      <c r="BJ55" s="94">
        <f ca="1">TblProd[[#This Row],[Food]]</f>
        <v>104744</v>
      </c>
      <c r="BK55" s="94">
        <f ca="1">TblProd[[#This Row],[Lumber]]</f>
        <v>49087</v>
      </c>
      <c r="BL55" s="94">
        <f ca="1">TblProd[[#This Row],[Mana]]</f>
        <v>0</v>
      </c>
      <c r="BM55" s="94">
        <f ca="1">TblProd[[#This Row],[Ore]]</f>
        <v>0</v>
      </c>
    </row>
    <row r="56" spans="1:65" x14ac:dyDescent="0.2">
      <c r="A56" s="137">
        <f t="shared" si="0"/>
        <v>5</v>
      </c>
      <c r="B56" s="152">
        <f ca="1">TblImps[[#This Row],[Time]]</f>
        <v>46322.166666666541</v>
      </c>
      <c r="C56" s="153"/>
      <c r="D56" s="154"/>
      <c r="E56" s="94">
        <f ca="1">TblConstr[[#This Row],[Land]]</f>
        <v>50</v>
      </c>
      <c r="F56" s="94">
        <f ca="1">TblPop[[#This Row],[Peasants]]</f>
        <v>280</v>
      </c>
      <c r="G56" s="94">
        <f ca="1">TblMili[[#This Row],[Networth (2)]]</f>
        <v>1250</v>
      </c>
      <c r="H56" s="94">
        <f ca="1">OFFSET(TblProd[[#This Row],[Platinum]],-1,0)+OFFSET(TblProd[[#This Row],[Plat/hr]],-1,0) - TblProd[[#This Row],[Expenses Platinum]] + IF(TblProd[[#This Row],[Plat Bonus]],TblPop[[#This Row],[Peasants]]*4) + SUM(TblConstr[[#This Row],[Dest Hom]:[Dest Doc]])*TblConstr[[#This Row],[CPA Platinum -DB]]*tech_3_3_2*TblTech[[#This Row],[3-3]]</f>
        <v>171651</v>
      </c>
      <c r="I56" s="94">
        <f ca="1">OFFSET(TblProd[[#This Row],[Food]],-1,0)+OFFSET(TblProd[[#This Row],[Food/hr]],-1,0)+ROUNDUP((TblConstr[[#This Row],[Farms]]*80+TblConstr[[#This Row],[Docks]]*35)*(1+OFFSET(TblProd[[#This Row],[Bonus Food/hr]],-1,0)),0)</f>
        <v>106084</v>
      </c>
      <c r="J56" s="94">
        <f ca="1">OFFSET(TblProd[[#This Row],[Lumber]],-1,0)+OFFSET(TblProd[[#This Row],[Lumber/hr]],-1,0) - TblProd[[#This Row],[Expenses Lumber]] + SUM(TblConstr[[#This Row],[Dest Hom]:[Dest Doc]])*TblConstr[[#This Row],[CPA Lumber -DB]]*tech_3_3_2*TblTech[[#This Row],[3-3]]</f>
        <v>49596</v>
      </c>
      <c r="K56" s="94">
        <f ca="1">OFFSET(TblProd[[#This Row],[Mana]],-1,0)+OFFSET(TblProd[[#This Row],[Mana/hr]],-1,0)- TblProd[[#This Row],[Expenses Mana]]</f>
        <v>0</v>
      </c>
      <c r="L56" s="94">
        <f ca="1">OFFSET(TblProd[[#This Row],[Ore]],-1,0)+OFFSET(TblProd[[#This Row],[Ore/hr]],-1,0) -TblProd[[#This Row],[Expenses Ore]]</f>
        <v>0</v>
      </c>
      <c r="M56" s="94">
        <f ca="1">OFFSET(TblProd[[#This Row],[Gems]],-1,0)+OFFSET(TblProd[[#This Row],[Gems/hr]],-1,0) - TblProd[[#This Row],[Expenses Gems]]</f>
        <v>0</v>
      </c>
      <c r="N56" s="94">
        <f ca="1">OFFSET(TblProd[[#This Row],[Boats]],-1,0)+OFFSET(TblProd[[#This Row],[Boats/hr]],-1,0)</f>
        <v>0</v>
      </c>
      <c r="O56" s="94">
        <f ca="1">OFFSET(TblProd[[#This Row],[Prestige]],-1,0)</f>
        <v>250</v>
      </c>
      <c r="P5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6" s="94">
        <f ca="1">MAX(_xlfn.CEILING.MATH(TblProd[[#This Row],[Land]]*2.5+IFERROR(OFFSET(TblTech[[#This Row],[Sum of tech]],-1,0)*50,0)),3750)</f>
        <v>3750</v>
      </c>
      <c r="R56" s="142"/>
      <c r="S56" s="94">
        <f ca="1">ROUNDDOWN(TblProd[[#This Row],[Raw Plat/hr]]*(1+TblProd[[#This Row],[Bonus Plat/hr]]),0)</f>
        <v>756</v>
      </c>
      <c r="T56" s="94">
        <f ca="1">ROUND(TblProd[[#This Row],[Raw Food/hr]]*(1+TblProd[[#This Row],[Bonus Food/hr]])-TblProd[[#This Row],[Food decay]]-TblProd[[#This Row],[Food eaten]],0)</f>
        <v>1327</v>
      </c>
      <c r="U56" s="94">
        <f ca="1">ROUND(TblProd[[#This Row],[Raw Lumber/hr]]*(1+TblProd[[#This Row],[Bonus Lumber/hr]])-TblProd[[#This Row],[Lumber rot]],0)</f>
        <v>504</v>
      </c>
      <c r="V56" s="94">
        <f ca="1">ROUND(TblProd[[#This Row],[Raw Mana/hr]]*(1+TblProd[[#This Row],[Bonus Mana/hr]])-TblProd[[#This Row],[Mana drain]],0)</f>
        <v>0</v>
      </c>
      <c r="W56" s="94">
        <f ca="1">ROUNDDOWN(TblProd[[#This Row],[Raw Ore/hr]]*(1+TblProd[[#This Row],[Bonux Ore/hr]]),0)</f>
        <v>0</v>
      </c>
      <c r="X56" s="94">
        <f ca="1">ROUNDDOWN(TblProd[[#This Row],[Raw Gems/hr]]*(1+TblProd[[#This Row],[Bonus Gems/hr]]),0)</f>
        <v>0</v>
      </c>
      <c r="Y56" s="155">
        <f ca="1">OFFSET(TblConstr[[#This Row],[Tot Doc]],1,0)*dock_boats_hr * (1 + tech_4_1*TblTech[[#This Row],[4-1]])</f>
        <v>0</v>
      </c>
      <c r="Z56" s="154"/>
      <c r="AA56" s="94">
        <f ca="1">TblPop[[#This Row],[Peasants]]*tax*TblPop[[#This Row],[Employment]] + (Construction!AZ57+Construction!BX57)*(alch_plat+(Magic!AN56&gt;0)*alchemist_flame_bonus)</f>
        <v>756</v>
      </c>
      <c r="AB56" s="94">
        <f ca="1">TblConstr[[#This Row],[Tot Farm]]*farm_food + TblConstr[[#This Row],[Tot Doc]]*dock_food</f>
        <v>2400</v>
      </c>
      <c r="AC56" s="94">
        <f ca="1">TblConstr[[#This Row],[Tot Ly]]*ly_lumber + TblConstr[[#This Row],[Tot Hav]]*fh_lumber + IF(race="Wood Elf",TblMili[[#This Row],[Unit 2]]*MIN(TblMili[[#This Row],[Homeland%]]/wisp_bonus,wisp_cap),0)</f>
        <v>1000</v>
      </c>
      <c r="AD56" s="94">
        <f ca="1">OFFSET(TblConstr[[#This Row],[Tot Tow]],1,0)*(tower_mana + tech_4_5*TblTech[[#This Row],[4-5]]) + OFFSET(TblConstr[[#This Row],[Tot WG]],1,0)*wg_mana_prod</f>
        <v>0</v>
      </c>
      <c r="AE56" s="94">
        <f ca="1">OFFSET(TblConstr[[#This Row],[Tot OM]],1,0)*om_ore+IF(race="Dwarf",TblMili[[#This Row],[Unit 2]]*0.5,0)</f>
        <v>0</v>
      </c>
      <c r="AF56" s="94">
        <f ca="1">OFFSET(TblConstr[[#This Row],[Tot DM]],1,0)*dm_gems</f>
        <v>0</v>
      </c>
      <c r="AG56" s="142"/>
      <c r="AH56" s="156">
        <f ca="1">MIN(race_platinum_bonus + IF(TblMagic[[#This Row],[Active Arc Infusion]]&gt;0,alch_frost_bonus,IF(Magic!AE56&gt;0,midas_bonus)) + TblImps[[#This Row],[Science]] - TblProd[[#This Row],[Guard]]*(0.02 + tech_5_7*TblTech[[#This Row],[5-7]]) + tech_1_5*TblTech[[#This Row],[1-5]] + tech_4_4*TblTech[[#This Row],[4-4]] + IF(TblMagic[[#This Row],[Active Infernal Command]]&gt;0,demonic_pact_plat,0), 0.5)</f>
        <v>0</v>
      </c>
      <c r="AI5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6" s="156">
        <f ca="1">race_lumber_bonus+ IF(TblMagic[[#This Row],[Active Gaia''s Blessing]]&gt;0,gaias_blessing_lumber)+ tech_1_3*TblTech[[#This Row],[1-3]] + tech_1_6*TblTech[[#This Row],[1-6]] + tech_3_3*TblTech[[#This Row],[3-3]]</f>
        <v>0</v>
      </c>
      <c r="AK56" s="156">
        <f ca="1">race_mana_bonus+ 0 + TblImps[[#This Row],[Spires]] + tech_1_2*TblTech[[#This Row],[1-2]] + tech_3_4*TblTech[[#This Row],[3-4]]</f>
        <v>0</v>
      </c>
      <c r="AL56" s="156">
        <f ca="1">race_ore_bonus + IF(TblMagic[[#This Row],[Active Miner''s Sight]]&gt;0,miners_sight_bonus,IF(TblMagic[[#This Row],[Active Mining Strength]]&gt;0,mining_strength_bonus)) +  tech_1_6*TblTech[[#This Row],[1-6]]</f>
        <v>0</v>
      </c>
      <c r="AM56" s="156">
        <f>race_gem_bonus+ tech_3_2*TblTech[[#This Row],[3-2]] + tech_4_3*TblTech[[#This Row],[4-3]] + tech_6_2*TblTech[[#This Row],[6-2]]</f>
        <v>0</v>
      </c>
      <c r="AN56" s="142"/>
      <c r="AO56" s="94">
        <f ca="1">TblProd[[#This Row],[Food]]*food_decay * (1 + tech_2_1*TblTech[[#This Row],[2-1]] + tech_2_8*TblTech[[#This Row],[2-8]] + IF(AND(TblMagic[[#This Row],[Active DnD]]&lt;12,TblMagic[[#This Row],[Active DnD]]&gt;5),1,0))</f>
        <v>1060.8399999999999</v>
      </c>
      <c r="AP56" s="94">
        <f ca="1">(1+race_food_consumption)*TblPop[[#This Row],[Total]]*food_per_person*(1+tech_1_10*TblTech[[#This Row],[1-10]]+tech_7_5*TblTech[[#This Row],[7-5]] + IF(TblMagic[[#This Row],[Active Infernal Command]]&gt;0,demonic_pact_food_cons,0))</f>
        <v>192.25</v>
      </c>
      <c r="AQ56" s="94">
        <f ca="1">TblProd[[#This Row],[Lumber]]*lumber_rot * (1 + tech_2_1*TblTech[[#This Row],[2-1]] + tech_2_8*TblTech[[#This Row],[2-8]] + tech_5_2*TblTech[[#This Row],[5-2]] + IF(AND(TblMagic[[#This Row],[Active DnD]]&lt;12,TblMagic[[#This Row],[Active DnD]]&gt;5),1,0))</f>
        <v>495.96000000000004</v>
      </c>
      <c r="AR56" s="94">
        <f ca="1">TblProd[[#This Row],[Mana]]*mana_drain * (1 + tech_2_1*TblTech[[#This Row],[2-1]] + tech_2_8*TblTech[[#This Row],[2-8]])</f>
        <v>0</v>
      </c>
      <c r="AS56" s="154"/>
      <c r="AT56" s="94">
        <f ca="1">TblExplore[[#This Row],[Platinum (2)]]+TblConstr[[#This Row],[Total Plat Cost]]+TblMili[[#This Row],[Plat Cost]]+TblRezone[[#This Row],[Platinum cost]]+TblImps[[#This Row],[P1]]-TblProd[[#This Row],[Bank Plat]]</f>
        <v>0</v>
      </c>
      <c r="AU56" s="94">
        <f ca="1">TblConstr[[#This Row],[Total Lum Cost]]+TblImps[[#This Row],[L1]]-TblProd[[#This Row],[Bank Lumber]] + Military!$CO$25*TblMili[[#This Row],[Sec. rec. Cost]]</f>
        <v>0</v>
      </c>
      <c r="AV56" s="94">
        <f ca="1">TblMagic[[#This Row],[Mana cost]] + Military!$CO$26*TblMili[[#This Row],[Sec. rec. Cost]]</f>
        <v>0</v>
      </c>
      <c r="AW56" s="94">
        <f ca="1">Military!$CO$24*TblMili[[#This Row],[Sec. rec. Cost]]+TblImps[[#This Row],[O1]]-TblProd[[#This Row],[Bank Ore]]</f>
        <v>0</v>
      </c>
      <c r="AX56" s="94">
        <f>TblImps[[#This Row],[G1]]-TblProd[[#This Row],[Bank Gems]]</f>
        <v>0</v>
      </c>
      <c r="AY56" s="142"/>
      <c r="AZ56" s="61" t="b">
        <f ca="1">IF(TblProd[[#This Row],[Set Guard]]&lt;&gt;"",TblProd[[#This Row],[Set Guard]],OFFSET(TblProd[[#This Row],[Guard]],-1,0))</f>
        <v>0</v>
      </c>
      <c r="BA56" s="153"/>
      <c r="BB56" s="45">
        <f>TblProd[[#This Row],[Hour]]</f>
        <v>5</v>
      </c>
      <c r="BC56" s="158">
        <f>-TblProd[[#This Row],[Bank Lumber]] / 2 + -TblProd[[#This Row],[Bank Gems]] * 2 + -TblProd[[#This Row],[Bank Ore]] / 2</f>
        <v>0</v>
      </c>
      <c r="BD56" s="158"/>
      <c r="BE56" s="158"/>
      <c r="BF56" s="158"/>
      <c r="BG56" s="159">
        <f ca="1">TblProd[[#This Row],[Time]]</f>
        <v>46322.166666666541</v>
      </c>
      <c r="BH56" s="45"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94">
        <f ca="1">TblProd[[#This Row],[Platinum]]</f>
        <v>171651</v>
      </c>
      <c r="BJ56" s="94">
        <f ca="1">TblProd[[#This Row],[Food]]</f>
        <v>106084</v>
      </c>
      <c r="BK56" s="94">
        <f ca="1">TblProd[[#This Row],[Lumber]]</f>
        <v>49596</v>
      </c>
      <c r="BL56" s="94">
        <f ca="1">TblProd[[#This Row],[Mana]]</f>
        <v>0</v>
      </c>
      <c r="BM56" s="94">
        <f ca="1">TblProd[[#This Row],[Ore]]</f>
        <v>0</v>
      </c>
    </row>
    <row r="57" spans="1:65" x14ac:dyDescent="0.2">
      <c r="A57" s="137">
        <f t="shared" si="0"/>
        <v>6</v>
      </c>
      <c r="B57" s="152">
        <f ca="1">TblImps[[#This Row],[Time]]</f>
        <v>46322.208333333205</v>
      </c>
      <c r="C57" s="153"/>
      <c r="D57" s="154"/>
      <c r="E57" s="94">
        <f ca="1">TblConstr[[#This Row],[Land]]</f>
        <v>50</v>
      </c>
      <c r="F57" s="94">
        <f ca="1">TblPop[[#This Row],[Peasants]]</f>
        <v>277</v>
      </c>
      <c r="G57" s="94">
        <f ca="1">TblMili[[#This Row],[Networth (2)]]</f>
        <v>1250</v>
      </c>
      <c r="H57" s="94">
        <f ca="1">OFFSET(TblProd[[#This Row],[Platinum]],-1,0)+OFFSET(TblProd[[#This Row],[Plat/hr]],-1,0) - TblProd[[#This Row],[Expenses Platinum]] + IF(TblProd[[#This Row],[Plat Bonus]],TblPop[[#This Row],[Peasants]]*4) + SUM(TblConstr[[#This Row],[Dest Hom]:[Dest Doc]])*TblConstr[[#This Row],[CPA Platinum -DB]]*tech_3_3_2*TblTech[[#This Row],[3-3]]</f>
        <v>172407</v>
      </c>
      <c r="I57" s="94">
        <f ca="1">OFFSET(TblProd[[#This Row],[Food]],-1,0)+OFFSET(TblProd[[#This Row],[Food/hr]],-1,0)+ROUNDUP((TblConstr[[#This Row],[Farms]]*80+TblConstr[[#This Row],[Docks]]*35)*(1+OFFSET(TblProd[[#This Row],[Bonus Food/hr]],-1,0)),0)</f>
        <v>107411</v>
      </c>
      <c r="J57" s="94">
        <f ca="1">OFFSET(TblProd[[#This Row],[Lumber]],-1,0)+OFFSET(TblProd[[#This Row],[Lumber/hr]],-1,0) - TblProd[[#This Row],[Expenses Lumber]] + SUM(TblConstr[[#This Row],[Dest Hom]:[Dest Doc]])*TblConstr[[#This Row],[CPA Lumber -DB]]*tech_3_3_2*TblTech[[#This Row],[3-3]]</f>
        <v>50100</v>
      </c>
      <c r="K57" s="94">
        <f ca="1">OFFSET(TblProd[[#This Row],[Mana]],-1,0)+OFFSET(TblProd[[#This Row],[Mana/hr]],-1,0)- TblProd[[#This Row],[Expenses Mana]]</f>
        <v>0</v>
      </c>
      <c r="L57" s="94">
        <f ca="1">OFFSET(TblProd[[#This Row],[Ore]],-1,0)+OFFSET(TblProd[[#This Row],[Ore/hr]],-1,0) -TblProd[[#This Row],[Expenses Ore]]</f>
        <v>0</v>
      </c>
      <c r="M57" s="94">
        <f ca="1">OFFSET(TblProd[[#This Row],[Gems]],-1,0)+OFFSET(TblProd[[#This Row],[Gems/hr]],-1,0) - TblProd[[#This Row],[Expenses Gems]]</f>
        <v>0</v>
      </c>
      <c r="N57" s="94">
        <f ca="1">OFFSET(TblProd[[#This Row],[Boats]],-1,0)+OFFSET(TblProd[[#This Row],[Boats/hr]],-1,0)</f>
        <v>0</v>
      </c>
      <c r="O57" s="94">
        <f ca="1">OFFSET(TblProd[[#This Row],[Prestige]],-1,0)</f>
        <v>250</v>
      </c>
      <c r="P5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7" s="94">
        <f ca="1">MAX(_xlfn.CEILING.MATH(TblProd[[#This Row],[Land]]*2.5+IFERROR(OFFSET(TblTech[[#This Row],[Sum of tech]],-1,0)*50,0)),3750)</f>
        <v>3750</v>
      </c>
      <c r="R57" s="142"/>
      <c r="S57" s="94">
        <f ca="1">ROUNDDOWN(TblProd[[#This Row],[Raw Plat/hr]]*(1+TblProd[[#This Row],[Bonus Plat/hr]]),0)</f>
        <v>747</v>
      </c>
      <c r="T57" s="94">
        <f ca="1">ROUND(TblProd[[#This Row],[Raw Food/hr]]*(1+TblProd[[#This Row],[Bonus Food/hr]])-TblProd[[#This Row],[Food decay]]-TblProd[[#This Row],[Food eaten]],0)</f>
        <v>1314</v>
      </c>
      <c r="U57" s="94">
        <f ca="1">ROUND(TblProd[[#This Row],[Raw Lumber/hr]]*(1+TblProd[[#This Row],[Bonus Lumber/hr]])-TblProd[[#This Row],[Lumber rot]],0)</f>
        <v>499</v>
      </c>
      <c r="V57" s="94">
        <f ca="1">ROUND(TblProd[[#This Row],[Raw Mana/hr]]*(1+TblProd[[#This Row],[Bonus Mana/hr]])-TblProd[[#This Row],[Mana drain]],0)</f>
        <v>0</v>
      </c>
      <c r="W57" s="94">
        <f ca="1">ROUNDDOWN(TblProd[[#This Row],[Raw Ore/hr]]*(1+TblProd[[#This Row],[Bonux Ore/hr]]),0)</f>
        <v>0</v>
      </c>
      <c r="X57" s="94">
        <f ca="1">ROUNDDOWN(TblProd[[#This Row],[Raw Gems/hr]]*(1+TblProd[[#This Row],[Bonus Gems/hr]]),0)</f>
        <v>0</v>
      </c>
      <c r="Y57" s="155">
        <f ca="1">OFFSET(TblConstr[[#This Row],[Tot Doc]],1,0)*dock_boats_hr * (1 + tech_4_1*TblTech[[#This Row],[4-1]])</f>
        <v>0</v>
      </c>
      <c r="Z57" s="154"/>
      <c r="AA57" s="94">
        <f ca="1">TblPop[[#This Row],[Peasants]]*tax*TblPop[[#This Row],[Employment]] + (Construction!AZ58+Construction!BX58)*(alch_plat+(Magic!AN57&gt;0)*alchemist_flame_bonus)</f>
        <v>747.90000000000009</v>
      </c>
      <c r="AB57" s="94">
        <f ca="1">TblConstr[[#This Row],[Tot Farm]]*farm_food + TblConstr[[#This Row],[Tot Doc]]*dock_food</f>
        <v>2400</v>
      </c>
      <c r="AC57" s="94">
        <f ca="1">TblConstr[[#This Row],[Tot Ly]]*ly_lumber + TblConstr[[#This Row],[Tot Hav]]*fh_lumber + IF(race="Wood Elf",TblMili[[#This Row],[Unit 2]]*MIN(TblMili[[#This Row],[Homeland%]]/wisp_bonus,wisp_cap),0)</f>
        <v>1000</v>
      </c>
      <c r="AD57" s="94">
        <f ca="1">OFFSET(TblConstr[[#This Row],[Tot Tow]],1,0)*(tower_mana + tech_4_5*TblTech[[#This Row],[4-5]]) + OFFSET(TblConstr[[#This Row],[Tot WG]],1,0)*wg_mana_prod</f>
        <v>0</v>
      </c>
      <c r="AE57" s="94">
        <f ca="1">OFFSET(TblConstr[[#This Row],[Tot OM]],1,0)*om_ore+IF(race="Dwarf",TblMili[[#This Row],[Unit 2]]*0.5,0)</f>
        <v>0</v>
      </c>
      <c r="AF57" s="94">
        <f ca="1">OFFSET(TblConstr[[#This Row],[Tot DM]],1,0)*dm_gems</f>
        <v>0</v>
      </c>
      <c r="AG57" s="142"/>
      <c r="AH57" s="156">
        <f ca="1">MIN(race_platinum_bonus + IF(TblMagic[[#This Row],[Active Arc Infusion]]&gt;0,alch_frost_bonus,IF(Magic!AE57&gt;0,midas_bonus)) + TblImps[[#This Row],[Science]] - TblProd[[#This Row],[Guard]]*(0.02 + tech_5_7*TblTech[[#This Row],[5-7]]) + tech_1_5*TblTech[[#This Row],[1-5]] + tech_4_4*TblTech[[#This Row],[4-4]] + IF(TblMagic[[#This Row],[Active Infernal Command]]&gt;0,demonic_pact_plat,0), 0.5)</f>
        <v>0</v>
      </c>
      <c r="AI5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7" s="156">
        <f ca="1">race_lumber_bonus+ IF(TblMagic[[#This Row],[Active Gaia''s Blessing]]&gt;0,gaias_blessing_lumber)+ tech_1_3*TblTech[[#This Row],[1-3]] + tech_1_6*TblTech[[#This Row],[1-6]] + tech_3_3*TblTech[[#This Row],[3-3]]</f>
        <v>0</v>
      </c>
      <c r="AK57" s="156">
        <f ca="1">race_mana_bonus+ 0 + TblImps[[#This Row],[Spires]] + tech_1_2*TblTech[[#This Row],[1-2]] + tech_3_4*TblTech[[#This Row],[3-4]]</f>
        <v>0</v>
      </c>
      <c r="AL57" s="156">
        <f ca="1">race_ore_bonus + IF(TblMagic[[#This Row],[Active Miner''s Sight]]&gt;0,miners_sight_bonus,IF(TblMagic[[#This Row],[Active Mining Strength]]&gt;0,mining_strength_bonus)) +  tech_1_6*TblTech[[#This Row],[1-6]]</f>
        <v>0</v>
      </c>
      <c r="AM57" s="156">
        <f>race_gem_bonus+ tech_3_2*TblTech[[#This Row],[3-2]] + tech_4_3*TblTech[[#This Row],[4-3]] + tech_6_2*TblTech[[#This Row],[6-2]]</f>
        <v>0</v>
      </c>
      <c r="AN57" s="142"/>
      <c r="AO57" s="94">
        <f ca="1">TblProd[[#This Row],[Food]]*food_decay * (1 + tech_2_1*TblTech[[#This Row],[2-1]] + tech_2_8*TblTech[[#This Row],[2-8]] + IF(AND(TblMagic[[#This Row],[Active DnD]]&lt;12,TblMagic[[#This Row],[Active DnD]]&gt;5),1,0))</f>
        <v>1074.1100000000001</v>
      </c>
      <c r="AP57" s="94">
        <f ca="1">(1+race_food_consumption)*TblPop[[#This Row],[Total]]*food_per_person*(1+tech_1_10*TblTech[[#This Row],[1-10]]+tech_7_5*TblTech[[#This Row],[7-5]] + IF(TblMagic[[#This Row],[Active Infernal Command]]&gt;0,demonic_pact_food_cons,0))</f>
        <v>192.25</v>
      </c>
      <c r="AQ57" s="94">
        <f ca="1">TblProd[[#This Row],[Lumber]]*lumber_rot * (1 + tech_2_1*TblTech[[#This Row],[2-1]] + tech_2_8*TblTech[[#This Row],[2-8]] + tech_5_2*TblTech[[#This Row],[5-2]] + IF(AND(TblMagic[[#This Row],[Active DnD]]&lt;12,TblMagic[[#This Row],[Active DnD]]&gt;5),1,0))</f>
        <v>501</v>
      </c>
      <c r="AR57" s="94">
        <f ca="1">TblProd[[#This Row],[Mana]]*mana_drain * (1 + tech_2_1*TblTech[[#This Row],[2-1]] + tech_2_8*TblTech[[#This Row],[2-8]])</f>
        <v>0</v>
      </c>
      <c r="AS57" s="154"/>
      <c r="AT57" s="94">
        <f ca="1">TblExplore[[#This Row],[Platinum (2)]]+TblConstr[[#This Row],[Total Plat Cost]]+TblMili[[#This Row],[Plat Cost]]+TblRezone[[#This Row],[Platinum cost]]+TblImps[[#This Row],[P1]]-TblProd[[#This Row],[Bank Plat]]</f>
        <v>0</v>
      </c>
      <c r="AU57" s="94">
        <f ca="1">TblConstr[[#This Row],[Total Lum Cost]]+TblImps[[#This Row],[L1]]-TblProd[[#This Row],[Bank Lumber]] + Military!$CO$25*TblMili[[#This Row],[Sec. rec. Cost]]</f>
        <v>0</v>
      </c>
      <c r="AV57" s="94">
        <f ca="1">TblMagic[[#This Row],[Mana cost]] + Military!$CO$26*TblMili[[#This Row],[Sec. rec. Cost]]</f>
        <v>0</v>
      </c>
      <c r="AW57" s="94">
        <f ca="1">Military!$CO$24*TblMili[[#This Row],[Sec. rec. Cost]]+TblImps[[#This Row],[O1]]-TblProd[[#This Row],[Bank Ore]]</f>
        <v>0</v>
      </c>
      <c r="AX57" s="94">
        <f>TblImps[[#This Row],[G1]]-TblProd[[#This Row],[Bank Gems]]</f>
        <v>0</v>
      </c>
      <c r="AY57" s="142"/>
      <c r="AZ57" s="61" t="b">
        <f ca="1">IF(TblProd[[#This Row],[Set Guard]]&lt;&gt;"",TblProd[[#This Row],[Set Guard]],OFFSET(TblProd[[#This Row],[Guard]],-1,0))</f>
        <v>0</v>
      </c>
      <c r="BA57" s="153"/>
      <c r="BB57" s="45">
        <f>TblProd[[#This Row],[Hour]]</f>
        <v>6</v>
      </c>
      <c r="BC57" s="158">
        <f>-TblProd[[#This Row],[Bank Lumber]] / 2 + -TblProd[[#This Row],[Bank Gems]] * 2 + -TblProd[[#This Row],[Bank Ore]] / 2</f>
        <v>0</v>
      </c>
      <c r="BD57" s="158"/>
      <c r="BE57" s="158"/>
      <c r="BF57" s="158"/>
      <c r="BG57" s="159">
        <f ca="1">TblProd[[#This Row],[Time]]</f>
        <v>46322.208333333205</v>
      </c>
      <c r="BH57" s="45"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94">
        <f ca="1">TblProd[[#This Row],[Platinum]]</f>
        <v>172407</v>
      </c>
      <c r="BJ57" s="94">
        <f ca="1">TblProd[[#This Row],[Food]]</f>
        <v>107411</v>
      </c>
      <c r="BK57" s="94">
        <f ca="1">TblProd[[#This Row],[Lumber]]</f>
        <v>50100</v>
      </c>
      <c r="BL57" s="94">
        <f ca="1">TblProd[[#This Row],[Mana]]</f>
        <v>0</v>
      </c>
      <c r="BM57" s="94">
        <f ca="1">TblProd[[#This Row],[Ore]]</f>
        <v>0</v>
      </c>
    </row>
    <row r="58" spans="1:65" x14ac:dyDescent="0.2">
      <c r="A58" s="137">
        <f t="shared" si="0"/>
        <v>7</v>
      </c>
      <c r="B58" s="152">
        <f ca="1">TblImps[[#This Row],[Time]]</f>
        <v>46322.249999999869</v>
      </c>
      <c r="C58" s="153"/>
      <c r="D58" s="154"/>
      <c r="E58" s="94">
        <f ca="1">TblConstr[[#This Row],[Land]]</f>
        <v>50</v>
      </c>
      <c r="F58" s="94">
        <f ca="1">TblPop[[#This Row],[Peasants]]</f>
        <v>274</v>
      </c>
      <c r="G58" s="94">
        <f ca="1">TblMili[[#This Row],[Networth (2)]]</f>
        <v>1250</v>
      </c>
      <c r="H58" s="94">
        <f ca="1">OFFSET(TblProd[[#This Row],[Platinum]],-1,0)+OFFSET(TblProd[[#This Row],[Plat/hr]],-1,0) - TblProd[[#This Row],[Expenses Platinum]] + IF(TblProd[[#This Row],[Plat Bonus]],TblPop[[#This Row],[Peasants]]*4) + SUM(TblConstr[[#This Row],[Dest Hom]:[Dest Doc]])*TblConstr[[#This Row],[CPA Platinum -DB]]*tech_3_3_2*TblTech[[#This Row],[3-3]]</f>
        <v>173154</v>
      </c>
      <c r="I58" s="94">
        <f ca="1">OFFSET(TblProd[[#This Row],[Food]],-1,0)+OFFSET(TblProd[[#This Row],[Food/hr]],-1,0)+ROUNDUP((TblConstr[[#This Row],[Farms]]*80+TblConstr[[#This Row],[Docks]]*35)*(1+OFFSET(TblProd[[#This Row],[Bonus Food/hr]],-1,0)),0)</f>
        <v>108725</v>
      </c>
      <c r="J58" s="94">
        <f ca="1">OFFSET(TblProd[[#This Row],[Lumber]],-1,0)+OFFSET(TblProd[[#This Row],[Lumber/hr]],-1,0) - TblProd[[#This Row],[Expenses Lumber]] + SUM(TblConstr[[#This Row],[Dest Hom]:[Dest Doc]])*TblConstr[[#This Row],[CPA Lumber -DB]]*tech_3_3_2*TblTech[[#This Row],[3-3]]</f>
        <v>50599</v>
      </c>
      <c r="K58" s="94">
        <f ca="1">OFFSET(TblProd[[#This Row],[Mana]],-1,0)+OFFSET(TblProd[[#This Row],[Mana/hr]],-1,0)- TblProd[[#This Row],[Expenses Mana]]</f>
        <v>0</v>
      </c>
      <c r="L58" s="94">
        <f ca="1">OFFSET(TblProd[[#This Row],[Ore]],-1,0)+OFFSET(TblProd[[#This Row],[Ore/hr]],-1,0) -TblProd[[#This Row],[Expenses Ore]]</f>
        <v>0</v>
      </c>
      <c r="M58" s="94">
        <f ca="1">OFFSET(TblProd[[#This Row],[Gems]],-1,0)+OFFSET(TblProd[[#This Row],[Gems/hr]],-1,0) - TblProd[[#This Row],[Expenses Gems]]</f>
        <v>0</v>
      </c>
      <c r="N58" s="94">
        <f ca="1">OFFSET(TblProd[[#This Row],[Boats]],-1,0)+OFFSET(TblProd[[#This Row],[Boats/hr]],-1,0)</f>
        <v>0</v>
      </c>
      <c r="O58" s="94">
        <f ca="1">OFFSET(TblProd[[#This Row],[Prestige]],-1,0)</f>
        <v>250</v>
      </c>
      <c r="P5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8" s="94">
        <f ca="1">MAX(_xlfn.CEILING.MATH(TblProd[[#This Row],[Land]]*2.5+IFERROR(OFFSET(TblTech[[#This Row],[Sum of tech]],-1,0)*50,0)),3750)</f>
        <v>3750</v>
      </c>
      <c r="R58" s="142"/>
      <c r="S58" s="94">
        <f ca="1">ROUNDDOWN(TblProd[[#This Row],[Raw Plat/hr]]*(1+TblProd[[#This Row],[Bonus Plat/hr]]),0)</f>
        <v>739</v>
      </c>
      <c r="T58" s="94">
        <f ca="1">ROUND(TblProd[[#This Row],[Raw Food/hr]]*(1+TblProd[[#This Row],[Bonus Food/hr]])-TblProd[[#This Row],[Food decay]]-TblProd[[#This Row],[Food eaten]],0)</f>
        <v>1301</v>
      </c>
      <c r="U58" s="94">
        <f ca="1">ROUND(TblProd[[#This Row],[Raw Lumber/hr]]*(1+TblProd[[#This Row],[Bonus Lumber/hr]])-TblProd[[#This Row],[Lumber rot]],0)</f>
        <v>494</v>
      </c>
      <c r="V58" s="94">
        <f ca="1">ROUND(TblProd[[#This Row],[Raw Mana/hr]]*(1+TblProd[[#This Row],[Bonus Mana/hr]])-TblProd[[#This Row],[Mana drain]],0)</f>
        <v>0</v>
      </c>
      <c r="W58" s="94">
        <f ca="1">ROUNDDOWN(TblProd[[#This Row],[Raw Ore/hr]]*(1+TblProd[[#This Row],[Bonux Ore/hr]]),0)</f>
        <v>0</v>
      </c>
      <c r="X58" s="94">
        <f ca="1">ROUNDDOWN(TblProd[[#This Row],[Raw Gems/hr]]*(1+TblProd[[#This Row],[Bonus Gems/hr]]),0)</f>
        <v>0</v>
      </c>
      <c r="Y58" s="155">
        <f ca="1">OFFSET(TblConstr[[#This Row],[Tot Doc]],1,0)*dock_boats_hr * (1 + tech_4_1*TblTech[[#This Row],[4-1]])</f>
        <v>0</v>
      </c>
      <c r="Z58" s="154"/>
      <c r="AA58" s="94">
        <f ca="1">TblPop[[#This Row],[Peasants]]*tax*TblPop[[#This Row],[Employment]] + (Construction!AZ59+Construction!BX59)*(alch_plat+(Magic!AN58&gt;0)*alchemist_flame_bonus)</f>
        <v>739.80000000000007</v>
      </c>
      <c r="AB58" s="94">
        <f ca="1">TblConstr[[#This Row],[Tot Farm]]*farm_food + TblConstr[[#This Row],[Tot Doc]]*dock_food</f>
        <v>2400</v>
      </c>
      <c r="AC58" s="94">
        <f ca="1">TblConstr[[#This Row],[Tot Ly]]*ly_lumber + TblConstr[[#This Row],[Tot Hav]]*fh_lumber + IF(race="Wood Elf",TblMili[[#This Row],[Unit 2]]*MIN(TblMili[[#This Row],[Homeland%]]/wisp_bonus,wisp_cap),0)</f>
        <v>1000</v>
      </c>
      <c r="AD58" s="94">
        <f ca="1">OFFSET(TblConstr[[#This Row],[Tot Tow]],1,0)*(tower_mana + tech_4_5*TblTech[[#This Row],[4-5]]) + OFFSET(TblConstr[[#This Row],[Tot WG]],1,0)*wg_mana_prod</f>
        <v>0</v>
      </c>
      <c r="AE58" s="94">
        <f ca="1">OFFSET(TblConstr[[#This Row],[Tot OM]],1,0)*om_ore+IF(race="Dwarf",TblMili[[#This Row],[Unit 2]]*0.5,0)</f>
        <v>0</v>
      </c>
      <c r="AF58" s="94">
        <f ca="1">OFFSET(TblConstr[[#This Row],[Tot DM]],1,0)*dm_gems</f>
        <v>0</v>
      </c>
      <c r="AG58" s="142"/>
      <c r="AH58" s="156">
        <f ca="1">MIN(race_platinum_bonus + IF(TblMagic[[#This Row],[Active Arc Infusion]]&gt;0,alch_frost_bonus,IF(Magic!AE58&gt;0,midas_bonus)) + TblImps[[#This Row],[Science]] - TblProd[[#This Row],[Guard]]*(0.02 + tech_5_7*TblTech[[#This Row],[5-7]]) + tech_1_5*TblTech[[#This Row],[1-5]] + tech_4_4*TblTech[[#This Row],[4-4]] + IF(TblMagic[[#This Row],[Active Infernal Command]]&gt;0,demonic_pact_plat,0), 0.5)</f>
        <v>0</v>
      </c>
      <c r="AI5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8" s="156">
        <f ca="1">race_lumber_bonus+ IF(TblMagic[[#This Row],[Active Gaia''s Blessing]]&gt;0,gaias_blessing_lumber)+ tech_1_3*TblTech[[#This Row],[1-3]] + tech_1_6*TblTech[[#This Row],[1-6]] + tech_3_3*TblTech[[#This Row],[3-3]]</f>
        <v>0</v>
      </c>
      <c r="AK58" s="156">
        <f ca="1">race_mana_bonus+ 0 + TblImps[[#This Row],[Spires]] + tech_1_2*TblTech[[#This Row],[1-2]] + tech_3_4*TblTech[[#This Row],[3-4]]</f>
        <v>0</v>
      </c>
      <c r="AL58" s="156">
        <f ca="1">race_ore_bonus + IF(TblMagic[[#This Row],[Active Miner''s Sight]]&gt;0,miners_sight_bonus,IF(TblMagic[[#This Row],[Active Mining Strength]]&gt;0,mining_strength_bonus)) +  tech_1_6*TblTech[[#This Row],[1-6]]</f>
        <v>0</v>
      </c>
      <c r="AM58" s="156">
        <f>race_gem_bonus+ tech_3_2*TblTech[[#This Row],[3-2]] + tech_4_3*TblTech[[#This Row],[4-3]] + tech_6_2*TblTech[[#This Row],[6-2]]</f>
        <v>0</v>
      </c>
      <c r="AN58" s="142"/>
      <c r="AO58" s="94">
        <f ca="1">TblProd[[#This Row],[Food]]*food_decay * (1 + tech_2_1*TblTech[[#This Row],[2-1]] + tech_2_8*TblTech[[#This Row],[2-8]] + IF(AND(TblMagic[[#This Row],[Active DnD]]&lt;12,TblMagic[[#This Row],[Active DnD]]&gt;5),1,0))</f>
        <v>1087.25</v>
      </c>
      <c r="AP58" s="94">
        <f ca="1">(1+race_food_consumption)*TblPop[[#This Row],[Total]]*food_per_person*(1+tech_1_10*TblTech[[#This Row],[1-10]]+tech_7_5*TblTech[[#This Row],[7-5]] + IF(TblMagic[[#This Row],[Active Infernal Command]]&gt;0,demonic_pact_food_cons,0))</f>
        <v>192.25</v>
      </c>
      <c r="AQ58" s="94">
        <f ca="1">TblProd[[#This Row],[Lumber]]*lumber_rot * (1 + tech_2_1*TblTech[[#This Row],[2-1]] + tech_2_8*TblTech[[#This Row],[2-8]] + tech_5_2*TblTech[[#This Row],[5-2]] + IF(AND(TblMagic[[#This Row],[Active DnD]]&lt;12,TblMagic[[#This Row],[Active DnD]]&gt;5),1,0))</f>
        <v>505.99</v>
      </c>
      <c r="AR58" s="94">
        <f ca="1">TblProd[[#This Row],[Mana]]*mana_drain * (1 + tech_2_1*TblTech[[#This Row],[2-1]] + tech_2_8*TblTech[[#This Row],[2-8]])</f>
        <v>0</v>
      </c>
      <c r="AS58" s="154"/>
      <c r="AT58" s="94">
        <f ca="1">TblExplore[[#This Row],[Platinum (2)]]+TblConstr[[#This Row],[Total Plat Cost]]+TblMili[[#This Row],[Plat Cost]]+TblRezone[[#This Row],[Platinum cost]]+TblImps[[#This Row],[P1]]-TblProd[[#This Row],[Bank Plat]]</f>
        <v>0</v>
      </c>
      <c r="AU58" s="94">
        <f ca="1">TblConstr[[#This Row],[Total Lum Cost]]+TblImps[[#This Row],[L1]]-TblProd[[#This Row],[Bank Lumber]] + Military!$CO$25*TblMili[[#This Row],[Sec. rec. Cost]]</f>
        <v>0</v>
      </c>
      <c r="AV58" s="94">
        <f ca="1">TblMagic[[#This Row],[Mana cost]] + Military!$CO$26*TblMili[[#This Row],[Sec. rec. Cost]]</f>
        <v>0</v>
      </c>
      <c r="AW58" s="94">
        <f ca="1">Military!$CO$24*TblMili[[#This Row],[Sec. rec. Cost]]+TblImps[[#This Row],[O1]]-TblProd[[#This Row],[Bank Ore]]</f>
        <v>0</v>
      </c>
      <c r="AX58" s="94">
        <f>TblImps[[#This Row],[G1]]-TblProd[[#This Row],[Bank Gems]]</f>
        <v>0</v>
      </c>
      <c r="AY58" s="142"/>
      <c r="AZ58" s="61" t="b">
        <f ca="1">IF(TblProd[[#This Row],[Set Guard]]&lt;&gt;"",TblProd[[#This Row],[Set Guard]],OFFSET(TblProd[[#This Row],[Guard]],-1,0))</f>
        <v>0</v>
      </c>
      <c r="BA58" s="153"/>
      <c r="BB58" s="45">
        <f>TblProd[[#This Row],[Hour]]</f>
        <v>7</v>
      </c>
      <c r="BC58" s="158">
        <f>-TblProd[[#This Row],[Bank Lumber]] / 2 + -TblProd[[#This Row],[Bank Gems]] * 2 + -TblProd[[#This Row],[Bank Ore]] / 2</f>
        <v>0</v>
      </c>
      <c r="BD58" s="158"/>
      <c r="BE58" s="158"/>
      <c r="BF58" s="158"/>
      <c r="BG58" s="159">
        <f ca="1">TblProd[[#This Row],[Time]]</f>
        <v>46322.249999999869</v>
      </c>
      <c r="BH58" s="45"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94">
        <f ca="1">TblProd[[#This Row],[Platinum]]</f>
        <v>173154</v>
      </c>
      <c r="BJ58" s="94">
        <f ca="1">TblProd[[#This Row],[Food]]</f>
        <v>108725</v>
      </c>
      <c r="BK58" s="94">
        <f ca="1">TblProd[[#This Row],[Lumber]]</f>
        <v>50599</v>
      </c>
      <c r="BL58" s="94">
        <f ca="1">TblProd[[#This Row],[Mana]]</f>
        <v>0</v>
      </c>
      <c r="BM58" s="94">
        <f ca="1">TblProd[[#This Row],[Ore]]</f>
        <v>0</v>
      </c>
    </row>
    <row r="59" spans="1:65" x14ac:dyDescent="0.2">
      <c r="A59" s="137">
        <f t="shared" si="0"/>
        <v>8</v>
      </c>
      <c r="B59" s="152">
        <f ca="1">TblImps[[#This Row],[Time]]</f>
        <v>46322.291666666533</v>
      </c>
      <c r="C59" s="153"/>
      <c r="D59" s="154"/>
      <c r="E59" s="94">
        <f ca="1">TblConstr[[#This Row],[Land]]</f>
        <v>50</v>
      </c>
      <c r="F59" s="94">
        <f ca="1">TblPop[[#This Row],[Peasants]]</f>
        <v>271</v>
      </c>
      <c r="G59" s="94">
        <f ca="1">TblMili[[#This Row],[Networth (2)]]</f>
        <v>1250</v>
      </c>
      <c r="H59" s="94">
        <f ca="1">OFFSET(TblProd[[#This Row],[Platinum]],-1,0)+OFFSET(TblProd[[#This Row],[Plat/hr]],-1,0) - TblProd[[#This Row],[Expenses Platinum]] + IF(TblProd[[#This Row],[Plat Bonus]],TblPop[[#This Row],[Peasants]]*4) + SUM(TblConstr[[#This Row],[Dest Hom]:[Dest Doc]])*TblConstr[[#This Row],[CPA Platinum -DB]]*tech_3_3_2*TblTech[[#This Row],[3-3]]</f>
        <v>173893</v>
      </c>
      <c r="I59" s="94">
        <f ca="1">OFFSET(TblProd[[#This Row],[Food]],-1,0)+OFFSET(TblProd[[#This Row],[Food/hr]],-1,0)+ROUNDUP((TblConstr[[#This Row],[Farms]]*80+TblConstr[[#This Row],[Docks]]*35)*(1+OFFSET(TblProd[[#This Row],[Bonus Food/hr]],-1,0)),0)</f>
        <v>110026</v>
      </c>
      <c r="J59" s="94">
        <f ca="1">OFFSET(TblProd[[#This Row],[Lumber]],-1,0)+OFFSET(TblProd[[#This Row],[Lumber/hr]],-1,0) - TblProd[[#This Row],[Expenses Lumber]] + SUM(TblConstr[[#This Row],[Dest Hom]:[Dest Doc]])*TblConstr[[#This Row],[CPA Lumber -DB]]*tech_3_3_2*TblTech[[#This Row],[3-3]]</f>
        <v>51093</v>
      </c>
      <c r="K59" s="94">
        <f ca="1">OFFSET(TblProd[[#This Row],[Mana]],-1,0)+OFFSET(TblProd[[#This Row],[Mana/hr]],-1,0)- TblProd[[#This Row],[Expenses Mana]]</f>
        <v>0</v>
      </c>
      <c r="L59" s="94">
        <f ca="1">OFFSET(TblProd[[#This Row],[Ore]],-1,0)+OFFSET(TblProd[[#This Row],[Ore/hr]],-1,0) -TblProd[[#This Row],[Expenses Ore]]</f>
        <v>0</v>
      </c>
      <c r="M59" s="94">
        <f ca="1">OFFSET(TblProd[[#This Row],[Gems]],-1,0)+OFFSET(TblProd[[#This Row],[Gems/hr]],-1,0) - TblProd[[#This Row],[Expenses Gems]]</f>
        <v>0</v>
      </c>
      <c r="N59" s="94">
        <f ca="1">OFFSET(TblProd[[#This Row],[Boats]],-1,0)+OFFSET(TblProd[[#This Row],[Boats/hr]],-1,0)</f>
        <v>0</v>
      </c>
      <c r="O59" s="94">
        <f ca="1">OFFSET(TblProd[[#This Row],[Prestige]],-1,0)</f>
        <v>250</v>
      </c>
      <c r="P5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9" s="94">
        <f ca="1">MAX(_xlfn.CEILING.MATH(TblProd[[#This Row],[Land]]*2.5+IFERROR(OFFSET(TblTech[[#This Row],[Sum of tech]],-1,0)*50,0)),3750)</f>
        <v>3750</v>
      </c>
      <c r="R59" s="142"/>
      <c r="S59" s="94">
        <f ca="1">ROUNDDOWN(TblProd[[#This Row],[Raw Plat/hr]]*(1+TblProd[[#This Row],[Bonus Plat/hr]]),0)</f>
        <v>731</v>
      </c>
      <c r="T59" s="94">
        <f ca="1">ROUND(TblProd[[#This Row],[Raw Food/hr]]*(1+TblProd[[#This Row],[Bonus Food/hr]])-TblProd[[#This Row],[Food decay]]-TblProd[[#This Row],[Food eaten]],0)</f>
        <v>1287</v>
      </c>
      <c r="U59" s="94">
        <f ca="1">ROUND(TblProd[[#This Row],[Raw Lumber/hr]]*(1+TblProd[[#This Row],[Bonus Lumber/hr]])-TblProd[[#This Row],[Lumber rot]],0)</f>
        <v>489</v>
      </c>
      <c r="V59" s="94">
        <f ca="1">ROUND(TblProd[[#This Row],[Raw Mana/hr]]*(1+TblProd[[#This Row],[Bonus Mana/hr]])-TblProd[[#This Row],[Mana drain]],0)</f>
        <v>0</v>
      </c>
      <c r="W59" s="94">
        <f ca="1">ROUNDDOWN(TblProd[[#This Row],[Raw Ore/hr]]*(1+TblProd[[#This Row],[Bonux Ore/hr]]),0)</f>
        <v>0</v>
      </c>
      <c r="X59" s="94">
        <f ca="1">ROUNDDOWN(TblProd[[#This Row],[Raw Gems/hr]]*(1+TblProd[[#This Row],[Bonus Gems/hr]]),0)</f>
        <v>0</v>
      </c>
      <c r="Y59" s="155">
        <f ca="1">OFFSET(TblConstr[[#This Row],[Tot Doc]],1,0)*dock_boats_hr * (1 + tech_4_1*TblTech[[#This Row],[4-1]])</f>
        <v>0</v>
      </c>
      <c r="Z59" s="154"/>
      <c r="AA59" s="94">
        <f ca="1">TblPop[[#This Row],[Peasants]]*tax*TblPop[[#This Row],[Employment]] + (Construction!AZ60+Construction!BX60)*(alch_plat+(Magic!AN59&gt;0)*alchemist_flame_bonus)</f>
        <v>731.7</v>
      </c>
      <c r="AB59" s="94">
        <f ca="1">TblConstr[[#This Row],[Tot Farm]]*farm_food + TblConstr[[#This Row],[Tot Doc]]*dock_food</f>
        <v>2400</v>
      </c>
      <c r="AC59" s="94">
        <f ca="1">TblConstr[[#This Row],[Tot Ly]]*ly_lumber + TblConstr[[#This Row],[Tot Hav]]*fh_lumber + IF(race="Wood Elf",TblMili[[#This Row],[Unit 2]]*MIN(TblMili[[#This Row],[Homeland%]]/wisp_bonus,wisp_cap),0)</f>
        <v>1000</v>
      </c>
      <c r="AD59" s="94">
        <f ca="1">OFFSET(TblConstr[[#This Row],[Tot Tow]],1,0)*(tower_mana + tech_4_5*TblTech[[#This Row],[4-5]]) + OFFSET(TblConstr[[#This Row],[Tot WG]],1,0)*wg_mana_prod</f>
        <v>0</v>
      </c>
      <c r="AE59" s="94">
        <f ca="1">OFFSET(TblConstr[[#This Row],[Tot OM]],1,0)*om_ore+IF(race="Dwarf",TblMili[[#This Row],[Unit 2]]*0.5,0)</f>
        <v>0</v>
      </c>
      <c r="AF59" s="94">
        <f ca="1">OFFSET(TblConstr[[#This Row],[Tot DM]],1,0)*dm_gems</f>
        <v>0</v>
      </c>
      <c r="AG59" s="142"/>
      <c r="AH59" s="156">
        <f ca="1">MIN(race_platinum_bonus + IF(TblMagic[[#This Row],[Active Arc Infusion]]&gt;0,alch_frost_bonus,IF(Magic!AE59&gt;0,midas_bonus)) + TblImps[[#This Row],[Science]] - TblProd[[#This Row],[Guard]]*(0.02 + tech_5_7*TblTech[[#This Row],[5-7]]) + tech_1_5*TblTech[[#This Row],[1-5]] + tech_4_4*TblTech[[#This Row],[4-4]] + IF(TblMagic[[#This Row],[Active Infernal Command]]&gt;0,demonic_pact_plat,0), 0.5)</f>
        <v>0</v>
      </c>
      <c r="AI5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9" s="156">
        <f ca="1">race_lumber_bonus+ IF(TblMagic[[#This Row],[Active Gaia''s Blessing]]&gt;0,gaias_blessing_lumber)+ tech_1_3*TblTech[[#This Row],[1-3]] + tech_1_6*TblTech[[#This Row],[1-6]] + tech_3_3*TblTech[[#This Row],[3-3]]</f>
        <v>0</v>
      </c>
      <c r="AK59" s="156">
        <f ca="1">race_mana_bonus+ 0 + TblImps[[#This Row],[Spires]] + tech_1_2*TblTech[[#This Row],[1-2]] + tech_3_4*TblTech[[#This Row],[3-4]]</f>
        <v>0</v>
      </c>
      <c r="AL59" s="156">
        <f ca="1">race_ore_bonus + IF(TblMagic[[#This Row],[Active Miner''s Sight]]&gt;0,miners_sight_bonus,IF(TblMagic[[#This Row],[Active Mining Strength]]&gt;0,mining_strength_bonus)) +  tech_1_6*TblTech[[#This Row],[1-6]]</f>
        <v>0</v>
      </c>
      <c r="AM59" s="156">
        <f>race_gem_bonus+ tech_3_2*TblTech[[#This Row],[3-2]] + tech_4_3*TblTech[[#This Row],[4-3]] + tech_6_2*TblTech[[#This Row],[6-2]]</f>
        <v>0</v>
      </c>
      <c r="AN59" s="142"/>
      <c r="AO59" s="94">
        <f ca="1">TblProd[[#This Row],[Food]]*food_decay * (1 + tech_2_1*TblTech[[#This Row],[2-1]] + tech_2_8*TblTech[[#This Row],[2-8]] + IF(AND(TblMagic[[#This Row],[Active DnD]]&lt;12,TblMagic[[#This Row],[Active DnD]]&gt;5),1,0))</f>
        <v>1100.26</v>
      </c>
      <c r="AP59" s="94">
        <f ca="1">(1+race_food_consumption)*TblPop[[#This Row],[Total]]*food_per_person*(1+tech_1_10*TblTech[[#This Row],[1-10]]+tech_7_5*TblTech[[#This Row],[7-5]] + IF(TblMagic[[#This Row],[Active Infernal Command]]&gt;0,demonic_pact_food_cons,0))</f>
        <v>192.25</v>
      </c>
      <c r="AQ59" s="94">
        <f ca="1">TblProd[[#This Row],[Lumber]]*lumber_rot * (1 + tech_2_1*TblTech[[#This Row],[2-1]] + tech_2_8*TblTech[[#This Row],[2-8]] + tech_5_2*TblTech[[#This Row],[5-2]] + IF(AND(TblMagic[[#This Row],[Active DnD]]&lt;12,TblMagic[[#This Row],[Active DnD]]&gt;5),1,0))</f>
        <v>510.93</v>
      </c>
      <c r="AR59" s="94">
        <f ca="1">TblProd[[#This Row],[Mana]]*mana_drain * (1 + tech_2_1*TblTech[[#This Row],[2-1]] + tech_2_8*TblTech[[#This Row],[2-8]])</f>
        <v>0</v>
      </c>
      <c r="AS59" s="154"/>
      <c r="AT59" s="94">
        <f ca="1">TblExplore[[#This Row],[Platinum (2)]]+TblConstr[[#This Row],[Total Plat Cost]]+TblMili[[#This Row],[Plat Cost]]+TblRezone[[#This Row],[Platinum cost]]+TblImps[[#This Row],[P1]]-TblProd[[#This Row],[Bank Plat]]</f>
        <v>0</v>
      </c>
      <c r="AU59" s="94">
        <f ca="1">TblConstr[[#This Row],[Total Lum Cost]]+TblImps[[#This Row],[L1]]-TblProd[[#This Row],[Bank Lumber]] + Military!$CO$25*TblMili[[#This Row],[Sec. rec. Cost]]</f>
        <v>0</v>
      </c>
      <c r="AV59" s="94">
        <f ca="1">TblMagic[[#This Row],[Mana cost]] + Military!$CO$26*TblMili[[#This Row],[Sec. rec. Cost]]</f>
        <v>0</v>
      </c>
      <c r="AW59" s="94">
        <f ca="1">Military!$CO$24*TblMili[[#This Row],[Sec. rec. Cost]]+TblImps[[#This Row],[O1]]-TblProd[[#This Row],[Bank Ore]]</f>
        <v>0</v>
      </c>
      <c r="AX59" s="94">
        <f>TblImps[[#This Row],[G1]]-TblProd[[#This Row],[Bank Gems]]</f>
        <v>0</v>
      </c>
      <c r="AY59" s="142"/>
      <c r="AZ59" s="61" t="b">
        <f ca="1">IF(TblProd[[#This Row],[Set Guard]]&lt;&gt;"",TblProd[[#This Row],[Set Guard]],OFFSET(TblProd[[#This Row],[Guard]],-1,0))</f>
        <v>0</v>
      </c>
      <c r="BA59" s="153"/>
      <c r="BB59" s="45">
        <f>TblProd[[#This Row],[Hour]]</f>
        <v>8</v>
      </c>
      <c r="BC59" s="158">
        <f>-TblProd[[#This Row],[Bank Lumber]] / 2 + -TblProd[[#This Row],[Bank Gems]] * 2 + -TblProd[[#This Row],[Bank Ore]] / 2</f>
        <v>0</v>
      </c>
      <c r="BD59" s="158"/>
      <c r="BE59" s="158"/>
      <c r="BF59" s="158"/>
      <c r="BG59" s="159">
        <f ca="1">TblProd[[#This Row],[Time]]</f>
        <v>46322.291666666533</v>
      </c>
      <c r="BH59" s="45"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94">
        <f ca="1">TblProd[[#This Row],[Platinum]]</f>
        <v>173893</v>
      </c>
      <c r="BJ59" s="94">
        <f ca="1">TblProd[[#This Row],[Food]]</f>
        <v>110026</v>
      </c>
      <c r="BK59" s="94">
        <f ca="1">TblProd[[#This Row],[Lumber]]</f>
        <v>51093</v>
      </c>
      <c r="BL59" s="94">
        <f ca="1">TblProd[[#This Row],[Mana]]</f>
        <v>0</v>
      </c>
      <c r="BM59" s="94">
        <f ca="1">TblProd[[#This Row],[Ore]]</f>
        <v>0</v>
      </c>
    </row>
    <row r="60" spans="1:65" x14ac:dyDescent="0.2">
      <c r="A60" s="137">
        <f t="shared" si="0"/>
        <v>9</v>
      </c>
      <c r="B60" s="152">
        <f ca="1">TblImps[[#This Row],[Time]]</f>
        <v>46322.333333333198</v>
      </c>
      <c r="C60" s="153"/>
      <c r="D60" s="154"/>
      <c r="E60" s="94">
        <f ca="1">TblConstr[[#This Row],[Land]]</f>
        <v>50</v>
      </c>
      <c r="F60" s="94">
        <f ca="1">TblPop[[#This Row],[Peasants]]</f>
        <v>268</v>
      </c>
      <c r="G60" s="94">
        <f ca="1">TblMili[[#This Row],[Networth (2)]]</f>
        <v>1250</v>
      </c>
      <c r="H60" s="94">
        <f ca="1">OFFSET(TblProd[[#This Row],[Platinum]],-1,0)+OFFSET(TblProd[[#This Row],[Plat/hr]],-1,0) - TblProd[[#This Row],[Expenses Platinum]] + IF(TblProd[[#This Row],[Plat Bonus]],TblPop[[#This Row],[Peasants]]*4) + SUM(TblConstr[[#This Row],[Dest Hom]:[Dest Doc]])*TblConstr[[#This Row],[CPA Platinum -DB]]*tech_3_3_2*TblTech[[#This Row],[3-3]]</f>
        <v>174624</v>
      </c>
      <c r="I60" s="94">
        <f ca="1">OFFSET(TblProd[[#This Row],[Food]],-1,0)+OFFSET(TblProd[[#This Row],[Food/hr]],-1,0)+ROUNDUP((TblConstr[[#This Row],[Farms]]*80+TblConstr[[#This Row],[Docks]]*35)*(1+OFFSET(TblProd[[#This Row],[Bonus Food/hr]],-1,0)),0)</f>
        <v>111313</v>
      </c>
      <c r="J60" s="94">
        <f ca="1">OFFSET(TblProd[[#This Row],[Lumber]],-1,0)+OFFSET(TblProd[[#This Row],[Lumber/hr]],-1,0) - TblProd[[#This Row],[Expenses Lumber]] + SUM(TblConstr[[#This Row],[Dest Hom]:[Dest Doc]])*TblConstr[[#This Row],[CPA Lumber -DB]]*tech_3_3_2*TblTech[[#This Row],[3-3]]</f>
        <v>51582</v>
      </c>
      <c r="K60" s="94">
        <f ca="1">OFFSET(TblProd[[#This Row],[Mana]],-1,0)+OFFSET(TblProd[[#This Row],[Mana/hr]],-1,0)- TblProd[[#This Row],[Expenses Mana]]</f>
        <v>0</v>
      </c>
      <c r="L60" s="94">
        <f ca="1">OFFSET(TblProd[[#This Row],[Ore]],-1,0)+OFFSET(TblProd[[#This Row],[Ore/hr]],-1,0) -TblProd[[#This Row],[Expenses Ore]]</f>
        <v>0</v>
      </c>
      <c r="M60" s="94">
        <f ca="1">OFFSET(TblProd[[#This Row],[Gems]],-1,0)+OFFSET(TblProd[[#This Row],[Gems/hr]],-1,0) - TblProd[[#This Row],[Expenses Gems]]</f>
        <v>0</v>
      </c>
      <c r="N60" s="94">
        <f ca="1">OFFSET(TblProd[[#This Row],[Boats]],-1,0)+OFFSET(TblProd[[#This Row],[Boats/hr]],-1,0)</f>
        <v>0</v>
      </c>
      <c r="O60" s="94">
        <f ca="1">OFFSET(TblProd[[#This Row],[Prestige]],-1,0)</f>
        <v>250</v>
      </c>
      <c r="P6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0" s="94">
        <f ca="1">MAX(_xlfn.CEILING.MATH(TblProd[[#This Row],[Land]]*2.5+IFERROR(OFFSET(TblTech[[#This Row],[Sum of tech]],-1,0)*50,0)),3750)</f>
        <v>3750</v>
      </c>
      <c r="R60" s="142"/>
      <c r="S60" s="94">
        <f ca="1">ROUNDDOWN(TblProd[[#This Row],[Raw Plat/hr]]*(1+TblProd[[#This Row],[Bonus Plat/hr]]),0)</f>
        <v>723</v>
      </c>
      <c r="T60" s="94">
        <f ca="1">ROUND(TblProd[[#This Row],[Raw Food/hr]]*(1+TblProd[[#This Row],[Bonus Food/hr]])-TblProd[[#This Row],[Food decay]]-TblProd[[#This Row],[Food eaten]],0)</f>
        <v>1275</v>
      </c>
      <c r="U60" s="94">
        <f ca="1">ROUND(TblProd[[#This Row],[Raw Lumber/hr]]*(1+TblProd[[#This Row],[Bonus Lumber/hr]])-TblProd[[#This Row],[Lumber rot]],0)</f>
        <v>484</v>
      </c>
      <c r="V60" s="94">
        <f ca="1">ROUND(TblProd[[#This Row],[Raw Mana/hr]]*(1+TblProd[[#This Row],[Bonus Mana/hr]])-TblProd[[#This Row],[Mana drain]],0)</f>
        <v>0</v>
      </c>
      <c r="W60" s="94">
        <f ca="1">ROUNDDOWN(TblProd[[#This Row],[Raw Ore/hr]]*(1+TblProd[[#This Row],[Bonux Ore/hr]]),0)</f>
        <v>0</v>
      </c>
      <c r="X60" s="94">
        <f ca="1">ROUNDDOWN(TblProd[[#This Row],[Raw Gems/hr]]*(1+TblProd[[#This Row],[Bonus Gems/hr]]),0)</f>
        <v>0</v>
      </c>
      <c r="Y60" s="155">
        <f ca="1">OFFSET(TblConstr[[#This Row],[Tot Doc]],1,0)*dock_boats_hr * (1 + tech_4_1*TblTech[[#This Row],[4-1]])</f>
        <v>0</v>
      </c>
      <c r="Z60" s="154"/>
      <c r="AA60" s="94">
        <f ca="1">TblPop[[#This Row],[Peasants]]*tax*TblPop[[#This Row],[Employment]] + (Construction!AZ61+Construction!BX61)*(alch_plat+(Magic!AN60&gt;0)*alchemist_flame_bonus)</f>
        <v>723.6</v>
      </c>
      <c r="AB60" s="94">
        <f ca="1">TblConstr[[#This Row],[Tot Farm]]*farm_food + TblConstr[[#This Row],[Tot Doc]]*dock_food</f>
        <v>2400</v>
      </c>
      <c r="AC60" s="94">
        <f ca="1">TblConstr[[#This Row],[Tot Ly]]*ly_lumber + TblConstr[[#This Row],[Tot Hav]]*fh_lumber + IF(race="Wood Elf",TblMili[[#This Row],[Unit 2]]*MIN(TblMili[[#This Row],[Homeland%]]/wisp_bonus,wisp_cap),0)</f>
        <v>1000</v>
      </c>
      <c r="AD60" s="94">
        <f ca="1">OFFSET(TblConstr[[#This Row],[Tot Tow]],1,0)*(tower_mana + tech_4_5*TblTech[[#This Row],[4-5]]) + OFFSET(TblConstr[[#This Row],[Tot WG]],1,0)*wg_mana_prod</f>
        <v>0</v>
      </c>
      <c r="AE60" s="94">
        <f ca="1">OFFSET(TblConstr[[#This Row],[Tot OM]],1,0)*om_ore+IF(race="Dwarf",TblMili[[#This Row],[Unit 2]]*0.5,0)</f>
        <v>0</v>
      </c>
      <c r="AF60" s="94">
        <f ca="1">OFFSET(TblConstr[[#This Row],[Tot DM]],1,0)*dm_gems</f>
        <v>0</v>
      </c>
      <c r="AG60" s="142"/>
      <c r="AH60" s="156">
        <f ca="1">MIN(race_platinum_bonus + IF(TblMagic[[#This Row],[Active Arc Infusion]]&gt;0,alch_frost_bonus,IF(Magic!AE60&gt;0,midas_bonus)) + TblImps[[#This Row],[Science]] - TblProd[[#This Row],[Guard]]*(0.02 + tech_5_7*TblTech[[#This Row],[5-7]]) + tech_1_5*TblTech[[#This Row],[1-5]] + tech_4_4*TblTech[[#This Row],[4-4]] + IF(TblMagic[[#This Row],[Active Infernal Command]]&gt;0,demonic_pact_plat,0), 0.5)</f>
        <v>0</v>
      </c>
      <c r="AI6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0" s="156">
        <f ca="1">race_lumber_bonus+ IF(TblMagic[[#This Row],[Active Gaia''s Blessing]]&gt;0,gaias_blessing_lumber)+ tech_1_3*TblTech[[#This Row],[1-3]] + tech_1_6*TblTech[[#This Row],[1-6]] + tech_3_3*TblTech[[#This Row],[3-3]]</f>
        <v>0</v>
      </c>
      <c r="AK60" s="156">
        <f ca="1">race_mana_bonus+ 0 + TblImps[[#This Row],[Spires]] + tech_1_2*TblTech[[#This Row],[1-2]] + tech_3_4*TblTech[[#This Row],[3-4]]</f>
        <v>0</v>
      </c>
      <c r="AL60" s="156">
        <f ca="1">race_ore_bonus + IF(TblMagic[[#This Row],[Active Miner''s Sight]]&gt;0,miners_sight_bonus,IF(TblMagic[[#This Row],[Active Mining Strength]]&gt;0,mining_strength_bonus)) +  tech_1_6*TblTech[[#This Row],[1-6]]</f>
        <v>0</v>
      </c>
      <c r="AM60" s="156">
        <f>race_gem_bonus+ tech_3_2*TblTech[[#This Row],[3-2]] + tech_4_3*TblTech[[#This Row],[4-3]] + tech_6_2*TblTech[[#This Row],[6-2]]</f>
        <v>0</v>
      </c>
      <c r="AN60" s="142"/>
      <c r="AO60" s="94">
        <f ca="1">TblProd[[#This Row],[Food]]*food_decay * (1 + tech_2_1*TblTech[[#This Row],[2-1]] + tech_2_8*TblTech[[#This Row],[2-8]] + IF(AND(TblMagic[[#This Row],[Active DnD]]&lt;12,TblMagic[[#This Row],[Active DnD]]&gt;5),1,0))</f>
        <v>1113.1300000000001</v>
      </c>
      <c r="AP60" s="94">
        <f ca="1">(1+race_food_consumption)*TblPop[[#This Row],[Total]]*food_per_person*(1+tech_1_10*TblTech[[#This Row],[1-10]]+tech_7_5*TblTech[[#This Row],[7-5]] + IF(TblMagic[[#This Row],[Active Infernal Command]]&gt;0,demonic_pact_food_cons,0))</f>
        <v>192.25</v>
      </c>
      <c r="AQ60" s="94">
        <f ca="1">TblProd[[#This Row],[Lumber]]*lumber_rot * (1 + tech_2_1*TblTech[[#This Row],[2-1]] + tech_2_8*TblTech[[#This Row],[2-8]] + tech_5_2*TblTech[[#This Row],[5-2]] + IF(AND(TblMagic[[#This Row],[Active DnD]]&lt;12,TblMagic[[#This Row],[Active DnD]]&gt;5),1,0))</f>
        <v>515.82000000000005</v>
      </c>
      <c r="AR60" s="94">
        <f ca="1">TblProd[[#This Row],[Mana]]*mana_drain * (1 + tech_2_1*TblTech[[#This Row],[2-1]] + tech_2_8*TblTech[[#This Row],[2-8]])</f>
        <v>0</v>
      </c>
      <c r="AS60" s="154"/>
      <c r="AT60" s="94">
        <f ca="1">TblExplore[[#This Row],[Platinum (2)]]+TblConstr[[#This Row],[Total Plat Cost]]+TblMili[[#This Row],[Plat Cost]]+TblRezone[[#This Row],[Platinum cost]]+TblImps[[#This Row],[P1]]-TblProd[[#This Row],[Bank Plat]]</f>
        <v>0</v>
      </c>
      <c r="AU60" s="94">
        <f ca="1">TblConstr[[#This Row],[Total Lum Cost]]+TblImps[[#This Row],[L1]]-TblProd[[#This Row],[Bank Lumber]] + Military!$CO$25*TblMili[[#This Row],[Sec. rec. Cost]]</f>
        <v>0</v>
      </c>
      <c r="AV60" s="94">
        <f ca="1">TblMagic[[#This Row],[Mana cost]] + Military!$CO$26*TblMili[[#This Row],[Sec. rec. Cost]]</f>
        <v>0</v>
      </c>
      <c r="AW60" s="94">
        <f ca="1">Military!$CO$24*TblMili[[#This Row],[Sec. rec. Cost]]+TblImps[[#This Row],[O1]]-TblProd[[#This Row],[Bank Ore]]</f>
        <v>0</v>
      </c>
      <c r="AX60" s="94">
        <f>TblImps[[#This Row],[G1]]-TblProd[[#This Row],[Bank Gems]]</f>
        <v>0</v>
      </c>
      <c r="AY60" s="142"/>
      <c r="AZ60" s="61" t="b">
        <f ca="1">IF(TblProd[[#This Row],[Set Guard]]&lt;&gt;"",TblProd[[#This Row],[Set Guard]],OFFSET(TblProd[[#This Row],[Guard]],-1,0))</f>
        <v>0</v>
      </c>
      <c r="BA60" s="153"/>
      <c r="BB60" s="45">
        <f>TblProd[[#This Row],[Hour]]</f>
        <v>9</v>
      </c>
      <c r="BC60" s="158">
        <f>-TblProd[[#This Row],[Bank Lumber]] / 2 + -TblProd[[#This Row],[Bank Gems]] * 2 + -TblProd[[#This Row],[Bank Ore]] / 2</f>
        <v>0</v>
      </c>
      <c r="BD60" s="158"/>
      <c r="BE60" s="158"/>
      <c r="BF60" s="158"/>
      <c r="BG60" s="159">
        <f ca="1">TblProd[[#This Row],[Time]]</f>
        <v>46322.333333333198</v>
      </c>
      <c r="BH60" s="45"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94">
        <f ca="1">TblProd[[#This Row],[Platinum]]</f>
        <v>174624</v>
      </c>
      <c r="BJ60" s="94">
        <f ca="1">TblProd[[#This Row],[Food]]</f>
        <v>111313</v>
      </c>
      <c r="BK60" s="94">
        <f ca="1">TblProd[[#This Row],[Lumber]]</f>
        <v>51582</v>
      </c>
      <c r="BL60" s="94">
        <f ca="1">TblProd[[#This Row],[Mana]]</f>
        <v>0</v>
      </c>
      <c r="BM60" s="94">
        <f ca="1">TblProd[[#This Row],[Ore]]</f>
        <v>0</v>
      </c>
    </row>
    <row r="61" spans="1:65" x14ac:dyDescent="0.2">
      <c r="A61" s="137">
        <f t="shared" si="0"/>
        <v>10</v>
      </c>
      <c r="B61" s="152">
        <f ca="1">TblImps[[#This Row],[Time]]</f>
        <v>46322.374999999862</v>
      </c>
      <c r="C61" s="153"/>
      <c r="D61" s="154"/>
      <c r="E61" s="94">
        <f ca="1">TblConstr[[#This Row],[Land]]</f>
        <v>50</v>
      </c>
      <c r="F61" s="94">
        <f ca="1">TblPop[[#This Row],[Peasants]]</f>
        <v>265</v>
      </c>
      <c r="G61" s="94">
        <f ca="1">TblMili[[#This Row],[Networth (2)]]</f>
        <v>1250</v>
      </c>
      <c r="H61" s="94">
        <f ca="1">OFFSET(TblProd[[#This Row],[Platinum]],-1,0)+OFFSET(TblProd[[#This Row],[Plat/hr]],-1,0) - TblProd[[#This Row],[Expenses Platinum]] + IF(TblProd[[#This Row],[Plat Bonus]],TblPop[[#This Row],[Peasants]]*4) + SUM(TblConstr[[#This Row],[Dest Hom]:[Dest Doc]])*TblConstr[[#This Row],[CPA Platinum -DB]]*tech_3_3_2*TblTech[[#This Row],[3-3]]</f>
        <v>175347</v>
      </c>
      <c r="I61" s="94">
        <f ca="1">OFFSET(TblProd[[#This Row],[Food]],-1,0)+OFFSET(TblProd[[#This Row],[Food/hr]],-1,0)+ROUNDUP((TblConstr[[#This Row],[Farms]]*80+TblConstr[[#This Row],[Docks]]*35)*(1+OFFSET(TblProd[[#This Row],[Bonus Food/hr]],-1,0)),0)</f>
        <v>112588</v>
      </c>
      <c r="J61" s="94">
        <f ca="1">OFFSET(TblProd[[#This Row],[Lumber]],-1,0)+OFFSET(TblProd[[#This Row],[Lumber/hr]],-1,0) - TblProd[[#This Row],[Expenses Lumber]] + SUM(TblConstr[[#This Row],[Dest Hom]:[Dest Doc]])*TblConstr[[#This Row],[CPA Lumber -DB]]*tech_3_3_2*TblTech[[#This Row],[3-3]]</f>
        <v>52066</v>
      </c>
      <c r="K61" s="94">
        <f ca="1">OFFSET(TblProd[[#This Row],[Mana]],-1,0)+OFFSET(TblProd[[#This Row],[Mana/hr]],-1,0)- TblProd[[#This Row],[Expenses Mana]]</f>
        <v>0</v>
      </c>
      <c r="L61" s="94">
        <f ca="1">OFFSET(TblProd[[#This Row],[Ore]],-1,0)+OFFSET(TblProd[[#This Row],[Ore/hr]],-1,0) -TblProd[[#This Row],[Expenses Ore]]</f>
        <v>0</v>
      </c>
      <c r="M61" s="94">
        <f ca="1">OFFSET(TblProd[[#This Row],[Gems]],-1,0)+OFFSET(TblProd[[#This Row],[Gems/hr]],-1,0) - TblProd[[#This Row],[Expenses Gems]]</f>
        <v>0</v>
      </c>
      <c r="N61" s="94">
        <f ca="1">OFFSET(TblProd[[#This Row],[Boats]],-1,0)+OFFSET(TblProd[[#This Row],[Boats/hr]],-1,0)</f>
        <v>0</v>
      </c>
      <c r="O61" s="94">
        <f ca="1">OFFSET(TblProd[[#This Row],[Prestige]],-1,0)</f>
        <v>250</v>
      </c>
      <c r="P6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1" s="94">
        <f ca="1">MAX(_xlfn.CEILING.MATH(TblProd[[#This Row],[Land]]*2.5+IFERROR(OFFSET(TblTech[[#This Row],[Sum of tech]],-1,0)*50,0)),3750)</f>
        <v>3750</v>
      </c>
      <c r="R61" s="142"/>
      <c r="S61" s="94">
        <f ca="1">ROUNDDOWN(TblProd[[#This Row],[Raw Plat/hr]]*(1+TblProd[[#This Row],[Bonus Plat/hr]]),0)</f>
        <v>715</v>
      </c>
      <c r="T61" s="94">
        <f ca="1">ROUND(TblProd[[#This Row],[Raw Food/hr]]*(1+TblProd[[#This Row],[Bonus Food/hr]])-TblProd[[#This Row],[Food decay]]-TblProd[[#This Row],[Food eaten]],0)</f>
        <v>1262</v>
      </c>
      <c r="U61" s="94">
        <f ca="1">ROUND(TblProd[[#This Row],[Raw Lumber/hr]]*(1+TblProd[[#This Row],[Bonus Lumber/hr]])-TblProd[[#This Row],[Lumber rot]],0)</f>
        <v>479</v>
      </c>
      <c r="V61" s="94">
        <f ca="1">ROUND(TblProd[[#This Row],[Raw Mana/hr]]*(1+TblProd[[#This Row],[Bonus Mana/hr]])-TblProd[[#This Row],[Mana drain]],0)</f>
        <v>0</v>
      </c>
      <c r="W61" s="94">
        <f ca="1">ROUNDDOWN(TblProd[[#This Row],[Raw Ore/hr]]*(1+TblProd[[#This Row],[Bonux Ore/hr]]),0)</f>
        <v>0</v>
      </c>
      <c r="X61" s="94">
        <f ca="1">ROUNDDOWN(TblProd[[#This Row],[Raw Gems/hr]]*(1+TblProd[[#This Row],[Bonus Gems/hr]]),0)</f>
        <v>0</v>
      </c>
      <c r="Y61" s="155">
        <f ca="1">OFFSET(TblConstr[[#This Row],[Tot Doc]],1,0)*dock_boats_hr * (1 + tech_4_1*TblTech[[#This Row],[4-1]])</f>
        <v>0</v>
      </c>
      <c r="Z61" s="154"/>
      <c r="AA61" s="94">
        <f ca="1">TblPop[[#This Row],[Peasants]]*tax*TblPop[[#This Row],[Employment]] + (Construction!AZ62+Construction!BX62)*(alch_plat+(Magic!AN61&gt;0)*alchemist_flame_bonus)</f>
        <v>715.5</v>
      </c>
      <c r="AB61" s="94">
        <f ca="1">TblConstr[[#This Row],[Tot Farm]]*farm_food + TblConstr[[#This Row],[Tot Doc]]*dock_food</f>
        <v>2400</v>
      </c>
      <c r="AC61" s="94">
        <f ca="1">TblConstr[[#This Row],[Tot Ly]]*ly_lumber + TblConstr[[#This Row],[Tot Hav]]*fh_lumber + IF(race="Wood Elf",TblMili[[#This Row],[Unit 2]]*MIN(TblMili[[#This Row],[Homeland%]]/wisp_bonus,wisp_cap),0)</f>
        <v>1000</v>
      </c>
      <c r="AD61" s="94">
        <f ca="1">OFFSET(TblConstr[[#This Row],[Tot Tow]],1,0)*(tower_mana + tech_4_5*TblTech[[#This Row],[4-5]]) + OFFSET(TblConstr[[#This Row],[Tot WG]],1,0)*wg_mana_prod</f>
        <v>0</v>
      </c>
      <c r="AE61" s="94">
        <f ca="1">OFFSET(TblConstr[[#This Row],[Tot OM]],1,0)*om_ore+IF(race="Dwarf",TblMili[[#This Row],[Unit 2]]*0.5,0)</f>
        <v>0</v>
      </c>
      <c r="AF61" s="94">
        <f ca="1">OFFSET(TblConstr[[#This Row],[Tot DM]],1,0)*dm_gems</f>
        <v>0</v>
      </c>
      <c r="AG61" s="142"/>
      <c r="AH61" s="156">
        <f ca="1">MIN(race_platinum_bonus + IF(TblMagic[[#This Row],[Active Arc Infusion]]&gt;0,alch_frost_bonus,IF(Magic!AE61&gt;0,midas_bonus)) + TblImps[[#This Row],[Science]] - TblProd[[#This Row],[Guard]]*(0.02 + tech_5_7*TblTech[[#This Row],[5-7]]) + tech_1_5*TblTech[[#This Row],[1-5]] + tech_4_4*TblTech[[#This Row],[4-4]] + IF(TblMagic[[#This Row],[Active Infernal Command]]&gt;0,demonic_pact_plat,0), 0.5)</f>
        <v>0</v>
      </c>
      <c r="AI6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1" s="156">
        <f ca="1">race_lumber_bonus+ IF(TblMagic[[#This Row],[Active Gaia''s Blessing]]&gt;0,gaias_blessing_lumber)+ tech_1_3*TblTech[[#This Row],[1-3]] + tech_1_6*TblTech[[#This Row],[1-6]] + tech_3_3*TblTech[[#This Row],[3-3]]</f>
        <v>0</v>
      </c>
      <c r="AK61" s="156">
        <f ca="1">race_mana_bonus+ 0 + TblImps[[#This Row],[Spires]] + tech_1_2*TblTech[[#This Row],[1-2]] + tech_3_4*TblTech[[#This Row],[3-4]]</f>
        <v>0</v>
      </c>
      <c r="AL61" s="156">
        <f ca="1">race_ore_bonus + IF(TblMagic[[#This Row],[Active Miner''s Sight]]&gt;0,miners_sight_bonus,IF(TblMagic[[#This Row],[Active Mining Strength]]&gt;0,mining_strength_bonus)) +  tech_1_6*TblTech[[#This Row],[1-6]]</f>
        <v>0</v>
      </c>
      <c r="AM61" s="156">
        <f>race_gem_bonus+ tech_3_2*TblTech[[#This Row],[3-2]] + tech_4_3*TblTech[[#This Row],[4-3]] + tech_6_2*TblTech[[#This Row],[6-2]]</f>
        <v>0</v>
      </c>
      <c r="AN61" s="142"/>
      <c r="AO61" s="94">
        <f ca="1">TblProd[[#This Row],[Food]]*food_decay * (1 + tech_2_1*TblTech[[#This Row],[2-1]] + tech_2_8*TblTech[[#This Row],[2-8]] + IF(AND(TblMagic[[#This Row],[Active DnD]]&lt;12,TblMagic[[#This Row],[Active DnD]]&gt;5),1,0))</f>
        <v>1125.8800000000001</v>
      </c>
      <c r="AP61" s="94">
        <f ca="1">(1+race_food_consumption)*TblPop[[#This Row],[Total]]*food_per_person*(1+tech_1_10*TblTech[[#This Row],[1-10]]+tech_7_5*TblTech[[#This Row],[7-5]] + IF(TblMagic[[#This Row],[Active Infernal Command]]&gt;0,demonic_pact_food_cons,0))</f>
        <v>192.25</v>
      </c>
      <c r="AQ61" s="94">
        <f ca="1">TblProd[[#This Row],[Lumber]]*lumber_rot * (1 + tech_2_1*TblTech[[#This Row],[2-1]] + tech_2_8*TblTech[[#This Row],[2-8]] + tech_5_2*TblTech[[#This Row],[5-2]] + IF(AND(TblMagic[[#This Row],[Active DnD]]&lt;12,TblMagic[[#This Row],[Active DnD]]&gt;5),1,0))</f>
        <v>520.66</v>
      </c>
      <c r="AR61" s="94">
        <f ca="1">TblProd[[#This Row],[Mana]]*mana_drain * (1 + tech_2_1*TblTech[[#This Row],[2-1]] + tech_2_8*TblTech[[#This Row],[2-8]])</f>
        <v>0</v>
      </c>
      <c r="AS61" s="154"/>
      <c r="AT61" s="94">
        <f ca="1">TblExplore[[#This Row],[Platinum (2)]]+TblConstr[[#This Row],[Total Plat Cost]]+TblMili[[#This Row],[Plat Cost]]+TblRezone[[#This Row],[Platinum cost]]+TblImps[[#This Row],[P1]]-TblProd[[#This Row],[Bank Plat]]</f>
        <v>0</v>
      </c>
      <c r="AU61" s="94">
        <f ca="1">TblConstr[[#This Row],[Total Lum Cost]]+TblImps[[#This Row],[L1]]-TblProd[[#This Row],[Bank Lumber]] + Military!$CO$25*TblMili[[#This Row],[Sec. rec. Cost]]</f>
        <v>0</v>
      </c>
      <c r="AV61" s="94">
        <f ca="1">TblMagic[[#This Row],[Mana cost]] + Military!$CO$26*TblMili[[#This Row],[Sec. rec. Cost]]</f>
        <v>0</v>
      </c>
      <c r="AW61" s="94">
        <f ca="1">Military!$CO$24*TblMili[[#This Row],[Sec. rec. Cost]]+TblImps[[#This Row],[O1]]-TblProd[[#This Row],[Bank Ore]]</f>
        <v>0</v>
      </c>
      <c r="AX61" s="94">
        <f>TblImps[[#This Row],[G1]]-TblProd[[#This Row],[Bank Gems]]</f>
        <v>0</v>
      </c>
      <c r="AY61" s="142"/>
      <c r="AZ61" s="61" t="b">
        <f ca="1">IF(TblProd[[#This Row],[Set Guard]]&lt;&gt;"",TblProd[[#This Row],[Set Guard]],OFFSET(TblProd[[#This Row],[Guard]],-1,0))</f>
        <v>0</v>
      </c>
      <c r="BA61" s="153"/>
      <c r="BB61" s="45">
        <f>TblProd[[#This Row],[Hour]]</f>
        <v>10</v>
      </c>
      <c r="BC61" s="158">
        <f>-TblProd[[#This Row],[Bank Lumber]] / 2 + -TblProd[[#This Row],[Bank Gems]] * 2 + -TblProd[[#This Row],[Bank Ore]] / 2</f>
        <v>0</v>
      </c>
      <c r="BD61" s="158"/>
      <c r="BE61" s="158"/>
      <c r="BF61" s="158"/>
      <c r="BG61" s="159">
        <f ca="1">TblProd[[#This Row],[Time]]</f>
        <v>46322.374999999862</v>
      </c>
      <c r="BH61" s="45"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94">
        <f ca="1">TblProd[[#This Row],[Platinum]]</f>
        <v>175347</v>
      </c>
      <c r="BJ61" s="94">
        <f ca="1">TblProd[[#This Row],[Food]]</f>
        <v>112588</v>
      </c>
      <c r="BK61" s="94">
        <f ca="1">TblProd[[#This Row],[Lumber]]</f>
        <v>52066</v>
      </c>
      <c r="BL61" s="94">
        <f ca="1">TblProd[[#This Row],[Mana]]</f>
        <v>0</v>
      </c>
      <c r="BM61" s="94">
        <f ca="1">TblProd[[#This Row],[Ore]]</f>
        <v>0</v>
      </c>
    </row>
    <row r="62" spans="1:65" x14ac:dyDescent="0.2">
      <c r="A62" s="137">
        <f t="shared" si="0"/>
        <v>11</v>
      </c>
      <c r="B62" s="152">
        <f ca="1">TblImps[[#This Row],[Time]]</f>
        <v>46322.416666666526</v>
      </c>
      <c r="C62" s="153"/>
      <c r="D62" s="154"/>
      <c r="E62" s="94">
        <f ca="1">TblConstr[[#This Row],[Land]]</f>
        <v>50</v>
      </c>
      <c r="F62" s="94">
        <f ca="1">TblPop[[#This Row],[Peasants]]</f>
        <v>262</v>
      </c>
      <c r="G62" s="94">
        <f ca="1">TblMili[[#This Row],[Networth (2)]]</f>
        <v>1250</v>
      </c>
      <c r="H62" s="94">
        <f ca="1">OFFSET(TblProd[[#This Row],[Platinum]],-1,0)+OFFSET(TblProd[[#This Row],[Plat/hr]],-1,0) - TblProd[[#This Row],[Expenses Platinum]] + IF(TblProd[[#This Row],[Plat Bonus]],TblPop[[#This Row],[Peasants]]*4) + SUM(TblConstr[[#This Row],[Dest Hom]:[Dest Doc]])*TblConstr[[#This Row],[CPA Platinum -DB]]*tech_3_3_2*TblTech[[#This Row],[3-3]]</f>
        <v>176062</v>
      </c>
      <c r="I62" s="94">
        <f ca="1">OFFSET(TblProd[[#This Row],[Food]],-1,0)+OFFSET(TblProd[[#This Row],[Food/hr]],-1,0)+ROUNDUP((TblConstr[[#This Row],[Farms]]*80+TblConstr[[#This Row],[Docks]]*35)*(1+OFFSET(TblProd[[#This Row],[Bonus Food/hr]],-1,0)),0)</f>
        <v>113850</v>
      </c>
      <c r="J62" s="94">
        <f ca="1">OFFSET(TblProd[[#This Row],[Lumber]],-1,0)+OFFSET(TblProd[[#This Row],[Lumber/hr]],-1,0) - TblProd[[#This Row],[Expenses Lumber]] + SUM(TblConstr[[#This Row],[Dest Hom]:[Dest Doc]])*TblConstr[[#This Row],[CPA Lumber -DB]]*tech_3_3_2*TblTech[[#This Row],[3-3]]</f>
        <v>52545</v>
      </c>
      <c r="K62" s="94">
        <f ca="1">OFFSET(TblProd[[#This Row],[Mana]],-1,0)+OFFSET(TblProd[[#This Row],[Mana/hr]],-1,0)- TblProd[[#This Row],[Expenses Mana]]</f>
        <v>0</v>
      </c>
      <c r="L62" s="94">
        <f ca="1">OFFSET(TblProd[[#This Row],[Ore]],-1,0)+OFFSET(TblProd[[#This Row],[Ore/hr]],-1,0) -TblProd[[#This Row],[Expenses Ore]]</f>
        <v>0</v>
      </c>
      <c r="M62" s="94">
        <f ca="1">OFFSET(TblProd[[#This Row],[Gems]],-1,0)+OFFSET(TblProd[[#This Row],[Gems/hr]],-1,0) - TblProd[[#This Row],[Expenses Gems]]</f>
        <v>0</v>
      </c>
      <c r="N62" s="94">
        <f ca="1">OFFSET(TblProd[[#This Row],[Boats]],-1,0)+OFFSET(TblProd[[#This Row],[Boats/hr]],-1,0)</f>
        <v>0</v>
      </c>
      <c r="O62" s="94">
        <f ca="1">OFFSET(TblProd[[#This Row],[Prestige]],-1,0)</f>
        <v>250</v>
      </c>
      <c r="P6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2" s="94">
        <f ca="1">MAX(_xlfn.CEILING.MATH(TblProd[[#This Row],[Land]]*2.5+IFERROR(OFFSET(TblTech[[#This Row],[Sum of tech]],-1,0)*50,0)),3750)</f>
        <v>3750</v>
      </c>
      <c r="R62" s="142"/>
      <c r="S62" s="94">
        <f ca="1">ROUNDDOWN(TblProd[[#This Row],[Raw Plat/hr]]*(1+TblProd[[#This Row],[Bonus Plat/hr]]),0)</f>
        <v>707</v>
      </c>
      <c r="T62" s="94">
        <f ca="1">ROUND(TblProd[[#This Row],[Raw Food/hr]]*(1+TblProd[[#This Row],[Bonus Food/hr]])-TblProd[[#This Row],[Food decay]]-TblProd[[#This Row],[Food eaten]],0)</f>
        <v>1249</v>
      </c>
      <c r="U62" s="94">
        <f ca="1">ROUND(TblProd[[#This Row],[Raw Lumber/hr]]*(1+TblProd[[#This Row],[Bonus Lumber/hr]])-TblProd[[#This Row],[Lumber rot]],0)</f>
        <v>475</v>
      </c>
      <c r="V62" s="94">
        <f ca="1">ROUND(TblProd[[#This Row],[Raw Mana/hr]]*(1+TblProd[[#This Row],[Bonus Mana/hr]])-TblProd[[#This Row],[Mana drain]],0)</f>
        <v>0</v>
      </c>
      <c r="W62" s="94">
        <f ca="1">ROUNDDOWN(TblProd[[#This Row],[Raw Ore/hr]]*(1+TblProd[[#This Row],[Bonux Ore/hr]]),0)</f>
        <v>0</v>
      </c>
      <c r="X62" s="94">
        <f ca="1">ROUNDDOWN(TblProd[[#This Row],[Raw Gems/hr]]*(1+TblProd[[#This Row],[Bonus Gems/hr]]),0)</f>
        <v>0</v>
      </c>
      <c r="Y62" s="155">
        <f ca="1">OFFSET(TblConstr[[#This Row],[Tot Doc]],1,0)*dock_boats_hr * (1 + tech_4_1*TblTech[[#This Row],[4-1]])</f>
        <v>0</v>
      </c>
      <c r="Z62" s="154"/>
      <c r="AA62" s="94">
        <f ca="1">TblPop[[#This Row],[Peasants]]*tax*TblPop[[#This Row],[Employment]] + (Construction!AZ63+Construction!BX63)*(alch_plat+(Magic!AN62&gt;0)*alchemist_flame_bonus)</f>
        <v>707.40000000000009</v>
      </c>
      <c r="AB62" s="94">
        <f ca="1">TblConstr[[#This Row],[Tot Farm]]*farm_food + TblConstr[[#This Row],[Tot Doc]]*dock_food</f>
        <v>2400</v>
      </c>
      <c r="AC62" s="94">
        <f ca="1">TblConstr[[#This Row],[Tot Ly]]*ly_lumber + TblConstr[[#This Row],[Tot Hav]]*fh_lumber + IF(race="Wood Elf",TblMili[[#This Row],[Unit 2]]*MIN(TblMili[[#This Row],[Homeland%]]/wisp_bonus,wisp_cap),0)</f>
        <v>1000</v>
      </c>
      <c r="AD62" s="94">
        <f ca="1">OFFSET(TblConstr[[#This Row],[Tot Tow]],1,0)*(tower_mana + tech_4_5*TblTech[[#This Row],[4-5]]) + OFFSET(TblConstr[[#This Row],[Tot WG]],1,0)*wg_mana_prod</f>
        <v>0</v>
      </c>
      <c r="AE62" s="94">
        <f ca="1">OFFSET(TblConstr[[#This Row],[Tot OM]],1,0)*om_ore+IF(race="Dwarf",TblMili[[#This Row],[Unit 2]]*0.5,0)</f>
        <v>0</v>
      </c>
      <c r="AF62" s="94">
        <f ca="1">OFFSET(TblConstr[[#This Row],[Tot DM]],1,0)*dm_gems</f>
        <v>0</v>
      </c>
      <c r="AG62" s="142"/>
      <c r="AH62" s="156">
        <f ca="1">MIN(race_platinum_bonus + IF(TblMagic[[#This Row],[Active Arc Infusion]]&gt;0,alch_frost_bonus,IF(Magic!AE62&gt;0,midas_bonus)) + TblImps[[#This Row],[Science]] - TblProd[[#This Row],[Guard]]*(0.02 + tech_5_7*TblTech[[#This Row],[5-7]]) + tech_1_5*TblTech[[#This Row],[1-5]] + tech_4_4*TblTech[[#This Row],[4-4]] + IF(TblMagic[[#This Row],[Active Infernal Command]]&gt;0,demonic_pact_plat,0), 0.5)</f>
        <v>0</v>
      </c>
      <c r="AI6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2" s="156">
        <f ca="1">race_lumber_bonus+ IF(TblMagic[[#This Row],[Active Gaia''s Blessing]]&gt;0,gaias_blessing_lumber)+ tech_1_3*TblTech[[#This Row],[1-3]] + tech_1_6*TblTech[[#This Row],[1-6]] + tech_3_3*TblTech[[#This Row],[3-3]]</f>
        <v>0</v>
      </c>
      <c r="AK62" s="156">
        <f ca="1">race_mana_bonus+ 0 + TblImps[[#This Row],[Spires]] + tech_1_2*TblTech[[#This Row],[1-2]] + tech_3_4*TblTech[[#This Row],[3-4]]</f>
        <v>0</v>
      </c>
      <c r="AL62" s="156">
        <f ca="1">race_ore_bonus + IF(TblMagic[[#This Row],[Active Miner''s Sight]]&gt;0,miners_sight_bonus,IF(TblMagic[[#This Row],[Active Mining Strength]]&gt;0,mining_strength_bonus)) +  tech_1_6*TblTech[[#This Row],[1-6]]</f>
        <v>0</v>
      </c>
      <c r="AM62" s="156">
        <f>race_gem_bonus+ tech_3_2*TblTech[[#This Row],[3-2]] + tech_4_3*TblTech[[#This Row],[4-3]] + tech_6_2*TblTech[[#This Row],[6-2]]</f>
        <v>0</v>
      </c>
      <c r="AN62" s="142"/>
      <c r="AO62" s="94">
        <f ca="1">TblProd[[#This Row],[Food]]*food_decay * (1 + tech_2_1*TblTech[[#This Row],[2-1]] + tech_2_8*TblTech[[#This Row],[2-8]] + IF(AND(TblMagic[[#This Row],[Active DnD]]&lt;12,TblMagic[[#This Row],[Active DnD]]&gt;5),1,0))</f>
        <v>1138.5</v>
      </c>
      <c r="AP62" s="94">
        <f ca="1">(1+race_food_consumption)*TblPop[[#This Row],[Total]]*food_per_person*(1+tech_1_10*TblTech[[#This Row],[1-10]]+tech_7_5*TblTech[[#This Row],[7-5]] + IF(TblMagic[[#This Row],[Active Infernal Command]]&gt;0,demonic_pact_food_cons,0))</f>
        <v>192.25</v>
      </c>
      <c r="AQ62" s="94">
        <f ca="1">TblProd[[#This Row],[Lumber]]*lumber_rot * (1 + tech_2_1*TblTech[[#This Row],[2-1]] + tech_2_8*TblTech[[#This Row],[2-8]] + tech_5_2*TblTech[[#This Row],[5-2]] + IF(AND(TblMagic[[#This Row],[Active DnD]]&lt;12,TblMagic[[#This Row],[Active DnD]]&gt;5),1,0))</f>
        <v>525.45000000000005</v>
      </c>
      <c r="AR62" s="94">
        <f ca="1">TblProd[[#This Row],[Mana]]*mana_drain * (1 + tech_2_1*TblTech[[#This Row],[2-1]] + tech_2_8*TblTech[[#This Row],[2-8]])</f>
        <v>0</v>
      </c>
      <c r="AS62" s="154"/>
      <c r="AT62" s="94">
        <f ca="1">TblExplore[[#This Row],[Platinum (2)]]+TblConstr[[#This Row],[Total Plat Cost]]+TblMili[[#This Row],[Plat Cost]]+TblRezone[[#This Row],[Platinum cost]]+TblImps[[#This Row],[P1]]-TblProd[[#This Row],[Bank Plat]]</f>
        <v>0</v>
      </c>
      <c r="AU62" s="94">
        <f ca="1">TblConstr[[#This Row],[Total Lum Cost]]+TblImps[[#This Row],[L1]]-TblProd[[#This Row],[Bank Lumber]] + Military!$CO$25*TblMili[[#This Row],[Sec. rec. Cost]]</f>
        <v>0</v>
      </c>
      <c r="AV62" s="94">
        <f ca="1">TblMagic[[#This Row],[Mana cost]] + Military!$CO$26*TblMili[[#This Row],[Sec. rec. Cost]]</f>
        <v>0</v>
      </c>
      <c r="AW62" s="94">
        <f ca="1">Military!$CO$24*TblMili[[#This Row],[Sec. rec. Cost]]+TblImps[[#This Row],[O1]]-TblProd[[#This Row],[Bank Ore]]</f>
        <v>0</v>
      </c>
      <c r="AX62" s="94">
        <f>TblImps[[#This Row],[G1]]-TblProd[[#This Row],[Bank Gems]]</f>
        <v>0</v>
      </c>
      <c r="AY62" s="142"/>
      <c r="AZ62" s="61" t="b">
        <f ca="1">IF(TblProd[[#This Row],[Set Guard]]&lt;&gt;"",TblProd[[#This Row],[Set Guard]],OFFSET(TblProd[[#This Row],[Guard]],-1,0))</f>
        <v>0</v>
      </c>
      <c r="BA62" s="153"/>
      <c r="BB62" s="45">
        <f>TblProd[[#This Row],[Hour]]</f>
        <v>11</v>
      </c>
      <c r="BC62" s="158">
        <f>-TblProd[[#This Row],[Bank Lumber]] / 2 + -TblProd[[#This Row],[Bank Gems]] * 2 + -TblProd[[#This Row],[Bank Ore]] / 2</f>
        <v>0</v>
      </c>
      <c r="BD62" s="158"/>
      <c r="BE62" s="158"/>
      <c r="BF62" s="158"/>
      <c r="BG62" s="159">
        <f ca="1">TblProd[[#This Row],[Time]]</f>
        <v>46322.416666666526</v>
      </c>
      <c r="BH62" s="45"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94">
        <f ca="1">TblProd[[#This Row],[Platinum]]</f>
        <v>176062</v>
      </c>
      <c r="BJ62" s="94">
        <f ca="1">TblProd[[#This Row],[Food]]</f>
        <v>113850</v>
      </c>
      <c r="BK62" s="94">
        <f ca="1">TblProd[[#This Row],[Lumber]]</f>
        <v>52545</v>
      </c>
      <c r="BL62" s="94">
        <f ca="1">TblProd[[#This Row],[Mana]]</f>
        <v>0</v>
      </c>
      <c r="BM62" s="94">
        <f ca="1">TblProd[[#This Row],[Ore]]</f>
        <v>0</v>
      </c>
    </row>
    <row r="63" spans="1:65" x14ac:dyDescent="0.2">
      <c r="A63" s="137">
        <f t="shared" si="0"/>
        <v>12</v>
      </c>
      <c r="B63" s="152">
        <f ca="1">TblImps[[#This Row],[Time]]</f>
        <v>46322.45833333319</v>
      </c>
      <c r="C63" s="153"/>
      <c r="D63" s="154"/>
      <c r="E63" s="94">
        <f ca="1">TblConstr[[#This Row],[Land]]</f>
        <v>50</v>
      </c>
      <c r="F63" s="94">
        <f ca="1">TblPop[[#This Row],[Peasants]]</f>
        <v>259</v>
      </c>
      <c r="G63" s="94">
        <f ca="1">TblMili[[#This Row],[Networth (2)]]</f>
        <v>1250</v>
      </c>
      <c r="H63" s="94">
        <f ca="1">OFFSET(TblProd[[#This Row],[Platinum]],-1,0)+OFFSET(TblProd[[#This Row],[Plat/hr]],-1,0) - TblProd[[#This Row],[Expenses Platinum]] + IF(TblProd[[#This Row],[Plat Bonus]],TblPop[[#This Row],[Peasants]]*4) + SUM(TblConstr[[#This Row],[Dest Hom]:[Dest Doc]])*TblConstr[[#This Row],[CPA Platinum -DB]]*tech_3_3_2*TblTech[[#This Row],[3-3]]</f>
        <v>176769</v>
      </c>
      <c r="I63" s="94">
        <f ca="1">OFFSET(TblProd[[#This Row],[Food]],-1,0)+OFFSET(TblProd[[#This Row],[Food/hr]],-1,0)+ROUNDUP((TblConstr[[#This Row],[Farms]]*80+TblConstr[[#This Row],[Docks]]*35)*(1+OFFSET(TblProd[[#This Row],[Bonus Food/hr]],-1,0)),0)</f>
        <v>115099</v>
      </c>
      <c r="J63" s="94">
        <f ca="1">OFFSET(TblProd[[#This Row],[Lumber]],-1,0)+OFFSET(TblProd[[#This Row],[Lumber/hr]],-1,0) - TblProd[[#This Row],[Expenses Lumber]] + SUM(TblConstr[[#This Row],[Dest Hom]:[Dest Doc]])*TblConstr[[#This Row],[CPA Lumber -DB]]*tech_3_3_2*TblTech[[#This Row],[3-3]]</f>
        <v>53020</v>
      </c>
      <c r="K63" s="94">
        <f ca="1">OFFSET(TblProd[[#This Row],[Mana]],-1,0)+OFFSET(TblProd[[#This Row],[Mana/hr]],-1,0)- TblProd[[#This Row],[Expenses Mana]]</f>
        <v>0</v>
      </c>
      <c r="L63" s="94">
        <f ca="1">OFFSET(TblProd[[#This Row],[Ore]],-1,0)+OFFSET(TblProd[[#This Row],[Ore/hr]],-1,0) -TblProd[[#This Row],[Expenses Ore]]</f>
        <v>0</v>
      </c>
      <c r="M63" s="94">
        <f ca="1">OFFSET(TblProd[[#This Row],[Gems]],-1,0)+OFFSET(TblProd[[#This Row],[Gems/hr]],-1,0) - TblProd[[#This Row],[Expenses Gems]]</f>
        <v>0</v>
      </c>
      <c r="N63" s="94">
        <f ca="1">OFFSET(TblProd[[#This Row],[Boats]],-1,0)+OFFSET(TblProd[[#This Row],[Boats/hr]],-1,0)</f>
        <v>0</v>
      </c>
      <c r="O63" s="94">
        <f ca="1">OFFSET(TblProd[[#This Row],[Prestige]],-1,0)</f>
        <v>250</v>
      </c>
      <c r="P6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3" s="94">
        <f ca="1">MAX(_xlfn.CEILING.MATH(TblProd[[#This Row],[Land]]*2.5+IFERROR(OFFSET(TblTech[[#This Row],[Sum of tech]],-1,0)*50,0)),3750)</f>
        <v>3750</v>
      </c>
      <c r="R63" s="142"/>
      <c r="S63" s="94">
        <f ca="1">ROUNDDOWN(TblProd[[#This Row],[Raw Plat/hr]]*(1+TblProd[[#This Row],[Bonus Plat/hr]]),0)</f>
        <v>699</v>
      </c>
      <c r="T63" s="94">
        <f ca="1">ROUND(TblProd[[#This Row],[Raw Food/hr]]*(1+TblProd[[#This Row],[Bonus Food/hr]])-TblProd[[#This Row],[Food decay]]-TblProd[[#This Row],[Food eaten]],0)</f>
        <v>1237</v>
      </c>
      <c r="U63" s="94">
        <f ca="1">ROUND(TblProd[[#This Row],[Raw Lumber/hr]]*(1+TblProd[[#This Row],[Bonus Lumber/hr]])-TblProd[[#This Row],[Lumber rot]],0)</f>
        <v>470</v>
      </c>
      <c r="V63" s="94">
        <f ca="1">ROUND(TblProd[[#This Row],[Raw Mana/hr]]*(1+TblProd[[#This Row],[Bonus Mana/hr]])-TblProd[[#This Row],[Mana drain]],0)</f>
        <v>0</v>
      </c>
      <c r="W63" s="94">
        <f ca="1">ROUNDDOWN(TblProd[[#This Row],[Raw Ore/hr]]*(1+TblProd[[#This Row],[Bonux Ore/hr]]),0)</f>
        <v>0</v>
      </c>
      <c r="X63" s="94">
        <f ca="1">ROUNDDOWN(TblProd[[#This Row],[Raw Gems/hr]]*(1+TblProd[[#This Row],[Bonus Gems/hr]]),0)</f>
        <v>0</v>
      </c>
      <c r="Y63" s="155">
        <f ca="1">OFFSET(TblConstr[[#This Row],[Tot Doc]],1,0)*dock_boats_hr * (1 + tech_4_1*TblTech[[#This Row],[4-1]])</f>
        <v>0</v>
      </c>
      <c r="Z63" s="154"/>
      <c r="AA63" s="94">
        <f ca="1">TblPop[[#This Row],[Peasants]]*tax*TblPop[[#This Row],[Employment]] + (Construction!AZ64+Construction!BX64)*(alch_plat+(Magic!AN63&gt;0)*alchemist_flame_bonus)</f>
        <v>699.30000000000007</v>
      </c>
      <c r="AB63" s="94">
        <f ca="1">TblConstr[[#This Row],[Tot Farm]]*farm_food + TblConstr[[#This Row],[Tot Doc]]*dock_food</f>
        <v>2400</v>
      </c>
      <c r="AC63" s="94">
        <f ca="1">TblConstr[[#This Row],[Tot Ly]]*ly_lumber + TblConstr[[#This Row],[Tot Hav]]*fh_lumber + IF(race="Wood Elf",TblMili[[#This Row],[Unit 2]]*MIN(TblMili[[#This Row],[Homeland%]]/wisp_bonus,wisp_cap),0)</f>
        <v>1000</v>
      </c>
      <c r="AD63" s="94">
        <f ca="1">OFFSET(TblConstr[[#This Row],[Tot Tow]],1,0)*(tower_mana + tech_4_5*TblTech[[#This Row],[4-5]]) + OFFSET(TblConstr[[#This Row],[Tot WG]],1,0)*wg_mana_prod</f>
        <v>0</v>
      </c>
      <c r="AE63" s="94">
        <f ca="1">OFFSET(TblConstr[[#This Row],[Tot OM]],1,0)*om_ore+IF(race="Dwarf",TblMili[[#This Row],[Unit 2]]*0.5,0)</f>
        <v>0</v>
      </c>
      <c r="AF63" s="94">
        <f ca="1">OFFSET(TblConstr[[#This Row],[Tot DM]],1,0)*dm_gems</f>
        <v>0</v>
      </c>
      <c r="AG63" s="142"/>
      <c r="AH63" s="156">
        <f ca="1">MIN(race_platinum_bonus + IF(TblMagic[[#This Row],[Active Arc Infusion]]&gt;0,alch_frost_bonus,IF(Magic!AE63&gt;0,midas_bonus)) + TblImps[[#This Row],[Science]] - TblProd[[#This Row],[Guard]]*(0.02 + tech_5_7*TblTech[[#This Row],[5-7]]) + tech_1_5*TblTech[[#This Row],[1-5]] + tech_4_4*TblTech[[#This Row],[4-4]] + IF(TblMagic[[#This Row],[Active Infernal Command]]&gt;0,demonic_pact_plat,0), 0.5)</f>
        <v>0</v>
      </c>
      <c r="AI6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3" s="156">
        <f ca="1">race_lumber_bonus+ IF(TblMagic[[#This Row],[Active Gaia''s Blessing]]&gt;0,gaias_blessing_lumber)+ tech_1_3*TblTech[[#This Row],[1-3]] + tech_1_6*TblTech[[#This Row],[1-6]] + tech_3_3*TblTech[[#This Row],[3-3]]</f>
        <v>0</v>
      </c>
      <c r="AK63" s="156">
        <f ca="1">race_mana_bonus+ 0 + TblImps[[#This Row],[Spires]] + tech_1_2*TblTech[[#This Row],[1-2]] + tech_3_4*TblTech[[#This Row],[3-4]]</f>
        <v>0</v>
      </c>
      <c r="AL63" s="156">
        <f ca="1">race_ore_bonus + IF(TblMagic[[#This Row],[Active Miner''s Sight]]&gt;0,miners_sight_bonus,IF(TblMagic[[#This Row],[Active Mining Strength]]&gt;0,mining_strength_bonus)) +  tech_1_6*TblTech[[#This Row],[1-6]]</f>
        <v>0</v>
      </c>
      <c r="AM63" s="156">
        <f>race_gem_bonus+ tech_3_2*TblTech[[#This Row],[3-2]] + tech_4_3*TblTech[[#This Row],[4-3]] + tech_6_2*TblTech[[#This Row],[6-2]]</f>
        <v>0</v>
      </c>
      <c r="AN63" s="142"/>
      <c r="AO63" s="94">
        <f ca="1">TblProd[[#This Row],[Food]]*food_decay * (1 + tech_2_1*TblTech[[#This Row],[2-1]] + tech_2_8*TblTech[[#This Row],[2-8]] + IF(AND(TblMagic[[#This Row],[Active DnD]]&lt;12,TblMagic[[#This Row],[Active DnD]]&gt;5),1,0))</f>
        <v>1150.99</v>
      </c>
      <c r="AP63" s="94">
        <f ca="1">(1+race_food_consumption)*TblPop[[#This Row],[Total]]*food_per_person*(1+tech_1_10*TblTech[[#This Row],[1-10]]+tech_7_5*TblTech[[#This Row],[7-5]] + IF(TblMagic[[#This Row],[Active Infernal Command]]&gt;0,demonic_pact_food_cons,0))</f>
        <v>192.25</v>
      </c>
      <c r="AQ63" s="94">
        <f ca="1">TblProd[[#This Row],[Lumber]]*lumber_rot * (1 + tech_2_1*TblTech[[#This Row],[2-1]] + tech_2_8*TblTech[[#This Row],[2-8]] + tech_5_2*TblTech[[#This Row],[5-2]] + IF(AND(TblMagic[[#This Row],[Active DnD]]&lt;12,TblMagic[[#This Row],[Active DnD]]&gt;5),1,0))</f>
        <v>530.20000000000005</v>
      </c>
      <c r="AR63" s="94">
        <f ca="1">TblProd[[#This Row],[Mana]]*mana_drain * (1 + tech_2_1*TblTech[[#This Row],[2-1]] + tech_2_8*TblTech[[#This Row],[2-8]])</f>
        <v>0</v>
      </c>
      <c r="AS63" s="154"/>
      <c r="AT63" s="94">
        <f ca="1">TblExplore[[#This Row],[Platinum (2)]]+TblConstr[[#This Row],[Total Plat Cost]]+TblMili[[#This Row],[Plat Cost]]+TblRezone[[#This Row],[Platinum cost]]+TblImps[[#This Row],[P1]]-TblProd[[#This Row],[Bank Plat]]</f>
        <v>0</v>
      </c>
      <c r="AU63" s="94">
        <f ca="1">TblConstr[[#This Row],[Total Lum Cost]]+TblImps[[#This Row],[L1]]-TblProd[[#This Row],[Bank Lumber]] + Military!$CO$25*TblMili[[#This Row],[Sec. rec. Cost]]</f>
        <v>0</v>
      </c>
      <c r="AV63" s="94">
        <f ca="1">TblMagic[[#This Row],[Mana cost]] + Military!$CO$26*TblMili[[#This Row],[Sec. rec. Cost]]</f>
        <v>0</v>
      </c>
      <c r="AW63" s="94">
        <f ca="1">Military!$CO$24*TblMili[[#This Row],[Sec. rec. Cost]]+TblImps[[#This Row],[O1]]-TblProd[[#This Row],[Bank Ore]]</f>
        <v>0</v>
      </c>
      <c r="AX63" s="94">
        <f>TblImps[[#This Row],[G1]]-TblProd[[#This Row],[Bank Gems]]</f>
        <v>0</v>
      </c>
      <c r="AY63" s="142"/>
      <c r="AZ63" s="61" t="b">
        <f ca="1">IF(TblProd[[#This Row],[Set Guard]]&lt;&gt;"",TblProd[[#This Row],[Set Guard]],OFFSET(TblProd[[#This Row],[Guard]],-1,0))</f>
        <v>0</v>
      </c>
      <c r="BA63" s="153"/>
      <c r="BB63" s="45">
        <f>TblProd[[#This Row],[Hour]]</f>
        <v>12</v>
      </c>
      <c r="BC63" s="158">
        <f>-TblProd[[#This Row],[Bank Lumber]] / 2 + -TblProd[[#This Row],[Bank Gems]] * 2 + -TblProd[[#This Row],[Bank Ore]] / 2</f>
        <v>0</v>
      </c>
      <c r="BD63" s="158"/>
      <c r="BE63" s="158"/>
      <c r="BF63" s="158"/>
      <c r="BG63" s="159">
        <f ca="1">TblProd[[#This Row],[Time]]</f>
        <v>46322.45833333319</v>
      </c>
      <c r="BH63" s="45"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94">
        <f ca="1">TblProd[[#This Row],[Platinum]]</f>
        <v>176769</v>
      </c>
      <c r="BJ63" s="94">
        <f ca="1">TblProd[[#This Row],[Food]]</f>
        <v>115099</v>
      </c>
      <c r="BK63" s="94">
        <f ca="1">TblProd[[#This Row],[Lumber]]</f>
        <v>53020</v>
      </c>
      <c r="BL63" s="94">
        <f ca="1">TblProd[[#This Row],[Mana]]</f>
        <v>0</v>
      </c>
      <c r="BM63" s="94">
        <f ca="1">TblProd[[#This Row],[Ore]]</f>
        <v>0</v>
      </c>
    </row>
    <row r="64" spans="1:65" x14ac:dyDescent="0.2">
      <c r="A64" s="137">
        <f t="shared" si="0"/>
        <v>13</v>
      </c>
      <c r="B64" s="152">
        <f ca="1">TblImps[[#This Row],[Time]]</f>
        <v>46322.499999999854</v>
      </c>
      <c r="C64" s="153"/>
      <c r="D64" s="154"/>
      <c r="E64" s="94">
        <f ca="1">TblConstr[[#This Row],[Land]]</f>
        <v>50</v>
      </c>
      <c r="F64" s="94">
        <f ca="1">TblPop[[#This Row],[Peasants]]</f>
        <v>256</v>
      </c>
      <c r="G64" s="94">
        <f ca="1">TblMili[[#This Row],[Networth (2)]]</f>
        <v>1250</v>
      </c>
      <c r="H64" s="94">
        <f ca="1">OFFSET(TblProd[[#This Row],[Platinum]],-1,0)+OFFSET(TblProd[[#This Row],[Plat/hr]],-1,0) - TblProd[[#This Row],[Expenses Platinum]] + IF(TblProd[[#This Row],[Plat Bonus]],TblPop[[#This Row],[Peasants]]*4) + SUM(TblConstr[[#This Row],[Dest Hom]:[Dest Doc]])*TblConstr[[#This Row],[CPA Platinum -DB]]*tech_3_3_2*TblTech[[#This Row],[3-3]]</f>
        <v>177468</v>
      </c>
      <c r="I64" s="94">
        <f ca="1">OFFSET(TblProd[[#This Row],[Food]],-1,0)+OFFSET(TblProd[[#This Row],[Food/hr]],-1,0)+ROUNDUP((TblConstr[[#This Row],[Farms]]*80+TblConstr[[#This Row],[Docks]]*35)*(1+OFFSET(TblProd[[#This Row],[Bonus Food/hr]],-1,0)),0)</f>
        <v>116336</v>
      </c>
      <c r="J64" s="94">
        <f ca="1">OFFSET(TblProd[[#This Row],[Lumber]],-1,0)+OFFSET(TblProd[[#This Row],[Lumber/hr]],-1,0) - TblProd[[#This Row],[Expenses Lumber]] + SUM(TblConstr[[#This Row],[Dest Hom]:[Dest Doc]])*TblConstr[[#This Row],[CPA Lumber -DB]]*tech_3_3_2*TblTech[[#This Row],[3-3]]</f>
        <v>53490</v>
      </c>
      <c r="K64" s="94">
        <f ca="1">OFFSET(TblProd[[#This Row],[Mana]],-1,0)+OFFSET(TblProd[[#This Row],[Mana/hr]],-1,0)- TblProd[[#This Row],[Expenses Mana]]</f>
        <v>0</v>
      </c>
      <c r="L64" s="94">
        <f ca="1">OFFSET(TblProd[[#This Row],[Ore]],-1,0)+OFFSET(TblProd[[#This Row],[Ore/hr]],-1,0) -TblProd[[#This Row],[Expenses Ore]]</f>
        <v>0</v>
      </c>
      <c r="M64" s="94">
        <f ca="1">OFFSET(TblProd[[#This Row],[Gems]],-1,0)+OFFSET(TblProd[[#This Row],[Gems/hr]],-1,0) - TblProd[[#This Row],[Expenses Gems]]</f>
        <v>0</v>
      </c>
      <c r="N64" s="94">
        <f ca="1">OFFSET(TblProd[[#This Row],[Boats]],-1,0)+OFFSET(TblProd[[#This Row],[Boats/hr]],-1,0)</f>
        <v>0</v>
      </c>
      <c r="O64" s="94">
        <f ca="1">OFFSET(TblProd[[#This Row],[Prestige]],-1,0)</f>
        <v>250</v>
      </c>
      <c r="P6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4" s="94">
        <f ca="1">MAX(_xlfn.CEILING.MATH(TblProd[[#This Row],[Land]]*2.5+IFERROR(OFFSET(TblTech[[#This Row],[Sum of tech]],-1,0)*50,0)),3750)</f>
        <v>3750</v>
      </c>
      <c r="R64" s="142"/>
      <c r="S64" s="94">
        <f ca="1">ROUNDDOWN(TblProd[[#This Row],[Raw Plat/hr]]*(1+TblProd[[#This Row],[Bonus Plat/hr]]),0)</f>
        <v>691</v>
      </c>
      <c r="T64" s="94">
        <f ca="1">ROUND(TblProd[[#This Row],[Raw Food/hr]]*(1+TblProd[[#This Row],[Bonus Food/hr]])-TblProd[[#This Row],[Food decay]]-TblProd[[#This Row],[Food eaten]],0)</f>
        <v>1224</v>
      </c>
      <c r="U64" s="94">
        <f ca="1">ROUND(TblProd[[#This Row],[Raw Lumber/hr]]*(1+TblProd[[#This Row],[Bonus Lumber/hr]])-TblProd[[#This Row],[Lumber rot]],0)</f>
        <v>465</v>
      </c>
      <c r="V64" s="94">
        <f ca="1">ROUND(TblProd[[#This Row],[Raw Mana/hr]]*(1+TblProd[[#This Row],[Bonus Mana/hr]])-TblProd[[#This Row],[Mana drain]],0)</f>
        <v>0</v>
      </c>
      <c r="W64" s="94">
        <f ca="1">ROUNDDOWN(TblProd[[#This Row],[Raw Ore/hr]]*(1+TblProd[[#This Row],[Bonux Ore/hr]]),0)</f>
        <v>0</v>
      </c>
      <c r="X64" s="94">
        <f ca="1">ROUNDDOWN(TblProd[[#This Row],[Raw Gems/hr]]*(1+TblProd[[#This Row],[Bonus Gems/hr]]),0)</f>
        <v>0</v>
      </c>
      <c r="Y64" s="155">
        <f ca="1">OFFSET(TblConstr[[#This Row],[Tot Doc]],1,0)*dock_boats_hr * (1 + tech_4_1*TblTech[[#This Row],[4-1]])</f>
        <v>0</v>
      </c>
      <c r="Z64" s="154"/>
      <c r="AA64" s="94">
        <f ca="1">TblPop[[#This Row],[Peasants]]*tax*TblPop[[#This Row],[Employment]] + (Construction!AZ65+Construction!BX65)*(alch_plat+(Magic!AN64&gt;0)*alchemist_flame_bonus)</f>
        <v>691.2</v>
      </c>
      <c r="AB64" s="94">
        <f ca="1">TblConstr[[#This Row],[Tot Farm]]*farm_food + TblConstr[[#This Row],[Tot Doc]]*dock_food</f>
        <v>2400</v>
      </c>
      <c r="AC64" s="94">
        <f ca="1">TblConstr[[#This Row],[Tot Ly]]*ly_lumber + TblConstr[[#This Row],[Tot Hav]]*fh_lumber + IF(race="Wood Elf",TblMili[[#This Row],[Unit 2]]*MIN(TblMili[[#This Row],[Homeland%]]/wisp_bonus,wisp_cap),0)</f>
        <v>1000</v>
      </c>
      <c r="AD64" s="94">
        <f ca="1">OFFSET(TblConstr[[#This Row],[Tot Tow]],1,0)*(tower_mana + tech_4_5*TblTech[[#This Row],[4-5]]) + OFFSET(TblConstr[[#This Row],[Tot WG]],1,0)*wg_mana_prod</f>
        <v>0</v>
      </c>
      <c r="AE64" s="94">
        <f ca="1">OFFSET(TblConstr[[#This Row],[Tot OM]],1,0)*om_ore+IF(race="Dwarf",TblMili[[#This Row],[Unit 2]]*0.5,0)</f>
        <v>0</v>
      </c>
      <c r="AF64" s="94">
        <f ca="1">OFFSET(TblConstr[[#This Row],[Tot DM]],1,0)*dm_gems</f>
        <v>0</v>
      </c>
      <c r="AG64" s="142"/>
      <c r="AH64" s="156">
        <f ca="1">MIN(race_platinum_bonus + IF(TblMagic[[#This Row],[Active Arc Infusion]]&gt;0,alch_frost_bonus,IF(Magic!AE64&gt;0,midas_bonus)) + TblImps[[#This Row],[Science]] - TblProd[[#This Row],[Guard]]*(0.02 + tech_5_7*TblTech[[#This Row],[5-7]]) + tech_1_5*TblTech[[#This Row],[1-5]] + tech_4_4*TblTech[[#This Row],[4-4]] + IF(TblMagic[[#This Row],[Active Infernal Command]]&gt;0,demonic_pact_plat,0), 0.5)</f>
        <v>0</v>
      </c>
      <c r="AI6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4" s="156">
        <f ca="1">race_lumber_bonus+ IF(TblMagic[[#This Row],[Active Gaia''s Blessing]]&gt;0,gaias_blessing_lumber)+ tech_1_3*TblTech[[#This Row],[1-3]] + tech_1_6*TblTech[[#This Row],[1-6]] + tech_3_3*TblTech[[#This Row],[3-3]]</f>
        <v>0</v>
      </c>
      <c r="AK64" s="156">
        <f ca="1">race_mana_bonus+ 0 + TblImps[[#This Row],[Spires]] + tech_1_2*TblTech[[#This Row],[1-2]] + tech_3_4*TblTech[[#This Row],[3-4]]</f>
        <v>0</v>
      </c>
      <c r="AL64" s="156">
        <f ca="1">race_ore_bonus + IF(TblMagic[[#This Row],[Active Miner''s Sight]]&gt;0,miners_sight_bonus,IF(TblMagic[[#This Row],[Active Mining Strength]]&gt;0,mining_strength_bonus)) +  tech_1_6*TblTech[[#This Row],[1-6]]</f>
        <v>0</v>
      </c>
      <c r="AM64" s="156">
        <f>race_gem_bonus+ tech_3_2*TblTech[[#This Row],[3-2]] + tech_4_3*TblTech[[#This Row],[4-3]] + tech_6_2*TblTech[[#This Row],[6-2]]</f>
        <v>0</v>
      </c>
      <c r="AN64" s="142"/>
      <c r="AO64" s="94">
        <f ca="1">TblProd[[#This Row],[Food]]*food_decay * (1 + tech_2_1*TblTech[[#This Row],[2-1]] + tech_2_8*TblTech[[#This Row],[2-8]] + IF(AND(TblMagic[[#This Row],[Active DnD]]&lt;12,TblMagic[[#This Row],[Active DnD]]&gt;5),1,0))</f>
        <v>1163.3600000000001</v>
      </c>
      <c r="AP64" s="94">
        <f ca="1">(1+race_food_consumption)*TblPop[[#This Row],[Total]]*food_per_person*(1+tech_1_10*TblTech[[#This Row],[1-10]]+tech_7_5*TblTech[[#This Row],[7-5]] + IF(TblMagic[[#This Row],[Active Infernal Command]]&gt;0,demonic_pact_food_cons,0))</f>
        <v>192.25</v>
      </c>
      <c r="AQ64" s="94">
        <f ca="1">TblProd[[#This Row],[Lumber]]*lumber_rot * (1 + tech_2_1*TblTech[[#This Row],[2-1]] + tech_2_8*TblTech[[#This Row],[2-8]] + tech_5_2*TblTech[[#This Row],[5-2]] + IF(AND(TblMagic[[#This Row],[Active DnD]]&lt;12,TblMagic[[#This Row],[Active DnD]]&gt;5),1,0))</f>
        <v>534.9</v>
      </c>
      <c r="AR64" s="94">
        <f ca="1">TblProd[[#This Row],[Mana]]*mana_drain * (1 + tech_2_1*TblTech[[#This Row],[2-1]] + tech_2_8*TblTech[[#This Row],[2-8]])</f>
        <v>0</v>
      </c>
      <c r="AS64" s="154"/>
      <c r="AT64" s="94">
        <f ca="1">TblExplore[[#This Row],[Platinum (2)]]+TblConstr[[#This Row],[Total Plat Cost]]+TblMili[[#This Row],[Plat Cost]]+TblRezone[[#This Row],[Platinum cost]]+TblImps[[#This Row],[P1]]-TblProd[[#This Row],[Bank Plat]]</f>
        <v>0</v>
      </c>
      <c r="AU64" s="94">
        <f ca="1">TblConstr[[#This Row],[Total Lum Cost]]+TblImps[[#This Row],[L1]]-TblProd[[#This Row],[Bank Lumber]] + Military!$CO$25*TblMili[[#This Row],[Sec. rec. Cost]]</f>
        <v>0</v>
      </c>
      <c r="AV64" s="94">
        <f ca="1">TblMagic[[#This Row],[Mana cost]] + Military!$CO$26*TblMili[[#This Row],[Sec. rec. Cost]]</f>
        <v>0</v>
      </c>
      <c r="AW64" s="94">
        <f ca="1">Military!$CO$24*TblMili[[#This Row],[Sec. rec. Cost]]+TblImps[[#This Row],[O1]]-TblProd[[#This Row],[Bank Ore]]</f>
        <v>0</v>
      </c>
      <c r="AX64" s="94">
        <f>TblImps[[#This Row],[G1]]-TblProd[[#This Row],[Bank Gems]]</f>
        <v>0</v>
      </c>
      <c r="AY64" s="142"/>
      <c r="AZ64" s="61" t="b">
        <f ca="1">IF(TblProd[[#This Row],[Set Guard]]&lt;&gt;"",TblProd[[#This Row],[Set Guard]],OFFSET(TblProd[[#This Row],[Guard]],-1,0))</f>
        <v>0</v>
      </c>
      <c r="BA64" s="153"/>
      <c r="BB64" s="45">
        <f>TblProd[[#This Row],[Hour]]</f>
        <v>13</v>
      </c>
      <c r="BC64" s="158">
        <f>-TblProd[[#This Row],[Bank Lumber]] / 2 + -TblProd[[#This Row],[Bank Gems]] * 2 + -TblProd[[#This Row],[Bank Ore]] / 2</f>
        <v>0</v>
      </c>
      <c r="BD64" s="158"/>
      <c r="BE64" s="158"/>
      <c r="BF64" s="158"/>
      <c r="BG64" s="159">
        <f ca="1">TblProd[[#This Row],[Time]]</f>
        <v>46322.499999999854</v>
      </c>
      <c r="BH64" s="45"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94">
        <f ca="1">TblProd[[#This Row],[Platinum]]</f>
        <v>177468</v>
      </c>
      <c r="BJ64" s="94">
        <f ca="1">TblProd[[#This Row],[Food]]</f>
        <v>116336</v>
      </c>
      <c r="BK64" s="94">
        <f ca="1">TblProd[[#This Row],[Lumber]]</f>
        <v>53490</v>
      </c>
      <c r="BL64" s="94">
        <f ca="1">TblProd[[#This Row],[Mana]]</f>
        <v>0</v>
      </c>
      <c r="BM64" s="94">
        <f ca="1">TblProd[[#This Row],[Ore]]</f>
        <v>0</v>
      </c>
    </row>
    <row r="65" spans="1:65" x14ac:dyDescent="0.2">
      <c r="A65" s="137">
        <f t="shared" si="0"/>
        <v>14</v>
      </c>
      <c r="B65" s="152">
        <f ca="1">TblImps[[#This Row],[Time]]</f>
        <v>46322.541666666519</v>
      </c>
      <c r="C65" s="153"/>
      <c r="D65" s="154"/>
      <c r="E65" s="94">
        <f ca="1">TblConstr[[#This Row],[Land]]</f>
        <v>50</v>
      </c>
      <c r="F65" s="94">
        <f ca="1">TblPop[[#This Row],[Peasants]]</f>
        <v>253</v>
      </c>
      <c r="G65" s="94">
        <f ca="1">TblMili[[#This Row],[Networth (2)]]</f>
        <v>1250</v>
      </c>
      <c r="H65" s="94">
        <f ca="1">OFFSET(TblProd[[#This Row],[Platinum]],-1,0)+OFFSET(TblProd[[#This Row],[Plat/hr]],-1,0) - TblProd[[#This Row],[Expenses Platinum]] + IF(TblProd[[#This Row],[Plat Bonus]],TblPop[[#This Row],[Peasants]]*4) + SUM(TblConstr[[#This Row],[Dest Hom]:[Dest Doc]])*TblConstr[[#This Row],[CPA Platinum -DB]]*tech_3_3_2*TblTech[[#This Row],[3-3]]</f>
        <v>178159</v>
      </c>
      <c r="I65" s="94">
        <f ca="1">OFFSET(TblProd[[#This Row],[Food]],-1,0)+OFFSET(TblProd[[#This Row],[Food/hr]],-1,0)+ROUNDUP((TblConstr[[#This Row],[Farms]]*80+TblConstr[[#This Row],[Docks]]*35)*(1+OFFSET(TblProd[[#This Row],[Bonus Food/hr]],-1,0)),0)</f>
        <v>117560</v>
      </c>
      <c r="J65" s="94">
        <f ca="1">OFFSET(TblProd[[#This Row],[Lumber]],-1,0)+OFFSET(TblProd[[#This Row],[Lumber/hr]],-1,0) - TblProd[[#This Row],[Expenses Lumber]] + SUM(TblConstr[[#This Row],[Dest Hom]:[Dest Doc]])*TblConstr[[#This Row],[CPA Lumber -DB]]*tech_3_3_2*TblTech[[#This Row],[3-3]]</f>
        <v>53955</v>
      </c>
      <c r="K65" s="94">
        <f ca="1">OFFSET(TblProd[[#This Row],[Mana]],-1,0)+OFFSET(TblProd[[#This Row],[Mana/hr]],-1,0)- TblProd[[#This Row],[Expenses Mana]]</f>
        <v>0</v>
      </c>
      <c r="L65" s="94">
        <f ca="1">OFFSET(TblProd[[#This Row],[Ore]],-1,0)+OFFSET(TblProd[[#This Row],[Ore/hr]],-1,0) -TblProd[[#This Row],[Expenses Ore]]</f>
        <v>0</v>
      </c>
      <c r="M65" s="94">
        <f ca="1">OFFSET(TblProd[[#This Row],[Gems]],-1,0)+OFFSET(TblProd[[#This Row],[Gems/hr]],-1,0) - TblProd[[#This Row],[Expenses Gems]]</f>
        <v>0</v>
      </c>
      <c r="N65" s="94">
        <f ca="1">OFFSET(TblProd[[#This Row],[Boats]],-1,0)+OFFSET(TblProd[[#This Row],[Boats/hr]],-1,0)</f>
        <v>0</v>
      </c>
      <c r="O65" s="94">
        <f ca="1">OFFSET(TblProd[[#This Row],[Prestige]],-1,0)</f>
        <v>250</v>
      </c>
      <c r="P6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5" s="94">
        <f ca="1">MAX(_xlfn.CEILING.MATH(TblProd[[#This Row],[Land]]*2.5+IFERROR(OFFSET(TblTech[[#This Row],[Sum of tech]],-1,0)*50,0)),3750)</f>
        <v>3750</v>
      </c>
      <c r="R65" s="142"/>
      <c r="S65" s="94">
        <f ca="1">ROUNDDOWN(TblProd[[#This Row],[Raw Plat/hr]]*(1+TblProd[[#This Row],[Bonus Plat/hr]]),0)</f>
        <v>683</v>
      </c>
      <c r="T65" s="94">
        <f ca="1">ROUND(TblProd[[#This Row],[Raw Food/hr]]*(1+TblProd[[#This Row],[Bonus Food/hr]])-TblProd[[#This Row],[Food decay]]-TblProd[[#This Row],[Food eaten]],0)</f>
        <v>1212</v>
      </c>
      <c r="U65" s="94">
        <f ca="1">ROUND(TblProd[[#This Row],[Raw Lumber/hr]]*(1+TblProd[[#This Row],[Bonus Lumber/hr]])-TblProd[[#This Row],[Lumber rot]],0)</f>
        <v>460</v>
      </c>
      <c r="V65" s="94">
        <f ca="1">ROUND(TblProd[[#This Row],[Raw Mana/hr]]*(1+TblProd[[#This Row],[Bonus Mana/hr]])-TblProd[[#This Row],[Mana drain]],0)</f>
        <v>0</v>
      </c>
      <c r="W65" s="94">
        <f ca="1">ROUNDDOWN(TblProd[[#This Row],[Raw Ore/hr]]*(1+TblProd[[#This Row],[Bonux Ore/hr]]),0)</f>
        <v>0</v>
      </c>
      <c r="X65" s="94">
        <f ca="1">ROUNDDOWN(TblProd[[#This Row],[Raw Gems/hr]]*(1+TblProd[[#This Row],[Bonus Gems/hr]]),0)</f>
        <v>0</v>
      </c>
      <c r="Y65" s="155">
        <f ca="1">OFFSET(TblConstr[[#This Row],[Tot Doc]],1,0)*dock_boats_hr * (1 + tech_4_1*TblTech[[#This Row],[4-1]])</f>
        <v>0</v>
      </c>
      <c r="Z65" s="154"/>
      <c r="AA65" s="94">
        <f ca="1">TblPop[[#This Row],[Peasants]]*tax*TblPop[[#This Row],[Employment]] + (Construction!AZ66+Construction!BX66)*(alch_plat+(Magic!AN65&gt;0)*alchemist_flame_bonus)</f>
        <v>683.1</v>
      </c>
      <c r="AB65" s="94">
        <f ca="1">TblConstr[[#This Row],[Tot Farm]]*farm_food + TblConstr[[#This Row],[Tot Doc]]*dock_food</f>
        <v>2400</v>
      </c>
      <c r="AC65" s="94">
        <f ca="1">TblConstr[[#This Row],[Tot Ly]]*ly_lumber + TblConstr[[#This Row],[Tot Hav]]*fh_lumber + IF(race="Wood Elf",TblMili[[#This Row],[Unit 2]]*MIN(TblMili[[#This Row],[Homeland%]]/wisp_bonus,wisp_cap),0)</f>
        <v>1000</v>
      </c>
      <c r="AD65" s="94">
        <f ca="1">OFFSET(TblConstr[[#This Row],[Tot Tow]],1,0)*(tower_mana + tech_4_5*TblTech[[#This Row],[4-5]]) + OFFSET(TblConstr[[#This Row],[Tot WG]],1,0)*wg_mana_prod</f>
        <v>0</v>
      </c>
      <c r="AE65" s="94">
        <f ca="1">OFFSET(TblConstr[[#This Row],[Tot OM]],1,0)*om_ore+IF(race="Dwarf",TblMili[[#This Row],[Unit 2]]*0.5,0)</f>
        <v>0</v>
      </c>
      <c r="AF65" s="94">
        <f ca="1">OFFSET(TblConstr[[#This Row],[Tot DM]],1,0)*dm_gems</f>
        <v>0</v>
      </c>
      <c r="AG65" s="142"/>
      <c r="AH65" s="156">
        <f ca="1">MIN(race_platinum_bonus + IF(TblMagic[[#This Row],[Active Arc Infusion]]&gt;0,alch_frost_bonus,IF(Magic!AE65&gt;0,midas_bonus)) + TblImps[[#This Row],[Science]] - TblProd[[#This Row],[Guard]]*(0.02 + tech_5_7*TblTech[[#This Row],[5-7]]) + tech_1_5*TblTech[[#This Row],[1-5]] + tech_4_4*TblTech[[#This Row],[4-4]] + IF(TblMagic[[#This Row],[Active Infernal Command]]&gt;0,demonic_pact_plat,0), 0.5)</f>
        <v>0</v>
      </c>
      <c r="AI6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5" s="156">
        <f ca="1">race_lumber_bonus+ IF(TblMagic[[#This Row],[Active Gaia''s Blessing]]&gt;0,gaias_blessing_lumber)+ tech_1_3*TblTech[[#This Row],[1-3]] + tech_1_6*TblTech[[#This Row],[1-6]] + tech_3_3*TblTech[[#This Row],[3-3]]</f>
        <v>0</v>
      </c>
      <c r="AK65" s="156">
        <f ca="1">race_mana_bonus+ 0 + TblImps[[#This Row],[Spires]] + tech_1_2*TblTech[[#This Row],[1-2]] + tech_3_4*TblTech[[#This Row],[3-4]]</f>
        <v>0</v>
      </c>
      <c r="AL65" s="156">
        <f ca="1">race_ore_bonus + IF(TblMagic[[#This Row],[Active Miner''s Sight]]&gt;0,miners_sight_bonus,IF(TblMagic[[#This Row],[Active Mining Strength]]&gt;0,mining_strength_bonus)) +  tech_1_6*TblTech[[#This Row],[1-6]]</f>
        <v>0</v>
      </c>
      <c r="AM65" s="156">
        <f>race_gem_bonus+ tech_3_2*TblTech[[#This Row],[3-2]] + tech_4_3*TblTech[[#This Row],[4-3]] + tech_6_2*TblTech[[#This Row],[6-2]]</f>
        <v>0</v>
      </c>
      <c r="AN65" s="142"/>
      <c r="AO65" s="94">
        <f ca="1">TblProd[[#This Row],[Food]]*food_decay * (1 + tech_2_1*TblTech[[#This Row],[2-1]] + tech_2_8*TblTech[[#This Row],[2-8]] + IF(AND(TblMagic[[#This Row],[Active DnD]]&lt;12,TblMagic[[#This Row],[Active DnD]]&gt;5),1,0))</f>
        <v>1175.6000000000001</v>
      </c>
      <c r="AP65" s="94">
        <f ca="1">(1+race_food_consumption)*TblPop[[#This Row],[Total]]*food_per_person*(1+tech_1_10*TblTech[[#This Row],[1-10]]+tech_7_5*TblTech[[#This Row],[7-5]] + IF(TblMagic[[#This Row],[Active Infernal Command]]&gt;0,demonic_pact_food_cons,0))</f>
        <v>192.25</v>
      </c>
      <c r="AQ65" s="94">
        <f ca="1">TblProd[[#This Row],[Lumber]]*lumber_rot * (1 + tech_2_1*TblTech[[#This Row],[2-1]] + tech_2_8*TblTech[[#This Row],[2-8]] + tech_5_2*TblTech[[#This Row],[5-2]] + IF(AND(TblMagic[[#This Row],[Active DnD]]&lt;12,TblMagic[[#This Row],[Active DnD]]&gt;5),1,0))</f>
        <v>539.54999999999995</v>
      </c>
      <c r="AR65" s="94">
        <f ca="1">TblProd[[#This Row],[Mana]]*mana_drain * (1 + tech_2_1*TblTech[[#This Row],[2-1]] + tech_2_8*TblTech[[#This Row],[2-8]])</f>
        <v>0</v>
      </c>
      <c r="AS65" s="154"/>
      <c r="AT65" s="94">
        <f ca="1">TblExplore[[#This Row],[Platinum (2)]]+TblConstr[[#This Row],[Total Plat Cost]]+TblMili[[#This Row],[Plat Cost]]+TblRezone[[#This Row],[Platinum cost]]+TblImps[[#This Row],[P1]]-TblProd[[#This Row],[Bank Plat]]</f>
        <v>0</v>
      </c>
      <c r="AU65" s="94">
        <f ca="1">TblConstr[[#This Row],[Total Lum Cost]]+TblImps[[#This Row],[L1]]-TblProd[[#This Row],[Bank Lumber]] + Military!$CO$25*TblMili[[#This Row],[Sec. rec. Cost]]</f>
        <v>0</v>
      </c>
      <c r="AV65" s="94">
        <f ca="1">TblMagic[[#This Row],[Mana cost]] + Military!$CO$26*TblMili[[#This Row],[Sec. rec. Cost]]</f>
        <v>0</v>
      </c>
      <c r="AW65" s="94">
        <f ca="1">Military!$CO$24*TblMili[[#This Row],[Sec. rec. Cost]]+TblImps[[#This Row],[O1]]-TblProd[[#This Row],[Bank Ore]]</f>
        <v>0</v>
      </c>
      <c r="AX65" s="94">
        <f>TblImps[[#This Row],[G1]]-TblProd[[#This Row],[Bank Gems]]</f>
        <v>0</v>
      </c>
      <c r="AY65" s="142"/>
      <c r="AZ65" s="61" t="b">
        <f ca="1">IF(TblProd[[#This Row],[Set Guard]]&lt;&gt;"",TblProd[[#This Row],[Set Guard]],OFFSET(TblProd[[#This Row],[Guard]],-1,0))</f>
        <v>0</v>
      </c>
      <c r="BA65" s="153"/>
      <c r="BB65" s="45">
        <f>TblProd[[#This Row],[Hour]]</f>
        <v>14</v>
      </c>
      <c r="BC65" s="158">
        <f>-TblProd[[#This Row],[Bank Lumber]] / 2 + -TblProd[[#This Row],[Bank Gems]] * 2 + -TblProd[[#This Row],[Bank Ore]] / 2</f>
        <v>0</v>
      </c>
      <c r="BD65" s="158"/>
      <c r="BE65" s="158"/>
      <c r="BF65" s="158"/>
      <c r="BG65" s="159">
        <f ca="1">TblProd[[#This Row],[Time]]</f>
        <v>46322.541666666519</v>
      </c>
      <c r="BH65" s="45"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94">
        <f ca="1">TblProd[[#This Row],[Platinum]]</f>
        <v>178159</v>
      </c>
      <c r="BJ65" s="94">
        <f ca="1">TblProd[[#This Row],[Food]]</f>
        <v>117560</v>
      </c>
      <c r="BK65" s="94">
        <f ca="1">TblProd[[#This Row],[Lumber]]</f>
        <v>53955</v>
      </c>
      <c r="BL65" s="94">
        <f ca="1">TblProd[[#This Row],[Mana]]</f>
        <v>0</v>
      </c>
      <c r="BM65" s="94">
        <f ca="1">TblProd[[#This Row],[Ore]]</f>
        <v>0</v>
      </c>
    </row>
    <row r="66" spans="1:65" x14ac:dyDescent="0.2">
      <c r="A66" s="137">
        <f t="shared" si="0"/>
        <v>15</v>
      </c>
      <c r="B66" s="152">
        <f ca="1">TblImps[[#This Row],[Time]]</f>
        <v>46322.583333333183</v>
      </c>
      <c r="C66" s="153"/>
      <c r="D66" s="154"/>
      <c r="E66" s="94">
        <f ca="1">TblConstr[[#This Row],[Land]]</f>
        <v>50</v>
      </c>
      <c r="F66" s="94">
        <f ca="1">TblPop[[#This Row],[Peasants]]</f>
        <v>250</v>
      </c>
      <c r="G66" s="94">
        <f ca="1">TblMili[[#This Row],[Networth (2)]]</f>
        <v>1250</v>
      </c>
      <c r="H66" s="94">
        <f ca="1">OFFSET(TblProd[[#This Row],[Platinum]],-1,0)+OFFSET(TblProd[[#This Row],[Plat/hr]],-1,0) - TblProd[[#This Row],[Expenses Platinum]] + IF(TblProd[[#This Row],[Plat Bonus]],TblPop[[#This Row],[Peasants]]*4) + SUM(TblConstr[[#This Row],[Dest Hom]:[Dest Doc]])*TblConstr[[#This Row],[CPA Platinum -DB]]*tech_3_3_2*TblTech[[#This Row],[3-3]]</f>
        <v>178842</v>
      </c>
      <c r="I66" s="94">
        <f ca="1">OFFSET(TblProd[[#This Row],[Food]],-1,0)+OFFSET(TblProd[[#This Row],[Food/hr]],-1,0)+ROUNDUP((TblConstr[[#This Row],[Farms]]*80+TblConstr[[#This Row],[Docks]]*35)*(1+OFFSET(TblProd[[#This Row],[Bonus Food/hr]],-1,0)),0)</f>
        <v>118772</v>
      </c>
      <c r="J66" s="94">
        <f ca="1">OFFSET(TblProd[[#This Row],[Lumber]],-1,0)+OFFSET(TblProd[[#This Row],[Lumber/hr]],-1,0) - TblProd[[#This Row],[Expenses Lumber]] + SUM(TblConstr[[#This Row],[Dest Hom]:[Dest Doc]])*TblConstr[[#This Row],[CPA Lumber -DB]]*tech_3_3_2*TblTech[[#This Row],[3-3]]</f>
        <v>54415</v>
      </c>
      <c r="K66" s="94">
        <f ca="1">OFFSET(TblProd[[#This Row],[Mana]],-1,0)+OFFSET(TblProd[[#This Row],[Mana/hr]],-1,0)- TblProd[[#This Row],[Expenses Mana]]</f>
        <v>0</v>
      </c>
      <c r="L66" s="94">
        <f ca="1">OFFSET(TblProd[[#This Row],[Ore]],-1,0)+OFFSET(TblProd[[#This Row],[Ore/hr]],-1,0) -TblProd[[#This Row],[Expenses Ore]]</f>
        <v>0</v>
      </c>
      <c r="M66" s="94">
        <f ca="1">OFFSET(TblProd[[#This Row],[Gems]],-1,0)+OFFSET(TblProd[[#This Row],[Gems/hr]],-1,0) - TblProd[[#This Row],[Expenses Gems]]</f>
        <v>0</v>
      </c>
      <c r="N66" s="94">
        <f ca="1">OFFSET(TblProd[[#This Row],[Boats]],-1,0)+OFFSET(TblProd[[#This Row],[Boats/hr]],-1,0)</f>
        <v>0</v>
      </c>
      <c r="O66" s="94">
        <f ca="1">OFFSET(TblProd[[#This Row],[Prestige]],-1,0)</f>
        <v>250</v>
      </c>
      <c r="P6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6" s="94">
        <f ca="1">MAX(_xlfn.CEILING.MATH(TblProd[[#This Row],[Land]]*2.5+IFERROR(OFFSET(TblTech[[#This Row],[Sum of tech]],-1,0)*50,0)),3750)</f>
        <v>3750</v>
      </c>
      <c r="R66" s="142"/>
      <c r="S66" s="94">
        <f ca="1">ROUNDDOWN(TblProd[[#This Row],[Raw Plat/hr]]*(1+TblProd[[#This Row],[Bonus Plat/hr]]),0)</f>
        <v>675</v>
      </c>
      <c r="T66" s="94">
        <f ca="1">ROUND(TblProd[[#This Row],[Raw Food/hr]]*(1+TblProd[[#This Row],[Bonus Food/hr]])-TblProd[[#This Row],[Food decay]]-TblProd[[#This Row],[Food eaten]],0)</f>
        <v>1200</v>
      </c>
      <c r="U66" s="94">
        <f ca="1">ROUND(TblProd[[#This Row],[Raw Lumber/hr]]*(1+TblProd[[#This Row],[Bonus Lumber/hr]])-TblProd[[#This Row],[Lumber rot]],0)</f>
        <v>456</v>
      </c>
      <c r="V66" s="94">
        <f ca="1">ROUND(TblProd[[#This Row],[Raw Mana/hr]]*(1+TblProd[[#This Row],[Bonus Mana/hr]])-TblProd[[#This Row],[Mana drain]],0)</f>
        <v>0</v>
      </c>
      <c r="W66" s="94">
        <f ca="1">ROUNDDOWN(TblProd[[#This Row],[Raw Ore/hr]]*(1+TblProd[[#This Row],[Bonux Ore/hr]]),0)</f>
        <v>0</v>
      </c>
      <c r="X66" s="94">
        <f ca="1">ROUNDDOWN(TblProd[[#This Row],[Raw Gems/hr]]*(1+TblProd[[#This Row],[Bonus Gems/hr]]),0)</f>
        <v>0</v>
      </c>
      <c r="Y66" s="155">
        <f ca="1">OFFSET(TblConstr[[#This Row],[Tot Doc]],1,0)*dock_boats_hr * (1 + tech_4_1*TblTech[[#This Row],[4-1]])</f>
        <v>0</v>
      </c>
      <c r="Z66" s="154"/>
      <c r="AA66" s="94">
        <f ca="1">TblPop[[#This Row],[Peasants]]*tax*TblPop[[#This Row],[Employment]] + (Construction!AZ67+Construction!BX67)*(alch_plat+(Magic!AN66&gt;0)*alchemist_flame_bonus)</f>
        <v>675</v>
      </c>
      <c r="AB66" s="94">
        <f ca="1">TblConstr[[#This Row],[Tot Farm]]*farm_food + TblConstr[[#This Row],[Tot Doc]]*dock_food</f>
        <v>2400</v>
      </c>
      <c r="AC66" s="94">
        <f ca="1">TblConstr[[#This Row],[Tot Ly]]*ly_lumber + TblConstr[[#This Row],[Tot Hav]]*fh_lumber + IF(race="Wood Elf",TblMili[[#This Row],[Unit 2]]*MIN(TblMili[[#This Row],[Homeland%]]/wisp_bonus,wisp_cap),0)</f>
        <v>1000</v>
      </c>
      <c r="AD66" s="94">
        <f ca="1">OFFSET(TblConstr[[#This Row],[Tot Tow]],1,0)*(tower_mana + tech_4_5*TblTech[[#This Row],[4-5]]) + OFFSET(TblConstr[[#This Row],[Tot WG]],1,0)*wg_mana_prod</f>
        <v>0</v>
      </c>
      <c r="AE66" s="94">
        <f ca="1">OFFSET(TblConstr[[#This Row],[Tot OM]],1,0)*om_ore+IF(race="Dwarf",TblMili[[#This Row],[Unit 2]]*0.5,0)</f>
        <v>0</v>
      </c>
      <c r="AF66" s="94">
        <f ca="1">OFFSET(TblConstr[[#This Row],[Tot DM]],1,0)*dm_gems</f>
        <v>0</v>
      </c>
      <c r="AG66" s="142"/>
      <c r="AH66" s="156">
        <f ca="1">MIN(race_platinum_bonus + IF(TblMagic[[#This Row],[Active Arc Infusion]]&gt;0,alch_frost_bonus,IF(Magic!AE66&gt;0,midas_bonus)) + TblImps[[#This Row],[Science]] - TblProd[[#This Row],[Guard]]*(0.02 + tech_5_7*TblTech[[#This Row],[5-7]]) + tech_1_5*TblTech[[#This Row],[1-5]] + tech_4_4*TblTech[[#This Row],[4-4]] + IF(TblMagic[[#This Row],[Active Infernal Command]]&gt;0,demonic_pact_plat,0), 0.5)</f>
        <v>0</v>
      </c>
      <c r="AI6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6" s="156">
        <f ca="1">race_lumber_bonus+ IF(TblMagic[[#This Row],[Active Gaia''s Blessing]]&gt;0,gaias_blessing_lumber)+ tech_1_3*TblTech[[#This Row],[1-3]] + tech_1_6*TblTech[[#This Row],[1-6]] + tech_3_3*TblTech[[#This Row],[3-3]]</f>
        <v>0</v>
      </c>
      <c r="AK66" s="156">
        <f ca="1">race_mana_bonus+ 0 + TblImps[[#This Row],[Spires]] + tech_1_2*TblTech[[#This Row],[1-2]] + tech_3_4*TblTech[[#This Row],[3-4]]</f>
        <v>0</v>
      </c>
      <c r="AL66" s="156">
        <f ca="1">race_ore_bonus + IF(TblMagic[[#This Row],[Active Miner''s Sight]]&gt;0,miners_sight_bonus,IF(TblMagic[[#This Row],[Active Mining Strength]]&gt;0,mining_strength_bonus)) +  tech_1_6*TblTech[[#This Row],[1-6]]</f>
        <v>0</v>
      </c>
      <c r="AM66" s="156">
        <f>race_gem_bonus+ tech_3_2*TblTech[[#This Row],[3-2]] + tech_4_3*TblTech[[#This Row],[4-3]] + tech_6_2*TblTech[[#This Row],[6-2]]</f>
        <v>0</v>
      </c>
      <c r="AN66" s="142"/>
      <c r="AO66" s="94">
        <f ca="1">TblProd[[#This Row],[Food]]*food_decay * (1 + tech_2_1*TblTech[[#This Row],[2-1]] + tech_2_8*TblTech[[#This Row],[2-8]] + IF(AND(TblMagic[[#This Row],[Active DnD]]&lt;12,TblMagic[[#This Row],[Active DnD]]&gt;5),1,0))</f>
        <v>1187.72</v>
      </c>
      <c r="AP66" s="94">
        <f ca="1">(1+race_food_consumption)*TblPop[[#This Row],[Total]]*food_per_person*(1+tech_1_10*TblTech[[#This Row],[1-10]]+tech_7_5*TblTech[[#This Row],[7-5]] + IF(TblMagic[[#This Row],[Active Infernal Command]]&gt;0,demonic_pact_food_cons,0))</f>
        <v>192.25</v>
      </c>
      <c r="AQ66" s="94">
        <f ca="1">TblProd[[#This Row],[Lumber]]*lumber_rot * (1 + tech_2_1*TblTech[[#This Row],[2-1]] + tech_2_8*TblTech[[#This Row],[2-8]] + tech_5_2*TblTech[[#This Row],[5-2]] + IF(AND(TblMagic[[#This Row],[Active DnD]]&lt;12,TblMagic[[#This Row],[Active DnD]]&gt;5),1,0))</f>
        <v>544.15</v>
      </c>
      <c r="AR66" s="94">
        <f ca="1">TblProd[[#This Row],[Mana]]*mana_drain * (1 + tech_2_1*TblTech[[#This Row],[2-1]] + tech_2_8*TblTech[[#This Row],[2-8]])</f>
        <v>0</v>
      </c>
      <c r="AS66" s="154"/>
      <c r="AT66" s="94">
        <f ca="1">TblExplore[[#This Row],[Platinum (2)]]+TblConstr[[#This Row],[Total Plat Cost]]+TblMili[[#This Row],[Plat Cost]]+TblRezone[[#This Row],[Platinum cost]]+TblImps[[#This Row],[P1]]-TblProd[[#This Row],[Bank Plat]]</f>
        <v>0</v>
      </c>
      <c r="AU66" s="94">
        <f ca="1">TblConstr[[#This Row],[Total Lum Cost]]+TblImps[[#This Row],[L1]]-TblProd[[#This Row],[Bank Lumber]] + Military!$CO$25*TblMili[[#This Row],[Sec. rec. Cost]]</f>
        <v>0</v>
      </c>
      <c r="AV66" s="94">
        <f ca="1">TblMagic[[#This Row],[Mana cost]] + Military!$CO$26*TblMili[[#This Row],[Sec. rec. Cost]]</f>
        <v>0</v>
      </c>
      <c r="AW66" s="94">
        <f ca="1">Military!$CO$24*TblMili[[#This Row],[Sec. rec. Cost]]+TblImps[[#This Row],[O1]]-TblProd[[#This Row],[Bank Ore]]</f>
        <v>0</v>
      </c>
      <c r="AX66" s="94">
        <f>TblImps[[#This Row],[G1]]-TblProd[[#This Row],[Bank Gems]]</f>
        <v>0</v>
      </c>
      <c r="AY66" s="142"/>
      <c r="AZ66" s="61" t="b">
        <f ca="1">IF(TblProd[[#This Row],[Set Guard]]&lt;&gt;"",TblProd[[#This Row],[Set Guard]],OFFSET(TblProd[[#This Row],[Guard]],-1,0))</f>
        <v>0</v>
      </c>
      <c r="BA66" s="153"/>
      <c r="BB66" s="45">
        <f>TblProd[[#This Row],[Hour]]</f>
        <v>15</v>
      </c>
      <c r="BC66" s="158">
        <f>-TblProd[[#This Row],[Bank Lumber]] / 2 + -TblProd[[#This Row],[Bank Gems]] * 2 + -TblProd[[#This Row],[Bank Ore]] / 2</f>
        <v>0</v>
      </c>
      <c r="BD66" s="158"/>
      <c r="BE66" s="158"/>
      <c r="BF66" s="158"/>
      <c r="BG66" s="159">
        <f ca="1">TblProd[[#This Row],[Time]]</f>
        <v>46322.583333333183</v>
      </c>
      <c r="BH66" s="45"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94">
        <f ca="1">TblProd[[#This Row],[Platinum]]</f>
        <v>178842</v>
      </c>
      <c r="BJ66" s="94">
        <f ca="1">TblProd[[#This Row],[Food]]</f>
        <v>118772</v>
      </c>
      <c r="BK66" s="94">
        <f ca="1">TblProd[[#This Row],[Lumber]]</f>
        <v>54415</v>
      </c>
      <c r="BL66" s="94">
        <f ca="1">TblProd[[#This Row],[Mana]]</f>
        <v>0</v>
      </c>
      <c r="BM66" s="94">
        <f ca="1">TblProd[[#This Row],[Ore]]</f>
        <v>0</v>
      </c>
    </row>
    <row r="67" spans="1:65" x14ac:dyDescent="0.2">
      <c r="A67" s="137">
        <f t="shared" si="0"/>
        <v>16</v>
      </c>
      <c r="B67" s="152">
        <f ca="1">TblImps[[#This Row],[Time]]</f>
        <v>46322.624999999847</v>
      </c>
      <c r="C67" s="153"/>
      <c r="D67" s="154"/>
      <c r="E67" s="94">
        <f ca="1">TblConstr[[#This Row],[Land]]</f>
        <v>50</v>
      </c>
      <c r="F67" s="94">
        <f ca="1">TblPop[[#This Row],[Peasants]]</f>
        <v>247</v>
      </c>
      <c r="G67" s="94">
        <f ca="1">TblMili[[#This Row],[Networth (2)]]</f>
        <v>1250</v>
      </c>
      <c r="H67" s="94">
        <f ca="1">OFFSET(TblProd[[#This Row],[Platinum]],-1,0)+OFFSET(TblProd[[#This Row],[Plat/hr]],-1,0) - TblProd[[#This Row],[Expenses Platinum]] + IF(TblProd[[#This Row],[Plat Bonus]],TblPop[[#This Row],[Peasants]]*4) + SUM(TblConstr[[#This Row],[Dest Hom]:[Dest Doc]])*TblConstr[[#This Row],[CPA Platinum -DB]]*tech_3_3_2*TblTech[[#This Row],[3-3]]</f>
        <v>179517</v>
      </c>
      <c r="I67" s="94">
        <f ca="1">OFFSET(TblProd[[#This Row],[Food]],-1,0)+OFFSET(TblProd[[#This Row],[Food/hr]],-1,0)+ROUNDUP((TblConstr[[#This Row],[Farms]]*80+TblConstr[[#This Row],[Docks]]*35)*(1+OFFSET(TblProd[[#This Row],[Bonus Food/hr]],-1,0)),0)</f>
        <v>119972</v>
      </c>
      <c r="J67" s="94">
        <f ca="1">OFFSET(TblProd[[#This Row],[Lumber]],-1,0)+OFFSET(TblProd[[#This Row],[Lumber/hr]],-1,0) - TblProd[[#This Row],[Expenses Lumber]] + SUM(TblConstr[[#This Row],[Dest Hom]:[Dest Doc]])*TblConstr[[#This Row],[CPA Lumber -DB]]*tech_3_3_2*TblTech[[#This Row],[3-3]]</f>
        <v>54871</v>
      </c>
      <c r="K67" s="94">
        <f ca="1">OFFSET(TblProd[[#This Row],[Mana]],-1,0)+OFFSET(TblProd[[#This Row],[Mana/hr]],-1,0)- TblProd[[#This Row],[Expenses Mana]]</f>
        <v>0</v>
      </c>
      <c r="L67" s="94">
        <f ca="1">OFFSET(TblProd[[#This Row],[Ore]],-1,0)+OFFSET(TblProd[[#This Row],[Ore/hr]],-1,0) -TblProd[[#This Row],[Expenses Ore]]</f>
        <v>0</v>
      </c>
      <c r="M67" s="94">
        <f ca="1">OFFSET(TblProd[[#This Row],[Gems]],-1,0)+OFFSET(TblProd[[#This Row],[Gems/hr]],-1,0) - TblProd[[#This Row],[Expenses Gems]]</f>
        <v>0</v>
      </c>
      <c r="N67" s="94">
        <f ca="1">OFFSET(TblProd[[#This Row],[Boats]],-1,0)+OFFSET(TblProd[[#This Row],[Boats/hr]],-1,0)</f>
        <v>0</v>
      </c>
      <c r="O67" s="94">
        <f ca="1">OFFSET(TblProd[[#This Row],[Prestige]],-1,0)</f>
        <v>250</v>
      </c>
      <c r="P6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7" s="94">
        <f ca="1">MAX(_xlfn.CEILING.MATH(TblProd[[#This Row],[Land]]*2.5+IFERROR(OFFSET(TblTech[[#This Row],[Sum of tech]],-1,0)*50,0)),3750)</f>
        <v>3750</v>
      </c>
      <c r="R67" s="142"/>
      <c r="S67" s="94">
        <f ca="1">ROUNDDOWN(TblProd[[#This Row],[Raw Plat/hr]]*(1+TblProd[[#This Row],[Bonus Plat/hr]]),0)</f>
        <v>666</v>
      </c>
      <c r="T67" s="94">
        <f ca="1">ROUND(TblProd[[#This Row],[Raw Food/hr]]*(1+TblProd[[#This Row],[Bonus Food/hr]])-TblProd[[#This Row],[Food decay]]-TblProd[[#This Row],[Food eaten]],0)</f>
        <v>1188</v>
      </c>
      <c r="U67" s="94">
        <f ca="1">ROUND(TblProd[[#This Row],[Raw Lumber/hr]]*(1+TblProd[[#This Row],[Bonus Lumber/hr]])-TblProd[[#This Row],[Lumber rot]],0)</f>
        <v>451</v>
      </c>
      <c r="V67" s="94">
        <f ca="1">ROUND(TblProd[[#This Row],[Raw Mana/hr]]*(1+TblProd[[#This Row],[Bonus Mana/hr]])-TblProd[[#This Row],[Mana drain]],0)</f>
        <v>0</v>
      </c>
      <c r="W67" s="94">
        <f ca="1">ROUNDDOWN(TblProd[[#This Row],[Raw Ore/hr]]*(1+TblProd[[#This Row],[Bonux Ore/hr]]),0)</f>
        <v>0</v>
      </c>
      <c r="X67" s="94">
        <f ca="1">ROUNDDOWN(TblProd[[#This Row],[Raw Gems/hr]]*(1+TblProd[[#This Row],[Bonus Gems/hr]]),0)</f>
        <v>0</v>
      </c>
      <c r="Y67" s="155">
        <f ca="1">OFFSET(TblConstr[[#This Row],[Tot Doc]],1,0)*dock_boats_hr * (1 + tech_4_1*TblTech[[#This Row],[4-1]])</f>
        <v>0</v>
      </c>
      <c r="Z67" s="154"/>
      <c r="AA67" s="94">
        <f ca="1">TblPop[[#This Row],[Peasants]]*tax*TblPop[[#This Row],[Employment]] + (Construction!AZ68+Construction!BX68)*(alch_plat+(Magic!AN67&gt;0)*alchemist_flame_bonus)</f>
        <v>666.90000000000009</v>
      </c>
      <c r="AB67" s="94">
        <f ca="1">TblConstr[[#This Row],[Tot Farm]]*farm_food + TblConstr[[#This Row],[Tot Doc]]*dock_food</f>
        <v>2400</v>
      </c>
      <c r="AC67" s="94">
        <f ca="1">TblConstr[[#This Row],[Tot Ly]]*ly_lumber + TblConstr[[#This Row],[Tot Hav]]*fh_lumber + IF(race="Wood Elf",TblMili[[#This Row],[Unit 2]]*MIN(TblMili[[#This Row],[Homeland%]]/wisp_bonus,wisp_cap),0)</f>
        <v>1000</v>
      </c>
      <c r="AD67" s="94">
        <f ca="1">OFFSET(TblConstr[[#This Row],[Tot Tow]],1,0)*(tower_mana + tech_4_5*TblTech[[#This Row],[4-5]]) + OFFSET(TblConstr[[#This Row],[Tot WG]],1,0)*wg_mana_prod</f>
        <v>0</v>
      </c>
      <c r="AE67" s="94">
        <f ca="1">OFFSET(TblConstr[[#This Row],[Tot OM]],1,0)*om_ore+IF(race="Dwarf",TblMili[[#This Row],[Unit 2]]*0.5,0)</f>
        <v>0</v>
      </c>
      <c r="AF67" s="94">
        <f ca="1">OFFSET(TblConstr[[#This Row],[Tot DM]],1,0)*dm_gems</f>
        <v>0</v>
      </c>
      <c r="AG67" s="142"/>
      <c r="AH67" s="156">
        <f ca="1">MIN(race_platinum_bonus + IF(TblMagic[[#This Row],[Active Arc Infusion]]&gt;0,alch_frost_bonus,IF(Magic!AE67&gt;0,midas_bonus)) + TblImps[[#This Row],[Science]] - TblProd[[#This Row],[Guard]]*(0.02 + tech_5_7*TblTech[[#This Row],[5-7]]) + tech_1_5*TblTech[[#This Row],[1-5]] + tech_4_4*TblTech[[#This Row],[4-4]] + IF(TblMagic[[#This Row],[Active Infernal Command]]&gt;0,demonic_pact_plat,0), 0.5)</f>
        <v>0</v>
      </c>
      <c r="AI6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7" s="156">
        <f ca="1">race_lumber_bonus+ IF(TblMagic[[#This Row],[Active Gaia''s Blessing]]&gt;0,gaias_blessing_lumber)+ tech_1_3*TblTech[[#This Row],[1-3]] + tech_1_6*TblTech[[#This Row],[1-6]] + tech_3_3*TblTech[[#This Row],[3-3]]</f>
        <v>0</v>
      </c>
      <c r="AK67" s="156">
        <f ca="1">race_mana_bonus+ 0 + TblImps[[#This Row],[Spires]] + tech_1_2*TblTech[[#This Row],[1-2]] + tech_3_4*TblTech[[#This Row],[3-4]]</f>
        <v>0</v>
      </c>
      <c r="AL67" s="156">
        <f ca="1">race_ore_bonus + IF(TblMagic[[#This Row],[Active Miner''s Sight]]&gt;0,miners_sight_bonus,IF(TblMagic[[#This Row],[Active Mining Strength]]&gt;0,mining_strength_bonus)) +  tech_1_6*TblTech[[#This Row],[1-6]]</f>
        <v>0</v>
      </c>
      <c r="AM67" s="156">
        <f>race_gem_bonus+ tech_3_2*TblTech[[#This Row],[3-2]] + tech_4_3*TblTech[[#This Row],[4-3]] + tech_6_2*TblTech[[#This Row],[6-2]]</f>
        <v>0</v>
      </c>
      <c r="AN67" s="142"/>
      <c r="AO67" s="94">
        <f ca="1">TblProd[[#This Row],[Food]]*food_decay * (1 + tech_2_1*TblTech[[#This Row],[2-1]] + tech_2_8*TblTech[[#This Row],[2-8]] + IF(AND(TblMagic[[#This Row],[Active DnD]]&lt;12,TblMagic[[#This Row],[Active DnD]]&gt;5),1,0))</f>
        <v>1199.72</v>
      </c>
      <c r="AP67" s="94">
        <f ca="1">(1+race_food_consumption)*TblPop[[#This Row],[Total]]*food_per_person*(1+tech_1_10*TblTech[[#This Row],[1-10]]+tech_7_5*TblTech[[#This Row],[7-5]] + IF(TblMagic[[#This Row],[Active Infernal Command]]&gt;0,demonic_pact_food_cons,0))</f>
        <v>192.25</v>
      </c>
      <c r="AQ67" s="94">
        <f ca="1">TblProd[[#This Row],[Lumber]]*lumber_rot * (1 + tech_2_1*TblTech[[#This Row],[2-1]] + tech_2_8*TblTech[[#This Row],[2-8]] + tech_5_2*TblTech[[#This Row],[5-2]] + IF(AND(TblMagic[[#This Row],[Active DnD]]&lt;12,TblMagic[[#This Row],[Active DnD]]&gt;5),1,0))</f>
        <v>548.71</v>
      </c>
      <c r="AR67" s="94">
        <f ca="1">TblProd[[#This Row],[Mana]]*mana_drain * (1 + tech_2_1*TblTech[[#This Row],[2-1]] + tech_2_8*TblTech[[#This Row],[2-8]])</f>
        <v>0</v>
      </c>
      <c r="AS67" s="154"/>
      <c r="AT67" s="94">
        <f ca="1">TblExplore[[#This Row],[Platinum (2)]]+TblConstr[[#This Row],[Total Plat Cost]]+TblMili[[#This Row],[Plat Cost]]+TblRezone[[#This Row],[Platinum cost]]+TblImps[[#This Row],[P1]]-TblProd[[#This Row],[Bank Plat]]</f>
        <v>0</v>
      </c>
      <c r="AU67" s="94">
        <f ca="1">TblConstr[[#This Row],[Total Lum Cost]]+TblImps[[#This Row],[L1]]-TblProd[[#This Row],[Bank Lumber]] + Military!$CO$25*TblMili[[#This Row],[Sec. rec. Cost]]</f>
        <v>0</v>
      </c>
      <c r="AV67" s="94">
        <f ca="1">TblMagic[[#This Row],[Mana cost]] + Military!$CO$26*TblMili[[#This Row],[Sec. rec. Cost]]</f>
        <v>0</v>
      </c>
      <c r="AW67" s="94">
        <f ca="1">Military!$CO$24*TblMili[[#This Row],[Sec. rec. Cost]]+TblImps[[#This Row],[O1]]-TblProd[[#This Row],[Bank Ore]]</f>
        <v>0</v>
      </c>
      <c r="AX67" s="94">
        <f>TblImps[[#This Row],[G1]]-TblProd[[#This Row],[Bank Gems]]</f>
        <v>0</v>
      </c>
      <c r="AY67" s="142"/>
      <c r="AZ67" s="61" t="b">
        <f ca="1">IF(TblProd[[#This Row],[Set Guard]]&lt;&gt;"",TblProd[[#This Row],[Set Guard]],OFFSET(TblProd[[#This Row],[Guard]],-1,0))</f>
        <v>0</v>
      </c>
      <c r="BA67" s="153"/>
      <c r="BB67" s="45">
        <f>TblProd[[#This Row],[Hour]]</f>
        <v>16</v>
      </c>
      <c r="BC67" s="158">
        <f>-TblProd[[#This Row],[Bank Lumber]] / 2 + -TblProd[[#This Row],[Bank Gems]] * 2 + -TblProd[[#This Row],[Bank Ore]] / 2</f>
        <v>0</v>
      </c>
      <c r="BD67" s="158"/>
      <c r="BE67" s="158"/>
      <c r="BF67" s="158"/>
      <c r="BG67" s="159">
        <f ca="1">TblProd[[#This Row],[Time]]</f>
        <v>46322.624999999847</v>
      </c>
      <c r="BH67" s="45"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94">
        <f ca="1">TblProd[[#This Row],[Platinum]]</f>
        <v>179517</v>
      </c>
      <c r="BJ67" s="94">
        <f ca="1">TblProd[[#This Row],[Food]]</f>
        <v>119972</v>
      </c>
      <c r="BK67" s="94">
        <f ca="1">TblProd[[#This Row],[Lumber]]</f>
        <v>54871</v>
      </c>
      <c r="BL67" s="94">
        <f ca="1">TblProd[[#This Row],[Mana]]</f>
        <v>0</v>
      </c>
      <c r="BM67" s="94">
        <f ca="1">TblProd[[#This Row],[Ore]]</f>
        <v>0</v>
      </c>
    </row>
    <row r="68" spans="1:65" x14ac:dyDescent="0.2">
      <c r="A68" s="137">
        <f t="shared" si="0"/>
        <v>17</v>
      </c>
      <c r="B68" s="152">
        <f ca="1">TblImps[[#This Row],[Time]]</f>
        <v>46322.666666666511</v>
      </c>
      <c r="C68" s="153"/>
      <c r="D68" s="154"/>
      <c r="E68" s="94">
        <f ca="1">TblConstr[[#This Row],[Land]]</f>
        <v>50</v>
      </c>
      <c r="F68" s="94">
        <f ca="1">TblPop[[#This Row],[Peasants]]</f>
        <v>245</v>
      </c>
      <c r="G68" s="94">
        <f ca="1">TblMili[[#This Row],[Networth (2)]]</f>
        <v>1250</v>
      </c>
      <c r="H68" s="94">
        <f ca="1">OFFSET(TblProd[[#This Row],[Platinum]],-1,0)+OFFSET(TblProd[[#This Row],[Plat/hr]],-1,0) - TblProd[[#This Row],[Expenses Platinum]] + IF(TblProd[[#This Row],[Plat Bonus]],TblPop[[#This Row],[Peasants]]*4) + SUM(TblConstr[[#This Row],[Dest Hom]:[Dest Doc]])*TblConstr[[#This Row],[CPA Platinum -DB]]*tech_3_3_2*TblTech[[#This Row],[3-3]]</f>
        <v>180183</v>
      </c>
      <c r="I68" s="94">
        <f ca="1">OFFSET(TblProd[[#This Row],[Food]],-1,0)+OFFSET(TblProd[[#This Row],[Food/hr]],-1,0)+ROUNDUP((TblConstr[[#This Row],[Farms]]*80+TblConstr[[#This Row],[Docks]]*35)*(1+OFFSET(TblProd[[#This Row],[Bonus Food/hr]],-1,0)),0)</f>
        <v>121160</v>
      </c>
      <c r="J68" s="94">
        <f ca="1">OFFSET(TblProd[[#This Row],[Lumber]],-1,0)+OFFSET(TblProd[[#This Row],[Lumber/hr]],-1,0) - TblProd[[#This Row],[Expenses Lumber]] + SUM(TblConstr[[#This Row],[Dest Hom]:[Dest Doc]])*TblConstr[[#This Row],[CPA Lumber -DB]]*tech_3_3_2*TblTech[[#This Row],[3-3]]</f>
        <v>55322</v>
      </c>
      <c r="K68" s="94">
        <f ca="1">OFFSET(TblProd[[#This Row],[Mana]],-1,0)+OFFSET(TblProd[[#This Row],[Mana/hr]],-1,0)- TblProd[[#This Row],[Expenses Mana]]</f>
        <v>0</v>
      </c>
      <c r="L68" s="94">
        <f ca="1">OFFSET(TblProd[[#This Row],[Ore]],-1,0)+OFFSET(TblProd[[#This Row],[Ore/hr]],-1,0) -TblProd[[#This Row],[Expenses Ore]]</f>
        <v>0</v>
      </c>
      <c r="M68" s="94">
        <f ca="1">OFFSET(TblProd[[#This Row],[Gems]],-1,0)+OFFSET(TblProd[[#This Row],[Gems/hr]],-1,0) - TblProd[[#This Row],[Expenses Gems]]</f>
        <v>0</v>
      </c>
      <c r="N68" s="94">
        <f ca="1">OFFSET(TblProd[[#This Row],[Boats]],-1,0)+OFFSET(TblProd[[#This Row],[Boats/hr]],-1,0)</f>
        <v>0</v>
      </c>
      <c r="O68" s="94">
        <f ca="1">OFFSET(TblProd[[#This Row],[Prestige]],-1,0)</f>
        <v>250</v>
      </c>
      <c r="P6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8" s="94">
        <f ca="1">MAX(_xlfn.CEILING.MATH(TblProd[[#This Row],[Land]]*2.5+IFERROR(OFFSET(TblTech[[#This Row],[Sum of tech]],-1,0)*50,0)),3750)</f>
        <v>3750</v>
      </c>
      <c r="R68" s="142"/>
      <c r="S68" s="94">
        <f ca="1">ROUNDDOWN(TblProd[[#This Row],[Raw Plat/hr]]*(1+TblProd[[#This Row],[Bonus Plat/hr]]),0)</f>
        <v>661</v>
      </c>
      <c r="T68" s="94">
        <f ca="1">ROUND(TblProd[[#This Row],[Raw Food/hr]]*(1+TblProd[[#This Row],[Bonus Food/hr]])-TblProd[[#This Row],[Food decay]]-TblProd[[#This Row],[Food eaten]],0)</f>
        <v>1176</v>
      </c>
      <c r="U68" s="94">
        <f ca="1">ROUND(TblProd[[#This Row],[Raw Lumber/hr]]*(1+TblProd[[#This Row],[Bonus Lumber/hr]])-TblProd[[#This Row],[Lumber rot]],0)</f>
        <v>447</v>
      </c>
      <c r="V68" s="94">
        <f ca="1">ROUND(TblProd[[#This Row],[Raw Mana/hr]]*(1+TblProd[[#This Row],[Bonus Mana/hr]])-TblProd[[#This Row],[Mana drain]],0)</f>
        <v>0</v>
      </c>
      <c r="W68" s="94">
        <f ca="1">ROUNDDOWN(TblProd[[#This Row],[Raw Ore/hr]]*(1+TblProd[[#This Row],[Bonux Ore/hr]]),0)</f>
        <v>0</v>
      </c>
      <c r="X68" s="94">
        <f ca="1">ROUNDDOWN(TblProd[[#This Row],[Raw Gems/hr]]*(1+TblProd[[#This Row],[Bonus Gems/hr]]),0)</f>
        <v>0</v>
      </c>
      <c r="Y68" s="155">
        <f ca="1">OFFSET(TblConstr[[#This Row],[Tot Doc]],1,0)*dock_boats_hr * (1 + tech_4_1*TblTech[[#This Row],[4-1]])</f>
        <v>0</v>
      </c>
      <c r="Z68" s="154"/>
      <c r="AA68" s="94">
        <f ca="1">TblPop[[#This Row],[Peasants]]*tax*TblPop[[#This Row],[Employment]] + (Construction!AZ69+Construction!BX69)*(alch_plat+(Magic!AN68&gt;0)*alchemist_flame_bonus)</f>
        <v>661.5</v>
      </c>
      <c r="AB68" s="94">
        <f ca="1">TblConstr[[#This Row],[Tot Farm]]*farm_food + TblConstr[[#This Row],[Tot Doc]]*dock_food</f>
        <v>2400</v>
      </c>
      <c r="AC68" s="94">
        <f ca="1">TblConstr[[#This Row],[Tot Ly]]*ly_lumber + TblConstr[[#This Row],[Tot Hav]]*fh_lumber + IF(race="Wood Elf",TblMili[[#This Row],[Unit 2]]*MIN(TblMili[[#This Row],[Homeland%]]/wisp_bonus,wisp_cap),0)</f>
        <v>1000</v>
      </c>
      <c r="AD68" s="94">
        <f ca="1">OFFSET(TblConstr[[#This Row],[Tot Tow]],1,0)*(tower_mana + tech_4_5*TblTech[[#This Row],[4-5]]) + OFFSET(TblConstr[[#This Row],[Tot WG]],1,0)*wg_mana_prod</f>
        <v>0</v>
      </c>
      <c r="AE68" s="94">
        <f ca="1">OFFSET(TblConstr[[#This Row],[Tot OM]],1,0)*om_ore+IF(race="Dwarf",TblMili[[#This Row],[Unit 2]]*0.5,0)</f>
        <v>0</v>
      </c>
      <c r="AF68" s="94">
        <f ca="1">OFFSET(TblConstr[[#This Row],[Tot DM]],1,0)*dm_gems</f>
        <v>0</v>
      </c>
      <c r="AG68" s="142"/>
      <c r="AH68" s="156">
        <f ca="1">MIN(race_platinum_bonus + IF(TblMagic[[#This Row],[Active Arc Infusion]]&gt;0,alch_frost_bonus,IF(Magic!AE68&gt;0,midas_bonus)) + TblImps[[#This Row],[Science]] - TblProd[[#This Row],[Guard]]*(0.02 + tech_5_7*TblTech[[#This Row],[5-7]]) + tech_1_5*TblTech[[#This Row],[1-5]] + tech_4_4*TblTech[[#This Row],[4-4]] + IF(TblMagic[[#This Row],[Active Infernal Command]]&gt;0,demonic_pact_plat,0), 0.5)</f>
        <v>0</v>
      </c>
      <c r="AI6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8" s="156">
        <f ca="1">race_lumber_bonus+ IF(TblMagic[[#This Row],[Active Gaia''s Blessing]]&gt;0,gaias_blessing_lumber)+ tech_1_3*TblTech[[#This Row],[1-3]] + tech_1_6*TblTech[[#This Row],[1-6]] + tech_3_3*TblTech[[#This Row],[3-3]]</f>
        <v>0</v>
      </c>
      <c r="AK68" s="156">
        <f ca="1">race_mana_bonus+ 0 + TblImps[[#This Row],[Spires]] + tech_1_2*TblTech[[#This Row],[1-2]] + tech_3_4*TblTech[[#This Row],[3-4]]</f>
        <v>0</v>
      </c>
      <c r="AL68" s="156">
        <f ca="1">race_ore_bonus + IF(TblMagic[[#This Row],[Active Miner''s Sight]]&gt;0,miners_sight_bonus,IF(TblMagic[[#This Row],[Active Mining Strength]]&gt;0,mining_strength_bonus)) +  tech_1_6*TblTech[[#This Row],[1-6]]</f>
        <v>0</v>
      </c>
      <c r="AM68" s="156">
        <f>race_gem_bonus+ tech_3_2*TblTech[[#This Row],[3-2]] + tech_4_3*TblTech[[#This Row],[4-3]] + tech_6_2*TblTech[[#This Row],[6-2]]</f>
        <v>0</v>
      </c>
      <c r="AN68" s="142"/>
      <c r="AO68" s="94">
        <f ca="1">TblProd[[#This Row],[Food]]*food_decay * (1 + tech_2_1*TblTech[[#This Row],[2-1]] + tech_2_8*TblTech[[#This Row],[2-8]] + IF(AND(TblMagic[[#This Row],[Active DnD]]&lt;12,TblMagic[[#This Row],[Active DnD]]&gt;5),1,0))</f>
        <v>1211.6000000000001</v>
      </c>
      <c r="AP68" s="94">
        <f ca="1">(1+race_food_consumption)*TblPop[[#This Row],[Total]]*food_per_person*(1+tech_1_10*TblTech[[#This Row],[1-10]]+tech_7_5*TblTech[[#This Row],[7-5]] + IF(TblMagic[[#This Row],[Active Infernal Command]]&gt;0,demonic_pact_food_cons,0))</f>
        <v>192.25</v>
      </c>
      <c r="AQ68" s="94">
        <f ca="1">TblProd[[#This Row],[Lumber]]*lumber_rot * (1 + tech_2_1*TblTech[[#This Row],[2-1]] + tech_2_8*TblTech[[#This Row],[2-8]] + tech_5_2*TblTech[[#This Row],[5-2]] + IF(AND(TblMagic[[#This Row],[Active DnD]]&lt;12,TblMagic[[#This Row],[Active DnD]]&gt;5),1,0))</f>
        <v>553.22</v>
      </c>
      <c r="AR68" s="94">
        <f ca="1">TblProd[[#This Row],[Mana]]*mana_drain * (1 + tech_2_1*TblTech[[#This Row],[2-1]] + tech_2_8*TblTech[[#This Row],[2-8]])</f>
        <v>0</v>
      </c>
      <c r="AS68" s="154"/>
      <c r="AT68" s="94">
        <f ca="1">TblExplore[[#This Row],[Platinum (2)]]+TblConstr[[#This Row],[Total Plat Cost]]+TblMili[[#This Row],[Plat Cost]]+TblRezone[[#This Row],[Platinum cost]]+TblImps[[#This Row],[P1]]-TblProd[[#This Row],[Bank Plat]]</f>
        <v>0</v>
      </c>
      <c r="AU68" s="94">
        <f ca="1">TblConstr[[#This Row],[Total Lum Cost]]+TblImps[[#This Row],[L1]]-TblProd[[#This Row],[Bank Lumber]] + Military!$CO$25*TblMili[[#This Row],[Sec. rec. Cost]]</f>
        <v>0</v>
      </c>
      <c r="AV68" s="94">
        <f ca="1">TblMagic[[#This Row],[Mana cost]] + Military!$CO$26*TblMili[[#This Row],[Sec. rec. Cost]]</f>
        <v>0</v>
      </c>
      <c r="AW68" s="94">
        <f ca="1">Military!$CO$24*TblMili[[#This Row],[Sec. rec. Cost]]+TblImps[[#This Row],[O1]]-TblProd[[#This Row],[Bank Ore]]</f>
        <v>0</v>
      </c>
      <c r="AX68" s="94">
        <f>TblImps[[#This Row],[G1]]-TblProd[[#This Row],[Bank Gems]]</f>
        <v>0</v>
      </c>
      <c r="AY68" s="142"/>
      <c r="AZ68" s="61" t="b">
        <f ca="1">IF(TblProd[[#This Row],[Set Guard]]&lt;&gt;"",TblProd[[#This Row],[Set Guard]],OFFSET(TblProd[[#This Row],[Guard]],-1,0))</f>
        <v>0</v>
      </c>
      <c r="BA68" s="153"/>
      <c r="BB68" s="45">
        <f>TblProd[[#This Row],[Hour]]</f>
        <v>17</v>
      </c>
      <c r="BC68" s="158">
        <f>-TblProd[[#This Row],[Bank Lumber]] / 2 + -TblProd[[#This Row],[Bank Gems]] * 2 + -TblProd[[#This Row],[Bank Ore]] / 2</f>
        <v>0</v>
      </c>
      <c r="BD68" s="158"/>
      <c r="BE68" s="158"/>
      <c r="BF68" s="158"/>
      <c r="BG68" s="159">
        <f ca="1">TblProd[[#This Row],[Time]]</f>
        <v>46322.666666666511</v>
      </c>
      <c r="BH68" s="45"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94">
        <f ca="1">TblProd[[#This Row],[Platinum]]</f>
        <v>180183</v>
      </c>
      <c r="BJ68" s="94">
        <f ca="1">TblProd[[#This Row],[Food]]</f>
        <v>121160</v>
      </c>
      <c r="BK68" s="94">
        <f ca="1">TblProd[[#This Row],[Lumber]]</f>
        <v>55322</v>
      </c>
      <c r="BL68" s="94">
        <f ca="1">TblProd[[#This Row],[Mana]]</f>
        <v>0</v>
      </c>
      <c r="BM68" s="94">
        <f ca="1">TblProd[[#This Row],[Ore]]</f>
        <v>0</v>
      </c>
    </row>
    <row r="69" spans="1:65" x14ac:dyDescent="0.2">
      <c r="A69" s="137">
        <f t="shared" si="0"/>
        <v>18</v>
      </c>
      <c r="B69" s="152">
        <f ca="1">TblImps[[#This Row],[Time]]</f>
        <v>46322.708333333176</v>
      </c>
      <c r="C69" s="153"/>
      <c r="D69" s="154"/>
      <c r="E69" s="94">
        <f ca="1">TblConstr[[#This Row],[Land]]</f>
        <v>50</v>
      </c>
      <c r="F69" s="94">
        <f ca="1">TblPop[[#This Row],[Peasants]]</f>
        <v>243</v>
      </c>
      <c r="G69" s="94">
        <f ca="1">TblMili[[#This Row],[Networth (2)]]</f>
        <v>1250</v>
      </c>
      <c r="H69" s="94">
        <f ca="1">OFFSET(TblProd[[#This Row],[Platinum]],-1,0)+OFFSET(TblProd[[#This Row],[Plat/hr]],-1,0) - TblProd[[#This Row],[Expenses Platinum]] + IF(TblProd[[#This Row],[Plat Bonus]],TblPop[[#This Row],[Peasants]]*4) + SUM(TblConstr[[#This Row],[Dest Hom]:[Dest Doc]])*TblConstr[[#This Row],[CPA Platinum -DB]]*tech_3_3_2*TblTech[[#This Row],[3-3]]</f>
        <v>180844</v>
      </c>
      <c r="I69" s="94">
        <f ca="1">OFFSET(TblProd[[#This Row],[Food]],-1,0)+OFFSET(TblProd[[#This Row],[Food/hr]],-1,0)+ROUNDUP((TblConstr[[#This Row],[Farms]]*80+TblConstr[[#This Row],[Docks]]*35)*(1+OFFSET(TblProd[[#This Row],[Bonus Food/hr]],-1,0)),0)</f>
        <v>122336</v>
      </c>
      <c r="J69" s="94">
        <f ca="1">OFFSET(TblProd[[#This Row],[Lumber]],-1,0)+OFFSET(TblProd[[#This Row],[Lumber/hr]],-1,0) - TblProd[[#This Row],[Expenses Lumber]] + SUM(TblConstr[[#This Row],[Dest Hom]:[Dest Doc]])*TblConstr[[#This Row],[CPA Lumber -DB]]*tech_3_3_2*TblTech[[#This Row],[3-3]]</f>
        <v>55769</v>
      </c>
      <c r="K69" s="94">
        <f ca="1">OFFSET(TblProd[[#This Row],[Mana]],-1,0)+OFFSET(TblProd[[#This Row],[Mana/hr]],-1,0)- TblProd[[#This Row],[Expenses Mana]]</f>
        <v>0</v>
      </c>
      <c r="L69" s="94">
        <f ca="1">OFFSET(TblProd[[#This Row],[Ore]],-1,0)+OFFSET(TblProd[[#This Row],[Ore/hr]],-1,0) -TblProd[[#This Row],[Expenses Ore]]</f>
        <v>0</v>
      </c>
      <c r="M69" s="94">
        <f ca="1">OFFSET(TblProd[[#This Row],[Gems]],-1,0)+OFFSET(TblProd[[#This Row],[Gems/hr]],-1,0) - TblProd[[#This Row],[Expenses Gems]]</f>
        <v>0</v>
      </c>
      <c r="N69" s="94">
        <f ca="1">OFFSET(TblProd[[#This Row],[Boats]],-1,0)+OFFSET(TblProd[[#This Row],[Boats/hr]],-1,0)</f>
        <v>0</v>
      </c>
      <c r="O69" s="94">
        <f ca="1">OFFSET(TblProd[[#This Row],[Prestige]],-1,0)</f>
        <v>250</v>
      </c>
      <c r="P6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9" s="94">
        <f ca="1">MAX(_xlfn.CEILING.MATH(TblProd[[#This Row],[Land]]*2.5+IFERROR(OFFSET(TblTech[[#This Row],[Sum of tech]],-1,0)*50,0)),3750)</f>
        <v>3750</v>
      </c>
      <c r="R69" s="142"/>
      <c r="S69" s="94">
        <f ca="1">ROUNDDOWN(TblProd[[#This Row],[Raw Plat/hr]]*(1+TblProd[[#This Row],[Bonus Plat/hr]]),0)</f>
        <v>656</v>
      </c>
      <c r="T69" s="94">
        <f ca="1">ROUND(TblProd[[#This Row],[Raw Food/hr]]*(1+TblProd[[#This Row],[Bonus Food/hr]])-TblProd[[#This Row],[Food decay]]-TblProd[[#This Row],[Food eaten]],0)</f>
        <v>1164</v>
      </c>
      <c r="U69" s="94">
        <f ca="1">ROUND(TblProd[[#This Row],[Raw Lumber/hr]]*(1+TblProd[[#This Row],[Bonus Lumber/hr]])-TblProd[[#This Row],[Lumber rot]],0)</f>
        <v>442</v>
      </c>
      <c r="V69" s="94">
        <f ca="1">ROUND(TblProd[[#This Row],[Raw Mana/hr]]*(1+TblProd[[#This Row],[Bonus Mana/hr]])-TblProd[[#This Row],[Mana drain]],0)</f>
        <v>0</v>
      </c>
      <c r="W69" s="94">
        <f ca="1">ROUNDDOWN(TblProd[[#This Row],[Raw Ore/hr]]*(1+TblProd[[#This Row],[Bonux Ore/hr]]),0)</f>
        <v>0</v>
      </c>
      <c r="X69" s="94">
        <f ca="1">ROUNDDOWN(TblProd[[#This Row],[Raw Gems/hr]]*(1+TblProd[[#This Row],[Bonus Gems/hr]]),0)</f>
        <v>0</v>
      </c>
      <c r="Y69" s="155">
        <f ca="1">OFFSET(TblConstr[[#This Row],[Tot Doc]],1,0)*dock_boats_hr * (1 + tech_4_1*TblTech[[#This Row],[4-1]])</f>
        <v>0</v>
      </c>
      <c r="Z69" s="154"/>
      <c r="AA69" s="94">
        <f ca="1">TblPop[[#This Row],[Peasants]]*tax*TblPop[[#This Row],[Employment]] + (Construction!AZ70+Construction!BX70)*(alch_plat+(Magic!AN69&gt;0)*alchemist_flame_bonus)</f>
        <v>656.1</v>
      </c>
      <c r="AB69" s="94">
        <f ca="1">TblConstr[[#This Row],[Tot Farm]]*farm_food + TblConstr[[#This Row],[Tot Doc]]*dock_food</f>
        <v>2400</v>
      </c>
      <c r="AC69" s="94">
        <f ca="1">TblConstr[[#This Row],[Tot Ly]]*ly_lumber + TblConstr[[#This Row],[Tot Hav]]*fh_lumber + IF(race="Wood Elf",TblMili[[#This Row],[Unit 2]]*MIN(TblMili[[#This Row],[Homeland%]]/wisp_bonus,wisp_cap),0)</f>
        <v>1000</v>
      </c>
      <c r="AD69" s="94">
        <f ca="1">OFFSET(TblConstr[[#This Row],[Tot Tow]],1,0)*(tower_mana + tech_4_5*TblTech[[#This Row],[4-5]]) + OFFSET(TblConstr[[#This Row],[Tot WG]],1,0)*wg_mana_prod</f>
        <v>0</v>
      </c>
      <c r="AE69" s="94">
        <f ca="1">OFFSET(TblConstr[[#This Row],[Tot OM]],1,0)*om_ore+IF(race="Dwarf",TblMili[[#This Row],[Unit 2]]*0.5,0)</f>
        <v>0</v>
      </c>
      <c r="AF69" s="94">
        <f ca="1">OFFSET(TblConstr[[#This Row],[Tot DM]],1,0)*dm_gems</f>
        <v>0</v>
      </c>
      <c r="AG69" s="142"/>
      <c r="AH69" s="156">
        <f ca="1">MIN(race_platinum_bonus + IF(TblMagic[[#This Row],[Active Arc Infusion]]&gt;0,alch_frost_bonus,IF(Magic!AE69&gt;0,midas_bonus)) + TblImps[[#This Row],[Science]] - TblProd[[#This Row],[Guard]]*(0.02 + tech_5_7*TblTech[[#This Row],[5-7]]) + tech_1_5*TblTech[[#This Row],[1-5]] + tech_4_4*TblTech[[#This Row],[4-4]] + IF(TblMagic[[#This Row],[Active Infernal Command]]&gt;0,demonic_pact_plat,0), 0.5)</f>
        <v>0</v>
      </c>
      <c r="AI6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9" s="156">
        <f ca="1">race_lumber_bonus+ IF(TblMagic[[#This Row],[Active Gaia''s Blessing]]&gt;0,gaias_blessing_lumber)+ tech_1_3*TblTech[[#This Row],[1-3]] + tech_1_6*TblTech[[#This Row],[1-6]] + tech_3_3*TblTech[[#This Row],[3-3]]</f>
        <v>0</v>
      </c>
      <c r="AK69" s="156">
        <f ca="1">race_mana_bonus+ 0 + TblImps[[#This Row],[Spires]] + tech_1_2*TblTech[[#This Row],[1-2]] + tech_3_4*TblTech[[#This Row],[3-4]]</f>
        <v>0</v>
      </c>
      <c r="AL69" s="156">
        <f ca="1">race_ore_bonus + IF(TblMagic[[#This Row],[Active Miner''s Sight]]&gt;0,miners_sight_bonus,IF(TblMagic[[#This Row],[Active Mining Strength]]&gt;0,mining_strength_bonus)) +  tech_1_6*TblTech[[#This Row],[1-6]]</f>
        <v>0</v>
      </c>
      <c r="AM69" s="156">
        <f>race_gem_bonus+ tech_3_2*TblTech[[#This Row],[3-2]] + tech_4_3*TblTech[[#This Row],[4-3]] + tech_6_2*TblTech[[#This Row],[6-2]]</f>
        <v>0</v>
      </c>
      <c r="AN69" s="142"/>
      <c r="AO69" s="94">
        <f ca="1">TblProd[[#This Row],[Food]]*food_decay * (1 + tech_2_1*TblTech[[#This Row],[2-1]] + tech_2_8*TblTech[[#This Row],[2-8]] + IF(AND(TblMagic[[#This Row],[Active DnD]]&lt;12,TblMagic[[#This Row],[Active DnD]]&gt;5),1,0))</f>
        <v>1223.3600000000001</v>
      </c>
      <c r="AP69" s="94">
        <f ca="1">(1+race_food_consumption)*TblPop[[#This Row],[Total]]*food_per_person*(1+tech_1_10*TblTech[[#This Row],[1-10]]+tech_7_5*TblTech[[#This Row],[7-5]] + IF(TblMagic[[#This Row],[Active Infernal Command]]&gt;0,demonic_pact_food_cons,0))</f>
        <v>192.25</v>
      </c>
      <c r="AQ69" s="94">
        <f ca="1">TblProd[[#This Row],[Lumber]]*lumber_rot * (1 + tech_2_1*TblTech[[#This Row],[2-1]] + tech_2_8*TblTech[[#This Row],[2-8]] + tech_5_2*TblTech[[#This Row],[5-2]] + IF(AND(TblMagic[[#This Row],[Active DnD]]&lt;12,TblMagic[[#This Row],[Active DnD]]&gt;5),1,0))</f>
        <v>557.69000000000005</v>
      </c>
      <c r="AR69" s="94">
        <f ca="1">TblProd[[#This Row],[Mana]]*mana_drain * (1 + tech_2_1*TblTech[[#This Row],[2-1]] + tech_2_8*TblTech[[#This Row],[2-8]])</f>
        <v>0</v>
      </c>
      <c r="AS69" s="154"/>
      <c r="AT69" s="94">
        <f ca="1">TblExplore[[#This Row],[Platinum (2)]]+TblConstr[[#This Row],[Total Plat Cost]]+TblMili[[#This Row],[Plat Cost]]+TblRezone[[#This Row],[Platinum cost]]+TblImps[[#This Row],[P1]]-TblProd[[#This Row],[Bank Plat]]</f>
        <v>0</v>
      </c>
      <c r="AU69" s="94">
        <f ca="1">TblConstr[[#This Row],[Total Lum Cost]]+TblImps[[#This Row],[L1]]-TblProd[[#This Row],[Bank Lumber]] + Military!$CO$25*TblMili[[#This Row],[Sec. rec. Cost]]</f>
        <v>0</v>
      </c>
      <c r="AV69" s="94">
        <f ca="1">TblMagic[[#This Row],[Mana cost]] + Military!$CO$26*TblMili[[#This Row],[Sec. rec. Cost]]</f>
        <v>0</v>
      </c>
      <c r="AW69" s="94">
        <f ca="1">Military!$CO$24*TblMili[[#This Row],[Sec. rec. Cost]]+TblImps[[#This Row],[O1]]-TblProd[[#This Row],[Bank Ore]]</f>
        <v>0</v>
      </c>
      <c r="AX69" s="94">
        <f>TblImps[[#This Row],[G1]]-TblProd[[#This Row],[Bank Gems]]</f>
        <v>0</v>
      </c>
      <c r="AY69" s="142"/>
      <c r="AZ69" s="61" t="b">
        <f ca="1">IF(TblProd[[#This Row],[Set Guard]]&lt;&gt;"",TblProd[[#This Row],[Set Guard]],OFFSET(TblProd[[#This Row],[Guard]],-1,0))</f>
        <v>0</v>
      </c>
      <c r="BA69" s="153"/>
      <c r="BB69" s="45">
        <f>TblProd[[#This Row],[Hour]]</f>
        <v>18</v>
      </c>
      <c r="BC69" s="158">
        <f>-TblProd[[#This Row],[Bank Lumber]] / 2 + -TblProd[[#This Row],[Bank Gems]] * 2 + -TblProd[[#This Row],[Bank Ore]] / 2</f>
        <v>0</v>
      </c>
      <c r="BD69" s="158"/>
      <c r="BE69" s="158"/>
      <c r="BF69" s="158"/>
      <c r="BG69" s="159">
        <f ca="1">TblProd[[#This Row],[Time]]</f>
        <v>46322.708333333176</v>
      </c>
      <c r="BH69" s="45"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94">
        <f ca="1">TblProd[[#This Row],[Platinum]]</f>
        <v>180844</v>
      </c>
      <c r="BJ69" s="94">
        <f ca="1">TblProd[[#This Row],[Food]]</f>
        <v>122336</v>
      </c>
      <c r="BK69" s="94">
        <f ca="1">TblProd[[#This Row],[Lumber]]</f>
        <v>55769</v>
      </c>
      <c r="BL69" s="94">
        <f ca="1">TblProd[[#This Row],[Mana]]</f>
        <v>0</v>
      </c>
      <c r="BM69" s="94">
        <f ca="1">TblProd[[#This Row],[Ore]]</f>
        <v>0</v>
      </c>
    </row>
    <row r="70" spans="1:65" x14ac:dyDescent="0.2">
      <c r="A70" s="137">
        <f t="shared" si="0"/>
        <v>19</v>
      </c>
      <c r="B70" s="152">
        <f ca="1">TblImps[[#This Row],[Time]]</f>
        <v>46322.74999999984</v>
      </c>
      <c r="C70" s="153"/>
      <c r="D70" s="154"/>
      <c r="E70" s="94">
        <f ca="1">TblConstr[[#This Row],[Land]]</f>
        <v>50</v>
      </c>
      <c r="F70" s="94">
        <f ca="1">TblPop[[#This Row],[Peasants]]</f>
        <v>241</v>
      </c>
      <c r="G70" s="94">
        <f ca="1">TblMili[[#This Row],[Networth (2)]]</f>
        <v>1250</v>
      </c>
      <c r="H70" s="94">
        <f ca="1">OFFSET(TblProd[[#This Row],[Platinum]],-1,0)+OFFSET(TblProd[[#This Row],[Plat/hr]],-1,0) - TblProd[[#This Row],[Expenses Platinum]] + IF(TblProd[[#This Row],[Plat Bonus]],TblPop[[#This Row],[Peasants]]*4) + SUM(TblConstr[[#This Row],[Dest Hom]:[Dest Doc]])*TblConstr[[#This Row],[CPA Platinum -DB]]*tech_3_3_2*TblTech[[#This Row],[3-3]]</f>
        <v>181500</v>
      </c>
      <c r="I70" s="94">
        <f ca="1">OFFSET(TblProd[[#This Row],[Food]],-1,0)+OFFSET(TblProd[[#This Row],[Food/hr]],-1,0)+ROUNDUP((TblConstr[[#This Row],[Farms]]*80+TblConstr[[#This Row],[Docks]]*35)*(1+OFFSET(TblProd[[#This Row],[Bonus Food/hr]],-1,0)),0)</f>
        <v>123500</v>
      </c>
      <c r="J70" s="94">
        <f ca="1">OFFSET(TblProd[[#This Row],[Lumber]],-1,0)+OFFSET(TblProd[[#This Row],[Lumber/hr]],-1,0) - TblProd[[#This Row],[Expenses Lumber]] + SUM(TblConstr[[#This Row],[Dest Hom]:[Dest Doc]])*TblConstr[[#This Row],[CPA Lumber -DB]]*tech_3_3_2*TblTech[[#This Row],[3-3]]</f>
        <v>56211</v>
      </c>
      <c r="K70" s="94">
        <f ca="1">OFFSET(TblProd[[#This Row],[Mana]],-1,0)+OFFSET(TblProd[[#This Row],[Mana/hr]],-1,0)- TblProd[[#This Row],[Expenses Mana]]</f>
        <v>0</v>
      </c>
      <c r="L70" s="94">
        <f ca="1">OFFSET(TblProd[[#This Row],[Ore]],-1,0)+OFFSET(TblProd[[#This Row],[Ore/hr]],-1,0) -TblProd[[#This Row],[Expenses Ore]]</f>
        <v>0</v>
      </c>
      <c r="M70" s="94">
        <f ca="1">OFFSET(TblProd[[#This Row],[Gems]],-1,0)+OFFSET(TblProd[[#This Row],[Gems/hr]],-1,0) - TblProd[[#This Row],[Expenses Gems]]</f>
        <v>0</v>
      </c>
      <c r="N70" s="94">
        <f ca="1">OFFSET(TblProd[[#This Row],[Boats]],-1,0)+OFFSET(TblProd[[#This Row],[Boats/hr]],-1,0)</f>
        <v>0</v>
      </c>
      <c r="O70" s="94">
        <f ca="1">OFFSET(TblProd[[#This Row],[Prestige]],-1,0)</f>
        <v>250</v>
      </c>
      <c r="P7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0" s="94">
        <f ca="1">MAX(_xlfn.CEILING.MATH(TblProd[[#This Row],[Land]]*2.5+IFERROR(OFFSET(TblTech[[#This Row],[Sum of tech]],-1,0)*50,0)),3750)</f>
        <v>3750</v>
      </c>
      <c r="R70" s="142"/>
      <c r="S70" s="94">
        <f ca="1">ROUNDDOWN(TblProd[[#This Row],[Raw Plat/hr]]*(1+TblProd[[#This Row],[Bonus Plat/hr]]),0)</f>
        <v>650</v>
      </c>
      <c r="T70" s="94">
        <f ca="1">ROUND(TblProd[[#This Row],[Raw Food/hr]]*(1+TblProd[[#This Row],[Bonus Food/hr]])-TblProd[[#This Row],[Food decay]]-TblProd[[#This Row],[Food eaten]],0)</f>
        <v>1153</v>
      </c>
      <c r="U70" s="94">
        <f ca="1">ROUND(TblProd[[#This Row],[Raw Lumber/hr]]*(1+TblProd[[#This Row],[Bonus Lumber/hr]])-TblProd[[#This Row],[Lumber rot]],0)</f>
        <v>438</v>
      </c>
      <c r="V70" s="94">
        <f ca="1">ROUND(TblProd[[#This Row],[Raw Mana/hr]]*(1+TblProd[[#This Row],[Bonus Mana/hr]])-TblProd[[#This Row],[Mana drain]],0)</f>
        <v>0</v>
      </c>
      <c r="W70" s="94">
        <f ca="1">ROUNDDOWN(TblProd[[#This Row],[Raw Ore/hr]]*(1+TblProd[[#This Row],[Bonux Ore/hr]]),0)</f>
        <v>0</v>
      </c>
      <c r="X70" s="94">
        <f ca="1">ROUNDDOWN(TblProd[[#This Row],[Raw Gems/hr]]*(1+TblProd[[#This Row],[Bonus Gems/hr]]),0)</f>
        <v>0</v>
      </c>
      <c r="Y70" s="155">
        <f ca="1">OFFSET(TblConstr[[#This Row],[Tot Doc]],1,0)*dock_boats_hr * (1 + tech_4_1*TblTech[[#This Row],[4-1]])</f>
        <v>0</v>
      </c>
      <c r="Z70" s="154"/>
      <c r="AA70" s="94">
        <f ca="1">TblPop[[#This Row],[Peasants]]*tax*TblPop[[#This Row],[Employment]] + (Construction!AZ71+Construction!BX71)*(alch_plat+(Magic!AN70&gt;0)*alchemist_flame_bonus)</f>
        <v>650.70000000000005</v>
      </c>
      <c r="AB70" s="94">
        <f ca="1">TblConstr[[#This Row],[Tot Farm]]*farm_food + TblConstr[[#This Row],[Tot Doc]]*dock_food</f>
        <v>2400</v>
      </c>
      <c r="AC70" s="94">
        <f ca="1">TblConstr[[#This Row],[Tot Ly]]*ly_lumber + TblConstr[[#This Row],[Tot Hav]]*fh_lumber + IF(race="Wood Elf",TblMili[[#This Row],[Unit 2]]*MIN(TblMili[[#This Row],[Homeland%]]/wisp_bonus,wisp_cap),0)</f>
        <v>1000</v>
      </c>
      <c r="AD70" s="94">
        <f ca="1">OFFSET(TblConstr[[#This Row],[Tot Tow]],1,0)*(tower_mana + tech_4_5*TblTech[[#This Row],[4-5]]) + OFFSET(TblConstr[[#This Row],[Tot WG]],1,0)*wg_mana_prod</f>
        <v>0</v>
      </c>
      <c r="AE70" s="94">
        <f ca="1">OFFSET(TblConstr[[#This Row],[Tot OM]],1,0)*om_ore+IF(race="Dwarf",TblMili[[#This Row],[Unit 2]]*0.5,0)</f>
        <v>0</v>
      </c>
      <c r="AF70" s="94">
        <f ca="1">OFFSET(TblConstr[[#This Row],[Tot DM]],1,0)*dm_gems</f>
        <v>0</v>
      </c>
      <c r="AG70" s="142"/>
      <c r="AH70" s="156">
        <f ca="1">MIN(race_platinum_bonus + IF(TblMagic[[#This Row],[Active Arc Infusion]]&gt;0,alch_frost_bonus,IF(Magic!AE70&gt;0,midas_bonus)) + TblImps[[#This Row],[Science]] - TblProd[[#This Row],[Guard]]*(0.02 + tech_5_7*TblTech[[#This Row],[5-7]]) + tech_1_5*TblTech[[#This Row],[1-5]] + tech_4_4*TblTech[[#This Row],[4-4]] + IF(TblMagic[[#This Row],[Active Infernal Command]]&gt;0,demonic_pact_plat,0), 0.5)</f>
        <v>0</v>
      </c>
      <c r="AI7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0" s="156">
        <f ca="1">race_lumber_bonus+ IF(TblMagic[[#This Row],[Active Gaia''s Blessing]]&gt;0,gaias_blessing_lumber)+ tech_1_3*TblTech[[#This Row],[1-3]] + tech_1_6*TblTech[[#This Row],[1-6]] + tech_3_3*TblTech[[#This Row],[3-3]]</f>
        <v>0</v>
      </c>
      <c r="AK70" s="156">
        <f ca="1">race_mana_bonus+ 0 + TblImps[[#This Row],[Spires]] + tech_1_2*TblTech[[#This Row],[1-2]] + tech_3_4*TblTech[[#This Row],[3-4]]</f>
        <v>0</v>
      </c>
      <c r="AL70" s="156">
        <f ca="1">race_ore_bonus + IF(TblMagic[[#This Row],[Active Miner''s Sight]]&gt;0,miners_sight_bonus,IF(TblMagic[[#This Row],[Active Mining Strength]]&gt;0,mining_strength_bonus)) +  tech_1_6*TblTech[[#This Row],[1-6]]</f>
        <v>0</v>
      </c>
      <c r="AM70" s="156">
        <f>race_gem_bonus+ tech_3_2*TblTech[[#This Row],[3-2]] + tech_4_3*TblTech[[#This Row],[4-3]] + tech_6_2*TblTech[[#This Row],[6-2]]</f>
        <v>0</v>
      </c>
      <c r="AN70" s="142"/>
      <c r="AO70" s="94">
        <f ca="1">TblProd[[#This Row],[Food]]*food_decay * (1 + tech_2_1*TblTech[[#This Row],[2-1]] + tech_2_8*TblTech[[#This Row],[2-8]] + IF(AND(TblMagic[[#This Row],[Active DnD]]&lt;12,TblMagic[[#This Row],[Active DnD]]&gt;5),1,0))</f>
        <v>1235</v>
      </c>
      <c r="AP70" s="94">
        <f ca="1">(1+race_food_consumption)*TblPop[[#This Row],[Total]]*food_per_person*(1+tech_1_10*TblTech[[#This Row],[1-10]]+tech_7_5*TblTech[[#This Row],[7-5]] + IF(TblMagic[[#This Row],[Active Infernal Command]]&gt;0,demonic_pact_food_cons,0))</f>
        <v>192.25</v>
      </c>
      <c r="AQ70" s="94">
        <f ca="1">TblProd[[#This Row],[Lumber]]*lumber_rot * (1 + tech_2_1*TblTech[[#This Row],[2-1]] + tech_2_8*TblTech[[#This Row],[2-8]] + tech_5_2*TblTech[[#This Row],[5-2]] + IF(AND(TblMagic[[#This Row],[Active DnD]]&lt;12,TblMagic[[#This Row],[Active DnD]]&gt;5),1,0))</f>
        <v>562.11</v>
      </c>
      <c r="AR70" s="94">
        <f ca="1">TblProd[[#This Row],[Mana]]*mana_drain * (1 + tech_2_1*TblTech[[#This Row],[2-1]] + tech_2_8*TblTech[[#This Row],[2-8]])</f>
        <v>0</v>
      </c>
      <c r="AS70" s="154"/>
      <c r="AT70" s="94">
        <f ca="1">TblExplore[[#This Row],[Platinum (2)]]+TblConstr[[#This Row],[Total Plat Cost]]+TblMili[[#This Row],[Plat Cost]]+TblRezone[[#This Row],[Platinum cost]]+TblImps[[#This Row],[P1]]-TblProd[[#This Row],[Bank Plat]]</f>
        <v>0</v>
      </c>
      <c r="AU70" s="94">
        <f ca="1">TblConstr[[#This Row],[Total Lum Cost]]+TblImps[[#This Row],[L1]]-TblProd[[#This Row],[Bank Lumber]] + Military!$CO$25*TblMili[[#This Row],[Sec. rec. Cost]]</f>
        <v>0</v>
      </c>
      <c r="AV70" s="94">
        <f ca="1">TblMagic[[#This Row],[Mana cost]] + Military!$CO$26*TblMili[[#This Row],[Sec. rec. Cost]]</f>
        <v>0</v>
      </c>
      <c r="AW70" s="94">
        <f ca="1">Military!$CO$24*TblMili[[#This Row],[Sec. rec. Cost]]+TblImps[[#This Row],[O1]]-TblProd[[#This Row],[Bank Ore]]</f>
        <v>0</v>
      </c>
      <c r="AX70" s="94">
        <f>TblImps[[#This Row],[G1]]-TblProd[[#This Row],[Bank Gems]]</f>
        <v>0</v>
      </c>
      <c r="AY70" s="142"/>
      <c r="AZ70" s="61" t="b">
        <f ca="1">IF(TblProd[[#This Row],[Set Guard]]&lt;&gt;"",TblProd[[#This Row],[Set Guard]],OFFSET(TblProd[[#This Row],[Guard]],-1,0))</f>
        <v>0</v>
      </c>
      <c r="BA70" s="153"/>
      <c r="BB70" s="45">
        <f>TblProd[[#This Row],[Hour]]</f>
        <v>19</v>
      </c>
      <c r="BC70" s="158">
        <f>-TblProd[[#This Row],[Bank Lumber]] / 2 + -TblProd[[#This Row],[Bank Gems]] * 2 + -TblProd[[#This Row],[Bank Ore]] / 2</f>
        <v>0</v>
      </c>
      <c r="BD70" s="158"/>
      <c r="BE70" s="158"/>
      <c r="BF70" s="158"/>
      <c r="BG70" s="159">
        <f ca="1">TblProd[[#This Row],[Time]]</f>
        <v>46322.74999999984</v>
      </c>
      <c r="BH70" s="45"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94">
        <f ca="1">TblProd[[#This Row],[Platinum]]</f>
        <v>181500</v>
      </c>
      <c r="BJ70" s="94">
        <f ca="1">TblProd[[#This Row],[Food]]</f>
        <v>123500</v>
      </c>
      <c r="BK70" s="94">
        <f ca="1">TblProd[[#This Row],[Lumber]]</f>
        <v>56211</v>
      </c>
      <c r="BL70" s="94">
        <f ca="1">TblProd[[#This Row],[Mana]]</f>
        <v>0</v>
      </c>
      <c r="BM70" s="94">
        <f ca="1">TblProd[[#This Row],[Ore]]</f>
        <v>0</v>
      </c>
    </row>
    <row r="71" spans="1:65" x14ac:dyDescent="0.2">
      <c r="A71" s="137">
        <f t="shared" si="0"/>
        <v>20</v>
      </c>
      <c r="B71" s="152">
        <f ca="1">TblImps[[#This Row],[Time]]</f>
        <v>46322.791666666504</v>
      </c>
      <c r="C71" s="153"/>
      <c r="D71" s="154"/>
      <c r="E71" s="94">
        <f ca="1">TblConstr[[#This Row],[Land]]</f>
        <v>50</v>
      </c>
      <c r="F71" s="94">
        <f ca="1">TblPop[[#This Row],[Peasants]]</f>
        <v>239</v>
      </c>
      <c r="G71" s="94">
        <f ca="1">TblMili[[#This Row],[Networth (2)]]</f>
        <v>1250</v>
      </c>
      <c r="H71" s="94">
        <f ca="1">OFFSET(TblProd[[#This Row],[Platinum]],-1,0)+OFFSET(TblProd[[#This Row],[Plat/hr]],-1,0) - TblProd[[#This Row],[Expenses Platinum]] + IF(TblProd[[#This Row],[Plat Bonus]],TblPop[[#This Row],[Peasants]]*4) + SUM(TblConstr[[#This Row],[Dest Hom]:[Dest Doc]])*TblConstr[[#This Row],[CPA Platinum -DB]]*tech_3_3_2*TblTech[[#This Row],[3-3]]</f>
        <v>182150</v>
      </c>
      <c r="I71" s="94">
        <f ca="1">OFFSET(TblProd[[#This Row],[Food]],-1,0)+OFFSET(TblProd[[#This Row],[Food/hr]],-1,0)+ROUNDUP((TblConstr[[#This Row],[Farms]]*80+TblConstr[[#This Row],[Docks]]*35)*(1+OFFSET(TblProd[[#This Row],[Bonus Food/hr]],-1,0)),0)</f>
        <v>124653</v>
      </c>
      <c r="J71" s="94">
        <f ca="1">OFFSET(TblProd[[#This Row],[Lumber]],-1,0)+OFFSET(TblProd[[#This Row],[Lumber/hr]],-1,0) - TblProd[[#This Row],[Expenses Lumber]] + SUM(TblConstr[[#This Row],[Dest Hom]:[Dest Doc]])*TblConstr[[#This Row],[CPA Lumber -DB]]*tech_3_3_2*TblTech[[#This Row],[3-3]]</f>
        <v>56649</v>
      </c>
      <c r="K71" s="94">
        <f ca="1">OFFSET(TblProd[[#This Row],[Mana]],-1,0)+OFFSET(TblProd[[#This Row],[Mana/hr]],-1,0)- TblProd[[#This Row],[Expenses Mana]]</f>
        <v>0</v>
      </c>
      <c r="L71" s="94">
        <f ca="1">OFFSET(TblProd[[#This Row],[Ore]],-1,0)+OFFSET(TblProd[[#This Row],[Ore/hr]],-1,0) -TblProd[[#This Row],[Expenses Ore]]</f>
        <v>0</v>
      </c>
      <c r="M71" s="94">
        <f ca="1">OFFSET(TblProd[[#This Row],[Gems]],-1,0)+OFFSET(TblProd[[#This Row],[Gems/hr]],-1,0) - TblProd[[#This Row],[Expenses Gems]]</f>
        <v>0</v>
      </c>
      <c r="N71" s="94">
        <f ca="1">OFFSET(TblProd[[#This Row],[Boats]],-1,0)+OFFSET(TblProd[[#This Row],[Boats/hr]],-1,0)</f>
        <v>0</v>
      </c>
      <c r="O71" s="94">
        <f ca="1">OFFSET(TblProd[[#This Row],[Prestige]],-1,0)</f>
        <v>250</v>
      </c>
      <c r="P7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1" s="94">
        <f ca="1">MAX(_xlfn.CEILING.MATH(TblProd[[#This Row],[Land]]*2.5+IFERROR(OFFSET(TblTech[[#This Row],[Sum of tech]],-1,0)*50,0)),3750)</f>
        <v>3750</v>
      </c>
      <c r="R71" s="142"/>
      <c r="S71" s="94">
        <f ca="1">ROUNDDOWN(TblProd[[#This Row],[Raw Plat/hr]]*(1+TblProd[[#This Row],[Bonus Plat/hr]]),0)</f>
        <v>645</v>
      </c>
      <c r="T71" s="94">
        <f ca="1">ROUND(TblProd[[#This Row],[Raw Food/hr]]*(1+TblProd[[#This Row],[Bonus Food/hr]])-TblProd[[#This Row],[Food decay]]-TblProd[[#This Row],[Food eaten]],0)</f>
        <v>1141</v>
      </c>
      <c r="U71" s="94">
        <f ca="1">ROUND(TblProd[[#This Row],[Raw Lumber/hr]]*(1+TblProd[[#This Row],[Bonus Lumber/hr]])-TblProd[[#This Row],[Lumber rot]],0)</f>
        <v>434</v>
      </c>
      <c r="V71" s="94">
        <f ca="1">ROUND(TblProd[[#This Row],[Raw Mana/hr]]*(1+TblProd[[#This Row],[Bonus Mana/hr]])-TblProd[[#This Row],[Mana drain]],0)</f>
        <v>0</v>
      </c>
      <c r="W71" s="94">
        <f ca="1">ROUNDDOWN(TblProd[[#This Row],[Raw Ore/hr]]*(1+TblProd[[#This Row],[Bonux Ore/hr]]),0)</f>
        <v>0</v>
      </c>
      <c r="X71" s="94">
        <f ca="1">ROUNDDOWN(TblProd[[#This Row],[Raw Gems/hr]]*(1+TblProd[[#This Row],[Bonus Gems/hr]]),0)</f>
        <v>0</v>
      </c>
      <c r="Y71" s="155">
        <f ca="1">OFFSET(TblConstr[[#This Row],[Tot Doc]],1,0)*dock_boats_hr * (1 + tech_4_1*TblTech[[#This Row],[4-1]])</f>
        <v>0</v>
      </c>
      <c r="Z71" s="154"/>
      <c r="AA71" s="94">
        <f ca="1">TblPop[[#This Row],[Peasants]]*tax*TblPop[[#This Row],[Employment]] + (Construction!AZ72+Construction!BX72)*(alch_plat+(Magic!AN71&gt;0)*alchemist_flame_bonus)</f>
        <v>645.30000000000007</v>
      </c>
      <c r="AB71" s="94">
        <f ca="1">TblConstr[[#This Row],[Tot Farm]]*farm_food + TblConstr[[#This Row],[Tot Doc]]*dock_food</f>
        <v>2400</v>
      </c>
      <c r="AC71" s="94">
        <f ca="1">TblConstr[[#This Row],[Tot Ly]]*ly_lumber + TblConstr[[#This Row],[Tot Hav]]*fh_lumber + IF(race="Wood Elf",TblMili[[#This Row],[Unit 2]]*MIN(TblMili[[#This Row],[Homeland%]]/wisp_bonus,wisp_cap),0)</f>
        <v>1000</v>
      </c>
      <c r="AD71" s="94">
        <f ca="1">OFFSET(TblConstr[[#This Row],[Tot Tow]],1,0)*(tower_mana + tech_4_5*TblTech[[#This Row],[4-5]]) + OFFSET(TblConstr[[#This Row],[Tot WG]],1,0)*wg_mana_prod</f>
        <v>0</v>
      </c>
      <c r="AE71" s="94">
        <f ca="1">OFFSET(TblConstr[[#This Row],[Tot OM]],1,0)*om_ore+IF(race="Dwarf",TblMili[[#This Row],[Unit 2]]*0.5,0)</f>
        <v>0</v>
      </c>
      <c r="AF71" s="94">
        <f ca="1">OFFSET(TblConstr[[#This Row],[Tot DM]],1,0)*dm_gems</f>
        <v>0</v>
      </c>
      <c r="AG71" s="142"/>
      <c r="AH71" s="156">
        <f ca="1">MIN(race_platinum_bonus + IF(TblMagic[[#This Row],[Active Arc Infusion]]&gt;0,alch_frost_bonus,IF(Magic!AE71&gt;0,midas_bonus)) + TblImps[[#This Row],[Science]] - TblProd[[#This Row],[Guard]]*(0.02 + tech_5_7*TblTech[[#This Row],[5-7]]) + tech_1_5*TblTech[[#This Row],[1-5]] + tech_4_4*TblTech[[#This Row],[4-4]] + IF(TblMagic[[#This Row],[Active Infernal Command]]&gt;0,demonic_pact_plat,0), 0.5)</f>
        <v>0</v>
      </c>
      <c r="AI7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1" s="156">
        <f ca="1">race_lumber_bonus+ IF(TblMagic[[#This Row],[Active Gaia''s Blessing]]&gt;0,gaias_blessing_lumber)+ tech_1_3*TblTech[[#This Row],[1-3]] + tech_1_6*TblTech[[#This Row],[1-6]] + tech_3_3*TblTech[[#This Row],[3-3]]</f>
        <v>0</v>
      </c>
      <c r="AK71" s="156">
        <f ca="1">race_mana_bonus+ 0 + TblImps[[#This Row],[Spires]] + tech_1_2*TblTech[[#This Row],[1-2]] + tech_3_4*TblTech[[#This Row],[3-4]]</f>
        <v>0</v>
      </c>
      <c r="AL71" s="156">
        <f ca="1">race_ore_bonus + IF(TblMagic[[#This Row],[Active Miner''s Sight]]&gt;0,miners_sight_bonus,IF(TblMagic[[#This Row],[Active Mining Strength]]&gt;0,mining_strength_bonus)) +  tech_1_6*TblTech[[#This Row],[1-6]]</f>
        <v>0</v>
      </c>
      <c r="AM71" s="156">
        <f>race_gem_bonus+ tech_3_2*TblTech[[#This Row],[3-2]] + tech_4_3*TblTech[[#This Row],[4-3]] + tech_6_2*TblTech[[#This Row],[6-2]]</f>
        <v>0</v>
      </c>
      <c r="AN71" s="142"/>
      <c r="AO71" s="94">
        <f ca="1">TblProd[[#This Row],[Food]]*food_decay * (1 + tech_2_1*TblTech[[#This Row],[2-1]] + tech_2_8*TblTech[[#This Row],[2-8]] + IF(AND(TblMagic[[#This Row],[Active DnD]]&lt;12,TblMagic[[#This Row],[Active DnD]]&gt;5),1,0))</f>
        <v>1246.53</v>
      </c>
      <c r="AP71" s="94">
        <f ca="1">(1+race_food_consumption)*TblPop[[#This Row],[Total]]*food_per_person*(1+tech_1_10*TblTech[[#This Row],[1-10]]+tech_7_5*TblTech[[#This Row],[7-5]] + IF(TblMagic[[#This Row],[Active Infernal Command]]&gt;0,demonic_pact_food_cons,0))</f>
        <v>192.25</v>
      </c>
      <c r="AQ71" s="94">
        <f ca="1">TblProd[[#This Row],[Lumber]]*lumber_rot * (1 + tech_2_1*TblTech[[#This Row],[2-1]] + tech_2_8*TblTech[[#This Row],[2-8]] + tech_5_2*TblTech[[#This Row],[5-2]] + IF(AND(TblMagic[[#This Row],[Active DnD]]&lt;12,TblMagic[[#This Row],[Active DnD]]&gt;5),1,0))</f>
        <v>566.49</v>
      </c>
      <c r="AR71" s="94">
        <f ca="1">TblProd[[#This Row],[Mana]]*mana_drain * (1 + tech_2_1*TblTech[[#This Row],[2-1]] + tech_2_8*TblTech[[#This Row],[2-8]])</f>
        <v>0</v>
      </c>
      <c r="AS71" s="154"/>
      <c r="AT71" s="94">
        <f ca="1">TblExplore[[#This Row],[Platinum (2)]]+TblConstr[[#This Row],[Total Plat Cost]]+TblMili[[#This Row],[Plat Cost]]+TblRezone[[#This Row],[Platinum cost]]+TblImps[[#This Row],[P1]]-TblProd[[#This Row],[Bank Plat]]</f>
        <v>0</v>
      </c>
      <c r="AU71" s="94">
        <f ca="1">TblConstr[[#This Row],[Total Lum Cost]]+TblImps[[#This Row],[L1]]-TblProd[[#This Row],[Bank Lumber]] + Military!$CO$25*TblMili[[#This Row],[Sec. rec. Cost]]</f>
        <v>0</v>
      </c>
      <c r="AV71" s="94">
        <f ca="1">TblMagic[[#This Row],[Mana cost]] + Military!$CO$26*TblMili[[#This Row],[Sec. rec. Cost]]</f>
        <v>0</v>
      </c>
      <c r="AW71" s="94">
        <f ca="1">Military!$CO$24*TblMili[[#This Row],[Sec. rec. Cost]]+TblImps[[#This Row],[O1]]-TblProd[[#This Row],[Bank Ore]]</f>
        <v>0</v>
      </c>
      <c r="AX71" s="94">
        <f>TblImps[[#This Row],[G1]]-TblProd[[#This Row],[Bank Gems]]</f>
        <v>0</v>
      </c>
      <c r="AY71" s="142"/>
      <c r="AZ71" s="61" t="b">
        <f ca="1">IF(TblProd[[#This Row],[Set Guard]]&lt;&gt;"",TblProd[[#This Row],[Set Guard]],OFFSET(TblProd[[#This Row],[Guard]],-1,0))</f>
        <v>0</v>
      </c>
      <c r="BA71" s="153"/>
      <c r="BB71" s="45">
        <f>TblProd[[#This Row],[Hour]]</f>
        <v>20</v>
      </c>
      <c r="BC71" s="158">
        <f>-TblProd[[#This Row],[Bank Lumber]] / 2 + -TblProd[[#This Row],[Bank Gems]] * 2 + -TblProd[[#This Row],[Bank Ore]] / 2</f>
        <v>0</v>
      </c>
      <c r="BD71" s="158"/>
      <c r="BE71" s="158"/>
      <c r="BF71" s="158"/>
      <c r="BG71" s="159">
        <f ca="1">TblProd[[#This Row],[Time]]</f>
        <v>46322.791666666504</v>
      </c>
      <c r="BH71" s="45"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94">
        <f ca="1">TblProd[[#This Row],[Platinum]]</f>
        <v>182150</v>
      </c>
      <c r="BJ71" s="94">
        <f ca="1">TblProd[[#This Row],[Food]]</f>
        <v>124653</v>
      </c>
      <c r="BK71" s="94">
        <f ca="1">TblProd[[#This Row],[Lumber]]</f>
        <v>56649</v>
      </c>
      <c r="BL71" s="94">
        <f ca="1">TblProd[[#This Row],[Mana]]</f>
        <v>0</v>
      </c>
      <c r="BM71" s="94">
        <f ca="1">TblProd[[#This Row],[Ore]]</f>
        <v>0</v>
      </c>
    </row>
    <row r="72" spans="1:65" x14ac:dyDescent="0.2">
      <c r="A72" s="137">
        <f t="shared" si="0"/>
        <v>21</v>
      </c>
      <c r="B72" s="152">
        <f ca="1">TblImps[[#This Row],[Time]]</f>
        <v>46322.833333333168</v>
      </c>
      <c r="C72" s="153"/>
      <c r="D72" s="154"/>
      <c r="E72" s="94">
        <f ca="1">TblConstr[[#This Row],[Land]]</f>
        <v>50</v>
      </c>
      <c r="F72" s="94">
        <f ca="1">TblPop[[#This Row],[Peasants]]</f>
        <v>237</v>
      </c>
      <c r="G72" s="94">
        <f ca="1">TblMili[[#This Row],[Networth (2)]]</f>
        <v>1250</v>
      </c>
      <c r="H72" s="94">
        <f ca="1">OFFSET(TblProd[[#This Row],[Platinum]],-1,0)+OFFSET(TblProd[[#This Row],[Plat/hr]],-1,0) - TblProd[[#This Row],[Expenses Platinum]] + IF(TblProd[[#This Row],[Plat Bonus]],TblPop[[#This Row],[Peasants]]*4) + SUM(TblConstr[[#This Row],[Dest Hom]:[Dest Doc]])*TblConstr[[#This Row],[CPA Platinum -DB]]*tech_3_3_2*TblTech[[#This Row],[3-3]]</f>
        <v>182795</v>
      </c>
      <c r="I72" s="94">
        <f ca="1">OFFSET(TblProd[[#This Row],[Food]],-1,0)+OFFSET(TblProd[[#This Row],[Food/hr]],-1,0)+ROUNDUP((TblConstr[[#This Row],[Farms]]*80+TblConstr[[#This Row],[Docks]]*35)*(1+OFFSET(TblProd[[#This Row],[Bonus Food/hr]],-1,0)),0)</f>
        <v>125794</v>
      </c>
      <c r="J72" s="94">
        <f ca="1">OFFSET(TblProd[[#This Row],[Lumber]],-1,0)+OFFSET(TblProd[[#This Row],[Lumber/hr]],-1,0) - TblProd[[#This Row],[Expenses Lumber]] + SUM(TblConstr[[#This Row],[Dest Hom]:[Dest Doc]])*TblConstr[[#This Row],[CPA Lumber -DB]]*tech_3_3_2*TblTech[[#This Row],[3-3]]</f>
        <v>57083</v>
      </c>
      <c r="K72" s="94">
        <f ca="1">OFFSET(TblProd[[#This Row],[Mana]],-1,0)+OFFSET(TblProd[[#This Row],[Mana/hr]],-1,0)- TblProd[[#This Row],[Expenses Mana]]</f>
        <v>0</v>
      </c>
      <c r="L72" s="94">
        <f ca="1">OFFSET(TblProd[[#This Row],[Ore]],-1,0)+OFFSET(TblProd[[#This Row],[Ore/hr]],-1,0) -TblProd[[#This Row],[Expenses Ore]]</f>
        <v>0</v>
      </c>
      <c r="M72" s="94">
        <f ca="1">OFFSET(TblProd[[#This Row],[Gems]],-1,0)+OFFSET(TblProd[[#This Row],[Gems/hr]],-1,0) - TblProd[[#This Row],[Expenses Gems]]</f>
        <v>0</v>
      </c>
      <c r="N72" s="94">
        <f ca="1">OFFSET(TblProd[[#This Row],[Boats]],-1,0)+OFFSET(TblProd[[#This Row],[Boats/hr]],-1,0)</f>
        <v>0</v>
      </c>
      <c r="O72" s="94">
        <f ca="1">OFFSET(TblProd[[#This Row],[Prestige]],-1,0)</f>
        <v>250</v>
      </c>
      <c r="P7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2" s="94">
        <f ca="1">MAX(_xlfn.CEILING.MATH(TblProd[[#This Row],[Land]]*2.5+IFERROR(OFFSET(TblTech[[#This Row],[Sum of tech]],-1,0)*50,0)),3750)</f>
        <v>3750</v>
      </c>
      <c r="R72" s="142"/>
      <c r="S72" s="94">
        <f ca="1">ROUNDDOWN(TblProd[[#This Row],[Raw Plat/hr]]*(1+TblProd[[#This Row],[Bonus Plat/hr]]),0)</f>
        <v>639</v>
      </c>
      <c r="T72" s="94">
        <f ca="1">ROUND(TblProd[[#This Row],[Raw Food/hr]]*(1+TblProd[[#This Row],[Bonus Food/hr]])-TblProd[[#This Row],[Food decay]]-TblProd[[#This Row],[Food eaten]],0)</f>
        <v>1130</v>
      </c>
      <c r="U72" s="94">
        <f ca="1">ROUND(TblProd[[#This Row],[Raw Lumber/hr]]*(1+TblProd[[#This Row],[Bonus Lumber/hr]])-TblProd[[#This Row],[Lumber rot]],0)</f>
        <v>429</v>
      </c>
      <c r="V72" s="94">
        <f ca="1">ROUND(TblProd[[#This Row],[Raw Mana/hr]]*(1+TblProd[[#This Row],[Bonus Mana/hr]])-TblProd[[#This Row],[Mana drain]],0)</f>
        <v>0</v>
      </c>
      <c r="W72" s="94">
        <f ca="1">ROUNDDOWN(TblProd[[#This Row],[Raw Ore/hr]]*(1+TblProd[[#This Row],[Bonux Ore/hr]]),0)</f>
        <v>0</v>
      </c>
      <c r="X72" s="94">
        <f ca="1">ROUNDDOWN(TblProd[[#This Row],[Raw Gems/hr]]*(1+TblProd[[#This Row],[Bonus Gems/hr]]),0)</f>
        <v>0</v>
      </c>
      <c r="Y72" s="155">
        <f ca="1">OFFSET(TblConstr[[#This Row],[Tot Doc]],1,0)*dock_boats_hr * (1 + tech_4_1*TblTech[[#This Row],[4-1]])</f>
        <v>0</v>
      </c>
      <c r="Z72" s="154"/>
      <c r="AA72" s="94">
        <f ca="1">TblPop[[#This Row],[Peasants]]*tax*TblPop[[#This Row],[Employment]] + (Construction!AZ73+Construction!BX73)*(alch_plat+(Magic!AN72&gt;0)*alchemist_flame_bonus)</f>
        <v>639.90000000000009</v>
      </c>
      <c r="AB72" s="94">
        <f ca="1">TblConstr[[#This Row],[Tot Farm]]*farm_food + TblConstr[[#This Row],[Tot Doc]]*dock_food</f>
        <v>2400</v>
      </c>
      <c r="AC72" s="94">
        <f ca="1">TblConstr[[#This Row],[Tot Ly]]*ly_lumber + TblConstr[[#This Row],[Tot Hav]]*fh_lumber + IF(race="Wood Elf",TblMili[[#This Row],[Unit 2]]*MIN(TblMili[[#This Row],[Homeland%]]/wisp_bonus,wisp_cap),0)</f>
        <v>1000</v>
      </c>
      <c r="AD72" s="94">
        <f ca="1">OFFSET(TblConstr[[#This Row],[Tot Tow]],1,0)*(tower_mana + tech_4_5*TblTech[[#This Row],[4-5]]) + OFFSET(TblConstr[[#This Row],[Tot WG]],1,0)*wg_mana_prod</f>
        <v>0</v>
      </c>
      <c r="AE72" s="94">
        <f ca="1">OFFSET(TblConstr[[#This Row],[Tot OM]],1,0)*om_ore+IF(race="Dwarf",TblMili[[#This Row],[Unit 2]]*0.5,0)</f>
        <v>0</v>
      </c>
      <c r="AF72" s="94">
        <f ca="1">OFFSET(TblConstr[[#This Row],[Tot DM]],1,0)*dm_gems</f>
        <v>0</v>
      </c>
      <c r="AG72" s="142"/>
      <c r="AH72" s="156">
        <f ca="1">MIN(race_platinum_bonus + IF(TblMagic[[#This Row],[Active Arc Infusion]]&gt;0,alch_frost_bonus,IF(Magic!AE72&gt;0,midas_bonus)) + TblImps[[#This Row],[Science]] - TblProd[[#This Row],[Guard]]*(0.02 + tech_5_7*TblTech[[#This Row],[5-7]]) + tech_1_5*TblTech[[#This Row],[1-5]] + tech_4_4*TblTech[[#This Row],[4-4]] + IF(TblMagic[[#This Row],[Active Infernal Command]]&gt;0,demonic_pact_plat,0), 0.5)</f>
        <v>0</v>
      </c>
      <c r="AI7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2" s="156">
        <f ca="1">race_lumber_bonus+ IF(TblMagic[[#This Row],[Active Gaia''s Blessing]]&gt;0,gaias_blessing_lumber)+ tech_1_3*TblTech[[#This Row],[1-3]] + tech_1_6*TblTech[[#This Row],[1-6]] + tech_3_3*TblTech[[#This Row],[3-3]]</f>
        <v>0</v>
      </c>
      <c r="AK72" s="156">
        <f ca="1">race_mana_bonus+ 0 + TblImps[[#This Row],[Spires]] + tech_1_2*TblTech[[#This Row],[1-2]] + tech_3_4*TblTech[[#This Row],[3-4]]</f>
        <v>0</v>
      </c>
      <c r="AL72" s="156">
        <f ca="1">race_ore_bonus + IF(TblMagic[[#This Row],[Active Miner''s Sight]]&gt;0,miners_sight_bonus,IF(TblMagic[[#This Row],[Active Mining Strength]]&gt;0,mining_strength_bonus)) +  tech_1_6*TblTech[[#This Row],[1-6]]</f>
        <v>0</v>
      </c>
      <c r="AM72" s="156">
        <f>race_gem_bonus+ tech_3_2*TblTech[[#This Row],[3-2]] + tech_4_3*TblTech[[#This Row],[4-3]] + tech_6_2*TblTech[[#This Row],[6-2]]</f>
        <v>0</v>
      </c>
      <c r="AN72" s="142"/>
      <c r="AO72" s="94">
        <f ca="1">TblProd[[#This Row],[Food]]*food_decay * (1 + tech_2_1*TblTech[[#This Row],[2-1]] + tech_2_8*TblTech[[#This Row],[2-8]] + IF(AND(TblMagic[[#This Row],[Active DnD]]&lt;12,TblMagic[[#This Row],[Active DnD]]&gt;5),1,0))</f>
        <v>1257.94</v>
      </c>
      <c r="AP72" s="94">
        <f ca="1">(1+race_food_consumption)*TblPop[[#This Row],[Total]]*food_per_person*(1+tech_1_10*TblTech[[#This Row],[1-10]]+tech_7_5*TblTech[[#This Row],[7-5]] + IF(TblMagic[[#This Row],[Active Infernal Command]]&gt;0,demonic_pact_food_cons,0))</f>
        <v>192.25</v>
      </c>
      <c r="AQ72" s="94">
        <f ca="1">TblProd[[#This Row],[Lumber]]*lumber_rot * (1 + tech_2_1*TblTech[[#This Row],[2-1]] + tech_2_8*TblTech[[#This Row],[2-8]] + tech_5_2*TblTech[[#This Row],[5-2]] + IF(AND(TblMagic[[#This Row],[Active DnD]]&lt;12,TblMagic[[#This Row],[Active DnD]]&gt;5),1,0))</f>
        <v>570.83000000000004</v>
      </c>
      <c r="AR72" s="94">
        <f ca="1">TblProd[[#This Row],[Mana]]*mana_drain * (1 + tech_2_1*TblTech[[#This Row],[2-1]] + tech_2_8*TblTech[[#This Row],[2-8]])</f>
        <v>0</v>
      </c>
      <c r="AS72" s="154"/>
      <c r="AT72" s="94">
        <f ca="1">TblExplore[[#This Row],[Platinum (2)]]+TblConstr[[#This Row],[Total Plat Cost]]+TblMili[[#This Row],[Plat Cost]]+TblRezone[[#This Row],[Platinum cost]]+TblImps[[#This Row],[P1]]-TblProd[[#This Row],[Bank Plat]]</f>
        <v>0</v>
      </c>
      <c r="AU72" s="94">
        <f ca="1">TblConstr[[#This Row],[Total Lum Cost]]+TblImps[[#This Row],[L1]]-TblProd[[#This Row],[Bank Lumber]] + Military!$CO$25*TblMili[[#This Row],[Sec. rec. Cost]]</f>
        <v>0</v>
      </c>
      <c r="AV72" s="94">
        <f ca="1">TblMagic[[#This Row],[Mana cost]] + Military!$CO$26*TblMili[[#This Row],[Sec. rec. Cost]]</f>
        <v>0</v>
      </c>
      <c r="AW72" s="94">
        <f ca="1">Military!$CO$24*TblMili[[#This Row],[Sec. rec. Cost]]+TblImps[[#This Row],[O1]]-TblProd[[#This Row],[Bank Ore]]</f>
        <v>0</v>
      </c>
      <c r="AX72" s="94">
        <f>TblImps[[#This Row],[G1]]-TblProd[[#This Row],[Bank Gems]]</f>
        <v>0</v>
      </c>
      <c r="AY72" s="142"/>
      <c r="AZ72" s="61" t="b">
        <f ca="1">IF(TblProd[[#This Row],[Set Guard]]&lt;&gt;"",TblProd[[#This Row],[Set Guard]],OFFSET(TblProd[[#This Row],[Guard]],-1,0))</f>
        <v>0</v>
      </c>
      <c r="BA72" s="153"/>
      <c r="BB72" s="45">
        <f>TblProd[[#This Row],[Hour]]</f>
        <v>21</v>
      </c>
      <c r="BC72" s="158">
        <f>-TblProd[[#This Row],[Bank Lumber]] / 2 + -TblProd[[#This Row],[Bank Gems]] * 2 + -TblProd[[#This Row],[Bank Ore]] / 2</f>
        <v>0</v>
      </c>
      <c r="BD72" s="158"/>
      <c r="BE72" s="158"/>
      <c r="BF72" s="158"/>
      <c r="BG72" s="159">
        <f ca="1">TblProd[[#This Row],[Time]]</f>
        <v>46322.833333333168</v>
      </c>
      <c r="BH72" s="45"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94">
        <f ca="1">TblProd[[#This Row],[Platinum]]</f>
        <v>182795</v>
      </c>
      <c r="BJ72" s="94">
        <f ca="1">TblProd[[#This Row],[Food]]</f>
        <v>125794</v>
      </c>
      <c r="BK72" s="94">
        <f ca="1">TblProd[[#This Row],[Lumber]]</f>
        <v>57083</v>
      </c>
      <c r="BL72" s="94">
        <f ca="1">TblProd[[#This Row],[Mana]]</f>
        <v>0</v>
      </c>
      <c r="BM72" s="94">
        <f ca="1">TblProd[[#This Row],[Ore]]</f>
        <v>0</v>
      </c>
    </row>
    <row r="73" spans="1:65" x14ac:dyDescent="0.2">
      <c r="A73" s="137">
        <f t="shared" si="0"/>
        <v>22</v>
      </c>
      <c r="B73" s="152">
        <f ca="1">TblImps[[#This Row],[Time]]</f>
        <v>46322.874999999833</v>
      </c>
      <c r="C73" s="153"/>
      <c r="D73" s="154"/>
      <c r="E73" s="94">
        <f ca="1">TblConstr[[#This Row],[Land]]</f>
        <v>50</v>
      </c>
      <c r="F73" s="94">
        <f ca="1">TblPop[[#This Row],[Peasants]]</f>
        <v>235</v>
      </c>
      <c r="G73" s="94">
        <f ca="1">TblMili[[#This Row],[Networth (2)]]</f>
        <v>1250</v>
      </c>
      <c r="H73" s="94">
        <f ca="1">OFFSET(TblProd[[#This Row],[Platinum]],-1,0)+OFFSET(TblProd[[#This Row],[Plat/hr]],-1,0) - TblProd[[#This Row],[Expenses Platinum]] + IF(TblProd[[#This Row],[Plat Bonus]],TblPop[[#This Row],[Peasants]]*4) + SUM(TblConstr[[#This Row],[Dest Hom]:[Dest Doc]])*TblConstr[[#This Row],[CPA Platinum -DB]]*tech_3_3_2*TblTech[[#This Row],[3-3]]</f>
        <v>183434</v>
      </c>
      <c r="I73" s="94">
        <f ca="1">OFFSET(TblProd[[#This Row],[Food]],-1,0)+OFFSET(TblProd[[#This Row],[Food/hr]],-1,0)+ROUNDUP((TblConstr[[#This Row],[Farms]]*80+TblConstr[[#This Row],[Docks]]*35)*(1+OFFSET(TblProd[[#This Row],[Bonus Food/hr]],-1,0)),0)</f>
        <v>126924</v>
      </c>
      <c r="J73" s="94">
        <f ca="1">OFFSET(TblProd[[#This Row],[Lumber]],-1,0)+OFFSET(TblProd[[#This Row],[Lumber/hr]],-1,0) - TblProd[[#This Row],[Expenses Lumber]] + SUM(TblConstr[[#This Row],[Dest Hom]:[Dest Doc]])*TblConstr[[#This Row],[CPA Lumber -DB]]*tech_3_3_2*TblTech[[#This Row],[3-3]]</f>
        <v>57512</v>
      </c>
      <c r="K73" s="94">
        <f ca="1">OFFSET(TblProd[[#This Row],[Mana]],-1,0)+OFFSET(TblProd[[#This Row],[Mana/hr]],-1,0)- TblProd[[#This Row],[Expenses Mana]]</f>
        <v>0</v>
      </c>
      <c r="L73" s="94">
        <f ca="1">OFFSET(TblProd[[#This Row],[Ore]],-1,0)+OFFSET(TblProd[[#This Row],[Ore/hr]],-1,0) -TblProd[[#This Row],[Expenses Ore]]</f>
        <v>0</v>
      </c>
      <c r="M73" s="94">
        <f ca="1">OFFSET(TblProd[[#This Row],[Gems]],-1,0)+OFFSET(TblProd[[#This Row],[Gems/hr]],-1,0) - TblProd[[#This Row],[Expenses Gems]]</f>
        <v>0</v>
      </c>
      <c r="N73" s="94">
        <f ca="1">OFFSET(TblProd[[#This Row],[Boats]],-1,0)+OFFSET(TblProd[[#This Row],[Boats/hr]],-1,0)</f>
        <v>0</v>
      </c>
      <c r="O73" s="94">
        <f ca="1">OFFSET(TblProd[[#This Row],[Prestige]],-1,0)</f>
        <v>250</v>
      </c>
      <c r="P7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3" s="94">
        <f ca="1">MAX(_xlfn.CEILING.MATH(TblProd[[#This Row],[Land]]*2.5+IFERROR(OFFSET(TblTech[[#This Row],[Sum of tech]],-1,0)*50,0)),3750)</f>
        <v>3750</v>
      </c>
      <c r="R73" s="142"/>
      <c r="S73" s="94">
        <f ca="1">ROUNDDOWN(TblProd[[#This Row],[Raw Plat/hr]]*(1+TblProd[[#This Row],[Bonus Plat/hr]]),0)</f>
        <v>634</v>
      </c>
      <c r="T73" s="94">
        <f ca="1">ROUND(TblProd[[#This Row],[Raw Food/hr]]*(1+TblProd[[#This Row],[Bonus Food/hr]])-TblProd[[#This Row],[Food decay]]-TblProd[[#This Row],[Food eaten]],0)</f>
        <v>1119</v>
      </c>
      <c r="U73" s="94">
        <f ca="1">ROUND(TblProd[[#This Row],[Raw Lumber/hr]]*(1+TblProd[[#This Row],[Bonus Lumber/hr]])-TblProd[[#This Row],[Lumber rot]],0)</f>
        <v>425</v>
      </c>
      <c r="V73" s="94">
        <f ca="1">ROUND(TblProd[[#This Row],[Raw Mana/hr]]*(1+TblProd[[#This Row],[Bonus Mana/hr]])-TblProd[[#This Row],[Mana drain]],0)</f>
        <v>0</v>
      </c>
      <c r="W73" s="94">
        <f ca="1">ROUNDDOWN(TblProd[[#This Row],[Raw Ore/hr]]*(1+TblProd[[#This Row],[Bonux Ore/hr]]),0)</f>
        <v>0</v>
      </c>
      <c r="X73" s="94">
        <f ca="1">ROUNDDOWN(TblProd[[#This Row],[Raw Gems/hr]]*(1+TblProd[[#This Row],[Bonus Gems/hr]]),0)</f>
        <v>0</v>
      </c>
      <c r="Y73" s="155">
        <f ca="1">OFFSET(TblConstr[[#This Row],[Tot Doc]],1,0)*dock_boats_hr * (1 + tech_4_1*TblTech[[#This Row],[4-1]])</f>
        <v>0</v>
      </c>
      <c r="Z73" s="154"/>
      <c r="AA73" s="94">
        <f ca="1">TblPop[[#This Row],[Peasants]]*tax*TblPop[[#This Row],[Employment]] + (Construction!AZ74+Construction!BX74)*(alch_plat+(Magic!AN73&gt;0)*alchemist_flame_bonus)</f>
        <v>634.5</v>
      </c>
      <c r="AB73" s="94">
        <f ca="1">TblConstr[[#This Row],[Tot Farm]]*farm_food + TblConstr[[#This Row],[Tot Doc]]*dock_food</f>
        <v>2400</v>
      </c>
      <c r="AC73" s="94">
        <f ca="1">TblConstr[[#This Row],[Tot Ly]]*ly_lumber + TblConstr[[#This Row],[Tot Hav]]*fh_lumber + IF(race="Wood Elf",TblMili[[#This Row],[Unit 2]]*MIN(TblMili[[#This Row],[Homeland%]]/wisp_bonus,wisp_cap),0)</f>
        <v>1000</v>
      </c>
      <c r="AD73" s="94">
        <f ca="1">OFFSET(TblConstr[[#This Row],[Tot Tow]],1,0)*(tower_mana + tech_4_5*TblTech[[#This Row],[4-5]]) + OFFSET(TblConstr[[#This Row],[Tot WG]],1,0)*wg_mana_prod</f>
        <v>0</v>
      </c>
      <c r="AE73" s="94">
        <f ca="1">OFFSET(TblConstr[[#This Row],[Tot OM]],1,0)*om_ore+IF(race="Dwarf",TblMili[[#This Row],[Unit 2]]*0.5,0)</f>
        <v>0</v>
      </c>
      <c r="AF73" s="94">
        <f ca="1">OFFSET(TblConstr[[#This Row],[Tot DM]],1,0)*dm_gems</f>
        <v>0</v>
      </c>
      <c r="AG73" s="142"/>
      <c r="AH73" s="156">
        <f ca="1">MIN(race_platinum_bonus + IF(TblMagic[[#This Row],[Active Arc Infusion]]&gt;0,alch_frost_bonus,IF(Magic!AE73&gt;0,midas_bonus)) + TblImps[[#This Row],[Science]] - TblProd[[#This Row],[Guard]]*(0.02 + tech_5_7*TblTech[[#This Row],[5-7]]) + tech_1_5*TblTech[[#This Row],[1-5]] + tech_4_4*TblTech[[#This Row],[4-4]] + IF(TblMagic[[#This Row],[Active Infernal Command]]&gt;0,demonic_pact_plat,0), 0.5)</f>
        <v>0</v>
      </c>
      <c r="AI7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3" s="156">
        <f ca="1">race_lumber_bonus+ IF(TblMagic[[#This Row],[Active Gaia''s Blessing]]&gt;0,gaias_blessing_lumber)+ tech_1_3*TblTech[[#This Row],[1-3]] + tech_1_6*TblTech[[#This Row],[1-6]] + tech_3_3*TblTech[[#This Row],[3-3]]</f>
        <v>0</v>
      </c>
      <c r="AK73" s="156">
        <f ca="1">race_mana_bonus+ 0 + TblImps[[#This Row],[Spires]] + tech_1_2*TblTech[[#This Row],[1-2]] + tech_3_4*TblTech[[#This Row],[3-4]]</f>
        <v>0</v>
      </c>
      <c r="AL73" s="156">
        <f ca="1">race_ore_bonus + IF(TblMagic[[#This Row],[Active Miner''s Sight]]&gt;0,miners_sight_bonus,IF(TblMagic[[#This Row],[Active Mining Strength]]&gt;0,mining_strength_bonus)) +  tech_1_6*TblTech[[#This Row],[1-6]]</f>
        <v>0</v>
      </c>
      <c r="AM73" s="156">
        <f>race_gem_bonus+ tech_3_2*TblTech[[#This Row],[3-2]] + tech_4_3*TblTech[[#This Row],[4-3]] + tech_6_2*TblTech[[#This Row],[6-2]]</f>
        <v>0</v>
      </c>
      <c r="AN73" s="142"/>
      <c r="AO73" s="94">
        <f ca="1">TblProd[[#This Row],[Food]]*food_decay * (1 + tech_2_1*TblTech[[#This Row],[2-1]] + tech_2_8*TblTech[[#This Row],[2-8]] + IF(AND(TblMagic[[#This Row],[Active DnD]]&lt;12,TblMagic[[#This Row],[Active DnD]]&gt;5),1,0))</f>
        <v>1269.24</v>
      </c>
      <c r="AP73" s="94">
        <f ca="1">(1+race_food_consumption)*TblPop[[#This Row],[Total]]*food_per_person*(1+tech_1_10*TblTech[[#This Row],[1-10]]+tech_7_5*TblTech[[#This Row],[7-5]] + IF(TblMagic[[#This Row],[Active Infernal Command]]&gt;0,demonic_pact_food_cons,0))</f>
        <v>192.25</v>
      </c>
      <c r="AQ73" s="94">
        <f ca="1">TblProd[[#This Row],[Lumber]]*lumber_rot * (1 + tech_2_1*TblTech[[#This Row],[2-1]] + tech_2_8*TblTech[[#This Row],[2-8]] + tech_5_2*TblTech[[#This Row],[5-2]] + IF(AND(TblMagic[[#This Row],[Active DnD]]&lt;12,TblMagic[[#This Row],[Active DnD]]&gt;5),1,0))</f>
        <v>575.12</v>
      </c>
      <c r="AR73" s="94">
        <f ca="1">TblProd[[#This Row],[Mana]]*mana_drain * (1 + tech_2_1*TblTech[[#This Row],[2-1]] + tech_2_8*TblTech[[#This Row],[2-8]])</f>
        <v>0</v>
      </c>
      <c r="AS73" s="154"/>
      <c r="AT73" s="94">
        <f ca="1">TblExplore[[#This Row],[Platinum (2)]]+TblConstr[[#This Row],[Total Plat Cost]]+TblMili[[#This Row],[Plat Cost]]+TblRezone[[#This Row],[Platinum cost]]+TblImps[[#This Row],[P1]]-TblProd[[#This Row],[Bank Plat]]</f>
        <v>0</v>
      </c>
      <c r="AU73" s="94">
        <f ca="1">TblConstr[[#This Row],[Total Lum Cost]]+TblImps[[#This Row],[L1]]-TblProd[[#This Row],[Bank Lumber]] + Military!$CO$25*TblMili[[#This Row],[Sec. rec. Cost]]</f>
        <v>0</v>
      </c>
      <c r="AV73" s="94">
        <f ca="1">TblMagic[[#This Row],[Mana cost]] + Military!$CO$26*TblMili[[#This Row],[Sec. rec. Cost]]</f>
        <v>0</v>
      </c>
      <c r="AW73" s="94">
        <f ca="1">Military!$CO$24*TblMili[[#This Row],[Sec. rec. Cost]]+TblImps[[#This Row],[O1]]-TblProd[[#This Row],[Bank Ore]]</f>
        <v>0</v>
      </c>
      <c r="AX73" s="94">
        <f>TblImps[[#This Row],[G1]]-TblProd[[#This Row],[Bank Gems]]</f>
        <v>0</v>
      </c>
      <c r="AY73" s="142"/>
      <c r="AZ73" s="61" t="b">
        <f ca="1">IF(TblProd[[#This Row],[Set Guard]]&lt;&gt;"",TblProd[[#This Row],[Set Guard]],OFFSET(TblProd[[#This Row],[Guard]],-1,0))</f>
        <v>0</v>
      </c>
      <c r="BA73" s="153"/>
      <c r="BB73" s="45">
        <f>TblProd[[#This Row],[Hour]]</f>
        <v>22</v>
      </c>
      <c r="BC73" s="158">
        <f>-TblProd[[#This Row],[Bank Lumber]] / 2 + -TblProd[[#This Row],[Bank Gems]] * 2 + -TblProd[[#This Row],[Bank Ore]] / 2</f>
        <v>0</v>
      </c>
      <c r="BD73" s="158"/>
      <c r="BE73" s="158"/>
      <c r="BF73" s="158"/>
      <c r="BG73" s="159">
        <f ca="1">TblProd[[#This Row],[Time]]</f>
        <v>46322.874999999833</v>
      </c>
      <c r="BH73" s="45"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94">
        <f ca="1">TblProd[[#This Row],[Platinum]]</f>
        <v>183434</v>
      </c>
      <c r="BJ73" s="94">
        <f ca="1">TblProd[[#This Row],[Food]]</f>
        <v>126924</v>
      </c>
      <c r="BK73" s="94">
        <f ca="1">TblProd[[#This Row],[Lumber]]</f>
        <v>57512</v>
      </c>
      <c r="BL73" s="94">
        <f ca="1">TblProd[[#This Row],[Mana]]</f>
        <v>0</v>
      </c>
      <c r="BM73" s="94">
        <f ca="1">TblProd[[#This Row],[Ore]]</f>
        <v>0</v>
      </c>
    </row>
    <row r="74" spans="1:65" x14ac:dyDescent="0.2">
      <c r="A74" s="137">
        <f t="shared" si="0"/>
        <v>23</v>
      </c>
      <c r="B74" s="152">
        <f ca="1">TblImps[[#This Row],[Time]]</f>
        <v>46322.916666666497</v>
      </c>
      <c r="C74" s="153"/>
      <c r="D74" s="154"/>
      <c r="E74" s="94">
        <f ca="1">TblConstr[[#This Row],[Land]]</f>
        <v>50</v>
      </c>
      <c r="F74" s="94">
        <f ca="1">TblPop[[#This Row],[Peasants]]</f>
        <v>233</v>
      </c>
      <c r="G74" s="94">
        <f ca="1">TblMili[[#This Row],[Networth (2)]]</f>
        <v>1250</v>
      </c>
      <c r="H74" s="94">
        <f ca="1">OFFSET(TblProd[[#This Row],[Platinum]],-1,0)+OFFSET(TblProd[[#This Row],[Plat/hr]],-1,0) - TblProd[[#This Row],[Expenses Platinum]] + IF(TblProd[[#This Row],[Plat Bonus]],TblPop[[#This Row],[Peasants]]*4) + SUM(TblConstr[[#This Row],[Dest Hom]:[Dest Doc]])*TblConstr[[#This Row],[CPA Platinum -DB]]*tech_3_3_2*TblTech[[#This Row],[3-3]]</f>
        <v>184068</v>
      </c>
      <c r="I74" s="94">
        <f ca="1">OFFSET(TblProd[[#This Row],[Food]],-1,0)+OFFSET(TblProd[[#This Row],[Food/hr]],-1,0)+ROUNDUP((TblConstr[[#This Row],[Farms]]*80+TblConstr[[#This Row],[Docks]]*35)*(1+OFFSET(TblProd[[#This Row],[Bonus Food/hr]],-1,0)),0)</f>
        <v>128043</v>
      </c>
      <c r="J74" s="94">
        <f ca="1">OFFSET(TblProd[[#This Row],[Lumber]],-1,0)+OFFSET(TblProd[[#This Row],[Lumber/hr]],-1,0) - TblProd[[#This Row],[Expenses Lumber]] + SUM(TblConstr[[#This Row],[Dest Hom]:[Dest Doc]])*TblConstr[[#This Row],[CPA Lumber -DB]]*tech_3_3_2*TblTech[[#This Row],[3-3]]</f>
        <v>57937</v>
      </c>
      <c r="K74" s="94">
        <f ca="1">OFFSET(TblProd[[#This Row],[Mana]],-1,0)+OFFSET(TblProd[[#This Row],[Mana/hr]],-1,0)- TblProd[[#This Row],[Expenses Mana]]</f>
        <v>0</v>
      </c>
      <c r="L74" s="94">
        <f ca="1">OFFSET(TblProd[[#This Row],[Ore]],-1,0)+OFFSET(TblProd[[#This Row],[Ore/hr]],-1,0) -TblProd[[#This Row],[Expenses Ore]]</f>
        <v>0</v>
      </c>
      <c r="M74" s="94">
        <f ca="1">OFFSET(TblProd[[#This Row],[Gems]],-1,0)+OFFSET(TblProd[[#This Row],[Gems/hr]],-1,0) - TblProd[[#This Row],[Expenses Gems]]</f>
        <v>0</v>
      </c>
      <c r="N74" s="94">
        <f ca="1">OFFSET(TblProd[[#This Row],[Boats]],-1,0)+OFFSET(TblProd[[#This Row],[Boats/hr]],-1,0)</f>
        <v>0</v>
      </c>
      <c r="O74" s="94">
        <f ca="1">OFFSET(TblProd[[#This Row],[Prestige]],-1,0)</f>
        <v>250</v>
      </c>
      <c r="P7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4" s="94">
        <f ca="1">MAX(_xlfn.CEILING.MATH(TblProd[[#This Row],[Land]]*2.5+IFERROR(OFFSET(TblTech[[#This Row],[Sum of tech]],-1,0)*50,0)),3750)</f>
        <v>3750</v>
      </c>
      <c r="R74" s="142"/>
      <c r="S74" s="94">
        <f ca="1">ROUNDDOWN(TblProd[[#This Row],[Raw Plat/hr]]*(1+TblProd[[#This Row],[Bonus Plat/hr]]),0)</f>
        <v>629</v>
      </c>
      <c r="T74" s="94">
        <f ca="1">ROUND(TblProd[[#This Row],[Raw Food/hr]]*(1+TblProd[[#This Row],[Bonus Food/hr]])-TblProd[[#This Row],[Food decay]]-TblProd[[#This Row],[Food eaten]],0)</f>
        <v>1107</v>
      </c>
      <c r="U74" s="94">
        <f ca="1">ROUND(TblProd[[#This Row],[Raw Lumber/hr]]*(1+TblProd[[#This Row],[Bonus Lumber/hr]])-TblProd[[#This Row],[Lumber rot]],0)</f>
        <v>421</v>
      </c>
      <c r="V74" s="94">
        <f ca="1">ROUND(TblProd[[#This Row],[Raw Mana/hr]]*(1+TblProd[[#This Row],[Bonus Mana/hr]])-TblProd[[#This Row],[Mana drain]],0)</f>
        <v>0</v>
      </c>
      <c r="W74" s="94">
        <f ca="1">ROUNDDOWN(TblProd[[#This Row],[Raw Ore/hr]]*(1+TblProd[[#This Row],[Bonux Ore/hr]]),0)</f>
        <v>0</v>
      </c>
      <c r="X74" s="94">
        <f ca="1">ROUNDDOWN(TblProd[[#This Row],[Raw Gems/hr]]*(1+TblProd[[#This Row],[Bonus Gems/hr]]),0)</f>
        <v>0</v>
      </c>
      <c r="Y74" s="155">
        <f ca="1">OFFSET(TblConstr[[#This Row],[Tot Doc]],1,0)*dock_boats_hr * (1 + tech_4_1*TblTech[[#This Row],[4-1]])</f>
        <v>0</v>
      </c>
      <c r="Z74" s="154"/>
      <c r="AA74" s="94">
        <f ca="1">TblPop[[#This Row],[Peasants]]*tax*TblPop[[#This Row],[Employment]] + (Construction!AZ75+Construction!BX75)*(alch_plat+(Magic!AN74&gt;0)*alchemist_flame_bonus)</f>
        <v>629.1</v>
      </c>
      <c r="AB74" s="94">
        <f ca="1">TblConstr[[#This Row],[Tot Farm]]*farm_food + TblConstr[[#This Row],[Tot Doc]]*dock_food</f>
        <v>2400</v>
      </c>
      <c r="AC74" s="94">
        <f ca="1">TblConstr[[#This Row],[Tot Ly]]*ly_lumber + TblConstr[[#This Row],[Tot Hav]]*fh_lumber + IF(race="Wood Elf",TblMili[[#This Row],[Unit 2]]*MIN(TblMili[[#This Row],[Homeland%]]/wisp_bonus,wisp_cap),0)</f>
        <v>1000</v>
      </c>
      <c r="AD74" s="94">
        <f ca="1">OFFSET(TblConstr[[#This Row],[Tot Tow]],1,0)*(tower_mana + tech_4_5*TblTech[[#This Row],[4-5]]) + OFFSET(TblConstr[[#This Row],[Tot WG]],1,0)*wg_mana_prod</f>
        <v>0</v>
      </c>
      <c r="AE74" s="94">
        <f ca="1">OFFSET(TblConstr[[#This Row],[Tot OM]],1,0)*om_ore+IF(race="Dwarf",TblMili[[#This Row],[Unit 2]]*0.5,0)</f>
        <v>0</v>
      </c>
      <c r="AF74" s="94">
        <f ca="1">OFFSET(TblConstr[[#This Row],[Tot DM]],1,0)*dm_gems</f>
        <v>0</v>
      </c>
      <c r="AG74" s="142"/>
      <c r="AH74" s="156">
        <f ca="1">MIN(race_platinum_bonus + IF(TblMagic[[#This Row],[Active Arc Infusion]]&gt;0,alch_frost_bonus,IF(Magic!AE74&gt;0,midas_bonus)) + TblImps[[#This Row],[Science]] - TblProd[[#This Row],[Guard]]*(0.02 + tech_5_7*TblTech[[#This Row],[5-7]]) + tech_1_5*TblTech[[#This Row],[1-5]] + tech_4_4*TblTech[[#This Row],[4-4]] + IF(TblMagic[[#This Row],[Active Infernal Command]]&gt;0,demonic_pact_plat,0), 0.5)</f>
        <v>0</v>
      </c>
      <c r="AI7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4" s="156">
        <f ca="1">race_lumber_bonus+ IF(TblMagic[[#This Row],[Active Gaia''s Blessing]]&gt;0,gaias_blessing_lumber)+ tech_1_3*TblTech[[#This Row],[1-3]] + tech_1_6*TblTech[[#This Row],[1-6]] + tech_3_3*TblTech[[#This Row],[3-3]]</f>
        <v>0</v>
      </c>
      <c r="AK74" s="156">
        <f ca="1">race_mana_bonus+ 0 + TblImps[[#This Row],[Spires]] + tech_1_2*TblTech[[#This Row],[1-2]] + tech_3_4*TblTech[[#This Row],[3-4]]</f>
        <v>0</v>
      </c>
      <c r="AL74" s="156">
        <f ca="1">race_ore_bonus + IF(TblMagic[[#This Row],[Active Miner''s Sight]]&gt;0,miners_sight_bonus,IF(TblMagic[[#This Row],[Active Mining Strength]]&gt;0,mining_strength_bonus)) +  tech_1_6*TblTech[[#This Row],[1-6]]</f>
        <v>0</v>
      </c>
      <c r="AM74" s="156">
        <f>race_gem_bonus+ tech_3_2*TblTech[[#This Row],[3-2]] + tech_4_3*TblTech[[#This Row],[4-3]] + tech_6_2*TblTech[[#This Row],[6-2]]</f>
        <v>0</v>
      </c>
      <c r="AN74" s="142"/>
      <c r="AO74" s="94">
        <f ca="1">TblProd[[#This Row],[Food]]*food_decay * (1 + tech_2_1*TblTech[[#This Row],[2-1]] + tech_2_8*TblTech[[#This Row],[2-8]] + IF(AND(TblMagic[[#This Row],[Active DnD]]&lt;12,TblMagic[[#This Row],[Active DnD]]&gt;5),1,0))</f>
        <v>1280.43</v>
      </c>
      <c r="AP74" s="94">
        <f ca="1">(1+race_food_consumption)*TblPop[[#This Row],[Total]]*food_per_person*(1+tech_1_10*TblTech[[#This Row],[1-10]]+tech_7_5*TblTech[[#This Row],[7-5]] + IF(TblMagic[[#This Row],[Active Infernal Command]]&gt;0,demonic_pact_food_cons,0))</f>
        <v>192.25</v>
      </c>
      <c r="AQ74" s="94">
        <f ca="1">TblProd[[#This Row],[Lumber]]*lumber_rot * (1 + tech_2_1*TblTech[[#This Row],[2-1]] + tech_2_8*TblTech[[#This Row],[2-8]] + tech_5_2*TblTech[[#This Row],[5-2]] + IF(AND(TblMagic[[#This Row],[Active DnD]]&lt;12,TblMagic[[#This Row],[Active DnD]]&gt;5),1,0))</f>
        <v>579.37</v>
      </c>
      <c r="AR74" s="94">
        <f ca="1">TblProd[[#This Row],[Mana]]*mana_drain * (1 + tech_2_1*TblTech[[#This Row],[2-1]] + tech_2_8*TblTech[[#This Row],[2-8]])</f>
        <v>0</v>
      </c>
      <c r="AS74" s="154"/>
      <c r="AT74" s="94">
        <f ca="1">TblExplore[[#This Row],[Platinum (2)]]+TblConstr[[#This Row],[Total Plat Cost]]+TblMili[[#This Row],[Plat Cost]]+TblRezone[[#This Row],[Platinum cost]]+TblImps[[#This Row],[P1]]-TblProd[[#This Row],[Bank Plat]]</f>
        <v>0</v>
      </c>
      <c r="AU74" s="94">
        <f ca="1">TblConstr[[#This Row],[Total Lum Cost]]+TblImps[[#This Row],[L1]]-TblProd[[#This Row],[Bank Lumber]] + Military!$CO$25*TblMili[[#This Row],[Sec. rec. Cost]]</f>
        <v>0</v>
      </c>
      <c r="AV74" s="94">
        <f ca="1">TblMagic[[#This Row],[Mana cost]] + Military!$CO$26*TblMili[[#This Row],[Sec. rec. Cost]]</f>
        <v>0</v>
      </c>
      <c r="AW74" s="94">
        <f ca="1">Military!$CO$24*TblMili[[#This Row],[Sec. rec. Cost]]+TblImps[[#This Row],[O1]]-TblProd[[#This Row],[Bank Ore]]</f>
        <v>0</v>
      </c>
      <c r="AX74" s="94">
        <f>TblImps[[#This Row],[G1]]-TblProd[[#This Row],[Bank Gems]]</f>
        <v>0</v>
      </c>
      <c r="AY74" s="142"/>
      <c r="AZ74" s="61" t="b">
        <f ca="1">IF(TblProd[[#This Row],[Set Guard]]&lt;&gt;"",TblProd[[#This Row],[Set Guard]],OFFSET(TblProd[[#This Row],[Guard]],-1,0))</f>
        <v>0</v>
      </c>
      <c r="BA74" s="153"/>
      <c r="BB74" s="45">
        <f>TblProd[[#This Row],[Hour]]</f>
        <v>23</v>
      </c>
      <c r="BC74" s="158">
        <f>-TblProd[[#This Row],[Bank Lumber]] / 2 + -TblProd[[#This Row],[Bank Gems]] * 2 + -TblProd[[#This Row],[Bank Ore]] / 2</f>
        <v>0</v>
      </c>
      <c r="BD74" s="158"/>
      <c r="BE74" s="158"/>
      <c r="BF74" s="158"/>
      <c r="BG74" s="159">
        <f ca="1">TblProd[[#This Row],[Time]]</f>
        <v>46322.916666666497</v>
      </c>
      <c r="BH74" s="45"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94">
        <f ca="1">TblProd[[#This Row],[Platinum]]</f>
        <v>184068</v>
      </c>
      <c r="BJ74" s="94">
        <f ca="1">TblProd[[#This Row],[Food]]</f>
        <v>128043</v>
      </c>
      <c r="BK74" s="94">
        <f ca="1">TblProd[[#This Row],[Lumber]]</f>
        <v>57937</v>
      </c>
      <c r="BL74" s="94">
        <f ca="1">TblProd[[#This Row],[Mana]]</f>
        <v>0</v>
      </c>
      <c r="BM74" s="94">
        <f ca="1">TblProd[[#This Row],[Ore]]</f>
        <v>0</v>
      </c>
    </row>
    <row r="75" spans="1:65" x14ac:dyDescent="0.2">
      <c r="A75" s="137">
        <f t="shared" si="0"/>
        <v>24</v>
      </c>
      <c r="B75" s="152">
        <f ca="1">TblImps[[#This Row],[Time]]</f>
        <v>46322.958333333161</v>
      </c>
      <c r="C75" s="153"/>
      <c r="D75" s="154"/>
      <c r="E75" s="94">
        <f ca="1">TblConstr[[#This Row],[Land]]</f>
        <v>50</v>
      </c>
      <c r="F75" s="94">
        <f ca="1">TblPop[[#This Row],[Peasants]]</f>
        <v>231</v>
      </c>
      <c r="G75" s="94">
        <f ca="1">TblMili[[#This Row],[Networth (2)]]</f>
        <v>1250</v>
      </c>
      <c r="H75" s="94">
        <f ca="1">OFFSET(TblProd[[#This Row],[Platinum]],-1,0)+OFFSET(TblProd[[#This Row],[Plat/hr]],-1,0) - TblProd[[#This Row],[Expenses Platinum]] + IF(TblProd[[#This Row],[Plat Bonus]],TblPop[[#This Row],[Peasants]]*4) + SUM(TblConstr[[#This Row],[Dest Hom]:[Dest Doc]])*TblConstr[[#This Row],[CPA Platinum -DB]]*tech_3_3_2*TblTech[[#This Row],[3-3]]</f>
        <v>184697</v>
      </c>
      <c r="I75" s="94">
        <f ca="1">OFFSET(TblProd[[#This Row],[Food]],-1,0)+OFFSET(TblProd[[#This Row],[Food/hr]],-1,0)+ROUNDUP((TblConstr[[#This Row],[Farms]]*80+TblConstr[[#This Row],[Docks]]*35)*(1+OFFSET(TblProd[[#This Row],[Bonus Food/hr]],-1,0)),0)</f>
        <v>129150</v>
      </c>
      <c r="J75" s="94">
        <f ca="1">OFFSET(TblProd[[#This Row],[Lumber]],-1,0)+OFFSET(TblProd[[#This Row],[Lumber/hr]],-1,0) - TblProd[[#This Row],[Expenses Lumber]] + SUM(TblConstr[[#This Row],[Dest Hom]:[Dest Doc]])*TblConstr[[#This Row],[CPA Lumber -DB]]*tech_3_3_2*TblTech[[#This Row],[3-3]]</f>
        <v>58358</v>
      </c>
      <c r="K75" s="94">
        <f ca="1">OFFSET(TblProd[[#This Row],[Mana]],-1,0)+OFFSET(TblProd[[#This Row],[Mana/hr]],-1,0)- TblProd[[#This Row],[Expenses Mana]]</f>
        <v>0</v>
      </c>
      <c r="L75" s="94">
        <f ca="1">OFFSET(TblProd[[#This Row],[Ore]],-1,0)+OFFSET(TblProd[[#This Row],[Ore/hr]],-1,0) -TblProd[[#This Row],[Expenses Ore]]</f>
        <v>0</v>
      </c>
      <c r="M75" s="94">
        <f ca="1">OFFSET(TblProd[[#This Row],[Gems]],-1,0)+OFFSET(TblProd[[#This Row],[Gems/hr]],-1,0) - TblProd[[#This Row],[Expenses Gems]]</f>
        <v>0</v>
      </c>
      <c r="N75" s="94">
        <f ca="1">OFFSET(TblProd[[#This Row],[Boats]],-1,0)+OFFSET(TblProd[[#This Row],[Boats/hr]],-1,0)</f>
        <v>0</v>
      </c>
      <c r="O75" s="94">
        <f ca="1">OFFSET(TblProd[[#This Row],[Prestige]],-1,0)</f>
        <v>250</v>
      </c>
      <c r="P7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5" s="94">
        <f ca="1">MAX(_xlfn.CEILING.MATH(TblProd[[#This Row],[Land]]*2.5+IFERROR(OFFSET(TblTech[[#This Row],[Sum of tech]],-1,0)*50,0)),3750)</f>
        <v>3750</v>
      </c>
      <c r="R75" s="142"/>
      <c r="S75" s="94">
        <f ca="1">ROUNDDOWN(TblProd[[#This Row],[Raw Plat/hr]]*(1+TblProd[[#This Row],[Bonus Plat/hr]]),0)</f>
        <v>623</v>
      </c>
      <c r="T75" s="94">
        <f ca="1">ROUND(TblProd[[#This Row],[Raw Food/hr]]*(1+TblProd[[#This Row],[Bonus Food/hr]])-TblProd[[#This Row],[Food decay]]-TblProd[[#This Row],[Food eaten]],0)</f>
        <v>1096</v>
      </c>
      <c r="U75" s="94">
        <f ca="1">ROUND(TblProd[[#This Row],[Raw Lumber/hr]]*(1+TblProd[[#This Row],[Bonus Lumber/hr]])-TblProd[[#This Row],[Lumber rot]],0)</f>
        <v>416</v>
      </c>
      <c r="V75" s="94">
        <f ca="1">ROUND(TblProd[[#This Row],[Raw Mana/hr]]*(1+TblProd[[#This Row],[Bonus Mana/hr]])-TblProd[[#This Row],[Mana drain]],0)</f>
        <v>0</v>
      </c>
      <c r="W75" s="94">
        <f ca="1">ROUNDDOWN(TblProd[[#This Row],[Raw Ore/hr]]*(1+TblProd[[#This Row],[Bonux Ore/hr]]),0)</f>
        <v>0</v>
      </c>
      <c r="X75" s="94">
        <f ca="1">ROUNDDOWN(TblProd[[#This Row],[Raw Gems/hr]]*(1+TblProd[[#This Row],[Bonus Gems/hr]]),0)</f>
        <v>0</v>
      </c>
      <c r="Y75" s="155">
        <f ca="1">OFFSET(TblConstr[[#This Row],[Tot Doc]],1,0)*dock_boats_hr * (1 + tech_4_1*TblTech[[#This Row],[4-1]])</f>
        <v>0</v>
      </c>
      <c r="Z75" s="154"/>
      <c r="AA75" s="94">
        <f ca="1">TblPop[[#This Row],[Peasants]]*tax*TblPop[[#This Row],[Employment]] + (Construction!AZ76+Construction!BX76)*(alch_plat+(Magic!AN75&gt;0)*alchemist_flame_bonus)</f>
        <v>623.70000000000005</v>
      </c>
      <c r="AB75" s="94">
        <f ca="1">TblConstr[[#This Row],[Tot Farm]]*farm_food + TblConstr[[#This Row],[Tot Doc]]*dock_food</f>
        <v>2400</v>
      </c>
      <c r="AC75" s="94">
        <f ca="1">TblConstr[[#This Row],[Tot Ly]]*ly_lumber + TblConstr[[#This Row],[Tot Hav]]*fh_lumber + IF(race="Wood Elf",TblMili[[#This Row],[Unit 2]]*MIN(TblMili[[#This Row],[Homeland%]]/wisp_bonus,wisp_cap),0)</f>
        <v>1000</v>
      </c>
      <c r="AD75" s="94">
        <f ca="1">OFFSET(TblConstr[[#This Row],[Tot Tow]],1,0)*(tower_mana + tech_4_5*TblTech[[#This Row],[4-5]]) + OFFSET(TblConstr[[#This Row],[Tot WG]],1,0)*wg_mana_prod</f>
        <v>0</v>
      </c>
      <c r="AE75" s="94">
        <f ca="1">OFFSET(TblConstr[[#This Row],[Tot OM]],1,0)*om_ore+IF(race="Dwarf",TblMili[[#This Row],[Unit 2]]*0.5,0)</f>
        <v>0</v>
      </c>
      <c r="AF75" s="94">
        <f ca="1">OFFSET(TblConstr[[#This Row],[Tot DM]],1,0)*dm_gems</f>
        <v>0</v>
      </c>
      <c r="AG75" s="142"/>
      <c r="AH75" s="156">
        <f ca="1">MIN(race_platinum_bonus + IF(TblMagic[[#This Row],[Active Arc Infusion]]&gt;0,alch_frost_bonus,IF(Magic!AE75&gt;0,midas_bonus)) + TblImps[[#This Row],[Science]] - TblProd[[#This Row],[Guard]]*(0.02 + tech_5_7*TblTech[[#This Row],[5-7]]) + tech_1_5*TblTech[[#This Row],[1-5]] + tech_4_4*TblTech[[#This Row],[4-4]] + IF(TblMagic[[#This Row],[Active Infernal Command]]&gt;0,demonic_pact_plat,0), 0.5)</f>
        <v>0</v>
      </c>
      <c r="AI7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5" s="156">
        <f ca="1">race_lumber_bonus+ IF(TblMagic[[#This Row],[Active Gaia''s Blessing]]&gt;0,gaias_blessing_lumber)+ tech_1_3*TblTech[[#This Row],[1-3]] + tech_1_6*TblTech[[#This Row],[1-6]] + tech_3_3*TblTech[[#This Row],[3-3]]</f>
        <v>0</v>
      </c>
      <c r="AK75" s="156">
        <f ca="1">race_mana_bonus+ 0 + TblImps[[#This Row],[Spires]] + tech_1_2*TblTech[[#This Row],[1-2]] + tech_3_4*TblTech[[#This Row],[3-4]]</f>
        <v>0</v>
      </c>
      <c r="AL75" s="156">
        <f ca="1">race_ore_bonus + IF(TblMagic[[#This Row],[Active Miner''s Sight]]&gt;0,miners_sight_bonus,IF(TblMagic[[#This Row],[Active Mining Strength]]&gt;0,mining_strength_bonus)) +  tech_1_6*TblTech[[#This Row],[1-6]]</f>
        <v>0</v>
      </c>
      <c r="AM75" s="156">
        <f>race_gem_bonus+ tech_3_2*TblTech[[#This Row],[3-2]] + tech_4_3*TblTech[[#This Row],[4-3]] + tech_6_2*TblTech[[#This Row],[6-2]]</f>
        <v>0</v>
      </c>
      <c r="AN75" s="142"/>
      <c r="AO75" s="94">
        <f ca="1">TblProd[[#This Row],[Food]]*food_decay * (1 + tech_2_1*TblTech[[#This Row],[2-1]] + tech_2_8*TblTech[[#This Row],[2-8]] + IF(AND(TblMagic[[#This Row],[Active DnD]]&lt;12,TblMagic[[#This Row],[Active DnD]]&gt;5),1,0))</f>
        <v>1291.5</v>
      </c>
      <c r="AP75" s="94">
        <f ca="1">(1+race_food_consumption)*TblPop[[#This Row],[Total]]*food_per_person*(1+tech_1_10*TblTech[[#This Row],[1-10]]+tech_7_5*TblTech[[#This Row],[7-5]] + IF(TblMagic[[#This Row],[Active Infernal Command]]&gt;0,demonic_pact_food_cons,0))</f>
        <v>192.25</v>
      </c>
      <c r="AQ75" s="94">
        <f ca="1">TblProd[[#This Row],[Lumber]]*lumber_rot * (1 + tech_2_1*TblTech[[#This Row],[2-1]] + tech_2_8*TblTech[[#This Row],[2-8]] + tech_5_2*TblTech[[#This Row],[5-2]] + IF(AND(TblMagic[[#This Row],[Active DnD]]&lt;12,TblMagic[[#This Row],[Active DnD]]&gt;5),1,0))</f>
        <v>583.58000000000004</v>
      </c>
      <c r="AR75" s="94">
        <f ca="1">TblProd[[#This Row],[Mana]]*mana_drain * (1 + tech_2_1*TblTech[[#This Row],[2-1]] + tech_2_8*TblTech[[#This Row],[2-8]])</f>
        <v>0</v>
      </c>
      <c r="AS75" s="154"/>
      <c r="AT75" s="94">
        <f ca="1">TblExplore[[#This Row],[Platinum (2)]]+TblConstr[[#This Row],[Total Plat Cost]]+TblMili[[#This Row],[Plat Cost]]+TblRezone[[#This Row],[Platinum cost]]+TblImps[[#This Row],[P1]]-TblProd[[#This Row],[Bank Plat]]</f>
        <v>0</v>
      </c>
      <c r="AU75" s="94">
        <f ca="1">TblConstr[[#This Row],[Total Lum Cost]]+TblImps[[#This Row],[L1]]-TblProd[[#This Row],[Bank Lumber]] + Military!$CO$25*TblMili[[#This Row],[Sec. rec. Cost]]</f>
        <v>0</v>
      </c>
      <c r="AV75" s="94">
        <f ca="1">TblMagic[[#This Row],[Mana cost]] + Military!$CO$26*TblMili[[#This Row],[Sec. rec. Cost]]</f>
        <v>0</v>
      </c>
      <c r="AW75" s="94">
        <f ca="1">Military!$CO$24*TblMili[[#This Row],[Sec. rec. Cost]]+TblImps[[#This Row],[O1]]-TblProd[[#This Row],[Bank Ore]]</f>
        <v>0</v>
      </c>
      <c r="AX75" s="94">
        <f>TblImps[[#This Row],[G1]]-TblProd[[#This Row],[Bank Gems]]</f>
        <v>0</v>
      </c>
      <c r="AY75" s="142"/>
      <c r="AZ75" s="61" t="b">
        <f ca="1">IF(TblProd[[#This Row],[Set Guard]]&lt;&gt;"",TblProd[[#This Row],[Set Guard]],OFFSET(TblProd[[#This Row],[Guard]],-1,0))</f>
        <v>0</v>
      </c>
      <c r="BA75" s="153"/>
      <c r="BB75" s="45">
        <f>TblProd[[#This Row],[Hour]]</f>
        <v>24</v>
      </c>
      <c r="BC75" s="158">
        <f>-TblProd[[#This Row],[Bank Lumber]] / 2 + -TblProd[[#This Row],[Bank Gems]] * 2 + -TblProd[[#This Row],[Bank Ore]] / 2</f>
        <v>0</v>
      </c>
      <c r="BD75" s="158"/>
      <c r="BE75" s="158"/>
      <c r="BF75" s="158"/>
      <c r="BG75" s="159">
        <f ca="1">TblProd[[#This Row],[Time]]</f>
        <v>46322.958333333161</v>
      </c>
      <c r="BH75" s="45"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94">
        <f ca="1">TblProd[[#This Row],[Platinum]]</f>
        <v>184697</v>
      </c>
      <c r="BJ75" s="94">
        <f ca="1">TblProd[[#This Row],[Food]]</f>
        <v>129150</v>
      </c>
      <c r="BK75" s="94">
        <f ca="1">TblProd[[#This Row],[Lumber]]</f>
        <v>58358</v>
      </c>
      <c r="BL75" s="94">
        <f ca="1">TblProd[[#This Row],[Mana]]</f>
        <v>0</v>
      </c>
      <c r="BM75" s="94">
        <f ca="1">TblProd[[#This Row],[Ore]]</f>
        <v>0</v>
      </c>
    </row>
    <row r="76" spans="1:65" x14ac:dyDescent="0.2">
      <c r="A76" s="137">
        <f t="shared" si="0"/>
        <v>25</v>
      </c>
      <c r="B76" s="152">
        <f ca="1">TblImps[[#This Row],[Time]]</f>
        <v>46322.999999999825</v>
      </c>
      <c r="C76" s="153"/>
      <c r="D76" s="154"/>
      <c r="E76" s="94">
        <f ca="1">TblConstr[[#This Row],[Land]]</f>
        <v>50</v>
      </c>
      <c r="F76" s="94">
        <f ca="1">TblPop[[#This Row],[Peasants]]</f>
        <v>229</v>
      </c>
      <c r="G76" s="94">
        <f ca="1">TblMili[[#This Row],[Networth (2)]]</f>
        <v>1250</v>
      </c>
      <c r="H76" s="94">
        <f ca="1">OFFSET(TblProd[[#This Row],[Platinum]],-1,0)+OFFSET(TblProd[[#This Row],[Plat/hr]],-1,0) - TblProd[[#This Row],[Expenses Platinum]] + IF(TblProd[[#This Row],[Plat Bonus]],TblPop[[#This Row],[Peasants]]*4) + SUM(TblConstr[[#This Row],[Dest Hom]:[Dest Doc]])*TblConstr[[#This Row],[CPA Platinum -DB]]*tech_3_3_2*TblTech[[#This Row],[3-3]]</f>
        <v>185320</v>
      </c>
      <c r="I76" s="94">
        <f ca="1">OFFSET(TblProd[[#This Row],[Food]],-1,0)+OFFSET(TblProd[[#This Row],[Food/hr]],-1,0)+ROUNDUP((TblConstr[[#This Row],[Farms]]*80+TblConstr[[#This Row],[Docks]]*35)*(1+OFFSET(TblProd[[#This Row],[Bonus Food/hr]],-1,0)),0)</f>
        <v>130246</v>
      </c>
      <c r="J76" s="94">
        <f ca="1">OFFSET(TblProd[[#This Row],[Lumber]],-1,0)+OFFSET(TblProd[[#This Row],[Lumber/hr]],-1,0) - TblProd[[#This Row],[Expenses Lumber]] + SUM(TblConstr[[#This Row],[Dest Hom]:[Dest Doc]])*TblConstr[[#This Row],[CPA Lumber -DB]]*tech_3_3_2*TblTech[[#This Row],[3-3]]</f>
        <v>58774</v>
      </c>
      <c r="K76" s="94">
        <f ca="1">OFFSET(TblProd[[#This Row],[Mana]],-1,0)+OFFSET(TblProd[[#This Row],[Mana/hr]],-1,0)- TblProd[[#This Row],[Expenses Mana]]</f>
        <v>0</v>
      </c>
      <c r="L76" s="94">
        <f ca="1">OFFSET(TblProd[[#This Row],[Ore]],-1,0)+OFFSET(TblProd[[#This Row],[Ore/hr]],-1,0) -TblProd[[#This Row],[Expenses Ore]]</f>
        <v>0</v>
      </c>
      <c r="M76" s="94">
        <f ca="1">OFFSET(TblProd[[#This Row],[Gems]],-1,0)+OFFSET(TblProd[[#This Row],[Gems/hr]],-1,0) - TblProd[[#This Row],[Expenses Gems]]</f>
        <v>0</v>
      </c>
      <c r="N76" s="94">
        <f ca="1">OFFSET(TblProd[[#This Row],[Boats]],-1,0)+OFFSET(TblProd[[#This Row],[Boats/hr]],-1,0)</f>
        <v>0</v>
      </c>
      <c r="O76" s="94">
        <f ca="1">OFFSET(TblProd[[#This Row],[Prestige]],-1,0)</f>
        <v>250</v>
      </c>
      <c r="P7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6" s="94">
        <f ca="1">MAX(_xlfn.CEILING.MATH(TblProd[[#This Row],[Land]]*2.5+IFERROR(OFFSET(TblTech[[#This Row],[Sum of tech]],-1,0)*50,0)),3750)</f>
        <v>3750</v>
      </c>
      <c r="S76" s="94">
        <f ca="1">ROUNDDOWN(TblProd[[#This Row],[Raw Plat/hr]]*(1+TblProd[[#This Row],[Bonus Plat/hr]]),0)</f>
        <v>618</v>
      </c>
      <c r="T76" s="94">
        <f ca="1">ROUND(TblProd[[#This Row],[Raw Food/hr]]*(1+TblProd[[#This Row],[Bonus Food/hr]])-TblProd[[#This Row],[Food decay]]-TblProd[[#This Row],[Food eaten]],0)</f>
        <v>1085</v>
      </c>
      <c r="U76" s="94">
        <f ca="1">ROUND(TblProd[[#This Row],[Raw Lumber/hr]]*(1+TblProd[[#This Row],[Bonus Lumber/hr]])-TblProd[[#This Row],[Lumber rot]],0)</f>
        <v>412</v>
      </c>
      <c r="V76" s="94">
        <f ca="1">ROUND(TblProd[[#This Row],[Raw Mana/hr]]*(1+TblProd[[#This Row],[Bonus Mana/hr]])-TblProd[[#This Row],[Mana drain]],0)</f>
        <v>0</v>
      </c>
      <c r="W76" s="94">
        <f ca="1">ROUNDDOWN(TblProd[[#This Row],[Raw Ore/hr]]*(1+TblProd[[#This Row],[Bonux Ore/hr]]),0)</f>
        <v>0</v>
      </c>
      <c r="X76" s="94">
        <f ca="1">ROUNDDOWN(TblProd[[#This Row],[Raw Gems/hr]]*(1+TblProd[[#This Row],[Bonus Gems/hr]]),0)</f>
        <v>0</v>
      </c>
      <c r="Y76" s="155">
        <f ca="1">OFFSET(TblConstr[[#This Row],[Tot Doc]],1,0)*dock_boats_hr * (1 + tech_4_1*TblTech[[#This Row],[4-1]])</f>
        <v>0</v>
      </c>
      <c r="Z76" s="94"/>
      <c r="AA76" s="94">
        <f ca="1">TblPop[[#This Row],[Peasants]]*tax*TblPop[[#This Row],[Employment]] + (Construction!AZ77+Construction!BX77)*(alch_plat+(Magic!AN76&gt;0)*alchemist_flame_bonus)</f>
        <v>618.30000000000007</v>
      </c>
      <c r="AB76" s="94">
        <f ca="1">TblConstr[[#This Row],[Tot Farm]]*farm_food + TblConstr[[#This Row],[Tot Doc]]*dock_food</f>
        <v>2400</v>
      </c>
      <c r="AC76" s="94">
        <f ca="1">TblConstr[[#This Row],[Tot Ly]]*ly_lumber + TblConstr[[#This Row],[Tot Hav]]*fh_lumber + IF(race="Wood Elf",TblMili[[#This Row],[Unit 2]]*MIN(TblMili[[#This Row],[Homeland%]]/wisp_bonus,wisp_cap),0)</f>
        <v>1000</v>
      </c>
      <c r="AD76" s="94">
        <f ca="1">OFFSET(TblConstr[[#This Row],[Tot Tow]],1,0)*(tower_mana + tech_4_5*TblTech[[#This Row],[4-5]]) + OFFSET(TblConstr[[#This Row],[Tot WG]],1,0)*wg_mana_prod</f>
        <v>0</v>
      </c>
      <c r="AE76" s="94">
        <f ca="1">OFFSET(TblConstr[[#This Row],[Tot OM]],1,0)*om_ore+IF(race="Dwarf",TblMili[[#This Row],[Unit 2]]*0.5,0)</f>
        <v>0</v>
      </c>
      <c r="AF76" s="94">
        <f ca="1">OFFSET(TblConstr[[#This Row],[Tot DM]],1,0)*dm_gems</f>
        <v>0</v>
      </c>
      <c r="AH76" s="156">
        <f ca="1">MIN(race_platinum_bonus + IF(TblMagic[[#This Row],[Active Arc Infusion]]&gt;0,alch_frost_bonus,IF(Magic!AE76&gt;0,midas_bonus)) + TblImps[[#This Row],[Science]] - TblProd[[#This Row],[Guard]]*(0.02 + tech_5_7*TblTech[[#This Row],[5-7]]) + tech_1_5*TblTech[[#This Row],[1-5]] + tech_4_4*TblTech[[#This Row],[4-4]] + IF(TblMagic[[#This Row],[Active Infernal Command]]&gt;0,demonic_pact_plat,0), 0.5)</f>
        <v>0</v>
      </c>
      <c r="AI7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6" s="156">
        <f ca="1">race_lumber_bonus+ IF(TblMagic[[#This Row],[Active Gaia''s Blessing]]&gt;0,gaias_blessing_lumber)+ tech_1_3*TblTech[[#This Row],[1-3]] + tech_1_6*TblTech[[#This Row],[1-6]] + tech_3_3*TblTech[[#This Row],[3-3]]</f>
        <v>0</v>
      </c>
      <c r="AK76" s="156">
        <f ca="1">race_mana_bonus+ 0 + TblImps[[#This Row],[Spires]] + tech_1_2*TblTech[[#This Row],[1-2]] + tech_3_4*TblTech[[#This Row],[3-4]]</f>
        <v>0</v>
      </c>
      <c r="AL76" s="156">
        <f ca="1">race_ore_bonus + IF(TblMagic[[#This Row],[Active Miner''s Sight]]&gt;0,miners_sight_bonus,IF(TblMagic[[#This Row],[Active Mining Strength]]&gt;0,mining_strength_bonus)) +  tech_1_6*TblTech[[#This Row],[1-6]]</f>
        <v>0</v>
      </c>
      <c r="AM76" s="156">
        <f>race_gem_bonus+ tech_3_2*TblTech[[#This Row],[3-2]] + tech_4_3*TblTech[[#This Row],[4-3]] + tech_6_2*TblTech[[#This Row],[6-2]]</f>
        <v>0</v>
      </c>
      <c r="AO76" s="94">
        <f ca="1">TblProd[[#This Row],[Food]]*food_decay * (1 + tech_2_1*TblTech[[#This Row],[2-1]] + tech_2_8*TblTech[[#This Row],[2-8]] + IF(AND(TblMagic[[#This Row],[Active DnD]]&lt;12,TblMagic[[#This Row],[Active DnD]]&gt;5),1,0))</f>
        <v>1302.46</v>
      </c>
      <c r="AP76" s="94">
        <f ca="1">(1+race_food_consumption)*TblPop[[#This Row],[Total]]*food_per_person*(1+tech_1_10*TblTech[[#This Row],[1-10]]+tech_7_5*TblTech[[#This Row],[7-5]] + IF(TblMagic[[#This Row],[Active Infernal Command]]&gt;0,demonic_pact_food_cons,0))</f>
        <v>192.25</v>
      </c>
      <c r="AQ76" s="94">
        <f ca="1">TblProd[[#This Row],[Lumber]]*lumber_rot * (1 + tech_2_1*TblTech[[#This Row],[2-1]] + tech_2_8*TblTech[[#This Row],[2-8]] + tech_5_2*TblTech[[#This Row],[5-2]] + IF(AND(TblMagic[[#This Row],[Active DnD]]&lt;12,TblMagic[[#This Row],[Active DnD]]&gt;5),1,0))</f>
        <v>587.74</v>
      </c>
      <c r="AR76" s="94">
        <f ca="1">TblProd[[#This Row],[Mana]]*mana_drain * (1 + tech_2_1*TblTech[[#This Row],[2-1]] + tech_2_8*TblTech[[#This Row],[2-8]])</f>
        <v>0</v>
      </c>
      <c r="AS76" s="94"/>
      <c r="AT76" s="94">
        <f ca="1">TblExplore[[#This Row],[Platinum (2)]]+TblConstr[[#This Row],[Total Plat Cost]]+TblMili[[#This Row],[Plat Cost]]+TblRezone[[#This Row],[Platinum cost]]+TblImps[[#This Row],[P1]]-TblProd[[#This Row],[Bank Plat]]</f>
        <v>0</v>
      </c>
      <c r="AU76" s="94">
        <f ca="1">TblConstr[[#This Row],[Total Lum Cost]]+TblImps[[#This Row],[L1]]-TblProd[[#This Row],[Bank Lumber]] + Military!$CO$25*TblMili[[#This Row],[Sec. rec. Cost]]</f>
        <v>0</v>
      </c>
      <c r="AV76" s="94">
        <f ca="1">TblMagic[[#This Row],[Mana cost]] + Military!$CO$26*TblMili[[#This Row],[Sec. rec. Cost]]</f>
        <v>0</v>
      </c>
      <c r="AW76" s="94">
        <f ca="1">Military!$CO$24*TblMili[[#This Row],[Sec. rec. Cost]]+TblImps[[#This Row],[O1]]-TblProd[[#This Row],[Bank Ore]]</f>
        <v>0</v>
      </c>
      <c r="AX76" s="94">
        <f>TblImps[[#This Row],[G1]]-TblProd[[#This Row],[Bank Gems]]</f>
        <v>0</v>
      </c>
      <c r="AZ76" s="61" t="b">
        <f ca="1">IF(TblProd[[#This Row],[Set Guard]]&lt;&gt;"",TblProd[[#This Row],[Set Guard]],OFFSET(TblProd[[#This Row],[Guard]],-1,0))</f>
        <v>0</v>
      </c>
      <c r="BA76" s="153"/>
      <c r="BB76" s="45">
        <f>TblProd[[#This Row],[Hour]]</f>
        <v>25</v>
      </c>
      <c r="BC76" s="158">
        <f>-TblProd[[#This Row],[Bank Lumber]] / 2 + -TblProd[[#This Row],[Bank Gems]] * 2 + -TblProd[[#This Row],[Bank Ore]] / 2</f>
        <v>0</v>
      </c>
      <c r="BD76" s="158"/>
      <c r="BE76" s="158"/>
      <c r="BF76" s="158"/>
      <c r="BG76" s="159">
        <f ca="1">TblProd[[#This Row],[Time]]</f>
        <v>46322.999999999825</v>
      </c>
      <c r="BH76" s="45"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94">
        <f ca="1">TblProd[[#This Row],[Platinum]]</f>
        <v>185320</v>
      </c>
      <c r="BJ76" s="94">
        <f ca="1">TblProd[[#This Row],[Food]]</f>
        <v>130246</v>
      </c>
      <c r="BK76" s="94">
        <f ca="1">TblProd[[#This Row],[Lumber]]</f>
        <v>58774</v>
      </c>
      <c r="BL76" s="94">
        <f ca="1">TblProd[[#This Row],[Mana]]</f>
        <v>0</v>
      </c>
      <c r="BM76" s="94">
        <f ca="1">TblProd[[#This Row],[Ore]]</f>
        <v>0</v>
      </c>
    </row>
    <row r="77" spans="1:65" x14ac:dyDescent="0.2">
      <c r="A77" s="137">
        <f t="shared" si="0"/>
        <v>26</v>
      </c>
      <c r="B77" s="152">
        <f ca="1">TblImps[[#This Row],[Time]]</f>
        <v>46323.04166666649</v>
      </c>
      <c r="C77" s="153"/>
      <c r="D77" s="154"/>
      <c r="E77" s="94">
        <f ca="1">TblConstr[[#This Row],[Land]]</f>
        <v>50</v>
      </c>
      <c r="F77" s="94">
        <f ca="1">TblPop[[#This Row],[Peasants]]</f>
        <v>227</v>
      </c>
      <c r="G77" s="94">
        <f ca="1">TblMili[[#This Row],[Networth (2)]]</f>
        <v>1250</v>
      </c>
      <c r="H77" s="94">
        <f ca="1">OFFSET(TblProd[[#This Row],[Platinum]],-1,0)+OFFSET(TblProd[[#This Row],[Plat/hr]],-1,0) - TblProd[[#This Row],[Expenses Platinum]] + IF(TblProd[[#This Row],[Plat Bonus]],TblPop[[#This Row],[Peasants]]*4) + SUM(TblConstr[[#This Row],[Dest Hom]:[Dest Doc]])*TblConstr[[#This Row],[CPA Platinum -DB]]*tech_3_3_2*TblTech[[#This Row],[3-3]]</f>
        <v>185938</v>
      </c>
      <c r="I77" s="94">
        <f ca="1">OFFSET(TblProd[[#This Row],[Food]],-1,0)+OFFSET(TblProd[[#This Row],[Food/hr]],-1,0)+ROUNDUP((TblConstr[[#This Row],[Farms]]*80+TblConstr[[#This Row],[Docks]]*35)*(1+OFFSET(TblProd[[#This Row],[Bonus Food/hr]],-1,0)),0)</f>
        <v>131331</v>
      </c>
      <c r="J77" s="94">
        <f ca="1">OFFSET(TblProd[[#This Row],[Lumber]],-1,0)+OFFSET(TblProd[[#This Row],[Lumber/hr]],-1,0) - TblProd[[#This Row],[Expenses Lumber]] + SUM(TblConstr[[#This Row],[Dest Hom]:[Dest Doc]])*TblConstr[[#This Row],[CPA Lumber -DB]]*tech_3_3_2*TblTech[[#This Row],[3-3]]</f>
        <v>59186</v>
      </c>
      <c r="K77" s="94">
        <f ca="1">OFFSET(TblProd[[#This Row],[Mana]],-1,0)+OFFSET(TblProd[[#This Row],[Mana/hr]],-1,0)- TblProd[[#This Row],[Expenses Mana]]</f>
        <v>0</v>
      </c>
      <c r="L77" s="94">
        <f ca="1">OFFSET(TblProd[[#This Row],[Ore]],-1,0)+OFFSET(TblProd[[#This Row],[Ore/hr]],-1,0) -TblProd[[#This Row],[Expenses Ore]]</f>
        <v>0</v>
      </c>
      <c r="M77" s="94">
        <f ca="1">OFFSET(TblProd[[#This Row],[Gems]],-1,0)+OFFSET(TblProd[[#This Row],[Gems/hr]],-1,0) - TblProd[[#This Row],[Expenses Gems]]</f>
        <v>0</v>
      </c>
      <c r="N77" s="94">
        <f ca="1">OFFSET(TblProd[[#This Row],[Boats]],-1,0)+OFFSET(TblProd[[#This Row],[Boats/hr]],-1,0)</f>
        <v>0</v>
      </c>
      <c r="O77" s="94">
        <f ca="1">OFFSET(TblProd[[#This Row],[Prestige]],-1,0)</f>
        <v>250</v>
      </c>
      <c r="P7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7" s="94">
        <f ca="1">MAX(_xlfn.CEILING.MATH(TblProd[[#This Row],[Land]]*2.5+IFERROR(OFFSET(TblTech[[#This Row],[Sum of tech]],-1,0)*50,0)),3750)</f>
        <v>3750</v>
      </c>
      <c r="R77" s="142"/>
      <c r="S77" s="94">
        <f ca="1">ROUNDDOWN(TblProd[[#This Row],[Raw Plat/hr]]*(1+TblProd[[#This Row],[Bonus Plat/hr]]),0)</f>
        <v>612</v>
      </c>
      <c r="T77" s="94">
        <f ca="1">ROUND(TblProd[[#This Row],[Raw Food/hr]]*(1+TblProd[[#This Row],[Bonus Food/hr]])-TblProd[[#This Row],[Food decay]]-TblProd[[#This Row],[Food eaten]],0)</f>
        <v>1074</v>
      </c>
      <c r="U77" s="94">
        <f ca="1">ROUND(TblProd[[#This Row],[Raw Lumber/hr]]*(1+TblProd[[#This Row],[Bonus Lumber/hr]])-TblProd[[#This Row],[Lumber rot]],0)</f>
        <v>408</v>
      </c>
      <c r="V77" s="94">
        <f ca="1">ROUND(TblProd[[#This Row],[Raw Mana/hr]]*(1+TblProd[[#This Row],[Bonus Mana/hr]])-TblProd[[#This Row],[Mana drain]],0)</f>
        <v>0</v>
      </c>
      <c r="W77" s="94">
        <f ca="1">ROUNDDOWN(TblProd[[#This Row],[Raw Ore/hr]]*(1+TblProd[[#This Row],[Bonux Ore/hr]]),0)</f>
        <v>0</v>
      </c>
      <c r="X77" s="94">
        <f ca="1">ROUNDDOWN(TblProd[[#This Row],[Raw Gems/hr]]*(1+TblProd[[#This Row],[Bonus Gems/hr]]),0)</f>
        <v>0</v>
      </c>
      <c r="Y77" s="155">
        <f ca="1">OFFSET(TblConstr[[#This Row],[Tot Doc]],1,0)*dock_boats_hr * (1 + tech_4_1*TblTech[[#This Row],[4-1]])</f>
        <v>0</v>
      </c>
      <c r="Z77" s="154"/>
      <c r="AA77" s="94">
        <f ca="1">TblPop[[#This Row],[Peasants]]*tax*TblPop[[#This Row],[Employment]] + (Construction!AZ78+Construction!BX78)*(alch_plat+(Magic!AN77&gt;0)*alchemist_flame_bonus)</f>
        <v>612.90000000000009</v>
      </c>
      <c r="AB77" s="94">
        <f ca="1">TblConstr[[#This Row],[Tot Farm]]*farm_food + TblConstr[[#This Row],[Tot Doc]]*dock_food</f>
        <v>2400</v>
      </c>
      <c r="AC77" s="94">
        <f ca="1">TblConstr[[#This Row],[Tot Ly]]*ly_lumber + TblConstr[[#This Row],[Tot Hav]]*fh_lumber + IF(race="Wood Elf",TblMili[[#This Row],[Unit 2]]*MIN(TblMili[[#This Row],[Homeland%]]/wisp_bonus,wisp_cap),0)</f>
        <v>1000</v>
      </c>
      <c r="AD77" s="94">
        <f ca="1">OFFSET(TblConstr[[#This Row],[Tot Tow]],1,0)*(tower_mana + tech_4_5*TblTech[[#This Row],[4-5]]) + OFFSET(TblConstr[[#This Row],[Tot WG]],1,0)*wg_mana_prod</f>
        <v>0</v>
      </c>
      <c r="AE77" s="94">
        <f ca="1">OFFSET(TblConstr[[#This Row],[Tot OM]],1,0)*om_ore+IF(race="Dwarf",TblMili[[#This Row],[Unit 2]]*0.5,0)</f>
        <v>0</v>
      </c>
      <c r="AF77" s="94">
        <f ca="1">OFFSET(TblConstr[[#This Row],[Tot DM]],1,0)*dm_gems</f>
        <v>0</v>
      </c>
      <c r="AG77" s="142"/>
      <c r="AH77" s="156">
        <f ca="1">MIN(race_platinum_bonus + IF(TblMagic[[#This Row],[Active Arc Infusion]]&gt;0,alch_frost_bonus,IF(Magic!AE77&gt;0,midas_bonus)) + TblImps[[#This Row],[Science]] - TblProd[[#This Row],[Guard]]*(0.02 + tech_5_7*TblTech[[#This Row],[5-7]]) + tech_1_5*TblTech[[#This Row],[1-5]] + tech_4_4*TblTech[[#This Row],[4-4]] + IF(TblMagic[[#This Row],[Active Infernal Command]]&gt;0,demonic_pact_plat,0), 0.5)</f>
        <v>0</v>
      </c>
      <c r="AI7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7" s="156">
        <f ca="1">race_lumber_bonus+ IF(TblMagic[[#This Row],[Active Gaia''s Blessing]]&gt;0,gaias_blessing_lumber)+ tech_1_3*TblTech[[#This Row],[1-3]] + tech_1_6*TblTech[[#This Row],[1-6]] + tech_3_3*TblTech[[#This Row],[3-3]]</f>
        <v>0</v>
      </c>
      <c r="AK77" s="156">
        <f ca="1">race_mana_bonus+ 0 + TblImps[[#This Row],[Spires]] + tech_1_2*TblTech[[#This Row],[1-2]] + tech_3_4*TblTech[[#This Row],[3-4]]</f>
        <v>0</v>
      </c>
      <c r="AL77" s="156">
        <f ca="1">race_ore_bonus + IF(TblMagic[[#This Row],[Active Miner''s Sight]]&gt;0,miners_sight_bonus,IF(TblMagic[[#This Row],[Active Mining Strength]]&gt;0,mining_strength_bonus)) +  tech_1_6*TblTech[[#This Row],[1-6]]</f>
        <v>0</v>
      </c>
      <c r="AM77" s="156">
        <f>race_gem_bonus+ tech_3_2*TblTech[[#This Row],[3-2]] + tech_4_3*TblTech[[#This Row],[4-3]] + tech_6_2*TblTech[[#This Row],[6-2]]</f>
        <v>0</v>
      </c>
      <c r="AN77" s="142"/>
      <c r="AO77" s="94">
        <f ca="1">TblProd[[#This Row],[Food]]*food_decay * (1 + tech_2_1*TblTech[[#This Row],[2-1]] + tech_2_8*TblTech[[#This Row],[2-8]] + IF(AND(TblMagic[[#This Row],[Active DnD]]&lt;12,TblMagic[[#This Row],[Active DnD]]&gt;5),1,0))</f>
        <v>1313.31</v>
      </c>
      <c r="AP77" s="94">
        <f ca="1">(1+race_food_consumption)*TblPop[[#This Row],[Total]]*food_per_person*(1+tech_1_10*TblTech[[#This Row],[1-10]]+tech_7_5*TblTech[[#This Row],[7-5]] + IF(TblMagic[[#This Row],[Active Infernal Command]]&gt;0,demonic_pact_food_cons,0))</f>
        <v>192.25</v>
      </c>
      <c r="AQ77" s="94">
        <f ca="1">TblProd[[#This Row],[Lumber]]*lumber_rot * (1 + tech_2_1*TblTech[[#This Row],[2-1]] + tech_2_8*TblTech[[#This Row],[2-8]] + tech_5_2*TblTech[[#This Row],[5-2]] + IF(AND(TblMagic[[#This Row],[Active DnD]]&lt;12,TblMagic[[#This Row],[Active DnD]]&gt;5),1,0))</f>
        <v>591.86</v>
      </c>
      <c r="AR77" s="94">
        <f ca="1">TblProd[[#This Row],[Mana]]*mana_drain * (1 + tech_2_1*TblTech[[#This Row],[2-1]] + tech_2_8*TblTech[[#This Row],[2-8]])</f>
        <v>0</v>
      </c>
      <c r="AS77" s="154"/>
      <c r="AT77" s="94">
        <f ca="1">TblExplore[[#This Row],[Platinum (2)]]+TblConstr[[#This Row],[Total Plat Cost]]+TblMili[[#This Row],[Plat Cost]]+TblRezone[[#This Row],[Platinum cost]]+TblImps[[#This Row],[P1]]-TblProd[[#This Row],[Bank Plat]]</f>
        <v>0</v>
      </c>
      <c r="AU77" s="94">
        <f ca="1">TblConstr[[#This Row],[Total Lum Cost]]+TblImps[[#This Row],[L1]]-TblProd[[#This Row],[Bank Lumber]] + Military!$CO$25*TblMili[[#This Row],[Sec. rec. Cost]]</f>
        <v>0</v>
      </c>
      <c r="AV77" s="94">
        <f ca="1">TblMagic[[#This Row],[Mana cost]] + Military!$CO$26*TblMili[[#This Row],[Sec. rec. Cost]]</f>
        <v>0</v>
      </c>
      <c r="AW77" s="94">
        <f ca="1">Military!$CO$24*TblMili[[#This Row],[Sec. rec. Cost]]+TblImps[[#This Row],[O1]]-TblProd[[#This Row],[Bank Ore]]</f>
        <v>0</v>
      </c>
      <c r="AX77" s="94">
        <f>TblImps[[#This Row],[G1]]-TblProd[[#This Row],[Bank Gems]]</f>
        <v>0</v>
      </c>
      <c r="AY77" s="142"/>
      <c r="AZ77" s="61" t="b">
        <f ca="1">IF(TblProd[[#This Row],[Set Guard]]&lt;&gt;"",TblProd[[#This Row],[Set Guard]],OFFSET(TblProd[[#This Row],[Guard]],-1,0))</f>
        <v>0</v>
      </c>
      <c r="BA77" s="153"/>
      <c r="BB77" s="45">
        <f>TblProd[[#This Row],[Hour]]</f>
        <v>26</v>
      </c>
      <c r="BC77" s="158">
        <f>-TblProd[[#This Row],[Bank Lumber]] / 2 + -TblProd[[#This Row],[Bank Gems]] * 2 + -TblProd[[#This Row],[Bank Ore]] / 2</f>
        <v>0</v>
      </c>
      <c r="BD77" s="158"/>
      <c r="BE77" s="158"/>
      <c r="BF77" s="158"/>
      <c r="BG77" s="159">
        <f ca="1">TblProd[[#This Row],[Time]]</f>
        <v>46323.04166666649</v>
      </c>
      <c r="BH77" s="45"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94">
        <f ca="1">TblProd[[#This Row],[Platinum]]</f>
        <v>185938</v>
      </c>
      <c r="BJ77" s="94">
        <f ca="1">TblProd[[#This Row],[Food]]</f>
        <v>131331</v>
      </c>
      <c r="BK77" s="94">
        <f ca="1">TblProd[[#This Row],[Lumber]]</f>
        <v>59186</v>
      </c>
      <c r="BL77" s="94">
        <f ca="1">TblProd[[#This Row],[Mana]]</f>
        <v>0</v>
      </c>
      <c r="BM77" s="94">
        <f ca="1">TblProd[[#This Row],[Ore]]</f>
        <v>0</v>
      </c>
    </row>
    <row r="78" spans="1:65" x14ac:dyDescent="0.2">
      <c r="A78" s="137">
        <f t="shared" si="0"/>
        <v>27</v>
      </c>
      <c r="B78" s="152">
        <f ca="1">TblImps[[#This Row],[Time]]</f>
        <v>46323.083333333154</v>
      </c>
      <c r="C78" s="153"/>
      <c r="D78" s="154"/>
      <c r="E78" s="94">
        <f ca="1">TblConstr[[#This Row],[Land]]</f>
        <v>50</v>
      </c>
      <c r="F78" s="94">
        <f ca="1">TblPop[[#This Row],[Peasants]]</f>
        <v>225</v>
      </c>
      <c r="G78" s="94">
        <f ca="1">TblMili[[#This Row],[Networth (2)]]</f>
        <v>1250</v>
      </c>
      <c r="H78" s="94">
        <f ca="1">OFFSET(TblProd[[#This Row],[Platinum]],-1,0)+OFFSET(TblProd[[#This Row],[Plat/hr]],-1,0) - TblProd[[#This Row],[Expenses Platinum]] + IF(TblProd[[#This Row],[Plat Bonus]],TblPop[[#This Row],[Peasants]]*4) + SUM(TblConstr[[#This Row],[Dest Hom]:[Dest Doc]])*TblConstr[[#This Row],[CPA Platinum -DB]]*tech_3_3_2*TblTech[[#This Row],[3-3]]</f>
        <v>186550</v>
      </c>
      <c r="I78" s="94">
        <f ca="1">OFFSET(TblProd[[#This Row],[Food]],-1,0)+OFFSET(TblProd[[#This Row],[Food/hr]],-1,0)+ROUNDUP((TblConstr[[#This Row],[Farms]]*80+TblConstr[[#This Row],[Docks]]*35)*(1+OFFSET(TblProd[[#This Row],[Bonus Food/hr]],-1,0)),0)</f>
        <v>132405</v>
      </c>
      <c r="J78" s="94">
        <f ca="1">OFFSET(TblProd[[#This Row],[Lumber]],-1,0)+OFFSET(TblProd[[#This Row],[Lumber/hr]],-1,0) - TblProd[[#This Row],[Expenses Lumber]] + SUM(TblConstr[[#This Row],[Dest Hom]:[Dest Doc]])*TblConstr[[#This Row],[CPA Lumber -DB]]*tech_3_3_2*TblTech[[#This Row],[3-3]]</f>
        <v>59594</v>
      </c>
      <c r="K78" s="94">
        <f ca="1">OFFSET(TblProd[[#This Row],[Mana]],-1,0)+OFFSET(TblProd[[#This Row],[Mana/hr]],-1,0)- TblProd[[#This Row],[Expenses Mana]]</f>
        <v>0</v>
      </c>
      <c r="L78" s="94">
        <f ca="1">OFFSET(TblProd[[#This Row],[Ore]],-1,0)+OFFSET(TblProd[[#This Row],[Ore/hr]],-1,0) -TblProd[[#This Row],[Expenses Ore]]</f>
        <v>0</v>
      </c>
      <c r="M78" s="94">
        <f ca="1">OFFSET(TblProd[[#This Row],[Gems]],-1,0)+OFFSET(TblProd[[#This Row],[Gems/hr]],-1,0) - TblProd[[#This Row],[Expenses Gems]]</f>
        <v>0</v>
      </c>
      <c r="N78" s="94">
        <f ca="1">OFFSET(TblProd[[#This Row],[Boats]],-1,0)+OFFSET(TblProd[[#This Row],[Boats/hr]],-1,0)</f>
        <v>0</v>
      </c>
      <c r="O78" s="94">
        <f ca="1">OFFSET(TblProd[[#This Row],[Prestige]],-1,0)</f>
        <v>250</v>
      </c>
      <c r="P7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8" s="94">
        <f ca="1">MAX(_xlfn.CEILING.MATH(TblProd[[#This Row],[Land]]*2.5+IFERROR(OFFSET(TblTech[[#This Row],[Sum of tech]],-1,0)*50,0)),3750)</f>
        <v>3750</v>
      </c>
      <c r="R78" s="142"/>
      <c r="S78" s="94">
        <f ca="1">ROUNDDOWN(TblProd[[#This Row],[Raw Plat/hr]]*(1+TblProd[[#This Row],[Bonus Plat/hr]]),0)</f>
        <v>607</v>
      </c>
      <c r="T78" s="94">
        <f ca="1">ROUND(TblProd[[#This Row],[Raw Food/hr]]*(1+TblProd[[#This Row],[Bonus Food/hr]])-TblProd[[#This Row],[Food decay]]-TblProd[[#This Row],[Food eaten]],0)</f>
        <v>1064</v>
      </c>
      <c r="U78" s="94">
        <f ca="1">ROUND(TblProd[[#This Row],[Raw Lumber/hr]]*(1+TblProd[[#This Row],[Bonus Lumber/hr]])-TblProd[[#This Row],[Lumber rot]],0)</f>
        <v>404</v>
      </c>
      <c r="V78" s="94">
        <f ca="1">ROUND(TblProd[[#This Row],[Raw Mana/hr]]*(1+TblProd[[#This Row],[Bonus Mana/hr]])-TblProd[[#This Row],[Mana drain]],0)</f>
        <v>0</v>
      </c>
      <c r="W78" s="94">
        <f ca="1">ROUNDDOWN(TblProd[[#This Row],[Raw Ore/hr]]*(1+TblProd[[#This Row],[Bonux Ore/hr]]),0)</f>
        <v>0</v>
      </c>
      <c r="X78" s="94">
        <f ca="1">ROUNDDOWN(TblProd[[#This Row],[Raw Gems/hr]]*(1+TblProd[[#This Row],[Bonus Gems/hr]]),0)</f>
        <v>0</v>
      </c>
      <c r="Y78" s="155">
        <f ca="1">OFFSET(TblConstr[[#This Row],[Tot Doc]],1,0)*dock_boats_hr * (1 + tech_4_1*TblTech[[#This Row],[4-1]])</f>
        <v>0</v>
      </c>
      <c r="Z78" s="154"/>
      <c r="AA78" s="94">
        <f ca="1">TblPop[[#This Row],[Peasants]]*tax*TblPop[[#This Row],[Employment]] + (Construction!AZ79+Construction!BX79)*(alch_plat+(Magic!AN78&gt;0)*alchemist_flame_bonus)</f>
        <v>607.5</v>
      </c>
      <c r="AB78" s="94">
        <f ca="1">TblConstr[[#This Row],[Tot Farm]]*farm_food + TblConstr[[#This Row],[Tot Doc]]*dock_food</f>
        <v>2400</v>
      </c>
      <c r="AC78" s="94">
        <f ca="1">TblConstr[[#This Row],[Tot Ly]]*ly_lumber + TblConstr[[#This Row],[Tot Hav]]*fh_lumber + IF(race="Wood Elf",TblMili[[#This Row],[Unit 2]]*MIN(TblMili[[#This Row],[Homeland%]]/wisp_bonus,wisp_cap),0)</f>
        <v>1000</v>
      </c>
      <c r="AD78" s="94">
        <f ca="1">OFFSET(TblConstr[[#This Row],[Tot Tow]],1,0)*(tower_mana + tech_4_5*TblTech[[#This Row],[4-5]]) + OFFSET(TblConstr[[#This Row],[Tot WG]],1,0)*wg_mana_prod</f>
        <v>0</v>
      </c>
      <c r="AE78" s="94">
        <f ca="1">OFFSET(TblConstr[[#This Row],[Tot OM]],1,0)*om_ore+IF(race="Dwarf",TblMili[[#This Row],[Unit 2]]*0.5,0)</f>
        <v>0</v>
      </c>
      <c r="AF78" s="94">
        <f ca="1">OFFSET(TblConstr[[#This Row],[Tot DM]],1,0)*dm_gems</f>
        <v>0</v>
      </c>
      <c r="AG78" s="142"/>
      <c r="AH78" s="156">
        <f ca="1">MIN(race_platinum_bonus + IF(TblMagic[[#This Row],[Active Arc Infusion]]&gt;0,alch_frost_bonus,IF(Magic!AE78&gt;0,midas_bonus)) + TblImps[[#This Row],[Science]] - TblProd[[#This Row],[Guard]]*(0.02 + tech_5_7*TblTech[[#This Row],[5-7]]) + tech_1_5*TblTech[[#This Row],[1-5]] + tech_4_4*TblTech[[#This Row],[4-4]] + IF(TblMagic[[#This Row],[Active Infernal Command]]&gt;0,demonic_pact_plat,0), 0.5)</f>
        <v>0</v>
      </c>
      <c r="AI7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8" s="156">
        <f ca="1">race_lumber_bonus+ IF(TblMagic[[#This Row],[Active Gaia''s Blessing]]&gt;0,gaias_blessing_lumber)+ tech_1_3*TblTech[[#This Row],[1-3]] + tech_1_6*TblTech[[#This Row],[1-6]] + tech_3_3*TblTech[[#This Row],[3-3]]</f>
        <v>0</v>
      </c>
      <c r="AK78" s="156">
        <f ca="1">race_mana_bonus+ 0 + TblImps[[#This Row],[Spires]] + tech_1_2*TblTech[[#This Row],[1-2]] + tech_3_4*TblTech[[#This Row],[3-4]]</f>
        <v>0</v>
      </c>
      <c r="AL78" s="156">
        <f ca="1">race_ore_bonus + IF(TblMagic[[#This Row],[Active Miner''s Sight]]&gt;0,miners_sight_bonus,IF(TblMagic[[#This Row],[Active Mining Strength]]&gt;0,mining_strength_bonus)) +  tech_1_6*TblTech[[#This Row],[1-6]]</f>
        <v>0</v>
      </c>
      <c r="AM78" s="156">
        <f>race_gem_bonus+ tech_3_2*TblTech[[#This Row],[3-2]] + tech_4_3*TblTech[[#This Row],[4-3]] + tech_6_2*TblTech[[#This Row],[6-2]]</f>
        <v>0</v>
      </c>
      <c r="AN78" s="142"/>
      <c r="AO78" s="94">
        <f ca="1">TblProd[[#This Row],[Food]]*food_decay * (1 + tech_2_1*TblTech[[#This Row],[2-1]] + tech_2_8*TblTech[[#This Row],[2-8]] + IF(AND(TblMagic[[#This Row],[Active DnD]]&lt;12,TblMagic[[#This Row],[Active DnD]]&gt;5),1,0))</f>
        <v>1324.05</v>
      </c>
      <c r="AP78" s="94">
        <f ca="1">(1+race_food_consumption)*TblPop[[#This Row],[Total]]*food_per_person*(1+tech_1_10*TblTech[[#This Row],[1-10]]+tech_7_5*TblTech[[#This Row],[7-5]] + IF(TblMagic[[#This Row],[Active Infernal Command]]&gt;0,demonic_pact_food_cons,0))</f>
        <v>192.25</v>
      </c>
      <c r="AQ78" s="94">
        <f ca="1">TblProd[[#This Row],[Lumber]]*lumber_rot * (1 + tech_2_1*TblTech[[#This Row],[2-1]] + tech_2_8*TblTech[[#This Row],[2-8]] + tech_5_2*TblTech[[#This Row],[5-2]] + IF(AND(TblMagic[[#This Row],[Active DnD]]&lt;12,TblMagic[[#This Row],[Active DnD]]&gt;5),1,0))</f>
        <v>595.94000000000005</v>
      </c>
      <c r="AR78" s="94">
        <f ca="1">TblProd[[#This Row],[Mana]]*mana_drain * (1 + tech_2_1*TblTech[[#This Row],[2-1]] + tech_2_8*TblTech[[#This Row],[2-8]])</f>
        <v>0</v>
      </c>
      <c r="AS78" s="154"/>
      <c r="AT78" s="94">
        <f ca="1">TblExplore[[#This Row],[Platinum (2)]]+TblConstr[[#This Row],[Total Plat Cost]]+TblMili[[#This Row],[Plat Cost]]+TblRezone[[#This Row],[Platinum cost]]+TblImps[[#This Row],[P1]]-TblProd[[#This Row],[Bank Plat]]</f>
        <v>0</v>
      </c>
      <c r="AU78" s="94">
        <f ca="1">TblConstr[[#This Row],[Total Lum Cost]]+TblImps[[#This Row],[L1]]-TblProd[[#This Row],[Bank Lumber]] + Military!$CO$25*TblMili[[#This Row],[Sec. rec. Cost]]</f>
        <v>0</v>
      </c>
      <c r="AV78" s="94">
        <f ca="1">TblMagic[[#This Row],[Mana cost]] + Military!$CO$26*TblMili[[#This Row],[Sec. rec. Cost]]</f>
        <v>0</v>
      </c>
      <c r="AW78" s="94">
        <f ca="1">Military!$CO$24*TblMili[[#This Row],[Sec. rec. Cost]]+TblImps[[#This Row],[O1]]-TblProd[[#This Row],[Bank Ore]]</f>
        <v>0</v>
      </c>
      <c r="AX78" s="94">
        <f>TblImps[[#This Row],[G1]]-TblProd[[#This Row],[Bank Gems]]</f>
        <v>0</v>
      </c>
      <c r="AY78" s="142"/>
      <c r="AZ78" s="61" t="b">
        <f ca="1">IF(TblProd[[#This Row],[Set Guard]]&lt;&gt;"",TblProd[[#This Row],[Set Guard]],OFFSET(TblProd[[#This Row],[Guard]],-1,0))</f>
        <v>0</v>
      </c>
      <c r="BA78" s="153"/>
      <c r="BB78" s="45">
        <f>TblProd[[#This Row],[Hour]]</f>
        <v>27</v>
      </c>
      <c r="BC78" s="158">
        <f>-TblProd[[#This Row],[Bank Lumber]] / 2 + -TblProd[[#This Row],[Bank Gems]] * 2 + -TblProd[[#This Row],[Bank Ore]] / 2</f>
        <v>0</v>
      </c>
      <c r="BD78" s="158"/>
      <c r="BE78" s="158"/>
      <c r="BF78" s="158"/>
      <c r="BG78" s="159">
        <f ca="1">TblProd[[#This Row],[Time]]</f>
        <v>46323.083333333154</v>
      </c>
      <c r="BH78" s="45"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94">
        <f ca="1">TblProd[[#This Row],[Platinum]]</f>
        <v>186550</v>
      </c>
      <c r="BJ78" s="94">
        <f ca="1">TblProd[[#This Row],[Food]]</f>
        <v>132405</v>
      </c>
      <c r="BK78" s="94">
        <f ca="1">TblProd[[#This Row],[Lumber]]</f>
        <v>59594</v>
      </c>
      <c r="BL78" s="94">
        <f ca="1">TblProd[[#This Row],[Mana]]</f>
        <v>0</v>
      </c>
      <c r="BM78" s="94">
        <f ca="1">TblProd[[#This Row],[Ore]]</f>
        <v>0</v>
      </c>
    </row>
    <row r="79" spans="1:65" x14ac:dyDescent="0.2">
      <c r="A79" s="137">
        <f t="shared" si="0"/>
        <v>28</v>
      </c>
      <c r="B79" s="152">
        <f ca="1">TblImps[[#This Row],[Time]]</f>
        <v>46323.124999999818</v>
      </c>
      <c r="C79" s="153"/>
      <c r="D79" s="154"/>
      <c r="E79" s="94">
        <f ca="1">TblConstr[[#This Row],[Land]]</f>
        <v>50</v>
      </c>
      <c r="F79" s="94">
        <f ca="1">TblPop[[#This Row],[Peasants]]</f>
        <v>223</v>
      </c>
      <c r="G79" s="94">
        <f ca="1">TblMili[[#This Row],[Networth (2)]]</f>
        <v>1250</v>
      </c>
      <c r="H79" s="94">
        <f ca="1">OFFSET(TblProd[[#This Row],[Platinum]],-1,0)+OFFSET(TblProd[[#This Row],[Plat/hr]],-1,0) - TblProd[[#This Row],[Expenses Platinum]] + IF(TblProd[[#This Row],[Plat Bonus]],TblPop[[#This Row],[Peasants]]*4) + SUM(TblConstr[[#This Row],[Dest Hom]:[Dest Doc]])*TblConstr[[#This Row],[CPA Platinum -DB]]*tech_3_3_2*TblTech[[#This Row],[3-3]]</f>
        <v>187157</v>
      </c>
      <c r="I79" s="94">
        <f ca="1">OFFSET(TblProd[[#This Row],[Food]],-1,0)+OFFSET(TblProd[[#This Row],[Food/hr]],-1,0)+ROUNDUP((TblConstr[[#This Row],[Farms]]*80+TblConstr[[#This Row],[Docks]]*35)*(1+OFFSET(TblProd[[#This Row],[Bonus Food/hr]],-1,0)),0)</f>
        <v>133469</v>
      </c>
      <c r="J79" s="94">
        <f ca="1">OFFSET(TblProd[[#This Row],[Lumber]],-1,0)+OFFSET(TblProd[[#This Row],[Lumber/hr]],-1,0) - TblProd[[#This Row],[Expenses Lumber]] + SUM(TblConstr[[#This Row],[Dest Hom]:[Dest Doc]])*TblConstr[[#This Row],[CPA Lumber -DB]]*tech_3_3_2*TblTech[[#This Row],[3-3]]</f>
        <v>59998</v>
      </c>
      <c r="K79" s="94">
        <f ca="1">OFFSET(TblProd[[#This Row],[Mana]],-1,0)+OFFSET(TblProd[[#This Row],[Mana/hr]],-1,0)- TblProd[[#This Row],[Expenses Mana]]</f>
        <v>0</v>
      </c>
      <c r="L79" s="94">
        <f ca="1">OFFSET(TblProd[[#This Row],[Ore]],-1,0)+OFFSET(TblProd[[#This Row],[Ore/hr]],-1,0) -TblProd[[#This Row],[Expenses Ore]]</f>
        <v>0</v>
      </c>
      <c r="M79" s="94">
        <f ca="1">OFFSET(TblProd[[#This Row],[Gems]],-1,0)+OFFSET(TblProd[[#This Row],[Gems/hr]],-1,0) - TblProd[[#This Row],[Expenses Gems]]</f>
        <v>0</v>
      </c>
      <c r="N79" s="94">
        <f ca="1">OFFSET(TblProd[[#This Row],[Boats]],-1,0)+OFFSET(TblProd[[#This Row],[Boats/hr]],-1,0)</f>
        <v>0</v>
      </c>
      <c r="O79" s="94">
        <f ca="1">OFFSET(TblProd[[#This Row],[Prestige]],-1,0)</f>
        <v>250</v>
      </c>
      <c r="P7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9" s="94">
        <f ca="1">MAX(_xlfn.CEILING.MATH(TblProd[[#This Row],[Land]]*2.5+IFERROR(OFFSET(TblTech[[#This Row],[Sum of tech]],-1,0)*50,0)),3750)</f>
        <v>3750</v>
      </c>
      <c r="R79" s="142"/>
      <c r="S79" s="94">
        <f ca="1">ROUNDDOWN(TblProd[[#This Row],[Raw Plat/hr]]*(1+TblProd[[#This Row],[Bonus Plat/hr]]),0)</f>
        <v>602</v>
      </c>
      <c r="T79" s="94">
        <f ca="1">ROUND(TblProd[[#This Row],[Raw Food/hr]]*(1+TblProd[[#This Row],[Bonus Food/hr]])-TblProd[[#This Row],[Food decay]]-TblProd[[#This Row],[Food eaten]],0)</f>
        <v>1053</v>
      </c>
      <c r="U79" s="94">
        <f ca="1">ROUND(TblProd[[#This Row],[Raw Lumber/hr]]*(1+TblProd[[#This Row],[Bonus Lumber/hr]])-TblProd[[#This Row],[Lumber rot]],0)</f>
        <v>400</v>
      </c>
      <c r="V79" s="94">
        <f ca="1">ROUND(TblProd[[#This Row],[Raw Mana/hr]]*(1+TblProd[[#This Row],[Bonus Mana/hr]])-TblProd[[#This Row],[Mana drain]],0)</f>
        <v>0</v>
      </c>
      <c r="W79" s="94">
        <f ca="1">ROUNDDOWN(TblProd[[#This Row],[Raw Ore/hr]]*(1+TblProd[[#This Row],[Bonux Ore/hr]]),0)</f>
        <v>0</v>
      </c>
      <c r="X79" s="94">
        <f ca="1">ROUNDDOWN(TblProd[[#This Row],[Raw Gems/hr]]*(1+TblProd[[#This Row],[Bonus Gems/hr]]),0)</f>
        <v>0</v>
      </c>
      <c r="Y79" s="155">
        <f ca="1">OFFSET(TblConstr[[#This Row],[Tot Doc]],1,0)*dock_boats_hr * (1 + tech_4_1*TblTech[[#This Row],[4-1]])</f>
        <v>0</v>
      </c>
      <c r="Z79" s="154"/>
      <c r="AA79" s="94">
        <f ca="1">TblPop[[#This Row],[Peasants]]*tax*TblPop[[#This Row],[Employment]] + (Construction!AZ80+Construction!BX80)*(alch_plat+(Magic!AN79&gt;0)*alchemist_flame_bonus)</f>
        <v>602.1</v>
      </c>
      <c r="AB79" s="94">
        <f ca="1">TblConstr[[#This Row],[Tot Farm]]*farm_food + TblConstr[[#This Row],[Tot Doc]]*dock_food</f>
        <v>2400</v>
      </c>
      <c r="AC79" s="94">
        <f ca="1">TblConstr[[#This Row],[Tot Ly]]*ly_lumber + TblConstr[[#This Row],[Tot Hav]]*fh_lumber + IF(race="Wood Elf",TblMili[[#This Row],[Unit 2]]*MIN(TblMili[[#This Row],[Homeland%]]/wisp_bonus,wisp_cap),0)</f>
        <v>1000</v>
      </c>
      <c r="AD79" s="94">
        <f ca="1">OFFSET(TblConstr[[#This Row],[Tot Tow]],1,0)*(tower_mana + tech_4_5*TblTech[[#This Row],[4-5]]) + OFFSET(TblConstr[[#This Row],[Tot WG]],1,0)*wg_mana_prod</f>
        <v>0</v>
      </c>
      <c r="AE79" s="94">
        <f ca="1">OFFSET(TblConstr[[#This Row],[Tot OM]],1,0)*om_ore+IF(race="Dwarf",TblMili[[#This Row],[Unit 2]]*0.5,0)</f>
        <v>0</v>
      </c>
      <c r="AF79" s="94">
        <f ca="1">OFFSET(TblConstr[[#This Row],[Tot DM]],1,0)*dm_gems</f>
        <v>0</v>
      </c>
      <c r="AG79" s="142"/>
      <c r="AH79" s="156">
        <f ca="1">MIN(race_platinum_bonus + IF(TblMagic[[#This Row],[Active Arc Infusion]]&gt;0,alch_frost_bonus,IF(Magic!AE79&gt;0,midas_bonus)) + TblImps[[#This Row],[Science]] - TblProd[[#This Row],[Guard]]*(0.02 + tech_5_7*TblTech[[#This Row],[5-7]]) + tech_1_5*TblTech[[#This Row],[1-5]] + tech_4_4*TblTech[[#This Row],[4-4]] + IF(TblMagic[[#This Row],[Active Infernal Command]]&gt;0,demonic_pact_plat,0), 0.5)</f>
        <v>0</v>
      </c>
      <c r="AI7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9" s="156">
        <f ca="1">race_lumber_bonus+ IF(TblMagic[[#This Row],[Active Gaia''s Blessing]]&gt;0,gaias_blessing_lumber)+ tech_1_3*TblTech[[#This Row],[1-3]] + tech_1_6*TblTech[[#This Row],[1-6]] + tech_3_3*TblTech[[#This Row],[3-3]]</f>
        <v>0</v>
      </c>
      <c r="AK79" s="156">
        <f ca="1">race_mana_bonus+ 0 + TblImps[[#This Row],[Spires]] + tech_1_2*TblTech[[#This Row],[1-2]] + tech_3_4*TblTech[[#This Row],[3-4]]</f>
        <v>0</v>
      </c>
      <c r="AL79" s="156">
        <f ca="1">race_ore_bonus + IF(TblMagic[[#This Row],[Active Miner''s Sight]]&gt;0,miners_sight_bonus,IF(TblMagic[[#This Row],[Active Mining Strength]]&gt;0,mining_strength_bonus)) +  tech_1_6*TblTech[[#This Row],[1-6]]</f>
        <v>0</v>
      </c>
      <c r="AM79" s="156">
        <f>race_gem_bonus+ tech_3_2*TblTech[[#This Row],[3-2]] + tech_4_3*TblTech[[#This Row],[4-3]] + tech_6_2*TblTech[[#This Row],[6-2]]</f>
        <v>0</v>
      </c>
      <c r="AN79" s="142"/>
      <c r="AO79" s="94">
        <f ca="1">TblProd[[#This Row],[Food]]*food_decay * (1 + tech_2_1*TblTech[[#This Row],[2-1]] + tech_2_8*TblTech[[#This Row],[2-8]] + IF(AND(TblMagic[[#This Row],[Active DnD]]&lt;12,TblMagic[[#This Row],[Active DnD]]&gt;5),1,0))</f>
        <v>1334.69</v>
      </c>
      <c r="AP79" s="94">
        <f ca="1">(1+race_food_consumption)*TblPop[[#This Row],[Total]]*food_per_person*(1+tech_1_10*TblTech[[#This Row],[1-10]]+tech_7_5*TblTech[[#This Row],[7-5]] + IF(TblMagic[[#This Row],[Active Infernal Command]]&gt;0,demonic_pact_food_cons,0))</f>
        <v>192.25</v>
      </c>
      <c r="AQ79" s="94">
        <f ca="1">TblProd[[#This Row],[Lumber]]*lumber_rot * (1 + tech_2_1*TblTech[[#This Row],[2-1]] + tech_2_8*TblTech[[#This Row],[2-8]] + tech_5_2*TblTech[[#This Row],[5-2]] + IF(AND(TblMagic[[#This Row],[Active DnD]]&lt;12,TblMagic[[#This Row],[Active DnD]]&gt;5),1,0))</f>
        <v>599.98</v>
      </c>
      <c r="AR79" s="94">
        <f ca="1">TblProd[[#This Row],[Mana]]*mana_drain * (1 + tech_2_1*TblTech[[#This Row],[2-1]] + tech_2_8*TblTech[[#This Row],[2-8]])</f>
        <v>0</v>
      </c>
      <c r="AS79" s="154"/>
      <c r="AT79" s="94">
        <f ca="1">TblExplore[[#This Row],[Platinum (2)]]+TblConstr[[#This Row],[Total Plat Cost]]+TblMili[[#This Row],[Plat Cost]]+TblRezone[[#This Row],[Platinum cost]]+TblImps[[#This Row],[P1]]-TblProd[[#This Row],[Bank Plat]]</f>
        <v>0</v>
      </c>
      <c r="AU79" s="94">
        <f ca="1">TblConstr[[#This Row],[Total Lum Cost]]+TblImps[[#This Row],[L1]]-TblProd[[#This Row],[Bank Lumber]] + Military!$CO$25*TblMili[[#This Row],[Sec. rec. Cost]]</f>
        <v>0</v>
      </c>
      <c r="AV79" s="94">
        <f ca="1">TblMagic[[#This Row],[Mana cost]] + Military!$CO$26*TblMili[[#This Row],[Sec. rec. Cost]]</f>
        <v>0</v>
      </c>
      <c r="AW79" s="94">
        <f ca="1">Military!$CO$24*TblMili[[#This Row],[Sec. rec. Cost]]+TblImps[[#This Row],[O1]]-TblProd[[#This Row],[Bank Ore]]</f>
        <v>0</v>
      </c>
      <c r="AX79" s="94">
        <f>TblImps[[#This Row],[G1]]-TblProd[[#This Row],[Bank Gems]]</f>
        <v>0</v>
      </c>
      <c r="AY79" s="142"/>
      <c r="AZ79" s="61" t="b">
        <f ca="1">IF(TblProd[[#This Row],[Set Guard]]&lt;&gt;"",TblProd[[#This Row],[Set Guard]],OFFSET(TblProd[[#This Row],[Guard]],-1,0))</f>
        <v>0</v>
      </c>
      <c r="BA79" s="153"/>
      <c r="BB79" s="45">
        <f>TblProd[[#This Row],[Hour]]</f>
        <v>28</v>
      </c>
      <c r="BC79" s="158">
        <f>-TblProd[[#This Row],[Bank Lumber]] / 2 + -TblProd[[#This Row],[Bank Gems]] * 2 + -TblProd[[#This Row],[Bank Ore]] / 2</f>
        <v>0</v>
      </c>
      <c r="BD79" s="158"/>
      <c r="BE79" s="158"/>
      <c r="BF79" s="158"/>
      <c r="BG79" s="159">
        <f ca="1">TblProd[[#This Row],[Time]]</f>
        <v>46323.124999999818</v>
      </c>
      <c r="BH79" s="45"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94">
        <f ca="1">TblProd[[#This Row],[Platinum]]</f>
        <v>187157</v>
      </c>
      <c r="BJ79" s="94">
        <f ca="1">TblProd[[#This Row],[Food]]</f>
        <v>133469</v>
      </c>
      <c r="BK79" s="94">
        <f ca="1">TblProd[[#This Row],[Lumber]]</f>
        <v>59998</v>
      </c>
      <c r="BL79" s="94">
        <f ca="1">TblProd[[#This Row],[Mana]]</f>
        <v>0</v>
      </c>
      <c r="BM79" s="94">
        <f ca="1">TblProd[[#This Row],[Ore]]</f>
        <v>0</v>
      </c>
    </row>
    <row r="80" spans="1:65" x14ac:dyDescent="0.2">
      <c r="A80" s="137">
        <f t="shared" si="0"/>
        <v>29</v>
      </c>
      <c r="B80" s="152">
        <f ca="1">TblImps[[#This Row],[Time]]</f>
        <v>46323.166666666482</v>
      </c>
      <c r="C80" s="153"/>
      <c r="D80" s="154"/>
      <c r="E80" s="94">
        <f ca="1">TblConstr[[#This Row],[Land]]</f>
        <v>50</v>
      </c>
      <c r="F80" s="94">
        <f ca="1">TblPop[[#This Row],[Peasants]]</f>
        <v>221</v>
      </c>
      <c r="G80" s="94">
        <f ca="1">TblMili[[#This Row],[Networth (2)]]</f>
        <v>1250</v>
      </c>
      <c r="H80" s="94">
        <f ca="1">OFFSET(TblProd[[#This Row],[Platinum]],-1,0)+OFFSET(TblProd[[#This Row],[Plat/hr]],-1,0) - TblProd[[#This Row],[Expenses Platinum]] + IF(TblProd[[#This Row],[Plat Bonus]],TblPop[[#This Row],[Peasants]]*4) + SUM(TblConstr[[#This Row],[Dest Hom]:[Dest Doc]])*TblConstr[[#This Row],[CPA Platinum -DB]]*tech_3_3_2*TblTech[[#This Row],[3-3]]</f>
        <v>187759</v>
      </c>
      <c r="I80" s="94">
        <f ca="1">OFFSET(TblProd[[#This Row],[Food]],-1,0)+OFFSET(TblProd[[#This Row],[Food/hr]],-1,0)+ROUNDUP((TblConstr[[#This Row],[Farms]]*80+TblConstr[[#This Row],[Docks]]*35)*(1+OFFSET(TblProd[[#This Row],[Bonus Food/hr]],-1,0)),0)</f>
        <v>134522</v>
      </c>
      <c r="J80" s="94">
        <f ca="1">OFFSET(TblProd[[#This Row],[Lumber]],-1,0)+OFFSET(TblProd[[#This Row],[Lumber/hr]],-1,0) - TblProd[[#This Row],[Expenses Lumber]] + SUM(TblConstr[[#This Row],[Dest Hom]:[Dest Doc]])*TblConstr[[#This Row],[CPA Lumber -DB]]*tech_3_3_2*TblTech[[#This Row],[3-3]]</f>
        <v>60398</v>
      </c>
      <c r="K80" s="94">
        <f ca="1">OFFSET(TblProd[[#This Row],[Mana]],-1,0)+OFFSET(TblProd[[#This Row],[Mana/hr]],-1,0)- TblProd[[#This Row],[Expenses Mana]]</f>
        <v>0</v>
      </c>
      <c r="L80" s="94">
        <f ca="1">OFFSET(TblProd[[#This Row],[Ore]],-1,0)+OFFSET(TblProd[[#This Row],[Ore/hr]],-1,0) -TblProd[[#This Row],[Expenses Ore]]</f>
        <v>0</v>
      </c>
      <c r="M80" s="94">
        <f ca="1">OFFSET(TblProd[[#This Row],[Gems]],-1,0)+OFFSET(TblProd[[#This Row],[Gems/hr]],-1,0) - TblProd[[#This Row],[Expenses Gems]]</f>
        <v>0</v>
      </c>
      <c r="N80" s="94">
        <f ca="1">OFFSET(TblProd[[#This Row],[Boats]],-1,0)+OFFSET(TblProd[[#This Row],[Boats/hr]],-1,0)</f>
        <v>0</v>
      </c>
      <c r="O80" s="94">
        <f ca="1">OFFSET(TblProd[[#This Row],[Prestige]],-1,0)</f>
        <v>250</v>
      </c>
      <c r="P8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0" s="94">
        <f ca="1">MAX(_xlfn.CEILING.MATH(TblProd[[#This Row],[Land]]*2.5+IFERROR(OFFSET(TblTech[[#This Row],[Sum of tech]],-1,0)*50,0)),3750)</f>
        <v>3750</v>
      </c>
      <c r="R80" s="142"/>
      <c r="S80" s="94">
        <f ca="1">ROUNDDOWN(TblProd[[#This Row],[Raw Plat/hr]]*(1+TblProd[[#This Row],[Bonus Plat/hr]]),0)</f>
        <v>596</v>
      </c>
      <c r="T80" s="94">
        <f ca="1">ROUND(TblProd[[#This Row],[Raw Food/hr]]*(1+TblProd[[#This Row],[Bonus Food/hr]])-TblProd[[#This Row],[Food decay]]-TblProd[[#This Row],[Food eaten]],0)</f>
        <v>1043</v>
      </c>
      <c r="U80" s="94">
        <f ca="1">ROUND(TblProd[[#This Row],[Raw Lumber/hr]]*(1+TblProd[[#This Row],[Bonus Lumber/hr]])-TblProd[[#This Row],[Lumber rot]],0)</f>
        <v>396</v>
      </c>
      <c r="V80" s="94">
        <f ca="1">ROUND(TblProd[[#This Row],[Raw Mana/hr]]*(1+TblProd[[#This Row],[Bonus Mana/hr]])-TblProd[[#This Row],[Mana drain]],0)</f>
        <v>0</v>
      </c>
      <c r="W80" s="94">
        <f ca="1">ROUNDDOWN(TblProd[[#This Row],[Raw Ore/hr]]*(1+TblProd[[#This Row],[Bonux Ore/hr]]),0)</f>
        <v>0</v>
      </c>
      <c r="X80" s="94">
        <f ca="1">ROUNDDOWN(TblProd[[#This Row],[Raw Gems/hr]]*(1+TblProd[[#This Row],[Bonus Gems/hr]]),0)</f>
        <v>0</v>
      </c>
      <c r="Y80" s="155">
        <f ca="1">OFFSET(TblConstr[[#This Row],[Tot Doc]],1,0)*dock_boats_hr * (1 + tech_4_1*TblTech[[#This Row],[4-1]])</f>
        <v>0</v>
      </c>
      <c r="Z80" s="154"/>
      <c r="AA80" s="94">
        <f ca="1">TblPop[[#This Row],[Peasants]]*tax*TblPop[[#This Row],[Employment]] + (Construction!AZ81+Construction!BX81)*(alch_plat+(Magic!AN80&gt;0)*alchemist_flame_bonus)</f>
        <v>596.70000000000005</v>
      </c>
      <c r="AB80" s="94">
        <f ca="1">TblConstr[[#This Row],[Tot Farm]]*farm_food + TblConstr[[#This Row],[Tot Doc]]*dock_food</f>
        <v>2400</v>
      </c>
      <c r="AC80" s="94">
        <f ca="1">TblConstr[[#This Row],[Tot Ly]]*ly_lumber + TblConstr[[#This Row],[Tot Hav]]*fh_lumber + IF(race="Wood Elf",TblMili[[#This Row],[Unit 2]]*MIN(TblMili[[#This Row],[Homeland%]]/wisp_bonus,wisp_cap),0)</f>
        <v>1000</v>
      </c>
      <c r="AD80" s="94">
        <f ca="1">OFFSET(TblConstr[[#This Row],[Tot Tow]],1,0)*(tower_mana + tech_4_5*TblTech[[#This Row],[4-5]]) + OFFSET(TblConstr[[#This Row],[Tot WG]],1,0)*wg_mana_prod</f>
        <v>0</v>
      </c>
      <c r="AE80" s="94">
        <f ca="1">OFFSET(TblConstr[[#This Row],[Tot OM]],1,0)*om_ore+IF(race="Dwarf",TblMili[[#This Row],[Unit 2]]*0.5,0)</f>
        <v>0</v>
      </c>
      <c r="AF80" s="94">
        <f ca="1">OFFSET(TblConstr[[#This Row],[Tot DM]],1,0)*dm_gems</f>
        <v>0</v>
      </c>
      <c r="AG80" s="142"/>
      <c r="AH80" s="156">
        <f ca="1">MIN(race_platinum_bonus + IF(TblMagic[[#This Row],[Active Arc Infusion]]&gt;0,alch_frost_bonus,IF(Magic!AE80&gt;0,midas_bonus)) + TblImps[[#This Row],[Science]] - TblProd[[#This Row],[Guard]]*(0.02 + tech_5_7*TblTech[[#This Row],[5-7]]) + tech_1_5*TblTech[[#This Row],[1-5]] + tech_4_4*TblTech[[#This Row],[4-4]] + IF(TblMagic[[#This Row],[Active Infernal Command]]&gt;0,demonic_pact_plat,0), 0.5)</f>
        <v>0</v>
      </c>
      <c r="AI8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0" s="156">
        <f ca="1">race_lumber_bonus+ IF(TblMagic[[#This Row],[Active Gaia''s Blessing]]&gt;0,gaias_blessing_lumber)+ tech_1_3*TblTech[[#This Row],[1-3]] + tech_1_6*TblTech[[#This Row],[1-6]] + tech_3_3*TblTech[[#This Row],[3-3]]</f>
        <v>0</v>
      </c>
      <c r="AK80" s="156">
        <f ca="1">race_mana_bonus+ 0 + TblImps[[#This Row],[Spires]] + tech_1_2*TblTech[[#This Row],[1-2]] + tech_3_4*TblTech[[#This Row],[3-4]]</f>
        <v>0</v>
      </c>
      <c r="AL80" s="156">
        <f ca="1">race_ore_bonus + IF(TblMagic[[#This Row],[Active Miner''s Sight]]&gt;0,miners_sight_bonus,IF(TblMagic[[#This Row],[Active Mining Strength]]&gt;0,mining_strength_bonus)) +  tech_1_6*TblTech[[#This Row],[1-6]]</f>
        <v>0</v>
      </c>
      <c r="AM80" s="156">
        <f>race_gem_bonus+ tech_3_2*TblTech[[#This Row],[3-2]] + tech_4_3*TblTech[[#This Row],[4-3]] + tech_6_2*TblTech[[#This Row],[6-2]]</f>
        <v>0</v>
      </c>
      <c r="AN80" s="142"/>
      <c r="AO80" s="94">
        <f ca="1">TblProd[[#This Row],[Food]]*food_decay * (1 + tech_2_1*TblTech[[#This Row],[2-1]] + tech_2_8*TblTech[[#This Row],[2-8]] + IF(AND(TblMagic[[#This Row],[Active DnD]]&lt;12,TblMagic[[#This Row],[Active DnD]]&gt;5),1,0))</f>
        <v>1345.22</v>
      </c>
      <c r="AP80" s="94">
        <f ca="1">(1+race_food_consumption)*TblPop[[#This Row],[Total]]*food_per_person*(1+tech_1_10*TblTech[[#This Row],[1-10]]+tech_7_5*TblTech[[#This Row],[7-5]] + IF(TblMagic[[#This Row],[Active Infernal Command]]&gt;0,demonic_pact_food_cons,0))</f>
        <v>192.25</v>
      </c>
      <c r="AQ80" s="94">
        <f ca="1">TblProd[[#This Row],[Lumber]]*lumber_rot * (1 + tech_2_1*TblTech[[#This Row],[2-1]] + tech_2_8*TblTech[[#This Row],[2-8]] + tech_5_2*TblTech[[#This Row],[5-2]] + IF(AND(TblMagic[[#This Row],[Active DnD]]&lt;12,TblMagic[[#This Row],[Active DnD]]&gt;5),1,0))</f>
        <v>603.98</v>
      </c>
      <c r="AR80" s="94">
        <f ca="1">TblProd[[#This Row],[Mana]]*mana_drain * (1 + tech_2_1*TblTech[[#This Row],[2-1]] + tech_2_8*TblTech[[#This Row],[2-8]])</f>
        <v>0</v>
      </c>
      <c r="AS80" s="154"/>
      <c r="AT80" s="94">
        <f ca="1">TblExplore[[#This Row],[Platinum (2)]]+TblConstr[[#This Row],[Total Plat Cost]]+TblMili[[#This Row],[Plat Cost]]+TblRezone[[#This Row],[Platinum cost]]+TblImps[[#This Row],[P1]]-TblProd[[#This Row],[Bank Plat]]</f>
        <v>0</v>
      </c>
      <c r="AU80" s="94">
        <f ca="1">TblConstr[[#This Row],[Total Lum Cost]]+TblImps[[#This Row],[L1]]-TblProd[[#This Row],[Bank Lumber]] + Military!$CO$25*TblMili[[#This Row],[Sec. rec. Cost]]</f>
        <v>0</v>
      </c>
      <c r="AV80" s="94">
        <f ca="1">TblMagic[[#This Row],[Mana cost]] + Military!$CO$26*TblMili[[#This Row],[Sec. rec. Cost]]</f>
        <v>0</v>
      </c>
      <c r="AW80" s="94">
        <f ca="1">Military!$CO$24*TblMili[[#This Row],[Sec. rec. Cost]]+TblImps[[#This Row],[O1]]-TblProd[[#This Row],[Bank Ore]]</f>
        <v>0</v>
      </c>
      <c r="AX80" s="94">
        <f>TblImps[[#This Row],[G1]]-TblProd[[#This Row],[Bank Gems]]</f>
        <v>0</v>
      </c>
      <c r="AY80" s="142"/>
      <c r="AZ80" s="61" t="b">
        <f ca="1">IF(TblProd[[#This Row],[Set Guard]]&lt;&gt;"",TblProd[[#This Row],[Set Guard]],OFFSET(TblProd[[#This Row],[Guard]],-1,0))</f>
        <v>0</v>
      </c>
      <c r="BA80" s="153"/>
      <c r="BB80" s="45">
        <f>TblProd[[#This Row],[Hour]]</f>
        <v>29</v>
      </c>
      <c r="BC80" s="158">
        <f>-TblProd[[#This Row],[Bank Lumber]] / 2 + -TblProd[[#This Row],[Bank Gems]] * 2 + -TblProd[[#This Row],[Bank Ore]] / 2</f>
        <v>0</v>
      </c>
      <c r="BD80" s="158"/>
      <c r="BE80" s="158"/>
      <c r="BF80" s="158"/>
      <c r="BG80" s="159">
        <f ca="1">TblProd[[#This Row],[Time]]</f>
        <v>46323.166666666482</v>
      </c>
      <c r="BH80" s="45"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94">
        <f ca="1">TblProd[[#This Row],[Platinum]]</f>
        <v>187759</v>
      </c>
      <c r="BJ80" s="94">
        <f ca="1">TblProd[[#This Row],[Food]]</f>
        <v>134522</v>
      </c>
      <c r="BK80" s="94">
        <f ca="1">TblProd[[#This Row],[Lumber]]</f>
        <v>60398</v>
      </c>
      <c r="BL80" s="94">
        <f ca="1">TblProd[[#This Row],[Mana]]</f>
        <v>0</v>
      </c>
      <c r="BM80" s="94">
        <f ca="1">TblProd[[#This Row],[Ore]]</f>
        <v>0</v>
      </c>
    </row>
    <row r="81" spans="1:65" x14ac:dyDescent="0.2">
      <c r="A81" s="137">
        <f t="shared" si="0"/>
        <v>30</v>
      </c>
      <c r="B81" s="152">
        <f ca="1">TblImps[[#This Row],[Time]]</f>
        <v>46323.208333333147</v>
      </c>
      <c r="C81" s="153"/>
      <c r="D81" s="154"/>
      <c r="E81" s="94">
        <f ca="1">TblConstr[[#This Row],[Land]]</f>
        <v>50</v>
      </c>
      <c r="F81" s="94">
        <f ca="1">TblPop[[#This Row],[Peasants]]</f>
        <v>219</v>
      </c>
      <c r="G81" s="94">
        <f ca="1">TblMili[[#This Row],[Networth (2)]]</f>
        <v>1250</v>
      </c>
      <c r="H81" s="94">
        <f ca="1">OFFSET(TblProd[[#This Row],[Platinum]],-1,0)+OFFSET(TblProd[[#This Row],[Plat/hr]],-1,0) - TblProd[[#This Row],[Expenses Platinum]] + IF(TblProd[[#This Row],[Plat Bonus]],TblPop[[#This Row],[Peasants]]*4) + SUM(TblConstr[[#This Row],[Dest Hom]:[Dest Doc]])*TblConstr[[#This Row],[CPA Platinum -DB]]*tech_3_3_2*TblTech[[#This Row],[3-3]]</f>
        <v>188355</v>
      </c>
      <c r="I81" s="94">
        <f ca="1">OFFSET(TblProd[[#This Row],[Food]],-1,0)+OFFSET(TblProd[[#This Row],[Food/hr]],-1,0)+ROUNDUP((TblConstr[[#This Row],[Farms]]*80+TblConstr[[#This Row],[Docks]]*35)*(1+OFFSET(TblProd[[#This Row],[Bonus Food/hr]],-1,0)),0)</f>
        <v>135565</v>
      </c>
      <c r="J81" s="94">
        <f ca="1">OFFSET(TblProd[[#This Row],[Lumber]],-1,0)+OFFSET(TblProd[[#This Row],[Lumber/hr]],-1,0) - TblProd[[#This Row],[Expenses Lumber]] + SUM(TblConstr[[#This Row],[Dest Hom]:[Dest Doc]])*TblConstr[[#This Row],[CPA Lumber -DB]]*tech_3_3_2*TblTech[[#This Row],[3-3]]</f>
        <v>60794</v>
      </c>
      <c r="K81" s="94">
        <f ca="1">OFFSET(TblProd[[#This Row],[Mana]],-1,0)+OFFSET(TblProd[[#This Row],[Mana/hr]],-1,0)- TblProd[[#This Row],[Expenses Mana]]</f>
        <v>0</v>
      </c>
      <c r="L81" s="94">
        <f ca="1">OFFSET(TblProd[[#This Row],[Ore]],-1,0)+OFFSET(TblProd[[#This Row],[Ore/hr]],-1,0) -TblProd[[#This Row],[Expenses Ore]]</f>
        <v>0</v>
      </c>
      <c r="M81" s="94">
        <f ca="1">OFFSET(TblProd[[#This Row],[Gems]],-1,0)+OFFSET(TblProd[[#This Row],[Gems/hr]],-1,0) - TblProd[[#This Row],[Expenses Gems]]</f>
        <v>0</v>
      </c>
      <c r="N81" s="94">
        <f ca="1">OFFSET(TblProd[[#This Row],[Boats]],-1,0)+OFFSET(TblProd[[#This Row],[Boats/hr]],-1,0)</f>
        <v>0</v>
      </c>
      <c r="O81" s="94">
        <f ca="1">OFFSET(TblProd[[#This Row],[Prestige]],-1,0)</f>
        <v>250</v>
      </c>
      <c r="P8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1" s="94">
        <f ca="1">MAX(_xlfn.CEILING.MATH(TblProd[[#This Row],[Land]]*2.5+IFERROR(OFFSET(TblTech[[#This Row],[Sum of tech]],-1,0)*50,0)),3750)</f>
        <v>3750</v>
      </c>
      <c r="R81" s="142"/>
      <c r="S81" s="94">
        <f ca="1">ROUNDDOWN(TblProd[[#This Row],[Raw Plat/hr]]*(1+TblProd[[#This Row],[Bonus Plat/hr]]),0)</f>
        <v>591</v>
      </c>
      <c r="T81" s="94">
        <f ca="1">ROUND(TblProd[[#This Row],[Raw Food/hr]]*(1+TblProd[[#This Row],[Bonus Food/hr]])-TblProd[[#This Row],[Food decay]]-TblProd[[#This Row],[Food eaten]],0)</f>
        <v>1032</v>
      </c>
      <c r="U81" s="94">
        <f ca="1">ROUND(TblProd[[#This Row],[Raw Lumber/hr]]*(1+TblProd[[#This Row],[Bonus Lumber/hr]])-TblProd[[#This Row],[Lumber rot]],0)</f>
        <v>392</v>
      </c>
      <c r="V81" s="94">
        <f ca="1">ROUND(TblProd[[#This Row],[Raw Mana/hr]]*(1+TblProd[[#This Row],[Bonus Mana/hr]])-TblProd[[#This Row],[Mana drain]],0)</f>
        <v>0</v>
      </c>
      <c r="W81" s="94">
        <f ca="1">ROUNDDOWN(TblProd[[#This Row],[Raw Ore/hr]]*(1+TblProd[[#This Row],[Bonux Ore/hr]]),0)</f>
        <v>0</v>
      </c>
      <c r="X81" s="94">
        <f ca="1">ROUNDDOWN(TblProd[[#This Row],[Raw Gems/hr]]*(1+TblProd[[#This Row],[Bonus Gems/hr]]),0)</f>
        <v>0</v>
      </c>
      <c r="Y81" s="155">
        <f ca="1">OFFSET(TblConstr[[#This Row],[Tot Doc]],1,0)*dock_boats_hr * (1 + tech_4_1*TblTech[[#This Row],[4-1]])</f>
        <v>0</v>
      </c>
      <c r="Z81" s="154"/>
      <c r="AA81" s="94">
        <f ca="1">TblPop[[#This Row],[Peasants]]*tax*TblPop[[#This Row],[Employment]] + (Construction!AZ82+Construction!BX82)*(alch_plat+(Magic!AN81&gt;0)*alchemist_flame_bonus)</f>
        <v>591.30000000000007</v>
      </c>
      <c r="AB81" s="94">
        <f ca="1">TblConstr[[#This Row],[Tot Farm]]*farm_food + TblConstr[[#This Row],[Tot Doc]]*dock_food</f>
        <v>2400</v>
      </c>
      <c r="AC81" s="94">
        <f ca="1">TblConstr[[#This Row],[Tot Ly]]*ly_lumber + TblConstr[[#This Row],[Tot Hav]]*fh_lumber + IF(race="Wood Elf",TblMili[[#This Row],[Unit 2]]*MIN(TblMili[[#This Row],[Homeland%]]/wisp_bonus,wisp_cap),0)</f>
        <v>1000</v>
      </c>
      <c r="AD81" s="94">
        <f ca="1">OFFSET(TblConstr[[#This Row],[Tot Tow]],1,0)*(tower_mana + tech_4_5*TblTech[[#This Row],[4-5]]) + OFFSET(TblConstr[[#This Row],[Tot WG]],1,0)*wg_mana_prod</f>
        <v>0</v>
      </c>
      <c r="AE81" s="94">
        <f ca="1">OFFSET(TblConstr[[#This Row],[Tot OM]],1,0)*om_ore+IF(race="Dwarf",TblMili[[#This Row],[Unit 2]]*0.5,0)</f>
        <v>0</v>
      </c>
      <c r="AF81" s="94">
        <f ca="1">OFFSET(TblConstr[[#This Row],[Tot DM]],1,0)*dm_gems</f>
        <v>0</v>
      </c>
      <c r="AG81" s="142"/>
      <c r="AH81" s="156">
        <f ca="1">MIN(race_platinum_bonus + IF(TblMagic[[#This Row],[Active Arc Infusion]]&gt;0,alch_frost_bonus,IF(Magic!AE81&gt;0,midas_bonus)) + TblImps[[#This Row],[Science]] - TblProd[[#This Row],[Guard]]*(0.02 + tech_5_7*TblTech[[#This Row],[5-7]]) + tech_1_5*TblTech[[#This Row],[1-5]] + tech_4_4*TblTech[[#This Row],[4-4]] + IF(TblMagic[[#This Row],[Active Infernal Command]]&gt;0,demonic_pact_plat,0), 0.5)</f>
        <v>0</v>
      </c>
      <c r="AI8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1" s="156">
        <f ca="1">race_lumber_bonus+ IF(TblMagic[[#This Row],[Active Gaia''s Blessing]]&gt;0,gaias_blessing_lumber)+ tech_1_3*TblTech[[#This Row],[1-3]] + tech_1_6*TblTech[[#This Row],[1-6]] + tech_3_3*TblTech[[#This Row],[3-3]]</f>
        <v>0</v>
      </c>
      <c r="AK81" s="156">
        <f ca="1">race_mana_bonus+ 0 + TblImps[[#This Row],[Spires]] + tech_1_2*TblTech[[#This Row],[1-2]] + tech_3_4*TblTech[[#This Row],[3-4]]</f>
        <v>0</v>
      </c>
      <c r="AL81" s="156">
        <f ca="1">race_ore_bonus + IF(TblMagic[[#This Row],[Active Miner''s Sight]]&gt;0,miners_sight_bonus,IF(TblMagic[[#This Row],[Active Mining Strength]]&gt;0,mining_strength_bonus)) +  tech_1_6*TblTech[[#This Row],[1-6]]</f>
        <v>0</v>
      </c>
      <c r="AM81" s="156">
        <f>race_gem_bonus+ tech_3_2*TblTech[[#This Row],[3-2]] + tech_4_3*TblTech[[#This Row],[4-3]] + tech_6_2*TblTech[[#This Row],[6-2]]</f>
        <v>0</v>
      </c>
      <c r="AN81" s="142"/>
      <c r="AO81" s="94">
        <f ca="1">TblProd[[#This Row],[Food]]*food_decay * (1 + tech_2_1*TblTech[[#This Row],[2-1]] + tech_2_8*TblTech[[#This Row],[2-8]] + IF(AND(TblMagic[[#This Row],[Active DnD]]&lt;12,TblMagic[[#This Row],[Active DnD]]&gt;5),1,0))</f>
        <v>1355.65</v>
      </c>
      <c r="AP81" s="94">
        <f ca="1">(1+race_food_consumption)*TblPop[[#This Row],[Total]]*food_per_person*(1+tech_1_10*TblTech[[#This Row],[1-10]]+tech_7_5*TblTech[[#This Row],[7-5]] + IF(TblMagic[[#This Row],[Active Infernal Command]]&gt;0,demonic_pact_food_cons,0))</f>
        <v>192.25</v>
      </c>
      <c r="AQ81" s="94">
        <f ca="1">TblProd[[#This Row],[Lumber]]*lumber_rot * (1 + tech_2_1*TblTech[[#This Row],[2-1]] + tech_2_8*TblTech[[#This Row],[2-8]] + tech_5_2*TblTech[[#This Row],[5-2]] + IF(AND(TblMagic[[#This Row],[Active DnD]]&lt;12,TblMagic[[#This Row],[Active DnD]]&gt;5),1,0))</f>
        <v>607.94000000000005</v>
      </c>
      <c r="AR81" s="94">
        <f ca="1">TblProd[[#This Row],[Mana]]*mana_drain * (1 + tech_2_1*TblTech[[#This Row],[2-1]] + tech_2_8*TblTech[[#This Row],[2-8]])</f>
        <v>0</v>
      </c>
      <c r="AS81" s="154"/>
      <c r="AT81" s="94">
        <f ca="1">TblExplore[[#This Row],[Platinum (2)]]+TblConstr[[#This Row],[Total Plat Cost]]+TblMili[[#This Row],[Plat Cost]]+TblRezone[[#This Row],[Platinum cost]]+TblImps[[#This Row],[P1]]-TblProd[[#This Row],[Bank Plat]]</f>
        <v>0</v>
      </c>
      <c r="AU81" s="94">
        <f ca="1">TblConstr[[#This Row],[Total Lum Cost]]+TblImps[[#This Row],[L1]]-TblProd[[#This Row],[Bank Lumber]] + Military!$CO$25*TblMili[[#This Row],[Sec. rec. Cost]]</f>
        <v>0</v>
      </c>
      <c r="AV81" s="94">
        <f ca="1">TblMagic[[#This Row],[Mana cost]] + Military!$CO$26*TblMili[[#This Row],[Sec. rec. Cost]]</f>
        <v>0</v>
      </c>
      <c r="AW81" s="94">
        <f ca="1">Military!$CO$24*TblMili[[#This Row],[Sec. rec. Cost]]+TblImps[[#This Row],[O1]]-TblProd[[#This Row],[Bank Ore]]</f>
        <v>0</v>
      </c>
      <c r="AX81" s="94">
        <f>TblImps[[#This Row],[G1]]-TblProd[[#This Row],[Bank Gems]]</f>
        <v>0</v>
      </c>
      <c r="AY81" s="142"/>
      <c r="AZ81" s="61" t="b">
        <f ca="1">IF(TblProd[[#This Row],[Set Guard]]&lt;&gt;"",TblProd[[#This Row],[Set Guard]],OFFSET(TblProd[[#This Row],[Guard]],-1,0))</f>
        <v>0</v>
      </c>
      <c r="BA81" s="153"/>
      <c r="BB81" s="45">
        <f>TblProd[[#This Row],[Hour]]</f>
        <v>30</v>
      </c>
      <c r="BC81" s="158">
        <f>-TblProd[[#This Row],[Bank Lumber]] / 2 + -TblProd[[#This Row],[Bank Gems]] * 2 + -TblProd[[#This Row],[Bank Ore]] / 2</f>
        <v>0</v>
      </c>
      <c r="BD81" s="158"/>
      <c r="BE81" s="158"/>
      <c r="BF81" s="158"/>
      <c r="BG81" s="159">
        <f ca="1">TblProd[[#This Row],[Time]]</f>
        <v>46323.208333333147</v>
      </c>
      <c r="BH81" s="45"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94">
        <f ca="1">TblProd[[#This Row],[Platinum]]</f>
        <v>188355</v>
      </c>
      <c r="BJ81" s="94">
        <f ca="1">TblProd[[#This Row],[Food]]</f>
        <v>135565</v>
      </c>
      <c r="BK81" s="94">
        <f ca="1">TblProd[[#This Row],[Lumber]]</f>
        <v>60794</v>
      </c>
      <c r="BL81" s="94">
        <f ca="1">TblProd[[#This Row],[Mana]]</f>
        <v>0</v>
      </c>
      <c r="BM81" s="94">
        <f ca="1">TblProd[[#This Row],[Ore]]</f>
        <v>0</v>
      </c>
    </row>
    <row r="82" spans="1:65" x14ac:dyDescent="0.2">
      <c r="A82" s="137">
        <f t="shared" si="0"/>
        <v>31</v>
      </c>
      <c r="B82" s="152">
        <f ca="1">TblImps[[#This Row],[Time]]</f>
        <v>46323.249999999811</v>
      </c>
      <c r="C82" s="153"/>
      <c r="D82" s="154"/>
      <c r="E82" s="94">
        <f ca="1">TblConstr[[#This Row],[Land]]</f>
        <v>50</v>
      </c>
      <c r="F82" s="94">
        <f ca="1">TblPop[[#This Row],[Peasants]]</f>
        <v>217</v>
      </c>
      <c r="G82" s="94">
        <f ca="1">TblMili[[#This Row],[Networth (2)]]</f>
        <v>1250</v>
      </c>
      <c r="H82" s="94">
        <f ca="1">OFFSET(TblProd[[#This Row],[Platinum]],-1,0)+OFFSET(TblProd[[#This Row],[Plat/hr]],-1,0) - TblProd[[#This Row],[Expenses Platinum]] + IF(TblProd[[#This Row],[Plat Bonus]],TblPop[[#This Row],[Peasants]]*4) + SUM(TblConstr[[#This Row],[Dest Hom]:[Dest Doc]])*TblConstr[[#This Row],[CPA Platinum -DB]]*tech_3_3_2*TblTech[[#This Row],[3-3]]</f>
        <v>188946</v>
      </c>
      <c r="I82" s="94">
        <f ca="1">OFFSET(TblProd[[#This Row],[Food]],-1,0)+OFFSET(TblProd[[#This Row],[Food/hr]],-1,0)+ROUNDUP((TblConstr[[#This Row],[Farms]]*80+TblConstr[[#This Row],[Docks]]*35)*(1+OFFSET(TblProd[[#This Row],[Bonus Food/hr]],-1,0)),0)</f>
        <v>136597</v>
      </c>
      <c r="J82" s="94">
        <f ca="1">OFFSET(TblProd[[#This Row],[Lumber]],-1,0)+OFFSET(TblProd[[#This Row],[Lumber/hr]],-1,0) - TblProd[[#This Row],[Expenses Lumber]] + SUM(TblConstr[[#This Row],[Dest Hom]:[Dest Doc]])*TblConstr[[#This Row],[CPA Lumber -DB]]*tech_3_3_2*TblTech[[#This Row],[3-3]]</f>
        <v>61186</v>
      </c>
      <c r="K82" s="94">
        <f ca="1">OFFSET(TblProd[[#This Row],[Mana]],-1,0)+OFFSET(TblProd[[#This Row],[Mana/hr]],-1,0)- TblProd[[#This Row],[Expenses Mana]]</f>
        <v>0</v>
      </c>
      <c r="L82" s="94">
        <f ca="1">OFFSET(TblProd[[#This Row],[Ore]],-1,0)+OFFSET(TblProd[[#This Row],[Ore/hr]],-1,0) -TblProd[[#This Row],[Expenses Ore]]</f>
        <v>0</v>
      </c>
      <c r="M82" s="94">
        <f ca="1">OFFSET(TblProd[[#This Row],[Gems]],-1,0)+OFFSET(TblProd[[#This Row],[Gems/hr]],-1,0) - TblProd[[#This Row],[Expenses Gems]]</f>
        <v>0</v>
      </c>
      <c r="N82" s="94">
        <f ca="1">OFFSET(TblProd[[#This Row],[Boats]],-1,0)+OFFSET(TblProd[[#This Row],[Boats/hr]],-1,0)</f>
        <v>0</v>
      </c>
      <c r="O82" s="94">
        <f ca="1">OFFSET(TblProd[[#This Row],[Prestige]],-1,0)</f>
        <v>250</v>
      </c>
      <c r="P8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2" s="94">
        <f ca="1">MAX(_xlfn.CEILING.MATH(TblProd[[#This Row],[Land]]*2.5+IFERROR(OFFSET(TblTech[[#This Row],[Sum of tech]],-1,0)*50,0)),3750)</f>
        <v>3750</v>
      </c>
      <c r="R82" s="142"/>
      <c r="S82" s="94">
        <f ca="1">ROUNDDOWN(TblProd[[#This Row],[Raw Plat/hr]]*(1+TblProd[[#This Row],[Bonus Plat/hr]]),0)</f>
        <v>585</v>
      </c>
      <c r="T82" s="94">
        <f ca="1">ROUND(TblProd[[#This Row],[Raw Food/hr]]*(1+TblProd[[#This Row],[Bonus Food/hr]])-TblProd[[#This Row],[Food decay]]-TblProd[[#This Row],[Food eaten]],0)</f>
        <v>1022</v>
      </c>
      <c r="U82" s="94">
        <f ca="1">ROUND(TblProd[[#This Row],[Raw Lumber/hr]]*(1+TblProd[[#This Row],[Bonus Lumber/hr]])-TblProd[[#This Row],[Lumber rot]],0)</f>
        <v>388</v>
      </c>
      <c r="V82" s="94">
        <f ca="1">ROUND(TblProd[[#This Row],[Raw Mana/hr]]*(1+TblProd[[#This Row],[Bonus Mana/hr]])-TblProd[[#This Row],[Mana drain]],0)</f>
        <v>0</v>
      </c>
      <c r="W82" s="94">
        <f ca="1">ROUNDDOWN(TblProd[[#This Row],[Raw Ore/hr]]*(1+TblProd[[#This Row],[Bonux Ore/hr]]),0)</f>
        <v>0</v>
      </c>
      <c r="X82" s="94">
        <f ca="1">ROUNDDOWN(TblProd[[#This Row],[Raw Gems/hr]]*(1+TblProd[[#This Row],[Bonus Gems/hr]]),0)</f>
        <v>0</v>
      </c>
      <c r="Y82" s="155">
        <f ca="1">OFFSET(TblConstr[[#This Row],[Tot Doc]],1,0)*dock_boats_hr * (1 + tech_4_1*TblTech[[#This Row],[4-1]])</f>
        <v>0</v>
      </c>
      <c r="Z82" s="154"/>
      <c r="AA82" s="94">
        <f ca="1">TblPop[[#This Row],[Peasants]]*tax*TblPop[[#This Row],[Employment]] + (Construction!AZ83+Construction!BX83)*(alch_plat+(Magic!AN82&gt;0)*alchemist_flame_bonus)</f>
        <v>585.90000000000009</v>
      </c>
      <c r="AB82" s="94">
        <f ca="1">TblConstr[[#This Row],[Tot Farm]]*farm_food + TblConstr[[#This Row],[Tot Doc]]*dock_food</f>
        <v>2400</v>
      </c>
      <c r="AC82" s="94">
        <f ca="1">TblConstr[[#This Row],[Tot Ly]]*ly_lumber + TblConstr[[#This Row],[Tot Hav]]*fh_lumber + IF(race="Wood Elf",TblMili[[#This Row],[Unit 2]]*MIN(TblMili[[#This Row],[Homeland%]]/wisp_bonus,wisp_cap),0)</f>
        <v>1000</v>
      </c>
      <c r="AD82" s="94">
        <f ca="1">OFFSET(TblConstr[[#This Row],[Tot Tow]],1,0)*(tower_mana + tech_4_5*TblTech[[#This Row],[4-5]]) + OFFSET(TblConstr[[#This Row],[Tot WG]],1,0)*wg_mana_prod</f>
        <v>0</v>
      </c>
      <c r="AE82" s="94">
        <f ca="1">OFFSET(TblConstr[[#This Row],[Tot OM]],1,0)*om_ore+IF(race="Dwarf",TblMili[[#This Row],[Unit 2]]*0.5,0)</f>
        <v>0</v>
      </c>
      <c r="AF82" s="94">
        <f ca="1">OFFSET(TblConstr[[#This Row],[Tot DM]],1,0)*dm_gems</f>
        <v>0</v>
      </c>
      <c r="AG82" s="142"/>
      <c r="AH82" s="156">
        <f ca="1">MIN(race_platinum_bonus + IF(TblMagic[[#This Row],[Active Arc Infusion]]&gt;0,alch_frost_bonus,IF(Magic!AE82&gt;0,midas_bonus)) + TblImps[[#This Row],[Science]] - TblProd[[#This Row],[Guard]]*(0.02 + tech_5_7*TblTech[[#This Row],[5-7]]) + tech_1_5*TblTech[[#This Row],[1-5]] + tech_4_4*TblTech[[#This Row],[4-4]] + IF(TblMagic[[#This Row],[Active Infernal Command]]&gt;0,demonic_pact_plat,0), 0.5)</f>
        <v>0</v>
      </c>
      <c r="AI8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2" s="156">
        <f ca="1">race_lumber_bonus+ IF(TblMagic[[#This Row],[Active Gaia''s Blessing]]&gt;0,gaias_blessing_lumber)+ tech_1_3*TblTech[[#This Row],[1-3]] + tech_1_6*TblTech[[#This Row],[1-6]] + tech_3_3*TblTech[[#This Row],[3-3]]</f>
        <v>0</v>
      </c>
      <c r="AK82" s="156">
        <f ca="1">race_mana_bonus+ 0 + TblImps[[#This Row],[Spires]] + tech_1_2*TblTech[[#This Row],[1-2]] + tech_3_4*TblTech[[#This Row],[3-4]]</f>
        <v>0</v>
      </c>
      <c r="AL82" s="156">
        <f ca="1">race_ore_bonus + IF(TblMagic[[#This Row],[Active Miner''s Sight]]&gt;0,miners_sight_bonus,IF(TblMagic[[#This Row],[Active Mining Strength]]&gt;0,mining_strength_bonus)) +  tech_1_6*TblTech[[#This Row],[1-6]]</f>
        <v>0</v>
      </c>
      <c r="AM82" s="156">
        <f>race_gem_bonus+ tech_3_2*TblTech[[#This Row],[3-2]] + tech_4_3*TblTech[[#This Row],[4-3]] + tech_6_2*TblTech[[#This Row],[6-2]]</f>
        <v>0</v>
      </c>
      <c r="AN82" s="142"/>
      <c r="AO82" s="94">
        <f ca="1">TblProd[[#This Row],[Food]]*food_decay * (1 + tech_2_1*TblTech[[#This Row],[2-1]] + tech_2_8*TblTech[[#This Row],[2-8]] + IF(AND(TblMagic[[#This Row],[Active DnD]]&lt;12,TblMagic[[#This Row],[Active DnD]]&gt;5),1,0))</f>
        <v>1365.97</v>
      </c>
      <c r="AP82" s="94">
        <f ca="1">(1+race_food_consumption)*TblPop[[#This Row],[Total]]*food_per_person*(1+tech_1_10*TblTech[[#This Row],[1-10]]+tech_7_5*TblTech[[#This Row],[7-5]] + IF(TblMagic[[#This Row],[Active Infernal Command]]&gt;0,demonic_pact_food_cons,0))</f>
        <v>192.25</v>
      </c>
      <c r="AQ82" s="94">
        <f ca="1">TblProd[[#This Row],[Lumber]]*lumber_rot * (1 + tech_2_1*TblTech[[#This Row],[2-1]] + tech_2_8*TblTech[[#This Row],[2-8]] + tech_5_2*TblTech[[#This Row],[5-2]] + IF(AND(TblMagic[[#This Row],[Active DnD]]&lt;12,TblMagic[[#This Row],[Active DnD]]&gt;5),1,0))</f>
        <v>611.86</v>
      </c>
      <c r="AR82" s="94">
        <f ca="1">TblProd[[#This Row],[Mana]]*mana_drain * (1 + tech_2_1*TblTech[[#This Row],[2-1]] + tech_2_8*TblTech[[#This Row],[2-8]])</f>
        <v>0</v>
      </c>
      <c r="AS82" s="154"/>
      <c r="AT82" s="94">
        <f ca="1">TblExplore[[#This Row],[Platinum (2)]]+TblConstr[[#This Row],[Total Plat Cost]]+TblMili[[#This Row],[Plat Cost]]+TblRezone[[#This Row],[Platinum cost]]+TblImps[[#This Row],[P1]]-TblProd[[#This Row],[Bank Plat]]</f>
        <v>0</v>
      </c>
      <c r="AU82" s="94">
        <f ca="1">TblConstr[[#This Row],[Total Lum Cost]]+TblImps[[#This Row],[L1]]-TblProd[[#This Row],[Bank Lumber]] + Military!$CO$25*TblMili[[#This Row],[Sec. rec. Cost]]</f>
        <v>0</v>
      </c>
      <c r="AV82" s="94">
        <f ca="1">TblMagic[[#This Row],[Mana cost]] + Military!$CO$26*TblMili[[#This Row],[Sec. rec. Cost]]</f>
        <v>0</v>
      </c>
      <c r="AW82" s="94">
        <f ca="1">Military!$CO$24*TblMili[[#This Row],[Sec. rec. Cost]]+TblImps[[#This Row],[O1]]-TblProd[[#This Row],[Bank Ore]]</f>
        <v>0</v>
      </c>
      <c r="AX82" s="94">
        <f>TblImps[[#This Row],[G1]]-TblProd[[#This Row],[Bank Gems]]</f>
        <v>0</v>
      </c>
      <c r="AY82" s="142"/>
      <c r="AZ82" s="61" t="b">
        <f ca="1">IF(TblProd[[#This Row],[Set Guard]]&lt;&gt;"",TblProd[[#This Row],[Set Guard]],OFFSET(TblProd[[#This Row],[Guard]],-1,0))</f>
        <v>0</v>
      </c>
      <c r="BA82" s="153"/>
      <c r="BB82" s="45">
        <f>TblProd[[#This Row],[Hour]]</f>
        <v>31</v>
      </c>
      <c r="BC82" s="158">
        <f>-TblProd[[#This Row],[Bank Lumber]] / 2 + -TblProd[[#This Row],[Bank Gems]] * 2 + -TblProd[[#This Row],[Bank Ore]] / 2</f>
        <v>0</v>
      </c>
      <c r="BD82" s="158"/>
      <c r="BE82" s="158"/>
      <c r="BF82" s="158"/>
      <c r="BG82" s="159">
        <f ca="1">TblProd[[#This Row],[Time]]</f>
        <v>46323.249999999811</v>
      </c>
      <c r="BH82" s="45"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94">
        <f ca="1">TblProd[[#This Row],[Platinum]]</f>
        <v>188946</v>
      </c>
      <c r="BJ82" s="94">
        <f ca="1">TblProd[[#This Row],[Food]]</f>
        <v>136597</v>
      </c>
      <c r="BK82" s="94">
        <f ca="1">TblProd[[#This Row],[Lumber]]</f>
        <v>61186</v>
      </c>
      <c r="BL82" s="94">
        <f ca="1">TblProd[[#This Row],[Mana]]</f>
        <v>0</v>
      </c>
      <c r="BM82" s="94">
        <f ca="1">TblProd[[#This Row],[Ore]]</f>
        <v>0</v>
      </c>
    </row>
    <row r="83" spans="1:65" x14ac:dyDescent="0.2">
      <c r="A83" s="137">
        <f t="shared" si="0"/>
        <v>32</v>
      </c>
      <c r="B83" s="152">
        <f ca="1">TblImps[[#This Row],[Time]]</f>
        <v>46323.291666666475</v>
      </c>
      <c r="C83" s="153"/>
      <c r="D83" s="154"/>
      <c r="E83" s="94">
        <f ca="1">TblConstr[[#This Row],[Land]]</f>
        <v>50</v>
      </c>
      <c r="F83" s="94">
        <f ca="1">TblPop[[#This Row],[Peasants]]</f>
        <v>215</v>
      </c>
      <c r="G83" s="94">
        <f ca="1">TblMili[[#This Row],[Networth (2)]]</f>
        <v>1250</v>
      </c>
      <c r="H83" s="94">
        <f ca="1">OFFSET(TblProd[[#This Row],[Platinum]],-1,0)+OFFSET(TblProd[[#This Row],[Plat/hr]],-1,0) - TblProd[[#This Row],[Expenses Platinum]] + IF(TblProd[[#This Row],[Plat Bonus]],TblPop[[#This Row],[Peasants]]*4) + SUM(TblConstr[[#This Row],[Dest Hom]:[Dest Doc]])*TblConstr[[#This Row],[CPA Platinum -DB]]*tech_3_3_2*TblTech[[#This Row],[3-3]]</f>
        <v>189531</v>
      </c>
      <c r="I83" s="94">
        <f ca="1">OFFSET(TblProd[[#This Row],[Food]],-1,0)+OFFSET(TblProd[[#This Row],[Food/hr]],-1,0)+ROUNDUP((TblConstr[[#This Row],[Farms]]*80+TblConstr[[#This Row],[Docks]]*35)*(1+OFFSET(TblProd[[#This Row],[Bonus Food/hr]],-1,0)),0)</f>
        <v>137619</v>
      </c>
      <c r="J83" s="94">
        <f ca="1">OFFSET(TblProd[[#This Row],[Lumber]],-1,0)+OFFSET(TblProd[[#This Row],[Lumber/hr]],-1,0) - TblProd[[#This Row],[Expenses Lumber]] + SUM(TblConstr[[#This Row],[Dest Hom]:[Dest Doc]])*TblConstr[[#This Row],[CPA Lumber -DB]]*tech_3_3_2*TblTech[[#This Row],[3-3]]</f>
        <v>61574</v>
      </c>
      <c r="K83" s="94">
        <f ca="1">OFFSET(TblProd[[#This Row],[Mana]],-1,0)+OFFSET(TblProd[[#This Row],[Mana/hr]],-1,0)- TblProd[[#This Row],[Expenses Mana]]</f>
        <v>0</v>
      </c>
      <c r="L83" s="94">
        <f ca="1">OFFSET(TblProd[[#This Row],[Ore]],-1,0)+OFFSET(TblProd[[#This Row],[Ore/hr]],-1,0) -TblProd[[#This Row],[Expenses Ore]]</f>
        <v>0</v>
      </c>
      <c r="M83" s="94">
        <f ca="1">OFFSET(TblProd[[#This Row],[Gems]],-1,0)+OFFSET(TblProd[[#This Row],[Gems/hr]],-1,0) - TblProd[[#This Row],[Expenses Gems]]</f>
        <v>0</v>
      </c>
      <c r="N83" s="94">
        <f ca="1">OFFSET(TblProd[[#This Row],[Boats]],-1,0)+OFFSET(TblProd[[#This Row],[Boats/hr]],-1,0)</f>
        <v>0</v>
      </c>
      <c r="O83" s="94">
        <f ca="1">OFFSET(TblProd[[#This Row],[Prestige]],-1,0)</f>
        <v>250</v>
      </c>
      <c r="P8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3" s="94">
        <f ca="1">MAX(_xlfn.CEILING.MATH(TblProd[[#This Row],[Land]]*2.5+IFERROR(OFFSET(TblTech[[#This Row],[Sum of tech]],-1,0)*50,0)),3750)</f>
        <v>3750</v>
      </c>
      <c r="R83" s="142"/>
      <c r="S83" s="94">
        <f ca="1">ROUNDDOWN(TblProd[[#This Row],[Raw Plat/hr]]*(1+TblProd[[#This Row],[Bonus Plat/hr]]),0)</f>
        <v>580</v>
      </c>
      <c r="T83" s="94">
        <f ca="1">ROUND(TblProd[[#This Row],[Raw Food/hr]]*(1+TblProd[[#This Row],[Bonus Food/hr]])-TblProd[[#This Row],[Food decay]]-TblProd[[#This Row],[Food eaten]],0)</f>
        <v>1012</v>
      </c>
      <c r="U83" s="94">
        <f ca="1">ROUND(TblProd[[#This Row],[Raw Lumber/hr]]*(1+TblProd[[#This Row],[Bonus Lumber/hr]])-TblProd[[#This Row],[Lumber rot]],0)</f>
        <v>384</v>
      </c>
      <c r="V83" s="94">
        <f ca="1">ROUND(TblProd[[#This Row],[Raw Mana/hr]]*(1+TblProd[[#This Row],[Bonus Mana/hr]])-TblProd[[#This Row],[Mana drain]],0)</f>
        <v>0</v>
      </c>
      <c r="W83" s="94">
        <f ca="1">ROUNDDOWN(TblProd[[#This Row],[Raw Ore/hr]]*(1+TblProd[[#This Row],[Bonux Ore/hr]]),0)</f>
        <v>0</v>
      </c>
      <c r="X83" s="94">
        <f ca="1">ROUNDDOWN(TblProd[[#This Row],[Raw Gems/hr]]*(1+TblProd[[#This Row],[Bonus Gems/hr]]),0)</f>
        <v>0</v>
      </c>
      <c r="Y83" s="155">
        <f ca="1">OFFSET(TblConstr[[#This Row],[Tot Doc]],1,0)*dock_boats_hr * (1 + tech_4_1*TblTech[[#This Row],[4-1]])</f>
        <v>0</v>
      </c>
      <c r="Z83" s="154"/>
      <c r="AA83" s="94">
        <f ca="1">TblPop[[#This Row],[Peasants]]*tax*TblPop[[#This Row],[Employment]] + (Construction!AZ84+Construction!BX84)*(alch_plat+(Magic!AN83&gt;0)*alchemist_flame_bonus)</f>
        <v>580.5</v>
      </c>
      <c r="AB83" s="94">
        <f ca="1">TblConstr[[#This Row],[Tot Farm]]*farm_food + TblConstr[[#This Row],[Tot Doc]]*dock_food</f>
        <v>2400</v>
      </c>
      <c r="AC83" s="94">
        <f ca="1">TblConstr[[#This Row],[Tot Ly]]*ly_lumber + TblConstr[[#This Row],[Tot Hav]]*fh_lumber + IF(race="Wood Elf",TblMili[[#This Row],[Unit 2]]*MIN(TblMili[[#This Row],[Homeland%]]/wisp_bonus,wisp_cap),0)</f>
        <v>1000</v>
      </c>
      <c r="AD83" s="94">
        <f ca="1">OFFSET(TblConstr[[#This Row],[Tot Tow]],1,0)*(tower_mana + tech_4_5*TblTech[[#This Row],[4-5]]) + OFFSET(TblConstr[[#This Row],[Tot WG]],1,0)*wg_mana_prod</f>
        <v>0</v>
      </c>
      <c r="AE83" s="94">
        <f ca="1">OFFSET(TblConstr[[#This Row],[Tot OM]],1,0)*om_ore+IF(race="Dwarf",TblMili[[#This Row],[Unit 2]]*0.5,0)</f>
        <v>0</v>
      </c>
      <c r="AF83" s="94">
        <f ca="1">OFFSET(TblConstr[[#This Row],[Tot DM]],1,0)*dm_gems</f>
        <v>0</v>
      </c>
      <c r="AG83" s="142"/>
      <c r="AH83" s="156">
        <f ca="1">MIN(race_platinum_bonus + IF(TblMagic[[#This Row],[Active Arc Infusion]]&gt;0,alch_frost_bonus,IF(Magic!AE83&gt;0,midas_bonus)) + TblImps[[#This Row],[Science]] - TblProd[[#This Row],[Guard]]*(0.02 + tech_5_7*TblTech[[#This Row],[5-7]]) + tech_1_5*TblTech[[#This Row],[1-5]] + tech_4_4*TblTech[[#This Row],[4-4]] + IF(TblMagic[[#This Row],[Active Infernal Command]]&gt;0,demonic_pact_plat,0), 0.5)</f>
        <v>0</v>
      </c>
      <c r="AI8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3" s="156">
        <f ca="1">race_lumber_bonus+ IF(TblMagic[[#This Row],[Active Gaia''s Blessing]]&gt;0,gaias_blessing_lumber)+ tech_1_3*TblTech[[#This Row],[1-3]] + tech_1_6*TblTech[[#This Row],[1-6]] + tech_3_3*TblTech[[#This Row],[3-3]]</f>
        <v>0</v>
      </c>
      <c r="AK83" s="156">
        <f ca="1">race_mana_bonus+ 0 + TblImps[[#This Row],[Spires]] + tech_1_2*TblTech[[#This Row],[1-2]] + tech_3_4*TblTech[[#This Row],[3-4]]</f>
        <v>0</v>
      </c>
      <c r="AL83" s="156">
        <f ca="1">race_ore_bonus + IF(TblMagic[[#This Row],[Active Miner''s Sight]]&gt;0,miners_sight_bonus,IF(TblMagic[[#This Row],[Active Mining Strength]]&gt;0,mining_strength_bonus)) +  tech_1_6*TblTech[[#This Row],[1-6]]</f>
        <v>0</v>
      </c>
      <c r="AM83" s="156">
        <f>race_gem_bonus+ tech_3_2*TblTech[[#This Row],[3-2]] + tech_4_3*TblTech[[#This Row],[4-3]] + tech_6_2*TblTech[[#This Row],[6-2]]</f>
        <v>0</v>
      </c>
      <c r="AN83" s="142"/>
      <c r="AO83" s="94">
        <f ca="1">TblProd[[#This Row],[Food]]*food_decay * (1 + tech_2_1*TblTech[[#This Row],[2-1]] + tech_2_8*TblTech[[#This Row],[2-8]] + IF(AND(TblMagic[[#This Row],[Active DnD]]&lt;12,TblMagic[[#This Row],[Active DnD]]&gt;5),1,0))</f>
        <v>1376.19</v>
      </c>
      <c r="AP83" s="94">
        <f ca="1">(1+race_food_consumption)*TblPop[[#This Row],[Total]]*food_per_person*(1+tech_1_10*TblTech[[#This Row],[1-10]]+tech_7_5*TblTech[[#This Row],[7-5]] + IF(TblMagic[[#This Row],[Active Infernal Command]]&gt;0,demonic_pact_food_cons,0))</f>
        <v>192.25</v>
      </c>
      <c r="AQ83" s="94">
        <f ca="1">TblProd[[#This Row],[Lumber]]*lumber_rot * (1 + tech_2_1*TblTech[[#This Row],[2-1]] + tech_2_8*TblTech[[#This Row],[2-8]] + tech_5_2*TblTech[[#This Row],[5-2]] + IF(AND(TblMagic[[#This Row],[Active DnD]]&lt;12,TblMagic[[#This Row],[Active DnD]]&gt;5),1,0))</f>
        <v>615.74</v>
      </c>
      <c r="AR83" s="94">
        <f ca="1">TblProd[[#This Row],[Mana]]*mana_drain * (1 + tech_2_1*TblTech[[#This Row],[2-1]] + tech_2_8*TblTech[[#This Row],[2-8]])</f>
        <v>0</v>
      </c>
      <c r="AS83" s="154"/>
      <c r="AT83" s="94">
        <f ca="1">TblExplore[[#This Row],[Platinum (2)]]+TblConstr[[#This Row],[Total Plat Cost]]+TblMili[[#This Row],[Plat Cost]]+TblRezone[[#This Row],[Platinum cost]]+TblImps[[#This Row],[P1]]-TblProd[[#This Row],[Bank Plat]]</f>
        <v>0</v>
      </c>
      <c r="AU83" s="94">
        <f ca="1">TblConstr[[#This Row],[Total Lum Cost]]+TblImps[[#This Row],[L1]]-TblProd[[#This Row],[Bank Lumber]] + Military!$CO$25*TblMili[[#This Row],[Sec. rec. Cost]]</f>
        <v>0</v>
      </c>
      <c r="AV83" s="94">
        <f ca="1">TblMagic[[#This Row],[Mana cost]] + Military!$CO$26*TblMili[[#This Row],[Sec. rec. Cost]]</f>
        <v>0</v>
      </c>
      <c r="AW83" s="94">
        <f ca="1">Military!$CO$24*TblMili[[#This Row],[Sec. rec. Cost]]+TblImps[[#This Row],[O1]]-TblProd[[#This Row],[Bank Ore]]</f>
        <v>0</v>
      </c>
      <c r="AX83" s="94">
        <f>TblImps[[#This Row],[G1]]-TblProd[[#This Row],[Bank Gems]]</f>
        <v>0</v>
      </c>
      <c r="AY83" s="142"/>
      <c r="AZ83" s="61" t="b">
        <f ca="1">IF(TblProd[[#This Row],[Set Guard]]&lt;&gt;"",TblProd[[#This Row],[Set Guard]],OFFSET(TblProd[[#This Row],[Guard]],-1,0))</f>
        <v>0</v>
      </c>
      <c r="BA83" s="153"/>
      <c r="BB83" s="45">
        <f>TblProd[[#This Row],[Hour]]</f>
        <v>32</v>
      </c>
      <c r="BC83" s="158">
        <f>-TblProd[[#This Row],[Bank Lumber]] / 2 + -TblProd[[#This Row],[Bank Gems]] * 2 + -TblProd[[#This Row],[Bank Ore]] / 2</f>
        <v>0</v>
      </c>
      <c r="BD83" s="158"/>
      <c r="BE83" s="158"/>
      <c r="BF83" s="158"/>
      <c r="BG83" s="159">
        <f ca="1">TblProd[[#This Row],[Time]]</f>
        <v>46323.291666666475</v>
      </c>
      <c r="BH83" s="45"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94">
        <f ca="1">TblProd[[#This Row],[Platinum]]</f>
        <v>189531</v>
      </c>
      <c r="BJ83" s="94">
        <f ca="1">TblProd[[#This Row],[Food]]</f>
        <v>137619</v>
      </c>
      <c r="BK83" s="94">
        <f ca="1">TblProd[[#This Row],[Lumber]]</f>
        <v>61574</v>
      </c>
      <c r="BL83" s="94">
        <f ca="1">TblProd[[#This Row],[Mana]]</f>
        <v>0</v>
      </c>
      <c r="BM83" s="94">
        <f ca="1">TblProd[[#This Row],[Ore]]</f>
        <v>0</v>
      </c>
    </row>
    <row r="84" spans="1:65" x14ac:dyDescent="0.2">
      <c r="A84" s="137">
        <f t="shared" si="0"/>
        <v>33</v>
      </c>
      <c r="B84" s="152">
        <f ca="1">TblImps[[#This Row],[Time]]</f>
        <v>46323.333333333139</v>
      </c>
      <c r="C84" s="153"/>
      <c r="D84" s="154"/>
      <c r="E84" s="94">
        <f ca="1">TblConstr[[#This Row],[Land]]</f>
        <v>50</v>
      </c>
      <c r="F84" s="94">
        <f ca="1">TblPop[[#This Row],[Peasants]]</f>
        <v>213</v>
      </c>
      <c r="G84" s="94">
        <f ca="1">TblMili[[#This Row],[Networth (2)]]</f>
        <v>1250</v>
      </c>
      <c r="H84" s="94">
        <f ca="1">OFFSET(TblProd[[#This Row],[Platinum]],-1,0)+OFFSET(TblProd[[#This Row],[Plat/hr]],-1,0) - TblProd[[#This Row],[Expenses Platinum]] + IF(TblProd[[#This Row],[Plat Bonus]],TblPop[[#This Row],[Peasants]]*4) + SUM(TblConstr[[#This Row],[Dest Hom]:[Dest Doc]])*TblConstr[[#This Row],[CPA Platinum -DB]]*tech_3_3_2*TblTech[[#This Row],[3-3]]</f>
        <v>190111</v>
      </c>
      <c r="I84" s="94">
        <f ca="1">OFFSET(TblProd[[#This Row],[Food]],-1,0)+OFFSET(TblProd[[#This Row],[Food/hr]],-1,0)+ROUNDUP((TblConstr[[#This Row],[Farms]]*80+TblConstr[[#This Row],[Docks]]*35)*(1+OFFSET(TblProd[[#This Row],[Bonus Food/hr]],-1,0)),0)</f>
        <v>138631</v>
      </c>
      <c r="J84" s="94">
        <f ca="1">OFFSET(TblProd[[#This Row],[Lumber]],-1,0)+OFFSET(TblProd[[#This Row],[Lumber/hr]],-1,0) - TblProd[[#This Row],[Expenses Lumber]] + SUM(TblConstr[[#This Row],[Dest Hom]:[Dest Doc]])*TblConstr[[#This Row],[CPA Lumber -DB]]*tech_3_3_2*TblTech[[#This Row],[3-3]]</f>
        <v>61958</v>
      </c>
      <c r="K84" s="94">
        <f ca="1">OFFSET(TblProd[[#This Row],[Mana]],-1,0)+OFFSET(TblProd[[#This Row],[Mana/hr]],-1,0)- TblProd[[#This Row],[Expenses Mana]]</f>
        <v>0</v>
      </c>
      <c r="L84" s="94">
        <f ca="1">OFFSET(TblProd[[#This Row],[Ore]],-1,0)+OFFSET(TblProd[[#This Row],[Ore/hr]],-1,0) -TblProd[[#This Row],[Expenses Ore]]</f>
        <v>0</v>
      </c>
      <c r="M84" s="94">
        <f ca="1">OFFSET(TblProd[[#This Row],[Gems]],-1,0)+OFFSET(TblProd[[#This Row],[Gems/hr]],-1,0) - TblProd[[#This Row],[Expenses Gems]]</f>
        <v>0</v>
      </c>
      <c r="N84" s="94">
        <f ca="1">OFFSET(TblProd[[#This Row],[Boats]],-1,0)+OFFSET(TblProd[[#This Row],[Boats/hr]],-1,0)</f>
        <v>0</v>
      </c>
      <c r="O84" s="94">
        <f ca="1">OFFSET(TblProd[[#This Row],[Prestige]],-1,0)</f>
        <v>250</v>
      </c>
      <c r="P8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4" s="94">
        <f ca="1">MAX(_xlfn.CEILING.MATH(TblProd[[#This Row],[Land]]*2.5+IFERROR(OFFSET(TblTech[[#This Row],[Sum of tech]],-1,0)*50,0)),3750)</f>
        <v>3750</v>
      </c>
      <c r="R84" s="142"/>
      <c r="S84" s="94">
        <f ca="1">ROUNDDOWN(TblProd[[#This Row],[Raw Plat/hr]]*(1+TblProd[[#This Row],[Bonus Plat/hr]]),0)</f>
        <v>575</v>
      </c>
      <c r="T84" s="94">
        <f ca="1">ROUND(TblProd[[#This Row],[Raw Food/hr]]*(1+TblProd[[#This Row],[Bonus Food/hr]])-TblProd[[#This Row],[Food decay]]-TblProd[[#This Row],[Food eaten]],0)</f>
        <v>1001</v>
      </c>
      <c r="U84" s="94">
        <f ca="1">ROUND(TblProd[[#This Row],[Raw Lumber/hr]]*(1+TblProd[[#This Row],[Bonus Lumber/hr]])-TblProd[[#This Row],[Lumber rot]],0)</f>
        <v>380</v>
      </c>
      <c r="V84" s="94">
        <f ca="1">ROUND(TblProd[[#This Row],[Raw Mana/hr]]*(1+TblProd[[#This Row],[Bonus Mana/hr]])-TblProd[[#This Row],[Mana drain]],0)</f>
        <v>0</v>
      </c>
      <c r="W84" s="94">
        <f ca="1">ROUNDDOWN(TblProd[[#This Row],[Raw Ore/hr]]*(1+TblProd[[#This Row],[Bonux Ore/hr]]),0)</f>
        <v>0</v>
      </c>
      <c r="X84" s="94">
        <f ca="1">ROUNDDOWN(TblProd[[#This Row],[Raw Gems/hr]]*(1+TblProd[[#This Row],[Bonus Gems/hr]]),0)</f>
        <v>0</v>
      </c>
      <c r="Y84" s="155">
        <f ca="1">OFFSET(TblConstr[[#This Row],[Tot Doc]],1,0)*dock_boats_hr * (1 + tech_4_1*TblTech[[#This Row],[4-1]])</f>
        <v>0</v>
      </c>
      <c r="Z84" s="154"/>
      <c r="AA84" s="94">
        <f ca="1">TblPop[[#This Row],[Peasants]]*tax*TblPop[[#This Row],[Employment]] + (Construction!AZ85+Construction!BX85)*(alch_plat+(Magic!AN84&gt;0)*alchemist_flame_bonus)</f>
        <v>575.1</v>
      </c>
      <c r="AB84" s="94">
        <f ca="1">TblConstr[[#This Row],[Tot Farm]]*farm_food + TblConstr[[#This Row],[Tot Doc]]*dock_food</f>
        <v>2400</v>
      </c>
      <c r="AC84" s="94">
        <f ca="1">TblConstr[[#This Row],[Tot Ly]]*ly_lumber + TblConstr[[#This Row],[Tot Hav]]*fh_lumber + IF(race="Wood Elf",TblMili[[#This Row],[Unit 2]]*MIN(TblMili[[#This Row],[Homeland%]]/wisp_bonus,wisp_cap),0)</f>
        <v>1000</v>
      </c>
      <c r="AD84" s="94">
        <f ca="1">OFFSET(TblConstr[[#This Row],[Tot Tow]],1,0)*(tower_mana + tech_4_5*TblTech[[#This Row],[4-5]]) + OFFSET(TblConstr[[#This Row],[Tot WG]],1,0)*wg_mana_prod</f>
        <v>0</v>
      </c>
      <c r="AE84" s="94">
        <f ca="1">OFFSET(TblConstr[[#This Row],[Tot OM]],1,0)*om_ore+IF(race="Dwarf",TblMili[[#This Row],[Unit 2]]*0.5,0)</f>
        <v>0</v>
      </c>
      <c r="AF84" s="94">
        <f ca="1">OFFSET(TblConstr[[#This Row],[Tot DM]],1,0)*dm_gems</f>
        <v>0</v>
      </c>
      <c r="AG84" s="142"/>
      <c r="AH84" s="156">
        <f ca="1">MIN(race_platinum_bonus + IF(TblMagic[[#This Row],[Active Arc Infusion]]&gt;0,alch_frost_bonus,IF(Magic!AE84&gt;0,midas_bonus)) + TblImps[[#This Row],[Science]] - TblProd[[#This Row],[Guard]]*(0.02 + tech_5_7*TblTech[[#This Row],[5-7]]) + tech_1_5*TblTech[[#This Row],[1-5]] + tech_4_4*TblTech[[#This Row],[4-4]] + IF(TblMagic[[#This Row],[Active Infernal Command]]&gt;0,demonic_pact_plat,0), 0.5)</f>
        <v>0</v>
      </c>
      <c r="AI8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4" s="156">
        <f ca="1">race_lumber_bonus+ IF(TblMagic[[#This Row],[Active Gaia''s Blessing]]&gt;0,gaias_blessing_lumber)+ tech_1_3*TblTech[[#This Row],[1-3]] + tech_1_6*TblTech[[#This Row],[1-6]] + tech_3_3*TblTech[[#This Row],[3-3]]</f>
        <v>0</v>
      </c>
      <c r="AK84" s="156">
        <f ca="1">race_mana_bonus+ 0 + TblImps[[#This Row],[Spires]] + tech_1_2*TblTech[[#This Row],[1-2]] + tech_3_4*TblTech[[#This Row],[3-4]]</f>
        <v>0</v>
      </c>
      <c r="AL84" s="156">
        <f ca="1">race_ore_bonus + IF(TblMagic[[#This Row],[Active Miner''s Sight]]&gt;0,miners_sight_bonus,IF(TblMagic[[#This Row],[Active Mining Strength]]&gt;0,mining_strength_bonus)) +  tech_1_6*TblTech[[#This Row],[1-6]]</f>
        <v>0</v>
      </c>
      <c r="AM84" s="156">
        <f>race_gem_bonus+ tech_3_2*TblTech[[#This Row],[3-2]] + tech_4_3*TblTech[[#This Row],[4-3]] + tech_6_2*TblTech[[#This Row],[6-2]]</f>
        <v>0</v>
      </c>
      <c r="AN84" s="142"/>
      <c r="AO84" s="94">
        <f ca="1">TblProd[[#This Row],[Food]]*food_decay * (1 + tech_2_1*TblTech[[#This Row],[2-1]] + tech_2_8*TblTech[[#This Row],[2-8]] + IF(AND(TblMagic[[#This Row],[Active DnD]]&lt;12,TblMagic[[#This Row],[Active DnD]]&gt;5),1,0))</f>
        <v>1386.31</v>
      </c>
      <c r="AP84" s="94">
        <f ca="1">(1+race_food_consumption)*TblPop[[#This Row],[Total]]*food_per_person*(1+tech_1_10*TblTech[[#This Row],[1-10]]+tech_7_5*TblTech[[#This Row],[7-5]] + IF(TblMagic[[#This Row],[Active Infernal Command]]&gt;0,demonic_pact_food_cons,0))</f>
        <v>192.25</v>
      </c>
      <c r="AQ84" s="94">
        <f ca="1">TblProd[[#This Row],[Lumber]]*lumber_rot * (1 + tech_2_1*TblTech[[#This Row],[2-1]] + tech_2_8*TblTech[[#This Row],[2-8]] + tech_5_2*TblTech[[#This Row],[5-2]] + IF(AND(TblMagic[[#This Row],[Active DnD]]&lt;12,TblMagic[[#This Row],[Active DnD]]&gt;5),1,0))</f>
        <v>619.58000000000004</v>
      </c>
      <c r="AR84" s="94">
        <f ca="1">TblProd[[#This Row],[Mana]]*mana_drain * (1 + tech_2_1*TblTech[[#This Row],[2-1]] + tech_2_8*TblTech[[#This Row],[2-8]])</f>
        <v>0</v>
      </c>
      <c r="AS84" s="154"/>
      <c r="AT84" s="94">
        <f ca="1">TblExplore[[#This Row],[Platinum (2)]]+TblConstr[[#This Row],[Total Plat Cost]]+TblMili[[#This Row],[Plat Cost]]+TblRezone[[#This Row],[Platinum cost]]+TblImps[[#This Row],[P1]]-TblProd[[#This Row],[Bank Plat]]</f>
        <v>0</v>
      </c>
      <c r="AU84" s="94">
        <f ca="1">TblConstr[[#This Row],[Total Lum Cost]]+TblImps[[#This Row],[L1]]-TblProd[[#This Row],[Bank Lumber]] + Military!$CO$25*TblMili[[#This Row],[Sec. rec. Cost]]</f>
        <v>0</v>
      </c>
      <c r="AV84" s="94">
        <f ca="1">TblMagic[[#This Row],[Mana cost]] + Military!$CO$26*TblMili[[#This Row],[Sec. rec. Cost]]</f>
        <v>0</v>
      </c>
      <c r="AW84" s="94">
        <f ca="1">Military!$CO$24*TblMili[[#This Row],[Sec. rec. Cost]]+TblImps[[#This Row],[O1]]-TblProd[[#This Row],[Bank Ore]]</f>
        <v>0</v>
      </c>
      <c r="AX84" s="94">
        <f>TblImps[[#This Row],[G1]]-TblProd[[#This Row],[Bank Gems]]</f>
        <v>0</v>
      </c>
      <c r="AY84" s="142"/>
      <c r="AZ84" s="61" t="b">
        <f ca="1">IF(TblProd[[#This Row],[Set Guard]]&lt;&gt;"",TblProd[[#This Row],[Set Guard]],OFFSET(TblProd[[#This Row],[Guard]],-1,0))</f>
        <v>0</v>
      </c>
      <c r="BA84" s="153"/>
      <c r="BB84" s="45">
        <f>TblProd[[#This Row],[Hour]]</f>
        <v>33</v>
      </c>
      <c r="BC84" s="158">
        <f>-TblProd[[#This Row],[Bank Lumber]] / 2 + -TblProd[[#This Row],[Bank Gems]] * 2 + -TblProd[[#This Row],[Bank Ore]] / 2</f>
        <v>0</v>
      </c>
      <c r="BD84" s="158"/>
      <c r="BE84" s="158"/>
      <c r="BF84" s="158"/>
      <c r="BG84" s="159">
        <f ca="1">TblProd[[#This Row],[Time]]</f>
        <v>46323.333333333139</v>
      </c>
      <c r="BH84" s="45"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94">
        <f ca="1">TblProd[[#This Row],[Platinum]]</f>
        <v>190111</v>
      </c>
      <c r="BJ84" s="94">
        <f ca="1">TblProd[[#This Row],[Food]]</f>
        <v>138631</v>
      </c>
      <c r="BK84" s="94">
        <f ca="1">TblProd[[#This Row],[Lumber]]</f>
        <v>61958</v>
      </c>
      <c r="BL84" s="94">
        <f ca="1">TblProd[[#This Row],[Mana]]</f>
        <v>0</v>
      </c>
      <c r="BM84" s="94">
        <f ca="1">TblProd[[#This Row],[Ore]]</f>
        <v>0</v>
      </c>
    </row>
    <row r="85" spans="1:65" x14ac:dyDescent="0.2">
      <c r="A85" s="137">
        <f t="shared" si="0"/>
        <v>34</v>
      </c>
      <c r="B85" s="152">
        <f ca="1">TblImps[[#This Row],[Time]]</f>
        <v>46323.374999999804</v>
      </c>
      <c r="C85" s="153"/>
      <c r="D85" s="154"/>
      <c r="E85" s="94">
        <f ca="1">TblConstr[[#This Row],[Land]]</f>
        <v>50</v>
      </c>
      <c r="F85" s="94">
        <f ca="1">TblPop[[#This Row],[Peasants]]</f>
        <v>211</v>
      </c>
      <c r="G85" s="94">
        <f ca="1">TblMili[[#This Row],[Networth (2)]]</f>
        <v>1250</v>
      </c>
      <c r="H85" s="94">
        <f ca="1">OFFSET(TblProd[[#This Row],[Platinum]],-1,0)+OFFSET(TblProd[[#This Row],[Plat/hr]],-1,0) - TblProd[[#This Row],[Expenses Platinum]] + IF(TblProd[[#This Row],[Plat Bonus]],TblPop[[#This Row],[Peasants]]*4) + SUM(TblConstr[[#This Row],[Dest Hom]:[Dest Doc]])*TblConstr[[#This Row],[CPA Platinum -DB]]*tech_3_3_2*TblTech[[#This Row],[3-3]]</f>
        <v>190686</v>
      </c>
      <c r="I85" s="94">
        <f ca="1">OFFSET(TblProd[[#This Row],[Food]],-1,0)+OFFSET(TblProd[[#This Row],[Food/hr]],-1,0)+ROUNDUP((TblConstr[[#This Row],[Farms]]*80+TblConstr[[#This Row],[Docks]]*35)*(1+OFFSET(TblProd[[#This Row],[Bonus Food/hr]],-1,0)),0)</f>
        <v>139632</v>
      </c>
      <c r="J85" s="94">
        <f ca="1">OFFSET(TblProd[[#This Row],[Lumber]],-1,0)+OFFSET(TblProd[[#This Row],[Lumber/hr]],-1,0) - TblProd[[#This Row],[Expenses Lumber]] + SUM(TblConstr[[#This Row],[Dest Hom]:[Dest Doc]])*TblConstr[[#This Row],[CPA Lumber -DB]]*tech_3_3_2*TblTech[[#This Row],[3-3]]</f>
        <v>62338</v>
      </c>
      <c r="K85" s="94">
        <f ca="1">OFFSET(TblProd[[#This Row],[Mana]],-1,0)+OFFSET(TblProd[[#This Row],[Mana/hr]],-1,0)- TblProd[[#This Row],[Expenses Mana]]</f>
        <v>0</v>
      </c>
      <c r="L85" s="94">
        <f ca="1">OFFSET(TblProd[[#This Row],[Ore]],-1,0)+OFFSET(TblProd[[#This Row],[Ore/hr]],-1,0) -TblProd[[#This Row],[Expenses Ore]]</f>
        <v>0</v>
      </c>
      <c r="M85" s="94">
        <f ca="1">OFFSET(TblProd[[#This Row],[Gems]],-1,0)+OFFSET(TblProd[[#This Row],[Gems/hr]],-1,0) - TblProd[[#This Row],[Expenses Gems]]</f>
        <v>0</v>
      </c>
      <c r="N85" s="94">
        <f ca="1">OFFSET(TblProd[[#This Row],[Boats]],-1,0)+OFFSET(TblProd[[#This Row],[Boats/hr]],-1,0)</f>
        <v>0</v>
      </c>
      <c r="O85" s="94">
        <f ca="1">OFFSET(TblProd[[#This Row],[Prestige]],-1,0)</f>
        <v>250</v>
      </c>
      <c r="P8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5" s="94">
        <f ca="1">MAX(_xlfn.CEILING.MATH(TblProd[[#This Row],[Land]]*2.5+IFERROR(OFFSET(TblTech[[#This Row],[Sum of tech]],-1,0)*50,0)),3750)</f>
        <v>3750</v>
      </c>
      <c r="R85" s="142"/>
      <c r="S85" s="94">
        <f ca="1">ROUNDDOWN(TblProd[[#This Row],[Raw Plat/hr]]*(1+TblProd[[#This Row],[Bonus Plat/hr]]),0)</f>
        <v>569</v>
      </c>
      <c r="T85" s="94">
        <f ca="1">ROUND(TblProd[[#This Row],[Raw Food/hr]]*(1+TblProd[[#This Row],[Bonus Food/hr]])-TblProd[[#This Row],[Food decay]]-TblProd[[#This Row],[Food eaten]],0)</f>
        <v>991</v>
      </c>
      <c r="U85" s="94">
        <f ca="1">ROUND(TblProd[[#This Row],[Raw Lumber/hr]]*(1+TblProd[[#This Row],[Bonus Lumber/hr]])-TblProd[[#This Row],[Lumber rot]],0)</f>
        <v>377</v>
      </c>
      <c r="V85" s="94">
        <f ca="1">ROUND(TblProd[[#This Row],[Raw Mana/hr]]*(1+TblProd[[#This Row],[Bonus Mana/hr]])-TblProd[[#This Row],[Mana drain]],0)</f>
        <v>0</v>
      </c>
      <c r="W85" s="94">
        <f ca="1">ROUNDDOWN(TblProd[[#This Row],[Raw Ore/hr]]*(1+TblProd[[#This Row],[Bonux Ore/hr]]),0)</f>
        <v>0</v>
      </c>
      <c r="X85" s="94">
        <f ca="1">ROUNDDOWN(TblProd[[#This Row],[Raw Gems/hr]]*(1+TblProd[[#This Row],[Bonus Gems/hr]]),0)</f>
        <v>0</v>
      </c>
      <c r="Y85" s="155">
        <f ca="1">OFFSET(TblConstr[[#This Row],[Tot Doc]],1,0)*dock_boats_hr * (1 + tech_4_1*TblTech[[#This Row],[4-1]])</f>
        <v>0</v>
      </c>
      <c r="Z85" s="154"/>
      <c r="AA85" s="94">
        <f ca="1">TblPop[[#This Row],[Peasants]]*tax*TblPop[[#This Row],[Employment]] + (Construction!AZ86+Construction!BX86)*(alch_plat+(Magic!AN85&gt;0)*alchemist_flame_bonus)</f>
        <v>569.70000000000005</v>
      </c>
      <c r="AB85" s="94">
        <f ca="1">TblConstr[[#This Row],[Tot Farm]]*farm_food + TblConstr[[#This Row],[Tot Doc]]*dock_food</f>
        <v>2400</v>
      </c>
      <c r="AC85" s="94">
        <f ca="1">TblConstr[[#This Row],[Tot Ly]]*ly_lumber + TblConstr[[#This Row],[Tot Hav]]*fh_lumber + IF(race="Wood Elf",TblMili[[#This Row],[Unit 2]]*MIN(TblMili[[#This Row],[Homeland%]]/wisp_bonus,wisp_cap),0)</f>
        <v>1000</v>
      </c>
      <c r="AD85" s="94">
        <f ca="1">OFFSET(TblConstr[[#This Row],[Tot Tow]],1,0)*(tower_mana + tech_4_5*TblTech[[#This Row],[4-5]]) + OFFSET(TblConstr[[#This Row],[Tot WG]],1,0)*wg_mana_prod</f>
        <v>0</v>
      </c>
      <c r="AE85" s="94">
        <f ca="1">OFFSET(TblConstr[[#This Row],[Tot OM]],1,0)*om_ore+IF(race="Dwarf",TblMili[[#This Row],[Unit 2]]*0.5,0)</f>
        <v>0</v>
      </c>
      <c r="AF85" s="94">
        <f ca="1">OFFSET(TblConstr[[#This Row],[Tot DM]],1,0)*dm_gems</f>
        <v>0</v>
      </c>
      <c r="AG85" s="142"/>
      <c r="AH85" s="156">
        <f ca="1">MIN(race_platinum_bonus + IF(TblMagic[[#This Row],[Active Arc Infusion]]&gt;0,alch_frost_bonus,IF(Magic!AE85&gt;0,midas_bonus)) + TblImps[[#This Row],[Science]] - TblProd[[#This Row],[Guard]]*(0.02 + tech_5_7*TblTech[[#This Row],[5-7]]) + tech_1_5*TblTech[[#This Row],[1-5]] + tech_4_4*TblTech[[#This Row],[4-4]] + IF(TblMagic[[#This Row],[Active Infernal Command]]&gt;0,demonic_pact_plat,0), 0.5)</f>
        <v>0</v>
      </c>
      <c r="AI8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5" s="156">
        <f ca="1">race_lumber_bonus+ IF(TblMagic[[#This Row],[Active Gaia''s Blessing]]&gt;0,gaias_blessing_lumber)+ tech_1_3*TblTech[[#This Row],[1-3]] + tech_1_6*TblTech[[#This Row],[1-6]] + tech_3_3*TblTech[[#This Row],[3-3]]</f>
        <v>0</v>
      </c>
      <c r="AK85" s="156">
        <f ca="1">race_mana_bonus+ 0 + TblImps[[#This Row],[Spires]] + tech_1_2*TblTech[[#This Row],[1-2]] + tech_3_4*TblTech[[#This Row],[3-4]]</f>
        <v>0</v>
      </c>
      <c r="AL85" s="156">
        <f ca="1">race_ore_bonus + IF(TblMagic[[#This Row],[Active Miner''s Sight]]&gt;0,miners_sight_bonus,IF(TblMagic[[#This Row],[Active Mining Strength]]&gt;0,mining_strength_bonus)) +  tech_1_6*TblTech[[#This Row],[1-6]]</f>
        <v>0</v>
      </c>
      <c r="AM85" s="156">
        <f>race_gem_bonus+ tech_3_2*TblTech[[#This Row],[3-2]] + tech_4_3*TblTech[[#This Row],[4-3]] + tech_6_2*TblTech[[#This Row],[6-2]]</f>
        <v>0</v>
      </c>
      <c r="AN85" s="142"/>
      <c r="AO85" s="94">
        <f ca="1">TblProd[[#This Row],[Food]]*food_decay * (1 + tech_2_1*TblTech[[#This Row],[2-1]] + tech_2_8*TblTech[[#This Row],[2-8]] + IF(AND(TblMagic[[#This Row],[Active DnD]]&lt;12,TblMagic[[#This Row],[Active DnD]]&gt;5),1,0))</f>
        <v>1396.32</v>
      </c>
      <c r="AP85" s="94">
        <f ca="1">(1+race_food_consumption)*TblPop[[#This Row],[Total]]*food_per_person*(1+tech_1_10*TblTech[[#This Row],[1-10]]+tech_7_5*TblTech[[#This Row],[7-5]] + IF(TblMagic[[#This Row],[Active Infernal Command]]&gt;0,demonic_pact_food_cons,0))</f>
        <v>192.25</v>
      </c>
      <c r="AQ85" s="94">
        <f ca="1">TblProd[[#This Row],[Lumber]]*lumber_rot * (1 + tech_2_1*TblTech[[#This Row],[2-1]] + tech_2_8*TblTech[[#This Row],[2-8]] + tech_5_2*TblTech[[#This Row],[5-2]] + IF(AND(TblMagic[[#This Row],[Active DnD]]&lt;12,TblMagic[[#This Row],[Active DnD]]&gt;5),1,0))</f>
        <v>623.38</v>
      </c>
      <c r="AR85" s="94">
        <f ca="1">TblProd[[#This Row],[Mana]]*mana_drain * (1 + tech_2_1*TblTech[[#This Row],[2-1]] + tech_2_8*TblTech[[#This Row],[2-8]])</f>
        <v>0</v>
      </c>
      <c r="AS85" s="154"/>
      <c r="AT85" s="94">
        <f ca="1">TblExplore[[#This Row],[Platinum (2)]]+TblConstr[[#This Row],[Total Plat Cost]]+TblMili[[#This Row],[Plat Cost]]+TblRezone[[#This Row],[Platinum cost]]+TblImps[[#This Row],[P1]]-TblProd[[#This Row],[Bank Plat]]</f>
        <v>0</v>
      </c>
      <c r="AU85" s="94">
        <f ca="1">TblConstr[[#This Row],[Total Lum Cost]]+TblImps[[#This Row],[L1]]-TblProd[[#This Row],[Bank Lumber]] + Military!$CO$25*TblMili[[#This Row],[Sec. rec. Cost]]</f>
        <v>0</v>
      </c>
      <c r="AV85" s="94">
        <f ca="1">TblMagic[[#This Row],[Mana cost]] + Military!$CO$26*TblMili[[#This Row],[Sec. rec. Cost]]</f>
        <v>0</v>
      </c>
      <c r="AW85" s="94">
        <f ca="1">Military!$CO$24*TblMili[[#This Row],[Sec. rec. Cost]]+TblImps[[#This Row],[O1]]-TblProd[[#This Row],[Bank Ore]]</f>
        <v>0</v>
      </c>
      <c r="AX85" s="94">
        <f>TblImps[[#This Row],[G1]]-TblProd[[#This Row],[Bank Gems]]</f>
        <v>0</v>
      </c>
      <c r="AY85" s="142"/>
      <c r="AZ85" s="61" t="b">
        <f ca="1">IF(TblProd[[#This Row],[Set Guard]]&lt;&gt;"",TblProd[[#This Row],[Set Guard]],OFFSET(TblProd[[#This Row],[Guard]],-1,0))</f>
        <v>0</v>
      </c>
      <c r="BA85" s="153"/>
      <c r="BB85" s="45">
        <f>TblProd[[#This Row],[Hour]]</f>
        <v>34</v>
      </c>
      <c r="BC85" s="158">
        <f>-TblProd[[#This Row],[Bank Lumber]] / 2 + -TblProd[[#This Row],[Bank Gems]] * 2 + -TblProd[[#This Row],[Bank Ore]] / 2</f>
        <v>0</v>
      </c>
      <c r="BD85" s="158"/>
      <c r="BE85" s="158"/>
      <c r="BF85" s="158"/>
      <c r="BG85" s="159">
        <f ca="1">TblProd[[#This Row],[Time]]</f>
        <v>46323.374999999804</v>
      </c>
      <c r="BH85" s="45"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94">
        <f ca="1">TblProd[[#This Row],[Platinum]]</f>
        <v>190686</v>
      </c>
      <c r="BJ85" s="94">
        <f ca="1">TblProd[[#This Row],[Food]]</f>
        <v>139632</v>
      </c>
      <c r="BK85" s="94">
        <f ca="1">TblProd[[#This Row],[Lumber]]</f>
        <v>62338</v>
      </c>
      <c r="BL85" s="94">
        <f ca="1">TblProd[[#This Row],[Mana]]</f>
        <v>0</v>
      </c>
      <c r="BM85" s="94">
        <f ca="1">TblProd[[#This Row],[Ore]]</f>
        <v>0</v>
      </c>
    </row>
    <row r="86" spans="1:65" x14ac:dyDescent="0.2">
      <c r="A86" s="137">
        <f t="shared" si="0"/>
        <v>35</v>
      </c>
      <c r="B86" s="152">
        <f ca="1">TblImps[[#This Row],[Time]]</f>
        <v>46323.416666666468</v>
      </c>
      <c r="C86" s="153"/>
      <c r="D86" s="154"/>
      <c r="E86" s="94">
        <f ca="1">TblConstr[[#This Row],[Land]]</f>
        <v>50</v>
      </c>
      <c r="F86" s="94">
        <f ca="1">TblPop[[#This Row],[Peasants]]</f>
        <v>209</v>
      </c>
      <c r="G86" s="94">
        <f ca="1">TblMili[[#This Row],[Networth (2)]]</f>
        <v>1250</v>
      </c>
      <c r="H86" s="94">
        <f ca="1">OFFSET(TblProd[[#This Row],[Platinum]],-1,0)+OFFSET(TblProd[[#This Row],[Plat/hr]],-1,0) - TblProd[[#This Row],[Expenses Platinum]] + IF(TblProd[[#This Row],[Plat Bonus]],TblPop[[#This Row],[Peasants]]*4) + SUM(TblConstr[[#This Row],[Dest Hom]:[Dest Doc]])*TblConstr[[#This Row],[CPA Platinum -DB]]*tech_3_3_2*TblTech[[#This Row],[3-3]]</f>
        <v>191255</v>
      </c>
      <c r="I86" s="94">
        <f ca="1">OFFSET(TblProd[[#This Row],[Food]],-1,0)+OFFSET(TblProd[[#This Row],[Food/hr]],-1,0)+ROUNDUP((TblConstr[[#This Row],[Farms]]*80+TblConstr[[#This Row],[Docks]]*35)*(1+OFFSET(TblProd[[#This Row],[Bonus Food/hr]],-1,0)),0)</f>
        <v>140623</v>
      </c>
      <c r="J86" s="94">
        <f ca="1">OFFSET(TblProd[[#This Row],[Lumber]],-1,0)+OFFSET(TblProd[[#This Row],[Lumber/hr]],-1,0) - TblProd[[#This Row],[Expenses Lumber]] + SUM(TblConstr[[#This Row],[Dest Hom]:[Dest Doc]])*TblConstr[[#This Row],[CPA Lumber -DB]]*tech_3_3_2*TblTech[[#This Row],[3-3]]</f>
        <v>62715</v>
      </c>
      <c r="K86" s="94">
        <f ca="1">OFFSET(TblProd[[#This Row],[Mana]],-1,0)+OFFSET(TblProd[[#This Row],[Mana/hr]],-1,0)- TblProd[[#This Row],[Expenses Mana]]</f>
        <v>0</v>
      </c>
      <c r="L86" s="94">
        <f ca="1">OFFSET(TblProd[[#This Row],[Ore]],-1,0)+OFFSET(TblProd[[#This Row],[Ore/hr]],-1,0) -TblProd[[#This Row],[Expenses Ore]]</f>
        <v>0</v>
      </c>
      <c r="M86" s="94">
        <f ca="1">OFFSET(TblProd[[#This Row],[Gems]],-1,0)+OFFSET(TblProd[[#This Row],[Gems/hr]],-1,0) - TblProd[[#This Row],[Expenses Gems]]</f>
        <v>0</v>
      </c>
      <c r="N86" s="94">
        <f ca="1">OFFSET(TblProd[[#This Row],[Boats]],-1,0)+OFFSET(TblProd[[#This Row],[Boats/hr]],-1,0)</f>
        <v>0</v>
      </c>
      <c r="O86" s="94">
        <f ca="1">OFFSET(TblProd[[#This Row],[Prestige]],-1,0)</f>
        <v>250</v>
      </c>
      <c r="P8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6" s="94">
        <f ca="1">MAX(_xlfn.CEILING.MATH(TblProd[[#This Row],[Land]]*2.5+IFERROR(OFFSET(TblTech[[#This Row],[Sum of tech]],-1,0)*50,0)),3750)</f>
        <v>3750</v>
      </c>
      <c r="R86" s="142"/>
      <c r="S86" s="94">
        <f ca="1">ROUNDDOWN(TblProd[[#This Row],[Raw Plat/hr]]*(1+TblProd[[#This Row],[Bonus Plat/hr]]),0)</f>
        <v>564</v>
      </c>
      <c r="T86" s="94">
        <f ca="1">ROUND(TblProd[[#This Row],[Raw Food/hr]]*(1+TblProd[[#This Row],[Bonus Food/hr]])-TblProd[[#This Row],[Food decay]]-TblProd[[#This Row],[Food eaten]],0)</f>
        <v>982</v>
      </c>
      <c r="U86" s="94">
        <f ca="1">ROUND(TblProd[[#This Row],[Raw Lumber/hr]]*(1+TblProd[[#This Row],[Bonus Lumber/hr]])-TblProd[[#This Row],[Lumber rot]],0)</f>
        <v>373</v>
      </c>
      <c r="V86" s="94">
        <f ca="1">ROUND(TblProd[[#This Row],[Raw Mana/hr]]*(1+TblProd[[#This Row],[Bonus Mana/hr]])-TblProd[[#This Row],[Mana drain]],0)</f>
        <v>0</v>
      </c>
      <c r="W86" s="94">
        <f ca="1">ROUNDDOWN(TblProd[[#This Row],[Raw Ore/hr]]*(1+TblProd[[#This Row],[Bonux Ore/hr]]),0)</f>
        <v>0</v>
      </c>
      <c r="X86" s="94">
        <f ca="1">ROUNDDOWN(TblProd[[#This Row],[Raw Gems/hr]]*(1+TblProd[[#This Row],[Bonus Gems/hr]]),0)</f>
        <v>0</v>
      </c>
      <c r="Y86" s="155">
        <f ca="1">OFFSET(TblConstr[[#This Row],[Tot Doc]],1,0)*dock_boats_hr * (1 + tech_4_1*TblTech[[#This Row],[4-1]])</f>
        <v>0</v>
      </c>
      <c r="Z86" s="154"/>
      <c r="AA86" s="94">
        <f ca="1">TblPop[[#This Row],[Peasants]]*tax*TblPop[[#This Row],[Employment]] + (Construction!AZ87+Construction!BX87)*(alch_plat+(Magic!AN86&gt;0)*alchemist_flame_bonus)</f>
        <v>564.30000000000007</v>
      </c>
      <c r="AB86" s="94">
        <f ca="1">TblConstr[[#This Row],[Tot Farm]]*farm_food + TblConstr[[#This Row],[Tot Doc]]*dock_food</f>
        <v>2400</v>
      </c>
      <c r="AC86" s="94">
        <f ca="1">TblConstr[[#This Row],[Tot Ly]]*ly_lumber + TblConstr[[#This Row],[Tot Hav]]*fh_lumber + IF(race="Wood Elf",TblMili[[#This Row],[Unit 2]]*MIN(TblMili[[#This Row],[Homeland%]]/wisp_bonus,wisp_cap),0)</f>
        <v>1000</v>
      </c>
      <c r="AD86" s="94">
        <f ca="1">OFFSET(TblConstr[[#This Row],[Tot Tow]],1,0)*(tower_mana + tech_4_5*TblTech[[#This Row],[4-5]]) + OFFSET(TblConstr[[#This Row],[Tot WG]],1,0)*wg_mana_prod</f>
        <v>0</v>
      </c>
      <c r="AE86" s="94">
        <f ca="1">OFFSET(TblConstr[[#This Row],[Tot OM]],1,0)*om_ore+IF(race="Dwarf",TblMili[[#This Row],[Unit 2]]*0.5,0)</f>
        <v>0</v>
      </c>
      <c r="AF86" s="94">
        <f ca="1">OFFSET(TblConstr[[#This Row],[Tot DM]],1,0)*dm_gems</f>
        <v>0</v>
      </c>
      <c r="AG86" s="142"/>
      <c r="AH86" s="156">
        <f ca="1">MIN(race_platinum_bonus + IF(TblMagic[[#This Row],[Active Arc Infusion]]&gt;0,alch_frost_bonus,IF(Magic!AE86&gt;0,midas_bonus)) + TblImps[[#This Row],[Science]] - TblProd[[#This Row],[Guard]]*(0.02 + tech_5_7*TblTech[[#This Row],[5-7]]) + tech_1_5*TblTech[[#This Row],[1-5]] + tech_4_4*TblTech[[#This Row],[4-4]] + IF(TblMagic[[#This Row],[Active Infernal Command]]&gt;0,demonic_pact_plat,0), 0.5)</f>
        <v>0</v>
      </c>
      <c r="AI8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6" s="156">
        <f ca="1">race_lumber_bonus+ IF(TblMagic[[#This Row],[Active Gaia''s Blessing]]&gt;0,gaias_blessing_lumber)+ tech_1_3*TblTech[[#This Row],[1-3]] + tech_1_6*TblTech[[#This Row],[1-6]] + tech_3_3*TblTech[[#This Row],[3-3]]</f>
        <v>0</v>
      </c>
      <c r="AK86" s="156">
        <f ca="1">race_mana_bonus+ 0 + TblImps[[#This Row],[Spires]] + tech_1_2*TblTech[[#This Row],[1-2]] + tech_3_4*TblTech[[#This Row],[3-4]]</f>
        <v>0</v>
      </c>
      <c r="AL86" s="156">
        <f ca="1">race_ore_bonus + IF(TblMagic[[#This Row],[Active Miner''s Sight]]&gt;0,miners_sight_bonus,IF(TblMagic[[#This Row],[Active Mining Strength]]&gt;0,mining_strength_bonus)) +  tech_1_6*TblTech[[#This Row],[1-6]]</f>
        <v>0</v>
      </c>
      <c r="AM86" s="156">
        <f>race_gem_bonus+ tech_3_2*TblTech[[#This Row],[3-2]] + tech_4_3*TblTech[[#This Row],[4-3]] + tech_6_2*TblTech[[#This Row],[6-2]]</f>
        <v>0</v>
      </c>
      <c r="AN86" s="142"/>
      <c r="AO86" s="94">
        <f ca="1">TblProd[[#This Row],[Food]]*food_decay * (1 + tech_2_1*TblTech[[#This Row],[2-1]] + tech_2_8*TblTech[[#This Row],[2-8]] + IF(AND(TblMagic[[#This Row],[Active DnD]]&lt;12,TblMagic[[#This Row],[Active DnD]]&gt;5),1,0))</f>
        <v>1406.23</v>
      </c>
      <c r="AP86" s="94">
        <f ca="1">(1+race_food_consumption)*TblPop[[#This Row],[Total]]*food_per_person*(1+tech_1_10*TblTech[[#This Row],[1-10]]+tech_7_5*TblTech[[#This Row],[7-5]] + IF(TblMagic[[#This Row],[Active Infernal Command]]&gt;0,demonic_pact_food_cons,0))</f>
        <v>192.25</v>
      </c>
      <c r="AQ86" s="94">
        <f ca="1">TblProd[[#This Row],[Lumber]]*lumber_rot * (1 + tech_2_1*TblTech[[#This Row],[2-1]] + tech_2_8*TblTech[[#This Row],[2-8]] + tech_5_2*TblTech[[#This Row],[5-2]] + IF(AND(TblMagic[[#This Row],[Active DnD]]&lt;12,TblMagic[[#This Row],[Active DnD]]&gt;5),1,0))</f>
        <v>627.15</v>
      </c>
      <c r="AR86" s="94">
        <f ca="1">TblProd[[#This Row],[Mana]]*mana_drain * (1 + tech_2_1*TblTech[[#This Row],[2-1]] + tech_2_8*TblTech[[#This Row],[2-8]])</f>
        <v>0</v>
      </c>
      <c r="AS86" s="154"/>
      <c r="AT86" s="94">
        <f ca="1">TblExplore[[#This Row],[Platinum (2)]]+TblConstr[[#This Row],[Total Plat Cost]]+TblMili[[#This Row],[Plat Cost]]+TblRezone[[#This Row],[Platinum cost]]+TblImps[[#This Row],[P1]]-TblProd[[#This Row],[Bank Plat]]</f>
        <v>0</v>
      </c>
      <c r="AU86" s="94">
        <f ca="1">TblConstr[[#This Row],[Total Lum Cost]]+TblImps[[#This Row],[L1]]-TblProd[[#This Row],[Bank Lumber]] + Military!$CO$25*TblMili[[#This Row],[Sec. rec. Cost]]</f>
        <v>0</v>
      </c>
      <c r="AV86" s="94">
        <f ca="1">TblMagic[[#This Row],[Mana cost]] + Military!$CO$26*TblMili[[#This Row],[Sec. rec. Cost]]</f>
        <v>0</v>
      </c>
      <c r="AW86" s="94">
        <f ca="1">Military!$CO$24*TblMili[[#This Row],[Sec. rec. Cost]]+TblImps[[#This Row],[O1]]-TblProd[[#This Row],[Bank Ore]]</f>
        <v>0</v>
      </c>
      <c r="AX86" s="94">
        <f>TblImps[[#This Row],[G1]]-TblProd[[#This Row],[Bank Gems]]</f>
        <v>0</v>
      </c>
      <c r="AY86" s="142"/>
      <c r="AZ86" s="61" t="b">
        <f ca="1">IF(TblProd[[#This Row],[Set Guard]]&lt;&gt;"",TblProd[[#This Row],[Set Guard]],OFFSET(TblProd[[#This Row],[Guard]],-1,0))</f>
        <v>0</v>
      </c>
      <c r="BA86" s="153"/>
      <c r="BB86" s="45">
        <f>TblProd[[#This Row],[Hour]]</f>
        <v>35</v>
      </c>
      <c r="BC86" s="158">
        <f>-TblProd[[#This Row],[Bank Lumber]] / 2 + -TblProd[[#This Row],[Bank Gems]] * 2 + -TblProd[[#This Row],[Bank Ore]] / 2</f>
        <v>0</v>
      </c>
      <c r="BD86" s="158"/>
      <c r="BE86" s="158"/>
      <c r="BF86" s="158"/>
      <c r="BG86" s="159">
        <f ca="1">TblProd[[#This Row],[Time]]</f>
        <v>46323.416666666468</v>
      </c>
      <c r="BH86" s="45"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94">
        <f ca="1">TblProd[[#This Row],[Platinum]]</f>
        <v>191255</v>
      </c>
      <c r="BJ86" s="94">
        <f ca="1">TblProd[[#This Row],[Food]]</f>
        <v>140623</v>
      </c>
      <c r="BK86" s="94">
        <f ca="1">TblProd[[#This Row],[Lumber]]</f>
        <v>62715</v>
      </c>
      <c r="BL86" s="94">
        <f ca="1">TblProd[[#This Row],[Mana]]</f>
        <v>0</v>
      </c>
      <c r="BM86" s="94">
        <f ca="1">TblProd[[#This Row],[Ore]]</f>
        <v>0</v>
      </c>
    </row>
    <row r="87" spans="1:65" x14ac:dyDescent="0.2">
      <c r="A87" s="137">
        <f t="shared" si="0"/>
        <v>36</v>
      </c>
      <c r="B87" s="152">
        <f ca="1">TblImps[[#This Row],[Time]]</f>
        <v>46323.458333333132</v>
      </c>
      <c r="C87" s="153"/>
      <c r="D87" s="154"/>
      <c r="E87" s="94">
        <f ca="1">TblConstr[[#This Row],[Land]]</f>
        <v>50</v>
      </c>
      <c r="F87" s="94">
        <f ca="1">TblPop[[#This Row],[Peasants]]</f>
        <v>207</v>
      </c>
      <c r="G87" s="94">
        <f ca="1">TblMili[[#This Row],[Networth (2)]]</f>
        <v>1250</v>
      </c>
      <c r="H87" s="94">
        <f ca="1">OFFSET(TblProd[[#This Row],[Platinum]],-1,0)+OFFSET(TblProd[[#This Row],[Plat/hr]],-1,0) - TblProd[[#This Row],[Expenses Platinum]] + IF(TblProd[[#This Row],[Plat Bonus]],TblPop[[#This Row],[Peasants]]*4) + SUM(TblConstr[[#This Row],[Dest Hom]:[Dest Doc]])*TblConstr[[#This Row],[CPA Platinum -DB]]*tech_3_3_2*TblTech[[#This Row],[3-3]]</f>
        <v>191819</v>
      </c>
      <c r="I87" s="94">
        <f ca="1">OFFSET(TblProd[[#This Row],[Food]],-1,0)+OFFSET(TblProd[[#This Row],[Food/hr]],-1,0)+ROUNDUP((TblConstr[[#This Row],[Farms]]*80+TblConstr[[#This Row],[Docks]]*35)*(1+OFFSET(TblProd[[#This Row],[Bonus Food/hr]],-1,0)),0)</f>
        <v>141605</v>
      </c>
      <c r="J87" s="94">
        <f ca="1">OFFSET(TblProd[[#This Row],[Lumber]],-1,0)+OFFSET(TblProd[[#This Row],[Lumber/hr]],-1,0) - TblProd[[#This Row],[Expenses Lumber]] + SUM(TblConstr[[#This Row],[Dest Hom]:[Dest Doc]])*TblConstr[[#This Row],[CPA Lumber -DB]]*tech_3_3_2*TblTech[[#This Row],[3-3]]</f>
        <v>63088</v>
      </c>
      <c r="K87" s="94">
        <f ca="1">OFFSET(TblProd[[#This Row],[Mana]],-1,0)+OFFSET(TblProd[[#This Row],[Mana/hr]],-1,0)- TblProd[[#This Row],[Expenses Mana]]</f>
        <v>0</v>
      </c>
      <c r="L87" s="94">
        <f ca="1">OFFSET(TblProd[[#This Row],[Ore]],-1,0)+OFFSET(TblProd[[#This Row],[Ore/hr]],-1,0) -TblProd[[#This Row],[Expenses Ore]]</f>
        <v>0</v>
      </c>
      <c r="M87" s="94">
        <f ca="1">OFFSET(TblProd[[#This Row],[Gems]],-1,0)+OFFSET(TblProd[[#This Row],[Gems/hr]],-1,0) - TblProd[[#This Row],[Expenses Gems]]</f>
        <v>0</v>
      </c>
      <c r="N87" s="94">
        <f ca="1">OFFSET(TblProd[[#This Row],[Boats]],-1,0)+OFFSET(TblProd[[#This Row],[Boats/hr]],-1,0)</f>
        <v>0</v>
      </c>
      <c r="O87" s="94">
        <f ca="1">OFFSET(TblProd[[#This Row],[Prestige]],-1,0)</f>
        <v>250</v>
      </c>
      <c r="P8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7" s="94">
        <f ca="1">MAX(_xlfn.CEILING.MATH(TblProd[[#This Row],[Land]]*2.5+IFERROR(OFFSET(TblTech[[#This Row],[Sum of tech]],-1,0)*50,0)),3750)</f>
        <v>3750</v>
      </c>
      <c r="R87" s="142"/>
      <c r="S87" s="94">
        <f ca="1">ROUNDDOWN(TblProd[[#This Row],[Raw Plat/hr]]*(1+TblProd[[#This Row],[Bonus Plat/hr]]),0)</f>
        <v>558</v>
      </c>
      <c r="T87" s="94">
        <f ca="1">ROUND(TblProd[[#This Row],[Raw Food/hr]]*(1+TblProd[[#This Row],[Bonus Food/hr]])-TblProd[[#This Row],[Food decay]]-TblProd[[#This Row],[Food eaten]],0)</f>
        <v>972</v>
      </c>
      <c r="U87" s="94">
        <f ca="1">ROUND(TblProd[[#This Row],[Raw Lumber/hr]]*(1+TblProd[[#This Row],[Bonus Lumber/hr]])-TblProd[[#This Row],[Lumber rot]],0)</f>
        <v>369</v>
      </c>
      <c r="V87" s="94">
        <f ca="1">ROUND(TblProd[[#This Row],[Raw Mana/hr]]*(1+TblProd[[#This Row],[Bonus Mana/hr]])-TblProd[[#This Row],[Mana drain]],0)</f>
        <v>0</v>
      </c>
      <c r="W87" s="94">
        <f ca="1">ROUNDDOWN(TblProd[[#This Row],[Raw Ore/hr]]*(1+TblProd[[#This Row],[Bonux Ore/hr]]),0)</f>
        <v>0</v>
      </c>
      <c r="X87" s="94">
        <f ca="1">ROUNDDOWN(TblProd[[#This Row],[Raw Gems/hr]]*(1+TblProd[[#This Row],[Bonus Gems/hr]]),0)</f>
        <v>0</v>
      </c>
      <c r="Y87" s="155">
        <f ca="1">OFFSET(TblConstr[[#This Row],[Tot Doc]],1,0)*dock_boats_hr * (1 + tech_4_1*TblTech[[#This Row],[4-1]])</f>
        <v>0</v>
      </c>
      <c r="Z87" s="154"/>
      <c r="AA87" s="94">
        <f ca="1">TblPop[[#This Row],[Peasants]]*tax*TblPop[[#This Row],[Employment]] + (Construction!AZ88+Construction!BX88)*(alch_plat+(Magic!AN87&gt;0)*alchemist_flame_bonus)</f>
        <v>558.90000000000009</v>
      </c>
      <c r="AB87" s="94">
        <f ca="1">TblConstr[[#This Row],[Tot Farm]]*farm_food + TblConstr[[#This Row],[Tot Doc]]*dock_food</f>
        <v>2400</v>
      </c>
      <c r="AC87" s="94">
        <f ca="1">TblConstr[[#This Row],[Tot Ly]]*ly_lumber + TblConstr[[#This Row],[Tot Hav]]*fh_lumber + IF(race="Wood Elf",TblMili[[#This Row],[Unit 2]]*MIN(TblMili[[#This Row],[Homeland%]]/wisp_bonus,wisp_cap),0)</f>
        <v>1000</v>
      </c>
      <c r="AD87" s="94">
        <f ca="1">OFFSET(TblConstr[[#This Row],[Tot Tow]],1,0)*(tower_mana + tech_4_5*TblTech[[#This Row],[4-5]]) + OFFSET(TblConstr[[#This Row],[Tot WG]],1,0)*wg_mana_prod</f>
        <v>0</v>
      </c>
      <c r="AE87" s="94">
        <f ca="1">OFFSET(TblConstr[[#This Row],[Tot OM]],1,0)*om_ore+IF(race="Dwarf",TblMili[[#This Row],[Unit 2]]*0.5,0)</f>
        <v>0</v>
      </c>
      <c r="AF87" s="94">
        <f ca="1">OFFSET(TblConstr[[#This Row],[Tot DM]],1,0)*dm_gems</f>
        <v>0</v>
      </c>
      <c r="AG87" s="142"/>
      <c r="AH87" s="156">
        <f ca="1">MIN(race_platinum_bonus + IF(TblMagic[[#This Row],[Active Arc Infusion]]&gt;0,alch_frost_bonus,IF(Magic!AE87&gt;0,midas_bonus)) + TblImps[[#This Row],[Science]] - TblProd[[#This Row],[Guard]]*(0.02 + tech_5_7*TblTech[[#This Row],[5-7]]) + tech_1_5*TblTech[[#This Row],[1-5]] + tech_4_4*TblTech[[#This Row],[4-4]] + IF(TblMagic[[#This Row],[Active Infernal Command]]&gt;0,demonic_pact_plat,0), 0.5)</f>
        <v>0</v>
      </c>
      <c r="AI8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7" s="156">
        <f ca="1">race_lumber_bonus+ IF(TblMagic[[#This Row],[Active Gaia''s Blessing]]&gt;0,gaias_blessing_lumber)+ tech_1_3*TblTech[[#This Row],[1-3]] + tech_1_6*TblTech[[#This Row],[1-6]] + tech_3_3*TblTech[[#This Row],[3-3]]</f>
        <v>0</v>
      </c>
      <c r="AK87" s="156">
        <f ca="1">race_mana_bonus+ 0 + TblImps[[#This Row],[Spires]] + tech_1_2*TblTech[[#This Row],[1-2]] + tech_3_4*TblTech[[#This Row],[3-4]]</f>
        <v>0</v>
      </c>
      <c r="AL87" s="156">
        <f ca="1">race_ore_bonus + IF(TblMagic[[#This Row],[Active Miner''s Sight]]&gt;0,miners_sight_bonus,IF(TblMagic[[#This Row],[Active Mining Strength]]&gt;0,mining_strength_bonus)) +  tech_1_6*TblTech[[#This Row],[1-6]]</f>
        <v>0</v>
      </c>
      <c r="AM87" s="156">
        <f>race_gem_bonus+ tech_3_2*TblTech[[#This Row],[3-2]] + tech_4_3*TblTech[[#This Row],[4-3]] + tech_6_2*TblTech[[#This Row],[6-2]]</f>
        <v>0</v>
      </c>
      <c r="AN87" s="142"/>
      <c r="AO87" s="94">
        <f ca="1">TblProd[[#This Row],[Food]]*food_decay * (1 + tech_2_1*TblTech[[#This Row],[2-1]] + tech_2_8*TblTech[[#This Row],[2-8]] + IF(AND(TblMagic[[#This Row],[Active DnD]]&lt;12,TblMagic[[#This Row],[Active DnD]]&gt;5),1,0))</f>
        <v>1416.05</v>
      </c>
      <c r="AP87" s="94">
        <f ca="1">(1+race_food_consumption)*TblPop[[#This Row],[Total]]*food_per_person*(1+tech_1_10*TblTech[[#This Row],[1-10]]+tech_7_5*TblTech[[#This Row],[7-5]] + IF(TblMagic[[#This Row],[Active Infernal Command]]&gt;0,demonic_pact_food_cons,0))</f>
        <v>192.25</v>
      </c>
      <c r="AQ87" s="94">
        <f ca="1">TblProd[[#This Row],[Lumber]]*lumber_rot * (1 + tech_2_1*TblTech[[#This Row],[2-1]] + tech_2_8*TblTech[[#This Row],[2-8]] + tech_5_2*TblTech[[#This Row],[5-2]] + IF(AND(TblMagic[[#This Row],[Active DnD]]&lt;12,TblMagic[[#This Row],[Active DnD]]&gt;5),1,0))</f>
        <v>630.88</v>
      </c>
      <c r="AR87" s="94">
        <f ca="1">TblProd[[#This Row],[Mana]]*mana_drain * (1 + tech_2_1*TblTech[[#This Row],[2-1]] + tech_2_8*TblTech[[#This Row],[2-8]])</f>
        <v>0</v>
      </c>
      <c r="AS87" s="154"/>
      <c r="AT87" s="94">
        <f ca="1">TblExplore[[#This Row],[Platinum (2)]]+TblConstr[[#This Row],[Total Plat Cost]]+TblMili[[#This Row],[Plat Cost]]+TblRezone[[#This Row],[Platinum cost]]+TblImps[[#This Row],[P1]]-TblProd[[#This Row],[Bank Plat]]</f>
        <v>0</v>
      </c>
      <c r="AU87" s="94">
        <f ca="1">TblConstr[[#This Row],[Total Lum Cost]]+TblImps[[#This Row],[L1]]-TblProd[[#This Row],[Bank Lumber]] + Military!$CO$25*TblMili[[#This Row],[Sec. rec. Cost]]</f>
        <v>0</v>
      </c>
      <c r="AV87" s="94">
        <f ca="1">TblMagic[[#This Row],[Mana cost]] + Military!$CO$26*TblMili[[#This Row],[Sec. rec. Cost]]</f>
        <v>0</v>
      </c>
      <c r="AW87" s="94">
        <f ca="1">Military!$CO$24*TblMili[[#This Row],[Sec. rec. Cost]]+TblImps[[#This Row],[O1]]-TblProd[[#This Row],[Bank Ore]]</f>
        <v>0</v>
      </c>
      <c r="AX87" s="94">
        <f>TblImps[[#This Row],[G1]]-TblProd[[#This Row],[Bank Gems]]</f>
        <v>0</v>
      </c>
      <c r="AY87" s="142"/>
      <c r="AZ87" s="61" t="b">
        <f ca="1">IF(TblProd[[#This Row],[Set Guard]]&lt;&gt;"",TblProd[[#This Row],[Set Guard]],OFFSET(TblProd[[#This Row],[Guard]],-1,0))</f>
        <v>0</v>
      </c>
      <c r="BA87" s="153"/>
      <c r="BB87" s="45">
        <f>TblProd[[#This Row],[Hour]]</f>
        <v>36</v>
      </c>
      <c r="BC87" s="158">
        <f>-TblProd[[#This Row],[Bank Lumber]] / 2 + -TblProd[[#This Row],[Bank Gems]] * 2 + -TblProd[[#This Row],[Bank Ore]] / 2</f>
        <v>0</v>
      </c>
      <c r="BD87" s="158"/>
      <c r="BE87" s="158"/>
      <c r="BF87" s="158"/>
      <c r="BG87" s="159">
        <f ca="1">TblProd[[#This Row],[Time]]</f>
        <v>46323.458333333132</v>
      </c>
      <c r="BH87" s="45"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94">
        <f ca="1">TblProd[[#This Row],[Platinum]]</f>
        <v>191819</v>
      </c>
      <c r="BJ87" s="94">
        <f ca="1">TblProd[[#This Row],[Food]]</f>
        <v>141605</v>
      </c>
      <c r="BK87" s="94">
        <f ca="1">TblProd[[#This Row],[Lumber]]</f>
        <v>63088</v>
      </c>
      <c r="BL87" s="94">
        <f ca="1">TblProd[[#This Row],[Mana]]</f>
        <v>0</v>
      </c>
      <c r="BM87" s="94">
        <f ca="1">TblProd[[#This Row],[Ore]]</f>
        <v>0</v>
      </c>
    </row>
    <row r="88" spans="1:65" x14ac:dyDescent="0.2">
      <c r="A88" s="137">
        <f t="shared" si="0"/>
        <v>37</v>
      </c>
      <c r="B88" s="152">
        <f ca="1">TblImps[[#This Row],[Time]]</f>
        <v>46323.499999999796</v>
      </c>
      <c r="C88" s="153"/>
      <c r="D88" s="154"/>
      <c r="E88" s="94">
        <f ca="1">TblConstr[[#This Row],[Land]]</f>
        <v>50</v>
      </c>
      <c r="F88" s="94">
        <f ca="1">TblPop[[#This Row],[Peasants]]</f>
        <v>205</v>
      </c>
      <c r="G88" s="94">
        <f ca="1">TblMili[[#This Row],[Networth (2)]]</f>
        <v>1250</v>
      </c>
      <c r="H88" s="94">
        <f ca="1">OFFSET(TblProd[[#This Row],[Platinum]],-1,0)+OFFSET(TblProd[[#This Row],[Plat/hr]],-1,0) - TblProd[[#This Row],[Expenses Platinum]] + IF(TblProd[[#This Row],[Plat Bonus]],TblPop[[#This Row],[Peasants]]*4) + SUM(TblConstr[[#This Row],[Dest Hom]:[Dest Doc]])*TblConstr[[#This Row],[CPA Platinum -DB]]*tech_3_3_2*TblTech[[#This Row],[3-3]]</f>
        <v>192377</v>
      </c>
      <c r="I88" s="94">
        <f ca="1">OFFSET(TblProd[[#This Row],[Food]],-1,0)+OFFSET(TblProd[[#This Row],[Food/hr]],-1,0)+ROUNDUP((TblConstr[[#This Row],[Farms]]*80+TblConstr[[#This Row],[Docks]]*35)*(1+OFFSET(TblProd[[#This Row],[Bonus Food/hr]],-1,0)),0)</f>
        <v>142577</v>
      </c>
      <c r="J88" s="94">
        <f ca="1">OFFSET(TblProd[[#This Row],[Lumber]],-1,0)+OFFSET(TblProd[[#This Row],[Lumber/hr]],-1,0) - TblProd[[#This Row],[Expenses Lumber]] + SUM(TblConstr[[#This Row],[Dest Hom]:[Dest Doc]])*TblConstr[[#This Row],[CPA Lumber -DB]]*tech_3_3_2*TblTech[[#This Row],[3-3]]</f>
        <v>63457</v>
      </c>
      <c r="K88" s="94">
        <f ca="1">OFFSET(TblProd[[#This Row],[Mana]],-1,0)+OFFSET(TblProd[[#This Row],[Mana/hr]],-1,0)- TblProd[[#This Row],[Expenses Mana]]</f>
        <v>0</v>
      </c>
      <c r="L88" s="94">
        <f ca="1">OFFSET(TblProd[[#This Row],[Ore]],-1,0)+OFFSET(TblProd[[#This Row],[Ore/hr]],-1,0) -TblProd[[#This Row],[Expenses Ore]]</f>
        <v>0</v>
      </c>
      <c r="M88" s="94">
        <f ca="1">OFFSET(TblProd[[#This Row],[Gems]],-1,0)+OFFSET(TblProd[[#This Row],[Gems/hr]],-1,0) - TblProd[[#This Row],[Expenses Gems]]</f>
        <v>0</v>
      </c>
      <c r="N88" s="94">
        <f ca="1">OFFSET(TblProd[[#This Row],[Boats]],-1,0)+OFFSET(TblProd[[#This Row],[Boats/hr]],-1,0)</f>
        <v>0</v>
      </c>
      <c r="O88" s="94">
        <f ca="1">OFFSET(TblProd[[#This Row],[Prestige]],-1,0)</f>
        <v>250</v>
      </c>
      <c r="P8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8" s="94">
        <f ca="1">MAX(_xlfn.CEILING.MATH(TblProd[[#This Row],[Land]]*2.5+IFERROR(OFFSET(TblTech[[#This Row],[Sum of tech]],-1,0)*50,0)),3750)</f>
        <v>3750</v>
      </c>
      <c r="R88" s="142"/>
      <c r="S88" s="94">
        <f ca="1">ROUNDDOWN(TblProd[[#This Row],[Raw Plat/hr]]*(1+TblProd[[#This Row],[Bonus Plat/hr]]),0)</f>
        <v>553</v>
      </c>
      <c r="T88" s="94">
        <f ca="1">ROUND(TblProd[[#This Row],[Raw Food/hr]]*(1+TblProd[[#This Row],[Bonus Food/hr]])-TblProd[[#This Row],[Food decay]]-TblProd[[#This Row],[Food eaten]],0)</f>
        <v>962</v>
      </c>
      <c r="U88" s="94">
        <f ca="1">ROUND(TblProd[[#This Row],[Raw Lumber/hr]]*(1+TblProd[[#This Row],[Bonus Lumber/hr]])-TblProd[[#This Row],[Lumber rot]],0)</f>
        <v>365</v>
      </c>
      <c r="V88" s="94">
        <f ca="1">ROUND(TblProd[[#This Row],[Raw Mana/hr]]*(1+TblProd[[#This Row],[Bonus Mana/hr]])-TblProd[[#This Row],[Mana drain]],0)</f>
        <v>0</v>
      </c>
      <c r="W88" s="94">
        <f ca="1">ROUNDDOWN(TblProd[[#This Row],[Raw Ore/hr]]*(1+TblProd[[#This Row],[Bonux Ore/hr]]),0)</f>
        <v>0</v>
      </c>
      <c r="X88" s="94">
        <f ca="1">ROUNDDOWN(TblProd[[#This Row],[Raw Gems/hr]]*(1+TblProd[[#This Row],[Bonus Gems/hr]]),0)</f>
        <v>0</v>
      </c>
      <c r="Y88" s="155">
        <f ca="1">OFFSET(TblConstr[[#This Row],[Tot Doc]],1,0)*dock_boats_hr * (1 + tech_4_1*TblTech[[#This Row],[4-1]])</f>
        <v>0</v>
      </c>
      <c r="Z88" s="154"/>
      <c r="AA88" s="94">
        <f ca="1">TblPop[[#This Row],[Peasants]]*tax*TblPop[[#This Row],[Employment]] + (Construction!AZ89+Construction!BX89)*(alch_plat+(Magic!AN88&gt;0)*alchemist_flame_bonus)</f>
        <v>553.5</v>
      </c>
      <c r="AB88" s="94">
        <f ca="1">TblConstr[[#This Row],[Tot Farm]]*farm_food + TblConstr[[#This Row],[Tot Doc]]*dock_food</f>
        <v>2400</v>
      </c>
      <c r="AC88" s="94">
        <f ca="1">TblConstr[[#This Row],[Tot Ly]]*ly_lumber + TblConstr[[#This Row],[Tot Hav]]*fh_lumber + IF(race="Wood Elf",TblMili[[#This Row],[Unit 2]]*MIN(TblMili[[#This Row],[Homeland%]]/wisp_bonus,wisp_cap),0)</f>
        <v>1000</v>
      </c>
      <c r="AD88" s="94">
        <f ca="1">OFFSET(TblConstr[[#This Row],[Tot Tow]],1,0)*(tower_mana + tech_4_5*TblTech[[#This Row],[4-5]]) + OFFSET(TblConstr[[#This Row],[Tot WG]],1,0)*wg_mana_prod</f>
        <v>0</v>
      </c>
      <c r="AE88" s="94">
        <f ca="1">OFFSET(TblConstr[[#This Row],[Tot OM]],1,0)*om_ore+IF(race="Dwarf",TblMili[[#This Row],[Unit 2]]*0.5,0)</f>
        <v>0</v>
      </c>
      <c r="AF88" s="94">
        <f ca="1">OFFSET(TblConstr[[#This Row],[Tot DM]],1,0)*dm_gems</f>
        <v>0</v>
      </c>
      <c r="AG88" s="142"/>
      <c r="AH88" s="156">
        <f ca="1">MIN(race_platinum_bonus + IF(TblMagic[[#This Row],[Active Arc Infusion]]&gt;0,alch_frost_bonus,IF(Magic!AE88&gt;0,midas_bonus)) + TblImps[[#This Row],[Science]] - TblProd[[#This Row],[Guard]]*(0.02 + tech_5_7*TblTech[[#This Row],[5-7]]) + tech_1_5*TblTech[[#This Row],[1-5]] + tech_4_4*TblTech[[#This Row],[4-4]] + IF(TblMagic[[#This Row],[Active Infernal Command]]&gt;0,demonic_pact_plat,0), 0.5)</f>
        <v>0</v>
      </c>
      <c r="AI8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8" s="156">
        <f ca="1">race_lumber_bonus+ IF(TblMagic[[#This Row],[Active Gaia''s Blessing]]&gt;0,gaias_blessing_lumber)+ tech_1_3*TblTech[[#This Row],[1-3]] + tech_1_6*TblTech[[#This Row],[1-6]] + tech_3_3*TblTech[[#This Row],[3-3]]</f>
        <v>0</v>
      </c>
      <c r="AK88" s="156">
        <f ca="1">race_mana_bonus+ 0 + TblImps[[#This Row],[Spires]] + tech_1_2*TblTech[[#This Row],[1-2]] + tech_3_4*TblTech[[#This Row],[3-4]]</f>
        <v>0</v>
      </c>
      <c r="AL88" s="156">
        <f ca="1">race_ore_bonus + IF(TblMagic[[#This Row],[Active Miner''s Sight]]&gt;0,miners_sight_bonus,IF(TblMagic[[#This Row],[Active Mining Strength]]&gt;0,mining_strength_bonus)) +  tech_1_6*TblTech[[#This Row],[1-6]]</f>
        <v>0</v>
      </c>
      <c r="AM88" s="156">
        <f>race_gem_bonus+ tech_3_2*TblTech[[#This Row],[3-2]] + tech_4_3*TblTech[[#This Row],[4-3]] + tech_6_2*TblTech[[#This Row],[6-2]]</f>
        <v>0</v>
      </c>
      <c r="AN88" s="142"/>
      <c r="AO88" s="94">
        <f ca="1">TblProd[[#This Row],[Food]]*food_decay * (1 + tech_2_1*TblTech[[#This Row],[2-1]] + tech_2_8*TblTech[[#This Row],[2-8]] + IF(AND(TblMagic[[#This Row],[Active DnD]]&lt;12,TblMagic[[#This Row],[Active DnD]]&gt;5),1,0))</f>
        <v>1425.77</v>
      </c>
      <c r="AP88" s="94">
        <f ca="1">(1+race_food_consumption)*TblPop[[#This Row],[Total]]*food_per_person*(1+tech_1_10*TblTech[[#This Row],[1-10]]+tech_7_5*TblTech[[#This Row],[7-5]] + IF(TblMagic[[#This Row],[Active Infernal Command]]&gt;0,demonic_pact_food_cons,0))</f>
        <v>192.25</v>
      </c>
      <c r="AQ88" s="94">
        <f ca="1">TblProd[[#This Row],[Lumber]]*lumber_rot * (1 + tech_2_1*TblTech[[#This Row],[2-1]] + tech_2_8*TblTech[[#This Row],[2-8]] + tech_5_2*TblTech[[#This Row],[5-2]] + IF(AND(TblMagic[[#This Row],[Active DnD]]&lt;12,TblMagic[[#This Row],[Active DnD]]&gt;5),1,0))</f>
        <v>634.57000000000005</v>
      </c>
      <c r="AR88" s="94">
        <f ca="1">TblProd[[#This Row],[Mana]]*mana_drain * (1 + tech_2_1*TblTech[[#This Row],[2-1]] + tech_2_8*TblTech[[#This Row],[2-8]])</f>
        <v>0</v>
      </c>
      <c r="AS88" s="154"/>
      <c r="AT88" s="94">
        <f ca="1">TblExplore[[#This Row],[Platinum (2)]]+TblConstr[[#This Row],[Total Plat Cost]]+TblMili[[#This Row],[Plat Cost]]+TblRezone[[#This Row],[Platinum cost]]+TblImps[[#This Row],[P1]]-TblProd[[#This Row],[Bank Plat]]</f>
        <v>0</v>
      </c>
      <c r="AU88" s="94">
        <f ca="1">TblConstr[[#This Row],[Total Lum Cost]]+TblImps[[#This Row],[L1]]-TblProd[[#This Row],[Bank Lumber]] + Military!$CO$25*TblMili[[#This Row],[Sec. rec. Cost]]</f>
        <v>0</v>
      </c>
      <c r="AV88" s="94">
        <f ca="1">TblMagic[[#This Row],[Mana cost]] + Military!$CO$26*TblMili[[#This Row],[Sec. rec. Cost]]</f>
        <v>0</v>
      </c>
      <c r="AW88" s="94">
        <f ca="1">Military!$CO$24*TblMili[[#This Row],[Sec. rec. Cost]]+TblImps[[#This Row],[O1]]-TblProd[[#This Row],[Bank Ore]]</f>
        <v>0</v>
      </c>
      <c r="AX88" s="94">
        <f>TblImps[[#This Row],[G1]]-TblProd[[#This Row],[Bank Gems]]</f>
        <v>0</v>
      </c>
      <c r="AY88" s="142"/>
      <c r="AZ88" s="61" t="b">
        <f ca="1">IF(TblProd[[#This Row],[Set Guard]]&lt;&gt;"",TblProd[[#This Row],[Set Guard]],OFFSET(TblProd[[#This Row],[Guard]],-1,0))</f>
        <v>0</v>
      </c>
      <c r="BA88" s="153"/>
      <c r="BB88" s="45">
        <f>TblProd[[#This Row],[Hour]]</f>
        <v>37</v>
      </c>
      <c r="BC88" s="158">
        <f>-TblProd[[#This Row],[Bank Lumber]] / 2 + -TblProd[[#This Row],[Bank Gems]] * 2 + -TblProd[[#This Row],[Bank Ore]] / 2</f>
        <v>0</v>
      </c>
      <c r="BD88" s="158"/>
      <c r="BE88" s="158"/>
      <c r="BF88" s="158"/>
      <c r="BG88" s="159">
        <f ca="1">TblProd[[#This Row],[Time]]</f>
        <v>46323.499999999796</v>
      </c>
      <c r="BH88" s="45"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94">
        <f ca="1">TblProd[[#This Row],[Platinum]]</f>
        <v>192377</v>
      </c>
      <c r="BJ88" s="94">
        <f ca="1">TblProd[[#This Row],[Food]]</f>
        <v>142577</v>
      </c>
      <c r="BK88" s="94">
        <f ca="1">TblProd[[#This Row],[Lumber]]</f>
        <v>63457</v>
      </c>
      <c r="BL88" s="94">
        <f ca="1">TblProd[[#This Row],[Mana]]</f>
        <v>0</v>
      </c>
      <c r="BM88" s="94">
        <f ca="1">TblProd[[#This Row],[Ore]]</f>
        <v>0</v>
      </c>
    </row>
    <row r="89" spans="1:65" x14ac:dyDescent="0.2">
      <c r="A89" s="137">
        <f t="shared" si="0"/>
        <v>38</v>
      </c>
      <c r="B89" s="152">
        <f ca="1">TblImps[[#This Row],[Time]]</f>
        <v>46323.541666666461</v>
      </c>
      <c r="C89" s="153"/>
      <c r="D89" s="154"/>
      <c r="E89" s="94">
        <f ca="1">TblConstr[[#This Row],[Land]]</f>
        <v>50</v>
      </c>
      <c r="F89" s="94">
        <f ca="1">TblPop[[#This Row],[Peasants]]</f>
        <v>203</v>
      </c>
      <c r="G89" s="94">
        <f ca="1">TblMili[[#This Row],[Networth (2)]]</f>
        <v>1250</v>
      </c>
      <c r="H89" s="94">
        <f ca="1">OFFSET(TblProd[[#This Row],[Platinum]],-1,0)+OFFSET(TblProd[[#This Row],[Plat/hr]],-1,0) - TblProd[[#This Row],[Expenses Platinum]] + IF(TblProd[[#This Row],[Plat Bonus]],TblPop[[#This Row],[Peasants]]*4) + SUM(TblConstr[[#This Row],[Dest Hom]:[Dest Doc]])*TblConstr[[#This Row],[CPA Platinum -DB]]*tech_3_3_2*TblTech[[#This Row],[3-3]]</f>
        <v>192930</v>
      </c>
      <c r="I89" s="94">
        <f ca="1">OFFSET(TblProd[[#This Row],[Food]],-1,0)+OFFSET(TblProd[[#This Row],[Food/hr]],-1,0)+ROUNDUP((TblConstr[[#This Row],[Farms]]*80+TblConstr[[#This Row],[Docks]]*35)*(1+OFFSET(TblProd[[#This Row],[Bonus Food/hr]],-1,0)),0)</f>
        <v>143539</v>
      </c>
      <c r="J89" s="94">
        <f ca="1">OFFSET(TblProd[[#This Row],[Lumber]],-1,0)+OFFSET(TblProd[[#This Row],[Lumber/hr]],-1,0) - TblProd[[#This Row],[Expenses Lumber]] + SUM(TblConstr[[#This Row],[Dest Hom]:[Dest Doc]])*TblConstr[[#This Row],[CPA Lumber -DB]]*tech_3_3_2*TblTech[[#This Row],[3-3]]</f>
        <v>63822</v>
      </c>
      <c r="K89" s="94">
        <f ca="1">OFFSET(TblProd[[#This Row],[Mana]],-1,0)+OFFSET(TblProd[[#This Row],[Mana/hr]],-1,0)- TblProd[[#This Row],[Expenses Mana]]</f>
        <v>0</v>
      </c>
      <c r="L89" s="94">
        <f ca="1">OFFSET(TblProd[[#This Row],[Ore]],-1,0)+OFFSET(TblProd[[#This Row],[Ore/hr]],-1,0) -TblProd[[#This Row],[Expenses Ore]]</f>
        <v>0</v>
      </c>
      <c r="M89" s="94">
        <f ca="1">OFFSET(TblProd[[#This Row],[Gems]],-1,0)+OFFSET(TblProd[[#This Row],[Gems/hr]],-1,0) - TblProd[[#This Row],[Expenses Gems]]</f>
        <v>0</v>
      </c>
      <c r="N89" s="94">
        <f ca="1">OFFSET(TblProd[[#This Row],[Boats]],-1,0)+OFFSET(TblProd[[#This Row],[Boats/hr]],-1,0)</f>
        <v>0</v>
      </c>
      <c r="O89" s="94">
        <f ca="1">OFFSET(TblProd[[#This Row],[Prestige]],-1,0)</f>
        <v>250</v>
      </c>
      <c r="P8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9" s="94">
        <f ca="1">MAX(_xlfn.CEILING.MATH(TblProd[[#This Row],[Land]]*2.5+IFERROR(OFFSET(TblTech[[#This Row],[Sum of tech]],-1,0)*50,0)),3750)</f>
        <v>3750</v>
      </c>
      <c r="R89" s="142"/>
      <c r="S89" s="94">
        <f ca="1">ROUNDDOWN(TblProd[[#This Row],[Raw Plat/hr]]*(1+TblProd[[#This Row],[Bonus Plat/hr]]),0)</f>
        <v>548</v>
      </c>
      <c r="T89" s="94">
        <f ca="1">ROUND(TblProd[[#This Row],[Raw Food/hr]]*(1+TblProd[[#This Row],[Bonus Food/hr]])-TblProd[[#This Row],[Food decay]]-TblProd[[#This Row],[Food eaten]],0)</f>
        <v>952</v>
      </c>
      <c r="U89" s="94">
        <f ca="1">ROUND(TblProd[[#This Row],[Raw Lumber/hr]]*(1+TblProd[[#This Row],[Bonus Lumber/hr]])-TblProd[[#This Row],[Lumber rot]],0)</f>
        <v>362</v>
      </c>
      <c r="V89" s="94">
        <f ca="1">ROUND(TblProd[[#This Row],[Raw Mana/hr]]*(1+TblProd[[#This Row],[Bonus Mana/hr]])-TblProd[[#This Row],[Mana drain]],0)</f>
        <v>0</v>
      </c>
      <c r="W89" s="94">
        <f ca="1">ROUNDDOWN(TblProd[[#This Row],[Raw Ore/hr]]*(1+TblProd[[#This Row],[Bonux Ore/hr]]),0)</f>
        <v>0</v>
      </c>
      <c r="X89" s="94">
        <f ca="1">ROUNDDOWN(TblProd[[#This Row],[Raw Gems/hr]]*(1+TblProd[[#This Row],[Bonus Gems/hr]]),0)</f>
        <v>0</v>
      </c>
      <c r="Y89" s="155">
        <f ca="1">OFFSET(TblConstr[[#This Row],[Tot Doc]],1,0)*dock_boats_hr * (1 + tech_4_1*TblTech[[#This Row],[4-1]])</f>
        <v>0</v>
      </c>
      <c r="Z89" s="154"/>
      <c r="AA89" s="94">
        <f ca="1">TblPop[[#This Row],[Peasants]]*tax*TblPop[[#This Row],[Employment]] + (Construction!AZ90+Construction!BX90)*(alch_plat+(Magic!AN89&gt;0)*alchemist_flame_bonus)</f>
        <v>548.1</v>
      </c>
      <c r="AB89" s="94">
        <f ca="1">TblConstr[[#This Row],[Tot Farm]]*farm_food + TblConstr[[#This Row],[Tot Doc]]*dock_food</f>
        <v>2400</v>
      </c>
      <c r="AC89" s="94">
        <f ca="1">TblConstr[[#This Row],[Tot Ly]]*ly_lumber + TblConstr[[#This Row],[Tot Hav]]*fh_lumber + IF(race="Wood Elf",TblMili[[#This Row],[Unit 2]]*MIN(TblMili[[#This Row],[Homeland%]]/wisp_bonus,wisp_cap),0)</f>
        <v>1000</v>
      </c>
      <c r="AD89" s="94">
        <f ca="1">OFFSET(TblConstr[[#This Row],[Tot Tow]],1,0)*(tower_mana + tech_4_5*TblTech[[#This Row],[4-5]]) + OFFSET(TblConstr[[#This Row],[Tot WG]],1,0)*wg_mana_prod</f>
        <v>0</v>
      </c>
      <c r="AE89" s="94">
        <f ca="1">OFFSET(TblConstr[[#This Row],[Tot OM]],1,0)*om_ore+IF(race="Dwarf",TblMili[[#This Row],[Unit 2]]*0.5,0)</f>
        <v>0</v>
      </c>
      <c r="AF89" s="94">
        <f ca="1">OFFSET(TblConstr[[#This Row],[Tot DM]],1,0)*dm_gems</f>
        <v>0</v>
      </c>
      <c r="AG89" s="142"/>
      <c r="AH89" s="156">
        <f ca="1">MIN(race_platinum_bonus + IF(TblMagic[[#This Row],[Active Arc Infusion]]&gt;0,alch_frost_bonus,IF(Magic!AE89&gt;0,midas_bonus)) + TblImps[[#This Row],[Science]] - TblProd[[#This Row],[Guard]]*(0.02 + tech_5_7*TblTech[[#This Row],[5-7]]) + tech_1_5*TblTech[[#This Row],[1-5]] + tech_4_4*TblTech[[#This Row],[4-4]] + IF(TblMagic[[#This Row],[Active Infernal Command]]&gt;0,demonic_pact_plat,0), 0.5)</f>
        <v>0</v>
      </c>
      <c r="AI8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9" s="156">
        <f ca="1">race_lumber_bonus+ IF(TblMagic[[#This Row],[Active Gaia''s Blessing]]&gt;0,gaias_blessing_lumber)+ tech_1_3*TblTech[[#This Row],[1-3]] + tech_1_6*TblTech[[#This Row],[1-6]] + tech_3_3*TblTech[[#This Row],[3-3]]</f>
        <v>0</v>
      </c>
      <c r="AK89" s="156">
        <f ca="1">race_mana_bonus+ 0 + TblImps[[#This Row],[Spires]] + tech_1_2*TblTech[[#This Row],[1-2]] + tech_3_4*TblTech[[#This Row],[3-4]]</f>
        <v>0</v>
      </c>
      <c r="AL89" s="156">
        <f ca="1">race_ore_bonus + IF(TblMagic[[#This Row],[Active Miner''s Sight]]&gt;0,miners_sight_bonus,IF(TblMagic[[#This Row],[Active Mining Strength]]&gt;0,mining_strength_bonus)) +  tech_1_6*TblTech[[#This Row],[1-6]]</f>
        <v>0</v>
      </c>
      <c r="AM89" s="156">
        <f>race_gem_bonus+ tech_3_2*TblTech[[#This Row],[3-2]] + tech_4_3*TblTech[[#This Row],[4-3]] + tech_6_2*TblTech[[#This Row],[6-2]]</f>
        <v>0</v>
      </c>
      <c r="AN89" s="142"/>
      <c r="AO89" s="94">
        <f ca="1">TblProd[[#This Row],[Food]]*food_decay * (1 + tech_2_1*TblTech[[#This Row],[2-1]] + tech_2_8*TblTech[[#This Row],[2-8]] + IF(AND(TblMagic[[#This Row],[Active DnD]]&lt;12,TblMagic[[#This Row],[Active DnD]]&gt;5),1,0))</f>
        <v>1435.39</v>
      </c>
      <c r="AP89" s="94">
        <f ca="1">(1+race_food_consumption)*TblPop[[#This Row],[Total]]*food_per_person*(1+tech_1_10*TblTech[[#This Row],[1-10]]+tech_7_5*TblTech[[#This Row],[7-5]] + IF(TblMagic[[#This Row],[Active Infernal Command]]&gt;0,demonic_pact_food_cons,0))</f>
        <v>192.25</v>
      </c>
      <c r="AQ89" s="94">
        <f ca="1">TblProd[[#This Row],[Lumber]]*lumber_rot * (1 + tech_2_1*TblTech[[#This Row],[2-1]] + tech_2_8*TblTech[[#This Row],[2-8]] + tech_5_2*TblTech[[#This Row],[5-2]] + IF(AND(TblMagic[[#This Row],[Active DnD]]&lt;12,TblMagic[[#This Row],[Active DnD]]&gt;5),1,0))</f>
        <v>638.22</v>
      </c>
      <c r="AR89" s="94">
        <f ca="1">TblProd[[#This Row],[Mana]]*mana_drain * (1 + tech_2_1*TblTech[[#This Row],[2-1]] + tech_2_8*TblTech[[#This Row],[2-8]])</f>
        <v>0</v>
      </c>
      <c r="AS89" s="154"/>
      <c r="AT89" s="94">
        <f ca="1">TblExplore[[#This Row],[Platinum (2)]]+TblConstr[[#This Row],[Total Plat Cost]]+TblMili[[#This Row],[Plat Cost]]+TblRezone[[#This Row],[Platinum cost]]+TblImps[[#This Row],[P1]]-TblProd[[#This Row],[Bank Plat]]</f>
        <v>0</v>
      </c>
      <c r="AU89" s="94">
        <f ca="1">TblConstr[[#This Row],[Total Lum Cost]]+TblImps[[#This Row],[L1]]-TblProd[[#This Row],[Bank Lumber]] + Military!$CO$25*TblMili[[#This Row],[Sec. rec. Cost]]</f>
        <v>0</v>
      </c>
      <c r="AV89" s="94">
        <f ca="1">TblMagic[[#This Row],[Mana cost]] + Military!$CO$26*TblMili[[#This Row],[Sec. rec. Cost]]</f>
        <v>0</v>
      </c>
      <c r="AW89" s="94">
        <f ca="1">Military!$CO$24*TblMili[[#This Row],[Sec. rec. Cost]]+TblImps[[#This Row],[O1]]-TblProd[[#This Row],[Bank Ore]]</f>
        <v>0</v>
      </c>
      <c r="AX89" s="94">
        <f>TblImps[[#This Row],[G1]]-TblProd[[#This Row],[Bank Gems]]</f>
        <v>0</v>
      </c>
      <c r="AY89" s="142"/>
      <c r="AZ89" s="61" t="b">
        <f ca="1">IF(TblProd[[#This Row],[Set Guard]]&lt;&gt;"",TblProd[[#This Row],[Set Guard]],OFFSET(TblProd[[#This Row],[Guard]],-1,0))</f>
        <v>0</v>
      </c>
      <c r="BA89" s="153"/>
      <c r="BB89" s="45">
        <f>TblProd[[#This Row],[Hour]]</f>
        <v>38</v>
      </c>
      <c r="BC89" s="158">
        <f>-TblProd[[#This Row],[Bank Lumber]] / 2 + -TblProd[[#This Row],[Bank Gems]] * 2 + -TblProd[[#This Row],[Bank Ore]] / 2</f>
        <v>0</v>
      </c>
      <c r="BD89" s="158"/>
      <c r="BE89" s="158"/>
      <c r="BF89" s="158"/>
      <c r="BG89" s="159">
        <f ca="1">TblProd[[#This Row],[Time]]</f>
        <v>46323.541666666461</v>
      </c>
      <c r="BH89" s="45"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94">
        <f ca="1">TblProd[[#This Row],[Platinum]]</f>
        <v>192930</v>
      </c>
      <c r="BJ89" s="94">
        <f ca="1">TblProd[[#This Row],[Food]]</f>
        <v>143539</v>
      </c>
      <c r="BK89" s="94">
        <f ca="1">TblProd[[#This Row],[Lumber]]</f>
        <v>63822</v>
      </c>
      <c r="BL89" s="94">
        <f ca="1">TblProd[[#This Row],[Mana]]</f>
        <v>0</v>
      </c>
      <c r="BM89" s="94">
        <f ca="1">TblProd[[#This Row],[Ore]]</f>
        <v>0</v>
      </c>
    </row>
    <row r="90" spans="1:65" x14ac:dyDescent="0.2">
      <c r="A90" s="137">
        <f t="shared" si="0"/>
        <v>39</v>
      </c>
      <c r="B90" s="152">
        <f ca="1">TblImps[[#This Row],[Time]]</f>
        <v>46323.583333333125</v>
      </c>
      <c r="C90" s="153"/>
      <c r="D90" s="154"/>
      <c r="E90" s="94">
        <f ca="1">TblConstr[[#This Row],[Land]]</f>
        <v>50</v>
      </c>
      <c r="F90" s="94">
        <f ca="1">TblPop[[#This Row],[Peasants]]</f>
        <v>201</v>
      </c>
      <c r="G90" s="94">
        <f ca="1">TblMili[[#This Row],[Networth (2)]]</f>
        <v>1250</v>
      </c>
      <c r="H90" s="94">
        <f ca="1">OFFSET(TblProd[[#This Row],[Platinum]],-1,0)+OFFSET(TblProd[[#This Row],[Plat/hr]],-1,0) - TblProd[[#This Row],[Expenses Platinum]] + IF(TblProd[[#This Row],[Plat Bonus]],TblPop[[#This Row],[Peasants]]*4) + SUM(TblConstr[[#This Row],[Dest Hom]:[Dest Doc]])*TblConstr[[#This Row],[CPA Platinum -DB]]*tech_3_3_2*TblTech[[#This Row],[3-3]]</f>
        <v>193478</v>
      </c>
      <c r="I90" s="94">
        <f ca="1">OFFSET(TblProd[[#This Row],[Food]],-1,0)+OFFSET(TblProd[[#This Row],[Food/hr]],-1,0)+ROUNDUP((TblConstr[[#This Row],[Farms]]*80+TblConstr[[#This Row],[Docks]]*35)*(1+OFFSET(TblProd[[#This Row],[Bonus Food/hr]],-1,0)),0)</f>
        <v>144491</v>
      </c>
      <c r="J90" s="94">
        <f ca="1">OFFSET(TblProd[[#This Row],[Lumber]],-1,0)+OFFSET(TblProd[[#This Row],[Lumber/hr]],-1,0) - TblProd[[#This Row],[Expenses Lumber]] + SUM(TblConstr[[#This Row],[Dest Hom]:[Dest Doc]])*TblConstr[[#This Row],[CPA Lumber -DB]]*tech_3_3_2*TblTech[[#This Row],[3-3]]</f>
        <v>64184</v>
      </c>
      <c r="K90" s="94">
        <f ca="1">OFFSET(TblProd[[#This Row],[Mana]],-1,0)+OFFSET(TblProd[[#This Row],[Mana/hr]],-1,0)- TblProd[[#This Row],[Expenses Mana]]</f>
        <v>0</v>
      </c>
      <c r="L90" s="94">
        <f ca="1">OFFSET(TblProd[[#This Row],[Ore]],-1,0)+OFFSET(TblProd[[#This Row],[Ore/hr]],-1,0) -TblProd[[#This Row],[Expenses Ore]]</f>
        <v>0</v>
      </c>
      <c r="M90" s="94">
        <f ca="1">OFFSET(TblProd[[#This Row],[Gems]],-1,0)+OFFSET(TblProd[[#This Row],[Gems/hr]],-1,0) - TblProd[[#This Row],[Expenses Gems]]</f>
        <v>0</v>
      </c>
      <c r="N90" s="94">
        <f ca="1">OFFSET(TblProd[[#This Row],[Boats]],-1,0)+OFFSET(TblProd[[#This Row],[Boats/hr]],-1,0)</f>
        <v>0</v>
      </c>
      <c r="O90" s="94">
        <f ca="1">OFFSET(TblProd[[#This Row],[Prestige]],-1,0)</f>
        <v>250</v>
      </c>
      <c r="P9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0" s="94">
        <f ca="1">MAX(_xlfn.CEILING.MATH(TblProd[[#This Row],[Land]]*2.5+IFERROR(OFFSET(TblTech[[#This Row],[Sum of tech]],-1,0)*50,0)),3750)</f>
        <v>3750</v>
      </c>
      <c r="R90" s="142"/>
      <c r="S90" s="94">
        <f ca="1">ROUNDDOWN(TblProd[[#This Row],[Raw Plat/hr]]*(1+TblProd[[#This Row],[Bonus Plat/hr]]),0)</f>
        <v>542</v>
      </c>
      <c r="T90" s="94">
        <f ca="1">ROUND(TblProd[[#This Row],[Raw Food/hr]]*(1+TblProd[[#This Row],[Bonus Food/hr]])-TblProd[[#This Row],[Food decay]]-TblProd[[#This Row],[Food eaten]],0)</f>
        <v>943</v>
      </c>
      <c r="U90" s="94">
        <f ca="1">ROUND(TblProd[[#This Row],[Raw Lumber/hr]]*(1+TblProd[[#This Row],[Bonus Lumber/hr]])-TblProd[[#This Row],[Lumber rot]],0)</f>
        <v>358</v>
      </c>
      <c r="V90" s="94">
        <f ca="1">ROUND(TblProd[[#This Row],[Raw Mana/hr]]*(1+TblProd[[#This Row],[Bonus Mana/hr]])-TblProd[[#This Row],[Mana drain]],0)</f>
        <v>0</v>
      </c>
      <c r="W90" s="94">
        <f ca="1">ROUNDDOWN(TblProd[[#This Row],[Raw Ore/hr]]*(1+TblProd[[#This Row],[Bonux Ore/hr]]),0)</f>
        <v>0</v>
      </c>
      <c r="X90" s="94">
        <f ca="1">ROUNDDOWN(TblProd[[#This Row],[Raw Gems/hr]]*(1+TblProd[[#This Row],[Bonus Gems/hr]]),0)</f>
        <v>0</v>
      </c>
      <c r="Y90" s="155">
        <f ca="1">OFFSET(TblConstr[[#This Row],[Tot Doc]],1,0)*dock_boats_hr * (1 + tech_4_1*TblTech[[#This Row],[4-1]])</f>
        <v>0</v>
      </c>
      <c r="Z90" s="154"/>
      <c r="AA90" s="94">
        <f ca="1">TblPop[[#This Row],[Peasants]]*tax*TblPop[[#This Row],[Employment]] + (Construction!AZ91+Construction!BX91)*(alch_plat+(Magic!AN90&gt;0)*alchemist_flame_bonus)</f>
        <v>542.70000000000005</v>
      </c>
      <c r="AB90" s="94">
        <f ca="1">TblConstr[[#This Row],[Tot Farm]]*farm_food + TblConstr[[#This Row],[Tot Doc]]*dock_food</f>
        <v>2400</v>
      </c>
      <c r="AC90" s="94">
        <f ca="1">TblConstr[[#This Row],[Tot Ly]]*ly_lumber + TblConstr[[#This Row],[Tot Hav]]*fh_lumber + IF(race="Wood Elf",TblMili[[#This Row],[Unit 2]]*MIN(TblMili[[#This Row],[Homeland%]]/wisp_bonus,wisp_cap),0)</f>
        <v>1000</v>
      </c>
      <c r="AD90" s="94">
        <f ca="1">OFFSET(TblConstr[[#This Row],[Tot Tow]],1,0)*(tower_mana + tech_4_5*TblTech[[#This Row],[4-5]]) + OFFSET(TblConstr[[#This Row],[Tot WG]],1,0)*wg_mana_prod</f>
        <v>0</v>
      </c>
      <c r="AE90" s="94">
        <f ca="1">OFFSET(TblConstr[[#This Row],[Tot OM]],1,0)*om_ore+IF(race="Dwarf",TblMili[[#This Row],[Unit 2]]*0.5,0)</f>
        <v>0</v>
      </c>
      <c r="AF90" s="94">
        <f ca="1">OFFSET(TblConstr[[#This Row],[Tot DM]],1,0)*dm_gems</f>
        <v>0</v>
      </c>
      <c r="AG90" s="142"/>
      <c r="AH90" s="156">
        <f ca="1">MIN(race_platinum_bonus + IF(TblMagic[[#This Row],[Active Arc Infusion]]&gt;0,alch_frost_bonus,IF(Magic!AE90&gt;0,midas_bonus)) + TblImps[[#This Row],[Science]] - TblProd[[#This Row],[Guard]]*(0.02 + tech_5_7*TblTech[[#This Row],[5-7]]) + tech_1_5*TblTech[[#This Row],[1-5]] + tech_4_4*TblTech[[#This Row],[4-4]] + IF(TblMagic[[#This Row],[Active Infernal Command]]&gt;0,demonic_pact_plat,0), 0.5)</f>
        <v>0</v>
      </c>
      <c r="AI9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0" s="156">
        <f ca="1">race_lumber_bonus+ IF(TblMagic[[#This Row],[Active Gaia''s Blessing]]&gt;0,gaias_blessing_lumber)+ tech_1_3*TblTech[[#This Row],[1-3]] + tech_1_6*TblTech[[#This Row],[1-6]] + tech_3_3*TblTech[[#This Row],[3-3]]</f>
        <v>0</v>
      </c>
      <c r="AK90" s="156">
        <f ca="1">race_mana_bonus+ 0 + TblImps[[#This Row],[Spires]] + tech_1_2*TblTech[[#This Row],[1-2]] + tech_3_4*TblTech[[#This Row],[3-4]]</f>
        <v>0</v>
      </c>
      <c r="AL90" s="156">
        <f ca="1">race_ore_bonus + IF(TblMagic[[#This Row],[Active Miner''s Sight]]&gt;0,miners_sight_bonus,IF(TblMagic[[#This Row],[Active Mining Strength]]&gt;0,mining_strength_bonus)) +  tech_1_6*TblTech[[#This Row],[1-6]]</f>
        <v>0</v>
      </c>
      <c r="AM90" s="156">
        <f>race_gem_bonus+ tech_3_2*TblTech[[#This Row],[3-2]] + tech_4_3*TblTech[[#This Row],[4-3]] + tech_6_2*TblTech[[#This Row],[6-2]]</f>
        <v>0</v>
      </c>
      <c r="AN90" s="142"/>
      <c r="AO90" s="94">
        <f ca="1">TblProd[[#This Row],[Food]]*food_decay * (1 + tech_2_1*TblTech[[#This Row],[2-1]] + tech_2_8*TblTech[[#This Row],[2-8]] + IF(AND(TblMagic[[#This Row],[Active DnD]]&lt;12,TblMagic[[#This Row],[Active DnD]]&gt;5),1,0))</f>
        <v>1444.91</v>
      </c>
      <c r="AP90" s="94">
        <f ca="1">(1+race_food_consumption)*TblPop[[#This Row],[Total]]*food_per_person*(1+tech_1_10*TblTech[[#This Row],[1-10]]+tech_7_5*TblTech[[#This Row],[7-5]] + IF(TblMagic[[#This Row],[Active Infernal Command]]&gt;0,demonic_pact_food_cons,0))</f>
        <v>192.25</v>
      </c>
      <c r="AQ90" s="94">
        <f ca="1">TblProd[[#This Row],[Lumber]]*lumber_rot * (1 + tech_2_1*TblTech[[#This Row],[2-1]] + tech_2_8*TblTech[[#This Row],[2-8]] + tech_5_2*TblTech[[#This Row],[5-2]] + IF(AND(TblMagic[[#This Row],[Active DnD]]&lt;12,TblMagic[[#This Row],[Active DnD]]&gt;5),1,0))</f>
        <v>641.84</v>
      </c>
      <c r="AR90" s="94">
        <f ca="1">TblProd[[#This Row],[Mana]]*mana_drain * (1 + tech_2_1*TblTech[[#This Row],[2-1]] + tech_2_8*TblTech[[#This Row],[2-8]])</f>
        <v>0</v>
      </c>
      <c r="AS90" s="154"/>
      <c r="AT90" s="94">
        <f ca="1">TblExplore[[#This Row],[Platinum (2)]]+TblConstr[[#This Row],[Total Plat Cost]]+TblMili[[#This Row],[Plat Cost]]+TblRezone[[#This Row],[Platinum cost]]+TblImps[[#This Row],[P1]]-TblProd[[#This Row],[Bank Plat]]</f>
        <v>0</v>
      </c>
      <c r="AU90" s="94">
        <f ca="1">TblConstr[[#This Row],[Total Lum Cost]]+TblImps[[#This Row],[L1]]-TblProd[[#This Row],[Bank Lumber]] + Military!$CO$25*TblMili[[#This Row],[Sec. rec. Cost]]</f>
        <v>0</v>
      </c>
      <c r="AV90" s="94">
        <f ca="1">TblMagic[[#This Row],[Mana cost]] + Military!$CO$26*TblMili[[#This Row],[Sec. rec. Cost]]</f>
        <v>0</v>
      </c>
      <c r="AW90" s="94">
        <f ca="1">Military!$CO$24*TblMili[[#This Row],[Sec. rec. Cost]]+TblImps[[#This Row],[O1]]-TblProd[[#This Row],[Bank Ore]]</f>
        <v>0</v>
      </c>
      <c r="AX90" s="94">
        <f>TblImps[[#This Row],[G1]]-TblProd[[#This Row],[Bank Gems]]</f>
        <v>0</v>
      </c>
      <c r="AY90" s="142"/>
      <c r="AZ90" s="61" t="b">
        <f ca="1">IF(TblProd[[#This Row],[Set Guard]]&lt;&gt;"",TblProd[[#This Row],[Set Guard]],OFFSET(TblProd[[#This Row],[Guard]],-1,0))</f>
        <v>0</v>
      </c>
      <c r="BA90" s="153"/>
      <c r="BB90" s="45">
        <f>TblProd[[#This Row],[Hour]]</f>
        <v>39</v>
      </c>
      <c r="BC90" s="158">
        <f>-TblProd[[#This Row],[Bank Lumber]] / 2 + -TblProd[[#This Row],[Bank Gems]] * 2 + -TblProd[[#This Row],[Bank Ore]] / 2</f>
        <v>0</v>
      </c>
      <c r="BD90" s="158"/>
      <c r="BE90" s="158"/>
      <c r="BF90" s="158"/>
      <c r="BG90" s="159">
        <f ca="1">TblProd[[#This Row],[Time]]</f>
        <v>46323.583333333125</v>
      </c>
      <c r="BH90" s="45"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94">
        <f ca="1">TblProd[[#This Row],[Platinum]]</f>
        <v>193478</v>
      </c>
      <c r="BJ90" s="94">
        <f ca="1">TblProd[[#This Row],[Food]]</f>
        <v>144491</v>
      </c>
      <c r="BK90" s="94">
        <f ca="1">TblProd[[#This Row],[Lumber]]</f>
        <v>64184</v>
      </c>
      <c r="BL90" s="94">
        <f ca="1">TblProd[[#This Row],[Mana]]</f>
        <v>0</v>
      </c>
      <c r="BM90" s="94">
        <f ca="1">TblProd[[#This Row],[Ore]]</f>
        <v>0</v>
      </c>
    </row>
    <row r="91" spans="1:65" x14ac:dyDescent="0.2">
      <c r="A91" s="137">
        <f t="shared" si="0"/>
        <v>40</v>
      </c>
      <c r="B91" s="152">
        <f ca="1">TblImps[[#This Row],[Time]]</f>
        <v>46323.624999999789</v>
      </c>
      <c r="C91" s="153"/>
      <c r="D91" s="154"/>
      <c r="E91" s="94">
        <f ca="1">TblConstr[[#This Row],[Land]]</f>
        <v>50</v>
      </c>
      <c r="F91" s="94">
        <f ca="1">TblPop[[#This Row],[Peasants]]</f>
        <v>199</v>
      </c>
      <c r="G91" s="94">
        <f ca="1">TblMili[[#This Row],[Networth (2)]]</f>
        <v>1250</v>
      </c>
      <c r="H91" s="94">
        <f ca="1">OFFSET(TblProd[[#This Row],[Platinum]],-1,0)+OFFSET(TblProd[[#This Row],[Plat/hr]],-1,0) - TblProd[[#This Row],[Expenses Platinum]] + IF(TblProd[[#This Row],[Plat Bonus]],TblPop[[#This Row],[Peasants]]*4) + SUM(TblConstr[[#This Row],[Dest Hom]:[Dest Doc]])*TblConstr[[#This Row],[CPA Platinum -DB]]*tech_3_3_2*TblTech[[#This Row],[3-3]]</f>
        <v>194020</v>
      </c>
      <c r="I91" s="94">
        <f ca="1">OFFSET(TblProd[[#This Row],[Food]],-1,0)+OFFSET(TblProd[[#This Row],[Food/hr]],-1,0)+ROUNDUP((TblConstr[[#This Row],[Farms]]*80+TblConstr[[#This Row],[Docks]]*35)*(1+OFFSET(TblProd[[#This Row],[Bonus Food/hr]],-1,0)),0)</f>
        <v>145434</v>
      </c>
      <c r="J91" s="94">
        <f ca="1">OFFSET(TblProd[[#This Row],[Lumber]],-1,0)+OFFSET(TblProd[[#This Row],[Lumber/hr]],-1,0) - TblProd[[#This Row],[Expenses Lumber]] + SUM(TblConstr[[#This Row],[Dest Hom]:[Dest Doc]])*TblConstr[[#This Row],[CPA Lumber -DB]]*tech_3_3_2*TblTech[[#This Row],[3-3]]</f>
        <v>64542</v>
      </c>
      <c r="K91" s="94">
        <f ca="1">OFFSET(TblProd[[#This Row],[Mana]],-1,0)+OFFSET(TblProd[[#This Row],[Mana/hr]],-1,0)- TblProd[[#This Row],[Expenses Mana]]</f>
        <v>0</v>
      </c>
      <c r="L91" s="94">
        <f ca="1">OFFSET(TblProd[[#This Row],[Ore]],-1,0)+OFFSET(TblProd[[#This Row],[Ore/hr]],-1,0) -TblProd[[#This Row],[Expenses Ore]]</f>
        <v>0</v>
      </c>
      <c r="M91" s="94">
        <f ca="1">OFFSET(TblProd[[#This Row],[Gems]],-1,0)+OFFSET(TblProd[[#This Row],[Gems/hr]],-1,0) - TblProd[[#This Row],[Expenses Gems]]</f>
        <v>0</v>
      </c>
      <c r="N91" s="94">
        <f ca="1">OFFSET(TblProd[[#This Row],[Boats]],-1,0)+OFFSET(TblProd[[#This Row],[Boats/hr]],-1,0)</f>
        <v>0</v>
      </c>
      <c r="O91" s="94">
        <f ca="1">OFFSET(TblProd[[#This Row],[Prestige]],-1,0)</f>
        <v>250</v>
      </c>
      <c r="P9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1" s="94">
        <f ca="1">MAX(_xlfn.CEILING.MATH(TblProd[[#This Row],[Land]]*2.5+IFERROR(OFFSET(TblTech[[#This Row],[Sum of tech]],-1,0)*50,0)),3750)</f>
        <v>3750</v>
      </c>
      <c r="R91" s="142"/>
      <c r="S91" s="94">
        <f ca="1">ROUNDDOWN(TblProd[[#This Row],[Raw Plat/hr]]*(1+TblProd[[#This Row],[Bonus Plat/hr]]),0)</f>
        <v>537</v>
      </c>
      <c r="T91" s="94">
        <f ca="1">ROUND(TblProd[[#This Row],[Raw Food/hr]]*(1+TblProd[[#This Row],[Bonus Food/hr]])-TblProd[[#This Row],[Food decay]]-TblProd[[#This Row],[Food eaten]],0)</f>
        <v>933</v>
      </c>
      <c r="U91" s="94">
        <f ca="1">ROUND(TblProd[[#This Row],[Raw Lumber/hr]]*(1+TblProd[[#This Row],[Bonus Lumber/hr]])-TblProd[[#This Row],[Lumber rot]],0)</f>
        <v>355</v>
      </c>
      <c r="V91" s="94">
        <f ca="1">ROUND(TblProd[[#This Row],[Raw Mana/hr]]*(1+TblProd[[#This Row],[Bonus Mana/hr]])-TblProd[[#This Row],[Mana drain]],0)</f>
        <v>0</v>
      </c>
      <c r="W91" s="94">
        <f ca="1">ROUNDDOWN(TblProd[[#This Row],[Raw Ore/hr]]*(1+TblProd[[#This Row],[Bonux Ore/hr]]),0)</f>
        <v>0</v>
      </c>
      <c r="X91" s="94">
        <f ca="1">ROUNDDOWN(TblProd[[#This Row],[Raw Gems/hr]]*(1+TblProd[[#This Row],[Bonus Gems/hr]]),0)</f>
        <v>0</v>
      </c>
      <c r="Y91" s="155">
        <f ca="1">OFFSET(TblConstr[[#This Row],[Tot Doc]],1,0)*dock_boats_hr * (1 + tech_4_1*TblTech[[#This Row],[4-1]])</f>
        <v>0</v>
      </c>
      <c r="Z91" s="154"/>
      <c r="AA91" s="94">
        <f ca="1">TblPop[[#This Row],[Peasants]]*tax*TblPop[[#This Row],[Employment]] + (Construction!AZ92+Construction!BX92)*(alch_plat+(Magic!AN91&gt;0)*alchemist_flame_bonus)</f>
        <v>537.30000000000007</v>
      </c>
      <c r="AB91" s="94">
        <f ca="1">TblConstr[[#This Row],[Tot Farm]]*farm_food + TblConstr[[#This Row],[Tot Doc]]*dock_food</f>
        <v>2400</v>
      </c>
      <c r="AC91" s="94">
        <f ca="1">TblConstr[[#This Row],[Tot Ly]]*ly_lumber + TblConstr[[#This Row],[Tot Hav]]*fh_lumber + IF(race="Wood Elf",TblMili[[#This Row],[Unit 2]]*MIN(TblMili[[#This Row],[Homeland%]]/wisp_bonus,wisp_cap),0)</f>
        <v>1000</v>
      </c>
      <c r="AD91" s="94">
        <f ca="1">OFFSET(TblConstr[[#This Row],[Tot Tow]],1,0)*(tower_mana + tech_4_5*TblTech[[#This Row],[4-5]]) + OFFSET(TblConstr[[#This Row],[Tot WG]],1,0)*wg_mana_prod</f>
        <v>0</v>
      </c>
      <c r="AE91" s="94">
        <f ca="1">OFFSET(TblConstr[[#This Row],[Tot OM]],1,0)*om_ore+IF(race="Dwarf",TblMili[[#This Row],[Unit 2]]*0.5,0)</f>
        <v>0</v>
      </c>
      <c r="AF91" s="94">
        <f ca="1">OFFSET(TblConstr[[#This Row],[Tot DM]],1,0)*dm_gems</f>
        <v>0</v>
      </c>
      <c r="AG91" s="142"/>
      <c r="AH91" s="156">
        <f ca="1">MIN(race_platinum_bonus + IF(TblMagic[[#This Row],[Active Arc Infusion]]&gt;0,alch_frost_bonus,IF(Magic!AE91&gt;0,midas_bonus)) + TblImps[[#This Row],[Science]] - TblProd[[#This Row],[Guard]]*(0.02 + tech_5_7*TblTech[[#This Row],[5-7]]) + tech_1_5*TblTech[[#This Row],[1-5]] + tech_4_4*TblTech[[#This Row],[4-4]] + IF(TblMagic[[#This Row],[Active Infernal Command]]&gt;0,demonic_pact_plat,0), 0.5)</f>
        <v>0</v>
      </c>
      <c r="AI9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1" s="156">
        <f ca="1">race_lumber_bonus+ IF(TblMagic[[#This Row],[Active Gaia''s Blessing]]&gt;0,gaias_blessing_lumber)+ tech_1_3*TblTech[[#This Row],[1-3]] + tech_1_6*TblTech[[#This Row],[1-6]] + tech_3_3*TblTech[[#This Row],[3-3]]</f>
        <v>0</v>
      </c>
      <c r="AK91" s="156">
        <f ca="1">race_mana_bonus+ 0 + TblImps[[#This Row],[Spires]] + tech_1_2*TblTech[[#This Row],[1-2]] + tech_3_4*TblTech[[#This Row],[3-4]]</f>
        <v>0</v>
      </c>
      <c r="AL91" s="156">
        <f ca="1">race_ore_bonus + IF(TblMagic[[#This Row],[Active Miner''s Sight]]&gt;0,miners_sight_bonus,IF(TblMagic[[#This Row],[Active Mining Strength]]&gt;0,mining_strength_bonus)) +  tech_1_6*TblTech[[#This Row],[1-6]]</f>
        <v>0</v>
      </c>
      <c r="AM91" s="156">
        <f>race_gem_bonus+ tech_3_2*TblTech[[#This Row],[3-2]] + tech_4_3*TblTech[[#This Row],[4-3]] + tech_6_2*TblTech[[#This Row],[6-2]]</f>
        <v>0</v>
      </c>
      <c r="AN91" s="142"/>
      <c r="AO91" s="94">
        <f ca="1">TblProd[[#This Row],[Food]]*food_decay * (1 + tech_2_1*TblTech[[#This Row],[2-1]] + tech_2_8*TblTech[[#This Row],[2-8]] + IF(AND(TblMagic[[#This Row],[Active DnD]]&lt;12,TblMagic[[#This Row],[Active DnD]]&gt;5),1,0))</f>
        <v>1454.34</v>
      </c>
      <c r="AP91" s="94">
        <f ca="1">(1+race_food_consumption)*TblPop[[#This Row],[Total]]*food_per_person*(1+tech_1_10*TblTech[[#This Row],[1-10]]+tech_7_5*TblTech[[#This Row],[7-5]] + IF(TblMagic[[#This Row],[Active Infernal Command]]&gt;0,demonic_pact_food_cons,0))</f>
        <v>192.25</v>
      </c>
      <c r="AQ91" s="94">
        <f ca="1">TblProd[[#This Row],[Lumber]]*lumber_rot * (1 + tech_2_1*TblTech[[#This Row],[2-1]] + tech_2_8*TblTech[[#This Row],[2-8]] + tech_5_2*TblTech[[#This Row],[5-2]] + IF(AND(TblMagic[[#This Row],[Active DnD]]&lt;12,TblMagic[[#This Row],[Active DnD]]&gt;5),1,0))</f>
        <v>645.41999999999996</v>
      </c>
      <c r="AR91" s="94">
        <f ca="1">TblProd[[#This Row],[Mana]]*mana_drain * (1 + tech_2_1*TblTech[[#This Row],[2-1]] + tech_2_8*TblTech[[#This Row],[2-8]])</f>
        <v>0</v>
      </c>
      <c r="AS91" s="154"/>
      <c r="AT91" s="94">
        <f ca="1">TblExplore[[#This Row],[Platinum (2)]]+TblConstr[[#This Row],[Total Plat Cost]]+TblMili[[#This Row],[Plat Cost]]+TblRezone[[#This Row],[Platinum cost]]+TblImps[[#This Row],[P1]]-TblProd[[#This Row],[Bank Plat]]</f>
        <v>0</v>
      </c>
      <c r="AU91" s="94">
        <f ca="1">TblConstr[[#This Row],[Total Lum Cost]]+TblImps[[#This Row],[L1]]-TblProd[[#This Row],[Bank Lumber]] + Military!$CO$25*TblMili[[#This Row],[Sec. rec. Cost]]</f>
        <v>0</v>
      </c>
      <c r="AV91" s="94">
        <f ca="1">TblMagic[[#This Row],[Mana cost]] + Military!$CO$26*TblMili[[#This Row],[Sec. rec. Cost]]</f>
        <v>0</v>
      </c>
      <c r="AW91" s="94">
        <f ca="1">Military!$CO$24*TblMili[[#This Row],[Sec. rec. Cost]]+TblImps[[#This Row],[O1]]-TblProd[[#This Row],[Bank Ore]]</f>
        <v>0</v>
      </c>
      <c r="AX91" s="94">
        <f>TblImps[[#This Row],[G1]]-TblProd[[#This Row],[Bank Gems]]</f>
        <v>0</v>
      </c>
      <c r="AY91" s="142"/>
      <c r="AZ91" s="61" t="b">
        <f ca="1">IF(TblProd[[#This Row],[Set Guard]]&lt;&gt;"",TblProd[[#This Row],[Set Guard]],OFFSET(TblProd[[#This Row],[Guard]],-1,0))</f>
        <v>0</v>
      </c>
      <c r="BA91" s="153"/>
      <c r="BB91" s="45">
        <f>TblProd[[#This Row],[Hour]]</f>
        <v>40</v>
      </c>
      <c r="BC91" s="158">
        <f>-TblProd[[#This Row],[Bank Lumber]] / 2 + -TblProd[[#This Row],[Bank Gems]] * 2 + -TblProd[[#This Row],[Bank Ore]] / 2</f>
        <v>0</v>
      </c>
      <c r="BD91" s="158"/>
      <c r="BE91" s="158"/>
      <c r="BF91" s="158"/>
      <c r="BG91" s="159">
        <f ca="1">TblProd[[#This Row],[Time]]</f>
        <v>46323.624999999789</v>
      </c>
      <c r="BH91" s="45"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94">
        <f ca="1">TblProd[[#This Row],[Platinum]]</f>
        <v>194020</v>
      </c>
      <c r="BJ91" s="94">
        <f ca="1">TblProd[[#This Row],[Food]]</f>
        <v>145434</v>
      </c>
      <c r="BK91" s="94">
        <f ca="1">TblProd[[#This Row],[Lumber]]</f>
        <v>64542</v>
      </c>
      <c r="BL91" s="94">
        <f ca="1">TblProd[[#This Row],[Mana]]</f>
        <v>0</v>
      </c>
      <c r="BM91" s="94">
        <f ca="1">TblProd[[#This Row],[Ore]]</f>
        <v>0</v>
      </c>
    </row>
    <row r="92" spans="1:65" x14ac:dyDescent="0.2">
      <c r="A92" s="137">
        <f t="shared" si="0"/>
        <v>41</v>
      </c>
      <c r="B92" s="152">
        <f ca="1">TblImps[[#This Row],[Time]]</f>
        <v>46323.666666666453</v>
      </c>
      <c r="C92" s="153"/>
      <c r="D92" s="154"/>
      <c r="E92" s="94">
        <f ca="1">TblConstr[[#This Row],[Land]]</f>
        <v>50</v>
      </c>
      <c r="F92" s="94">
        <f ca="1">TblPop[[#This Row],[Peasants]]</f>
        <v>197</v>
      </c>
      <c r="G92" s="94">
        <f ca="1">TblMili[[#This Row],[Networth (2)]]</f>
        <v>1250</v>
      </c>
      <c r="H92" s="94">
        <f ca="1">OFFSET(TblProd[[#This Row],[Platinum]],-1,0)+OFFSET(TblProd[[#This Row],[Plat/hr]],-1,0) - TblProd[[#This Row],[Expenses Platinum]] + IF(TblProd[[#This Row],[Plat Bonus]],TblPop[[#This Row],[Peasants]]*4) + SUM(TblConstr[[#This Row],[Dest Hom]:[Dest Doc]])*TblConstr[[#This Row],[CPA Platinum -DB]]*tech_3_3_2*TblTech[[#This Row],[3-3]]</f>
        <v>194557</v>
      </c>
      <c r="I92" s="94">
        <f ca="1">OFFSET(TblProd[[#This Row],[Food]],-1,0)+OFFSET(TblProd[[#This Row],[Food/hr]],-1,0)+ROUNDUP((TblConstr[[#This Row],[Farms]]*80+TblConstr[[#This Row],[Docks]]*35)*(1+OFFSET(TblProd[[#This Row],[Bonus Food/hr]],-1,0)),0)</f>
        <v>146367</v>
      </c>
      <c r="J92" s="94">
        <f ca="1">OFFSET(TblProd[[#This Row],[Lumber]],-1,0)+OFFSET(TblProd[[#This Row],[Lumber/hr]],-1,0) - TblProd[[#This Row],[Expenses Lumber]] + SUM(TblConstr[[#This Row],[Dest Hom]:[Dest Doc]])*TblConstr[[#This Row],[CPA Lumber -DB]]*tech_3_3_2*TblTech[[#This Row],[3-3]]</f>
        <v>64897</v>
      </c>
      <c r="K92" s="94">
        <f ca="1">OFFSET(TblProd[[#This Row],[Mana]],-1,0)+OFFSET(TblProd[[#This Row],[Mana/hr]],-1,0)- TblProd[[#This Row],[Expenses Mana]]</f>
        <v>0</v>
      </c>
      <c r="L92" s="94">
        <f ca="1">OFFSET(TblProd[[#This Row],[Ore]],-1,0)+OFFSET(TblProd[[#This Row],[Ore/hr]],-1,0) -TblProd[[#This Row],[Expenses Ore]]</f>
        <v>0</v>
      </c>
      <c r="M92" s="94">
        <f ca="1">OFFSET(TblProd[[#This Row],[Gems]],-1,0)+OFFSET(TblProd[[#This Row],[Gems/hr]],-1,0) - TblProd[[#This Row],[Expenses Gems]]</f>
        <v>0</v>
      </c>
      <c r="N92" s="94">
        <f ca="1">OFFSET(TblProd[[#This Row],[Boats]],-1,0)+OFFSET(TblProd[[#This Row],[Boats/hr]],-1,0)</f>
        <v>0</v>
      </c>
      <c r="O92" s="94">
        <f ca="1">OFFSET(TblProd[[#This Row],[Prestige]],-1,0)</f>
        <v>250</v>
      </c>
      <c r="P9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2" s="94">
        <f ca="1">MAX(_xlfn.CEILING.MATH(TblProd[[#This Row],[Land]]*2.5+IFERROR(OFFSET(TblTech[[#This Row],[Sum of tech]],-1,0)*50,0)),3750)</f>
        <v>3750</v>
      </c>
      <c r="R92" s="142"/>
      <c r="S92" s="94">
        <f ca="1">ROUNDDOWN(TblProd[[#This Row],[Raw Plat/hr]]*(1+TblProd[[#This Row],[Bonus Plat/hr]]),0)</f>
        <v>531</v>
      </c>
      <c r="T92" s="94">
        <f ca="1">ROUND(TblProd[[#This Row],[Raw Food/hr]]*(1+TblProd[[#This Row],[Bonus Food/hr]])-TblProd[[#This Row],[Food decay]]-TblProd[[#This Row],[Food eaten]],0)</f>
        <v>924</v>
      </c>
      <c r="U92" s="94">
        <f ca="1">ROUND(TblProd[[#This Row],[Raw Lumber/hr]]*(1+TblProd[[#This Row],[Bonus Lumber/hr]])-TblProd[[#This Row],[Lumber rot]],0)</f>
        <v>351</v>
      </c>
      <c r="V92" s="94">
        <f ca="1">ROUND(TblProd[[#This Row],[Raw Mana/hr]]*(1+TblProd[[#This Row],[Bonus Mana/hr]])-TblProd[[#This Row],[Mana drain]],0)</f>
        <v>0</v>
      </c>
      <c r="W92" s="94">
        <f ca="1">ROUNDDOWN(TblProd[[#This Row],[Raw Ore/hr]]*(1+TblProd[[#This Row],[Bonux Ore/hr]]),0)</f>
        <v>0</v>
      </c>
      <c r="X92" s="94">
        <f ca="1">ROUNDDOWN(TblProd[[#This Row],[Raw Gems/hr]]*(1+TblProd[[#This Row],[Bonus Gems/hr]]),0)</f>
        <v>0</v>
      </c>
      <c r="Y92" s="155">
        <f ca="1">OFFSET(TblConstr[[#This Row],[Tot Doc]],1,0)*dock_boats_hr * (1 + tech_4_1*TblTech[[#This Row],[4-1]])</f>
        <v>0</v>
      </c>
      <c r="Z92" s="154"/>
      <c r="AA92" s="94">
        <f ca="1">TblPop[[#This Row],[Peasants]]*tax*TblPop[[#This Row],[Employment]] + (Construction!AZ93+Construction!BX93)*(alch_plat+(Magic!AN92&gt;0)*alchemist_flame_bonus)</f>
        <v>531.90000000000009</v>
      </c>
      <c r="AB92" s="94">
        <f ca="1">TblConstr[[#This Row],[Tot Farm]]*farm_food + TblConstr[[#This Row],[Tot Doc]]*dock_food</f>
        <v>2400</v>
      </c>
      <c r="AC92" s="94">
        <f ca="1">TblConstr[[#This Row],[Tot Ly]]*ly_lumber + TblConstr[[#This Row],[Tot Hav]]*fh_lumber + IF(race="Wood Elf",TblMili[[#This Row],[Unit 2]]*MIN(TblMili[[#This Row],[Homeland%]]/wisp_bonus,wisp_cap),0)</f>
        <v>1000</v>
      </c>
      <c r="AD92" s="94">
        <f ca="1">OFFSET(TblConstr[[#This Row],[Tot Tow]],1,0)*(tower_mana + tech_4_5*TblTech[[#This Row],[4-5]]) + OFFSET(TblConstr[[#This Row],[Tot WG]],1,0)*wg_mana_prod</f>
        <v>0</v>
      </c>
      <c r="AE92" s="94">
        <f ca="1">OFFSET(TblConstr[[#This Row],[Tot OM]],1,0)*om_ore+IF(race="Dwarf",TblMili[[#This Row],[Unit 2]]*0.5,0)</f>
        <v>0</v>
      </c>
      <c r="AF92" s="94">
        <f ca="1">OFFSET(TblConstr[[#This Row],[Tot DM]],1,0)*dm_gems</f>
        <v>0</v>
      </c>
      <c r="AG92" s="142"/>
      <c r="AH92" s="156">
        <f ca="1">MIN(race_platinum_bonus + IF(TblMagic[[#This Row],[Active Arc Infusion]]&gt;0,alch_frost_bonus,IF(Magic!AE92&gt;0,midas_bonus)) + TblImps[[#This Row],[Science]] - TblProd[[#This Row],[Guard]]*(0.02 + tech_5_7*TblTech[[#This Row],[5-7]]) + tech_1_5*TblTech[[#This Row],[1-5]] + tech_4_4*TblTech[[#This Row],[4-4]] + IF(TblMagic[[#This Row],[Active Infernal Command]]&gt;0,demonic_pact_plat,0), 0.5)</f>
        <v>0</v>
      </c>
      <c r="AI9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2" s="156">
        <f ca="1">race_lumber_bonus+ IF(TblMagic[[#This Row],[Active Gaia''s Blessing]]&gt;0,gaias_blessing_lumber)+ tech_1_3*TblTech[[#This Row],[1-3]] + tech_1_6*TblTech[[#This Row],[1-6]] + tech_3_3*TblTech[[#This Row],[3-3]]</f>
        <v>0</v>
      </c>
      <c r="AK92" s="156">
        <f ca="1">race_mana_bonus+ 0 + TblImps[[#This Row],[Spires]] + tech_1_2*TblTech[[#This Row],[1-2]] + tech_3_4*TblTech[[#This Row],[3-4]]</f>
        <v>0</v>
      </c>
      <c r="AL92" s="156">
        <f ca="1">race_ore_bonus + IF(TblMagic[[#This Row],[Active Miner''s Sight]]&gt;0,miners_sight_bonus,IF(TblMagic[[#This Row],[Active Mining Strength]]&gt;0,mining_strength_bonus)) +  tech_1_6*TblTech[[#This Row],[1-6]]</f>
        <v>0</v>
      </c>
      <c r="AM92" s="156">
        <f>race_gem_bonus+ tech_3_2*TblTech[[#This Row],[3-2]] + tech_4_3*TblTech[[#This Row],[4-3]] + tech_6_2*TblTech[[#This Row],[6-2]]</f>
        <v>0</v>
      </c>
      <c r="AN92" s="142"/>
      <c r="AO92" s="94">
        <f ca="1">TblProd[[#This Row],[Food]]*food_decay * (1 + tech_2_1*TblTech[[#This Row],[2-1]] + tech_2_8*TblTech[[#This Row],[2-8]] + IF(AND(TblMagic[[#This Row],[Active DnD]]&lt;12,TblMagic[[#This Row],[Active DnD]]&gt;5),1,0))</f>
        <v>1463.67</v>
      </c>
      <c r="AP92" s="94">
        <f ca="1">(1+race_food_consumption)*TblPop[[#This Row],[Total]]*food_per_person*(1+tech_1_10*TblTech[[#This Row],[1-10]]+tech_7_5*TblTech[[#This Row],[7-5]] + IF(TblMagic[[#This Row],[Active Infernal Command]]&gt;0,demonic_pact_food_cons,0))</f>
        <v>192.25</v>
      </c>
      <c r="AQ92" s="94">
        <f ca="1">TblProd[[#This Row],[Lumber]]*lumber_rot * (1 + tech_2_1*TblTech[[#This Row],[2-1]] + tech_2_8*TblTech[[#This Row],[2-8]] + tech_5_2*TblTech[[#This Row],[5-2]] + IF(AND(TblMagic[[#This Row],[Active DnD]]&lt;12,TblMagic[[#This Row],[Active DnD]]&gt;5),1,0))</f>
        <v>648.97</v>
      </c>
      <c r="AR92" s="94">
        <f ca="1">TblProd[[#This Row],[Mana]]*mana_drain * (1 + tech_2_1*TblTech[[#This Row],[2-1]] + tech_2_8*TblTech[[#This Row],[2-8]])</f>
        <v>0</v>
      </c>
      <c r="AS92" s="154"/>
      <c r="AT92" s="94">
        <f ca="1">TblExplore[[#This Row],[Platinum (2)]]+TblConstr[[#This Row],[Total Plat Cost]]+TblMili[[#This Row],[Plat Cost]]+TblRezone[[#This Row],[Platinum cost]]+TblImps[[#This Row],[P1]]-TblProd[[#This Row],[Bank Plat]]</f>
        <v>0</v>
      </c>
      <c r="AU92" s="94">
        <f ca="1">TblConstr[[#This Row],[Total Lum Cost]]+TblImps[[#This Row],[L1]]-TblProd[[#This Row],[Bank Lumber]] + Military!$CO$25*TblMili[[#This Row],[Sec. rec. Cost]]</f>
        <v>0</v>
      </c>
      <c r="AV92" s="94">
        <f ca="1">TblMagic[[#This Row],[Mana cost]] + Military!$CO$26*TblMili[[#This Row],[Sec. rec. Cost]]</f>
        <v>0</v>
      </c>
      <c r="AW92" s="94">
        <f ca="1">Military!$CO$24*TblMili[[#This Row],[Sec. rec. Cost]]+TblImps[[#This Row],[O1]]-TblProd[[#This Row],[Bank Ore]]</f>
        <v>0</v>
      </c>
      <c r="AX92" s="94">
        <f>TblImps[[#This Row],[G1]]-TblProd[[#This Row],[Bank Gems]]</f>
        <v>0</v>
      </c>
      <c r="AY92" s="142"/>
      <c r="AZ92" s="61" t="b">
        <f ca="1">IF(TblProd[[#This Row],[Set Guard]]&lt;&gt;"",TblProd[[#This Row],[Set Guard]],OFFSET(TblProd[[#This Row],[Guard]],-1,0))</f>
        <v>0</v>
      </c>
      <c r="BA92" s="153"/>
      <c r="BB92" s="45">
        <f>TblProd[[#This Row],[Hour]]</f>
        <v>41</v>
      </c>
      <c r="BC92" s="158">
        <f>-TblProd[[#This Row],[Bank Lumber]] / 2 + -TblProd[[#This Row],[Bank Gems]] * 2 + -TblProd[[#This Row],[Bank Ore]] / 2</f>
        <v>0</v>
      </c>
      <c r="BD92" s="158"/>
      <c r="BE92" s="158"/>
      <c r="BF92" s="158"/>
      <c r="BG92" s="159">
        <f ca="1">TblProd[[#This Row],[Time]]</f>
        <v>46323.666666666453</v>
      </c>
      <c r="BH92" s="45"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94">
        <f ca="1">TblProd[[#This Row],[Platinum]]</f>
        <v>194557</v>
      </c>
      <c r="BJ92" s="94">
        <f ca="1">TblProd[[#This Row],[Food]]</f>
        <v>146367</v>
      </c>
      <c r="BK92" s="94">
        <f ca="1">TblProd[[#This Row],[Lumber]]</f>
        <v>64897</v>
      </c>
      <c r="BL92" s="94">
        <f ca="1">TblProd[[#This Row],[Mana]]</f>
        <v>0</v>
      </c>
      <c r="BM92" s="94">
        <f ca="1">TblProd[[#This Row],[Ore]]</f>
        <v>0</v>
      </c>
    </row>
    <row r="93" spans="1:65" x14ac:dyDescent="0.2">
      <c r="A93" s="137">
        <f t="shared" si="0"/>
        <v>42</v>
      </c>
      <c r="B93" s="152">
        <f ca="1">TblImps[[#This Row],[Time]]</f>
        <v>46323.708333333117</v>
      </c>
      <c r="C93" s="153"/>
      <c r="D93" s="154"/>
      <c r="E93" s="94">
        <f ca="1">TblConstr[[#This Row],[Land]]</f>
        <v>50</v>
      </c>
      <c r="F93" s="94">
        <f ca="1">TblPop[[#This Row],[Peasants]]</f>
        <v>195</v>
      </c>
      <c r="G93" s="94">
        <f ca="1">TblMili[[#This Row],[Networth (2)]]</f>
        <v>1250</v>
      </c>
      <c r="H93" s="94">
        <f ca="1">OFFSET(TblProd[[#This Row],[Platinum]],-1,0)+OFFSET(TblProd[[#This Row],[Plat/hr]],-1,0) - TblProd[[#This Row],[Expenses Platinum]] + IF(TblProd[[#This Row],[Plat Bonus]],TblPop[[#This Row],[Peasants]]*4) + SUM(TblConstr[[#This Row],[Dest Hom]:[Dest Doc]])*TblConstr[[#This Row],[CPA Platinum -DB]]*tech_3_3_2*TblTech[[#This Row],[3-3]]</f>
        <v>195088</v>
      </c>
      <c r="I93" s="94">
        <f ca="1">OFFSET(TblProd[[#This Row],[Food]],-1,0)+OFFSET(TblProd[[#This Row],[Food/hr]],-1,0)+ROUNDUP((TblConstr[[#This Row],[Farms]]*80+TblConstr[[#This Row],[Docks]]*35)*(1+OFFSET(TblProd[[#This Row],[Bonus Food/hr]],-1,0)),0)</f>
        <v>147291</v>
      </c>
      <c r="J93" s="94">
        <f ca="1">OFFSET(TblProd[[#This Row],[Lumber]],-1,0)+OFFSET(TblProd[[#This Row],[Lumber/hr]],-1,0) - TblProd[[#This Row],[Expenses Lumber]] + SUM(TblConstr[[#This Row],[Dest Hom]:[Dest Doc]])*TblConstr[[#This Row],[CPA Lumber -DB]]*tech_3_3_2*TblTech[[#This Row],[3-3]]</f>
        <v>65248</v>
      </c>
      <c r="K93" s="94">
        <f ca="1">OFFSET(TblProd[[#This Row],[Mana]],-1,0)+OFFSET(TblProd[[#This Row],[Mana/hr]],-1,0)- TblProd[[#This Row],[Expenses Mana]]</f>
        <v>0</v>
      </c>
      <c r="L93" s="94">
        <f ca="1">OFFSET(TblProd[[#This Row],[Ore]],-1,0)+OFFSET(TblProd[[#This Row],[Ore/hr]],-1,0) -TblProd[[#This Row],[Expenses Ore]]</f>
        <v>0</v>
      </c>
      <c r="M93" s="94">
        <f ca="1">OFFSET(TblProd[[#This Row],[Gems]],-1,0)+OFFSET(TblProd[[#This Row],[Gems/hr]],-1,0) - TblProd[[#This Row],[Expenses Gems]]</f>
        <v>0</v>
      </c>
      <c r="N93" s="94">
        <f ca="1">OFFSET(TblProd[[#This Row],[Boats]],-1,0)+OFFSET(TblProd[[#This Row],[Boats/hr]],-1,0)</f>
        <v>0</v>
      </c>
      <c r="O93" s="94">
        <f ca="1">OFFSET(TblProd[[#This Row],[Prestige]],-1,0)</f>
        <v>250</v>
      </c>
      <c r="P9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3" s="94">
        <f ca="1">MAX(_xlfn.CEILING.MATH(TblProd[[#This Row],[Land]]*2.5+IFERROR(OFFSET(TblTech[[#This Row],[Sum of tech]],-1,0)*50,0)),3750)</f>
        <v>3750</v>
      </c>
      <c r="R93" s="142"/>
      <c r="S93" s="94">
        <f ca="1">ROUNDDOWN(TblProd[[#This Row],[Raw Plat/hr]]*(1+TblProd[[#This Row],[Bonus Plat/hr]]),0)</f>
        <v>526</v>
      </c>
      <c r="T93" s="94">
        <f ca="1">ROUND(TblProd[[#This Row],[Raw Food/hr]]*(1+TblProd[[#This Row],[Bonus Food/hr]])-TblProd[[#This Row],[Food decay]]-TblProd[[#This Row],[Food eaten]],0)</f>
        <v>915</v>
      </c>
      <c r="U93" s="94">
        <f ca="1">ROUND(TblProd[[#This Row],[Raw Lumber/hr]]*(1+TblProd[[#This Row],[Bonus Lumber/hr]])-TblProd[[#This Row],[Lumber rot]],0)</f>
        <v>348</v>
      </c>
      <c r="V93" s="94">
        <f ca="1">ROUND(TblProd[[#This Row],[Raw Mana/hr]]*(1+TblProd[[#This Row],[Bonus Mana/hr]])-TblProd[[#This Row],[Mana drain]],0)</f>
        <v>0</v>
      </c>
      <c r="W93" s="94">
        <f ca="1">ROUNDDOWN(TblProd[[#This Row],[Raw Ore/hr]]*(1+TblProd[[#This Row],[Bonux Ore/hr]]),0)</f>
        <v>0</v>
      </c>
      <c r="X93" s="94">
        <f ca="1">ROUNDDOWN(TblProd[[#This Row],[Raw Gems/hr]]*(1+TblProd[[#This Row],[Bonus Gems/hr]]),0)</f>
        <v>0</v>
      </c>
      <c r="Y93" s="155">
        <f ca="1">OFFSET(TblConstr[[#This Row],[Tot Doc]],1,0)*dock_boats_hr * (1 + tech_4_1*TblTech[[#This Row],[4-1]])</f>
        <v>0</v>
      </c>
      <c r="Z93" s="154"/>
      <c r="AA93" s="94">
        <f ca="1">TblPop[[#This Row],[Peasants]]*tax*TblPop[[#This Row],[Employment]] + (Construction!AZ94+Construction!BX94)*(alch_plat+(Magic!AN93&gt;0)*alchemist_flame_bonus)</f>
        <v>526.5</v>
      </c>
      <c r="AB93" s="94">
        <f ca="1">TblConstr[[#This Row],[Tot Farm]]*farm_food + TblConstr[[#This Row],[Tot Doc]]*dock_food</f>
        <v>2400</v>
      </c>
      <c r="AC93" s="94">
        <f ca="1">TblConstr[[#This Row],[Tot Ly]]*ly_lumber + TblConstr[[#This Row],[Tot Hav]]*fh_lumber + IF(race="Wood Elf",TblMili[[#This Row],[Unit 2]]*MIN(TblMili[[#This Row],[Homeland%]]/wisp_bonus,wisp_cap),0)</f>
        <v>1000</v>
      </c>
      <c r="AD93" s="94">
        <f ca="1">OFFSET(TblConstr[[#This Row],[Tot Tow]],1,0)*(tower_mana + tech_4_5*TblTech[[#This Row],[4-5]]) + OFFSET(TblConstr[[#This Row],[Tot WG]],1,0)*wg_mana_prod</f>
        <v>0</v>
      </c>
      <c r="AE93" s="94">
        <f ca="1">OFFSET(TblConstr[[#This Row],[Tot OM]],1,0)*om_ore+IF(race="Dwarf",TblMili[[#This Row],[Unit 2]]*0.5,0)</f>
        <v>0</v>
      </c>
      <c r="AF93" s="94">
        <f ca="1">OFFSET(TblConstr[[#This Row],[Tot DM]],1,0)*dm_gems</f>
        <v>0</v>
      </c>
      <c r="AG93" s="142"/>
      <c r="AH93" s="156">
        <f ca="1">MIN(race_platinum_bonus + IF(TblMagic[[#This Row],[Active Arc Infusion]]&gt;0,alch_frost_bonus,IF(Magic!AE93&gt;0,midas_bonus)) + TblImps[[#This Row],[Science]] - TblProd[[#This Row],[Guard]]*(0.02 + tech_5_7*TblTech[[#This Row],[5-7]]) + tech_1_5*TblTech[[#This Row],[1-5]] + tech_4_4*TblTech[[#This Row],[4-4]] + IF(TblMagic[[#This Row],[Active Infernal Command]]&gt;0,demonic_pact_plat,0), 0.5)</f>
        <v>0</v>
      </c>
      <c r="AI9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3" s="156">
        <f ca="1">race_lumber_bonus+ IF(TblMagic[[#This Row],[Active Gaia''s Blessing]]&gt;0,gaias_blessing_lumber)+ tech_1_3*TblTech[[#This Row],[1-3]] + tech_1_6*TblTech[[#This Row],[1-6]] + tech_3_3*TblTech[[#This Row],[3-3]]</f>
        <v>0</v>
      </c>
      <c r="AK93" s="156">
        <f ca="1">race_mana_bonus+ 0 + TblImps[[#This Row],[Spires]] + tech_1_2*TblTech[[#This Row],[1-2]] + tech_3_4*TblTech[[#This Row],[3-4]]</f>
        <v>0</v>
      </c>
      <c r="AL93" s="156">
        <f ca="1">race_ore_bonus + IF(TblMagic[[#This Row],[Active Miner''s Sight]]&gt;0,miners_sight_bonus,IF(TblMagic[[#This Row],[Active Mining Strength]]&gt;0,mining_strength_bonus)) +  tech_1_6*TblTech[[#This Row],[1-6]]</f>
        <v>0</v>
      </c>
      <c r="AM93" s="156">
        <f>race_gem_bonus+ tech_3_2*TblTech[[#This Row],[3-2]] + tech_4_3*TblTech[[#This Row],[4-3]] + tech_6_2*TblTech[[#This Row],[6-2]]</f>
        <v>0</v>
      </c>
      <c r="AN93" s="142"/>
      <c r="AO93" s="94">
        <f ca="1">TblProd[[#This Row],[Food]]*food_decay * (1 + tech_2_1*TblTech[[#This Row],[2-1]] + tech_2_8*TblTech[[#This Row],[2-8]] + IF(AND(TblMagic[[#This Row],[Active DnD]]&lt;12,TblMagic[[#This Row],[Active DnD]]&gt;5),1,0))</f>
        <v>1472.91</v>
      </c>
      <c r="AP93" s="94">
        <f ca="1">(1+race_food_consumption)*TblPop[[#This Row],[Total]]*food_per_person*(1+tech_1_10*TblTech[[#This Row],[1-10]]+tech_7_5*TblTech[[#This Row],[7-5]] + IF(TblMagic[[#This Row],[Active Infernal Command]]&gt;0,demonic_pact_food_cons,0))</f>
        <v>192.25</v>
      </c>
      <c r="AQ93" s="94">
        <f ca="1">TblProd[[#This Row],[Lumber]]*lumber_rot * (1 + tech_2_1*TblTech[[#This Row],[2-1]] + tech_2_8*TblTech[[#This Row],[2-8]] + tech_5_2*TblTech[[#This Row],[5-2]] + IF(AND(TblMagic[[#This Row],[Active DnD]]&lt;12,TblMagic[[#This Row],[Active DnD]]&gt;5),1,0))</f>
        <v>652.48</v>
      </c>
      <c r="AR93" s="94">
        <f ca="1">TblProd[[#This Row],[Mana]]*mana_drain * (1 + tech_2_1*TblTech[[#This Row],[2-1]] + tech_2_8*TblTech[[#This Row],[2-8]])</f>
        <v>0</v>
      </c>
      <c r="AS93" s="154"/>
      <c r="AT93" s="94">
        <f ca="1">TblExplore[[#This Row],[Platinum (2)]]+TblConstr[[#This Row],[Total Plat Cost]]+TblMili[[#This Row],[Plat Cost]]+TblRezone[[#This Row],[Platinum cost]]+TblImps[[#This Row],[P1]]-TblProd[[#This Row],[Bank Plat]]</f>
        <v>0</v>
      </c>
      <c r="AU93" s="94">
        <f ca="1">TblConstr[[#This Row],[Total Lum Cost]]+TblImps[[#This Row],[L1]]-TblProd[[#This Row],[Bank Lumber]] + Military!$CO$25*TblMili[[#This Row],[Sec. rec. Cost]]</f>
        <v>0</v>
      </c>
      <c r="AV93" s="94">
        <f ca="1">TblMagic[[#This Row],[Mana cost]] + Military!$CO$26*TblMili[[#This Row],[Sec. rec. Cost]]</f>
        <v>0</v>
      </c>
      <c r="AW93" s="94">
        <f ca="1">Military!$CO$24*TblMili[[#This Row],[Sec. rec. Cost]]+TblImps[[#This Row],[O1]]-TblProd[[#This Row],[Bank Ore]]</f>
        <v>0</v>
      </c>
      <c r="AX93" s="94">
        <f>TblImps[[#This Row],[G1]]-TblProd[[#This Row],[Bank Gems]]</f>
        <v>0</v>
      </c>
      <c r="AY93" s="142"/>
      <c r="AZ93" s="61" t="b">
        <f ca="1">IF(TblProd[[#This Row],[Set Guard]]&lt;&gt;"",TblProd[[#This Row],[Set Guard]],OFFSET(TblProd[[#This Row],[Guard]],-1,0))</f>
        <v>0</v>
      </c>
      <c r="BA93" s="153"/>
      <c r="BB93" s="45">
        <f>TblProd[[#This Row],[Hour]]</f>
        <v>42</v>
      </c>
      <c r="BC93" s="158">
        <f>-TblProd[[#This Row],[Bank Lumber]] / 2 + -TblProd[[#This Row],[Bank Gems]] * 2 + -TblProd[[#This Row],[Bank Ore]] / 2</f>
        <v>0</v>
      </c>
      <c r="BD93" s="158"/>
      <c r="BE93" s="158"/>
      <c r="BF93" s="158"/>
      <c r="BG93" s="159">
        <f ca="1">TblProd[[#This Row],[Time]]</f>
        <v>46323.708333333117</v>
      </c>
      <c r="BH93" s="45"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94">
        <f ca="1">TblProd[[#This Row],[Platinum]]</f>
        <v>195088</v>
      </c>
      <c r="BJ93" s="94">
        <f ca="1">TblProd[[#This Row],[Food]]</f>
        <v>147291</v>
      </c>
      <c r="BK93" s="94">
        <f ca="1">TblProd[[#This Row],[Lumber]]</f>
        <v>65248</v>
      </c>
      <c r="BL93" s="94">
        <f ca="1">TblProd[[#This Row],[Mana]]</f>
        <v>0</v>
      </c>
      <c r="BM93" s="94">
        <f ca="1">TblProd[[#This Row],[Ore]]</f>
        <v>0</v>
      </c>
    </row>
    <row r="94" spans="1:65" x14ac:dyDescent="0.2">
      <c r="A94" s="137">
        <f t="shared" si="0"/>
        <v>43</v>
      </c>
      <c r="B94" s="152">
        <f ca="1">TblImps[[#This Row],[Time]]</f>
        <v>46323.749999999782</v>
      </c>
      <c r="C94" s="153"/>
      <c r="D94" s="154"/>
      <c r="E94" s="94">
        <f ca="1">TblConstr[[#This Row],[Land]]</f>
        <v>50</v>
      </c>
      <c r="F94" s="94">
        <f ca="1">TblPop[[#This Row],[Peasants]]</f>
        <v>193</v>
      </c>
      <c r="G94" s="94">
        <f ca="1">TblMili[[#This Row],[Networth (2)]]</f>
        <v>1250</v>
      </c>
      <c r="H94" s="94">
        <f ca="1">OFFSET(TblProd[[#This Row],[Platinum]],-1,0)+OFFSET(TblProd[[#This Row],[Plat/hr]],-1,0) - TblProd[[#This Row],[Expenses Platinum]] + IF(TblProd[[#This Row],[Plat Bonus]],TblPop[[#This Row],[Peasants]]*4) + SUM(TblConstr[[#This Row],[Dest Hom]:[Dest Doc]])*TblConstr[[#This Row],[CPA Platinum -DB]]*tech_3_3_2*TblTech[[#This Row],[3-3]]</f>
        <v>195614</v>
      </c>
      <c r="I94" s="94">
        <f ca="1">OFFSET(TblProd[[#This Row],[Food]],-1,0)+OFFSET(TblProd[[#This Row],[Food/hr]],-1,0)+ROUNDUP((TblConstr[[#This Row],[Farms]]*80+TblConstr[[#This Row],[Docks]]*35)*(1+OFFSET(TblProd[[#This Row],[Bonus Food/hr]],-1,0)),0)</f>
        <v>148206</v>
      </c>
      <c r="J94" s="94">
        <f ca="1">OFFSET(TblProd[[#This Row],[Lumber]],-1,0)+OFFSET(TblProd[[#This Row],[Lumber/hr]],-1,0) - TblProd[[#This Row],[Expenses Lumber]] + SUM(TblConstr[[#This Row],[Dest Hom]:[Dest Doc]])*TblConstr[[#This Row],[CPA Lumber -DB]]*tech_3_3_2*TblTech[[#This Row],[3-3]]</f>
        <v>65596</v>
      </c>
      <c r="K94" s="94">
        <f ca="1">OFFSET(TblProd[[#This Row],[Mana]],-1,0)+OFFSET(TblProd[[#This Row],[Mana/hr]],-1,0)- TblProd[[#This Row],[Expenses Mana]]</f>
        <v>0</v>
      </c>
      <c r="L94" s="94">
        <f ca="1">OFFSET(TblProd[[#This Row],[Ore]],-1,0)+OFFSET(TblProd[[#This Row],[Ore/hr]],-1,0) -TblProd[[#This Row],[Expenses Ore]]</f>
        <v>0</v>
      </c>
      <c r="M94" s="94">
        <f ca="1">OFFSET(TblProd[[#This Row],[Gems]],-1,0)+OFFSET(TblProd[[#This Row],[Gems/hr]],-1,0) - TblProd[[#This Row],[Expenses Gems]]</f>
        <v>0</v>
      </c>
      <c r="N94" s="94">
        <f ca="1">OFFSET(TblProd[[#This Row],[Boats]],-1,0)+OFFSET(TblProd[[#This Row],[Boats/hr]],-1,0)</f>
        <v>0</v>
      </c>
      <c r="O94" s="94">
        <f ca="1">OFFSET(TblProd[[#This Row],[Prestige]],-1,0)</f>
        <v>250</v>
      </c>
      <c r="P9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4" s="94">
        <f ca="1">MAX(_xlfn.CEILING.MATH(TblProd[[#This Row],[Land]]*2.5+IFERROR(OFFSET(TblTech[[#This Row],[Sum of tech]],-1,0)*50,0)),3750)</f>
        <v>3750</v>
      </c>
      <c r="R94" s="142"/>
      <c r="S94" s="94">
        <f ca="1">ROUNDDOWN(TblProd[[#This Row],[Raw Plat/hr]]*(1+TblProd[[#This Row],[Bonus Plat/hr]]),0)</f>
        <v>521</v>
      </c>
      <c r="T94" s="94">
        <f ca="1">ROUND(TblProd[[#This Row],[Raw Food/hr]]*(1+TblProd[[#This Row],[Bonus Food/hr]])-TblProd[[#This Row],[Food decay]]-TblProd[[#This Row],[Food eaten]],0)</f>
        <v>906</v>
      </c>
      <c r="U94" s="94">
        <f ca="1">ROUND(TblProd[[#This Row],[Raw Lumber/hr]]*(1+TblProd[[#This Row],[Bonus Lumber/hr]])-TblProd[[#This Row],[Lumber rot]],0)</f>
        <v>344</v>
      </c>
      <c r="V94" s="94">
        <f ca="1">ROUND(TblProd[[#This Row],[Raw Mana/hr]]*(1+TblProd[[#This Row],[Bonus Mana/hr]])-TblProd[[#This Row],[Mana drain]],0)</f>
        <v>0</v>
      </c>
      <c r="W94" s="94">
        <f ca="1">ROUNDDOWN(TblProd[[#This Row],[Raw Ore/hr]]*(1+TblProd[[#This Row],[Bonux Ore/hr]]),0)</f>
        <v>0</v>
      </c>
      <c r="X94" s="94">
        <f ca="1">ROUNDDOWN(TblProd[[#This Row],[Raw Gems/hr]]*(1+TblProd[[#This Row],[Bonus Gems/hr]]),0)</f>
        <v>0</v>
      </c>
      <c r="Y94" s="155">
        <f ca="1">OFFSET(TblConstr[[#This Row],[Tot Doc]],1,0)*dock_boats_hr * (1 + tech_4_1*TblTech[[#This Row],[4-1]])</f>
        <v>0</v>
      </c>
      <c r="Z94" s="154"/>
      <c r="AA94" s="94">
        <f ca="1">TblPop[[#This Row],[Peasants]]*tax*TblPop[[#This Row],[Employment]] + (Construction!AZ95+Construction!BX95)*(alch_plat+(Magic!AN94&gt;0)*alchemist_flame_bonus)</f>
        <v>521.1</v>
      </c>
      <c r="AB94" s="94">
        <f ca="1">TblConstr[[#This Row],[Tot Farm]]*farm_food + TblConstr[[#This Row],[Tot Doc]]*dock_food</f>
        <v>2400</v>
      </c>
      <c r="AC94" s="94">
        <f ca="1">TblConstr[[#This Row],[Tot Ly]]*ly_lumber + TblConstr[[#This Row],[Tot Hav]]*fh_lumber + IF(race="Wood Elf",TblMili[[#This Row],[Unit 2]]*MIN(TblMili[[#This Row],[Homeland%]]/wisp_bonus,wisp_cap),0)</f>
        <v>1000</v>
      </c>
      <c r="AD94" s="94">
        <f ca="1">OFFSET(TblConstr[[#This Row],[Tot Tow]],1,0)*(tower_mana + tech_4_5*TblTech[[#This Row],[4-5]]) + OFFSET(TblConstr[[#This Row],[Tot WG]],1,0)*wg_mana_prod</f>
        <v>0</v>
      </c>
      <c r="AE94" s="94">
        <f ca="1">OFFSET(TblConstr[[#This Row],[Tot OM]],1,0)*om_ore+IF(race="Dwarf",TblMili[[#This Row],[Unit 2]]*0.5,0)</f>
        <v>0</v>
      </c>
      <c r="AF94" s="94">
        <f ca="1">OFFSET(TblConstr[[#This Row],[Tot DM]],1,0)*dm_gems</f>
        <v>0</v>
      </c>
      <c r="AG94" s="142"/>
      <c r="AH94" s="156">
        <f ca="1">MIN(race_platinum_bonus + IF(TblMagic[[#This Row],[Active Arc Infusion]]&gt;0,alch_frost_bonus,IF(Magic!AE94&gt;0,midas_bonus)) + TblImps[[#This Row],[Science]] - TblProd[[#This Row],[Guard]]*(0.02 + tech_5_7*TblTech[[#This Row],[5-7]]) + tech_1_5*TblTech[[#This Row],[1-5]] + tech_4_4*TblTech[[#This Row],[4-4]] + IF(TblMagic[[#This Row],[Active Infernal Command]]&gt;0,demonic_pact_plat,0), 0.5)</f>
        <v>0</v>
      </c>
      <c r="AI9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4" s="156">
        <f ca="1">race_lumber_bonus+ IF(TblMagic[[#This Row],[Active Gaia''s Blessing]]&gt;0,gaias_blessing_lumber)+ tech_1_3*TblTech[[#This Row],[1-3]] + tech_1_6*TblTech[[#This Row],[1-6]] + tech_3_3*TblTech[[#This Row],[3-3]]</f>
        <v>0</v>
      </c>
      <c r="AK94" s="156">
        <f ca="1">race_mana_bonus+ 0 + TblImps[[#This Row],[Spires]] + tech_1_2*TblTech[[#This Row],[1-2]] + tech_3_4*TblTech[[#This Row],[3-4]]</f>
        <v>0</v>
      </c>
      <c r="AL94" s="156">
        <f ca="1">race_ore_bonus + IF(TblMagic[[#This Row],[Active Miner''s Sight]]&gt;0,miners_sight_bonus,IF(TblMagic[[#This Row],[Active Mining Strength]]&gt;0,mining_strength_bonus)) +  tech_1_6*TblTech[[#This Row],[1-6]]</f>
        <v>0</v>
      </c>
      <c r="AM94" s="156">
        <f>race_gem_bonus+ tech_3_2*TblTech[[#This Row],[3-2]] + tech_4_3*TblTech[[#This Row],[4-3]] + tech_6_2*TblTech[[#This Row],[6-2]]</f>
        <v>0</v>
      </c>
      <c r="AN94" s="142"/>
      <c r="AO94" s="94">
        <f ca="1">TblProd[[#This Row],[Food]]*food_decay * (1 + tech_2_1*TblTech[[#This Row],[2-1]] + tech_2_8*TblTech[[#This Row],[2-8]] + IF(AND(TblMagic[[#This Row],[Active DnD]]&lt;12,TblMagic[[#This Row],[Active DnD]]&gt;5),1,0))</f>
        <v>1482.06</v>
      </c>
      <c r="AP94" s="94">
        <f ca="1">(1+race_food_consumption)*TblPop[[#This Row],[Total]]*food_per_person*(1+tech_1_10*TblTech[[#This Row],[1-10]]+tech_7_5*TblTech[[#This Row],[7-5]] + IF(TblMagic[[#This Row],[Active Infernal Command]]&gt;0,demonic_pact_food_cons,0))</f>
        <v>192.25</v>
      </c>
      <c r="AQ94" s="94">
        <f ca="1">TblProd[[#This Row],[Lumber]]*lumber_rot * (1 + tech_2_1*TblTech[[#This Row],[2-1]] + tech_2_8*TblTech[[#This Row],[2-8]] + tech_5_2*TblTech[[#This Row],[5-2]] + IF(AND(TblMagic[[#This Row],[Active DnD]]&lt;12,TblMagic[[#This Row],[Active DnD]]&gt;5),1,0))</f>
        <v>655.96</v>
      </c>
      <c r="AR94" s="94">
        <f ca="1">TblProd[[#This Row],[Mana]]*mana_drain * (1 + tech_2_1*TblTech[[#This Row],[2-1]] + tech_2_8*TblTech[[#This Row],[2-8]])</f>
        <v>0</v>
      </c>
      <c r="AS94" s="154"/>
      <c r="AT94" s="94">
        <f ca="1">TblExplore[[#This Row],[Platinum (2)]]+TblConstr[[#This Row],[Total Plat Cost]]+TblMili[[#This Row],[Plat Cost]]+TblRezone[[#This Row],[Platinum cost]]+TblImps[[#This Row],[P1]]-TblProd[[#This Row],[Bank Plat]]</f>
        <v>0</v>
      </c>
      <c r="AU94" s="94">
        <f ca="1">TblConstr[[#This Row],[Total Lum Cost]]+TblImps[[#This Row],[L1]]-TblProd[[#This Row],[Bank Lumber]] + Military!$CO$25*TblMili[[#This Row],[Sec. rec. Cost]]</f>
        <v>0</v>
      </c>
      <c r="AV94" s="94">
        <f ca="1">TblMagic[[#This Row],[Mana cost]] + Military!$CO$26*TblMili[[#This Row],[Sec. rec. Cost]]</f>
        <v>0</v>
      </c>
      <c r="AW94" s="94">
        <f ca="1">Military!$CO$24*TblMili[[#This Row],[Sec. rec. Cost]]+TblImps[[#This Row],[O1]]-TblProd[[#This Row],[Bank Ore]]</f>
        <v>0</v>
      </c>
      <c r="AX94" s="94">
        <f>TblImps[[#This Row],[G1]]-TblProd[[#This Row],[Bank Gems]]</f>
        <v>0</v>
      </c>
      <c r="AY94" s="142"/>
      <c r="AZ94" s="61" t="b">
        <f ca="1">IF(TblProd[[#This Row],[Set Guard]]&lt;&gt;"",TblProd[[#This Row],[Set Guard]],OFFSET(TblProd[[#This Row],[Guard]],-1,0))</f>
        <v>0</v>
      </c>
      <c r="BA94" s="153"/>
      <c r="BB94" s="45">
        <f>TblProd[[#This Row],[Hour]]</f>
        <v>43</v>
      </c>
      <c r="BC94" s="158">
        <f>-TblProd[[#This Row],[Bank Lumber]] / 2 + -TblProd[[#This Row],[Bank Gems]] * 2 + -TblProd[[#This Row],[Bank Ore]] / 2</f>
        <v>0</v>
      </c>
      <c r="BD94" s="158"/>
      <c r="BE94" s="158"/>
      <c r="BF94" s="158"/>
      <c r="BG94" s="159">
        <f ca="1">TblProd[[#This Row],[Time]]</f>
        <v>46323.749999999782</v>
      </c>
      <c r="BH94" s="45"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94">
        <f ca="1">TblProd[[#This Row],[Platinum]]</f>
        <v>195614</v>
      </c>
      <c r="BJ94" s="94">
        <f ca="1">TblProd[[#This Row],[Food]]</f>
        <v>148206</v>
      </c>
      <c r="BK94" s="94">
        <f ca="1">TblProd[[#This Row],[Lumber]]</f>
        <v>65596</v>
      </c>
      <c r="BL94" s="94">
        <f ca="1">TblProd[[#This Row],[Mana]]</f>
        <v>0</v>
      </c>
      <c r="BM94" s="94">
        <f ca="1">TblProd[[#This Row],[Ore]]</f>
        <v>0</v>
      </c>
    </row>
    <row r="95" spans="1:65" x14ac:dyDescent="0.2">
      <c r="A95" s="137">
        <f t="shared" si="0"/>
        <v>44</v>
      </c>
      <c r="B95" s="152">
        <f ca="1">TblImps[[#This Row],[Time]]</f>
        <v>46323.791666666446</v>
      </c>
      <c r="C95" s="153"/>
      <c r="D95" s="154"/>
      <c r="E95" s="94">
        <f ca="1">TblConstr[[#This Row],[Land]]</f>
        <v>50</v>
      </c>
      <c r="F95" s="94">
        <f ca="1">TblPop[[#This Row],[Peasants]]</f>
        <v>191</v>
      </c>
      <c r="G95" s="94">
        <f ca="1">TblMili[[#This Row],[Networth (2)]]</f>
        <v>1250</v>
      </c>
      <c r="H95" s="94">
        <f ca="1">OFFSET(TblProd[[#This Row],[Platinum]],-1,0)+OFFSET(TblProd[[#This Row],[Plat/hr]],-1,0) - TblProd[[#This Row],[Expenses Platinum]] + IF(TblProd[[#This Row],[Plat Bonus]],TblPop[[#This Row],[Peasants]]*4) + SUM(TblConstr[[#This Row],[Dest Hom]:[Dest Doc]])*TblConstr[[#This Row],[CPA Platinum -DB]]*tech_3_3_2*TblTech[[#This Row],[3-3]]</f>
        <v>196135</v>
      </c>
      <c r="I95" s="94">
        <f ca="1">OFFSET(TblProd[[#This Row],[Food]],-1,0)+OFFSET(TblProd[[#This Row],[Food/hr]],-1,0)+ROUNDUP((TblConstr[[#This Row],[Farms]]*80+TblConstr[[#This Row],[Docks]]*35)*(1+OFFSET(TblProd[[#This Row],[Bonus Food/hr]],-1,0)),0)</f>
        <v>149112</v>
      </c>
      <c r="J95" s="94">
        <f ca="1">OFFSET(TblProd[[#This Row],[Lumber]],-1,0)+OFFSET(TblProd[[#This Row],[Lumber/hr]],-1,0) - TblProd[[#This Row],[Expenses Lumber]] + SUM(TblConstr[[#This Row],[Dest Hom]:[Dest Doc]])*TblConstr[[#This Row],[CPA Lumber -DB]]*tech_3_3_2*TblTech[[#This Row],[3-3]]</f>
        <v>65940</v>
      </c>
      <c r="K95" s="94">
        <f ca="1">OFFSET(TblProd[[#This Row],[Mana]],-1,0)+OFFSET(TblProd[[#This Row],[Mana/hr]],-1,0)- TblProd[[#This Row],[Expenses Mana]]</f>
        <v>0</v>
      </c>
      <c r="L95" s="94">
        <f ca="1">OFFSET(TblProd[[#This Row],[Ore]],-1,0)+OFFSET(TblProd[[#This Row],[Ore/hr]],-1,0) -TblProd[[#This Row],[Expenses Ore]]</f>
        <v>0</v>
      </c>
      <c r="M95" s="94">
        <f ca="1">OFFSET(TblProd[[#This Row],[Gems]],-1,0)+OFFSET(TblProd[[#This Row],[Gems/hr]],-1,0) - TblProd[[#This Row],[Expenses Gems]]</f>
        <v>0</v>
      </c>
      <c r="N95" s="94">
        <f ca="1">OFFSET(TblProd[[#This Row],[Boats]],-1,0)+OFFSET(TblProd[[#This Row],[Boats/hr]],-1,0)</f>
        <v>0</v>
      </c>
      <c r="O95" s="94">
        <f ca="1">OFFSET(TblProd[[#This Row],[Prestige]],-1,0)</f>
        <v>250</v>
      </c>
      <c r="P9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5" s="94">
        <f ca="1">MAX(_xlfn.CEILING.MATH(TblProd[[#This Row],[Land]]*2.5+IFERROR(OFFSET(TblTech[[#This Row],[Sum of tech]],-1,0)*50,0)),3750)</f>
        <v>3750</v>
      </c>
      <c r="R95" s="142"/>
      <c r="S95" s="94">
        <f ca="1">ROUNDDOWN(TblProd[[#This Row],[Raw Plat/hr]]*(1+TblProd[[#This Row],[Bonus Plat/hr]]),0)</f>
        <v>515</v>
      </c>
      <c r="T95" s="94">
        <f ca="1">ROUND(TblProd[[#This Row],[Raw Food/hr]]*(1+TblProd[[#This Row],[Bonus Food/hr]])-TblProd[[#This Row],[Food decay]]-TblProd[[#This Row],[Food eaten]],0)</f>
        <v>897</v>
      </c>
      <c r="U95" s="94">
        <f ca="1">ROUND(TblProd[[#This Row],[Raw Lumber/hr]]*(1+TblProd[[#This Row],[Bonus Lumber/hr]])-TblProd[[#This Row],[Lumber rot]],0)</f>
        <v>341</v>
      </c>
      <c r="V95" s="94">
        <f ca="1">ROUND(TblProd[[#This Row],[Raw Mana/hr]]*(1+TblProd[[#This Row],[Bonus Mana/hr]])-TblProd[[#This Row],[Mana drain]],0)</f>
        <v>0</v>
      </c>
      <c r="W95" s="94">
        <f ca="1">ROUNDDOWN(TblProd[[#This Row],[Raw Ore/hr]]*(1+TblProd[[#This Row],[Bonux Ore/hr]]),0)</f>
        <v>0</v>
      </c>
      <c r="X95" s="94">
        <f ca="1">ROUNDDOWN(TblProd[[#This Row],[Raw Gems/hr]]*(1+TblProd[[#This Row],[Bonus Gems/hr]]),0)</f>
        <v>0</v>
      </c>
      <c r="Y95" s="155">
        <f ca="1">OFFSET(TblConstr[[#This Row],[Tot Doc]],1,0)*dock_boats_hr * (1 + tech_4_1*TblTech[[#This Row],[4-1]])</f>
        <v>0</v>
      </c>
      <c r="Z95" s="154"/>
      <c r="AA95" s="94">
        <f ca="1">TblPop[[#This Row],[Peasants]]*tax*TblPop[[#This Row],[Employment]] + (Construction!AZ96+Construction!BX96)*(alch_plat+(Magic!AN95&gt;0)*alchemist_flame_bonus)</f>
        <v>515.70000000000005</v>
      </c>
      <c r="AB95" s="94">
        <f ca="1">TblConstr[[#This Row],[Tot Farm]]*farm_food + TblConstr[[#This Row],[Tot Doc]]*dock_food</f>
        <v>2400</v>
      </c>
      <c r="AC95" s="94">
        <f ca="1">TblConstr[[#This Row],[Tot Ly]]*ly_lumber + TblConstr[[#This Row],[Tot Hav]]*fh_lumber + IF(race="Wood Elf",TblMili[[#This Row],[Unit 2]]*MIN(TblMili[[#This Row],[Homeland%]]/wisp_bonus,wisp_cap),0)</f>
        <v>1000</v>
      </c>
      <c r="AD95" s="94">
        <f ca="1">OFFSET(TblConstr[[#This Row],[Tot Tow]],1,0)*(tower_mana + tech_4_5*TblTech[[#This Row],[4-5]]) + OFFSET(TblConstr[[#This Row],[Tot WG]],1,0)*wg_mana_prod</f>
        <v>0</v>
      </c>
      <c r="AE95" s="94">
        <f ca="1">OFFSET(TblConstr[[#This Row],[Tot OM]],1,0)*om_ore+IF(race="Dwarf",TblMili[[#This Row],[Unit 2]]*0.5,0)</f>
        <v>0</v>
      </c>
      <c r="AF95" s="94">
        <f ca="1">OFFSET(TblConstr[[#This Row],[Tot DM]],1,0)*dm_gems</f>
        <v>0</v>
      </c>
      <c r="AG95" s="142"/>
      <c r="AH95" s="156">
        <f ca="1">MIN(race_platinum_bonus + IF(TblMagic[[#This Row],[Active Arc Infusion]]&gt;0,alch_frost_bonus,IF(Magic!AE95&gt;0,midas_bonus)) + TblImps[[#This Row],[Science]] - TblProd[[#This Row],[Guard]]*(0.02 + tech_5_7*TblTech[[#This Row],[5-7]]) + tech_1_5*TblTech[[#This Row],[1-5]] + tech_4_4*TblTech[[#This Row],[4-4]] + IF(TblMagic[[#This Row],[Active Infernal Command]]&gt;0,demonic_pact_plat,0), 0.5)</f>
        <v>0</v>
      </c>
      <c r="AI9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5" s="156">
        <f ca="1">race_lumber_bonus+ IF(TblMagic[[#This Row],[Active Gaia''s Blessing]]&gt;0,gaias_blessing_lumber)+ tech_1_3*TblTech[[#This Row],[1-3]] + tech_1_6*TblTech[[#This Row],[1-6]] + tech_3_3*TblTech[[#This Row],[3-3]]</f>
        <v>0</v>
      </c>
      <c r="AK95" s="156">
        <f ca="1">race_mana_bonus+ 0 + TblImps[[#This Row],[Spires]] + tech_1_2*TblTech[[#This Row],[1-2]] + tech_3_4*TblTech[[#This Row],[3-4]]</f>
        <v>0</v>
      </c>
      <c r="AL95" s="156">
        <f ca="1">race_ore_bonus + IF(TblMagic[[#This Row],[Active Miner''s Sight]]&gt;0,miners_sight_bonus,IF(TblMagic[[#This Row],[Active Mining Strength]]&gt;0,mining_strength_bonus)) +  tech_1_6*TblTech[[#This Row],[1-6]]</f>
        <v>0</v>
      </c>
      <c r="AM95" s="156">
        <f>race_gem_bonus+ tech_3_2*TblTech[[#This Row],[3-2]] + tech_4_3*TblTech[[#This Row],[4-3]] + tech_6_2*TblTech[[#This Row],[6-2]]</f>
        <v>0</v>
      </c>
      <c r="AN95" s="142"/>
      <c r="AO95" s="94">
        <f ca="1">TblProd[[#This Row],[Food]]*food_decay * (1 + tech_2_1*TblTech[[#This Row],[2-1]] + tech_2_8*TblTech[[#This Row],[2-8]] + IF(AND(TblMagic[[#This Row],[Active DnD]]&lt;12,TblMagic[[#This Row],[Active DnD]]&gt;5),1,0))</f>
        <v>1491.1200000000001</v>
      </c>
      <c r="AP95" s="94">
        <f ca="1">(1+race_food_consumption)*TblPop[[#This Row],[Total]]*food_per_person*(1+tech_1_10*TblTech[[#This Row],[1-10]]+tech_7_5*TblTech[[#This Row],[7-5]] + IF(TblMagic[[#This Row],[Active Infernal Command]]&gt;0,demonic_pact_food_cons,0))</f>
        <v>192.25</v>
      </c>
      <c r="AQ95" s="94">
        <f ca="1">TblProd[[#This Row],[Lumber]]*lumber_rot * (1 + tech_2_1*TblTech[[#This Row],[2-1]] + tech_2_8*TblTech[[#This Row],[2-8]] + tech_5_2*TblTech[[#This Row],[5-2]] + IF(AND(TblMagic[[#This Row],[Active DnD]]&lt;12,TblMagic[[#This Row],[Active DnD]]&gt;5),1,0))</f>
        <v>659.4</v>
      </c>
      <c r="AR95" s="94">
        <f ca="1">TblProd[[#This Row],[Mana]]*mana_drain * (1 + tech_2_1*TblTech[[#This Row],[2-1]] + tech_2_8*TblTech[[#This Row],[2-8]])</f>
        <v>0</v>
      </c>
      <c r="AS95" s="154"/>
      <c r="AT95" s="94">
        <f ca="1">TblExplore[[#This Row],[Platinum (2)]]+TblConstr[[#This Row],[Total Plat Cost]]+TblMili[[#This Row],[Plat Cost]]+TblRezone[[#This Row],[Platinum cost]]+TblImps[[#This Row],[P1]]-TblProd[[#This Row],[Bank Plat]]</f>
        <v>0</v>
      </c>
      <c r="AU95" s="94">
        <f ca="1">TblConstr[[#This Row],[Total Lum Cost]]+TblImps[[#This Row],[L1]]-TblProd[[#This Row],[Bank Lumber]] + Military!$CO$25*TblMili[[#This Row],[Sec. rec. Cost]]</f>
        <v>0</v>
      </c>
      <c r="AV95" s="94">
        <f ca="1">TblMagic[[#This Row],[Mana cost]] + Military!$CO$26*TblMili[[#This Row],[Sec. rec. Cost]]</f>
        <v>0</v>
      </c>
      <c r="AW95" s="94">
        <f ca="1">Military!$CO$24*TblMili[[#This Row],[Sec. rec. Cost]]+TblImps[[#This Row],[O1]]-TblProd[[#This Row],[Bank Ore]]</f>
        <v>0</v>
      </c>
      <c r="AX95" s="94">
        <f>TblImps[[#This Row],[G1]]-TblProd[[#This Row],[Bank Gems]]</f>
        <v>0</v>
      </c>
      <c r="AY95" s="142"/>
      <c r="AZ95" s="61" t="b">
        <f ca="1">IF(TblProd[[#This Row],[Set Guard]]&lt;&gt;"",TblProd[[#This Row],[Set Guard]],OFFSET(TblProd[[#This Row],[Guard]],-1,0))</f>
        <v>0</v>
      </c>
      <c r="BA95" s="153"/>
      <c r="BB95" s="45">
        <f>TblProd[[#This Row],[Hour]]</f>
        <v>44</v>
      </c>
      <c r="BC95" s="158">
        <f>-TblProd[[#This Row],[Bank Lumber]] / 2 + -TblProd[[#This Row],[Bank Gems]] * 2 + -TblProd[[#This Row],[Bank Ore]] / 2</f>
        <v>0</v>
      </c>
      <c r="BD95" s="158"/>
      <c r="BE95" s="158"/>
      <c r="BF95" s="158"/>
      <c r="BG95" s="159">
        <f ca="1">TblProd[[#This Row],[Time]]</f>
        <v>46323.791666666446</v>
      </c>
      <c r="BH95" s="45"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94">
        <f ca="1">TblProd[[#This Row],[Platinum]]</f>
        <v>196135</v>
      </c>
      <c r="BJ95" s="94">
        <f ca="1">TblProd[[#This Row],[Food]]</f>
        <v>149112</v>
      </c>
      <c r="BK95" s="94">
        <f ca="1">TblProd[[#This Row],[Lumber]]</f>
        <v>65940</v>
      </c>
      <c r="BL95" s="94">
        <f ca="1">TblProd[[#This Row],[Mana]]</f>
        <v>0</v>
      </c>
      <c r="BM95" s="94">
        <f ca="1">TblProd[[#This Row],[Ore]]</f>
        <v>0</v>
      </c>
    </row>
    <row r="96" spans="1:65" x14ac:dyDescent="0.2">
      <c r="A96" s="137">
        <f t="shared" si="0"/>
        <v>45</v>
      </c>
      <c r="B96" s="152">
        <f ca="1">TblImps[[#This Row],[Time]]</f>
        <v>46323.83333333311</v>
      </c>
      <c r="C96" s="153"/>
      <c r="D96" s="154"/>
      <c r="E96" s="94">
        <f ca="1">TblConstr[[#This Row],[Land]]</f>
        <v>50</v>
      </c>
      <c r="F96" s="94">
        <f ca="1">TblPop[[#This Row],[Peasants]]</f>
        <v>189</v>
      </c>
      <c r="G96" s="94">
        <f ca="1">TblMili[[#This Row],[Networth (2)]]</f>
        <v>1250</v>
      </c>
      <c r="H96" s="94">
        <f ca="1">OFFSET(TblProd[[#This Row],[Platinum]],-1,0)+OFFSET(TblProd[[#This Row],[Plat/hr]],-1,0) - TblProd[[#This Row],[Expenses Platinum]] + IF(TblProd[[#This Row],[Plat Bonus]],TblPop[[#This Row],[Peasants]]*4) + SUM(TblConstr[[#This Row],[Dest Hom]:[Dest Doc]])*TblConstr[[#This Row],[CPA Platinum -DB]]*tech_3_3_2*TblTech[[#This Row],[3-3]]</f>
        <v>196650</v>
      </c>
      <c r="I96" s="94">
        <f ca="1">OFFSET(TblProd[[#This Row],[Food]],-1,0)+OFFSET(TblProd[[#This Row],[Food/hr]],-1,0)+ROUNDUP((TblConstr[[#This Row],[Farms]]*80+TblConstr[[#This Row],[Docks]]*35)*(1+OFFSET(TblProd[[#This Row],[Bonus Food/hr]],-1,0)),0)</f>
        <v>150009</v>
      </c>
      <c r="J96" s="94">
        <f ca="1">OFFSET(TblProd[[#This Row],[Lumber]],-1,0)+OFFSET(TblProd[[#This Row],[Lumber/hr]],-1,0) - TblProd[[#This Row],[Expenses Lumber]] + SUM(TblConstr[[#This Row],[Dest Hom]:[Dest Doc]])*TblConstr[[#This Row],[CPA Lumber -DB]]*tech_3_3_2*TblTech[[#This Row],[3-3]]</f>
        <v>66281</v>
      </c>
      <c r="K96" s="94">
        <f ca="1">OFFSET(TblProd[[#This Row],[Mana]],-1,0)+OFFSET(TblProd[[#This Row],[Mana/hr]],-1,0)- TblProd[[#This Row],[Expenses Mana]]</f>
        <v>0</v>
      </c>
      <c r="L96" s="94">
        <f ca="1">OFFSET(TblProd[[#This Row],[Ore]],-1,0)+OFFSET(TblProd[[#This Row],[Ore/hr]],-1,0) -TblProd[[#This Row],[Expenses Ore]]</f>
        <v>0</v>
      </c>
      <c r="M96" s="94">
        <f ca="1">OFFSET(TblProd[[#This Row],[Gems]],-1,0)+OFFSET(TblProd[[#This Row],[Gems/hr]],-1,0) - TblProd[[#This Row],[Expenses Gems]]</f>
        <v>0</v>
      </c>
      <c r="N96" s="94">
        <f ca="1">OFFSET(TblProd[[#This Row],[Boats]],-1,0)+OFFSET(TblProd[[#This Row],[Boats/hr]],-1,0)</f>
        <v>0</v>
      </c>
      <c r="O96" s="94">
        <f ca="1">OFFSET(TblProd[[#This Row],[Prestige]],-1,0)</f>
        <v>250</v>
      </c>
      <c r="P9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6" s="94">
        <f ca="1">MAX(_xlfn.CEILING.MATH(TblProd[[#This Row],[Land]]*2.5+IFERROR(OFFSET(TblTech[[#This Row],[Sum of tech]],-1,0)*50,0)),3750)</f>
        <v>3750</v>
      </c>
      <c r="R96" s="142"/>
      <c r="S96" s="94">
        <f ca="1">ROUNDDOWN(TblProd[[#This Row],[Raw Plat/hr]]*(1+TblProd[[#This Row],[Bonus Plat/hr]]),0)</f>
        <v>510</v>
      </c>
      <c r="T96" s="94">
        <f ca="1">ROUND(TblProd[[#This Row],[Raw Food/hr]]*(1+TblProd[[#This Row],[Bonus Food/hr]])-TblProd[[#This Row],[Food decay]]-TblProd[[#This Row],[Food eaten]],0)</f>
        <v>888</v>
      </c>
      <c r="U96" s="94">
        <f ca="1">ROUND(TblProd[[#This Row],[Raw Lumber/hr]]*(1+TblProd[[#This Row],[Bonus Lumber/hr]])-TblProd[[#This Row],[Lumber rot]],0)</f>
        <v>337</v>
      </c>
      <c r="V96" s="94">
        <f ca="1">ROUND(TblProd[[#This Row],[Raw Mana/hr]]*(1+TblProd[[#This Row],[Bonus Mana/hr]])-TblProd[[#This Row],[Mana drain]],0)</f>
        <v>0</v>
      </c>
      <c r="W96" s="94">
        <f ca="1">ROUNDDOWN(TblProd[[#This Row],[Raw Ore/hr]]*(1+TblProd[[#This Row],[Bonux Ore/hr]]),0)</f>
        <v>0</v>
      </c>
      <c r="X96" s="94">
        <f ca="1">ROUNDDOWN(TblProd[[#This Row],[Raw Gems/hr]]*(1+TblProd[[#This Row],[Bonus Gems/hr]]),0)</f>
        <v>0</v>
      </c>
      <c r="Y96" s="155">
        <f ca="1">OFFSET(TblConstr[[#This Row],[Tot Doc]],1,0)*dock_boats_hr * (1 + tech_4_1*TblTech[[#This Row],[4-1]])</f>
        <v>0</v>
      </c>
      <c r="Z96" s="154"/>
      <c r="AA96" s="94">
        <f ca="1">TblPop[[#This Row],[Peasants]]*tax*TblPop[[#This Row],[Employment]] + (Construction!AZ97+Construction!BX97)*(alch_plat+(Magic!AN96&gt;0)*alchemist_flame_bonus)</f>
        <v>510.3</v>
      </c>
      <c r="AB96" s="94">
        <f ca="1">TblConstr[[#This Row],[Tot Farm]]*farm_food + TblConstr[[#This Row],[Tot Doc]]*dock_food</f>
        <v>2400</v>
      </c>
      <c r="AC96" s="94">
        <f ca="1">TblConstr[[#This Row],[Tot Ly]]*ly_lumber + TblConstr[[#This Row],[Tot Hav]]*fh_lumber + IF(race="Wood Elf",TblMili[[#This Row],[Unit 2]]*MIN(TblMili[[#This Row],[Homeland%]]/wisp_bonus,wisp_cap),0)</f>
        <v>1000</v>
      </c>
      <c r="AD96" s="94">
        <f ca="1">OFFSET(TblConstr[[#This Row],[Tot Tow]],1,0)*(tower_mana + tech_4_5*TblTech[[#This Row],[4-5]]) + OFFSET(TblConstr[[#This Row],[Tot WG]],1,0)*wg_mana_prod</f>
        <v>0</v>
      </c>
      <c r="AE96" s="94">
        <f ca="1">OFFSET(TblConstr[[#This Row],[Tot OM]],1,0)*om_ore+IF(race="Dwarf",TblMili[[#This Row],[Unit 2]]*0.5,0)</f>
        <v>0</v>
      </c>
      <c r="AF96" s="94">
        <f ca="1">OFFSET(TblConstr[[#This Row],[Tot DM]],1,0)*dm_gems</f>
        <v>0</v>
      </c>
      <c r="AG96" s="142"/>
      <c r="AH96" s="156">
        <f ca="1">MIN(race_platinum_bonus + IF(TblMagic[[#This Row],[Active Arc Infusion]]&gt;0,alch_frost_bonus,IF(Magic!AE96&gt;0,midas_bonus)) + TblImps[[#This Row],[Science]] - TblProd[[#This Row],[Guard]]*(0.02 + tech_5_7*TblTech[[#This Row],[5-7]]) + tech_1_5*TblTech[[#This Row],[1-5]] + tech_4_4*TblTech[[#This Row],[4-4]] + IF(TblMagic[[#This Row],[Active Infernal Command]]&gt;0,demonic_pact_plat,0), 0.5)</f>
        <v>0</v>
      </c>
      <c r="AI9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6" s="156">
        <f ca="1">race_lumber_bonus+ IF(TblMagic[[#This Row],[Active Gaia''s Blessing]]&gt;0,gaias_blessing_lumber)+ tech_1_3*TblTech[[#This Row],[1-3]] + tech_1_6*TblTech[[#This Row],[1-6]] + tech_3_3*TblTech[[#This Row],[3-3]]</f>
        <v>0</v>
      </c>
      <c r="AK96" s="156">
        <f ca="1">race_mana_bonus+ 0 + TblImps[[#This Row],[Spires]] + tech_1_2*TblTech[[#This Row],[1-2]] + tech_3_4*TblTech[[#This Row],[3-4]]</f>
        <v>0</v>
      </c>
      <c r="AL96" s="156">
        <f ca="1">race_ore_bonus + IF(TblMagic[[#This Row],[Active Miner''s Sight]]&gt;0,miners_sight_bonus,IF(TblMagic[[#This Row],[Active Mining Strength]]&gt;0,mining_strength_bonus)) +  tech_1_6*TblTech[[#This Row],[1-6]]</f>
        <v>0</v>
      </c>
      <c r="AM96" s="156">
        <f>race_gem_bonus+ tech_3_2*TblTech[[#This Row],[3-2]] + tech_4_3*TblTech[[#This Row],[4-3]] + tech_6_2*TblTech[[#This Row],[6-2]]</f>
        <v>0</v>
      </c>
      <c r="AN96" s="142"/>
      <c r="AO96" s="94">
        <f ca="1">TblProd[[#This Row],[Food]]*food_decay * (1 + tech_2_1*TblTech[[#This Row],[2-1]] + tech_2_8*TblTech[[#This Row],[2-8]] + IF(AND(TblMagic[[#This Row],[Active DnD]]&lt;12,TblMagic[[#This Row],[Active DnD]]&gt;5),1,0))</f>
        <v>1500.09</v>
      </c>
      <c r="AP96" s="94">
        <f ca="1">(1+race_food_consumption)*TblPop[[#This Row],[Total]]*food_per_person*(1+tech_1_10*TblTech[[#This Row],[1-10]]+tech_7_5*TblTech[[#This Row],[7-5]] + IF(TblMagic[[#This Row],[Active Infernal Command]]&gt;0,demonic_pact_food_cons,0))</f>
        <v>192.25</v>
      </c>
      <c r="AQ96" s="94">
        <f ca="1">TblProd[[#This Row],[Lumber]]*lumber_rot * (1 + tech_2_1*TblTech[[#This Row],[2-1]] + tech_2_8*TblTech[[#This Row],[2-8]] + tech_5_2*TblTech[[#This Row],[5-2]] + IF(AND(TblMagic[[#This Row],[Active DnD]]&lt;12,TblMagic[[#This Row],[Active DnD]]&gt;5),1,0))</f>
        <v>662.81000000000006</v>
      </c>
      <c r="AR96" s="94">
        <f ca="1">TblProd[[#This Row],[Mana]]*mana_drain * (1 + tech_2_1*TblTech[[#This Row],[2-1]] + tech_2_8*TblTech[[#This Row],[2-8]])</f>
        <v>0</v>
      </c>
      <c r="AS96" s="154"/>
      <c r="AT96" s="94">
        <f ca="1">TblExplore[[#This Row],[Platinum (2)]]+TblConstr[[#This Row],[Total Plat Cost]]+TblMili[[#This Row],[Plat Cost]]+TblRezone[[#This Row],[Platinum cost]]+TblImps[[#This Row],[P1]]-TblProd[[#This Row],[Bank Plat]]</f>
        <v>0</v>
      </c>
      <c r="AU96" s="94">
        <f ca="1">TblConstr[[#This Row],[Total Lum Cost]]+TblImps[[#This Row],[L1]]-TblProd[[#This Row],[Bank Lumber]] + Military!$CO$25*TblMili[[#This Row],[Sec. rec. Cost]]</f>
        <v>0</v>
      </c>
      <c r="AV96" s="94">
        <f ca="1">TblMagic[[#This Row],[Mana cost]] + Military!$CO$26*TblMili[[#This Row],[Sec. rec. Cost]]</f>
        <v>0</v>
      </c>
      <c r="AW96" s="94">
        <f ca="1">Military!$CO$24*TblMili[[#This Row],[Sec. rec. Cost]]+TblImps[[#This Row],[O1]]-TblProd[[#This Row],[Bank Ore]]</f>
        <v>0</v>
      </c>
      <c r="AX96" s="94">
        <f>TblImps[[#This Row],[G1]]-TblProd[[#This Row],[Bank Gems]]</f>
        <v>0</v>
      </c>
      <c r="AY96" s="142"/>
      <c r="AZ96" s="61" t="b">
        <f ca="1">IF(TblProd[[#This Row],[Set Guard]]&lt;&gt;"",TblProd[[#This Row],[Set Guard]],OFFSET(TblProd[[#This Row],[Guard]],-1,0))</f>
        <v>0</v>
      </c>
      <c r="BA96" s="153"/>
      <c r="BB96" s="45">
        <f>TblProd[[#This Row],[Hour]]</f>
        <v>45</v>
      </c>
      <c r="BC96" s="158">
        <f>-TblProd[[#This Row],[Bank Lumber]] / 2 + -TblProd[[#This Row],[Bank Gems]] * 2 + -TblProd[[#This Row],[Bank Ore]] / 2</f>
        <v>0</v>
      </c>
      <c r="BD96" s="158"/>
      <c r="BE96" s="158"/>
      <c r="BF96" s="158"/>
      <c r="BG96" s="159">
        <f ca="1">TblProd[[#This Row],[Time]]</f>
        <v>46323.83333333311</v>
      </c>
      <c r="BH96" s="45"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94">
        <f ca="1">TblProd[[#This Row],[Platinum]]</f>
        <v>196650</v>
      </c>
      <c r="BJ96" s="94">
        <f ca="1">TblProd[[#This Row],[Food]]</f>
        <v>150009</v>
      </c>
      <c r="BK96" s="94">
        <f ca="1">TblProd[[#This Row],[Lumber]]</f>
        <v>66281</v>
      </c>
      <c r="BL96" s="94">
        <f ca="1">TblProd[[#This Row],[Mana]]</f>
        <v>0</v>
      </c>
      <c r="BM96" s="94">
        <f ca="1">TblProd[[#This Row],[Ore]]</f>
        <v>0</v>
      </c>
    </row>
    <row r="97" spans="1:65" x14ac:dyDescent="0.2">
      <c r="A97" s="137">
        <f t="shared" si="0"/>
        <v>46</v>
      </c>
      <c r="B97" s="152">
        <f ca="1">TblImps[[#This Row],[Time]]</f>
        <v>46323.874999999774</v>
      </c>
      <c r="C97" s="153"/>
      <c r="D97" s="154"/>
      <c r="E97" s="94">
        <f ca="1">TblConstr[[#This Row],[Land]]</f>
        <v>50</v>
      </c>
      <c r="F97" s="94">
        <f ca="1">TblPop[[#This Row],[Peasants]]</f>
        <v>187</v>
      </c>
      <c r="G97" s="94">
        <f ca="1">TblMili[[#This Row],[Networth (2)]]</f>
        <v>1250</v>
      </c>
      <c r="H97" s="94">
        <f ca="1">OFFSET(TblProd[[#This Row],[Platinum]],-1,0)+OFFSET(TblProd[[#This Row],[Plat/hr]],-1,0) - TblProd[[#This Row],[Expenses Platinum]] + IF(TblProd[[#This Row],[Plat Bonus]],TblPop[[#This Row],[Peasants]]*4) + SUM(TblConstr[[#This Row],[Dest Hom]:[Dest Doc]])*TblConstr[[#This Row],[CPA Platinum -DB]]*tech_3_3_2*TblTech[[#This Row],[3-3]]</f>
        <v>197160</v>
      </c>
      <c r="I97" s="94">
        <f ca="1">OFFSET(TblProd[[#This Row],[Food]],-1,0)+OFFSET(TblProd[[#This Row],[Food/hr]],-1,0)+ROUNDUP((TblConstr[[#This Row],[Farms]]*80+TblConstr[[#This Row],[Docks]]*35)*(1+OFFSET(TblProd[[#This Row],[Bonus Food/hr]],-1,0)),0)</f>
        <v>150897</v>
      </c>
      <c r="J97" s="94">
        <f ca="1">OFFSET(TblProd[[#This Row],[Lumber]],-1,0)+OFFSET(TblProd[[#This Row],[Lumber/hr]],-1,0) - TblProd[[#This Row],[Expenses Lumber]] + SUM(TblConstr[[#This Row],[Dest Hom]:[Dest Doc]])*TblConstr[[#This Row],[CPA Lumber -DB]]*tech_3_3_2*TblTech[[#This Row],[3-3]]</f>
        <v>66618</v>
      </c>
      <c r="K97" s="94">
        <f ca="1">OFFSET(TblProd[[#This Row],[Mana]],-1,0)+OFFSET(TblProd[[#This Row],[Mana/hr]],-1,0)- TblProd[[#This Row],[Expenses Mana]]</f>
        <v>0</v>
      </c>
      <c r="L97" s="94">
        <f ca="1">OFFSET(TblProd[[#This Row],[Ore]],-1,0)+OFFSET(TblProd[[#This Row],[Ore/hr]],-1,0) -TblProd[[#This Row],[Expenses Ore]]</f>
        <v>0</v>
      </c>
      <c r="M97" s="94">
        <f ca="1">OFFSET(TblProd[[#This Row],[Gems]],-1,0)+OFFSET(TblProd[[#This Row],[Gems/hr]],-1,0) - TblProd[[#This Row],[Expenses Gems]]</f>
        <v>0</v>
      </c>
      <c r="N97" s="94">
        <f ca="1">OFFSET(TblProd[[#This Row],[Boats]],-1,0)+OFFSET(TblProd[[#This Row],[Boats/hr]],-1,0)</f>
        <v>0</v>
      </c>
      <c r="O97" s="94">
        <f ca="1">OFFSET(TblProd[[#This Row],[Prestige]],-1,0)</f>
        <v>250</v>
      </c>
      <c r="P9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7" s="94">
        <f ca="1">MAX(_xlfn.CEILING.MATH(TblProd[[#This Row],[Land]]*2.5+IFERROR(OFFSET(TblTech[[#This Row],[Sum of tech]],-1,0)*50,0)),3750)</f>
        <v>3750</v>
      </c>
      <c r="R97" s="142"/>
      <c r="S97" s="94">
        <f ca="1">ROUNDDOWN(TblProd[[#This Row],[Raw Plat/hr]]*(1+TblProd[[#This Row],[Bonus Plat/hr]]),0)</f>
        <v>504</v>
      </c>
      <c r="T97" s="94">
        <f ca="1">ROUND(TblProd[[#This Row],[Raw Food/hr]]*(1+TblProd[[#This Row],[Bonus Food/hr]])-TblProd[[#This Row],[Food decay]]-TblProd[[#This Row],[Food eaten]],0)</f>
        <v>879</v>
      </c>
      <c r="U97" s="94">
        <f ca="1">ROUND(TblProd[[#This Row],[Raw Lumber/hr]]*(1+TblProd[[#This Row],[Bonus Lumber/hr]])-TblProd[[#This Row],[Lumber rot]],0)</f>
        <v>334</v>
      </c>
      <c r="V97" s="94">
        <f ca="1">ROUND(TblProd[[#This Row],[Raw Mana/hr]]*(1+TblProd[[#This Row],[Bonus Mana/hr]])-TblProd[[#This Row],[Mana drain]],0)</f>
        <v>0</v>
      </c>
      <c r="W97" s="94">
        <f ca="1">ROUNDDOWN(TblProd[[#This Row],[Raw Ore/hr]]*(1+TblProd[[#This Row],[Bonux Ore/hr]]),0)</f>
        <v>0</v>
      </c>
      <c r="X97" s="94">
        <f ca="1">ROUNDDOWN(TblProd[[#This Row],[Raw Gems/hr]]*(1+TblProd[[#This Row],[Bonus Gems/hr]]),0)</f>
        <v>0</v>
      </c>
      <c r="Y97" s="155">
        <f ca="1">OFFSET(TblConstr[[#This Row],[Tot Doc]],1,0)*dock_boats_hr * (1 + tech_4_1*TblTech[[#This Row],[4-1]])</f>
        <v>0</v>
      </c>
      <c r="Z97" s="154"/>
      <c r="AA97" s="94">
        <f ca="1">TblPop[[#This Row],[Peasants]]*tax*TblPop[[#This Row],[Employment]] + (Construction!AZ98+Construction!BX98)*(alch_plat+(Magic!AN97&gt;0)*alchemist_flame_bonus)</f>
        <v>504.90000000000003</v>
      </c>
      <c r="AB97" s="94">
        <f ca="1">TblConstr[[#This Row],[Tot Farm]]*farm_food + TblConstr[[#This Row],[Tot Doc]]*dock_food</f>
        <v>2400</v>
      </c>
      <c r="AC97" s="94">
        <f ca="1">TblConstr[[#This Row],[Tot Ly]]*ly_lumber + TblConstr[[#This Row],[Tot Hav]]*fh_lumber + IF(race="Wood Elf",TblMili[[#This Row],[Unit 2]]*MIN(TblMili[[#This Row],[Homeland%]]/wisp_bonus,wisp_cap),0)</f>
        <v>1000</v>
      </c>
      <c r="AD97" s="94">
        <f ca="1">OFFSET(TblConstr[[#This Row],[Tot Tow]],1,0)*(tower_mana + tech_4_5*TblTech[[#This Row],[4-5]]) + OFFSET(TblConstr[[#This Row],[Tot WG]],1,0)*wg_mana_prod</f>
        <v>0</v>
      </c>
      <c r="AE97" s="94">
        <f ca="1">OFFSET(TblConstr[[#This Row],[Tot OM]],1,0)*om_ore+IF(race="Dwarf",TblMili[[#This Row],[Unit 2]]*0.5,0)</f>
        <v>0</v>
      </c>
      <c r="AF97" s="94">
        <f ca="1">OFFSET(TblConstr[[#This Row],[Tot DM]],1,0)*dm_gems</f>
        <v>0</v>
      </c>
      <c r="AG97" s="142"/>
      <c r="AH97" s="156">
        <f ca="1">MIN(race_platinum_bonus + IF(TblMagic[[#This Row],[Active Arc Infusion]]&gt;0,alch_frost_bonus,IF(Magic!AE97&gt;0,midas_bonus)) + TblImps[[#This Row],[Science]] - TblProd[[#This Row],[Guard]]*(0.02 + tech_5_7*TblTech[[#This Row],[5-7]]) + tech_1_5*TblTech[[#This Row],[1-5]] + tech_4_4*TblTech[[#This Row],[4-4]] + IF(TblMagic[[#This Row],[Active Infernal Command]]&gt;0,demonic_pact_plat,0), 0.5)</f>
        <v>0</v>
      </c>
      <c r="AI9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7" s="156">
        <f ca="1">race_lumber_bonus+ IF(TblMagic[[#This Row],[Active Gaia''s Blessing]]&gt;0,gaias_blessing_lumber)+ tech_1_3*TblTech[[#This Row],[1-3]] + tech_1_6*TblTech[[#This Row],[1-6]] + tech_3_3*TblTech[[#This Row],[3-3]]</f>
        <v>0</v>
      </c>
      <c r="AK97" s="156">
        <f ca="1">race_mana_bonus+ 0 + TblImps[[#This Row],[Spires]] + tech_1_2*TblTech[[#This Row],[1-2]] + tech_3_4*TblTech[[#This Row],[3-4]]</f>
        <v>0</v>
      </c>
      <c r="AL97" s="156">
        <f ca="1">race_ore_bonus + IF(TblMagic[[#This Row],[Active Miner''s Sight]]&gt;0,miners_sight_bonus,IF(TblMagic[[#This Row],[Active Mining Strength]]&gt;0,mining_strength_bonus)) +  tech_1_6*TblTech[[#This Row],[1-6]]</f>
        <v>0</v>
      </c>
      <c r="AM97" s="156">
        <f>race_gem_bonus+ tech_3_2*TblTech[[#This Row],[3-2]] + tech_4_3*TblTech[[#This Row],[4-3]] + tech_6_2*TblTech[[#This Row],[6-2]]</f>
        <v>0</v>
      </c>
      <c r="AN97" s="142"/>
      <c r="AO97" s="94">
        <f ca="1">TblProd[[#This Row],[Food]]*food_decay * (1 + tech_2_1*TblTech[[#This Row],[2-1]] + tech_2_8*TblTech[[#This Row],[2-8]] + IF(AND(TblMagic[[#This Row],[Active DnD]]&lt;12,TblMagic[[#This Row],[Active DnD]]&gt;5),1,0))</f>
        <v>1508.97</v>
      </c>
      <c r="AP97" s="94">
        <f ca="1">(1+race_food_consumption)*TblPop[[#This Row],[Total]]*food_per_person*(1+tech_1_10*TblTech[[#This Row],[1-10]]+tech_7_5*TblTech[[#This Row],[7-5]] + IF(TblMagic[[#This Row],[Active Infernal Command]]&gt;0,demonic_pact_food_cons,0))</f>
        <v>192.25</v>
      </c>
      <c r="AQ97" s="94">
        <f ca="1">TblProd[[#This Row],[Lumber]]*lumber_rot * (1 + tech_2_1*TblTech[[#This Row],[2-1]] + tech_2_8*TblTech[[#This Row],[2-8]] + tech_5_2*TblTech[[#This Row],[5-2]] + IF(AND(TblMagic[[#This Row],[Active DnD]]&lt;12,TblMagic[[#This Row],[Active DnD]]&gt;5),1,0))</f>
        <v>666.18000000000006</v>
      </c>
      <c r="AR97" s="94">
        <f ca="1">TblProd[[#This Row],[Mana]]*mana_drain * (1 + tech_2_1*TblTech[[#This Row],[2-1]] + tech_2_8*TblTech[[#This Row],[2-8]])</f>
        <v>0</v>
      </c>
      <c r="AS97" s="154"/>
      <c r="AT97" s="94">
        <f ca="1">TblExplore[[#This Row],[Platinum (2)]]+TblConstr[[#This Row],[Total Plat Cost]]+TblMili[[#This Row],[Plat Cost]]+TblRezone[[#This Row],[Platinum cost]]+TblImps[[#This Row],[P1]]-TblProd[[#This Row],[Bank Plat]]</f>
        <v>0</v>
      </c>
      <c r="AU97" s="94">
        <f ca="1">TblConstr[[#This Row],[Total Lum Cost]]+TblImps[[#This Row],[L1]]-TblProd[[#This Row],[Bank Lumber]] + Military!$CO$25*TblMili[[#This Row],[Sec. rec. Cost]]</f>
        <v>0</v>
      </c>
      <c r="AV97" s="94">
        <f ca="1">TblMagic[[#This Row],[Mana cost]] + Military!$CO$26*TblMili[[#This Row],[Sec. rec. Cost]]</f>
        <v>0</v>
      </c>
      <c r="AW97" s="94">
        <f ca="1">Military!$CO$24*TblMili[[#This Row],[Sec. rec. Cost]]+TblImps[[#This Row],[O1]]-TblProd[[#This Row],[Bank Ore]]</f>
        <v>0</v>
      </c>
      <c r="AX97" s="94">
        <f>TblImps[[#This Row],[G1]]-TblProd[[#This Row],[Bank Gems]]</f>
        <v>0</v>
      </c>
      <c r="AY97" s="142"/>
      <c r="AZ97" s="61" t="b">
        <f ca="1">IF(TblProd[[#This Row],[Set Guard]]&lt;&gt;"",TblProd[[#This Row],[Set Guard]],OFFSET(TblProd[[#This Row],[Guard]],-1,0))</f>
        <v>0</v>
      </c>
      <c r="BA97" s="153"/>
      <c r="BB97" s="45">
        <f>TblProd[[#This Row],[Hour]]</f>
        <v>46</v>
      </c>
      <c r="BC97" s="158">
        <f>-TblProd[[#This Row],[Bank Lumber]] / 2 + -TblProd[[#This Row],[Bank Gems]] * 2 + -TblProd[[#This Row],[Bank Ore]] / 2</f>
        <v>0</v>
      </c>
      <c r="BD97" s="158"/>
      <c r="BE97" s="158"/>
      <c r="BF97" s="158"/>
      <c r="BG97" s="159">
        <f ca="1">TblProd[[#This Row],[Time]]</f>
        <v>46323.874999999774</v>
      </c>
      <c r="BH97" s="45"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94">
        <f ca="1">TblProd[[#This Row],[Platinum]]</f>
        <v>197160</v>
      </c>
      <c r="BJ97" s="94">
        <f ca="1">TblProd[[#This Row],[Food]]</f>
        <v>150897</v>
      </c>
      <c r="BK97" s="94">
        <f ca="1">TblProd[[#This Row],[Lumber]]</f>
        <v>66618</v>
      </c>
      <c r="BL97" s="94">
        <f ca="1">TblProd[[#This Row],[Mana]]</f>
        <v>0</v>
      </c>
      <c r="BM97" s="94">
        <f ca="1">TblProd[[#This Row],[Ore]]</f>
        <v>0</v>
      </c>
    </row>
    <row r="98" spans="1:65" x14ac:dyDescent="0.2">
      <c r="A98" s="137">
        <f t="shared" si="0"/>
        <v>47</v>
      </c>
      <c r="B98" s="152">
        <f ca="1">TblImps[[#This Row],[Time]]</f>
        <v>46323.916666666439</v>
      </c>
      <c r="C98" s="153"/>
      <c r="D98" s="154"/>
      <c r="E98" s="94">
        <f ca="1">TblConstr[[#This Row],[Land]]</f>
        <v>50</v>
      </c>
      <c r="F98" s="94">
        <f ca="1">TblPop[[#This Row],[Peasants]]</f>
        <v>185</v>
      </c>
      <c r="G98" s="94">
        <f ca="1">TblMili[[#This Row],[Networth (2)]]</f>
        <v>1250</v>
      </c>
      <c r="H98" s="94">
        <f ca="1">OFFSET(TblProd[[#This Row],[Platinum]],-1,0)+OFFSET(TblProd[[#This Row],[Plat/hr]],-1,0) - TblProd[[#This Row],[Expenses Platinum]] + IF(TblProd[[#This Row],[Plat Bonus]],TblPop[[#This Row],[Peasants]]*4) + SUM(TblConstr[[#This Row],[Dest Hom]:[Dest Doc]])*TblConstr[[#This Row],[CPA Platinum -DB]]*tech_3_3_2*TblTech[[#This Row],[3-3]]</f>
        <v>197664</v>
      </c>
      <c r="I98" s="94">
        <f ca="1">OFFSET(TblProd[[#This Row],[Food]],-1,0)+OFFSET(TblProd[[#This Row],[Food/hr]],-1,0)+ROUNDUP((TblConstr[[#This Row],[Farms]]*80+TblConstr[[#This Row],[Docks]]*35)*(1+OFFSET(TblProd[[#This Row],[Bonus Food/hr]],-1,0)),0)</f>
        <v>151776</v>
      </c>
      <c r="J98" s="94">
        <f ca="1">OFFSET(TblProd[[#This Row],[Lumber]],-1,0)+OFFSET(TblProd[[#This Row],[Lumber/hr]],-1,0) - TblProd[[#This Row],[Expenses Lumber]] + SUM(TblConstr[[#This Row],[Dest Hom]:[Dest Doc]])*TblConstr[[#This Row],[CPA Lumber -DB]]*tech_3_3_2*TblTech[[#This Row],[3-3]]</f>
        <v>66952</v>
      </c>
      <c r="K98" s="94">
        <f ca="1">OFFSET(TblProd[[#This Row],[Mana]],-1,0)+OFFSET(TblProd[[#This Row],[Mana/hr]],-1,0)- TblProd[[#This Row],[Expenses Mana]]</f>
        <v>0</v>
      </c>
      <c r="L98" s="94">
        <f ca="1">OFFSET(TblProd[[#This Row],[Ore]],-1,0)+OFFSET(TblProd[[#This Row],[Ore/hr]],-1,0) -TblProd[[#This Row],[Expenses Ore]]</f>
        <v>0</v>
      </c>
      <c r="M98" s="94">
        <f ca="1">OFFSET(TblProd[[#This Row],[Gems]],-1,0)+OFFSET(TblProd[[#This Row],[Gems/hr]],-1,0) - TblProd[[#This Row],[Expenses Gems]]</f>
        <v>0</v>
      </c>
      <c r="N98" s="94">
        <f ca="1">OFFSET(TblProd[[#This Row],[Boats]],-1,0)+OFFSET(TblProd[[#This Row],[Boats/hr]],-1,0)</f>
        <v>0</v>
      </c>
      <c r="O98" s="94">
        <f ca="1">OFFSET(TblProd[[#This Row],[Prestige]],-1,0)</f>
        <v>250</v>
      </c>
      <c r="P9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8" s="94">
        <f ca="1">MAX(_xlfn.CEILING.MATH(TblProd[[#This Row],[Land]]*2.5+IFERROR(OFFSET(TblTech[[#This Row],[Sum of tech]],-1,0)*50,0)),3750)</f>
        <v>3750</v>
      </c>
      <c r="R98" s="142"/>
      <c r="S98" s="94">
        <f ca="1">ROUNDDOWN(TblProd[[#This Row],[Raw Plat/hr]]*(1+TblProd[[#This Row],[Bonus Plat/hr]]),0)</f>
        <v>499</v>
      </c>
      <c r="T98" s="94">
        <f ca="1">ROUND(TblProd[[#This Row],[Raw Food/hr]]*(1+TblProd[[#This Row],[Bonus Food/hr]])-TblProd[[#This Row],[Food decay]]-TblProd[[#This Row],[Food eaten]],0)</f>
        <v>870</v>
      </c>
      <c r="U98" s="94">
        <f ca="1">ROUND(TblProd[[#This Row],[Raw Lumber/hr]]*(1+TblProd[[#This Row],[Bonus Lumber/hr]])-TblProd[[#This Row],[Lumber rot]],0)</f>
        <v>330</v>
      </c>
      <c r="V98" s="94">
        <f ca="1">ROUND(TblProd[[#This Row],[Raw Mana/hr]]*(1+TblProd[[#This Row],[Bonus Mana/hr]])-TblProd[[#This Row],[Mana drain]],0)</f>
        <v>0</v>
      </c>
      <c r="W98" s="94">
        <f ca="1">ROUNDDOWN(TblProd[[#This Row],[Raw Ore/hr]]*(1+TblProd[[#This Row],[Bonux Ore/hr]]),0)</f>
        <v>0</v>
      </c>
      <c r="X98" s="94">
        <f ca="1">ROUNDDOWN(TblProd[[#This Row],[Raw Gems/hr]]*(1+TblProd[[#This Row],[Bonus Gems/hr]]),0)</f>
        <v>0</v>
      </c>
      <c r="Y98" s="155">
        <f ca="1">OFFSET(TblConstr[[#This Row],[Tot Doc]],1,0)*dock_boats_hr * (1 + tech_4_1*TblTech[[#This Row],[4-1]])</f>
        <v>0</v>
      </c>
      <c r="Z98" s="154"/>
      <c r="AA98" s="94">
        <f ca="1">TblPop[[#This Row],[Peasants]]*tax*TblPop[[#This Row],[Employment]] + (Construction!AZ99+Construction!BX99)*(alch_plat+(Magic!AN98&gt;0)*alchemist_flame_bonus)</f>
        <v>499.50000000000006</v>
      </c>
      <c r="AB98" s="94">
        <f ca="1">TblConstr[[#This Row],[Tot Farm]]*farm_food + TblConstr[[#This Row],[Tot Doc]]*dock_food</f>
        <v>2400</v>
      </c>
      <c r="AC98" s="94">
        <f ca="1">TblConstr[[#This Row],[Tot Ly]]*ly_lumber + TblConstr[[#This Row],[Tot Hav]]*fh_lumber + IF(race="Wood Elf",TblMili[[#This Row],[Unit 2]]*MIN(TblMili[[#This Row],[Homeland%]]/wisp_bonus,wisp_cap),0)</f>
        <v>1000</v>
      </c>
      <c r="AD98" s="94">
        <f ca="1">OFFSET(TblConstr[[#This Row],[Tot Tow]],1,0)*(tower_mana + tech_4_5*TblTech[[#This Row],[4-5]]) + OFFSET(TblConstr[[#This Row],[Tot WG]],1,0)*wg_mana_prod</f>
        <v>0</v>
      </c>
      <c r="AE98" s="94">
        <f ca="1">OFFSET(TblConstr[[#This Row],[Tot OM]],1,0)*om_ore+IF(race="Dwarf",TblMili[[#This Row],[Unit 2]]*0.5,0)</f>
        <v>0</v>
      </c>
      <c r="AF98" s="94">
        <f ca="1">OFFSET(TblConstr[[#This Row],[Tot DM]],1,0)*dm_gems</f>
        <v>0</v>
      </c>
      <c r="AG98" s="142"/>
      <c r="AH98" s="156">
        <f ca="1">MIN(race_platinum_bonus + IF(TblMagic[[#This Row],[Active Arc Infusion]]&gt;0,alch_frost_bonus,IF(Magic!AE98&gt;0,midas_bonus)) + TblImps[[#This Row],[Science]] - TblProd[[#This Row],[Guard]]*(0.02 + tech_5_7*TblTech[[#This Row],[5-7]]) + tech_1_5*TblTech[[#This Row],[1-5]] + tech_4_4*TblTech[[#This Row],[4-4]] + IF(TblMagic[[#This Row],[Active Infernal Command]]&gt;0,demonic_pact_plat,0), 0.5)</f>
        <v>0</v>
      </c>
      <c r="AI9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8" s="156">
        <f ca="1">race_lumber_bonus+ IF(TblMagic[[#This Row],[Active Gaia''s Blessing]]&gt;0,gaias_blessing_lumber)+ tech_1_3*TblTech[[#This Row],[1-3]] + tech_1_6*TblTech[[#This Row],[1-6]] + tech_3_3*TblTech[[#This Row],[3-3]]</f>
        <v>0</v>
      </c>
      <c r="AK98" s="156">
        <f ca="1">race_mana_bonus+ 0 + TblImps[[#This Row],[Spires]] + tech_1_2*TblTech[[#This Row],[1-2]] + tech_3_4*TblTech[[#This Row],[3-4]]</f>
        <v>0</v>
      </c>
      <c r="AL98" s="156">
        <f ca="1">race_ore_bonus + IF(TblMagic[[#This Row],[Active Miner''s Sight]]&gt;0,miners_sight_bonus,IF(TblMagic[[#This Row],[Active Mining Strength]]&gt;0,mining_strength_bonus)) +  tech_1_6*TblTech[[#This Row],[1-6]]</f>
        <v>0</v>
      </c>
      <c r="AM98" s="156">
        <f>race_gem_bonus+ tech_3_2*TblTech[[#This Row],[3-2]] + tech_4_3*TblTech[[#This Row],[4-3]] + tech_6_2*TblTech[[#This Row],[6-2]]</f>
        <v>0</v>
      </c>
      <c r="AN98" s="142"/>
      <c r="AO98" s="94">
        <f ca="1">TblProd[[#This Row],[Food]]*food_decay * (1 + tech_2_1*TblTech[[#This Row],[2-1]] + tech_2_8*TblTech[[#This Row],[2-8]] + IF(AND(TblMagic[[#This Row],[Active DnD]]&lt;12,TblMagic[[#This Row],[Active DnD]]&gt;5),1,0))</f>
        <v>1517.76</v>
      </c>
      <c r="AP98" s="94">
        <f ca="1">(1+race_food_consumption)*TblPop[[#This Row],[Total]]*food_per_person*(1+tech_1_10*TblTech[[#This Row],[1-10]]+tech_7_5*TblTech[[#This Row],[7-5]] + IF(TblMagic[[#This Row],[Active Infernal Command]]&gt;0,demonic_pact_food_cons,0))</f>
        <v>192.25</v>
      </c>
      <c r="AQ98" s="94">
        <f ca="1">TblProd[[#This Row],[Lumber]]*lumber_rot * (1 + tech_2_1*TblTech[[#This Row],[2-1]] + tech_2_8*TblTech[[#This Row],[2-8]] + tech_5_2*TblTech[[#This Row],[5-2]] + IF(AND(TblMagic[[#This Row],[Active DnD]]&lt;12,TblMagic[[#This Row],[Active DnD]]&gt;5),1,0))</f>
        <v>669.52</v>
      </c>
      <c r="AR98" s="94">
        <f ca="1">TblProd[[#This Row],[Mana]]*mana_drain * (1 + tech_2_1*TblTech[[#This Row],[2-1]] + tech_2_8*TblTech[[#This Row],[2-8]])</f>
        <v>0</v>
      </c>
      <c r="AS98" s="154"/>
      <c r="AT98" s="94">
        <f ca="1">TblExplore[[#This Row],[Platinum (2)]]+TblConstr[[#This Row],[Total Plat Cost]]+TblMili[[#This Row],[Plat Cost]]+TblRezone[[#This Row],[Platinum cost]]+TblImps[[#This Row],[P1]]-TblProd[[#This Row],[Bank Plat]]</f>
        <v>0</v>
      </c>
      <c r="AU98" s="94">
        <f ca="1">TblConstr[[#This Row],[Total Lum Cost]]+TblImps[[#This Row],[L1]]-TblProd[[#This Row],[Bank Lumber]] + Military!$CO$25*TblMili[[#This Row],[Sec. rec. Cost]]</f>
        <v>0</v>
      </c>
      <c r="AV98" s="94">
        <f ca="1">TblMagic[[#This Row],[Mana cost]] + Military!$CO$26*TblMili[[#This Row],[Sec. rec. Cost]]</f>
        <v>0</v>
      </c>
      <c r="AW98" s="94">
        <f ca="1">Military!$CO$24*TblMili[[#This Row],[Sec. rec. Cost]]+TblImps[[#This Row],[O1]]-TblProd[[#This Row],[Bank Ore]]</f>
        <v>0</v>
      </c>
      <c r="AX98" s="94">
        <f>TblImps[[#This Row],[G1]]-TblProd[[#This Row],[Bank Gems]]</f>
        <v>0</v>
      </c>
      <c r="AY98" s="142"/>
      <c r="AZ98" s="61" t="b">
        <f ca="1">IF(TblProd[[#This Row],[Set Guard]]&lt;&gt;"",TblProd[[#This Row],[Set Guard]],OFFSET(TblProd[[#This Row],[Guard]],-1,0))</f>
        <v>0</v>
      </c>
      <c r="BA98" s="153"/>
      <c r="BB98" s="45">
        <f>TblProd[[#This Row],[Hour]]</f>
        <v>47</v>
      </c>
      <c r="BC98" s="158">
        <f>-TblProd[[#This Row],[Bank Lumber]] / 2 + -TblProd[[#This Row],[Bank Gems]] * 2 + -TblProd[[#This Row],[Bank Ore]] / 2</f>
        <v>0</v>
      </c>
      <c r="BD98" s="158"/>
      <c r="BE98" s="158"/>
      <c r="BF98" s="158"/>
      <c r="BG98" s="159">
        <f ca="1">TblProd[[#This Row],[Time]]</f>
        <v>46323.916666666439</v>
      </c>
      <c r="BH98" s="45"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94">
        <f ca="1">TblProd[[#This Row],[Platinum]]</f>
        <v>197664</v>
      </c>
      <c r="BJ98" s="94">
        <f ca="1">TblProd[[#This Row],[Food]]</f>
        <v>151776</v>
      </c>
      <c r="BK98" s="94">
        <f ca="1">TblProd[[#This Row],[Lumber]]</f>
        <v>66952</v>
      </c>
      <c r="BL98" s="94">
        <f ca="1">TblProd[[#This Row],[Mana]]</f>
        <v>0</v>
      </c>
      <c r="BM98" s="94">
        <f ca="1">TblProd[[#This Row],[Ore]]</f>
        <v>0</v>
      </c>
    </row>
    <row r="99" spans="1:65" x14ac:dyDescent="0.2">
      <c r="A99" s="137">
        <f t="shared" si="0"/>
        <v>48</v>
      </c>
      <c r="B99" s="152">
        <f ca="1">TblImps[[#This Row],[Time]]</f>
        <v>46323.958333333103</v>
      </c>
      <c r="C99" s="153"/>
      <c r="D99" s="154"/>
      <c r="E99" s="94">
        <f ca="1">TblConstr[[#This Row],[Land]]</f>
        <v>50</v>
      </c>
      <c r="F99" s="94">
        <f ca="1">TblPop[[#This Row],[Peasants]]</f>
        <v>183</v>
      </c>
      <c r="G99" s="94">
        <f ca="1">TblMili[[#This Row],[Networth (2)]]</f>
        <v>1250</v>
      </c>
      <c r="H99" s="94">
        <f ca="1">OFFSET(TblProd[[#This Row],[Platinum]],-1,0)+OFFSET(TblProd[[#This Row],[Plat/hr]],-1,0) - TblProd[[#This Row],[Expenses Platinum]] + IF(TblProd[[#This Row],[Plat Bonus]],TblPop[[#This Row],[Peasants]]*4) + SUM(TblConstr[[#This Row],[Dest Hom]:[Dest Doc]])*TblConstr[[#This Row],[CPA Platinum -DB]]*tech_3_3_2*TblTech[[#This Row],[3-3]]</f>
        <v>198163</v>
      </c>
      <c r="I99" s="94">
        <f ca="1">OFFSET(TblProd[[#This Row],[Food]],-1,0)+OFFSET(TblProd[[#This Row],[Food/hr]],-1,0)+ROUNDUP((TblConstr[[#This Row],[Farms]]*80+TblConstr[[#This Row],[Docks]]*35)*(1+OFFSET(TblProd[[#This Row],[Bonus Food/hr]],-1,0)),0)</f>
        <v>152646</v>
      </c>
      <c r="J99" s="94">
        <f ca="1">OFFSET(TblProd[[#This Row],[Lumber]],-1,0)+OFFSET(TblProd[[#This Row],[Lumber/hr]],-1,0) - TblProd[[#This Row],[Expenses Lumber]] + SUM(TblConstr[[#This Row],[Dest Hom]:[Dest Doc]])*TblConstr[[#This Row],[CPA Lumber -DB]]*tech_3_3_2*TblTech[[#This Row],[3-3]]</f>
        <v>67282</v>
      </c>
      <c r="K99" s="94">
        <f ca="1">OFFSET(TblProd[[#This Row],[Mana]],-1,0)+OFFSET(TblProd[[#This Row],[Mana/hr]],-1,0)- TblProd[[#This Row],[Expenses Mana]]</f>
        <v>0</v>
      </c>
      <c r="L99" s="94">
        <f ca="1">OFFSET(TblProd[[#This Row],[Ore]],-1,0)+OFFSET(TblProd[[#This Row],[Ore/hr]],-1,0) -TblProd[[#This Row],[Expenses Ore]]</f>
        <v>0</v>
      </c>
      <c r="M99" s="94">
        <f ca="1">OFFSET(TblProd[[#This Row],[Gems]],-1,0)+OFFSET(TblProd[[#This Row],[Gems/hr]],-1,0) - TblProd[[#This Row],[Expenses Gems]]</f>
        <v>0</v>
      </c>
      <c r="N99" s="94">
        <f ca="1">OFFSET(TblProd[[#This Row],[Boats]],-1,0)+OFFSET(TblProd[[#This Row],[Boats/hr]],-1,0)</f>
        <v>0</v>
      </c>
      <c r="O99" s="94">
        <f ca="1">OFFSET(TblProd[[#This Row],[Prestige]],-1,0)</f>
        <v>250</v>
      </c>
      <c r="P9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9" s="94">
        <f ca="1">MAX(_xlfn.CEILING.MATH(TblProd[[#This Row],[Land]]*2.5+IFERROR(OFFSET(TblTech[[#This Row],[Sum of tech]],-1,0)*50,0)),3750)</f>
        <v>3750</v>
      </c>
      <c r="R99" s="142"/>
      <c r="S99" s="94">
        <f ca="1">ROUNDDOWN(TblProd[[#This Row],[Raw Plat/hr]]*(1+TblProd[[#This Row],[Bonus Plat/hr]]),0)</f>
        <v>494</v>
      </c>
      <c r="T99" s="94">
        <f ca="1">ROUND(TblProd[[#This Row],[Raw Food/hr]]*(1+TblProd[[#This Row],[Bonus Food/hr]])-TblProd[[#This Row],[Food decay]]-TblProd[[#This Row],[Food eaten]],0)</f>
        <v>861</v>
      </c>
      <c r="U99" s="94">
        <f ca="1">ROUND(TblProd[[#This Row],[Raw Lumber/hr]]*(1+TblProd[[#This Row],[Bonus Lumber/hr]])-TblProd[[#This Row],[Lumber rot]],0)</f>
        <v>327</v>
      </c>
      <c r="V99" s="94">
        <f ca="1">ROUND(TblProd[[#This Row],[Raw Mana/hr]]*(1+TblProd[[#This Row],[Bonus Mana/hr]])-TblProd[[#This Row],[Mana drain]],0)</f>
        <v>0</v>
      </c>
      <c r="W99" s="94">
        <f ca="1">ROUNDDOWN(TblProd[[#This Row],[Raw Ore/hr]]*(1+TblProd[[#This Row],[Bonux Ore/hr]]),0)</f>
        <v>0</v>
      </c>
      <c r="X99" s="94">
        <f ca="1">ROUNDDOWN(TblProd[[#This Row],[Raw Gems/hr]]*(1+TblProd[[#This Row],[Bonus Gems/hr]]),0)</f>
        <v>0</v>
      </c>
      <c r="Y99" s="155">
        <f ca="1">OFFSET(TblConstr[[#This Row],[Tot Doc]],1,0)*dock_boats_hr * (1 + tech_4_1*TblTech[[#This Row],[4-1]])</f>
        <v>0</v>
      </c>
      <c r="Z99" s="154"/>
      <c r="AA99" s="94">
        <f ca="1">TblPop[[#This Row],[Peasants]]*tax*TblPop[[#This Row],[Employment]] + (Construction!AZ100+Construction!BX100)*(alch_plat+(Magic!AN99&gt;0)*alchemist_flame_bonus)</f>
        <v>494.1</v>
      </c>
      <c r="AB99" s="94">
        <f ca="1">TblConstr[[#This Row],[Tot Farm]]*farm_food + TblConstr[[#This Row],[Tot Doc]]*dock_food</f>
        <v>2400</v>
      </c>
      <c r="AC99" s="94">
        <f ca="1">TblConstr[[#This Row],[Tot Ly]]*ly_lumber + TblConstr[[#This Row],[Tot Hav]]*fh_lumber + IF(race="Wood Elf",TblMili[[#This Row],[Unit 2]]*MIN(TblMili[[#This Row],[Homeland%]]/wisp_bonus,wisp_cap),0)</f>
        <v>1000</v>
      </c>
      <c r="AD99" s="94">
        <f ca="1">OFFSET(TblConstr[[#This Row],[Tot Tow]],1,0)*(tower_mana + tech_4_5*TblTech[[#This Row],[4-5]]) + OFFSET(TblConstr[[#This Row],[Tot WG]],1,0)*wg_mana_prod</f>
        <v>0</v>
      </c>
      <c r="AE99" s="94">
        <f ca="1">OFFSET(TblConstr[[#This Row],[Tot OM]],1,0)*om_ore+IF(race="Dwarf",TblMili[[#This Row],[Unit 2]]*0.5,0)</f>
        <v>0</v>
      </c>
      <c r="AF99" s="94">
        <f ca="1">OFFSET(TblConstr[[#This Row],[Tot DM]],1,0)*dm_gems</f>
        <v>0</v>
      </c>
      <c r="AG99" s="142"/>
      <c r="AH99" s="156">
        <f ca="1">MIN(race_platinum_bonus + IF(TblMagic[[#This Row],[Active Arc Infusion]]&gt;0,alch_frost_bonus,IF(Magic!AE99&gt;0,midas_bonus)) + TblImps[[#This Row],[Science]] - TblProd[[#This Row],[Guard]]*(0.02 + tech_5_7*TblTech[[#This Row],[5-7]]) + tech_1_5*TblTech[[#This Row],[1-5]] + tech_4_4*TblTech[[#This Row],[4-4]] + IF(TblMagic[[#This Row],[Active Infernal Command]]&gt;0,demonic_pact_plat,0), 0.5)</f>
        <v>0</v>
      </c>
      <c r="AI9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9" s="156">
        <f ca="1">race_lumber_bonus+ IF(TblMagic[[#This Row],[Active Gaia''s Blessing]]&gt;0,gaias_blessing_lumber)+ tech_1_3*TblTech[[#This Row],[1-3]] + tech_1_6*TblTech[[#This Row],[1-6]] + tech_3_3*TblTech[[#This Row],[3-3]]</f>
        <v>0</v>
      </c>
      <c r="AK99" s="156">
        <f ca="1">race_mana_bonus+ 0 + TblImps[[#This Row],[Spires]] + tech_1_2*TblTech[[#This Row],[1-2]] + tech_3_4*TblTech[[#This Row],[3-4]]</f>
        <v>0</v>
      </c>
      <c r="AL99" s="156">
        <f ca="1">race_ore_bonus + IF(TblMagic[[#This Row],[Active Miner''s Sight]]&gt;0,miners_sight_bonus,IF(TblMagic[[#This Row],[Active Mining Strength]]&gt;0,mining_strength_bonus)) +  tech_1_6*TblTech[[#This Row],[1-6]]</f>
        <v>0</v>
      </c>
      <c r="AM99" s="156">
        <f>race_gem_bonus+ tech_3_2*TblTech[[#This Row],[3-2]] + tech_4_3*TblTech[[#This Row],[4-3]] + tech_6_2*TblTech[[#This Row],[6-2]]</f>
        <v>0</v>
      </c>
      <c r="AN99" s="142"/>
      <c r="AO99" s="94">
        <f ca="1">TblProd[[#This Row],[Food]]*food_decay * (1 + tech_2_1*TblTech[[#This Row],[2-1]] + tech_2_8*TblTech[[#This Row],[2-8]] + IF(AND(TblMagic[[#This Row],[Active DnD]]&lt;12,TblMagic[[#This Row],[Active DnD]]&gt;5),1,0))</f>
        <v>1526.46</v>
      </c>
      <c r="AP99" s="94">
        <f ca="1">(1+race_food_consumption)*TblPop[[#This Row],[Total]]*food_per_person*(1+tech_1_10*TblTech[[#This Row],[1-10]]+tech_7_5*TblTech[[#This Row],[7-5]] + IF(TblMagic[[#This Row],[Active Infernal Command]]&gt;0,demonic_pact_food_cons,0))</f>
        <v>192.25</v>
      </c>
      <c r="AQ99" s="94">
        <f ca="1">TblProd[[#This Row],[Lumber]]*lumber_rot * (1 + tech_2_1*TblTech[[#This Row],[2-1]] + tech_2_8*TblTech[[#This Row],[2-8]] + tech_5_2*TblTech[[#This Row],[5-2]] + IF(AND(TblMagic[[#This Row],[Active DnD]]&lt;12,TblMagic[[#This Row],[Active DnD]]&gt;5),1,0))</f>
        <v>672.82</v>
      </c>
      <c r="AR99" s="94">
        <f ca="1">TblProd[[#This Row],[Mana]]*mana_drain * (1 + tech_2_1*TblTech[[#This Row],[2-1]] + tech_2_8*TblTech[[#This Row],[2-8]])</f>
        <v>0</v>
      </c>
      <c r="AS99" s="154"/>
      <c r="AT99" s="94">
        <f ca="1">TblExplore[[#This Row],[Platinum (2)]]+TblConstr[[#This Row],[Total Plat Cost]]+TblMili[[#This Row],[Plat Cost]]+TblRezone[[#This Row],[Platinum cost]]+TblImps[[#This Row],[P1]]-TblProd[[#This Row],[Bank Plat]]</f>
        <v>0</v>
      </c>
      <c r="AU99" s="94">
        <f ca="1">TblConstr[[#This Row],[Total Lum Cost]]+TblImps[[#This Row],[L1]]-TblProd[[#This Row],[Bank Lumber]] + Military!$CO$25*TblMili[[#This Row],[Sec. rec. Cost]]</f>
        <v>0</v>
      </c>
      <c r="AV99" s="94">
        <f ca="1">TblMagic[[#This Row],[Mana cost]] + Military!$CO$26*TblMili[[#This Row],[Sec. rec. Cost]]</f>
        <v>0</v>
      </c>
      <c r="AW99" s="94">
        <f ca="1">Military!$CO$24*TblMili[[#This Row],[Sec. rec. Cost]]+TblImps[[#This Row],[O1]]-TblProd[[#This Row],[Bank Ore]]</f>
        <v>0</v>
      </c>
      <c r="AX99" s="94">
        <f>TblImps[[#This Row],[G1]]-TblProd[[#This Row],[Bank Gems]]</f>
        <v>0</v>
      </c>
      <c r="AY99" s="142"/>
      <c r="AZ99" s="61" t="b">
        <f ca="1">IF(TblProd[[#This Row],[Set Guard]]&lt;&gt;"",TblProd[[#This Row],[Set Guard]],OFFSET(TblProd[[#This Row],[Guard]],-1,0))</f>
        <v>0</v>
      </c>
      <c r="BA99" s="153"/>
      <c r="BB99" s="45">
        <f>TblProd[[#This Row],[Hour]]</f>
        <v>48</v>
      </c>
      <c r="BC99" s="158">
        <f>-TblProd[[#This Row],[Bank Lumber]] / 2 + -TblProd[[#This Row],[Bank Gems]] * 2 + -TblProd[[#This Row],[Bank Ore]] / 2</f>
        <v>0</v>
      </c>
      <c r="BD99" s="158"/>
      <c r="BE99" s="158"/>
      <c r="BF99" s="158"/>
      <c r="BG99" s="159">
        <f ca="1">TblProd[[#This Row],[Time]]</f>
        <v>46323.958333333103</v>
      </c>
      <c r="BH99" s="45"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94">
        <f ca="1">TblProd[[#This Row],[Platinum]]</f>
        <v>198163</v>
      </c>
      <c r="BJ99" s="94">
        <f ca="1">TblProd[[#This Row],[Food]]</f>
        <v>152646</v>
      </c>
      <c r="BK99" s="94">
        <f ca="1">TblProd[[#This Row],[Lumber]]</f>
        <v>67282</v>
      </c>
      <c r="BL99" s="94">
        <f ca="1">TblProd[[#This Row],[Mana]]</f>
        <v>0</v>
      </c>
      <c r="BM99" s="94">
        <f ca="1">TblProd[[#This Row],[Ore]]</f>
        <v>0</v>
      </c>
    </row>
    <row r="100" spans="1:65" x14ac:dyDescent="0.2">
      <c r="A100" s="137">
        <f t="shared" si="0"/>
        <v>49</v>
      </c>
      <c r="B100" s="152">
        <f ca="1">TblImps[[#This Row],[Time]]</f>
        <v>46323.999999999767</v>
      </c>
      <c r="C100" s="153"/>
      <c r="D100" s="154"/>
      <c r="E100" s="94">
        <f ca="1">TblConstr[[#This Row],[Land]]</f>
        <v>50</v>
      </c>
      <c r="F100" s="94">
        <f ca="1">TblPop[[#This Row],[Peasants]]</f>
        <v>181</v>
      </c>
      <c r="G100" s="94">
        <f ca="1">TblMili[[#This Row],[Networth (2)]]</f>
        <v>1250</v>
      </c>
      <c r="H100" s="94">
        <f ca="1">OFFSET(TblProd[[#This Row],[Platinum]],-1,0)+OFFSET(TblProd[[#This Row],[Plat/hr]],-1,0) - TblProd[[#This Row],[Expenses Platinum]] + IF(TblProd[[#This Row],[Plat Bonus]],TblPop[[#This Row],[Peasants]]*4) + SUM(TblConstr[[#This Row],[Dest Hom]:[Dest Doc]])*TblConstr[[#This Row],[CPA Platinum -DB]]*tech_3_3_2*TblTech[[#This Row],[3-3]]</f>
        <v>198657</v>
      </c>
      <c r="I100" s="94">
        <f ca="1">OFFSET(TblProd[[#This Row],[Food]],-1,0)+OFFSET(TblProd[[#This Row],[Food/hr]],-1,0)+ROUNDUP((TblConstr[[#This Row],[Farms]]*80+TblConstr[[#This Row],[Docks]]*35)*(1+OFFSET(TblProd[[#This Row],[Bonus Food/hr]],-1,0)),0)</f>
        <v>153507</v>
      </c>
      <c r="J100" s="94">
        <f ca="1">OFFSET(TblProd[[#This Row],[Lumber]],-1,0)+OFFSET(TblProd[[#This Row],[Lumber/hr]],-1,0) - TblProd[[#This Row],[Expenses Lumber]] + SUM(TblConstr[[#This Row],[Dest Hom]:[Dest Doc]])*TblConstr[[#This Row],[CPA Lumber -DB]]*tech_3_3_2*TblTech[[#This Row],[3-3]]</f>
        <v>67609</v>
      </c>
      <c r="K100" s="94">
        <f ca="1">OFFSET(TblProd[[#This Row],[Mana]],-1,0)+OFFSET(TblProd[[#This Row],[Mana/hr]],-1,0)- TblProd[[#This Row],[Expenses Mana]]</f>
        <v>0</v>
      </c>
      <c r="L100" s="94">
        <f ca="1">OFFSET(TblProd[[#This Row],[Ore]],-1,0)+OFFSET(TblProd[[#This Row],[Ore/hr]],-1,0) -TblProd[[#This Row],[Expenses Ore]]</f>
        <v>0</v>
      </c>
      <c r="M100" s="94">
        <f ca="1">OFFSET(TblProd[[#This Row],[Gems]],-1,0)+OFFSET(TblProd[[#This Row],[Gems/hr]],-1,0) - TblProd[[#This Row],[Expenses Gems]]</f>
        <v>0</v>
      </c>
      <c r="N100" s="94">
        <f ca="1">OFFSET(TblProd[[#This Row],[Boats]],-1,0)+OFFSET(TblProd[[#This Row],[Boats/hr]],-1,0)</f>
        <v>0</v>
      </c>
      <c r="O100" s="94">
        <f ca="1">OFFSET(TblProd[[#This Row],[Prestige]],-1,0)</f>
        <v>250</v>
      </c>
      <c r="P10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0" s="94">
        <f ca="1">MAX(_xlfn.CEILING.MATH(TblProd[[#This Row],[Land]]*2.5+IFERROR(OFFSET(TblTech[[#This Row],[Sum of tech]],-1,0)*50,0)),3750)</f>
        <v>3750</v>
      </c>
      <c r="R100" s="142"/>
      <c r="S100" s="94">
        <f ca="1">ROUNDDOWN(TblProd[[#This Row],[Raw Plat/hr]]*(1+TblProd[[#This Row],[Bonus Plat/hr]]),0)</f>
        <v>488</v>
      </c>
      <c r="T100" s="94">
        <f ca="1">ROUND(TblProd[[#This Row],[Raw Food/hr]]*(1+TblProd[[#This Row],[Bonus Food/hr]])-TblProd[[#This Row],[Food decay]]-TblProd[[#This Row],[Food eaten]],0)</f>
        <v>853</v>
      </c>
      <c r="U100" s="94">
        <f ca="1">ROUND(TblProd[[#This Row],[Raw Lumber/hr]]*(1+TblProd[[#This Row],[Bonus Lumber/hr]])-TblProd[[#This Row],[Lumber rot]],0)</f>
        <v>324</v>
      </c>
      <c r="V100" s="94">
        <f ca="1">ROUND(TblProd[[#This Row],[Raw Mana/hr]]*(1+TblProd[[#This Row],[Bonus Mana/hr]])-TblProd[[#This Row],[Mana drain]],0)</f>
        <v>0</v>
      </c>
      <c r="W100" s="94">
        <f ca="1">ROUNDDOWN(TblProd[[#This Row],[Raw Ore/hr]]*(1+TblProd[[#This Row],[Bonux Ore/hr]]),0)</f>
        <v>0</v>
      </c>
      <c r="X100" s="94">
        <f ca="1">ROUNDDOWN(TblProd[[#This Row],[Raw Gems/hr]]*(1+TblProd[[#This Row],[Bonus Gems/hr]]),0)</f>
        <v>0</v>
      </c>
      <c r="Y100" s="155">
        <f ca="1">OFFSET(TblConstr[[#This Row],[Tot Doc]],1,0)*dock_boats_hr * (1 + tech_4_1*TblTech[[#This Row],[4-1]])</f>
        <v>0</v>
      </c>
      <c r="Z100" s="154"/>
      <c r="AA100" s="94">
        <f ca="1">TblPop[[#This Row],[Peasants]]*tax*TblPop[[#This Row],[Employment]] + (Construction!AZ101+Construction!BX101)*(alch_plat+(Magic!AN100&gt;0)*alchemist_flame_bonus)</f>
        <v>488.70000000000005</v>
      </c>
      <c r="AB100" s="94">
        <f ca="1">TblConstr[[#This Row],[Tot Farm]]*farm_food + TblConstr[[#This Row],[Tot Doc]]*dock_food</f>
        <v>2400</v>
      </c>
      <c r="AC100" s="94">
        <f ca="1">TblConstr[[#This Row],[Tot Ly]]*ly_lumber + TblConstr[[#This Row],[Tot Hav]]*fh_lumber + IF(race="Wood Elf",TblMili[[#This Row],[Unit 2]]*MIN(TblMili[[#This Row],[Homeland%]]/wisp_bonus,wisp_cap),0)</f>
        <v>1000</v>
      </c>
      <c r="AD100" s="94">
        <f ca="1">OFFSET(TblConstr[[#This Row],[Tot Tow]],1,0)*(tower_mana + tech_4_5*TblTech[[#This Row],[4-5]]) + OFFSET(TblConstr[[#This Row],[Tot WG]],1,0)*wg_mana_prod</f>
        <v>0</v>
      </c>
      <c r="AE100" s="94">
        <f ca="1">OFFSET(TblConstr[[#This Row],[Tot OM]],1,0)*om_ore+IF(race="Dwarf",TblMili[[#This Row],[Unit 2]]*0.5,0)</f>
        <v>0</v>
      </c>
      <c r="AF100" s="94">
        <f ca="1">OFFSET(TblConstr[[#This Row],[Tot DM]],1,0)*dm_gems</f>
        <v>0</v>
      </c>
      <c r="AG100" s="142"/>
      <c r="AH100" s="156">
        <f ca="1">MIN(race_platinum_bonus + IF(TblMagic[[#This Row],[Active Arc Infusion]]&gt;0,alch_frost_bonus,IF(Magic!AE100&gt;0,midas_bonus)) + TblImps[[#This Row],[Science]] - TblProd[[#This Row],[Guard]]*(0.02 + tech_5_7*TblTech[[#This Row],[5-7]]) + tech_1_5*TblTech[[#This Row],[1-5]] + tech_4_4*TblTech[[#This Row],[4-4]] + IF(TblMagic[[#This Row],[Active Infernal Command]]&gt;0,demonic_pact_plat,0), 0.5)</f>
        <v>0</v>
      </c>
      <c r="AI10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0" s="156">
        <f ca="1">race_lumber_bonus+ IF(TblMagic[[#This Row],[Active Gaia''s Blessing]]&gt;0,gaias_blessing_lumber)+ tech_1_3*TblTech[[#This Row],[1-3]] + tech_1_6*TblTech[[#This Row],[1-6]] + tech_3_3*TblTech[[#This Row],[3-3]]</f>
        <v>0</v>
      </c>
      <c r="AK100" s="156">
        <f ca="1">race_mana_bonus+ 0 + TblImps[[#This Row],[Spires]] + tech_1_2*TblTech[[#This Row],[1-2]] + tech_3_4*TblTech[[#This Row],[3-4]]</f>
        <v>0</v>
      </c>
      <c r="AL100" s="156">
        <f ca="1">race_ore_bonus + IF(TblMagic[[#This Row],[Active Miner''s Sight]]&gt;0,miners_sight_bonus,IF(TblMagic[[#This Row],[Active Mining Strength]]&gt;0,mining_strength_bonus)) +  tech_1_6*TblTech[[#This Row],[1-6]]</f>
        <v>0</v>
      </c>
      <c r="AM100" s="156">
        <f>race_gem_bonus+ tech_3_2*TblTech[[#This Row],[3-2]] + tech_4_3*TblTech[[#This Row],[4-3]] + tech_6_2*TblTech[[#This Row],[6-2]]</f>
        <v>0</v>
      </c>
      <c r="AN100" s="142"/>
      <c r="AO100" s="94">
        <f ca="1">TblProd[[#This Row],[Food]]*food_decay * (1 + tech_2_1*TblTech[[#This Row],[2-1]] + tech_2_8*TblTech[[#This Row],[2-8]] + IF(AND(TblMagic[[#This Row],[Active DnD]]&lt;12,TblMagic[[#This Row],[Active DnD]]&gt;5),1,0))</f>
        <v>1535.07</v>
      </c>
      <c r="AP100" s="94">
        <f ca="1">(1+race_food_consumption)*TblPop[[#This Row],[Total]]*food_per_person*(1+tech_1_10*TblTech[[#This Row],[1-10]]+tech_7_5*TblTech[[#This Row],[7-5]] + IF(TblMagic[[#This Row],[Active Infernal Command]]&gt;0,demonic_pact_food_cons,0))</f>
        <v>192.25</v>
      </c>
      <c r="AQ100" s="94">
        <f ca="1">TblProd[[#This Row],[Lumber]]*lumber_rot * (1 + tech_2_1*TblTech[[#This Row],[2-1]] + tech_2_8*TblTech[[#This Row],[2-8]] + tech_5_2*TblTech[[#This Row],[5-2]] + IF(AND(TblMagic[[#This Row],[Active DnD]]&lt;12,TblMagic[[#This Row],[Active DnD]]&gt;5),1,0))</f>
        <v>676.09</v>
      </c>
      <c r="AR100" s="94">
        <f ca="1">TblProd[[#This Row],[Mana]]*mana_drain * (1 + tech_2_1*TblTech[[#This Row],[2-1]] + tech_2_8*TblTech[[#This Row],[2-8]])</f>
        <v>0</v>
      </c>
      <c r="AS100" s="154"/>
      <c r="AT100" s="94">
        <f ca="1">TblExplore[[#This Row],[Platinum (2)]]+TblConstr[[#This Row],[Total Plat Cost]]+TblMili[[#This Row],[Plat Cost]]+TblRezone[[#This Row],[Platinum cost]]+TblImps[[#This Row],[P1]]-TblProd[[#This Row],[Bank Plat]]</f>
        <v>0</v>
      </c>
      <c r="AU100" s="94">
        <f ca="1">TblConstr[[#This Row],[Total Lum Cost]]+TblImps[[#This Row],[L1]]-TblProd[[#This Row],[Bank Lumber]] + Military!$CO$25*TblMili[[#This Row],[Sec. rec. Cost]]</f>
        <v>0</v>
      </c>
      <c r="AV100" s="94">
        <f ca="1">TblMagic[[#This Row],[Mana cost]] + Military!$CO$26*TblMili[[#This Row],[Sec. rec. Cost]]</f>
        <v>0</v>
      </c>
      <c r="AW100" s="94">
        <f ca="1">Military!$CO$24*TblMili[[#This Row],[Sec. rec. Cost]]+TblImps[[#This Row],[O1]]-TblProd[[#This Row],[Bank Ore]]</f>
        <v>0</v>
      </c>
      <c r="AX100" s="94">
        <f>TblImps[[#This Row],[G1]]-TblProd[[#This Row],[Bank Gems]]</f>
        <v>0</v>
      </c>
      <c r="AY100" s="142"/>
      <c r="AZ100" s="61" t="b">
        <f ca="1">IF(TblProd[[#This Row],[Set Guard]]&lt;&gt;"",TblProd[[#This Row],[Set Guard]],OFFSET(TblProd[[#This Row],[Guard]],-1,0))</f>
        <v>0</v>
      </c>
      <c r="BA100" s="153"/>
      <c r="BB100" s="45">
        <f>TblProd[[#This Row],[Hour]]</f>
        <v>49</v>
      </c>
      <c r="BC100" s="158">
        <f>-TblProd[[#This Row],[Bank Lumber]] / 2 + -TblProd[[#This Row],[Bank Gems]] * 2 + -TblProd[[#This Row],[Bank Ore]] / 2</f>
        <v>0</v>
      </c>
      <c r="BD100" s="158"/>
      <c r="BE100" s="158"/>
      <c r="BF100" s="158"/>
      <c r="BG100" s="159">
        <f ca="1">TblProd[[#This Row],[Time]]</f>
        <v>46323.999999999767</v>
      </c>
      <c r="BH100" s="45"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94">
        <f ca="1">TblProd[[#This Row],[Platinum]]</f>
        <v>198657</v>
      </c>
      <c r="BJ100" s="94">
        <f ca="1">TblProd[[#This Row],[Food]]</f>
        <v>153507</v>
      </c>
      <c r="BK100" s="94">
        <f ca="1">TblProd[[#This Row],[Lumber]]</f>
        <v>67609</v>
      </c>
      <c r="BL100" s="94">
        <f ca="1">TblProd[[#This Row],[Mana]]</f>
        <v>0</v>
      </c>
      <c r="BM100" s="94">
        <f ca="1">TblProd[[#This Row],[Ore]]</f>
        <v>0</v>
      </c>
    </row>
    <row r="101" spans="1:65" x14ac:dyDescent="0.2">
      <c r="A101" s="137">
        <f t="shared" si="0"/>
        <v>50</v>
      </c>
      <c r="B101" s="152">
        <f ca="1">TblImps[[#This Row],[Time]]</f>
        <v>46324.041666666431</v>
      </c>
      <c r="C101" s="153"/>
      <c r="D101" s="154"/>
      <c r="E101" s="94">
        <f ca="1">TblConstr[[#This Row],[Land]]</f>
        <v>50</v>
      </c>
      <c r="F101" s="94">
        <f ca="1">TblPop[[#This Row],[Peasants]]</f>
        <v>179</v>
      </c>
      <c r="G101" s="94">
        <f ca="1">TblMili[[#This Row],[Networth (2)]]</f>
        <v>1250</v>
      </c>
      <c r="H101" s="94">
        <f ca="1">OFFSET(TblProd[[#This Row],[Platinum]],-1,0)+OFFSET(TblProd[[#This Row],[Plat/hr]],-1,0) - TblProd[[#This Row],[Expenses Platinum]] + IF(TblProd[[#This Row],[Plat Bonus]],TblPop[[#This Row],[Peasants]]*4) + SUM(TblConstr[[#This Row],[Dest Hom]:[Dest Doc]])*TblConstr[[#This Row],[CPA Platinum -DB]]*tech_3_3_2*TblTech[[#This Row],[3-3]]</f>
        <v>199145</v>
      </c>
      <c r="I101" s="94">
        <f ca="1">OFFSET(TblProd[[#This Row],[Food]],-1,0)+OFFSET(TblProd[[#This Row],[Food/hr]],-1,0)+ROUNDUP((TblConstr[[#This Row],[Farms]]*80+TblConstr[[#This Row],[Docks]]*35)*(1+OFFSET(TblProd[[#This Row],[Bonus Food/hr]],-1,0)),0)</f>
        <v>154360</v>
      </c>
      <c r="J101" s="94">
        <f ca="1">OFFSET(TblProd[[#This Row],[Lumber]],-1,0)+OFFSET(TblProd[[#This Row],[Lumber/hr]],-1,0) - TblProd[[#This Row],[Expenses Lumber]] + SUM(TblConstr[[#This Row],[Dest Hom]:[Dest Doc]])*TblConstr[[#This Row],[CPA Lumber -DB]]*tech_3_3_2*TblTech[[#This Row],[3-3]]</f>
        <v>67933</v>
      </c>
      <c r="K101" s="94">
        <f ca="1">OFFSET(TblProd[[#This Row],[Mana]],-1,0)+OFFSET(TblProd[[#This Row],[Mana/hr]],-1,0)- TblProd[[#This Row],[Expenses Mana]]</f>
        <v>0</v>
      </c>
      <c r="L101" s="94">
        <f ca="1">OFFSET(TblProd[[#This Row],[Ore]],-1,0)+OFFSET(TblProd[[#This Row],[Ore/hr]],-1,0) -TblProd[[#This Row],[Expenses Ore]]</f>
        <v>0</v>
      </c>
      <c r="M101" s="94">
        <f ca="1">OFFSET(TblProd[[#This Row],[Gems]],-1,0)+OFFSET(TblProd[[#This Row],[Gems/hr]],-1,0) - TblProd[[#This Row],[Expenses Gems]]</f>
        <v>0</v>
      </c>
      <c r="N101" s="94">
        <f ca="1">OFFSET(TblProd[[#This Row],[Boats]],-1,0)+OFFSET(TblProd[[#This Row],[Boats/hr]],-1,0)</f>
        <v>0</v>
      </c>
      <c r="O101" s="94">
        <f ca="1">OFFSET(TblProd[[#This Row],[Prestige]],-1,0)</f>
        <v>250</v>
      </c>
      <c r="P10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1" s="94">
        <f ca="1">MAX(_xlfn.CEILING.MATH(TblProd[[#This Row],[Land]]*2.5+IFERROR(OFFSET(TblTech[[#This Row],[Sum of tech]],-1,0)*50,0)),3750)</f>
        <v>3750</v>
      </c>
      <c r="R101" s="142"/>
      <c r="S101" s="94">
        <f ca="1">ROUNDDOWN(TblProd[[#This Row],[Raw Plat/hr]]*(1+TblProd[[#This Row],[Bonus Plat/hr]]),0)</f>
        <v>483</v>
      </c>
      <c r="T101" s="94">
        <f ca="1">ROUND(TblProd[[#This Row],[Raw Food/hr]]*(1+TblProd[[#This Row],[Bonus Food/hr]])-TblProd[[#This Row],[Food decay]]-TblProd[[#This Row],[Food eaten]],0)</f>
        <v>844</v>
      </c>
      <c r="U101" s="94">
        <f ca="1">ROUND(TblProd[[#This Row],[Raw Lumber/hr]]*(1+TblProd[[#This Row],[Bonus Lumber/hr]])-TblProd[[#This Row],[Lumber rot]],0)</f>
        <v>321</v>
      </c>
      <c r="V101" s="94">
        <f ca="1">ROUND(TblProd[[#This Row],[Raw Mana/hr]]*(1+TblProd[[#This Row],[Bonus Mana/hr]])-TblProd[[#This Row],[Mana drain]],0)</f>
        <v>0</v>
      </c>
      <c r="W101" s="94">
        <f ca="1">ROUNDDOWN(TblProd[[#This Row],[Raw Ore/hr]]*(1+TblProd[[#This Row],[Bonux Ore/hr]]),0)</f>
        <v>0</v>
      </c>
      <c r="X101" s="94">
        <f ca="1">ROUNDDOWN(TblProd[[#This Row],[Raw Gems/hr]]*(1+TblProd[[#This Row],[Bonus Gems/hr]]),0)</f>
        <v>0</v>
      </c>
      <c r="Y101" s="155">
        <f ca="1">OFFSET(TblConstr[[#This Row],[Tot Doc]],1,0)*dock_boats_hr * (1 + tech_4_1*TblTech[[#This Row],[4-1]])</f>
        <v>0</v>
      </c>
      <c r="Z101" s="154"/>
      <c r="AA101" s="94">
        <f ca="1">TblPop[[#This Row],[Peasants]]*tax*TblPop[[#This Row],[Employment]] + (Construction!AZ102+Construction!BX102)*(alch_plat+(Magic!AN101&gt;0)*alchemist_flame_bonus)</f>
        <v>483.3</v>
      </c>
      <c r="AB101" s="94">
        <f ca="1">TblConstr[[#This Row],[Tot Farm]]*farm_food + TblConstr[[#This Row],[Tot Doc]]*dock_food</f>
        <v>2400</v>
      </c>
      <c r="AC101" s="94">
        <f ca="1">TblConstr[[#This Row],[Tot Ly]]*ly_lumber + TblConstr[[#This Row],[Tot Hav]]*fh_lumber + IF(race="Wood Elf",TblMili[[#This Row],[Unit 2]]*MIN(TblMili[[#This Row],[Homeland%]]/wisp_bonus,wisp_cap),0)</f>
        <v>1000</v>
      </c>
      <c r="AD101" s="94">
        <f ca="1">OFFSET(TblConstr[[#This Row],[Tot Tow]],1,0)*(tower_mana + tech_4_5*TblTech[[#This Row],[4-5]]) + OFFSET(TblConstr[[#This Row],[Tot WG]],1,0)*wg_mana_prod</f>
        <v>0</v>
      </c>
      <c r="AE101" s="94">
        <f ca="1">OFFSET(TblConstr[[#This Row],[Tot OM]],1,0)*om_ore+IF(race="Dwarf",TblMili[[#This Row],[Unit 2]]*0.5,0)</f>
        <v>0</v>
      </c>
      <c r="AF101" s="94">
        <f ca="1">OFFSET(TblConstr[[#This Row],[Tot DM]],1,0)*dm_gems</f>
        <v>0</v>
      </c>
      <c r="AG101" s="142"/>
      <c r="AH101" s="156">
        <f ca="1">MIN(race_platinum_bonus + IF(TblMagic[[#This Row],[Active Arc Infusion]]&gt;0,alch_frost_bonus,IF(Magic!AE101&gt;0,midas_bonus)) + TblImps[[#This Row],[Science]] - TblProd[[#This Row],[Guard]]*(0.02 + tech_5_7*TblTech[[#This Row],[5-7]]) + tech_1_5*TblTech[[#This Row],[1-5]] + tech_4_4*TblTech[[#This Row],[4-4]] + IF(TblMagic[[#This Row],[Active Infernal Command]]&gt;0,demonic_pact_plat,0), 0.5)</f>
        <v>0</v>
      </c>
      <c r="AI10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1" s="156">
        <f ca="1">race_lumber_bonus+ IF(TblMagic[[#This Row],[Active Gaia''s Blessing]]&gt;0,gaias_blessing_lumber)+ tech_1_3*TblTech[[#This Row],[1-3]] + tech_1_6*TblTech[[#This Row],[1-6]] + tech_3_3*TblTech[[#This Row],[3-3]]</f>
        <v>0</v>
      </c>
      <c r="AK101" s="156">
        <f ca="1">race_mana_bonus+ 0 + TblImps[[#This Row],[Spires]] + tech_1_2*TblTech[[#This Row],[1-2]] + tech_3_4*TblTech[[#This Row],[3-4]]</f>
        <v>0</v>
      </c>
      <c r="AL101" s="156">
        <f ca="1">race_ore_bonus + IF(TblMagic[[#This Row],[Active Miner''s Sight]]&gt;0,miners_sight_bonus,IF(TblMagic[[#This Row],[Active Mining Strength]]&gt;0,mining_strength_bonus)) +  tech_1_6*TblTech[[#This Row],[1-6]]</f>
        <v>0</v>
      </c>
      <c r="AM101" s="156">
        <f>race_gem_bonus+ tech_3_2*TblTech[[#This Row],[3-2]] + tech_4_3*TblTech[[#This Row],[4-3]] + tech_6_2*TblTech[[#This Row],[6-2]]</f>
        <v>0</v>
      </c>
      <c r="AN101" s="142"/>
      <c r="AO101" s="94">
        <f ca="1">TblProd[[#This Row],[Food]]*food_decay * (1 + tech_2_1*TblTech[[#This Row],[2-1]] + tech_2_8*TblTech[[#This Row],[2-8]] + IF(AND(TblMagic[[#This Row],[Active DnD]]&lt;12,TblMagic[[#This Row],[Active DnD]]&gt;5),1,0))</f>
        <v>1543.6000000000001</v>
      </c>
      <c r="AP101" s="94">
        <f ca="1">(1+race_food_consumption)*TblPop[[#This Row],[Total]]*food_per_person*(1+tech_1_10*TblTech[[#This Row],[1-10]]+tech_7_5*TblTech[[#This Row],[7-5]] + IF(TblMagic[[#This Row],[Active Infernal Command]]&gt;0,demonic_pact_food_cons,0))</f>
        <v>192.25</v>
      </c>
      <c r="AQ101" s="94">
        <f ca="1">TblProd[[#This Row],[Lumber]]*lumber_rot * (1 + tech_2_1*TblTech[[#This Row],[2-1]] + tech_2_8*TblTech[[#This Row],[2-8]] + tech_5_2*TblTech[[#This Row],[5-2]] + IF(AND(TblMagic[[#This Row],[Active DnD]]&lt;12,TblMagic[[#This Row],[Active DnD]]&gt;5),1,0))</f>
        <v>679.33</v>
      </c>
      <c r="AR101" s="94">
        <f ca="1">TblProd[[#This Row],[Mana]]*mana_drain * (1 + tech_2_1*TblTech[[#This Row],[2-1]] + tech_2_8*TblTech[[#This Row],[2-8]])</f>
        <v>0</v>
      </c>
      <c r="AS101" s="154"/>
      <c r="AT101" s="94">
        <f ca="1">TblExplore[[#This Row],[Platinum (2)]]+TblConstr[[#This Row],[Total Plat Cost]]+TblMili[[#This Row],[Plat Cost]]+TblRezone[[#This Row],[Platinum cost]]+TblImps[[#This Row],[P1]]-TblProd[[#This Row],[Bank Plat]]</f>
        <v>0</v>
      </c>
      <c r="AU101" s="94">
        <f ca="1">TblConstr[[#This Row],[Total Lum Cost]]+TblImps[[#This Row],[L1]]-TblProd[[#This Row],[Bank Lumber]] + Military!$CO$25*TblMili[[#This Row],[Sec. rec. Cost]]</f>
        <v>0</v>
      </c>
      <c r="AV101" s="94">
        <f ca="1">TblMagic[[#This Row],[Mana cost]] + Military!$CO$26*TblMili[[#This Row],[Sec. rec. Cost]]</f>
        <v>0</v>
      </c>
      <c r="AW101" s="94">
        <f ca="1">Military!$CO$24*TblMili[[#This Row],[Sec. rec. Cost]]+TblImps[[#This Row],[O1]]-TblProd[[#This Row],[Bank Ore]]</f>
        <v>0</v>
      </c>
      <c r="AX101" s="94">
        <f>TblImps[[#This Row],[G1]]-TblProd[[#This Row],[Bank Gems]]</f>
        <v>0</v>
      </c>
      <c r="AY101" s="142"/>
      <c r="AZ101" s="61" t="b">
        <f ca="1">IF(TblProd[[#This Row],[Set Guard]]&lt;&gt;"",TblProd[[#This Row],[Set Guard]],OFFSET(TblProd[[#This Row],[Guard]],-1,0))</f>
        <v>0</v>
      </c>
      <c r="BA101" s="153"/>
      <c r="BB101" s="45">
        <f>TblProd[[#This Row],[Hour]]</f>
        <v>50</v>
      </c>
      <c r="BC101" s="158">
        <f>-TblProd[[#This Row],[Bank Lumber]] / 2 + -TblProd[[#This Row],[Bank Gems]] * 2 + -TblProd[[#This Row],[Bank Ore]] / 2</f>
        <v>0</v>
      </c>
      <c r="BD101" s="158"/>
      <c r="BE101" s="158"/>
      <c r="BF101" s="158"/>
      <c r="BG101" s="159">
        <f ca="1">TblProd[[#This Row],[Time]]</f>
        <v>46324.041666666431</v>
      </c>
      <c r="BH101" s="45"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94">
        <f ca="1">TblProd[[#This Row],[Platinum]]</f>
        <v>199145</v>
      </c>
      <c r="BJ101" s="94">
        <f ca="1">TblProd[[#This Row],[Food]]</f>
        <v>154360</v>
      </c>
      <c r="BK101" s="94">
        <f ca="1">TblProd[[#This Row],[Lumber]]</f>
        <v>67933</v>
      </c>
      <c r="BL101" s="94">
        <f ca="1">TblProd[[#This Row],[Mana]]</f>
        <v>0</v>
      </c>
      <c r="BM101" s="94">
        <f ca="1">TblProd[[#This Row],[Ore]]</f>
        <v>0</v>
      </c>
    </row>
    <row r="102" spans="1:65" x14ac:dyDescent="0.2">
      <c r="A102" s="137">
        <f t="shared" si="0"/>
        <v>51</v>
      </c>
      <c r="B102" s="152">
        <f ca="1">TblImps[[#This Row],[Time]]</f>
        <v>46324.083333333096</v>
      </c>
      <c r="C102" s="153"/>
      <c r="D102" s="154"/>
      <c r="E102" s="94">
        <f ca="1">TblConstr[[#This Row],[Land]]</f>
        <v>50</v>
      </c>
      <c r="F102" s="94">
        <f ca="1">TblPop[[#This Row],[Peasants]]</f>
        <v>177</v>
      </c>
      <c r="G102" s="94">
        <f ca="1">TblMili[[#This Row],[Networth (2)]]</f>
        <v>1250</v>
      </c>
      <c r="H102" s="94">
        <f ca="1">OFFSET(TblProd[[#This Row],[Platinum]],-1,0)+OFFSET(TblProd[[#This Row],[Plat/hr]],-1,0) - TblProd[[#This Row],[Expenses Platinum]] + IF(TblProd[[#This Row],[Plat Bonus]],TblPop[[#This Row],[Peasants]]*4) + SUM(TblConstr[[#This Row],[Dest Hom]:[Dest Doc]])*TblConstr[[#This Row],[CPA Platinum -DB]]*tech_3_3_2*TblTech[[#This Row],[3-3]]</f>
        <v>199628</v>
      </c>
      <c r="I102" s="94">
        <f ca="1">OFFSET(TblProd[[#This Row],[Food]],-1,0)+OFFSET(TblProd[[#This Row],[Food/hr]],-1,0)+ROUNDUP((TblConstr[[#This Row],[Farms]]*80+TblConstr[[#This Row],[Docks]]*35)*(1+OFFSET(TblProd[[#This Row],[Bonus Food/hr]],-1,0)),0)</f>
        <v>155204</v>
      </c>
      <c r="J102" s="94">
        <f ca="1">OFFSET(TblProd[[#This Row],[Lumber]],-1,0)+OFFSET(TblProd[[#This Row],[Lumber/hr]],-1,0) - TblProd[[#This Row],[Expenses Lumber]] + SUM(TblConstr[[#This Row],[Dest Hom]:[Dest Doc]])*TblConstr[[#This Row],[CPA Lumber -DB]]*tech_3_3_2*TblTech[[#This Row],[3-3]]</f>
        <v>68254</v>
      </c>
      <c r="K102" s="94">
        <f ca="1">OFFSET(TblProd[[#This Row],[Mana]],-1,0)+OFFSET(TblProd[[#This Row],[Mana/hr]],-1,0)- TblProd[[#This Row],[Expenses Mana]]</f>
        <v>0</v>
      </c>
      <c r="L102" s="94">
        <f ca="1">OFFSET(TblProd[[#This Row],[Ore]],-1,0)+OFFSET(TblProd[[#This Row],[Ore/hr]],-1,0) -TblProd[[#This Row],[Expenses Ore]]</f>
        <v>0</v>
      </c>
      <c r="M102" s="94">
        <f ca="1">OFFSET(TblProd[[#This Row],[Gems]],-1,0)+OFFSET(TblProd[[#This Row],[Gems/hr]],-1,0) - TblProd[[#This Row],[Expenses Gems]]</f>
        <v>0</v>
      </c>
      <c r="N102" s="94">
        <f ca="1">OFFSET(TblProd[[#This Row],[Boats]],-1,0)+OFFSET(TblProd[[#This Row],[Boats/hr]],-1,0)</f>
        <v>0</v>
      </c>
      <c r="O102" s="94">
        <f ca="1">OFFSET(TblProd[[#This Row],[Prestige]],-1,0)</f>
        <v>250</v>
      </c>
      <c r="P10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2" s="94">
        <f ca="1">MAX(_xlfn.CEILING.MATH(TblProd[[#This Row],[Land]]*2.5+IFERROR(OFFSET(TblTech[[#This Row],[Sum of tech]],-1,0)*50,0)),3750)</f>
        <v>3750</v>
      </c>
      <c r="R102" s="142"/>
      <c r="S102" s="94">
        <f ca="1">ROUNDDOWN(TblProd[[#This Row],[Raw Plat/hr]]*(1+TblProd[[#This Row],[Bonus Plat/hr]]),0)</f>
        <v>477</v>
      </c>
      <c r="T102" s="94">
        <f ca="1">ROUND(TblProd[[#This Row],[Raw Food/hr]]*(1+TblProd[[#This Row],[Bonus Food/hr]])-TblProd[[#This Row],[Food decay]]-TblProd[[#This Row],[Food eaten]],0)</f>
        <v>836</v>
      </c>
      <c r="U102" s="94">
        <f ca="1">ROUND(TblProd[[#This Row],[Raw Lumber/hr]]*(1+TblProd[[#This Row],[Bonus Lumber/hr]])-TblProd[[#This Row],[Lumber rot]],0)</f>
        <v>317</v>
      </c>
      <c r="V102" s="94">
        <f ca="1">ROUND(TblProd[[#This Row],[Raw Mana/hr]]*(1+TblProd[[#This Row],[Bonus Mana/hr]])-TblProd[[#This Row],[Mana drain]],0)</f>
        <v>0</v>
      </c>
      <c r="W102" s="94">
        <f ca="1">ROUNDDOWN(TblProd[[#This Row],[Raw Ore/hr]]*(1+TblProd[[#This Row],[Bonux Ore/hr]]),0)</f>
        <v>0</v>
      </c>
      <c r="X102" s="94">
        <f ca="1">ROUNDDOWN(TblProd[[#This Row],[Raw Gems/hr]]*(1+TblProd[[#This Row],[Bonus Gems/hr]]),0)</f>
        <v>0</v>
      </c>
      <c r="Y102" s="155">
        <f ca="1">OFFSET(TblConstr[[#This Row],[Tot Doc]],1,0)*dock_boats_hr * (1 + tech_4_1*TblTech[[#This Row],[4-1]])</f>
        <v>0</v>
      </c>
      <c r="Z102" s="154"/>
      <c r="AA102" s="94">
        <f ca="1">TblPop[[#This Row],[Peasants]]*tax*TblPop[[#This Row],[Employment]] + (Construction!AZ103+Construction!BX103)*(alch_plat+(Magic!AN102&gt;0)*alchemist_flame_bonus)</f>
        <v>477.90000000000003</v>
      </c>
      <c r="AB102" s="94">
        <f ca="1">TblConstr[[#This Row],[Tot Farm]]*farm_food + TblConstr[[#This Row],[Tot Doc]]*dock_food</f>
        <v>2400</v>
      </c>
      <c r="AC102" s="94">
        <f ca="1">TblConstr[[#This Row],[Tot Ly]]*ly_lumber + TblConstr[[#This Row],[Tot Hav]]*fh_lumber + IF(race="Wood Elf",TblMili[[#This Row],[Unit 2]]*MIN(TblMili[[#This Row],[Homeland%]]/wisp_bonus,wisp_cap),0)</f>
        <v>1000</v>
      </c>
      <c r="AD102" s="94">
        <f ca="1">OFFSET(TblConstr[[#This Row],[Tot Tow]],1,0)*(tower_mana + tech_4_5*TblTech[[#This Row],[4-5]]) + OFFSET(TblConstr[[#This Row],[Tot WG]],1,0)*wg_mana_prod</f>
        <v>0</v>
      </c>
      <c r="AE102" s="94">
        <f ca="1">OFFSET(TblConstr[[#This Row],[Tot OM]],1,0)*om_ore+IF(race="Dwarf",TblMili[[#This Row],[Unit 2]]*0.5,0)</f>
        <v>0</v>
      </c>
      <c r="AF102" s="94">
        <f ca="1">OFFSET(TblConstr[[#This Row],[Tot DM]],1,0)*dm_gems</f>
        <v>0</v>
      </c>
      <c r="AG102" s="142"/>
      <c r="AH102" s="156">
        <f ca="1">MIN(race_platinum_bonus + IF(TblMagic[[#This Row],[Active Arc Infusion]]&gt;0,alch_frost_bonus,IF(Magic!AE102&gt;0,midas_bonus)) + TblImps[[#This Row],[Science]] - TblProd[[#This Row],[Guard]]*(0.02 + tech_5_7*TblTech[[#This Row],[5-7]]) + tech_1_5*TblTech[[#This Row],[1-5]] + tech_4_4*TblTech[[#This Row],[4-4]] + IF(TblMagic[[#This Row],[Active Infernal Command]]&gt;0,demonic_pact_plat,0), 0.5)</f>
        <v>0</v>
      </c>
      <c r="AI10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2" s="156">
        <f ca="1">race_lumber_bonus+ IF(TblMagic[[#This Row],[Active Gaia''s Blessing]]&gt;0,gaias_blessing_lumber)+ tech_1_3*TblTech[[#This Row],[1-3]] + tech_1_6*TblTech[[#This Row],[1-6]] + tech_3_3*TblTech[[#This Row],[3-3]]</f>
        <v>0</v>
      </c>
      <c r="AK102" s="156">
        <f ca="1">race_mana_bonus+ 0 + TblImps[[#This Row],[Spires]] + tech_1_2*TblTech[[#This Row],[1-2]] + tech_3_4*TblTech[[#This Row],[3-4]]</f>
        <v>0</v>
      </c>
      <c r="AL102" s="156">
        <f ca="1">race_ore_bonus + IF(TblMagic[[#This Row],[Active Miner''s Sight]]&gt;0,miners_sight_bonus,IF(TblMagic[[#This Row],[Active Mining Strength]]&gt;0,mining_strength_bonus)) +  tech_1_6*TblTech[[#This Row],[1-6]]</f>
        <v>0</v>
      </c>
      <c r="AM102" s="156">
        <f>race_gem_bonus+ tech_3_2*TblTech[[#This Row],[3-2]] + tech_4_3*TblTech[[#This Row],[4-3]] + tech_6_2*TblTech[[#This Row],[6-2]]</f>
        <v>0</v>
      </c>
      <c r="AN102" s="142"/>
      <c r="AO102" s="94">
        <f ca="1">TblProd[[#This Row],[Food]]*food_decay * (1 + tech_2_1*TblTech[[#This Row],[2-1]] + tech_2_8*TblTech[[#This Row],[2-8]] + IF(AND(TblMagic[[#This Row],[Active DnD]]&lt;12,TblMagic[[#This Row],[Active DnD]]&gt;5),1,0))</f>
        <v>1552.04</v>
      </c>
      <c r="AP102" s="94">
        <f ca="1">(1+race_food_consumption)*TblPop[[#This Row],[Total]]*food_per_person*(1+tech_1_10*TblTech[[#This Row],[1-10]]+tech_7_5*TblTech[[#This Row],[7-5]] + IF(TblMagic[[#This Row],[Active Infernal Command]]&gt;0,demonic_pact_food_cons,0))</f>
        <v>192.25</v>
      </c>
      <c r="AQ102" s="94">
        <f ca="1">TblProd[[#This Row],[Lumber]]*lumber_rot * (1 + tech_2_1*TblTech[[#This Row],[2-1]] + tech_2_8*TblTech[[#This Row],[2-8]] + tech_5_2*TblTech[[#This Row],[5-2]] + IF(AND(TblMagic[[#This Row],[Active DnD]]&lt;12,TblMagic[[#This Row],[Active DnD]]&gt;5),1,0))</f>
        <v>682.54</v>
      </c>
      <c r="AR102" s="94">
        <f ca="1">TblProd[[#This Row],[Mana]]*mana_drain * (1 + tech_2_1*TblTech[[#This Row],[2-1]] + tech_2_8*TblTech[[#This Row],[2-8]])</f>
        <v>0</v>
      </c>
      <c r="AS102" s="154"/>
      <c r="AT102" s="94">
        <f ca="1">TblExplore[[#This Row],[Platinum (2)]]+TblConstr[[#This Row],[Total Plat Cost]]+TblMili[[#This Row],[Plat Cost]]+TblRezone[[#This Row],[Platinum cost]]+TblImps[[#This Row],[P1]]-TblProd[[#This Row],[Bank Plat]]</f>
        <v>0</v>
      </c>
      <c r="AU102" s="94">
        <f ca="1">TblConstr[[#This Row],[Total Lum Cost]]+TblImps[[#This Row],[L1]]-TblProd[[#This Row],[Bank Lumber]] + Military!$CO$25*TblMili[[#This Row],[Sec. rec. Cost]]</f>
        <v>0</v>
      </c>
      <c r="AV102" s="94">
        <f ca="1">TblMagic[[#This Row],[Mana cost]] + Military!$CO$26*TblMili[[#This Row],[Sec. rec. Cost]]</f>
        <v>0</v>
      </c>
      <c r="AW102" s="94">
        <f ca="1">Military!$CO$24*TblMili[[#This Row],[Sec. rec. Cost]]+TblImps[[#This Row],[O1]]-TblProd[[#This Row],[Bank Ore]]</f>
        <v>0</v>
      </c>
      <c r="AX102" s="94">
        <f>TblImps[[#This Row],[G1]]-TblProd[[#This Row],[Bank Gems]]</f>
        <v>0</v>
      </c>
      <c r="AY102" s="142"/>
      <c r="AZ102" s="61" t="b">
        <f ca="1">IF(TblProd[[#This Row],[Set Guard]]&lt;&gt;"",TblProd[[#This Row],[Set Guard]],OFFSET(TblProd[[#This Row],[Guard]],-1,0))</f>
        <v>0</v>
      </c>
      <c r="BA102" s="153"/>
      <c r="BB102" s="45">
        <f>TblProd[[#This Row],[Hour]]</f>
        <v>51</v>
      </c>
      <c r="BC102" s="158">
        <f>-TblProd[[#This Row],[Bank Lumber]] / 2 + -TblProd[[#This Row],[Bank Gems]] * 2 + -TblProd[[#This Row],[Bank Ore]] / 2</f>
        <v>0</v>
      </c>
      <c r="BD102" s="158"/>
      <c r="BE102" s="158"/>
      <c r="BF102" s="158"/>
      <c r="BG102" s="159">
        <f ca="1">TblProd[[#This Row],[Time]]</f>
        <v>46324.083333333096</v>
      </c>
      <c r="BH102" s="45"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94">
        <f ca="1">TblProd[[#This Row],[Platinum]]</f>
        <v>199628</v>
      </c>
      <c r="BJ102" s="94">
        <f ca="1">TblProd[[#This Row],[Food]]</f>
        <v>155204</v>
      </c>
      <c r="BK102" s="94">
        <f ca="1">TblProd[[#This Row],[Lumber]]</f>
        <v>68254</v>
      </c>
      <c r="BL102" s="94">
        <f ca="1">TblProd[[#This Row],[Mana]]</f>
        <v>0</v>
      </c>
      <c r="BM102" s="94">
        <f ca="1">TblProd[[#This Row],[Ore]]</f>
        <v>0</v>
      </c>
    </row>
    <row r="103" spans="1:65" x14ac:dyDescent="0.2">
      <c r="A103" s="137">
        <f t="shared" si="0"/>
        <v>52</v>
      </c>
      <c r="B103" s="152">
        <f ca="1">TblImps[[#This Row],[Time]]</f>
        <v>46324.12499999976</v>
      </c>
      <c r="C103" s="153"/>
      <c r="D103" s="154"/>
      <c r="E103" s="94">
        <f ca="1">TblConstr[[#This Row],[Land]]</f>
        <v>50</v>
      </c>
      <c r="F103" s="94">
        <f ca="1">TblPop[[#This Row],[Peasants]]</f>
        <v>175</v>
      </c>
      <c r="G103" s="94">
        <f ca="1">TblMili[[#This Row],[Networth (2)]]</f>
        <v>1250</v>
      </c>
      <c r="H103" s="94">
        <f ca="1">OFFSET(TblProd[[#This Row],[Platinum]],-1,0)+OFFSET(TblProd[[#This Row],[Plat/hr]],-1,0) - TblProd[[#This Row],[Expenses Platinum]] + IF(TblProd[[#This Row],[Plat Bonus]],TblPop[[#This Row],[Peasants]]*4) + SUM(TblConstr[[#This Row],[Dest Hom]:[Dest Doc]])*TblConstr[[#This Row],[CPA Platinum -DB]]*tech_3_3_2*TblTech[[#This Row],[3-3]]</f>
        <v>200105</v>
      </c>
      <c r="I103" s="94">
        <f ca="1">OFFSET(TblProd[[#This Row],[Food]],-1,0)+OFFSET(TblProd[[#This Row],[Food/hr]],-1,0)+ROUNDUP((TblConstr[[#This Row],[Farms]]*80+TblConstr[[#This Row],[Docks]]*35)*(1+OFFSET(TblProd[[#This Row],[Bonus Food/hr]],-1,0)),0)</f>
        <v>156040</v>
      </c>
      <c r="J103" s="94">
        <f ca="1">OFFSET(TblProd[[#This Row],[Lumber]],-1,0)+OFFSET(TblProd[[#This Row],[Lumber/hr]],-1,0) - TblProd[[#This Row],[Expenses Lumber]] + SUM(TblConstr[[#This Row],[Dest Hom]:[Dest Doc]])*TblConstr[[#This Row],[CPA Lumber -DB]]*tech_3_3_2*TblTech[[#This Row],[3-3]]</f>
        <v>68571</v>
      </c>
      <c r="K103" s="94">
        <f ca="1">OFFSET(TblProd[[#This Row],[Mana]],-1,0)+OFFSET(TblProd[[#This Row],[Mana/hr]],-1,0)- TblProd[[#This Row],[Expenses Mana]]</f>
        <v>0</v>
      </c>
      <c r="L103" s="94">
        <f ca="1">OFFSET(TblProd[[#This Row],[Ore]],-1,0)+OFFSET(TblProd[[#This Row],[Ore/hr]],-1,0) -TblProd[[#This Row],[Expenses Ore]]</f>
        <v>0</v>
      </c>
      <c r="M103" s="94">
        <f ca="1">OFFSET(TblProd[[#This Row],[Gems]],-1,0)+OFFSET(TblProd[[#This Row],[Gems/hr]],-1,0) - TblProd[[#This Row],[Expenses Gems]]</f>
        <v>0</v>
      </c>
      <c r="N103" s="94">
        <f ca="1">OFFSET(TblProd[[#This Row],[Boats]],-1,0)+OFFSET(TblProd[[#This Row],[Boats/hr]],-1,0)</f>
        <v>0</v>
      </c>
      <c r="O103" s="94">
        <f ca="1">OFFSET(TblProd[[#This Row],[Prestige]],-1,0)</f>
        <v>250</v>
      </c>
      <c r="P10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3" s="94">
        <f ca="1">MAX(_xlfn.CEILING.MATH(TblProd[[#This Row],[Land]]*2.5+IFERROR(OFFSET(TblTech[[#This Row],[Sum of tech]],-1,0)*50,0)),3750)</f>
        <v>3750</v>
      </c>
      <c r="R103" s="142"/>
      <c r="S103" s="94">
        <f ca="1">ROUNDDOWN(TblProd[[#This Row],[Raw Plat/hr]]*(1+TblProd[[#This Row],[Bonus Plat/hr]]),0)</f>
        <v>472</v>
      </c>
      <c r="T103" s="94">
        <f ca="1">ROUND(TblProd[[#This Row],[Raw Food/hr]]*(1+TblProd[[#This Row],[Bonus Food/hr]])-TblProd[[#This Row],[Food decay]]-TblProd[[#This Row],[Food eaten]],0)</f>
        <v>827</v>
      </c>
      <c r="U103" s="94">
        <f ca="1">ROUND(TblProd[[#This Row],[Raw Lumber/hr]]*(1+TblProd[[#This Row],[Bonus Lumber/hr]])-TblProd[[#This Row],[Lumber rot]],0)</f>
        <v>314</v>
      </c>
      <c r="V103" s="94">
        <f ca="1">ROUND(TblProd[[#This Row],[Raw Mana/hr]]*(1+TblProd[[#This Row],[Bonus Mana/hr]])-TblProd[[#This Row],[Mana drain]],0)</f>
        <v>0</v>
      </c>
      <c r="W103" s="94">
        <f ca="1">ROUNDDOWN(TblProd[[#This Row],[Raw Ore/hr]]*(1+TblProd[[#This Row],[Bonux Ore/hr]]),0)</f>
        <v>0</v>
      </c>
      <c r="X103" s="94">
        <f ca="1">ROUNDDOWN(TblProd[[#This Row],[Raw Gems/hr]]*(1+TblProd[[#This Row],[Bonus Gems/hr]]),0)</f>
        <v>0</v>
      </c>
      <c r="Y103" s="155">
        <f ca="1">OFFSET(TblConstr[[#This Row],[Tot Doc]],1,0)*dock_boats_hr * (1 + tech_4_1*TblTech[[#This Row],[4-1]])</f>
        <v>0</v>
      </c>
      <c r="Z103" s="154"/>
      <c r="AA103" s="94">
        <f ca="1">TblPop[[#This Row],[Peasants]]*tax*TblPop[[#This Row],[Employment]] + (Construction!AZ104+Construction!BX104)*(alch_plat+(Magic!AN103&gt;0)*alchemist_flame_bonus)</f>
        <v>472.50000000000006</v>
      </c>
      <c r="AB103" s="94">
        <f ca="1">TblConstr[[#This Row],[Tot Farm]]*farm_food + TblConstr[[#This Row],[Tot Doc]]*dock_food</f>
        <v>2400</v>
      </c>
      <c r="AC103" s="94">
        <f ca="1">TblConstr[[#This Row],[Tot Ly]]*ly_lumber + TblConstr[[#This Row],[Tot Hav]]*fh_lumber + IF(race="Wood Elf",TblMili[[#This Row],[Unit 2]]*MIN(TblMili[[#This Row],[Homeland%]]/wisp_bonus,wisp_cap),0)</f>
        <v>1000</v>
      </c>
      <c r="AD103" s="94">
        <f ca="1">OFFSET(TblConstr[[#This Row],[Tot Tow]],1,0)*(tower_mana + tech_4_5*TblTech[[#This Row],[4-5]]) + OFFSET(TblConstr[[#This Row],[Tot WG]],1,0)*wg_mana_prod</f>
        <v>0</v>
      </c>
      <c r="AE103" s="94">
        <f ca="1">OFFSET(TblConstr[[#This Row],[Tot OM]],1,0)*om_ore+IF(race="Dwarf",TblMili[[#This Row],[Unit 2]]*0.5,0)</f>
        <v>0</v>
      </c>
      <c r="AF103" s="94">
        <f ca="1">OFFSET(TblConstr[[#This Row],[Tot DM]],1,0)*dm_gems</f>
        <v>0</v>
      </c>
      <c r="AG103" s="142"/>
      <c r="AH103" s="156">
        <f ca="1">MIN(race_platinum_bonus + IF(TblMagic[[#This Row],[Active Arc Infusion]]&gt;0,alch_frost_bonus,IF(Magic!AE103&gt;0,midas_bonus)) + TblImps[[#This Row],[Science]] - TblProd[[#This Row],[Guard]]*(0.02 + tech_5_7*TblTech[[#This Row],[5-7]]) + tech_1_5*TblTech[[#This Row],[1-5]] + tech_4_4*TblTech[[#This Row],[4-4]] + IF(TblMagic[[#This Row],[Active Infernal Command]]&gt;0,demonic_pact_plat,0), 0.5)</f>
        <v>0</v>
      </c>
      <c r="AI10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3" s="156">
        <f ca="1">race_lumber_bonus+ IF(TblMagic[[#This Row],[Active Gaia''s Blessing]]&gt;0,gaias_blessing_lumber)+ tech_1_3*TblTech[[#This Row],[1-3]] + tech_1_6*TblTech[[#This Row],[1-6]] + tech_3_3*TblTech[[#This Row],[3-3]]</f>
        <v>0</v>
      </c>
      <c r="AK103" s="156">
        <f ca="1">race_mana_bonus+ 0 + TblImps[[#This Row],[Spires]] + tech_1_2*TblTech[[#This Row],[1-2]] + tech_3_4*TblTech[[#This Row],[3-4]]</f>
        <v>0</v>
      </c>
      <c r="AL103" s="156">
        <f ca="1">race_ore_bonus + IF(TblMagic[[#This Row],[Active Miner''s Sight]]&gt;0,miners_sight_bonus,IF(TblMagic[[#This Row],[Active Mining Strength]]&gt;0,mining_strength_bonus)) +  tech_1_6*TblTech[[#This Row],[1-6]]</f>
        <v>0</v>
      </c>
      <c r="AM103" s="156">
        <f>race_gem_bonus+ tech_3_2*TblTech[[#This Row],[3-2]] + tech_4_3*TblTech[[#This Row],[4-3]] + tech_6_2*TblTech[[#This Row],[6-2]]</f>
        <v>0</v>
      </c>
      <c r="AN103" s="142"/>
      <c r="AO103" s="94">
        <f ca="1">TblProd[[#This Row],[Food]]*food_decay * (1 + tech_2_1*TblTech[[#This Row],[2-1]] + tech_2_8*TblTech[[#This Row],[2-8]] + IF(AND(TblMagic[[#This Row],[Active DnD]]&lt;12,TblMagic[[#This Row],[Active DnD]]&gt;5),1,0))</f>
        <v>1560.4</v>
      </c>
      <c r="AP103" s="94">
        <f ca="1">(1+race_food_consumption)*TblPop[[#This Row],[Total]]*food_per_person*(1+tech_1_10*TblTech[[#This Row],[1-10]]+tech_7_5*TblTech[[#This Row],[7-5]] + IF(TblMagic[[#This Row],[Active Infernal Command]]&gt;0,demonic_pact_food_cons,0))</f>
        <v>192.25</v>
      </c>
      <c r="AQ103" s="94">
        <f ca="1">TblProd[[#This Row],[Lumber]]*lumber_rot * (1 + tech_2_1*TblTech[[#This Row],[2-1]] + tech_2_8*TblTech[[#This Row],[2-8]] + tech_5_2*TblTech[[#This Row],[5-2]] + IF(AND(TblMagic[[#This Row],[Active DnD]]&lt;12,TblMagic[[#This Row],[Active DnD]]&gt;5),1,0))</f>
        <v>685.71</v>
      </c>
      <c r="AR103" s="94">
        <f ca="1">TblProd[[#This Row],[Mana]]*mana_drain * (1 + tech_2_1*TblTech[[#This Row],[2-1]] + tech_2_8*TblTech[[#This Row],[2-8]])</f>
        <v>0</v>
      </c>
      <c r="AS103" s="154"/>
      <c r="AT103" s="94">
        <f ca="1">TblExplore[[#This Row],[Platinum (2)]]+TblConstr[[#This Row],[Total Plat Cost]]+TblMili[[#This Row],[Plat Cost]]+TblRezone[[#This Row],[Platinum cost]]+TblImps[[#This Row],[P1]]-TblProd[[#This Row],[Bank Plat]]</f>
        <v>0</v>
      </c>
      <c r="AU103" s="94">
        <f ca="1">TblConstr[[#This Row],[Total Lum Cost]]+TblImps[[#This Row],[L1]]-TblProd[[#This Row],[Bank Lumber]] + Military!$CO$25*TblMili[[#This Row],[Sec. rec. Cost]]</f>
        <v>0</v>
      </c>
      <c r="AV103" s="94">
        <f ca="1">TblMagic[[#This Row],[Mana cost]] + Military!$CO$26*TblMili[[#This Row],[Sec. rec. Cost]]</f>
        <v>0</v>
      </c>
      <c r="AW103" s="94">
        <f ca="1">Military!$CO$24*TblMili[[#This Row],[Sec. rec. Cost]]+TblImps[[#This Row],[O1]]-TblProd[[#This Row],[Bank Ore]]</f>
        <v>0</v>
      </c>
      <c r="AX103" s="94">
        <f>TblImps[[#This Row],[G1]]-TblProd[[#This Row],[Bank Gems]]</f>
        <v>0</v>
      </c>
      <c r="AY103" s="142"/>
      <c r="AZ103" s="61" t="b">
        <f ca="1">IF(TblProd[[#This Row],[Set Guard]]&lt;&gt;"",TblProd[[#This Row],[Set Guard]],OFFSET(TblProd[[#This Row],[Guard]],-1,0))</f>
        <v>0</v>
      </c>
      <c r="BA103" s="153"/>
      <c r="BB103" s="45">
        <f>TblProd[[#This Row],[Hour]]</f>
        <v>52</v>
      </c>
      <c r="BC103" s="158">
        <f>-TblProd[[#This Row],[Bank Lumber]] / 2 + -TblProd[[#This Row],[Bank Gems]] * 2 + -TblProd[[#This Row],[Bank Ore]] / 2</f>
        <v>0</v>
      </c>
      <c r="BD103" s="158"/>
      <c r="BE103" s="158"/>
      <c r="BF103" s="158"/>
      <c r="BG103" s="159">
        <f ca="1">TblProd[[#This Row],[Time]]</f>
        <v>46324.12499999976</v>
      </c>
      <c r="BH103" s="45"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94">
        <f ca="1">TblProd[[#This Row],[Platinum]]</f>
        <v>200105</v>
      </c>
      <c r="BJ103" s="94">
        <f ca="1">TblProd[[#This Row],[Food]]</f>
        <v>156040</v>
      </c>
      <c r="BK103" s="94">
        <f ca="1">TblProd[[#This Row],[Lumber]]</f>
        <v>68571</v>
      </c>
      <c r="BL103" s="94">
        <f ca="1">TblProd[[#This Row],[Mana]]</f>
        <v>0</v>
      </c>
      <c r="BM103" s="94">
        <f ca="1">TblProd[[#This Row],[Ore]]</f>
        <v>0</v>
      </c>
    </row>
    <row r="104" spans="1:65" x14ac:dyDescent="0.2">
      <c r="A104" s="137">
        <f t="shared" si="0"/>
        <v>53</v>
      </c>
      <c r="B104" s="152">
        <f ca="1">TblImps[[#This Row],[Time]]</f>
        <v>46324.166666666424</v>
      </c>
      <c r="C104" s="153"/>
      <c r="D104" s="154"/>
      <c r="E104" s="94">
        <f ca="1">TblConstr[[#This Row],[Land]]</f>
        <v>50</v>
      </c>
      <c r="F104" s="94">
        <f ca="1">TblPop[[#This Row],[Peasants]]</f>
        <v>173</v>
      </c>
      <c r="G104" s="94">
        <f ca="1">TblMili[[#This Row],[Networth (2)]]</f>
        <v>1250</v>
      </c>
      <c r="H104" s="94">
        <f ca="1">OFFSET(TblProd[[#This Row],[Platinum]],-1,0)+OFFSET(TblProd[[#This Row],[Plat/hr]],-1,0) - TblProd[[#This Row],[Expenses Platinum]] + IF(TblProd[[#This Row],[Plat Bonus]],TblPop[[#This Row],[Peasants]]*4) + SUM(TblConstr[[#This Row],[Dest Hom]:[Dest Doc]])*TblConstr[[#This Row],[CPA Platinum -DB]]*tech_3_3_2*TblTech[[#This Row],[3-3]]</f>
        <v>200577</v>
      </c>
      <c r="I104" s="94">
        <f ca="1">OFFSET(TblProd[[#This Row],[Food]],-1,0)+OFFSET(TblProd[[#This Row],[Food/hr]],-1,0)+ROUNDUP((TblConstr[[#This Row],[Farms]]*80+TblConstr[[#This Row],[Docks]]*35)*(1+OFFSET(TblProd[[#This Row],[Bonus Food/hr]],-1,0)),0)</f>
        <v>156867</v>
      </c>
      <c r="J104" s="94">
        <f ca="1">OFFSET(TblProd[[#This Row],[Lumber]],-1,0)+OFFSET(TblProd[[#This Row],[Lumber/hr]],-1,0) - TblProd[[#This Row],[Expenses Lumber]] + SUM(TblConstr[[#This Row],[Dest Hom]:[Dest Doc]])*TblConstr[[#This Row],[CPA Lumber -DB]]*tech_3_3_2*TblTech[[#This Row],[3-3]]</f>
        <v>68885</v>
      </c>
      <c r="K104" s="94">
        <f ca="1">OFFSET(TblProd[[#This Row],[Mana]],-1,0)+OFFSET(TblProd[[#This Row],[Mana/hr]],-1,0)- TblProd[[#This Row],[Expenses Mana]]</f>
        <v>0</v>
      </c>
      <c r="L104" s="94">
        <f ca="1">OFFSET(TblProd[[#This Row],[Ore]],-1,0)+OFFSET(TblProd[[#This Row],[Ore/hr]],-1,0) -TblProd[[#This Row],[Expenses Ore]]</f>
        <v>0</v>
      </c>
      <c r="M104" s="94">
        <f ca="1">OFFSET(TblProd[[#This Row],[Gems]],-1,0)+OFFSET(TblProd[[#This Row],[Gems/hr]],-1,0) - TblProd[[#This Row],[Expenses Gems]]</f>
        <v>0</v>
      </c>
      <c r="N104" s="94">
        <f ca="1">OFFSET(TblProd[[#This Row],[Boats]],-1,0)+OFFSET(TblProd[[#This Row],[Boats/hr]],-1,0)</f>
        <v>0</v>
      </c>
      <c r="O104" s="94">
        <f ca="1">OFFSET(TblProd[[#This Row],[Prestige]],-1,0)</f>
        <v>250</v>
      </c>
      <c r="P10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4" s="94">
        <f ca="1">MAX(_xlfn.CEILING.MATH(TblProd[[#This Row],[Land]]*2.5+IFERROR(OFFSET(TblTech[[#This Row],[Sum of tech]],-1,0)*50,0)),3750)</f>
        <v>3750</v>
      </c>
      <c r="R104" s="142"/>
      <c r="S104" s="94">
        <f ca="1">ROUNDDOWN(TblProd[[#This Row],[Raw Plat/hr]]*(1+TblProd[[#This Row],[Bonus Plat/hr]]),0)</f>
        <v>467</v>
      </c>
      <c r="T104" s="94">
        <f ca="1">ROUND(TblProd[[#This Row],[Raw Food/hr]]*(1+TblProd[[#This Row],[Bonus Food/hr]])-TblProd[[#This Row],[Food decay]]-TblProd[[#This Row],[Food eaten]],0)</f>
        <v>819</v>
      </c>
      <c r="U104" s="94">
        <f ca="1">ROUND(TblProd[[#This Row],[Raw Lumber/hr]]*(1+TblProd[[#This Row],[Bonus Lumber/hr]])-TblProd[[#This Row],[Lumber rot]],0)</f>
        <v>311</v>
      </c>
      <c r="V104" s="94">
        <f ca="1">ROUND(TblProd[[#This Row],[Raw Mana/hr]]*(1+TblProd[[#This Row],[Bonus Mana/hr]])-TblProd[[#This Row],[Mana drain]],0)</f>
        <v>0</v>
      </c>
      <c r="W104" s="94">
        <f ca="1">ROUNDDOWN(TblProd[[#This Row],[Raw Ore/hr]]*(1+TblProd[[#This Row],[Bonux Ore/hr]]),0)</f>
        <v>0</v>
      </c>
      <c r="X104" s="94">
        <f ca="1">ROUNDDOWN(TblProd[[#This Row],[Raw Gems/hr]]*(1+TblProd[[#This Row],[Bonus Gems/hr]]),0)</f>
        <v>0</v>
      </c>
      <c r="Y104" s="155">
        <f ca="1">OFFSET(TblConstr[[#This Row],[Tot Doc]],1,0)*dock_boats_hr * (1 + tech_4_1*TblTech[[#This Row],[4-1]])</f>
        <v>0</v>
      </c>
      <c r="Z104" s="154"/>
      <c r="AA104" s="94">
        <f ca="1">TblPop[[#This Row],[Peasants]]*tax*TblPop[[#This Row],[Employment]] + (Construction!AZ105+Construction!BX105)*(alch_plat+(Magic!AN104&gt;0)*alchemist_flame_bonus)</f>
        <v>467.1</v>
      </c>
      <c r="AB104" s="94">
        <f ca="1">TblConstr[[#This Row],[Tot Farm]]*farm_food + TblConstr[[#This Row],[Tot Doc]]*dock_food</f>
        <v>2400</v>
      </c>
      <c r="AC104" s="94">
        <f ca="1">TblConstr[[#This Row],[Tot Ly]]*ly_lumber + TblConstr[[#This Row],[Tot Hav]]*fh_lumber + IF(race="Wood Elf",TblMili[[#This Row],[Unit 2]]*MIN(TblMili[[#This Row],[Homeland%]]/wisp_bonus,wisp_cap),0)</f>
        <v>1000</v>
      </c>
      <c r="AD104" s="94">
        <f ca="1">OFFSET(TblConstr[[#This Row],[Tot Tow]],1,0)*(tower_mana + tech_4_5*TblTech[[#This Row],[4-5]]) + OFFSET(TblConstr[[#This Row],[Tot WG]],1,0)*wg_mana_prod</f>
        <v>0</v>
      </c>
      <c r="AE104" s="94">
        <f ca="1">OFFSET(TblConstr[[#This Row],[Tot OM]],1,0)*om_ore+IF(race="Dwarf",TblMili[[#This Row],[Unit 2]]*0.5,0)</f>
        <v>0</v>
      </c>
      <c r="AF104" s="94">
        <f ca="1">OFFSET(TblConstr[[#This Row],[Tot DM]],1,0)*dm_gems</f>
        <v>0</v>
      </c>
      <c r="AG104" s="142"/>
      <c r="AH104" s="156">
        <f ca="1">MIN(race_platinum_bonus + IF(TblMagic[[#This Row],[Active Arc Infusion]]&gt;0,alch_frost_bonus,IF(Magic!AE104&gt;0,midas_bonus)) + TblImps[[#This Row],[Science]] - TblProd[[#This Row],[Guard]]*(0.02 + tech_5_7*TblTech[[#This Row],[5-7]]) + tech_1_5*TblTech[[#This Row],[1-5]] + tech_4_4*TblTech[[#This Row],[4-4]] + IF(TblMagic[[#This Row],[Active Infernal Command]]&gt;0,demonic_pact_plat,0), 0.5)</f>
        <v>0</v>
      </c>
      <c r="AI10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4" s="156">
        <f ca="1">race_lumber_bonus+ IF(TblMagic[[#This Row],[Active Gaia''s Blessing]]&gt;0,gaias_blessing_lumber)+ tech_1_3*TblTech[[#This Row],[1-3]] + tech_1_6*TblTech[[#This Row],[1-6]] + tech_3_3*TblTech[[#This Row],[3-3]]</f>
        <v>0</v>
      </c>
      <c r="AK104" s="156">
        <f ca="1">race_mana_bonus+ 0 + TblImps[[#This Row],[Spires]] + tech_1_2*TblTech[[#This Row],[1-2]] + tech_3_4*TblTech[[#This Row],[3-4]]</f>
        <v>0</v>
      </c>
      <c r="AL104" s="156">
        <f ca="1">race_ore_bonus + IF(TblMagic[[#This Row],[Active Miner''s Sight]]&gt;0,miners_sight_bonus,IF(TblMagic[[#This Row],[Active Mining Strength]]&gt;0,mining_strength_bonus)) +  tech_1_6*TblTech[[#This Row],[1-6]]</f>
        <v>0</v>
      </c>
      <c r="AM104" s="156">
        <f>race_gem_bonus+ tech_3_2*TblTech[[#This Row],[3-2]] + tech_4_3*TblTech[[#This Row],[4-3]] + tech_6_2*TblTech[[#This Row],[6-2]]</f>
        <v>0</v>
      </c>
      <c r="AN104" s="142"/>
      <c r="AO104" s="94">
        <f ca="1">TblProd[[#This Row],[Food]]*food_decay * (1 + tech_2_1*TblTech[[#This Row],[2-1]] + tech_2_8*TblTech[[#This Row],[2-8]] + IF(AND(TblMagic[[#This Row],[Active DnD]]&lt;12,TblMagic[[#This Row],[Active DnD]]&gt;5),1,0))</f>
        <v>1568.67</v>
      </c>
      <c r="AP104" s="94">
        <f ca="1">(1+race_food_consumption)*TblPop[[#This Row],[Total]]*food_per_person*(1+tech_1_10*TblTech[[#This Row],[1-10]]+tech_7_5*TblTech[[#This Row],[7-5]] + IF(TblMagic[[#This Row],[Active Infernal Command]]&gt;0,demonic_pact_food_cons,0))</f>
        <v>192.25</v>
      </c>
      <c r="AQ104" s="94">
        <f ca="1">TblProd[[#This Row],[Lumber]]*lumber_rot * (1 + tech_2_1*TblTech[[#This Row],[2-1]] + tech_2_8*TblTech[[#This Row],[2-8]] + tech_5_2*TblTech[[#This Row],[5-2]] + IF(AND(TblMagic[[#This Row],[Active DnD]]&lt;12,TblMagic[[#This Row],[Active DnD]]&gt;5),1,0))</f>
        <v>688.85</v>
      </c>
      <c r="AR104" s="94">
        <f ca="1">TblProd[[#This Row],[Mana]]*mana_drain * (1 + tech_2_1*TblTech[[#This Row],[2-1]] + tech_2_8*TblTech[[#This Row],[2-8]])</f>
        <v>0</v>
      </c>
      <c r="AS104" s="154"/>
      <c r="AT104" s="94">
        <f ca="1">TblExplore[[#This Row],[Platinum (2)]]+TblConstr[[#This Row],[Total Plat Cost]]+TblMili[[#This Row],[Plat Cost]]+TblRezone[[#This Row],[Platinum cost]]+TblImps[[#This Row],[P1]]-TblProd[[#This Row],[Bank Plat]]</f>
        <v>0</v>
      </c>
      <c r="AU104" s="94">
        <f ca="1">TblConstr[[#This Row],[Total Lum Cost]]+TblImps[[#This Row],[L1]]-TblProd[[#This Row],[Bank Lumber]] + Military!$CO$25*TblMili[[#This Row],[Sec. rec. Cost]]</f>
        <v>0</v>
      </c>
      <c r="AV104" s="94">
        <f ca="1">TblMagic[[#This Row],[Mana cost]] + Military!$CO$26*TblMili[[#This Row],[Sec. rec. Cost]]</f>
        <v>0</v>
      </c>
      <c r="AW104" s="94">
        <f ca="1">Military!$CO$24*TblMili[[#This Row],[Sec. rec. Cost]]+TblImps[[#This Row],[O1]]-TblProd[[#This Row],[Bank Ore]]</f>
        <v>0</v>
      </c>
      <c r="AX104" s="94">
        <f>TblImps[[#This Row],[G1]]-TblProd[[#This Row],[Bank Gems]]</f>
        <v>0</v>
      </c>
      <c r="AY104" s="142"/>
      <c r="AZ104" s="61" t="b">
        <f ca="1">IF(TblProd[[#This Row],[Set Guard]]&lt;&gt;"",TblProd[[#This Row],[Set Guard]],OFFSET(TblProd[[#This Row],[Guard]],-1,0))</f>
        <v>0</v>
      </c>
      <c r="BA104" s="153"/>
      <c r="BB104" s="45">
        <f>TblProd[[#This Row],[Hour]]</f>
        <v>53</v>
      </c>
      <c r="BC104" s="158">
        <f>-TblProd[[#This Row],[Bank Lumber]] / 2 + -TblProd[[#This Row],[Bank Gems]] * 2 + -TblProd[[#This Row],[Bank Ore]] / 2</f>
        <v>0</v>
      </c>
      <c r="BD104" s="158"/>
      <c r="BE104" s="158"/>
      <c r="BF104" s="158"/>
      <c r="BG104" s="159">
        <f ca="1">TblProd[[#This Row],[Time]]</f>
        <v>46324.166666666424</v>
      </c>
      <c r="BH104" s="45"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94">
        <f ca="1">TblProd[[#This Row],[Platinum]]</f>
        <v>200577</v>
      </c>
      <c r="BJ104" s="94">
        <f ca="1">TblProd[[#This Row],[Food]]</f>
        <v>156867</v>
      </c>
      <c r="BK104" s="94">
        <f ca="1">TblProd[[#This Row],[Lumber]]</f>
        <v>68885</v>
      </c>
      <c r="BL104" s="94">
        <f ca="1">TblProd[[#This Row],[Mana]]</f>
        <v>0</v>
      </c>
      <c r="BM104" s="94">
        <f ca="1">TblProd[[#This Row],[Ore]]</f>
        <v>0</v>
      </c>
    </row>
    <row r="105" spans="1:65" x14ac:dyDescent="0.2">
      <c r="A105" s="137">
        <f t="shared" si="0"/>
        <v>54</v>
      </c>
      <c r="B105" s="152">
        <f ca="1">TblImps[[#This Row],[Time]]</f>
        <v>46324.208333333088</v>
      </c>
      <c r="C105" s="153"/>
      <c r="D105" s="154"/>
      <c r="E105" s="94">
        <f ca="1">TblConstr[[#This Row],[Land]]</f>
        <v>50</v>
      </c>
      <c r="F105" s="94">
        <f ca="1">TblPop[[#This Row],[Peasants]]</f>
        <v>171</v>
      </c>
      <c r="G105" s="94">
        <f ca="1">TblMili[[#This Row],[Networth (2)]]</f>
        <v>1250</v>
      </c>
      <c r="H105" s="94">
        <f ca="1">OFFSET(TblProd[[#This Row],[Platinum]],-1,0)+OFFSET(TblProd[[#This Row],[Plat/hr]],-1,0) - TblProd[[#This Row],[Expenses Platinum]] + IF(TblProd[[#This Row],[Plat Bonus]],TblPop[[#This Row],[Peasants]]*4) + SUM(TblConstr[[#This Row],[Dest Hom]:[Dest Doc]])*TblConstr[[#This Row],[CPA Platinum -DB]]*tech_3_3_2*TblTech[[#This Row],[3-3]]</f>
        <v>201044</v>
      </c>
      <c r="I105" s="94">
        <f ca="1">OFFSET(TblProd[[#This Row],[Food]],-1,0)+OFFSET(TblProd[[#This Row],[Food/hr]],-1,0)+ROUNDUP((TblConstr[[#This Row],[Farms]]*80+TblConstr[[#This Row],[Docks]]*35)*(1+OFFSET(TblProd[[#This Row],[Bonus Food/hr]],-1,0)),0)</f>
        <v>157686</v>
      </c>
      <c r="J105" s="94">
        <f ca="1">OFFSET(TblProd[[#This Row],[Lumber]],-1,0)+OFFSET(TblProd[[#This Row],[Lumber/hr]],-1,0) - TblProd[[#This Row],[Expenses Lumber]] + SUM(TblConstr[[#This Row],[Dest Hom]:[Dest Doc]])*TblConstr[[#This Row],[CPA Lumber -DB]]*tech_3_3_2*TblTech[[#This Row],[3-3]]</f>
        <v>69196</v>
      </c>
      <c r="K105" s="94">
        <f ca="1">OFFSET(TblProd[[#This Row],[Mana]],-1,0)+OFFSET(TblProd[[#This Row],[Mana/hr]],-1,0)- TblProd[[#This Row],[Expenses Mana]]</f>
        <v>0</v>
      </c>
      <c r="L105" s="94">
        <f ca="1">OFFSET(TblProd[[#This Row],[Ore]],-1,0)+OFFSET(TblProd[[#This Row],[Ore/hr]],-1,0) -TblProd[[#This Row],[Expenses Ore]]</f>
        <v>0</v>
      </c>
      <c r="M105" s="94">
        <f ca="1">OFFSET(TblProd[[#This Row],[Gems]],-1,0)+OFFSET(TblProd[[#This Row],[Gems/hr]],-1,0) - TblProd[[#This Row],[Expenses Gems]]</f>
        <v>0</v>
      </c>
      <c r="N105" s="94">
        <f ca="1">OFFSET(TblProd[[#This Row],[Boats]],-1,0)+OFFSET(TblProd[[#This Row],[Boats/hr]],-1,0)</f>
        <v>0</v>
      </c>
      <c r="O105" s="94">
        <f ca="1">OFFSET(TblProd[[#This Row],[Prestige]],-1,0)</f>
        <v>250</v>
      </c>
      <c r="P10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5" s="94">
        <f ca="1">MAX(_xlfn.CEILING.MATH(TblProd[[#This Row],[Land]]*2.5+IFERROR(OFFSET(TblTech[[#This Row],[Sum of tech]],-1,0)*50,0)),3750)</f>
        <v>3750</v>
      </c>
      <c r="R105" s="142"/>
      <c r="S105" s="94">
        <f ca="1">ROUNDDOWN(TblProd[[#This Row],[Raw Plat/hr]]*(1+TblProd[[#This Row],[Bonus Plat/hr]]),0)</f>
        <v>461</v>
      </c>
      <c r="T105" s="94">
        <f ca="1">ROUND(TblProd[[#This Row],[Raw Food/hr]]*(1+TblProd[[#This Row],[Bonus Food/hr]])-TblProd[[#This Row],[Food decay]]-TblProd[[#This Row],[Food eaten]],0)</f>
        <v>811</v>
      </c>
      <c r="U105" s="94">
        <f ca="1">ROUND(TblProd[[#This Row],[Raw Lumber/hr]]*(1+TblProd[[#This Row],[Bonus Lumber/hr]])-TblProd[[#This Row],[Lumber rot]],0)</f>
        <v>308</v>
      </c>
      <c r="V105" s="94">
        <f ca="1">ROUND(TblProd[[#This Row],[Raw Mana/hr]]*(1+TblProd[[#This Row],[Bonus Mana/hr]])-TblProd[[#This Row],[Mana drain]],0)</f>
        <v>0</v>
      </c>
      <c r="W105" s="94">
        <f ca="1">ROUNDDOWN(TblProd[[#This Row],[Raw Ore/hr]]*(1+TblProd[[#This Row],[Bonux Ore/hr]]),0)</f>
        <v>0</v>
      </c>
      <c r="X105" s="94">
        <f ca="1">ROUNDDOWN(TblProd[[#This Row],[Raw Gems/hr]]*(1+TblProd[[#This Row],[Bonus Gems/hr]]),0)</f>
        <v>0</v>
      </c>
      <c r="Y105" s="155">
        <f ca="1">OFFSET(TblConstr[[#This Row],[Tot Doc]],1,0)*dock_boats_hr * (1 + tech_4_1*TblTech[[#This Row],[4-1]])</f>
        <v>0</v>
      </c>
      <c r="Z105" s="154"/>
      <c r="AA105" s="94">
        <f ca="1">TblPop[[#This Row],[Peasants]]*tax*TblPop[[#This Row],[Employment]] + (Construction!AZ106+Construction!BX106)*(alch_plat+(Magic!AN105&gt;0)*alchemist_flame_bonus)</f>
        <v>461.70000000000005</v>
      </c>
      <c r="AB105" s="94">
        <f ca="1">TblConstr[[#This Row],[Tot Farm]]*farm_food + TblConstr[[#This Row],[Tot Doc]]*dock_food</f>
        <v>2400</v>
      </c>
      <c r="AC105" s="94">
        <f ca="1">TblConstr[[#This Row],[Tot Ly]]*ly_lumber + TblConstr[[#This Row],[Tot Hav]]*fh_lumber + IF(race="Wood Elf",TblMili[[#This Row],[Unit 2]]*MIN(TblMili[[#This Row],[Homeland%]]/wisp_bonus,wisp_cap),0)</f>
        <v>1000</v>
      </c>
      <c r="AD105" s="94">
        <f ca="1">OFFSET(TblConstr[[#This Row],[Tot Tow]],1,0)*(tower_mana + tech_4_5*TblTech[[#This Row],[4-5]]) + OFFSET(TblConstr[[#This Row],[Tot WG]],1,0)*wg_mana_prod</f>
        <v>0</v>
      </c>
      <c r="AE105" s="94">
        <f ca="1">OFFSET(TblConstr[[#This Row],[Tot OM]],1,0)*om_ore+IF(race="Dwarf",TblMili[[#This Row],[Unit 2]]*0.5,0)</f>
        <v>0</v>
      </c>
      <c r="AF105" s="94">
        <f ca="1">OFFSET(TblConstr[[#This Row],[Tot DM]],1,0)*dm_gems</f>
        <v>0</v>
      </c>
      <c r="AG105" s="142"/>
      <c r="AH105" s="156">
        <f ca="1">MIN(race_platinum_bonus + IF(TblMagic[[#This Row],[Active Arc Infusion]]&gt;0,alch_frost_bonus,IF(Magic!AE105&gt;0,midas_bonus)) + TblImps[[#This Row],[Science]] - TblProd[[#This Row],[Guard]]*(0.02 + tech_5_7*TblTech[[#This Row],[5-7]]) + tech_1_5*TblTech[[#This Row],[1-5]] + tech_4_4*TblTech[[#This Row],[4-4]] + IF(TblMagic[[#This Row],[Active Infernal Command]]&gt;0,demonic_pact_plat,0), 0.5)</f>
        <v>0</v>
      </c>
      <c r="AI10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5" s="156">
        <f ca="1">race_lumber_bonus+ IF(TblMagic[[#This Row],[Active Gaia''s Blessing]]&gt;0,gaias_blessing_lumber)+ tech_1_3*TblTech[[#This Row],[1-3]] + tech_1_6*TblTech[[#This Row],[1-6]] + tech_3_3*TblTech[[#This Row],[3-3]]</f>
        <v>0</v>
      </c>
      <c r="AK105" s="156">
        <f ca="1">race_mana_bonus+ 0 + TblImps[[#This Row],[Spires]] + tech_1_2*TblTech[[#This Row],[1-2]] + tech_3_4*TblTech[[#This Row],[3-4]]</f>
        <v>0</v>
      </c>
      <c r="AL105" s="156">
        <f ca="1">race_ore_bonus + IF(TblMagic[[#This Row],[Active Miner''s Sight]]&gt;0,miners_sight_bonus,IF(TblMagic[[#This Row],[Active Mining Strength]]&gt;0,mining_strength_bonus)) +  tech_1_6*TblTech[[#This Row],[1-6]]</f>
        <v>0</v>
      </c>
      <c r="AM105" s="156">
        <f>race_gem_bonus+ tech_3_2*TblTech[[#This Row],[3-2]] + tech_4_3*TblTech[[#This Row],[4-3]] + tech_6_2*TblTech[[#This Row],[6-2]]</f>
        <v>0</v>
      </c>
      <c r="AN105" s="142"/>
      <c r="AO105" s="94">
        <f ca="1">TblProd[[#This Row],[Food]]*food_decay * (1 + tech_2_1*TblTech[[#This Row],[2-1]] + tech_2_8*TblTech[[#This Row],[2-8]] + IF(AND(TblMagic[[#This Row],[Active DnD]]&lt;12,TblMagic[[#This Row],[Active DnD]]&gt;5),1,0))</f>
        <v>1576.8600000000001</v>
      </c>
      <c r="AP105" s="94">
        <f ca="1">(1+race_food_consumption)*TblPop[[#This Row],[Total]]*food_per_person*(1+tech_1_10*TblTech[[#This Row],[1-10]]+tech_7_5*TblTech[[#This Row],[7-5]] + IF(TblMagic[[#This Row],[Active Infernal Command]]&gt;0,demonic_pact_food_cons,0))</f>
        <v>192.25</v>
      </c>
      <c r="AQ105" s="94">
        <f ca="1">TblProd[[#This Row],[Lumber]]*lumber_rot * (1 + tech_2_1*TblTech[[#This Row],[2-1]] + tech_2_8*TblTech[[#This Row],[2-8]] + tech_5_2*TblTech[[#This Row],[5-2]] + IF(AND(TblMagic[[#This Row],[Active DnD]]&lt;12,TblMagic[[#This Row],[Active DnD]]&gt;5),1,0))</f>
        <v>691.96</v>
      </c>
      <c r="AR105" s="94">
        <f ca="1">TblProd[[#This Row],[Mana]]*mana_drain * (1 + tech_2_1*TblTech[[#This Row],[2-1]] + tech_2_8*TblTech[[#This Row],[2-8]])</f>
        <v>0</v>
      </c>
      <c r="AS105" s="154"/>
      <c r="AT105" s="94">
        <f ca="1">TblExplore[[#This Row],[Platinum (2)]]+TblConstr[[#This Row],[Total Plat Cost]]+TblMili[[#This Row],[Plat Cost]]+TblRezone[[#This Row],[Platinum cost]]+TblImps[[#This Row],[P1]]-TblProd[[#This Row],[Bank Plat]]</f>
        <v>0</v>
      </c>
      <c r="AU105" s="94">
        <f ca="1">TblConstr[[#This Row],[Total Lum Cost]]+TblImps[[#This Row],[L1]]-TblProd[[#This Row],[Bank Lumber]] + Military!$CO$25*TblMili[[#This Row],[Sec. rec. Cost]]</f>
        <v>0</v>
      </c>
      <c r="AV105" s="94">
        <f ca="1">TblMagic[[#This Row],[Mana cost]] + Military!$CO$26*TblMili[[#This Row],[Sec. rec. Cost]]</f>
        <v>0</v>
      </c>
      <c r="AW105" s="94">
        <f ca="1">Military!$CO$24*TblMili[[#This Row],[Sec. rec. Cost]]+TblImps[[#This Row],[O1]]-TblProd[[#This Row],[Bank Ore]]</f>
        <v>0</v>
      </c>
      <c r="AX105" s="94">
        <f>TblImps[[#This Row],[G1]]-TblProd[[#This Row],[Bank Gems]]</f>
        <v>0</v>
      </c>
      <c r="AY105" s="142"/>
      <c r="AZ105" s="61" t="b">
        <f ca="1">IF(TblProd[[#This Row],[Set Guard]]&lt;&gt;"",TblProd[[#This Row],[Set Guard]],OFFSET(TblProd[[#This Row],[Guard]],-1,0))</f>
        <v>0</v>
      </c>
      <c r="BA105" s="153"/>
      <c r="BB105" s="45">
        <f>TblProd[[#This Row],[Hour]]</f>
        <v>54</v>
      </c>
      <c r="BC105" s="158">
        <f>-TblProd[[#This Row],[Bank Lumber]] / 2 + -TblProd[[#This Row],[Bank Gems]] * 2 + -TblProd[[#This Row],[Bank Ore]] / 2</f>
        <v>0</v>
      </c>
      <c r="BD105" s="158"/>
      <c r="BE105" s="158"/>
      <c r="BF105" s="158"/>
      <c r="BG105" s="159">
        <f ca="1">TblProd[[#This Row],[Time]]</f>
        <v>46324.208333333088</v>
      </c>
      <c r="BH105" s="45"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94">
        <f ca="1">TblProd[[#This Row],[Platinum]]</f>
        <v>201044</v>
      </c>
      <c r="BJ105" s="94">
        <f ca="1">TblProd[[#This Row],[Food]]</f>
        <v>157686</v>
      </c>
      <c r="BK105" s="94">
        <f ca="1">TblProd[[#This Row],[Lumber]]</f>
        <v>69196</v>
      </c>
      <c r="BL105" s="94">
        <f ca="1">TblProd[[#This Row],[Mana]]</f>
        <v>0</v>
      </c>
      <c r="BM105" s="94">
        <f ca="1">TblProd[[#This Row],[Ore]]</f>
        <v>0</v>
      </c>
    </row>
    <row r="106" spans="1:65" x14ac:dyDescent="0.2">
      <c r="A106" s="137">
        <f t="shared" si="0"/>
        <v>55</v>
      </c>
      <c r="B106" s="152">
        <f ca="1">TblImps[[#This Row],[Time]]</f>
        <v>46324.249999999753</v>
      </c>
      <c r="C106" s="153"/>
      <c r="D106" s="154"/>
      <c r="E106" s="94">
        <f ca="1">TblConstr[[#This Row],[Land]]</f>
        <v>50</v>
      </c>
      <c r="F106" s="94">
        <f ca="1">TblPop[[#This Row],[Peasants]]</f>
        <v>169</v>
      </c>
      <c r="G106" s="94">
        <f ca="1">TblMili[[#This Row],[Networth (2)]]</f>
        <v>1250</v>
      </c>
      <c r="H106" s="94">
        <f ca="1">OFFSET(TblProd[[#This Row],[Platinum]],-1,0)+OFFSET(TblProd[[#This Row],[Plat/hr]],-1,0) - TblProd[[#This Row],[Expenses Platinum]] + IF(TblProd[[#This Row],[Plat Bonus]],TblPop[[#This Row],[Peasants]]*4) + SUM(TblConstr[[#This Row],[Dest Hom]:[Dest Doc]])*TblConstr[[#This Row],[CPA Platinum -DB]]*tech_3_3_2*TblTech[[#This Row],[3-3]]</f>
        <v>201505</v>
      </c>
      <c r="I106" s="94">
        <f ca="1">OFFSET(TblProd[[#This Row],[Food]],-1,0)+OFFSET(TblProd[[#This Row],[Food/hr]],-1,0)+ROUNDUP((TblConstr[[#This Row],[Farms]]*80+TblConstr[[#This Row],[Docks]]*35)*(1+OFFSET(TblProd[[#This Row],[Bonus Food/hr]],-1,0)),0)</f>
        <v>158497</v>
      </c>
      <c r="J106" s="94">
        <f ca="1">OFFSET(TblProd[[#This Row],[Lumber]],-1,0)+OFFSET(TblProd[[#This Row],[Lumber/hr]],-1,0) - TblProd[[#This Row],[Expenses Lumber]] + SUM(TblConstr[[#This Row],[Dest Hom]:[Dest Doc]])*TblConstr[[#This Row],[CPA Lumber -DB]]*tech_3_3_2*TblTech[[#This Row],[3-3]]</f>
        <v>69504</v>
      </c>
      <c r="K106" s="94">
        <f ca="1">OFFSET(TblProd[[#This Row],[Mana]],-1,0)+OFFSET(TblProd[[#This Row],[Mana/hr]],-1,0)- TblProd[[#This Row],[Expenses Mana]]</f>
        <v>0</v>
      </c>
      <c r="L106" s="94">
        <f ca="1">OFFSET(TblProd[[#This Row],[Ore]],-1,0)+OFFSET(TblProd[[#This Row],[Ore/hr]],-1,0) -TblProd[[#This Row],[Expenses Ore]]</f>
        <v>0</v>
      </c>
      <c r="M106" s="94">
        <f ca="1">OFFSET(TblProd[[#This Row],[Gems]],-1,0)+OFFSET(TblProd[[#This Row],[Gems/hr]],-1,0) - TblProd[[#This Row],[Expenses Gems]]</f>
        <v>0</v>
      </c>
      <c r="N106" s="94">
        <f ca="1">OFFSET(TblProd[[#This Row],[Boats]],-1,0)+OFFSET(TblProd[[#This Row],[Boats/hr]],-1,0)</f>
        <v>0</v>
      </c>
      <c r="O106" s="94">
        <f ca="1">OFFSET(TblProd[[#This Row],[Prestige]],-1,0)</f>
        <v>250</v>
      </c>
      <c r="P10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6" s="94">
        <f ca="1">MAX(_xlfn.CEILING.MATH(TblProd[[#This Row],[Land]]*2.5+IFERROR(OFFSET(TblTech[[#This Row],[Sum of tech]],-1,0)*50,0)),3750)</f>
        <v>3750</v>
      </c>
      <c r="R106" s="142"/>
      <c r="S106" s="94">
        <f ca="1">ROUNDDOWN(TblProd[[#This Row],[Raw Plat/hr]]*(1+TblProd[[#This Row],[Bonus Plat/hr]]),0)</f>
        <v>456</v>
      </c>
      <c r="T106" s="94">
        <f ca="1">ROUND(TblProd[[#This Row],[Raw Food/hr]]*(1+TblProd[[#This Row],[Bonus Food/hr]])-TblProd[[#This Row],[Food decay]]-TblProd[[#This Row],[Food eaten]],0)</f>
        <v>803</v>
      </c>
      <c r="U106" s="94">
        <f ca="1">ROUND(TblProd[[#This Row],[Raw Lumber/hr]]*(1+TblProd[[#This Row],[Bonus Lumber/hr]])-TblProd[[#This Row],[Lumber rot]],0)</f>
        <v>305</v>
      </c>
      <c r="V106" s="94">
        <f ca="1">ROUND(TblProd[[#This Row],[Raw Mana/hr]]*(1+TblProd[[#This Row],[Bonus Mana/hr]])-TblProd[[#This Row],[Mana drain]],0)</f>
        <v>0</v>
      </c>
      <c r="W106" s="94">
        <f ca="1">ROUNDDOWN(TblProd[[#This Row],[Raw Ore/hr]]*(1+TblProd[[#This Row],[Bonux Ore/hr]]),0)</f>
        <v>0</v>
      </c>
      <c r="X106" s="94">
        <f ca="1">ROUNDDOWN(TblProd[[#This Row],[Raw Gems/hr]]*(1+TblProd[[#This Row],[Bonus Gems/hr]]),0)</f>
        <v>0</v>
      </c>
      <c r="Y106" s="155">
        <f ca="1">OFFSET(TblConstr[[#This Row],[Tot Doc]],1,0)*dock_boats_hr * (1 + tech_4_1*TblTech[[#This Row],[4-1]])</f>
        <v>0</v>
      </c>
      <c r="Z106" s="154"/>
      <c r="AA106" s="94">
        <f ca="1">TblPop[[#This Row],[Peasants]]*tax*TblPop[[#This Row],[Employment]] + (Construction!AZ107+Construction!BX107)*(alch_plat+(Magic!AN106&gt;0)*alchemist_flame_bonus)</f>
        <v>456.3</v>
      </c>
      <c r="AB106" s="94">
        <f ca="1">TblConstr[[#This Row],[Tot Farm]]*farm_food + TblConstr[[#This Row],[Tot Doc]]*dock_food</f>
        <v>2400</v>
      </c>
      <c r="AC106" s="94">
        <f ca="1">TblConstr[[#This Row],[Tot Ly]]*ly_lumber + TblConstr[[#This Row],[Tot Hav]]*fh_lumber + IF(race="Wood Elf",TblMili[[#This Row],[Unit 2]]*MIN(TblMili[[#This Row],[Homeland%]]/wisp_bonus,wisp_cap),0)</f>
        <v>1000</v>
      </c>
      <c r="AD106" s="94">
        <f ca="1">OFFSET(TblConstr[[#This Row],[Tot Tow]],1,0)*(tower_mana + tech_4_5*TblTech[[#This Row],[4-5]]) + OFFSET(TblConstr[[#This Row],[Tot WG]],1,0)*wg_mana_prod</f>
        <v>0</v>
      </c>
      <c r="AE106" s="94">
        <f ca="1">OFFSET(TblConstr[[#This Row],[Tot OM]],1,0)*om_ore+IF(race="Dwarf",TblMili[[#This Row],[Unit 2]]*0.5,0)</f>
        <v>0</v>
      </c>
      <c r="AF106" s="94">
        <f ca="1">OFFSET(TblConstr[[#This Row],[Tot DM]],1,0)*dm_gems</f>
        <v>0</v>
      </c>
      <c r="AG106" s="142"/>
      <c r="AH106" s="156">
        <f ca="1">MIN(race_platinum_bonus + IF(TblMagic[[#This Row],[Active Arc Infusion]]&gt;0,alch_frost_bonus,IF(Magic!AE106&gt;0,midas_bonus)) + TblImps[[#This Row],[Science]] - TblProd[[#This Row],[Guard]]*(0.02 + tech_5_7*TblTech[[#This Row],[5-7]]) + tech_1_5*TblTech[[#This Row],[1-5]] + tech_4_4*TblTech[[#This Row],[4-4]] + IF(TblMagic[[#This Row],[Active Infernal Command]]&gt;0,demonic_pact_plat,0), 0.5)</f>
        <v>0</v>
      </c>
      <c r="AI10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6" s="156">
        <f ca="1">race_lumber_bonus+ IF(TblMagic[[#This Row],[Active Gaia''s Blessing]]&gt;0,gaias_blessing_lumber)+ tech_1_3*TblTech[[#This Row],[1-3]] + tech_1_6*TblTech[[#This Row],[1-6]] + tech_3_3*TblTech[[#This Row],[3-3]]</f>
        <v>0</v>
      </c>
      <c r="AK106" s="156">
        <f ca="1">race_mana_bonus+ 0 + TblImps[[#This Row],[Spires]] + tech_1_2*TblTech[[#This Row],[1-2]] + tech_3_4*TblTech[[#This Row],[3-4]]</f>
        <v>0</v>
      </c>
      <c r="AL106" s="156">
        <f ca="1">race_ore_bonus + IF(TblMagic[[#This Row],[Active Miner''s Sight]]&gt;0,miners_sight_bonus,IF(TblMagic[[#This Row],[Active Mining Strength]]&gt;0,mining_strength_bonus)) +  tech_1_6*TblTech[[#This Row],[1-6]]</f>
        <v>0</v>
      </c>
      <c r="AM106" s="156">
        <f>race_gem_bonus+ tech_3_2*TblTech[[#This Row],[3-2]] + tech_4_3*TblTech[[#This Row],[4-3]] + tech_6_2*TblTech[[#This Row],[6-2]]</f>
        <v>0</v>
      </c>
      <c r="AN106" s="142"/>
      <c r="AO106" s="94">
        <f ca="1">TblProd[[#This Row],[Food]]*food_decay * (1 + tech_2_1*TblTech[[#This Row],[2-1]] + tech_2_8*TblTech[[#This Row],[2-8]] + IF(AND(TblMagic[[#This Row],[Active DnD]]&lt;12,TblMagic[[#This Row],[Active DnD]]&gt;5),1,0))</f>
        <v>1584.97</v>
      </c>
      <c r="AP106" s="94">
        <f ca="1">(1+race_food_consumption)*TblPop[[#This Row],[Total]]*food_per_person*(1+tech_1_10*TblTech[[#This Row],[1-10]]+tech_7_5*TblTech[[#This Row],[7-5]] + IF(TblMagic[[#This Row],[Active Infernal Command]]&gt;0,demonic_pact_food_cons,0))</f>
        <v>192.25</v>
      </c>
      <c r="AQ106" s="94">
        <f ca="1">TblProd[[#This Row],[Lumber]]*lumber_rot * (1 + tech_2_1*TblTech[[#This Row],[2-1]] + tech_2_8*TblTech[[#This Row],[2-8]] + tech_5_2*TblTech[[#This Row],[5-2]] + IF(AND(TblMagic[[#This Row],[Active DnD]]&lt;12,TblMagic[[#This Row],[Active DnD]]&gt;5),1,0))</f>
        <v>695.04</v>
      </c>
      <c r="AR106" s="94">
        <f ca="1">TblProd[[#This Row],[Mana]]*mana_drain * (1 + tech_2_1*TblTech[[#This Row],[2-1]] + tech_2_8*TblTech[[#This Row],[2-8]])</f>
        <v>0</v>
      </c>
      <c r="AS106" s="154"/>
      <c r="AT106" s="94">
        <f ca="1">TblExplore[[#This Row],[Platinum (2)]]+TblConstr[[#This Row],[Total Plat Cost]]+TblMili[[#This Row],[Plat Cost]]+TblRezone[[#This Row],[Platinum cost]]+TblImps[[#This Row],[P1]]-TblProd[[#This Row],[Bank Plat]]</f>
        <v>0</v>
      </c>
      <c r="AU106" s="94">
        <f ca="1">TblConstr[[#This Row],[Total Lum Cost]]+TblImps[[#This Row],[L1]]-TblProd[[#This Row],[Bank Lumber]] + Military!$CO$25*TblMili[[#This Row],[Sec. rec. Cost]]</f>
        <v>0</v>
      </c>
      <c r="AV106" s="94">
        <f ca="1">TblMagic[[#This Row],[Mana cost]] + Military!$CO$26*TblMili[[#This Row],[Sec. rec. Cost]]</f>
        <v>0</v>
      </c>
      <c r="AW106" s="94">
        <f ca="1">Military!$CO$24*TblMili[[#This Row],[Sec. rec. Cost]]+TblImps[[#This Row],[O1]]-TblProd[[#This Row],[Bank Ore]]</f>
        <v>0</v>
      </c>
      <c r="AX106" s="94">
        <f>TblImps[[#This Row],[G1]]-TblProd[[#This Row],[Bank Gems]]</f>
        <v>0</v>
      </c>
      <c r="AY106" s="142"/>
      <c r="AZ106" s="61" t="b">
        <f ca="1">IF(TblProd[[#This Row],[Set Guard]]&lt;&gt;"",TblProd[[#This Row],[Set Guard]],OFFSET(TblProd[[#This Row],[Guard]],-1,0))</f>
        <v>0</v>
      </c>
      <c r="BA106" s="153"/>
      <c r="BB106" s="45">
        <f>TblProd[[#This Row],[Hour]]</f>
        <v>55</v>
      </c>
      <c r="BC106" s="158">
        <f>-TblProd[[#This Row],[Bank Lumber]] / 2 + -TblProd[[#This Row],[Bank Gems]] * 2 + -TblProd[[#This Row],[Bank Ore]] / 2</f>
        <v>0</v>
      </c>
      <c r="BD106" s="158"/>
      <c r="BE106" s="158"/>
      <c r="BF106" s="158"/>
      <c r="BG106" s="159">
        <f ca="1">TblProd[[#This Row],[Time]]</f>
        <v>46324.249999999753</v>
      </c>
      <c r="BH106" s="45"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94">
        <f ca="1">TblProd[[#This Row],[Platinum]]</f>
        <v>201505</v>
      </c>
      <c r="BJ106" s="94">
        <f ca="1">TblProd[[#This Row],[Food]]</f>
        <v>158497</v>
      </c>
      <c r="BK106" s="94">
        <f ca="1">TblProd[[#This Row],[Lumber]]</f>
        <v>69504</v>
      </c>
      <c r="BL106" s="94">
        <f ca="1">TblProd[[#This Row],[Mana]]</f>
        <v>0</v>
      </c>
      <c r="BM106" s="94">
        <f ca="1">TblProd[[#This Row],[Ore]]</f>
        <v>0</v>
      </c>
    </row>
    <row r="107" spans="1:65" x14ac:dyDescent="0.2">
      <c r="A107" s="137">
        <f t="shared" si="0"/>
        <v>56</v>
      </c>
      <c r="B107" s="152">
        <f ca="1">TblImps[[#This Row],[Time]]</f>
        <v>46324.291666666417</v>
      </c>
      <c r="C107" s="153"/>
      <c r="D107" s="154"/>
      <c r="E107" s="94">
        <f ca="1">TblConstr[[#This Row],[Land]]</f>
        <v>50</v>
      </c>
      <c r="F107" s="94">
        <f ca="1">TblPop[[#This Row],[Peasants]]</f>
        <v>167</v>
      </c>
      <c r="G107" s="94">
        <f ca="1">TblMili[[#This Row],[Networth (2)]]</f>
        <v>1250</v>
      </c>
      <c r="H107" s="94">
        <f ca="1">OFFSET(TblProd[[#This Row],[Platinum]],-1,0)+OFFSET(TblProd[[#This Row],[Plat/hr]],-1,0) - TblProd[[#This Row],[Expenses Platinum]] + IF(TblProd[[#This Row],[Plat Bonus]],TblPop[[#This Row],[Peasants]]*4) + SUM(TblConstr[[#This Row],[Dest Hom]:[Dest Doc]])*TblConstr[[#This Row],[CPA Platinum -DB]]*tech_3_3_2*TblTech[[#This Row],[3-3]]</f>
        <v>201961</v>
      </c>
      <c r="I107" s="94">
        <f ca="1">OFFSET(TblProd[[#This Row],[Food]],-1,0)+OFFSET(TblProd[[#This Row],[Food/hr]],-1,0)+ROUNDUP((TblConstr[[#This Row],[Farms]]*80+TblConstr[[#This Row],[Docks]]*35)*(1+OFFSET(TblProd[[#This Row],[Bonus Food/hr]],-1,0)),0)</f>
        <v>159300</v>
      </c>
      <c r="J107" s="94">
        <f ca="1">OFFSET(TblProd[[#This Row],[Lumber]],-1,0)+OFFSET(TblProd[[#This Row],[Lumber/hr]],-1,0) - TblProd[[#This Row],[Expenses Lumber]] + SUM(TblConstr[[#This Row],[Dest Hom]:[Dest Doc]])*TblConstr[[#This Row],[CPA Lumber -DB]]*tech_3_3_2*TblTech[[#This Row],[3-3]]</f>
        <v>69809</v>
      </c>
      <c r="K107" s="94">
        <f ca="1">OFFSET(TblProd[[#This Row],[Mana]],-1,0)+OFFSET(TblProd[[#This Row],[Mana/hr]],-1,0)- TblProd[[#This Row],[Expenses Mana]]</f>
        <v>0</v>
      </c>
      <c r="L107" s="94">
        <f ca="1">OFFSET(TblProd[[#This Row],[Ore]],-1,0)+OFFSET(TblProd[[#This Row],[Ore/hr]],-1,0) -TblProd[[#This Row],[Expenses Ore]]</f>
        <v>0</v>
      </c>
      <c r="M107" s="94">
        <f ca="1">OFFSET(TblProd[[#This Row],[Gems]],-1,0)+OFFSET(TblProd[[#This Row],[Gems/hr]],-1,0) - TblProd[[#This Row],[Expenses Gems]]</f>
        <v>0</v>
      </c>
      <c r="N107" s="94">
        <f ca="1">OFFSET(TblProd[[#This Row],[Boats]],-1,0)+OFFSET(TblProd[[#This Row],[Boats/hr]],-1,0)</f>
        <v>0</v>
      </c>
      <c r="O107" s="94">
        <f ca="1">OFFSET(TblProd[[#This Row],[Prestige]],-1,0)</f>
        <v>250</v>
      </c>
      <c r="P10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7" s="94">
        <f ca="1">MAX(_xlfn.CEILING.MATH(TblProd[[#This Row],[Land]]*2.5+IFERROR(OFFSET(TblTech[[#This Row],[Sum of tech]],-1,0)*50,0)),3750)</f>
        <v>3750</v>
      </c>
      <c r="R107" s="142"/>
      <c r="S107" s="94">
        <f ca="1">ROUNDDOWN(TblProd[[#This Row],[Raw Plat/hr]]*(1+TblProd[[#This Row],[Bonus Plat/hr]]),0)</f>
        <v>450</v>
      </c>
      <c r="T107" s="94">
        <f ca="1">ROUND(TblProd[[#This Row],[Raw Food/hr]]*(1+TblProd[[#This Row],[Bonus Food/hr]])-TblProd[[#This Row],[Food decay]]-TblProd[[#This Row],[Food eaten]],0)</f>
        <v>795</v>
      </c>
      <c r="U107" s="94">
        <f ca="1">ROUND(TblProd[[#This Row],[Raw Lumber/hr]]*(1+TblProd[[#This Row],[Bonus Lumber/hr]])-TblProd[[#This Row],[Lumber rot]],0)</f>
        <v>302</v>
      </c>
      <c r="V107" s="94">
        <f ca="1">ROUND(TblProd[[#This Row],[Raw Mana/hr]]*(1+TblProd[[#This Row],[Bonus Mana/hr]])-TblProd[[#This Row],[Mana drain]],0)</f>
        <v>0</v>
      </c>
      <c r="W107" s="94">
        <f ca="1">ROUNDDOWN(TblProd[[#This Row],[Raw Ore/hr]]*(1+TblProd[[#This Row],[Bonux Ore/hr]]),0)</f>
        <v>0</v>
      </c>
      <c r="X107" s="94">
        <f ca="1">ROUNDDOWN(TblProd[[#This Row],[Raw Gems/hr]]*(1+TblProd[[#This Row],[Bonus Gems/hr]]),0)</f>
        <v>0</v>
      </c>
      <c r="Y107" s="155">
        <f ca="1">OFFSET(TblConstr[[#This Row],[Tot Doc]],1,0)*dock_boats_hr * (1 + tech_4_1*TblTech[[#This Row],[4-1]])</f>
        <v>0</v>
      </c>
      <c r="Z107" s="154"/>
      <c r="AA107" s="94">
        <f ca="1">TblPop[[#This Row],[Peasants]]*tax*TblPop[[#This Row],[Employment]] + (Construction!AZ108+Construction!BX108)*(alch_plat+(Magic!AN107&gt;0)*alchemist_flame_bonus)</f>
        <v>450.90000000000003</v>
      </c>
      <c r="AB107" s="94">
        <f ca="1">TblConstr[[#This Row],[Tot Farm]]*farm_food + TblConstr[[#This Row],[Tot Doc]]*dock_food</f>
        <v>2400</v>
      </c>
      <c r="AC107" s="94">
        <f ca="1">TblConstr[[#This Row],[Tot Ly]]*ly_lumber + TblConstr[[#This Row],[Tot Hav]]*fh_lumber + IF(race="Wood Elf",TblMili[[#This Row],[Unit 2]]*MIN(TblMili[[#This Row],[Homeland%]]/wisp_bonus,wisp_cap),0)</f>
        <v>1000</v>
      </c>
      <c r="AD107" s="94">
        <f ca="1">OFFSET(TblConstr[[#This Row],[Tot Tow]],1,0)*(tower_mana + tech_4_5*TblTech[[#This Row],[4-5]]) + OFFSET(TblConstr[[#This Row],[Tot WG]],1,0)*wg_mana_prod</f>
        <v>0</v>
      </c>
      <c r="AE107" s="94">
        <f ca="1">OFFSET(TblConstr[[#This Row],[Tot OM]],1,0)*om_ore+IF(race="Dwarf",TblMili[[#This Row],[Unit 2]]*0.5,0)</f>
        <v>0</v>
      </c>
      <c r="AF107" s="94">
        <f ca="1">OFFSET(TblConstr[[#This Row],[Tot DM]],1,0)*dm_gems</f>
        <v>0</v>
      </c>
      <c r="AG107" s="142"/>
      <c r="AH107" s="156">
        <f ca="1">MIN(race_platinum_bonus + IF(TblMagic[[#This Row],[Active Arc Infusion]]&gt;0,alch_frost_bonus,IF(Magic!AE107&gt;0,midas_bonus)) + TblImps[[#This Row],[Science]] - TblProd[[#This Row],[Guard]]*(0.02 + tech_5_7*TblTech[[#This Row],[5-7]]) + tech_1_5*TblTech[[#This Row],[1-5]] + tech_4_4*TblTech[[#This Row],[4-4]] + IF(TblMagic[[#This Row],[Active Infernal Command]]&gt;0,demonic_pact_plat,0), 0.5)</f>
        <v>0</v>
      </c>
      <c r="AI10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7" s="156">
        <f ca="1">race_lumber_bonus+ IF(TblMagic[[#This Row],[Active Gaia''s Blessing]]&gt;0,gaias_blessing_lumber)+ tech_1_3*TblTech[[#This Row],[1-3]] + tech_1_6*TblTech[[#This Row],[1-6]] + tech_3_3*TblTech[[#This Row],[3-3]]</f>
        <v>0</v>
      </c>
      <c r="AK107" s="156">
        <f ca="1">race_mana_bonus+ 0 + TblImps[[#This Row],[Spires]] + tech_1_2*TblTech[[#This Row],[1-2]] + tech_3_4*TblTech[[#This Row],[3-4]]</f>
        <v>0</v>
      </c>
      <c r="AL107" s="156">
        <f ca="1">race_ore_bonus + IF(TblMagic[[#This Row],[Active Miner''s Sight]]&gt;0,miners_sight_bonus,IF(TblMagic[[#This Row],[Active Mining Strength]]&gt;0,mining_strength_bonus)) +  tech_1_6*TblTech[[#This Row],[1-6]]</f>
        <v>0</v>
      </c>
      <c r="AM107" s="156">
        <f>race_gem_bonus+ tech_3_2*TblTech[[#This Row],[3-2]] + tech_4_3*TblTech[[#This Row],[4-3]] + tech_6_2*TblTech[[#This Row],[6-2]]</f>
        <v>0</v>
      </c>
      <c r="AN107" s="142"/>
      <c r="AO107" s="94">
        <f ca="1">TblProd[[#This Row],[Food]]*food_decay * (1 + tech_2_1*TblTech[[#This Row],[2-1]] + tech_2_8*TblTech[[#This Row],[2-8]] + IF(AND(TblMagic[[#This Row],[Active DnD]]&lt;12,TblMagic[[#This Row],[Active DnD]]&gt;5),1,0))</f>
        <v>1593</v>
      </c>
      <c r="AP107" s="94">
        <f ca="1">(1+race_food_consumption)*TblPop[[#This Row],[Total]]*food_per_person*(1+tech_1_10*TblTech[[#This Row],[1-10]]+tech_7_5*TblTech[[#This Row],[7-5]] + IF(TblMagic[[#This Row],[Active Infernal Command]]&gt;0,demonic_pact_food_cons,0))</f>
        <v>192.25</v>
      </c>
      <c r="AQ107" s="94">
        <f ca="1">TblProd[[#This Row],[Lumber]]*lumber_rot * (1 + tech_2_1*TblTech[[#This Row],[2-1]] + tech_2_8*TblTech[[#This Row],[2-8]] + tech_5_2*TblTech[[#This Row],[5-2]] + IF(AND(TblMagic[[#This Row],[Active DnD]]&lt;12,TblMagic[[#This Row],[Active DnD]]&gt;5),1,0))</f>
        <v>698.09</v>
      </c>
      <c r="AR107" s="94">
        <f ca="1">TblProd[[#This Row],[Mana]]*mana_drain * (1 + tech_2_1*TblTech[[#This Row],[2-1]] + tech_2_8*TblTech[[#This Row],[2-8]])</f>
        <v>0</v>
      </c>
      <c r="AS107" s="154"/>
      <c r="AT107" s="94">
        <f ca="1">TblExplore[[#This Row],[Platinum (2)]]+TblConstr[[#This Row],[Total Plat Cost]]+TblMili[[#This Row],[Plat Cost]]+TblRezone[[#This Row],[Platinum cost]]+TblImps[[#This Row],[P1]]-TblProd[[#This Row],[Bank Plat]]</f>
        <v>0</v>
      </c>
      <c r="AU107" s="94">
        <f ca="1">TblConstr[[#This Row],[Total Lum Cost]]+TblImps[[#This Row],[L1]]-TblProd[[#This Row],[Bank Lumber]] + Military!$CO$25*TblMili[[#This Row],[Sec. rec. Cost]]</f>
        <v>0</v>
      </c>
      <c r="AV107" s="94">
        <f ca="1">TblMagic[[#This Row],[Mana cost]] + Military!$CO$26*TblMili[[#This Row],[Sec. rec. Cost]]</f>
        <v>0</v>
      </c>
      <c r="AW107" s="94">
        <f ca="1">Military!$CO$24*TblMili[[#This Row],[Sec. rec. Cost]]+TblImps[[#This Row],[O1]]-TblProd[[#This Row],[Bank Ore]]</f>
        <v>0</v>
      </c>
      <c r="AX107" s="94">
        <f>TblImps[[#This Row],[G1]]-TblProd[[#This Row],[Bank Gems]]</f>
        <v>0</v>
      </c>
      <c r="AY107" s="142"/>
      <c r="AZ107" s="61" t="b">
        <f ca="1">IF(TblProd[[#This Row],[Set Guard]]&lt;&gt;"",TblProd[[#This Row],[Set Guard]],OFFSET(TblProd[[#This Row],[Guard]],-1,0))</f>
        <v>0</v>
      </c>
      <c r="BA107" s="153"/>
      <c r="BB107" s="45">
        <f>TblProd[[#This Row],[Hour]]</f>
        <v>56</v>
      </c>
      <c r="BC107" s="158">
        <f>-TblProd[[#This Row],[Bank Lumber]] / 2 + -TblProd[[#This Row],[Bank Gems]] * 2 + -TblProd[[#This Row],[Bank Ore]] / 2</f>
        <v>0</v>
      </c>
      <c r="BD107" s="158"/>
      <c r="BE107" s="158"/>
      <c r="BF107" s="158"/>
      <c r="BG107" s="159">
        <f ca="1">TblProd[[#This Row],[Time]]</f>
        <v>46324.291666666417</v>
      </c>
      <c r="BH107" s="45"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94">
        <f ca="1">TblProd[[#This Row],[Platinum]]</f>
        <v>201961</v>
      </c>
      <c r="BJ107" s="94">
        <f ca="1">TblProd[[#This Row],[Food]]</f>
        <v>159300</v>
      </c>
      <c r="BK107" s="94">
        <f ca="1">TblProd[[#This Row],[Lumber]]</f>
        <v>69809</v>
      </c>
      <c r="BL107" s="94">
        <f ca="1">TblProd[[#This Row],[Mana]]</f>
        <v>0</v>
      </c>
      <c r="BM107" s="94">
        <f ca="1">TblProd[[#This Row],[Ore]]</f>
        <v>0</v>
      </c>
    </row>
    <row r="108" spans="1:65" x14ac:dyDescent="0.2">
      <c r="A108" s="137">
        <f t="shared" si="0"/>
        <v>57</v>
      </c>
      <c r="B108" s="152">
        <f ca="1">TblImps[[#This Row],[Time]]</f>
        <v>46324.333333333081</v>
      </c>
      <c r="C108" s="153"/>
      <c r="D108" s="154"/>
      <c r="E108" s="94">
        <f ca="1">TblConstr[[#This Row],[Land]]</f>
        <v>50</v>
      </c>
      <c r="F108" s="94">
        <f ca="1">TblPop[[#This Row],[Peasants]]</f>
        <v>165</v>
      </c>
      <c r="G108" s="94">
        <f ca="1">TblMili[[#This Row],[Networth (2)]]</f>
        <v>1250</v>
      </c>
      <c r="H108" s="94">
        <f ca="1">OFFSET(TblProd[[#This Row],[Platinum]],-1,0)+OFFSET(TblProd[[#This Row],[Plat/hr]],-1,0) - TblProd[[#This Row],[Expenses Platinum]] + IF(TblProd[[#This Row],[Plat Bonus]],TblPop[[#This Row],[Peasants]]*4) + SUM(TblConstr[[#This Row],[Dest Hom]:[Dest Doc]])*TblConstr[[#This Row],[CPA Platinum -DB]]*tech_3_3_2*TblTech[[#This Row],[3-3]]</f>
        <v>202411</v>
      </c>
      <c r="I108" s="94">
        <f ca="1">OFFSET(TblProd[[#This Row],[Food]],-1,0)+OFFSET(TblProd[[#This Row],[Food/hr]],-1,0)+ROUNDUP((TblConstr[[#This Row],[Farms]]*80+TblConstr[[#This Row],[Docks]]*35)*(1+OFFSET(TblProd[[#This Row],[Bonus Food/hr]],-1,0)),0)</f>
        <v>160095</v>
      </c>
      <c r="J108" s="94">
        <f ca="1">OFFSET(TblProd[[#This Row],[Lumber]],-1,0)+OFFSET(TblProd[[#This Row],[Lumber/hr]],-1,0) - TblProd[[#This Row],[Expenses Lumber]] + SUM(TblConstr[[#This Row],[Dest Hom]:[Dest Doc]])*TblConstr[[#This Row],[CPA Lumber -DB]]*tech_3_3_2*TblTech[[#This Row],[3-3]]</f>
        <v>70111</v>
      </c>
      <c r="K108" s="94">
        <f ca="1">OFFSET(TblProd[[#This Row],[Mana]],-1,0)+OFFSET(TblProd[[#This Row],[Mana/hr]],-1,0)- TblProd[[#This Row],[Expenses Mana]]</f>
        <v>0</v>
      </c>
      <c r="L108" s="94">
        <f ca="1">OFFSET(TblProd[[#This Row],[Ore]],-1,0)+OFFSET(TblProd[[#This Row],[Ore/hr]],-1,0) -TblProd[[#This Row],[Expenses Ore]]</f>
        <v>0</v>
      </c>
      <c r="M108" s="94">
        <f ca="1">OFFSET(TblProd[[#This Row],[Gems]],-1,0)+OFFSET(TblProd[[#This Row],[Gems/hr]],-1,0) - TblProd[[#This Row],[Expenses Gems]]</f>
        <v>0</v>
      </c>
      <c r="N108" s="94">
        <f ca="1">OFFSET(TblProd[[#This Row],[Boats]],-1,0)+OFFSET(TblProd[[#This Row],[Boats/hr]],-1,0)</f>
        <v>0</v>
      </c>
      <c r="O108" s="94">
        <f ca="1">OFFSET(TblProd[[#This Row],[Prestige]],-1,0)</f>
        <v>250</v>
      </c>
      <c r="P10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8" s="94">
        <f ca="1">MAX(_xlfn.CEILING.MATH(TblProd[[#This Row],[Land]]*2.5+IFERROR(OFFSET(TblTech[[#This Row],[Sum of tech]],-1,0)*50,0)),3750)</f>
        <v>3750</v>
      </c>
      <c r="R108" s="142"/>
      <c r="S108" s="94">
        <f ca="1">ROUNDDOWN(TblProd[[#This Row],[Raw Plat/hr]]*(1+TblProd[[#This Row],[Bonus Plat/hr]]),0)</f>
        <v>445</v>
      </c>
      <c r="T108" s="94">
        <f ca="1">ROUND(TblProd[[#This Row],[Raw Food/hr]]*(1+TblProd[[#This Row],[Bonus Food/hr]])-TblProd[[#This Row],[Food decay]]-TblProd[[#This Row],[Food eaten]],0)</f>
        <v>787</v>
      </c>
      <c r="U108" s="94">
        <f ca="1">ROUND(TblProd[[#This Row],[Raw Lumber/hr]]*(1+TblProd[[#This Row],[Bonus Lumber/hr]])-TblProd[[#This Row],[Lumber rot]],0)</f>
        <v>299</v>
      </c>
      <c r="V108" s="94">
        <f ca="1">ROUND(TblProd[[#This Row],[Raw Mana/hr]]*(1+TblProd[[#This Row],[Bonus Mana/hr]])-TblProd[[#This Row],[Mana drain]],0)</f>
        <v>0</v>
      </c>
      <c r="W108" s="94">
        <f ca="1">ROUNDDOWN(TblProd[[#This Row],[Raw Ore/hr]]*(1+TblProd[[#This Row],[Bonux Ore/hr]]),0)</f>
        <v>0</v>
      </c>
      <c r="X108" s="94">
        <f ca="1">ROUNDDOWN(TblProd[[#This Row],[Raw Gems/hr]]*(1+TblProd[[#This Row],[Bonus Gems/hr]]),0)</f>
        <v>0</v>
      </c>
      <c r="Y108" s="155">
        <f ca="1">OFFSET(TblConstr[[#This Row],[Tot Doc]],1,0)*dock_boats_hr * (1 + tech_4_1*TblTech[[#This Row],[4-1]])</f>
        <v>0</v>
      </c>
      <c r="Z108" s="154"/>
      <c r="AA108" s="94">
        <f ca="1">TblPop[[#This Row],[Peasants]]*tax*TblPop[[#This Row],[Employment]] + (Construction!AZ109+Construction!BX109)*(alch_plat+(Magic!AN108&gt;0)*alchemist_flame_bonus)</f>
        <v>445.50000000000006</v>
      </c>
      <c r="AB108" s="94">
        <f ca="1">TblConstr[[#This Row],[Tot Farm]]*farm_food + TblConstr[[#This Row],[Tot Doc]]*dock_food</f>
        <v>2400</v>
      </c>
      <c r="AC108" s="94">
        <f ca="1">TblConstr[[#This Row],[Tot Ly]]*ly_lumber + TblConstr[[#This Row],[Tot Hav]]*fh_lumber + IF(race="Wood Elf",TblMili[[#This Row],[Unit 2]]*MIN(TblMili[[#This Row],[Homeland%]]/wisp_bonus,wisp_cap),0)</f>
        <v>1000</v>
      </c>
      <c r="AD108" s="94">
        <f ca="1">OFFSET(TblConstr[[#This Row],[Tot Tow]],1,0)*(tower_mana + tech_4_5*TblTech[[#This Row],[4-5]]) + OFFSET(TblConstr[[#This Row],[Tot WG]],1,0)*wg_mana_prod</f>
        <v>0</v>
      </c>
      <c r="AE108" s="94">
        <f ca="1">OFFSET(TblConstr[[#This Row],[Tot OM]],1,0)*om_ore+IF(race="Dwarf",TblMili[[#This Row],[Unit 2]]*0.5,0)</f>
        <v>0</v>
      </c>
      <c r="AF108" s="94">
        <f ca="1">OFFSET(TblConstr[[#This Row],[Tot DM]],1,0)*dm_gems</f>
        <v>0</v>
      </c>
      <c r="AG108" s="142"/>
      <c r="AH108" s="156">
        <f ca="1">MIN(race_platinum_bonus + IF(TblMagic[[#This Row],[Active Arc Infusion]]&gt;0,alch_frost_bonus,IF(Magic!AE108&gt;0,midas_bonus)) + TblImps[[#This Row],[Science]] - TblProd[[#This Row],[Guard]]*(0.02 + tech_5_7*TblTech[[#This Row],[5-7]]) + tech_1_5*TblTech[[#This Row],[1-5]] + tech_4_4*TblTech[[#This Row],[4-4]] + IF(TblMagic[[#This Row],[Active Infernal Command]]&gt;0,demonic_pact_plat,0), 0.5)</f>
        <v>0</v>
      </c>
      <c r="AI10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8" s="156">
        <f ca="1">race_lumber_bonus+ IF(TblMagic[[#This Row],[Active Gaia''s Blessing]]&gt;0,gaias_blessing_lumber)+ tech_1_3*TblTech[[#This Row],[1-3]] + tech_1_6*TblTech[[#This Row],[1-6]] + tech_3_3*TblTech[[#This Row],[3-3]]</f>
        <v>0</v>
      </c>
      <c r="AK108" s="156">
        <f ca="1">race_mana_bonus+ 0 + TblImps[[#This Row],[Spires]] + tech_1_2*TblTech[[#This Row],[1-2]] + tech_3_4*TblTech[[#This Row],[3-4]]</f>
        <v>0</v>
      </c>
      <c r="AL108" s="156">
        <f ca="1">race_ore_bonus + IF(TblMagic[[#This Row],[Active Miner''s Sight]]&gt;0,miners_sight_bonus,IF(TblMagic[[#This Row],[Active Mining Strength]]&gt;0,mining_strength_bonus)) +  tech_1_6*TblTech[[#This Row],[1-6]]</f>
        <v>0</v>
      </c>
      <c r="AM108" s="156">
        <f>race_gem_bonus+ tech_3_2*TblTech[[#This Row],[3-2]] + tech_4_3*TblTech[[#This Row],[4-3]] + tech_6_2*TblTech[[#This Row],[6-2]]</f>
        <v>0</v>
      </c>
      <c r="AN108" s="142"/>
      <c r="AO108" s="94">
        <f ca="1">TblProd[[#This Row],[Food]]*food_decay * (1 + tech_2_1*TblTech[[#This Row],[2-1]] + tech_2_8*TblTech[[#This Row],[2-8]] + IF(AND(TblMagic[[#This Row],[Active DnD]]&lt;12,TblMagic[[#This Row],[Active DnD]]&gt;5),1,0))</f>
        <v>1600.95</v>
      </c>
      <c r="AP108" s="94">
        <f ca="1">(1+race_food_consumption)*TblPop[[#This Row],[Total]]*food_per_person*(1+tech_1_10*TblTech[[#This Row],[1-10]]+tech_7_5*TblTech[[#This Row],[7-5]] + IF(TblMagic[[#This Row],[Active Infernal Command]]&gt;0,demonic_pact_food_cons,0))</f>
        <v>192.25</v>
      </c>
      <c r="AQ108" s="94">
        <f ca="1">TblProd[[#This Row],[Lumber]]*lumber_rot * (1 + tech_2_1*TblTech[[#This Row],[2-1]] + tech_2_8*TblTech[[#This Row],[2-8]] + tech_5_2*TblTech[[#This Row],[5-2]] + IF(AND(TblMagic[[#This Row],[Active DnD]]&lt;12,TblMagic[[#This Row],[Active DnD]]&gt;5),1,0))</f>
        <v>701.11</v>
      </c>
      <c r="AR108" s="94">
        <f ca="1">TblProd[[#This Row],[Mana]]*mana_drain * (1 + tech_2_1*TblTech[[#This Row],[2-1]] + tech_2_8*TblTech[[#This Row],[2-8]])</f>
        <v>0</v>
      </c>
      <c r="AS108" s="154"/>
      <c r="AT108" s="94">
        <f ca="1">TblExplore[[#This Row],[Platinum (2)]]+TblConstr[[#This Row],[Total Plat Cost]]+TblMili[[#This Row],[Plat Cost]]+TblRezone[[#This Row],[Platinum cost]]+TblImps[[#This Row],[P1]]-TblProd[[#This Row],[Bank Plat]]</f>
        <v>0</v>
      </c>
      <c r="AU108" s="94">
        <f ca="1">TblConstr[[#This Row],[Total Lum Cost]]+TblImps[[#This Row],[L1]]-TblProd[[#This Row],[Bank Lumber]] + Military!$CO$25*TblMili[[#This Row],[Sec. rec. Cost]]</f>
        <v>0</v>
      </c>
      <c r="AV108" s="94">
        <f ca="1">TblMagic[[#This Row],[Mana cost]] + Military!$CO$26*TblMili[[#This Row],[Sec. rec. Cost]]</f>
        <v>0</v>
      </c>
      <c r="AW108" s="94">
        <f ca="1">Military!$CO$24*TblMili[[#This Row],[Sec. rec. Cost]]+TblImps[[#This Row],[O1]]-TblProd[[#This Row],[Bank Ore]]</f>
        <v>0</v>
      </c>
      <c r="AX108" s="94">
        <f>TblImps[[#This Row],[G1]]-TblProd[[#This Row],[Bank Gems]]</f>
        <v>0</v>
      </c>
      <c r="AY108" s="142"/>
      <c r="AZ108" s="61" t="b">
        <f ca="1">IF(TblProd[[#This Row],[Set Guard]]&lt;&gt;"",TblProd[[#This Row],[Set Guard]],OFFSET(TblProd[[#This Row],[Guard]],-1,0))</f>
        <v>0</v>
      </c>
      <c r="BA108" s="153"/>
      <c r="BB108" s="45">
        <f>TblProd[[#This Row],[Hour]]</f>
        <v>57</v>
      </c>
      <c r="BC108" s="158">
        <f>-TblProd[[#This Row],[Bank Lumber]] / 2 + -TblProd[[#This Row],[Bank Gems]] * 2 + -TblProd[[#This Row],[Bank Ore]] / 2</f>
        <v>0</v>
      </c>
      <c r="BD108" s="158"/>
      <c r="BE108" s="158"/>
      <c r="BF108" s="158"/>
      <c r="BG108" s="159">
        <f ca="1">TblProd[[#This Row],[Time]]</f>
        <v>46324.333333333081</v>
      </c>
      <c r="BH108" s="45"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94">
        <f ca="1">TblProd[[#This Row],[Platinum]]</f>
        <v>202411</v>
      </c>
      <c r="BJ108" s="94">
        <f ca="1">TblProd[[#This Row],[Food]]</f>
        <v>160095</v>
      </c>
      <c r="BK108" s="94">
        <f ca="1">TblProd[[#This Row],[Lumber]]</f>
        <v>70111</v>
      </c>
      <c r="BL108" s="94">
        <f ca="1">TblProd[[#This Row],[Mana]]</f>
        <v>0</v>
      </c>
      <c r="BM108" s="94">
        <f ca="1">TblProd[[#This Row],[Ore]]</f>
        <v>0</v>
      </c>
    </row>
    <row r="109" spans="1:65" x14ac:dyDescent="0.2">
      <c r="A109" s="137">
        <f t="shared" si="0"/>
        <v>58</v>
      </c>
      <c r="B109" s="152">
        <f ca="1">TblImps[[#This Row],[Time]]</f>
        <v>46324.374999999745</v>
      </c>
      <c r="C109" s="153"/>
      <c r="D109" s="154"/>
      <c r="E109" s="94">
        <f ca="1">TblConstr[[#This Row],[Land]]</f>
        <v>50</v>
      </c>
      <c r="F109" s="94">
        <f ca="1">TblPop[[#This Row],[Peasants]]</f>
        <v>163</v>
      </c>
      <c r="G109" s="94">
        <f ca="1">TblMili[[#This Row],[Networth (2)]]</f>
        <v>1250</v>
      </c>
      <c r="H109" s="94">
        <f ca="1">OFFSET(TblProd[[#This Row],[Platinum]],-1,0)+OFFSET(TblProd[[#This Row],[Plat/hr]],-1,0) - TblProd[[#This Row],[Expenses Platinum]] + IF(TblProd[[#This Row],[Plat Bonus]],TblPop[[#This Row],[Peasants]]*4) + SUM(TblConstr[[#This Row],[Dest Hom]:[Dest Doc]])*TblConstr[[#This Row],[CPA Platinum -DB]]*tech_3_3_2*TblTech[[#This Row],[3-3]]</f>
        <v>202856</v>
      </c>
      <c r="I109" s="94">
        <f ca="1">OFFSET(TblProd[[#This Row],[Food]],-1,0)+OFFSET(TblProd[[#This Row],[Food/hr]],-1,0)+ROUNDUP((TblConstr[[#This Row],[Farms]]*80+TblConstr[[#This Row],[Docks]]*35)*(1+OFFSET(TblProd[[#This Row],[Bonus Food/hr]],-1,0)),0)</f>
        <v>160882</v>
      </c>
      <c r="J109" s="94">
        <f ca="1">OFFSET(TblProd[[#This Row],[Lumber]],-1,0)+OFFSET(TblProd[[#This Row],[Lumber/hr]],-1,0) - TblProd[[#This Row],[Expenses Lumber]] + SUM(TblConstr[[#This Row],[Dest Hom]:[Dest Doc]])*TblConstr[[#This Row],[CPA Lumber -DB]]*tech_3_3_2*TblTech[[#This Row],[3-3]]</f>
        <v>70410</v>
      </c>
      <c r="K109" s="94">
        <f ca="1">OFFSET(TblProd[[#This Row],[Mana]],-1,0)+OFFSET(TblProd[[#This Row],[Mana/hr]],-1,0)- TblProd[[#This Row],[Expenses Mana]]</f>
        <v>0</v>
      </c>
      <c r="L109" s="94">
        <f ca="1">OFFSET(TblProd[[#This Row],[Ore]],-1,0)+OFFSET(TblProd[[#This Row],[Ore/hr]],-1,0) -TblProd[[#This Row],[Expenses Ore]]</f>
        <v>0</v>
      </c>
      <c r="M109" s="94">
        <f ca="1">OFFSET(TblProd[[#This Row],[Gems]],-1,0)+OFFSET(TblProd[[#This Row],[Gems/hr]],-1,0) - TblProd[[#This Row],[Expenses Gems]]</f>
        <v>0</v>
      </c>
      <c r="N109" s="94">
        <f ca="1">OFFSET(TblProd[[#This Row],[Boats]],-1,0)+OFFSET(TblProd[[#This Row],[Boats/hr]],-1,0)</f>
        <v>0</v>
      </c>
      <c r="O109" s="94">
        <f ca="1">OFFSET(TblProd[[#This Row],[Prestige]],-1,0)</f>
        <v>250</v>
      </c>
      <c r="P10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9" s="94">
        <f ca="1">MAX(_xlfn.CEILING.MATH(TblProd[[#This Row],[Land]]*2.5+IFERROR(OFFSET(TblTech[[#This Row],[Sum of tech]],-1,0)*50,0)),3750)</f>
        <v>3750</v>
      </c>
      <c r="R109" s="142"/>
      <c r="S109" s="94">
        <f ca="1">ROUNDDOWN(TblProd[[#This Row],[Raw Plat/hr]]*(1+TblProd[[#This Row],[Bonus Plat/hr]]),0)</f>
        <v>440</v>
      </c>
      <c r="T109" s="94">
        <f ca="1">ROUND(TblProd[[#This Row],[Raw Food/hr]]*(1+TblProd[[#This Row],[Bonus Food/hr]])-TblProd[[#This Row],[Food decay]]-TblProd[[#This Row],[Food eaten]],0)</f>
        <v>779</v>
      </c>
      <c r="U109" s="94">
        <f ca="1">ROUND(TblProd[[#This Row],[Raw Lumber/hr]]*(1+TblProd[[#This Row],[Bonus Lumber/hr]])-TblProd[[#This Row],[Lumber rot]],0)</f>
        <v>296</v>
      </c>
      <c r="V109" s="94">
        <f ca="1">ROUND(TblProd[[#This Row],[Raw Mana/hr]]*(1+TblProd[[#This Row],[Bonus Mana/hr]])-TblProd[[#This Row],[Mana drain]],0)</f>
        <v>0</v>
      </c>
      <c r="W109" s="94">
        <f ca="1">ROUNDDOWN(TblProd[[#This Row],[Raw Ore/hr]]*(1+TblProd[[#This Row],[Bonux Ore/hr]]),0)</f>
        <v>0</v>
      </c>
      <c r="X109" s="94">
        <f ca="1">ROUNDDOWN(TblProd[[#This Row],[Raw Gems/hr]]*(1+TblProd[[#This Row],[Bonus Gems/hr]]),0)</f>
        <v>0</v>
      </c>
      <c r="Y109" s="155">
        <f ca="1">OFFSET(TblConstr[[#This Row],[Tot Doc]],1,0)*dock_boats_hr * (1 + tech_4_1*TblTech[[#This Row],[4-1]])</f>
        <v>0</v>
      </c>
      <c r="Z109" s="154"/>
      <c r="AA109" s="94">
        <f ca="1">TblPop[[#This Row],[Peasants]]*tax*TblPop[[#This Row],[Employment]] + (Construction!AZ110+Construction!BX110)*(alch_plat+(Magic!AN109&gt;0)*alchemist_flame_bonus)</f>
        <v>440.1</v>
      </c>
      <c r="AB109" s="94">
        <f ca="1">TblConstr[[#This Row],[Tot Farm]]*farm_food + TblConstr[[#This Row],[Tot Doc]]*dock_food</f>
        <v>2400</v>
      </c>
      <c r="AC109" s="94">
        <f ca="1">TblConstr[[#This Row],[Tot Ly]]*ly_lumber + TblConstr[[#This Row],[Tot Hav]]*fh_lumber + IF(race="Wood Elf",TblMili[[#This Row],[Unit 2]]*MIN(TblMili[[#This Row],[Homeland%]]/wisp_bonus,wisp_cap),0)</f>
        <v>1000</v>
      </c>
      <c r="AD109" s="94">
        <f ca="1">OFFSET(TblConstr[[#This Row],[Tot Tow]],1,0)*(tower_mana + tech_4_5*TblTech[[#This Row],[4-5]]) + OFFSET(TblConstr[[#This Row],[Tot WG]],1,0)*wg_mana_prod</f>
        <v>0</v>
      </c>
      <c r="AE109" s="94">
        <f ca="1">OFFSET(TblConstr[[#This Row],[Tot OM]],1,0)*om_ore+IF(race="Dwarf",TblMili[[#This Row],[Unit 2]]*0.5,0)</f>
        <v>0</v>
      </c>
      <c r="AF109" s="94">
        <f ca="1">OFFSET(TblConstr[[#This Row],[Tot DM]],1,0)*dm_gems</f>
        <v>0</v>
      </c>
      <c r="AG109" s="142"/>
      <c r="AH109" s="156">
        <f ca="1">MIN(race_platinum_bonus + IF(TblMagic[[#This Row],[Active Arc Infusion]]&gt;0,alch_frost_bonus,IF(Magic!AE109&gt;0,midas_bonus)) + TblImps[[#This Row],[Science]] - TblProd[[#This Row],[Guard]]*(0.02 + tech_5_7*TblTech[[#This Row],[5-7]]) + tech_1_5*TblTech[[#This Row],[1-5]] + tech_4_4*TblTech[[#This Row],[4-4]] + IF(TblMagic[[#This Row],[Active Infernal Command]]&gt;0,demonic_pact_plat,0), 0.5)</f>
        <v>0</v>
      </c>
      <c r="AI10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9" s="156">
        <f ca="1">race_lumber_bonus+ IF(TblMagic[[#This Row],[Active Gaia''s Blessing]]&gt;0,gaias_blessing_lumber)+ tech_1_3*TblTech[[#This Row],[1-3]] + tech_1_6*TblTech[[#This Row],[1-6]] + tech_3_3*TblTech[[#This Row],[3-3]]</f>
        <v>0</v>
      </c>
      <c r="AK109" s="156">
        <f ca="1">race_mana_bonus+ 0 + TblImps[[#This Row],[Spires]] + tech_1_2*TblTech[[#This Row],[1-2]] + tech_3_4*TblTech[[#This Row],[3-4]]</f>
        <v>0</v>
      </c>
      <c r="AL109" s="156">
        <f ca="1">race_ore_bonus + IF(TblMagic[[#This Row],[Active Miner''s Sight]]&gt;0,miners_sight_bonus,IF(TblMagic[[#This Row],[Active Mining Strength]]&gt;0,mining_strength_bonus)) +  tech_1_6*TblTech[[#This Row],[1-6]]</f>
        <v>0</v>
      </c>
      <c r="AM109" s="156">
        <f>race_gem_bonus+ tech_3_2*TblTech[[#This Row],[3-2]] + tech_4_3*TblTech[[#This Row],[4-3]] + tech_6_2*TblTech[[#This Row],[6-2]]</f>
        <v>0</v>
      </c>
      <c r="AN109" s="142"/>
      <c r="AO109" s="94">
        <f ca="1">TblProd[[#This Row],[Food]]*food_decay * (1 + tech_2_1*TblTech[[#This Row],[2-1]] + tech_2_8*TblTech[[#This Row],[2-8]] + IF(AND(TblMagic[[#This Row],[Active DnD]]&lt;12,TblMagic[[#This Row],[Active DnD]]&gt;5),1,0))</f>
        <v>1608.82</v>
      </c>
      <c r="AP109" s="94">
        <f ca="1">(1+race_food_consumption)*TblPop[[#This Row],[Total]]*food_per_person*(1+tech_1_10*TblTech[[#This Row],[1-10]]+tech_7_5*TblTech[[#This Row],[7-5]] + IF(TblMagic[[#This Row],[Active Infernal Command]]&gt;0,demonic_pact_food_cons,0))</f>
        <v>192.25</v>
      </c>
      <c r="AQ109" s="94">
        <f ca="1">TblProd[[#This Row],[Lumber]]*lumber_rot * (1 + tech_2_1*TblTech[[#This Row],[2-1]] + tech_2_8*TblTech[[#This Row],[2-8]] + tech_5_2*TblTech[[#This Row],[5-2]] + IF(AND(TblMagic[[#This Row],[Active DnD]]&lt;12,TblMagic[[#This Row],[Active DnD]]&gt;5),1,0))</f>
        <v>704.1</v>
      </c>
      <c r="AR109" s="94">
        <f ca="1">TblProd[[#This Row],[Mana]]*mana_drain * (1 + tech_2_1*TblTech[[#This Row],[2-1]] + tech_2_8*TblTech[[#This Row],[2-8]])</f>
        <v>0</v>
      </c>
      <c r="AS109" s="154"/>
      <c r="AT109" s="94">
        <f ca="1">TblExplore[[#This Row],[Platinum (2)]]+TblConstr[[#This Row],[Total Plat Cost]]+TblMili[[#This Row],[Plat Cost]]+TblRezone[[#This Row],[Platinum cost]]+TblImps[[#This Row],[P1]]-TblProd[[#This Row],[Bank Plat]]</f>
        <v>0</v>
      </c>
      <c r="AU109" s="94">
        <f ca="1">TblConstr[[#This Row],[Total Lum Cost]]+TblImps[[#This Row],[L1]]-TblProd[[#This Row],[Bank Lumber]] + Military!$CO$25*TblMili[[#This Row],[Sec. rec. Cost]]</f>
        <v>0</v>
      </c>
      <c r="AV109" s="94">
        <f ca="1">TblMagic[[#This Row],[Mana cost]] + Military!$CO$26*TblMili[[#This Row],[Sec. rec. Cost]]</f>
        <v>0</v>
      </c>
      <c r="AW109" s="94">
        <f ca="1">Military!$CO$24*TblMili[[#This Row],[Sec. rec. Cost]]+TblImps[[#This Row],[O1]]-TblProd[[#This Row],[Bank Ore]]</f>
        <v>0</v>
      </c>
      <c r="AX109" s="94">
        <f>TblImps[[#This Row],[G1]]-TblProd[[#This Row],[Bank Gems]]</f>
        <v>0</v>
      </c>
      <c r="AY109" s="142"/>
      <c r="AZ109" s="61" t="b">
        <f ca="1">IF(TblProd[[#This Row],[Set Guard]]&lt;&gt;"",TblProd[[#This Row],[Set Guard]],OFFSET(TblProd[[#This Row],[Guard]],-1,0))</f>
        <v>0</v>
      </c>
      <c r="BA109" s="153"/>
      <c r="BB109" s="45">
        <f>TblProd[[#This Row],[Hour]]</f>
        <v>58</v>
      </c>
      <c r="BC109" s="158">
        <f>-TblProd[[#This Row],[Bank Lumber]] / 2 + -TblProd[[#This Row],[Bank Gems]] * 2 + -TblProd[[#This Row],[Bank Ore]] / 2</f>
        <v>0</v>
      </c>
      <c r="BD109" s="158"/>
      <c r="BE109" s="158"/>
      <c r="BF109" s="158"/>
      <c r="BG109" s="159">
        <f ca="1">TblProd[[#This Row],[Time]]</f>
        <v>46324.374999999745</v>
      </c>
      <c r="BH109" s="45"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94">
        <f ca="1">TblProd[[#This Row],[Platinum]]</f>
        <v>202856</v>
      </c>
      <c r="BJ109" s="94">
        <f ca="1">TblProd[[#This Row],[Food]]</f>
        <v>160882</v>
      </c>
      <c r="BK109" s="94">
        <f ca="1">TblProd[[#This Row],[Lumber]]</f>
        <v>70410</v>
      </c>
      <c r="BL109" s="94">
        <f ca="1">TblProd[[#This Row],[Mana]]</f>
        <v>0</v>
      </c>
      <c r="BM109" s="94">
        <f ca="1">TblProd[[#This Row],[Ore]]</f>
        <v>0</v>
      </c>
    </row>
    <row r="110" spans="1:65" x14ac:dyDescent="0.2">
      <c r="A110" s="137">
        <f t="shared" si="0"/>
        <v>59</v>
      </c>
      <c r="B110" s="152">
        <f ca="1">TblImps[[#This Row],[Time]]</f>
        <v>46324.41666666641</v>
      </c>
      <c r="C110" s="153"/>
      <c r="D110" s="154"/>
      <c r="E110" s="94">
        <f ca="1">TblConstr[[#This Row],[Land]]</f>
        <v>50</v>
      </c>
      <c r="F110" s="94">
        <f ca="1">TblPop[[#This Row],[Peasants]]</f>
        <v>161</v>
      </c>
      <c r="G110" s="94">
        <f ca="1">TblMili[[#This Row],[Networth (2)]]</f>
        <v>1250</v>
      </c>
      <c r="H110" s="94">
        <f ca="1">OFFSET(TblProd[[#This Row],[Platinum]],-1,0)+OFFSET(TblProd[[#This Row],[Plat/hr]],-1,0) - TblProd[[#This Row],[Expenses Platinum]] + IF(TblProd[[#This Row],[Plat Bonus]],TblPop[[#This Row],[Peasants]]*4) + SUM(TblConstr[[#This Row],[Dest Hom]:[Dest Doc]])*TblConstr[[#This Row],[CPA Platinum -DB]]*tech_3_3_2*TblTech[[#This Row],[3-3]]</f>
        <v>203296</v>
      </c>
      <c r="I110" s="94">
        <f ca="1">OFFSET(TblProd[[#This Row],[Food]],-1,0)+OFFSET(TblProd[[#This Row],[Food/hr]],-1,0)+ROUNDUP((TblConstr[[#This Row],[Farms]]*80+TblConstr[[#This Row],[Docks]]*35)*(1+OFFSET(TblProd[[#This Row],[Bonus Food/hr]],-1,0)),0)</f>
        <v>161661</v>
      </c>
      <c r="J110" s="94">
        <f ca="1">OFFSET(TblProd[[#This Row],[Lumber]],-1,0)+OFFSET(TblProd[[#This Row],[Lumber/hr]],-1,0) - TblProd[[#This Row],[Expenses Lumber]] + SUM(TblConstr[[#This Row],[Dest Hom]:[Dest Doc]])*TblConstr[[#This Row],[CPA Lumber -DB]]*tech_3_3_2*TblTech[[#This Row],[3-3]]</f>
        <v>70706</v>
      </c>
      <c r="K110" s="94">
        <f ca="1">OFFSET(TblProd[[#This Row],[Mana]],-1,0)+OFFSET(TblProd[[#This Row],[Mana/hr]],-1,0)- TblProd[[#This Row],[Expenses Mana]]</f>
        <v>0</v>
      </c>
      <c r="L110" s="94">
        <f ca="1">OFFSET(TblProd[[#This Row],[Ore]],-1,0)+OFFSET(TblProd[[#This Row],[Ore/hr]],-1,0) -TblProd[[#This Row],[Expenses Ore]]</f>
        <v>0</v>
      </c>
      <c r="M110" s="94">
        <f ca="1">OFFSET(TblProd[[#This Row],[Gems]],-1,0)+OFFSET(TblProd[[#This Row],[Gems/hr]],-1,0) - TblProd[[#This Row],[Expenses Gems]]</f>
        <v>0</v>
      </c>
      <c r="N110" s="94">
        <f ca="1">OFFSET(TblProd[[#This Row],[Boats]],-1,0)+OFFSET(TblProd[[#This Row],[Boats/hr]],-1,0)</f>
        <v>0</v>
      </c>
      <c r="O110" s="94">
        <f ca="1">OFFSET(TblProd[[#This Row],[Prestige]],-1,0)</f>
        <v>250</v>
      </c>
      <c r="P11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0" s="94">
        <f ca="1">MAX(_xlfn.CEILING.MATH(TblProd[[#This Row],[Land]]*2.5+IFERROR(OFFSET(TblTech[[#This Row],[Sum of tech]],-1,0)*50,0)),3750)</f>
        <v>3750</v>
      </c>
      <c r="R110" s="142"/>
      <c r="S110" s="94">
        <f ca="1">ROUNDDOWN(TblProd[[#This Row],[Raw Plat/hr]]*(1+TblProd[[#This Row],[Bonus Plat/hr]]),0)</f>
        <v>434</v>
      </c>
      <c r="T110" s="94">
        <f ca="1">ROUND(TblProd[[#This Row],[Raw Food/hr]]*(1+TblProd[[#This Row],[Bonus Food/hr]])-TblProd[[#This Row],[Food decay]]-TblProd[[#This Row],[Food eaten]],0)</f>
        <v>771</v>
      </c>
      <c r="U110" s="94">
        <f ca="1">ROUND(TblProd[[#This Row],[Raw Lumber/hr]]*(1+TblProd[[#This Row],[Bonus Lumber/hr]])-TblProd[[#This Row],[Lumber rot]],0)</f>
        <v>293</v>
      </c>
      <c r="V110" s="94">
        <f ca="1">ROUND(TblProd[[#This Row],[Raw Mana/hr]]*(1+TblProd[[#This Row],[Bonus Mana/hr]])-TblProd[[#This Row],[Mana drain]],0)</f>
        <v>0</v>
      </c>
      <c r="W110" s="94">
        <f ca="1">ROUNDDOWN(TblProd[[#This Row],[Raw Ore/hr]]*(1+TblProd[[#This Row],[Bonux Ore/hr]]),0)</f>
        <v>0</v>
      </c>
      <c r="X110" s="94">
        <f ca="1">ROUNDDOWN(TblProd[[#This Row],[Raw Gems/hr]]*(1+TblProd[[#This Row],[Bonus Gems/hr]]),0)</f>
        <v>0</v>
      </c>
      <c r="Y110" s="155">
        <f ca="1">OFFSET(TblConstr[[#This Row],[Tot Doc]],1,0)*dock_boats_hr * (1 + tech_4_1*TblTech[[#This Row],[4-1]])</f>
        <v>0</v>
      </c>
      <c r="Z110" s="154"/>
      <c r="AA110" s="94">
        <f ca="1">TblPop[[#This Row],[Peasants]]*tax*TblPop[[#This Row],[Employment]] + (Construction!AZ111+Construction!BX111)*(alch_plat+(Magic!AN110&gt;0)*alchemist_flame_bonus)</f>
        <v>434.70000000000005</v>
      </c>
      <c r="AB110" s="94">
        <f ca="1">TblConstr[[#This Row],[Tot Farm]]*farm_food + TblConstr[[#This Row],[Tot Doc]]*dock_food</f>
        <v>2400</v>
      </c>
      <c r="AC110" s="94">
        <f ca="1">TblConstr[[#This Row],[Tot Ly]]*ly_lumber + TblConstr[[#This Row],[Tot Hav]]*fh_lumber + IF(race="Wood Elf",TblMili[[#This Row],[Unit 2]]*MIN(TblMili[[#This Row],[Homeland%]]/wisp_bonus,wisp_cap),0)</f>
        <v>1000</v>
      </c>
      <c r="AD110" s="94">
        <f ca="1">OFFSET(TblConstr[[#This Row],[Tot Tow]],1,0)*(tower_mana + tech_4_5*TblTech[[#This Row],[4-5]]) + OFFSET(TblConstr[[#This Row],[Tot WG]],1,0)*wg_mana_prod</f>
        <v>0</v>
      </c>
      <c r="AE110" s="94">
        <f ca="1">OFFSET(TblConstr[[#This Row],[Tot OM]],1,0)*om_ore+IF(race="Dwarf",TblMili[[#This Row],[Unit 2]]*0.5,0)</f>
        <v>0</v>
      </c>
      <c r="AF110" s="94">
        <f ca="1">OFFSET(TblConstr[[#This Row],[Tot DM]],1,0)*dm_gems</f>
        <v>0</v>
      </c>
      <c r="AG110" s="142"/>
      <c r="AH110" s="156">
        <f ca="1">MIN(race_platinum_bonus + IF(TblMagic[[#This Row],[Active Arc Infusion]]&gt;0,alch_frost_bonus,IF(Magic!AE110&gt;0,midas_bonus)) + TblImps[[#This Row],[Science]] - TblProd[[#This Row],[Guard]]*(0.02 + tech_5_7*TblTech[[#This Row],[5-7]]) + tech_1_5*TblTech[[#This Row],[1-5]] + tech_4_4*TblTech[[#This Row],[4-4]] + IF(TblMagic[[#This Row],[Active Infernal Command]]&gt;0,demonic_pact_plat,0), 0.5)</f>
        <v>0</v>
      </c>
      <c r="AI11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0" s="156">
        <f ca="1">race_lumber_bonus+ IF(TblMagic[[#This Row],[Active Gaia''s Blessing]]&gt;0,gaias_blessing_lumber)+ tech_1_3*TblTech[[#This Row],[1-3]] + tech_1_6*TblTech[[#This Row],[1-6]] + tech_3_3*TblTech[[#This Row],[3-3]]</f>
        <v>0</v>
      </c>
      <c r="AK110" s="156">
        <f ca="1">race_mana_bonus+ 0 + TblImps[[#This Row],[Spires]] + tech_1_2*TblTech[[#This Row],[1-2]] + tech_3_4*TblTech[[#This Row],[3-4]]</f>
        <v>0</v>
      </c>
      <c r="AL110" s="156">
        <f ca="1">race_ore_bonus + IF(TblMagic[[#This Row],[Active Miner''s Sight]]&gt;0,miners_sight_bonus,IF(TblMagic[[#This Row],[Active Mining Strength]]&gt;0,mining_strength_bonus)) +  tech_1_6*TblTech[[#This Row],[1-6]]</f>
        <v>0</v>
      </c>
      <c r="AM110" s="156">
        <f>race_gem_bonus+ tech_3_2*TblTech[[#This Row],[3-2]] + tech_4_3*TblTech[[#This Row],[4-3]] + tech_6_2*TblTech[[#This Row],[6-2]]</f>
        <v>0</v>
      </c>
      <c r="AN110" s="142"/>
      <c r="AO110" s="94">
        <f ca="1">TblProd[[#This Row],[Food]]*food_decay * (1 + tech_2_1*TblTech[[#This Row],[2-1]] + tech_2_8*TblTech[[#This Row],[2-8]] + IF(AND(TblMagic[[#This Row],[Active DnD]]&lt;12,TblMagic[[#This Row],[Active DnD]]&gt;5),1,0))</f>
        <v>1616.6100000000001</v>
      </c>
      <c r="AP110" s="94">
        <f ca="1">(1+race_food_consumption)*TblPop[[#This Row],[Total]]*food_per_person*(1+tech_1_10*TblTech[[#This Row],[1-10]]+tech_7_5*TblTech[[#This Row],[7-5]] + IF(TblMagic[[#This Row],[Active Infernal Command]]&gt;0,demonic_pact_food_cons,0))</f>
        <v>192.25</v>
      </c>
      <c r="AQ110" s="94">
        <f ca="1">TblProd[[#This Row],[Lumber]]*lumber_rot * (1 + tech_2_1*TblTech[[#This Row],[2-1]] + tech_2_8*TblTech[[#This Row],[2-8]] + tech_5_2*TblTech[[#This Row],[5-2]] + IF(AND(TblMagic[[#This Row],[Active DnD]]&lt;12,TblMagic[[#This Row],[Active DnD]]&gt;5),1,0))</f>
        <v>707.06000000000006</v>
      </c>
      <c r="AR110" s="94">
        <f ca="1">TblProd[[#This Row],[Mana]]*mana_drain * (1 + tech_2_1*TblTech[[#This Row],[2-1]] + tech_2_8*TblTech[[#This Row],[2-8]])</f>
        <v>0</v>
      </c>
      <c r="AS110" s="154"/>
      <c r="AT110" s="94">
        <f ca="1">TblExplore[[#This Row],[Platinum (2)]]+TblConstr[[#This Row],[Total Plat Cost]]+TblMili[[#This Row],[Plat Cost]]+TblRezone[[#This Row],[Platinum cost]]+TblImps[[#This Row],[P1]]-TblProd[[#This Row],[Bank Plat]]</f>
        <v>0</v>
      </c>
      <c r="AU110" s="94">
        <f ca="1">TblConstr[[#This Row],[Total Lum Cost]]+TblImps[[#This Row],[L1]]-TblProd[[#This Row],[Bank Lumber]] + Military!$CO$25*TblMili[[#This Row],[Sec. rec. Cost]]</f>
        <v>0</v>
      </c>
      <c r="AV110" s="94">
        <f ca="1">TblMagic[[#This Row],[Mana cost]] + Military!$CO$26*TblMili[[#This Row],[Sec. rec. Cost]]</f>
        <v>0</v>
      </c>
      <c r="AW110" s="94">
        <f ca="1">Military!$CO$24*TblMili[[#This Row],[Sec. rec. Cost]]+TblImps[[#This Row],[O1]]-TblProd[[#This Row],[Bank Ore]]</f>
        <v>0</v>
      </c>
      <c r="AX110" s="94">
        <f>TblImps[[#This Row],[G1]]-TblProd[[#This Row],[Bank Gems]]</f>
        <v>0</v>
      </c>
      <c r="AY110" s="142"/>
      <c r="AZ110" s="61" t="b">
        <f ca="1">IF(TblProd[[#This Row],[Set Guard]]&lt;&gt;"",TblProd[[#This Row],[Set Guard]],OFFSET(TblProd[[#This Row],[Guard]],-1,0))</f>
        <v>0</v>
      </c>
      <c r="BA110" s="153"/>
      <c r="BB110" s="45">
        <f>TblProd[[#This Row],[Hour]]</f>
        <v>59</v>
      </c>
      <c r="BC110" s="158">
        <f>-TblProd[[#This Row],[Bank Lumber]] / 2 + -TblProd[[#This Row],[Bank Gems]] * 2 + -TblProd[[#This Row],[Bank Ore]] / 2</f>
        <v>0</v>
      </c>
      <c r="BD110" s="158"/>
      <c r="BE110" s="158"/>
      <c r="BF110" s="158"/>
      <c r="BG110" s="159">
        <f ca="1">TblProd[[#This Row],[Time]]</f>
        <v>46324.41666666641</v>
      </c>
      <c r="BH110" s="45"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94">
        <f ca="1">TblProd[[#This Row],[Platinum]]</f>
        <v>203296</v>
      </c>
      <c r="BJ110" s="94">
        <f ca="1">TblProd[[#This Row],[Food]]</f>
        <v>161661</v>
      </c>
      <c r="BK110" s="94">
        <f ca="1">TblProd[[#This Row],[Lumber]]</f>
        <v>70706</v>
      </c>
      <c r="BL110" s="94">
        <f ca="1">TblProd[[#This Row],[Mana]]</f>
        <v>0</v>
      </c>
      <c r="BM110" s="94">
        <f ca="1">TblProd[[#This Row],[Ore]]</f>
        <v>0</v>
      </c>
    </row>
    <row r="111" spans="1:65" x14ac:dyDescent="0.2">
      <c r="A111" s="137">
        <f t="shared" si="0"/>
        <v>60</v>
      </c>
      <c r="B111" s="152">
        <f ca="1">TblImps[[#This Row],[Time]]</f>
        <v>46324.458333333074</v>
      </c>
      <c r="C111" s="153"/>
      <c r="D111" s="154"/>
      <c r="E111" s="94">
        <f ca="1">TblConstr[[#This Row],[Land]]</f>
        <v>50</v>
      </c>
      <c r="F111" s="94">
        <f ca="1">TblPop[[#This Row],[Peasants]]</f>
        <v>159</v>
      </c>
      <c r="G111" s="94">
        <f ca="1">TblMili[[#This Row],[Networth (2)]]</f>
        <v>1250</v>
      </c>
      <c r="H111" s="94">
        <f ca="1">OFFSET(TblProd[[#This Row],[Platinum]],-1,0)+OFFSET(TblProd[[#This Row],[Plat/hr]],-1,0) - TblProd[[#This Row],[Expenses Platinum]] + IF(TblProd[[#This Row],[Plat Bonus]],TblPop[[#This Row],[Peasants]]*4) + SUM(TblConstr[[#This Row],[Dest Hom]:[Dest Doc]])*TblConstr[[#This Row],[CPA Platinum -DB]]*tech_3_3_2*TblTech[[#This Row],[3-3]]</f>
        <v>203730</v>
      </c>
      <c r="I111" s="94">
        <f ca="1">OFFSET(TblProd[[#This Row],[Food]],-1,0)+OFFSET(TblProd[[#This Row],[Food/hr]],-1,0)+ROUNDUP((TblConstr[[#This Row],[Farms]]*80+TblConstr[[#This Row],[Docks]]*35)*(1+OFFSET(TblProd[[#This Row],[Bonus Food/hr]],-1,0)),0)</f>
        <v>162432</v>
      </c>
      <c r="J111" s="94">
        <f ca="1">OFFSET(TblProd[[#This Row],[Lumber]],-1,0)+OFFSET(TblProd[[#This Row],[Lumber/hr]],-1,0) - TblProd[[#This Row],[Expenses Lumber]] + SUM(TblConstr[[#This Row],[Dest Hom]:[Dest Doc]])*TblConstr[[#This Row],[CPA Lumber -DB]]*tech_3_3_2*TblTech[[#This Row],[3-3]]</f>
        <v>70999</v>
      </c>
      <c r="K111" s="94">
        <f ca="1">OFFSET(TblProd[[#This Row],[Mana]],-1,0)+OFFSET(TblProd[[#This Row],[Mana/hr]],-1,0)- TblProd[[#This Row],[Expenses Mana]]</f>
        <v>0</v>
      </c>
      <c r="L111" s="94">
        <f ca="1">OFFSET(TblProd[[#This Row],[Ore]],-1,0)+OFFSET(TblProd[[#This Row],[Ore/hr]],-1,0) -TblProd[[#This Row],[Expenses Ore]]</f>
        <v>0</v>
      </c>
      <c r="M111" s="94">
        <f ca="1">OFFSET(TblProd[[#This Row],[Gems]],-1,0)+OFFSET(TblProd[[#This Row],[Gems/hr]],-1,0) - TblProd[[#This Row],[Expenses Gems]]</f>
        <v>0</v>
      </c>
      <c r="N111" s="94">
        <f ca="1">OFFSET(TblProd[[#This Row],[Boats]],-1,0)+OFFSET(TblProd[[#This Row],[Boats/hr]],-1,0)</f>
        <v>0</v>
      </c>
      <c r="O111" s="94">
        <f ca="1">OFFSET(TblProd[[#This Row],[Prestige]],-1,0)</f>
        <v>250</v>
      </c>
      <c r="P11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1" s="94">
        <f ca="1">MAX(_xlfn.CEILING.MATH(TblProd[[#This Row],[Land]]*2.5+IFERROR(OFFSET(TblTech[[#This Row],[Sum of tech]],-1,0)*50,0)),3750)</f>
        <v>3750</v>
      </c>
      <c r="R111" s="142"/>
      <c r="S111" s="94">
        <f ca="1">ROUNDDOWN(TblProd[[#This Row],[Raw Plat/hr]]*(1+TblProd[[#This Row],[Bonus Plat/hr]]),0)</f>
        <v>429</v>
      </c>
      <c r="T111" s="94">
        <f ca="1">ROUND(TblProd[[#This Row],[Raw Food/hr]]*(1+TblProd[[#This Row],[Bonus Food/hr]])-TblProd[[#This Row],[Food decay]]-TblProd[[#This Row],[Food eaten]],0)</f>
        <v>763</v>
      </c>
      <c r="U111" s="94">
        <f ca="1">ROUND(TblProd[[#This Row],[Raw Lumber/hr]]*(1+TblProd[[#This Row],[Bonus Lumber/hr]])-TblProd[[#This Row],[Lumber rot]],0)</f>
        <v>290</v>
      </c>
      <c r="V111" s="94">
        <f ca="1">ROUND(TblProd[[#This Row],[Raw Mana/hr]]*(1+TblProd[[#This Row],[Bonus Mana/hr]])-TblProd[[#This Row],[Mana drain]],0)</f>
        <v>0</v>
      </c>
      <c r="W111" s="94">
        <f ca="1">ROUNDDOWN(TblProd[[#This Row],[Raw Ore/hr]]*(1+TblProd[[#This Row],[Bonux Ore/hr]]),0)</f>
        <v>0</v>
      </c>
      <c r="X111" s="94">
        <f ca="1">ROUNDDOWN(TblProd[[#This Row],[Raw Gems/hr]]*(1+TblProd[[#This Row],[Bonus Gems/hr]]),0)</f>
        <v>0</v>
      </c>
      <c r="Y111" s="155">
        <f ca="1">OFFSET(TblConstr[[#This Row],[Tot Doc]],1,0)*dock_boats_hr * (1 + tech_4_1*TblTech[[#This Row],[4-1]])</f>
        <v>0</v>
      </c>
      <c r="Z111" s="154"/>
      <c r="AA111" s="94">
        <f ca="1">TblPop[[#This Row],[Peasants]]*tax*TblPop[[#This Row],[Employment]] + (Construction!AZ112+Construction!BX112)*(alch_plat+(Magic!AN111&gt;0)*alchemist_flame_bonus)</f>
        <v>429.3</v>
      </c>
      <c r="AB111" s="94">
        <f ca="1">TblConstr[[#This Row],[Tot Farm]]*farm_food + TblConstr[[#This Row],[Tot Doc]]*dock_food</f>
        <v>2400</v>
      </c>
      <c r="AC111" s="94">
        <f ca="1">TblConstr[[#This Row],[Tot Ly]]*ly_lumber + TblConstr[[#This Row],[Tot Hav]]*fh_lumber + IF(race="Wood Elf",TblMili[[#This Row],[Unit 2]]*MIN(TblMili[[#This Row],[Homeland%]]/wisp_bonus,wisp_cap),0)</f>
        <v>1000</v>
      </c>
      <c r="AD111" s="94">
        <f ca="1">OFFSET(TblConstr[[#This Row],[Tot Tow]],1,0)*(tower_mana + tech_4_5*TblTech[[#This Row],[4-5]]) + OFFSET(TblConstr[[#This Row],[Tot WG]],1,0)*wg_mana_prod</f>
        <v>0</v>
      </c>
      <c r="AE111" s="94">
        <f ca="1">OFFSET(TblConstr[[#This Row],[Tot OM]],1,0)*om_ore+IF(race="Dwarf",TblMili[[#This Row],[Unit 2]]*0.5,0)</f>
        <v>0</v>
      </c>
      <c r="AF111" s="94">
        <f ca="1">OFFSET(TblConstr[[#This Row],[Tot DM]],1,0)*dm_gems</f>
        <v>0</v>
      </c>
      <c r="AG111" s="142"/>
      <c r="AH111" s="156">
        <f ca="1">MIN(race_platinum_bonus + IF(TblMagic[[#This Row],[Active Arc Infusion]]&gt;0,alch_frost_bonus,IF(Magic!AE111&gt;0,midas_bonus)) + TblImps[[#This Row],[Science]] - TblProd[[#This Row],[Guard]]*(0.02 + tech_5_7*TblTech[[#This Row],[5-7]]) + tech_1_5*TblTech[[#This Row],[1-5]] + tech_4_4*TblTech[[#This Row],[4-4]] + IF(TblMagic[[#This Row],[Active Infernal Command]]&gt;0,demonic_pact_plat,0), 0.5)</f>
        <v>0</v>
      </c>
      <c r="AI11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1" s="156">
        <f ca="1">race_lumber_bonus+ IF(TblMagic[[#This Row],[Active Gaia''s Blessing]]&gt;0,gaias_blessing_lumber)+ tech_1_3*TblTech[[#This Row],[1-3]] + tech_1_6*TblTech[[#This Row],[1-6]] + tech_3_3*TblTech[[#This Row],[3-3]]</f>
        <v>0</v>
      </c>
      <c r="AK111" s="156">
        <f ca="1">race_mana_bonus+ 0 + TblImps[[#This Row],[Spires]] + tech_1_2*TblTech[[#This Row],[1-2]] + tech_3_4*TblTech[[#This Row],[3-4]]</f>
        <v>0</v>
      </c>
      <c r="AL111" s="156">
        <f ca="1">race_ore_bonus + IF(TblMagic[[#This Row],[Active Miner''s Sight]]&gt;0,miners_sight_bonus,IF(TblMagic[[#This Row],[Active Mining Strength]]&gt;0,mining_strength_bonus)) +  tech_1_6*TblTech[[#This Row],[1-6]]</f>
        <v>0</v>
      </c>
      <c r="AM111" s="156">
        <f>race_gem_bonus+ tech_3_2*TblTech[[#This Row],[3-2]] + tech_4_3*TblTech[[#This Row],[4-3]] + tech_6_2*TblTech[[#This Row],[6-2]]</f>
        <v>0</v>
      </c>
      <c r="AN111" s="142"/>
      <c r="AO111" s="94">
        <f ca="1">TblProd[[#This Row],[Food]]*food_decay * (1 + tech_2_1*TblTech[[#This Row],[2-1]] + tech_2_8*TblTech[[#This Row],[2-8]] + IF(AND(TblMagic[[#This Row],[Active DnD]]&lt;12,TblMagic[[#This Row],[Active DnD]]&gt;5),1,0))</f>
        <v>1624.32</v>
      </c>
      <c r="AP111" s="94">
        <f ca="1">(1+race_food_consumption)*TblPop[[#This Row],[Total]]*food_per_person*(1+tech_1_10*TblTech[[#This Row],[1-10]]+tech_7_5*TblTech[[#This Row],[7-5]] + IF(TblMagic[[#This Row],[Active Infernal Command]]&gt;0,demonic_pact_food_cons,0))</f>
        <v>192.25</v>
      </c>
      <c r="AQ111" s="94">
        <f ca="1">TblProd[[#This Row],[Lumber]]*lumber_rot * (1 + tech_2_1*TblTech[[#This Row],[2-1]] + tech_2_8*TblTech[[#This Row],[2-8]] + tech_5_2*TblTech[[#This Row],[5-2]] + IF(AND(TblMagic[[#This Row],[Active DnD]]&lt;12,TblMagic[[#This Row],[Active DnD]]&gt;5),1,0))</f>
        <v>709.99</v>
      </c>
      <c r="AR111" s="94">
        <f ca="1">TblProd[[#This Row],[Mana]]*mana_drain * (1 + tech_2_1*TblTech[[#This Row],[2-1]] + tech_2_8*TblTech[[#This Row],[2-8]])</f>
        <v>0</v>
      </c>
      <c r="AS111" s="154"/>
      <c r="AT111" s="94">
        <f ca="1">TblExplore[[#This Row],[Platinum (2)]]+TblConstr[[#This Row],[Total Plat Cost]]+TblMili[[#This Row],[Plat Cost]]+TblRezone[[#This Row],[Platinum cost]]+TblImps[[#This Row],[P1]]-TblProd[[#This Row],[Bank Plat]]</f>
        <v>0</v>
      </c>
      <c r="AU111" s="94">
        <f ca="1">TblConstr[[#This Row],[Total Lum Cost]]+TblImps[[#This Row],[L1]]-TblProd[[#This Row],[Bank Lumber]] + Military!$CO$25*TblMili[[#This Row],[Sec. rec. Cost]]</f>
        <v>0</v>
      </c>
      <c r="AV111" s="94">
        <f ca="1">TblMagic[[#This Row],[Mana cost]] + Military!$CO$26*TblMili[[#This Row],[Sec. rec. Cost]]</f>
        <v>0</v>
      </c>
      <c r="AW111" s="94">
        <f ca="1">Military!$CO$24*TblMili[[#This Row],[Sec. rec. Cost]]+TblImps[[#This Row],[O1]]-TblProd[[#This Row],[Bank Ore]]</f>
        <v>0</v>
      </c>
      <c r="AX111" s="94">
        <f>TblImps[[#This Row],[G1]]-TblProd[[#This Row],[Bank Gems]]</f>
        <v>0</v>
      </c>
      <c r="AY111" s="142"/>
      <c r="AZ111" s="61" t="b">
        <f ca="1">IF(TblProd[[#This Row],[Set Guard]]&lt;&gt;"",TblProd[[#This Row],[Set Guard]],OFFSET(TblProd[[#This Row],[Guard]],-1,0))</f>
        <v>0</v>
      </c>
      <c r="BA111" s="153"/>
      <c r="BB111" s="45">
        <f>TblProd[[#This Row],[Hour]]</f>
        <v>60</v>
      </c>
      <c r="BC111" s="158">
        <f>-TblProd[[#This Row],[Bank Lumber]] / 2 + -TblProd[[#This Row],[Bank Gems]] * 2 + -TblProd[[#This Row],[Bank Ore]] / 2</f>
        <v>0</v>
      </c>
      <c r="BD111" s="158"/>
      <c r="BE111" s="158"/>
      <c r="BF111" s="158"/>
      <c r="BG111" s="159">
        <f ca="1">TblProd[[#This Row],[Time]]</f>
        <v>46324.458333333074</v>
      </c>
      <c r="BH111" s="45"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94">
        <f ca="1">TblProd[[#This Row],[Platinum]]</f>
        <v>203730</v>
      </c>
      <c r="BJ111" s="94">
        <f ca="1">TblProd[[#This Row],[Food]]</f>
        <v>162432</v>
      </c>
      <c r="BK111" s="94">
        <f ca="1">TblProd[[#This Row],[Lumber]]</f>
        <v>70999</v>
      </c>
      <c r="BL111" s="94">
        <f ca="1">TblProd[[#This Row],[Mana]]</f>
        <v>0</v>
      </c>
      <c r="BM111" s="94">
        <f ca="1">TblProd[[#This Row],[Ore]]</f>
        <v>0</v>
      </c>
    </row>
    <row r="112" spans="1:65" x14ac:dyDescent="0.2">
      <c r="A112" s="137">
        <f t="shared" si="0"/>
        <v>61</v>
      </c>
      <c r="B112" s="152">
        <f ca="1">TblImps[[#This Row],[Time]]</f>
        <v>46324.499999999738</v>
      </c>
      <c r="C112" s="153"/>
      <c r="D112" s="154"/>
      <c r="E112" s="94">
        <f ca="1">TblConstr[[#This Row],[Land]]</f>
        <v>50</v>
      </c>
      <c r="F112" s="94">
        <f ca="1">TblPop[[#This Row],[Peasants]]</f>
        <v>157</v>
      </c>
      <c r="G112" s="94">
        <f ca="1">TblMili[[#This Row],[Networth (2)]]</f>
        <v>1250</v>
      </c>
      <c r="H112" s="94">
        <f ca="1">OFFSET(TblProd[[#This Row],[Platinum]],-1,0)+OFFSET(TblProd[[#This Row],[Plat/hr]],-1,0) - TblProd[[#This Row],[Expenses Platinum]] + IF(TblProd[[#This Row],[Plat Bonus]],TblPop[[#This Row],[Peasants]]*4) + SUM(TblConstr[[#This Row],[Dest Hom]:[Dest Doc]])*TblConstr[[#This Row],[CPA Platinum -DB]]*tech_3_3_2*TblTech[[#This Row],[3-3]]</f>
        <v>204159</v>
      </c>
      <c r="I112" s="94">
        <f ca="1">OFFSET(TblProd[[#This Row],[Food]],-1,0)+OFFSET(TblProd[[#This Row],[Food/hr]],-1,0)+ROUNDUP((TblConstr[[#This Row],[Farms]]*80+TblConstr[[#This Row],[Docks]]*35)*(1+OFFSET(TblProd[[#This Row],[Bonus Food/hr]],-1,0)),0)</f>
        <v>163195</v>
      </c>
      <c r="J112" s="94">
        <f ca="1">OFFSET(TblProd[[#This Row],[Lumber]],-1,0)+OFFSET(TblProd[[#This Row],[Lumber/hr]],-1,0) - TblProd[[#This Row],[Expenses Lumber]] + SUM(TblConstr[[#This Row],[Dest Hom]:[Dest Doc]])*TblConstr[[#This Row],[CPA Lumber -DB]]*tech_3_3_2*TblTech[[#This Row],[3-3]]</f>
        <v>71289</v>
      </c>
      <c r="K112" s="94">
        <f ca="1">OFFSET(TblProd[[#This Row],[Mana]],-1,0)+OFFSET(TblProd[[#This Row],[Mana/hr]],-1,0)- TblProd[[#This Row],[Expenses Mana]]</f>
        <v>0</v>
      </c>
      <c r="L112" s="94">
        <f ca="1">OFFSET(TblProd[[#This Row],[Ore]],-1,0)+OFFSET(TblProd[[#This Row],[Ore/hr]],-1,0) -TblProd[[#This Row],[Expenses Ore]]</f>
        <v>0</v>
      </c>
      <c r="M112" s="94">
        <f ca="1">OFFSET(TblProd[[#This Row],[Gems]],-1,0)+OFFSET(TblProd[[#This Row],[Gems/hr]],-1,0) - TblProd[[#This Row],[Expenses Gems]]</f>
        <v>0</v>
      </c>
      <c r="N112" s="94">
        <f ca="1">OFFSET(TblProd[[#This Row],[Boats]],-1,0)+OFFSET(TblProd[[#This Row],[Boats/hr]],-1,0)</f>
        <v>0</v>
      </c>
      <c r="O112" s="94">
        <f ca="1">OFFSET(TblProd[[#This Row],[Prestige]],-1,0)</f>
        <v>250</v>
      </c>
      <c r="P11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2" s="94">
        <f ca="1">MAX(_xlfn.CEILING.MATH(TblProd[[#This Row],[Land]]*2.5+IFERROR(OFFSET(TblTech[[#This Row],[Sum of tech]],-1,0)*50,0)),3750)</f>
        <v>3750</v>
      </c>
      <c r="R112" s="142"/>
      <c r="S112" s="94">
        <f ca="1">ROUNDDOWN(TblProd[[#This Row],[Raw Plat/hr]]*(1+TblProd[[#This Row],[Bonus Plat/hr]]),0)</f>
        <v>423</v>
      </c>
      <c r="T112" s="94">
        <f ca="1">ROUND(TblProd[[#This Row],[Raw Food/hr]]*(1+TblProd[[#This Row],[Bonus Food/hr]])-TblProd[[#This Row],[Food decay]]-TblProd[[#This Row],[Food eaten]],0)</f>
        <v>756</v>
      </c>
      <c r="U112" s="94">
        <f ca="1">ROUND(TblProd[[#This Row],[Raw Lumber/hr]]*(1+TblProd[[#This Row],[Bonus Lumber/hr]])-TblProd[[#This Row],[Lumber rot]],0)</f>
        <v>287</v>
      </c>
      <c r="V112" s="94">
        <f ca="1">ROUND(TblProd[[#This Row],[Raw Mana/hr]]*(1+TblProd[[#This Row],[Bonus Mana/hr]])-TblProd[[#This Row],[Mana drain]],0)</f>
        <v>0</v>
      </c>
      <c r="W112" s="94">
        <f ca="1">ROUNDDOWN(TblProd[[#This Row],[Raw Ore/hr]]*(1+TblProd[[#This Row],[Bonux Ore/hr]]),0)</f>
        <v>0</v>
      </c>
      <c r="X112" s="94">
        <f ca="1">ROUNDDOWN(TblProd[[#This Row],[Raw Gems/hr]]*(1+TblProd[[#This Row],[Bonus Gems/hr]]),0)</f>
        <v>0</v>
      </c>
      <c r="Y112" s="155">
        <f ca="1">OFFSET(TblConstr[[#This Row],[Tot Doc]],1,0)*dock_boats_hr * (1 + tech_4_1*TblTech[[#This Row],[4-1]])</f>
        <v>0</v>
      </c>
      <c r="Z112" s="154"/>
      <c r="AA112" s="94">
        <f ca="1">TblPop[[#This Row],[Peasants]]*tax*TblPop[[#This Row],[Employment]] + (Construction!AZ113+Construction!BX113)*(alch_plat+(Magic!AN112&gt;0)*alchemist_flame_bonus)</f>
        <v>423.90000000000003</v>
      </c>
      <c r="AB112" s="94">
        <f ca="1">TblConstr[[#This Row],[Tot Farm]]*farm_food + TblConstr[[#This Row],[Tot Doc]]*dock_food</f>
        <v>2400</v>
      </c>
      <c r="AC112" s="94">
        <f ca="1">TblConstr[[#This Row],[Tot Ly]]*ly_lumber + TblConstr[[#This Row],[Tot Hav]]*fh_lumber + IF(race="Wood Elf",TblMili[[#This Row],[Unit 2]]*MIN(TblMili[[#This Row],[Homeland%]]/wisp_bonus,wisp_cap),0)</f>
        <v>1000</v>
      </c>
      <c r="AD112" s="94">
        <f ca="1">OFFSET(TblConstr[[#This Row],[Tot Tow]],1,0)*(tower_mana + tech_4_5*TblTech[[#This Row],[4-5]]) + OFFSET(TblConstr[[#This Row],[Tot WG]],1,0)*wg_mana_prod</f>
        <v>0</v>
      </c>
      <c r="AE112" s="94">
        <f ca="1">OFFSET(TblConstr[[#This Row],[Tot OM]],1,0)*om_ore+IF(race="Dwarf",TblMili[[#This Row],[Unit 2]]*0.5,0)</f>
        <v>0</v>
      </c>
      <c r="AF112" s="94">
        <f ca="1">OFFSET(TblConstr[[#This Row],[Tot DM]],1,0)*dm_gems</f>
        <v>0</v>
      </c>
      <c r="AG112" s="142"/>
      <c r="AH112" s="156">
        <f ca="1">MIN(race_platinum_bonus + IF(TblMagic[[#This Row],[Active Arc Infusion]]&gt;0,alch_frost_bonus,IF(Magic!AE112&gt;0,midas_bonus)) + TblImps[[#This Row],[Science]] - TblProd[[#This Row],[Guard]]*(0.02 + tech_5_7*TblTech[[#This Row],[5-7]]) + tech_1_5*TblTech[[#This Row],[1-5]] + tech_4_4*TblTech[[#This Row],[4-4]] + IF(TblMagic[[#This Row],[Active Infernal Command]]&gt;0,demonic_pact_plat,0), 0.5)</f>
        <v>0</v>
      </c>
      <c r="AI11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2" s="156">
        <f ca="1">race_lumber_bonus+ IF(TblMagic[[#This Row],[Active Gaia''s Blessing]]&gt;0,gaias_blessing_lumber)+ tech_1_3*TblTech[[#This Row],[1-3]] + tech_1_6*TblTech[[#This Row],[1-6]] + tech_3_3*TblTech[[#This Row],[3-3]]</f>
        <v>0</v>
      </c>
      <c r="AK112" s="156">
        <f ca="1">race_mana_bonus+ 0 + TblImps[[#This Row],[Spires]] + tech_1_2*TblTech[[#This Row],[1-2]] + tech_3_4*TblTech[[#This Row],[3-4]]</f>
        <v>0</v>
      </c>
      <c r="AL112" s="156">
        <f ca="1">race_ore_bonus + IF(TblMagic[[#This Row],[Active Miner''s Sight]]&gt;0,miners_sight_bonus,IF(TblMagic[[#This Row],[Active Mining Strength]]&gt;0,mining_strength_bonus)) +  tech_1_6*TblTech[[#This Row],[1-6]]</f>
        <v>0</v>
      </c>
      <c r="AM112" s="156">
        <f>race_gem_bonus+ tech_3_2*TblTech[[#This Row],[3-2]] + tech_4_3*TblTech[[#This Row],[4-3]] + tech_6_2*TblTech[[#This Row],[6-2]]</f>
        <v>0</v>
      </c>
      <c r="AN112" s="142"/>
      <c r="AO112" s="94">
        <f ca="1">TblProd[[#This Row],[Food]]*food_decay * (1 + tech_2_1*TblTech[[#This Row],[2-1]] + tech_2_8*TblTech[[#This Row],[2-8]] + IF(AND(TblMagic[[#This Row],[Active DnD]]&lt;12,TblMagic[[#This Row],[Active DnD]]&gt;5),1,0))</f>
        <v>1631.95</v>
      </c>
      <c r="AP112" s="94">
        <f ca="1">(1+race_food_consumption)*TblPop[[#This Row],[Total]]*food_per_person*(1+tech_1_10*TblTech[[#This Row],[1-10]]+tech_7_5*TblTech[[#This Row],[7-5]] + IF(TblMagic[[#This Row],[Active Infernal Command]]&gt;0,demonic_pact_food_cons,0))</f>
        <v>192.25</v>
      </c>
      <c r="AQ112" s="94">
        <f ca="1">TblProd[[#This Row],[Lumber]]*lumber_rot * (1 + tech_2_1*TblTech[[#This Row],[2-1]] + tech_2_8*TblTech[[#This Row],[2-8]] + tech_5_2*TblTech[[#This Row],[5-2]] + IF(AND(TblMagic[[#This Row],[Active DnD]]&lt;12,TblMagic[[#This Row],[Active DnD]]&gt;5),1,0))</f>
        <v>712.89</v>
      </c>
      <c r="AR112" s="94">
        <f ca="1">TblProd[[#This Row],[Mana]]*mana_drain * (1 + tech_2_1*TblTech[[#This Row],[2-1]] + tech_2_8*TblTech[[#This Row],[2-8]])</f>
        <v>0</v>
      </c>
      <c r="AS112" s="154"/>
      <c r="AT112" s="94">
        <f ca="1">TblExplore[[#This Row],[Platinum (2)]]+TblConstr[[#This Row],[Total Plat Cost]]+TblMili[[#This Row],[Plat Cost]]+TblRezone[[#This Row],[Platinum cost]]+TblImps[[#This Row],[P1]]-TblProd[[#This Row],[Bank Plat]]</f>
        <v>0</v>
      </c>
      <c r="AU112" s="94">
        <f ca="1">TblConstr[[#This Row],[Total Lum Cost]]+TblImps[[#This Row],[L1]]-TblProd[[#This Row],[Bank Lumber]] + Military!$CO$25*TblMili[[#This Row],[Sec. rec. Cost]]</f>
        <v>0</v>
      </c>
      <c r="AV112" s="94">
        <f ca="1">TblMagic[[#This Row],[Mana cost]] + Military!$CO$26*TblMili[[#This Row],[Sec. rec. Cost]]</f>
        <v>0</v>
      </c>
      <c r="AW112" s="94">
        <f ca="1">Military!$CO$24*TblMili[[#This Row],[Sec. rec. Cost]]+TblImps[[#This Row],[O1]]-TblProd[[#This Row],[Bank Ore]]</f>
        <v>0</v>
      </c>
      <c r="AX112" s="94">
        <f>TblImps[[#This Row],[G1]]-TblProd[[#This Row],[Bank Gems]]</f>
        <v>0</v>
      </c>
      <c r="AY112" s="142"/>
      <c r="AZ112" s="61" t="b">
        <f ca="1">IF(TblProd[[#This Row],[Set Guard]]&lt;&gt;"",TblProd[[#This Row],[Set Guard]],OFFSET(TblProd[[#This Row],[Guard]],-1,0))</f>
        <v>0</v>
      </c>
      <c r="BA112" s="153"/>
      <c r="BB112" s="45">
        <f>TblProd[[#This Row],[Hour]]</f>
        <v>61</v>
      </c>
      <c r="BC112" s="158">
        <f>-TblProd[[#This Row],[Bank Lumber]] / 2 + -TblProd[[#This Row],[Bank Gems]] * 2 + -TblProd[[#This Row],[Bank Ore]] / 2</f>
        <v>0</v>
      </c>
      <c r="BD112" s="158"/>
      <c r="BE112" s="158"/>
      <c r="BF112" s="158"/>
      <c r="BG112" s="159">
        <f ca="1">TblProd[[#This Row],[Time]]</f>
        <v>46324.499999999738</v>
      </c>
      <c r="BH112" s="45"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94">
        <f ca="1">TblProd[[#This Row],[Platinum]]</f>
        <v>204159</v>
      </c>
      <c r="BJ112" s="94">
        <f ca="1">TblProd[[#This Row],[Food]]</f>
        <v>163195</v>
      </c>
      <c r="BK112" s="94">
        <f ca="1">TblProd[[#This Row],[Lumber]]</f>
        <v>71289</v>
      </c>
      <c r="BL112" s="94">
        <f ca="1">TblProd[[#This Row],[Mana]]</f>
        <v>0</v>
      </c>
      <c r="BM112" s="94">
        <f ca="1">TblProd[[#This Row],[Ore]]</f>
        <v>0</v>
      </c>
    </row>
    <row r="113" spans="1:65" x14ac:dyDescent="0.2">
      <c r="A113" s="137">
        <f t="shared" si="0"/>
        <v>62</v>
      </c>
      <c r="B113" s="152">
        <f ca="1">TblImps[[#This Row],[Time]]</f>
        <v>46324.541666666402</v>
      </c>
      <c r="C113" s="153"/>
      <c r="D113" s="154"/>
      <c r="E113" s="94">
        <f ca="1">TblConstr[[#This Row],[Land]]</f>
        <v>50</v>
      </c>
      <c r="F113" s="94">
        <f ca="1">TblPop[[#This Row],[Peasants]]</f>
        <v>155</v>
      </c>
      <c r="G113" s="94">
        <f ca="1">TblMili[[#This Row],[Networth (2)]]</f>
        <v>1250</v>
      </c>
      <c r="H113" s="94">
        <f ca="1">OFFSET(TblProd[[#This Row],[Platinum]],-1,0)+OFFSET(TblProd[[#This Row],[Plat/hr]],-1,0) - TblProd[[#This Row],[Expenses Platinum]] + IF(TblProd[[#This Row],[Plat Bonus]],TblPop[[#This Row],[Peasants]]*4) + SUM(TblConstr[[#This Row],[Dest Hom]:[Dest Doc]])*TblConstr[[#This Row],[CPA Platinum -DB]]*tech_3_3_2*TblTech[[#This Row],[3-3]]</f>
        <v>204582</v>
      </c>
      <c r="I113" s="94">
        <f ca="1">OFFSET(TblProd[[#This Row],[Food]],-1,0)+OFFSET(TblProd[[#This Row],[Food/hr]],-1,0)+ROUNDUP((TblConstr[[#This Row],[Farms]]*80+TblConstr[[#This Row],[Docks]]*35)*(1+OFFSET(TblProd[[#This Row],[Bonus Food/hr]],-1,0)),0)</f>
        <v>163951</v>
      </c>
      <c r="J113" s="94">
        <f ca="1">OFFSET(TblProd[[#This Row],[Lumber]],-1,0)+OFFSET(TblProd[[#This Row],[Lumber/hr]],-1,0) - TblProd[[#This Row],[Expenses Lumber]] + SUM(TblConstr[[#This Row],[Dest Hom]:[Dest Doc]])*TblConstr[[#This Row],[CPA Lumber -DB]]*tech_3_3_2*TblTech[[#This Row],[3-3]]</f>
        <v>71576</v>
      </c>
      <c r="K113" s="94">
        <f ca="1">OFFSET(TblProd[[#This Row],[Mana]],-1,0)+OFFSET(TblProd[[#This Row],[Mana/hr]],-1,0)- TblProd[[#This Row],[Expenses Mana]]</f>
        <v>0</v>
      </c>
      <c r="L113" s="94">
        <f ca="1">OFFSET(TblProd[[#This Row],[Ore]],-1,0)+OFFSET(TblProd[[#This Row],[Ore/hr]],-1,0) -TblProd[[#This Row],[Expenses Ore]]</f>
        <v>0</v>
      </c>
      <c r="M113" s="94">
        <f ca="1">OFFSET(TblProd[[#This Row],[Gems]],-1,0)+OFFSET(TblProd[[#This Row],[Gems/hr]],-1,0) - TblProd[[#This Row],[Expenses Gems]]</f>
        <v>0</v>
      </c>
      <c r="N113" s="94">
        <f ca="1">OFFSET(TblProd[[#This Row],[Boats]],-1,0)+OFFSET(TblProd[[#This Row],[Boats/hr]],-1,0)</f>
        <v>0</v>
      </c>
      <c r="O113" s="94">
        <f ca="1">OFFSET(TblProd[[#This Row],[Prestige]],-1,0)</f>
        <v>250</v>
      </c>
      <c r="P11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3" s="94">
        <f ca="1">MAX(_xlfn.CEILING.MATH(TblProd[[#This Row],[Land]]*2.5+IFERROR(OFFSET(TblTech[[#This Row],[Sum of tech]],-1,0)*50,0)),3750)</f>
        <v>3750</v>
      </c>
      <c r="R113" s="142"/>
      <c r="S113" s="94">
        <f ca="1">ROUNDDOWN(TblProd[[#This Row],[Raw Plat/hr]]*(1+TblProd[[#This Row],[Bonus Plat/hr]]),0)</f>
        <v>418</v>
      </c>
      <c r="T113" s="94">
        <f ca="1">ROUND(TblProd[[#This Row],[Raw Food/hr]]*(1+TblProd[[#This Row],[Bonus Food/hr]])-TblProd[[#This Row],[Food decay]]-TblProd[[#This Row],[Food eaten]],0)</f>
        <v>748</v>
      </c>
      <c r="U113" s="94">
        <f ca="1">ROUND(TblProd[[#This Row],[Raw Lumber/hr]]*(1+TblProd[[#This Row],[Bonus Lumber/hr]])-TblProd[[#This Row],[Lumber rot]],0)</f>
        <v>284</v>
      </c>
      <c r="V113" s="94">
        <f ca="1">ROUND(TblProd[[#This Row],[Raw Mana/hr]]*(1+TblProd[[#This Row],[Bonus Mana/hr]])-TblProd[[#This Row],[Mana drain]],0)</f>
        <v>0</v>
      </c>
      <c r="W113" s="94">
        <f ca="1">ROUNDDOWN(TblProd[[#This Row],[Raw Ore/hr]]*(1+TblProd[[#This Row],[Bonux Ore/hr]]),0)</f>
        <v>0</v>
      </c>
      <c r="X113" s="94">
        <f ca="1">ROUNDDOWN(TblProd[[#This Row],[Raw Gems/hr]]*(1+TblProd[[#This Row],[Bonus Gems/hr]]),0)</f>
        <v>0</v>
      </c>
      <c r="Y113" s="155">
        <f ca="1">OFFSET(TblConstr[[#This Row],[Tot Doc]],1,0)*dock_boats_hr * (1 + tech_4_1*TblTech[[#This Row],[4-1]])</f>
        <v>0</v>
      </c>
      <c r="Z113" s="154"/>
      <c r="AA113" s="94">
        <f ca="1">TblPop[[#This Row],[Peasants]]*tax*TblPop[[#This Row],[Employment]] + (Construction!AZ114+Construction!BX114)*(alch_plat+(Magic!AN113&gt;0)*alchemist_flame_bonus)</f>
        <v>418.5</v>
      </c>
      <c r="AB113" s="94">
        <f ca="1">TblConstr[[#This Row],[Tot Farm]]*farm_food + TblConstr[[#This Row],[Tot Doc]]*dock_food</f>
        <v>2400</v>
      </c>
      <c r="AC113" s="94">
        <f ca="1">TblConstr[[#This Row],[Tot Ly]]*ly_lumber + TblConstr[[#This Row],[Tot Hav]]*fh_lumber + IF(race="Wood Elf",TblMili[[#This Row],[Unit 2]]*MIN(TblMili[[#This Row],[Homeland%]]/wisp_bonus,wisp_cap),0)</f>
        <v>1000</v>
      </c>
      <c r="AD113" s="94">
        <f ca="1">OFFSET(TblConstr[[#This Row],[Tot Tow]],1,0)*(tower_mana + tech_4_5*TblTech[[#This Row],[4-5]]) + OFFSET(TblConstr[[#This Row],[Tot WG]],1,0)*wg_mana_prod</f>
        <v>0</v>
      </c>
      <c r="AE113" s="94">
        <f ca="1">OFFSET(TblConstr[[#This Row],[Tot OM]],1,0)*om_ore+IF(race="Dwarf",TblMili[[#This Row],[Unit 2]]*0.5,0)</f>
        <v>0</v>
      </c>
      <c r="AF113" s="94">
        <f ca="1">OFFSET(TblConstr[[#This Row],[Tot DM]],1,0)*dm_gems</f>
        <v>0</v>
      </c>
      <c r="AG113" s="142"/>
      <c r="AH113" s="156">
        <f ca="1">MIN(race_platinum_bonus + IF(TblMagic[[#This Row],[Active Arc Infusion]]&gt;0,alch_frost_bonus,IF(Magic!AE113&gt;0,midas_bonus)) + TblImps[[#This Row],[Science]] - TblProd[[#This Row],[Guard]]*(0.02 + tech_5_7*TblTech[[#This Row],[5-7]]) + tech_1_5*TblTech[[#This Row],[1-5]] + tech_4_4*TblTech[[#This Row],[4-4]] + IF(TblMagic[[#This Row],[Active Infernal Command]]&gt;0,demonic_pact_plat,0), 0.5)</f>
        <v>0</v>
      </c>
      <c r="AI11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3" s="156">
        <f ca="1">race_lumber_bonus+ IF(TblMagic[[#This Row],[Active Gaia''s Blessing]]&gt;0,gaias_blessing_lumber)+ tech_1_3*TblTech[[#This Row],[1-3]] + tech_1_6*TblTech[[#This Row],[1-6]] + tech_3_3*TblTech[[#This Row],[3-3]]</f>
        <v>0</v>
      </c>
      <c r="AK113" s="156">
        <f ca="1">race_mana_bonus+ 0 + TblImps[[#This Row],[Spires]] + tech_1_2*TblTech[[#This Row],[1-2]] + tech_3_4*TblTech[[#This Row],[3-4]]</f>
        <v>0</v>
      </c>
      <c r="AL113" s="156">
        <f ca="1">race_ore_bonus + IF(TblMagic[[#This Row],[Active Miner''s Sight]]&gt;0,miners_sight_bonus,IF(TblMagic[[#This Row],[Active Mining Strength]]&gt;0,mining_strength_bonus)) +  tech_1_6*TblTech[[#This Row],[1-6]]</f>
        <v>0</v>
      </c>
      <c r="AM113" s="156">
        <f>race_gem_bonus+ tech_3_2*TblTech[[#This Row],[3-2]] + tech_4_3*TblTech[[#This Row],[4-3]] + tech_6_2*TblTech[[#This Row],[6-2]]</f>
        <v>0</v>
      </c>
      <c r="AN113" s="142"/>
      <c r="AO113" s="94">
        <f ca="1">TblProd[[#This Row],[Food]]*food_decay * (1 + tech_2_1*TblTech[[#This Row],[2-1]] + tech_2_8*TblTech[[#This Row],[2-8]] + IF(AND(TblMagic[[#This Row],[Active DnD]]&lt;12,TblMagic[[#This Row],[Active DnD]]&gt;5),1,0))</f>
        <v>1639.51</v>
      </c>
      <c r="AP113" s="94">
        <f ca="1">(1+race_food_consumption)*TblPop[[#This Row],[Total]]*food_per_person*(1+tech_1_10*TblTech[[#This Row],[1-10]]+tech_7_5*TblTech[[#This Row],[7-5]] + IF(TblMagic[[#This Row],[Active Infernal Command]]&gt;0,demonic_pact_food_cons,0))</f>
        <v>192.25</v>
      </c>
      <c r="AQ113" s="94">
        <f ca="1">TblProd[[#This Row],[Lumber]]*lumber_rot * (1 + tech_2_1*TblTech[[#This Row],[2-1]] + tech_2_8*TblTech[[#This Row],[2-8]] + tech_5_2*TblTech[[#This Row],[5-2]] + IF(AND(TblMagic[[#This Row],[Active DnD]]&lt;12,TblMagic[[#This Row],[Active DnD]]&gt;5),1,0))</f>
        <v>715.76</v>
      </c>
      <c r="AR113" s="94">
        <f ca="1">TblProd[[#This Row],[Mana]]*mana_drain * (1 + tech_2_1*TblTech[[#This Row],[2-1]] + tech_2_8*TblTech[[#This Row],[2-8]])</f>
        <v>0</v>
      </c>
      <c r="AS113" s="154"/>
      <c r="AT113" s="94">
        <f ca="1">TblExplore[[#This Row],[Platinum (2)]]+TblConstr[[#This Row],[Total Plat Cost]]+TblMili[[#This Row],[Plat Cost]]+TblRezone[[#This Row],[Platinum cost]]+TblImps[[#This Row],[P1]]-TblProd[[#This Row],[Bank Plat]]</f>
        <v>0</v>
      </c>
      <c r="AU113" s="94">
        <f ca="1">TblConstr[[#This Row],[Total Lum Cost]]+TblImps[[#This Row],[L1]]-TblProd[[#This Row],[Bank Lumber]] + Military!$CO$25*TblMili[[#This Row],[Sec. rec. Cost]]</f>
        <v>0</v>
      </c>
      <c r="AV113" s="94">
        <f ca="1">TblMagic[[#This Row],[Mana cost]] + Military!$CO$26*TblMili[[#This Row],[Sec. rec. Cost]]</f>
        <v>0</v>
      </c>
      <c r="AW113" s="94">
        <f ca="1">Military!$CO$24*TblMili[[#This Row],[Sec. rec. Cost]]+TblImps[[#This Row],[O1]]-TblProd[[#This Row],[Bank Ore]]</f>
        <v>0</v>
      </c>
      <c r="AX113" s="94">
        <f>TblImps[[#This Row],[G1]]-TblProd[[#This Row],[Bank Gems]]</f>
        <v>0</v>
      </c>
      <c r="AY113" s="142"/>
      <c r="AZ113" s="61" t="b">
        <f ca="1">IF(TblProd[[#This Row],[Set Guard]]&lt;&gt;"",TblProd[[#This Row],[Set Guard]],OFFSET(TblProd[[#This Row],[Guard]],-1,0))</f>
        <v>0</v>
      </c>
      <c r="BA113" s="153"/>
      <c r="BB113" s="45">
        <f>TblProd[[#This Row],[Hour]]</f>
        <v>62</v>
      </c>
      <c r="BC113" s="158">
        <f>-TblProd[[#This Row],[Bank Lumber]] / 2 + -TblProd[[#This Row],[Bank Gems]] * 2 + -TblProd[[#This Row],[Bank Ore]] / 2</f>
        <v>0</v>
      </c>
      <c r="BD113" s="158"/>
      <c r="BE113" s="158"/>
      <c r="BF113" s="158"/>
      <c r="BG113" s="159">
        <f ca="1">TblProd[[#This Row],[Time]]</f>
        <v>46324.541666666402</v>
      </c>
      <c r="BH113" s="45"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94">
        <f ca="1">TblProd[[#This Row],[Platinum]]</f>
        <v>204582</v>
      </c>
      <c r="BJ113" s="94">
        <f ca="1">TblProd[[#This Row],[Food]]</f>
        <v>163951</v>
      </c>
      <c r="BK113" s="94">
        <f ca="1">TblProd[[#This Row],[Lumber]]</f>
        <v>71576</v>
      </c>
      <c r="BL113" s="94">
        <f ca="1">TblProd[[#This Row],[Mana]]</f>
        <v>0</v>
      </c>
      <c r="BM113" s="94">
        <f ca="1">TblProd[[#This Row],[Ore]]</f>
        <v>0</v>
      </c>
    </row>
    <row r="114" spans="1:65" x14ac:dyDescent="0.2">
      <c r="A114" s="137">
        <f t="shared" si="0"/>
        <v>63</v>
      </c>
      <c r="B114" s="152">
        <f ca="1">TblImps[[#This Row],[Time]]</f>
        <v>46324.583333333067</v>
      </c>
      <c r="C114" s="153"/>
      <c r="D114" s="154"/>
      <c r="E114" s="94">
        <f ca="1">TblConstr[[#This Row],[Land]]</f>
        <v>50</v>
      </c>
      <c r="F114" s="94">
        <f ca="1">TblPop[[#This Row],[Peasants]]</f>
        <v>153</v>
      </c>
      <c r="G114" s="94">
        <f ca="1">TblMili[[#This Row],[Networth (2)]]</f>
        <v>1250</v>
      </c>
      <c r="H114" s="94">
        <f ca="1">OFFSET(TblProd[[#This Row],[Platinum]],-1,0)+OFFSET(TblProd[[#This Row],[Plat/hr]],-1,0) - TblProd[[#This Row],[Expenses Platinum]] + IF(TblProd[[#This Row],[Plat Bonus]],TblPop[[#This Row],[Peasants]]*4) + SUM(TblConstr[[#This Row],[Dest Hom]:[Dest Doc]])*TblConstr[[#This Row],[CPA Platinum -DB]]*tech_3_3_2*TblTech[[#This Row],[3-3]]</f>
        <v>205000</v>
      </c>
      <c r="I114" s="94">
        <f ca="1">OFFSET(TblProd[[#This Row],[Food]],-1,0)+OFFSET(TblProd[[#This Row],[Food/hr]],-1,0)+ROUNDUP((TblConstr[[#This Row],[Farms]]*80+TblConstr[[#This Row],[Docks]]*35)*(1+OFFSET(TblProd[[#This Row],[Bonus Food/hr]],-1,0)),0)</f>
        <v>164699</v>
      </c>
      <c r="J114" s="94">
        <f ca="1">OFFSET(TblProd[[#This Row],[Lumber]],-1,0)+OFFSET(TblProd[[#This Row],[Lumber/hr]],-1,0) - TblProd[[#This Row],[Expenses Lumber]] + SUM(TblConstr[[#This Row],[Dest Hom]:[Dest Doc]])*TblConstr[[#This Row],[CPA Lumber -DB]]*tech_3_3_2*TblTech[[#This Row],[3-3]]</f>
        <v>71860</v>
      </c>
      <c r="K114" s="94">
        <f ca="1">OFFSET(TblProd[[#This Row],[Mana]],-1,0)+OFFSET(TblProd[[#This Row],[Mana/hr]],-1,0)- TblProd[[#This Row],[Expenses Mana]]</f>
        <v>0</v>
      </c>
      <c r="L114" s="94">
        <f ca="1">OFFSET(TblProd[[#This Row],[Ore]],-1,0)+OFFSET(TblProd[[#This Row],[Ore/hr]],-1,0) -TblProd[[#This Row],[Expenses Ore]]</f>
        <v>0</v>
      </c>
      <c r="M114" s="94">
        <f ca="1">OFFSET(TblProd[[#This Row],[Gems]],-1,0)+OFFSET(TblProd[[#This Row],[Gems/hr]],-1,0) - TblProd[[#This Row],[Expenses Gems]]</f>
        <v>0</v>
      </c>
      <c r="N114" s="94">
        <f ca="1">OFFSET(TblProd[[#This Row],[Boats]],-1,0)+OFFSET(TblProd[[#This Row],[Boats/hr]],-1,0)</f>
        <v>0</v>
      </c>
      <c r="O114" s="94">
        <f ca="1">OFFSET(TblProd[[#This Row],[Prestige]],-1,0)</f>
        <v>250</v>
      </c>
      <c r="P11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4" s="94">
        <f ca="1">MAX(_xlfn.CEILING.MATH(TblProd[[#This Row],[Land]]*2.5+IFERROR(OFFSET(TblTech[[#This Row],[Sum of tech]],-1,0)*50,0)),3750)</f>
        <v>3750</v>
      </c>
      <c r="R114" s="142"/>
      <c r="S114" s="94">
        <f ca="1">ROUNDDOWN(TblProd[[#This Row],[Raw Plat/hr]]*(1+TblProd[[#This Row],[Bonus Plat/hr]]),0)</f>
        <v>413</v>
      </c>
      <c r="T114" s="94">
        <f ca="1">ROUND(TblProd[[#This Row],[Raw Food/hr]]*(1+TblProd[[#This Row],[Bonus Food/hr]])-TblProd[[#This Row],[Food decay]]-TblProd[[#This Row],[Food eaten]],0)</f>
        <v>741</v>
      </c>
      <c r="U114" s="94">
        <f ca="1">ROUND(TblProd[[#This Row],[Raw Lumber/hr]]*(1+TblProd[[#This Row],[Bonus Lumber/hr]])-TblProd[[#This Row],[Lumber rot]],0)</f>
        <v>281</v>
      </c>
      <c r="V114" s="94">
        <f ca="1">ROUND(TblProd[[#This Row],[Raw Mana/hr]]*(1+TblProd[[#This Row],[Bonus Mana/hr]])-TblProd[[#This Row],[Mana drain]],0)</f>
        <v>0</v>
      </c>
      <c r="W114" s="94">
        <f ca="1">ROUNDDOWN(TblProd[[#This Row],[Raw Ore/hr]]*(1+TblProd[[#This Row],[Bonux Ore/hr]]),0)</f>
        <v>0</v>
      </c>
      <c r="X114" s="94">
        <f ca="1">ROUNDDOWN(TblProd[[#This Row],[Raw Gems/hr]]*(1+TblProd[[#This Row],[Bonus Gems/hr]]),0)</f>
        <v>0</v>
      </c>
      <c r="Y114" s="155">
        <f ca="1">OFFSET(TblConstr[[#This Row],[Tot Doc]],1,0)*dock_boats_hr * (1 + tech_4_1*TblTech[[#This Row],[4-1]])</f>
        <v>0</v>
      </c>
      <c r="Z114" s="154"/>
      <c r="AA114" s="94">
        <f ca="1">TblPop[[#This Row],[Peasants]]*tax*TblPop[[#This Row],[Employment]] + (Construction!AZ115+Construction!BX115)*(alch_plat+(Magic!AN114&gt;0)*alchemist_flame_bonus)</f>
        <v>413.1</v>
      </c>
      <c r="AB114" s="94">
        <f ca="1">TblConstr[[#This Row],[Tot Farm]]*farm_food + TblConstr[[#This Row],[Tot Doc]]*dock_food</f>
        <v>2400</v>
      </c>
      <c r="AC114" s="94">
        <f ca="1">TblConstr[[#This Row],[Tot Ly]]*ly_lumber + TblConstr[[#This Row],[Tot Hav]]*fh_lumber + IF(race="Wood Elf",TblMili[[#This Row],[Unit 2]]*MIN(TblMili[[#This Row],[Homeland%]]/wisp_bonus,wisp_cap),0)</f>
        <v>1000</v>
      </c>
      <c r="AD114" s="94">
        <f ca="1">OFFSET(TblConstr[[#This Row],[Tot Tow]],1,0)*(tower_mana + tech_4_5*TblTech[[#This Row],[4-5]]) + OFFSET(TblConstr[[#This Row],[Tot WG]],1,0)*wg_mana_prod</f>
        <v>0</v>
      </c>
      <c r="AE114" s="94">
        <f ca="1">OFFSET(TblConstr[[#This Row],[Tot OM]],1,0)*om_ore+IF(race="Dwarf",TblMili[[#This Row],[Unit 2]]*0.5,0)</f>
        <v>0</v>
      </c>
      <c r="AF114" s="94">
        <f ca="1">OFFSET(TblConstr[[#This Row],[Tot DM]],1,0)*dm_gems</f>
        <v>0</v>
      </c>
      <c r="AG114" s="142"/>
      <c r="AH114" s="156">
        <f ca="1">MIN(race_platinum_bonus + IF(TblMagic[[#This Row],[Active Arc Infusion]]&gt;0,alch_frost_bonus,IF(Magic!AE114&gt;0,midas_bonus)) + TblImps[[#This Row],[Science]] - TblProd[[#This Row],[Guard]]*(0.02 + tech_5_7*TblTech[[#This Row],[5-7]]) + tech_1_5*TblTech[[#This Row],[1-5]] + tech_4_4*TblTech[[#This Row],[4-4]] + IF(TblMagic[[#This Row],[Active Infernal Command]]&gt;0,demonic_pact_plat,0), 0.5)</f>
        <v>0</v>
      </c>
      <c r="AI11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4" s="156">
        <f ca="1">race_lumber_bonus+ IF(TblMagic[[#This Row],[Active Gaia''s Blessing]]&gt;0,gaias_blessing_lumber)+ tech_1_3*TblTech[[#This Row],[1-3]] + tech_1_6*TblTech[[#This Row],[1-6]] + tech_3_3*TblTech[[#This Row],[3-3]]</f>
        <v>0</v>
      </c>
      <c r="AK114" s="156">
        <f ca="1">race_mana_bonus+ 0 + TblImps[[#This Row],[Spires]] + tech_1_2*TblTech[[#This Row],[1-2]] + tech_3_4*TblTech[[#This Row],[3-4]]</f>
        <v>0</v>
      </c>
      <c r="AL114" s="156">
        <f ca="1">race_ore_bonus + IF(TblMagic[[#This Row],[Active Miner''s Sight]]&gt;0,miners_sight_bonus,IF(TblMagic[[#This Row],[Active Mining Strength]]&gt;0,mining_strength_bonus)) +  tech_1_6*TblTech[[#This Row],[1-6]]</f>
        <v>0</v>
      </c>
      <c r="AM114" s="156">
        <f>race_gem_bonus+ tech_3_2*TblTech[[#This Row],[3-2]] + tech_4_3*TblTech[[#This Row],[4-3]] + tech_6_2*TblTech[[#This Row],[6-2]]</f>
        <v>0</v>
      </c>
      <c r="AN114" s="142"/>
      <c r="AO114" s="94">
        <f ca="1">TblProd[[#This Row],[Food]]*food_decay * (1 + tech_2_1*TblTech[[#This Row],[2-1]] + tech_2_8*TblTech[[#This Row],[2-8]] + IF(AND(TblMagic[[#This Row],[Active DnD]]&lt;12,TblMagic[[#This Row],[Active DnD]]&gt;5),1,0))</f>
        <v>1646.99</v>
      </c>
      <c r="AP114" s="94">
        <f ca="1">(1+race_food_consumption)*TblPop[[#This Row],[Total]]*food_per_person*(1+tech_1_10*TblTech[[#This Row],[1-10]]+tech_7_5*TblTech[[#This Row],[7-5]] + IF(TblMagic[[#This Row],[Active Infernal Command]]&gt;0,demonic_pact_food_cons,0))</f>
        <v>192.25</v>
      </c>
      <c r="AQ114" s="94">
        <f ca="1">TblProd[[#This Row],[Lumber]]*lumber_rot * (1 + tech_2_1*TblTech[[#This Row],[2-1]] + tech_2_8*TblTech[[#This Row],[2-8]] + tech_5_2*TblTech[[#This Row],[5-2]] + IF(AND(TblMagic[[#This Row],[Active DnD]]&lt;12,TblMagic[[#This Row],[Active DnD]]&gt;5),1,0))</f>
        <v>718.6</v>
      </c>
      <c r="AR114" s="94">
        <f ca="1">TblProd[[#This Row],[Mana]]*mana_drain * (1 + tech_2_1*TblTech[[#This Row],[2-1]] + tech_2_8*TblTech[[#This Row],[2-8]])</f>
        <v>0</v>
      </c>
      <c r="AS114" s="154"/>
      <c r="AT114" s="94">
        <f ca="1">TblExplore[[#This Row],[Platinum (2)]]+TblConstr[[#This Row],[Total Plat Cost]]+TblMili[[#This Row],[Plat Cost]]+TblRezone[[#This Row],[Platinum cost]]+TblImps[[#This Row],[P1]]-TblProd[[#This Row],[Bank Plat]]</f>
        <v>0</v>
      </c>
      <c r="AU114" s="94">
        <f ca="1">TblConstr[[#This Row],[Total Lum Cost]]+TblImps[[#This Row],[L1]]-TblProd[[#This Row],[Bank Lumber]] + Military!$CO$25*TblMili[[#This Row],[Sec. rec. Cost]]</f>
        <v>0</v>
      </c>
      <c r="AV114" s="94">
        <f ca="1">TblMagic[[#This Row],[Mana cost]] + Military!$CO$26*TblMili[[#This Row],[Sec. rec. Cost]]</f>
        <v>0</v>
      </c>
      <c r="AW114" s="94">
        <f ca="1">Military!$CO$24*TblMili[[#This Row],[Sec. rec. Cost]]+TblImps[[#This Row],[O1]]-TblProd[[#This Row],[Bank Ore]]</f>
        <v>0</v>
      </c>
      <c r="AX114" s="94">
        <f>TblImps[[#This Row],[G1]]-TblProd[[#This Row],[Bank Gems]]</f>
        <v>0</v>
      </c>
      <c r="AY114" s="142"/>
      <c r="AZ114" s="61" t="b">
        <f ca="1">IF(TblProd[[#This Row],[Set Guard]]&lt;&gt;"",TblProd[[#This Row],[Set Guard]],OFFSET(TblProd[[#This Row],[Guard]],-1,0))</f>
        <v>0</v>
      </c>
      <c r="BA114" s="153"/>
      <c r="BB114" s="45">
        <f>TblProd[[#This Row],[Hour]]</f>
        <v>63</v>
      </c>
      <c r="BC114" s="158">
        <f>-TblProd[[#This Row],[Bank Lumber]] / 2 + -TblProd[[#This Row],[Bank Gems]] * 2 + -TblProd[[#This Row],[Bank Ore]] / 2</f>
        <v>0</v>
      </c>
      <c r="BD114" s="158"/>
      <c r="BE114" s="158"/>
      <c r="BF114" s="158"/>
      <c r="BG114" s="159">
        <f ca="1">TblProd[[#This Row],[Time]]</f>
        <v>46324.583333333067</v>
      </c>
      <c r="BH114" s="45"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94">
        <f ca="1">TblProd[[#This Row],[Platinum]]</f>
        <v>205000</v>
      </c>
      <c r="BJ114" s="94">
        <f ca="1">TblProd[[#This Row],[Food]]</f>
        <v>164699</v>
      </c>
      <c r="BK114" s="94">
        <f ca="1">TblProd[[#This Row],[Lumber]]</f>
        <v>71860</v>
      </c>
      <c r="BL114" s="94">
        <f ca="1">TblProd[[#This Row],[Mana]]</f>
        <v>0</v>
      </c>
      <c r="BM114" s="94">
        <f ca="1">TblProd[[#This Row],[Ore]]</f>
        <v>0</v>
      </c>
    </row>
    <row r="115" spans="1:65" x14ac:dyDescent="0.2">
      <c r="A115" s="137">
        <f t="shared" si="0"/>
        <v>64</v>
      </c>
      <c r="B115" s="152">
        <f ca="1">TblImps[[#This Row],[Time]]</f>
        <v>46324.624999999731</v>
      </c>
      <c r="C115" s="153"/>
      <c r="D115" s="154"/>
      <c r="E115" s="94">
        <f ca="1">TblConstr[[#This Row],[Land]]</f>
        <v>50</v>
      </c>
      <c r="F115" s="94">
        <f ca="1">TblPop[[#This Row],[Peasants]]</f>
        <v>151</v>
      </c>
      <c r="G115" s="94">
        <f ca="1">TblMili[[#This Row],[Networth (2)]]</f>
        <v>1250</v>
      </c>
      <c r="H115" s="94">
        <f ca="1">OFFSET(TblProd[[#This Row],[Platinum]],-1,0)+OFFSET(TblProd[[#This Row],[Plat/hr]],-1,0) - TblProd[[#This Row],[Expenses Platinum]] + IF(TblProd[[#This Row],[Plat Bonus]],TblPop[[#This Row],[Peasants]]*4) + SUM(TblConstr[[#This Row],[Dest Hom]:[Dest Doc]])*TblConstr[[#This Row],[CPA Platinum -DB]]*tech_3_3_2*TblTech[[#This Row],[3-3]]</f>
        <v>205413</v>
      </c>
      <c r="I115" s="94">
        <f ca="1">OFFSET(TblProd[[#This Row],[Food]],-1,0)+OFFSET(TblProd[[#This Row],[Food/hr]],-1,0)+ROUNDUP((TblConstr[[#This Row],[Farms]]*80+TblConstr[[#This Row],[Docks]]*35)*(1+OFFSET(TblProd[[#This Row],[Bonus Food/hr]],-1,0)),0)</f>
        <v>165440</v>
      </c>
      <c r="J115" s="94">
        <f ca="1">OFFSET(TblProd[[#This Row],[Lumber]],-1,0)+OFFSET(TblProd[[#This Row],[Lumber/hr]],-1,0) - TblProd[[#This Row],[Expenses Lumber]] + SUM(TblConstr[[#This Row],[Dest Hom]:[Dest Doc]])*TblConstr[[#This Row],[CPA Lumber -DB]]*tech_3_3_2*TblTech[[#This Row],[3-3]]</f>
        <v>72141</v>
      </c>
      <c r="K115" s="94">
        <f ca="1">OFFSET(TblProd[[#This Row],[Mana]],-1,0)+OFFSET(TblProd[[#This Row],[Mana/hr]],-1,0)- TblProd[[#This Row],[Expenses Mana]]</f>
        <v>0</v>
      </c>
      <c r="L115" s="94">
        <f ca="1">OFFSET(TblProd[[#This Row],[Ore]],-1,0)+OFFSET(TblProd[[#This Row],[Ore/hr]],-1,0) -TblProd[[#This Row],[Expenses Ore]]</f>
        <v>0</v>
      </c>
      <c r="M115" s="94">
        <f ca="1">OFFSET(TblProd[[#This Row],[Gems]],-1,0)+OFFSET(TblProd[[#This Row],[Gems/hr]],-1,0) - TblProd[[#This Row],[Expenses Gems]]</f>
        <v>0</v>
      </c>
      <c r="N115" s="94">
        <f ca="1">OFFSET(TblProd[[#This Row],[Boats]],-1,0)+OFFSET(TblProd[[#This Row],[Boats/hr]],-1,0)</f>
        <v>0</v>
      </c>
      <c r="O115" s="94">
        <f ca="1">OFFSET(TblProd[[#This Row],[Prestige]],-1,0)</f>
        <v>250</v>
      </c>
      <c r="P11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5" s="94">
        <f ca="1">MAX(_xlfn.CEILING.MATH(TblProd[[#This Row],[Land]]*2.5+IFERROR(OFFSET(TblTech[[#This Row],[Sum of tech]],-1,0)*50,0)),3750)</f>
        <v>3750</v>
      </c>
      <c r="R115" s="142"/>
      <c r="S115" s="94">
        <f ca="1">ROUNDDOWN(TblProd[[#This Row],[Raw Plat/hr]]*(1+TblProd[[#This Row],[Bonus Plat/hr]]),0)</f>
        <v>407</v>
      </c>
      <c r="T115" s="94">
        <f ca="1">ROUND(TblProd[[#This Row],[Raw Food/hr]]*(1+TblProd[[#This Row],[Bonus Food/hr]])-TblProd[[#This Row],[Food decay]]-TblProd[[#This Row],[Food eaten]],0)</f>
        <v>733</v>
      </c>
      <c r="U115" s="94">
        <f ca="1">ROUND(TblProd[[#This Row],[Raw Lumber/hr]]*(1+TblProd[[#This Row],[Bonus Lumber/hr]])-TblProd[[#This Row],[Lumber rot]],0)</f>
        <v>279</v>
      </c>
      <c r="V115" s="94">
        <f ca="1">ROUND(TblProd[[#This Row],[Raw Mana/hr]]*(1+TblProd[[#This Row],[Bonus Mana/hr]])-TblProd[[#This Row],[Mana drain]],0)</f>
        <v>0</v>
      </c>
      <c r="W115" s="94">
        <f ca="1">ROUNDDOWN(TblProd[[#This Row],[Raw Ore/hr]]*(1+TblProd[[#This Row],[Bonux Ore/hr]]),0)</f>
        <v>0</v>
      </c>
      <c r="X115" s="94">
        <f ca="1">ROUNDDOWN(TblProd[[#This Row],[Raw Gems/hr]]*(1+TblProd[[#This Row],[Bonus Gems/hr]]),0)</f>
        <v>0</v>
      </c>
      <c r="Y115" s="155">
        <f ca="1">OFFSET(TblConstr[[#This Row],[Tot Doc]],1,0)*dock_boats_hr * (1 + tech_4_1*TblTech[[#This Row],[4-1]])</f>
        <v>0</v>
      </c>
      <c r="Z115" s="154"/>
      <c r="AA115" s="94">
        <f ca="1">TblPop[[#This Row],[Peasants]]*tax*TblPop[[#This Row],[Employment]] + (Construction!AZ116+Construction!BX116)*(alch_plat+(Magic!AN115&gt;0)*alchemist_flame_bonus)</f>
        <v>407.70000000000005</v>
      </c>
      <c r="AB115" s="94">
        <f ca="1">TblConstr[[#This Row],[Tot Farm]]*farm_food + TblConstr[[#This Row],[Tot Doc]]*dock_food</f>
        <v>2400</v>
      </c>
      <c r="AC115" s="94">
        <f ca="1">TblConstr[[#This Row],[Tot Ly]]*ly_lumber + TblConstr[[#This Row],[Tot Hav]]*fh_lumber + IF(race="Wood Elf",TblMili[[#This Row],[Unit 2]]*MIN(TblMili[[#This Row],[Homeland%]]/wisp_bonus,wisp_cap),0)</f>
        <v>1000</v>
      </c>
      <c r="AD115" s="94">
        <f ca="1">OFFSET(TblConstr[[#This Row],[Tot Tow]],1,0)*(tower_mana + tech_4_5*TblTech[[#This Row],[4-5]]) + OFFSET(TblConstr[[#This Row],[Tot WG]],1,0)*wg_mana_prod</f>
        <v>0</v>
      </c>
      <c r="AE115" s="94">
        <f ca="1">OFFSET(TblConstr[[#This Row],[Tot OM]],1,0)*om_ore+IF(race="Dwarf",TblMili[[#This Row],[Unit 2]]*0.5,0)</f>
        <v>0</v>
      </c>
      <c r="AF115" s="94">
        <f ca="1">OFFSET(TblConstr[[#This Row],[Tot DM]],1,0)*dm_gems</f>
        <v>0</v>
      </c>
      <c r="AG115" s="142"/>
      <c r="AH115" s="156">
        <f ca="1">MIN(race_platinum_bonus + IF(TblMagic[[#This Row],[Active Arc Infusion]]&gt;0,alch_frost_bonus,IF(Magic!AE115&gt;0,midas_bonus)) + TblImps[[#This Row],[Science]] - TblProd[[#This Row],[Guard]]*(0.02 + tech_5_7*TblTech[[#This Row],[5-7]]) + tech_1_5*TblTech[[#This Row],[1-5]] + tech_4_4*TblTech[[#This Row],[4-4]] + IF(TblMagic[[#This Row],[Active Infernal Command]]&gt;0,demonic_pact_plat,0), 0.5)</f>
        <v>0</v>
      </c>
      <c r="AI11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5" s="156">
        <f ca="1">race_lumber_bonus+ IF(TblMagic[[#This Row],[Active Gaia''s Blessing]]&gt;0,gaias_blessing_lumber)+ tech_1_3*TblTech[[#This Row],[1-3]] + tech_1_6*TblTech[[#This Row],[1-6]] + tech_3_3*TblTech[[#This Row],[3-3]]</f>
        <v>0</v>
      </c>
      <c r="AK115" s="156">
        <f ca="1">race_mana_bonus+ 0 + TblImps[[#This Row],[Spires]] + tech_1_2*TblTech[[#This Row],[1-2]] + tech_3_4*TblTech[[#This Row],[3-4]]</f>
        <v>0</v>
      </c>
      <c r="AL115" s="156">
        <f ca="1">race_ore_bonus + IF(TblMagic[[#This Row],[Active Miner''s Sight]]&gt;0,miners_sight_bonus,IF(TblMagic[[#This Row],[Active Mining Strength]]&gt;0,mining_strength_bonus)) +  tech_1_6*TblTech[[#This Row],[1-6]]</f>
        <v>0</v>
      </c>
      <c r="AM115" s="156">
        <f>race_gem_bonus+ tech_3_2*TblTech[[#This Row],[3-2]] + tech_4_3*TblTech[[#This Row],[4-3]] + tech_6_2*TblTech[[#This Row],[6-2]]</f>
        <v>0</v>
      </c>
      <c r="AN115" s="142"/>
      <c r="AO115" s="94">
        <f ca="1">TblProd[[#This Row],[Food]]*food_decay * (1 + tech_2_1*TblTech[[#This Row],[2-1]] + tech_2_8*TblTech[[#This Row],[2-8]] + IF(AND(TblMagic[[#This Row],[Active DnD]]&lt;12,TblMagic[[#This Row],[Active DnD]]&gt;5),1,0))</f>
        <v>1654.4</v>
      </c>
      <c r="AP115" s="94">
        <f ca="1">(1+race_food_consumption)*TblPop[[#This Row],[Total]]*food_per_person*(1+tech_1_10*TblTech[[#This Row],[1-10]]+tech_7_5*TblTech[[#This Row],[7-5]] + IF(TblMagic[[#This Row],[Active Infernal Command]]&gt;0,demonic_pact_food_cons,0))</f>
        <v>192.25</v>
      </c>
      <c r="AQ115" s="94">
        <f ca="1">TblProd[[#This Row],[Lumber]]*lumber_rot * (1 + tech_2_1*TblTech[[#This Row],[2-1]] + tech_2_8*TblTech[[#This Row],[2-8]] + tech_5_2*TblTech[[#This Row],[5-2]] + IF(AND(TblMagic[[#This Row],[Active DnD]]&lt;12,TblMagic[[#This Row],[Active DnD]]&gt;5),1,0))</f>
        <v>721.41</v>
      </c>
      <c r="AR115" s="94">
        <f ca="1">TblProd[[#This Row],[Mana]]*mana_drain * (1 + tech_2_1*TblTech[[#This Row],[2-1]] + tech_2_8*TblTech[[#This Row],[2-8]])</f>
        <v>0</v>
      </c>
      <c r="AS115" s="154"/>
      <c r="AT115" s="94">
        <f ca="1">TblExplore[[#This Row],[Platinum (2)]]+TblConstr[[#This Row],[Total Plat Cost]]+TblMili[[#This Row],[Plat Cost]]+TblRezone[[#This Row],[Platinum cost]]+TblImps[[#This Row],[P1]]-TblProd[[#This Row],[Bank Plat]]</f>
        <v>0</v>
      </c>
      <c r="AU115" s="94">
        <f ca="1">TblConstr[[#This Row],[Total Lum Cost]]+TblImps[[#This Row],[L1]]-TblProd[[#This Row],[Bank Lumber]] + Military!$CO$25*TblMili[[#This Row],[Sec. rec. Cost]]</f>
        <v>0</v>
      </c>
      <c r="AV115" s="94">
        <f ca="1">TblMagic[[#This Row],[Mana cost]] + Military!$CO$26*TblMili[[#This Row],[Sec. rec. Cost]]</f>
        <v>0</v>
      </c>
      <c r="AW115" s="94">
        <f ca="1">Military!$CO$24*TblMili[[#This Row],[Sec. rec. Cost]]+TblImps[[#This Row],[O1]]-TblProd[[#This Row],[Bank Ore]]</f>
        <v>0</v>
      </c>
      <c r="AX115" s="94">
        <f>TblImps[[#This Row],[G1]]-TblProd[[#This Row],[Bank Gems]]</f>
        <v>0</v>
      </c>
      <c r="AY115" s="142"/>
      <c r="AZ115" s="61" t="b">
        <f ca="1">IF(TblProd[[#This Row],[Set Guard]]&lt;&gt;"",TblProd[[#This Row],[Set Guard]],OFFSET(TblProd[[#This Row],[Guard]],-1,0))</f>
        <v>0</v>
      </c>
      <c r="BA115" s="153"/>
      <c r="BB115" s="45">
        <f>TblProd[[#This Row],[Hour]]</f>
        <v>64</v>
      </c>
      <c r="BC115" s="158">
        <f>-TblProd[[#This Row],[Bank Lumber]] / 2 + -TblProd[[#This Row],[Bank Gems]] * 2 + -TblProd[[#This Row],[Bank Ore]] / 2</f>
        <v>0</v>
      </c>
      <c r="BD115" s="158"/>
      <c r="BE115" s="158"/>
      <c r="BF115" s="158"/>
      <c r="BG115" s="159">
        <f ca="1">TblProd[[#This Row],[Time]]</f>
        <v>46324.624999999731</v>
      </c>
      <c r="BH115" s="45"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94">
        <f ca="1">TblProd[[#This Row],[Platinum]]</f>
        <v>205413</v>
      </c>
      <c r="BJ115" s="94">
        <f ca="1">TblProd[[#This Row],[Food]]</f>
        <v>165440</v>
      </c>
      <c r="BK115" s="94">
        <f ca="1">TblProd[[#This Row],[Lumber]]</f>
        <v>72141</v>
      </c>
      <c r="BL115" s="94">
        <f ca="1">TblProd[[#This Row],[Mana]]</f>
        <v>0</v>
      </c>
      <c r="BM115" s="94">
        <f ca="1">TblProd[[#This Row],[Ore]]</f>
        <v>0</v>
      </c>
    </row>
    <row r="116" spans="1:65" x14ac:dyDescent="0.2">
      <c r="A116" s="137">
        <f t="shared" si="0"/>
        <v>65</v>
      </c>
      <c r="B116" s="152">
        <f ca="1">TblImps[[#This Row],[Time]]</f>
        <v>46324.666666666395</v>
      </c>
      <c r="C116" s="153"/>
      <c r="D116" s="154"/>
      <c r="E116" s="94">
        <f ca="1">TblConstr[[#This Row],[Land]]</f>
        <v>50</v>
      </c>
      <c r="F116" s="94">
        <f ca="1">TblPop[[#This Row],[Peasants]]</f>
        <v>149</v>
      </c>
      <c r="G116" s="94">
        <f ca="1">TblMili[[#This Row],[Networth (2)]]</f>
        <v>1250</v>
      </c>
      <c r="H116" s="94">
        <f ca="1">OFFSET(TblProd[[#This Row],[Platinum]],-1,0)+OFFSET(TblProd[[#This Row],[Plat/hr]],-1,0) - TblProd[[#This Row],[Expenses Platinum]] + IF(TblProd[[#This Row],[Plat Bonus]],TblPop[[#This Row],[Peasants]]*4) + SUM(TblConstr[[#This Row],[Dest Hom]:[Dest Doc]])*TblConstr[[#This Row],[CPA Platinum -DB]]*tech_3_3_2*TblTech[[#This Row],[3-3]]</f>
        <v>205820</v>
      </c>
      <c r="I116" s="94">
        <f ca="1">OFFSET(TblProd[[#This Row],[Food]],-1,0)+OFFSET(TblProd[[#This Row],[Food/hr]],-1,0)+ROUNDUP((TblConstr[[#This Row],[Farms]]*80+TblConstr[[#This Row],[Docks]]*35)*(1+OFFSET(TblProd[[#This Row],[Bonus Food/hr]],-1,0)),0)</f>
        <v>166173</v>
      </c>
      <c r="J116" s="94">
        <f ca="1">OFFSET(TblProd[[#This Row],[Lumber]],-1,0)+OFFSET(TblProd[[#This Row],[Lumber/hr]],-1,0) - TblProd[[#This Row],[Expenses Lumber]] + SUM(TblConstr[[#This Row],[Dest Hom]:[Dest Doc]])*TblConstr[[#This Row],[CPA Lumber -DB]]*tech_3_3_2*TblTech[[#This Row],[3-3]]</f>
        <v>72420</v>
      </c>
      <c r="K116" s="94">
        <f ca="1">OFFSET(TblProd[[#This Row],[Mana]],-1,0)+OFFSET(TblProd[[#This Row],[Mana/hr]],-1,0)- TblProd[[#This Row],[Expenses Mana]]</f>
        <v>0</v>
      </c>
      <c r="L116" s="94">
        <f ca="1">OFFSET(TblProd[[#This Row],[Ore]],-1,0)+OFFSET(TblProd[[#This Row],[Ore/hr]],-1,0) -TblProd[[#This Row],[Expenses Ore]]</f>
        <v>0</v>
      </c>
      <c r="M116" s="94">
        <f ca="1">OFFSET(TblProd[[#This Row],[Gems]],-1,0)+OFFSET(TblProd[[#This Row],[Gems/hr]],-1,0) - TblProd[[#This Row],[Expenses Gems]]</f>
        <v>0</v>
      </c>
      <c r="N116" s="94">
        <f ca="1">OFFSET(TblProd[[#This Row],[Boats]],-1,0)+OFFSET(TblProd[[#This Row],[Boats/hr]],-1,0)</f>
        <v>0</v>
      </c>
      <c r="O116" s="94">
        <f ca="1">OFFSET(TblProd[[#This Row],[Prestige]],-1,0)</f>
        <v>250</v>
      </c>
      <c r="P11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6" s="94">
        <f ca="1">MAX(_xlfn.CEILING.MATH(TblProd[[#This Row],[Land]]*2.5+IFERROR(OFFSET(TblTech[[#This Row],[Sum of tech]],-1,0)*50,0)),3750)</f>
        <v>3750</v>
      </c>
      <c r="R116" s="142"/>
      <c r="S116" s="94">
        <f ca="1">ROUNDDOWN(TblProd[[#This Row],[Raw Plat/hr]]*(1+TblProd[[#This Row],[Bonus Plat/hr]]),0)</f>
        <v>402</v>
      </c>
      <c r="T116" s="94">
        <f ca="1">ROUND(TblProd[[#This Row],[Raw Food/hr]]*(1+TblProd[[#This Row],[Bonus Food/hr]])-TblProd[[#This Row],[Food decay]]-TblProd[[#This Row],[Food eaten]],0)</f>
        <v>726</v>
      </c>
      <c r="U116" s="94">
        <f ca="1">ROUND(TblProd[[#This Row],[Raw Lumber/hr]]*(1+TblProd[[#This Row],[Bonus Lumber/hr]])-TblProd[[#This Row],[Lumber rot]],0)</f>
        <v>276</v>
      </c>
      <c r="V116" s="94">
        <f ca="1">ROUND(TblProd[[#This Row],[Raw Mana/hr]]*(1+TblProd[[#This Row],[Bonus Mana/hr]])-TblProd[[#This Row],[Mana drain]],0)</f>
        <v>0</v>
      </c>
      <c r="W116" s="94">
        <f ca="1">ROUNDDOWN(TblProd[[#This Row],[Raw Ore/hr]]*(1+TblProd[[#This Row],[Bonux Ore/hr]]),0)</f>
        <v>0</v>
      </c>
      <c r="X116" s="94">
        <f ca="1">ROUNDDOWN(TblProd[[#This Row],[Raw Gems/hr]]*(1+TblProd[[#This Row],[Bonus Gems/hr]]),0)</f>
        <v>0</v>
      </c>
      <c r="Y116" s="155">
        <f ca="1">OFFSET(TblConstr[[#This Row],[Tot Doc]],1,0)*dock_boats_hr * (1 + tech_4_1*TblTech[[#This Row],[4-1]])</f>
        <v>0</v>
      </c>
      <c r="Z116" s="154"/>
      <c r="AA116" s="94">
        <f ca="1">TblPop[[#This Row],[Peasants]]*tax*TblPop[[#This Row],[Employment]] + (Construction!AZ117+Construction!BX117)*(alch_plat+(Magic!AN116&gt;0)*alchemist_flame_bonus)</f>
        <v>402.3</v>
      </c>
      <c r="AB116" s="94">
        <f ca="1">TblConstr[[#This Row],[Tot Farm]]*farm_food + TblConstr[[#This Row],[Tot Doc]]*dock_food</f>
        <v>2400</v>
      </c>
      <c r="AC116" s="94">
        <f ca="1">TblConstr[[#This Row],[Tot Ly]]*ly_lumber + TblConstr[[#This Row],[Tot Hav]]*fh_lumber + IF(race="Wood Elf",TblMili[[#This Row],[Unit 2]]*MIN(TblMili[[#This Row],[Homeland%]]/wisp_bonus,wisp_cap),0)</f>
        <v>1000</v>
      </c>
      <c r="AD116" s="94">
        <f ca="1">OFFSET(TblConstr[[#This Row],[Tot Tow]],1,0)*(tower_mana + tech_4_5*TblTech[[#This Row],[4-5]]) + OFFSET(TblConstr[[#This Row],[Tot WG]],1,0)*wg_mana_prod</f>
        <v>0</v>
      </c>
      <c r="AE116" s="94">
        <f ca="1">OFFSET(TblConstr[[#This Row],[Tot OM]],1,0)*om_ore+IF(race="Dwarf",TblMili[[#This Row],[Unit 2]]*0.5,0)</f>
        <v>0</v>
      </c>
      <c r="AF116" s="94">
        <f ca="1">OFFSET(TblConstr[[#This Row],[Tot DM]],1,0)*dm_gems</f>
        <v>0</v>
      </c>
      <c r="AG116" s="142"/>
      <c r="AH116" s="156">
        <f ca="1">MIN(race_platinum_bonus + IF(TblMagic[[#This Row],[Active Arc Infusion]]&gt;0,alch_frost_bonus,IF(Magic!AE116&gt;0,midas_bonus)) + TblImps[[#This Row],[Science]] - TblProd[[#This Row],[Guard]]*(0.02 + tech_5_7*TblTech[[#This Row],[5-7]]) + tech_1_5*TblTech[[#This Row],[1-5]] + tech_4_4*TblTech[[#This Row],[4-4]] + IF(TblMagic[[#This Row],[Active Infernal Command]]&gt;0,demonic_pact_plat,0), 0.5)</f>
        <v>0</v>
      </c>
      <c r="AI11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6" s="156">
        <f ca="1">race_lumber_bonus+ IF(TblMagic[[#This Row],[Active Gaia''s Blessing]]&gt;0,gaias_blessing_lumber)+ tech_1_3*TblTech[[#This Row],[1-3]] + tech_1_6*TblTech[[#This Row],[1-6]] + tech_3_3*TblTech[[#This Row],[3-3]]</f>
        <v>0</v>
      </c>
      <c r="AK116" s="156">
        <f ca="1">race_mana_bonus+ 0 + TblImps[[#This Row],[Spires]] + tech_1_2*TblTech[[#This Row],[1-2]] + tech_3_4*TblTech[[#This Row],[3-4]]</f>
        <v>0</v>
      </c>
      <c r="AL116" s="156">
        <f ca="1">race_ore_bonus + IF(TblMagic[[#This Row],[Active Miner''s Sight]]&gt;0,miners_sight_bonus,IF(TblMagic[[#This Row],[Active Mining Strength]]&gt;0,mining_strength_bonus)) +  tech_1_6*TblTech[[#This Row],[1-6]]</f>
        <v>0</v>
      </c>
      <c r="AM116" s="156">
        <f>race_gem_bonus+ tech_3_2*TblTech[[#This Row],[3-2]] + tech_4_3*TblTech[[#This Row],[4-3]] + tech_6_2*TblTech[[#This Row],[6-2]]</f>
        <v>0</v>
      </c>
      <c r="AN116" s="142"/>
      <c r="AO116" s="94">
        <f ca="1">TblProd[[#This Row],[Food]]*food_decay * (1 + tech_2_1*TblTech[[#This Row],[2-1]] + tech_2_8*TblTech[[#This Row],[2-8]] + IF(AND(TblMagic[[#This Row],[Active DnD]]&lt;12,TblMagic[[#This Row],[Active DnD]]&gt;5),1,0))</f>
        <v>1661.73</v>
      </c>
      <c r="AP116" s="94">
        <f ca="1">(1+race_food_consumption)*TblPop[[#This Row],[Total]]*food_per_person*(1+tech_1_10*TblTech[[#This Row],[1-10]]+tech_7_5*TblTech[[#This Row],[7-5]] + IF(TblMagic[[#This Row],[Active Infernal Command]]&gt;0,demonic_pact_food_cons,0))</f>
        <v>192.25</v>
      </c>
      <c r="AQ116" s="94">
        <f ca="1">TblProd[[#This Row],[Lumber]]*lumber_rot * (1 + tech_2_1*TblTech[[#This Row],[2-1]] + tech_2_8*TblTech[[#This Row],[2-8]] + tech_5_2*TblTech[[#This Row],[5-2]] + IF(AND(TblMagic[[#This Row],[Active DnD]]&lt;12,TblMagic[[#This Row],[Active DnD]]&gt;5),1,0))</f>
        <v>724.2</v>
      </c>
      <c r="AR116" s="94">
        <f ca="1">TblProd[[#This Row],[Mana]]*mana_drain * (1 + tech_2_1*TblTech[[#This Row],[2-1]] + tech_2_8*TblTech[[#This Row],[2-8]])</f>
        <v>0</v>
      </c>
      <c r="AS116" s="154"/>
      <c r="AT116" s="94">
        <f ca="1">TblExplore[[#This Row],[Platinum (2)]]+TblConstr[[#This Row],[Total Plat Cost]]+TblMili[[#This Row],[Plat Cost]]+TblRezone[[#This Row],[Platinum cost]]+TblImps[[#This Row],[P1]]-TblProd[[#This Row],[Bank Plat]]</f>
        <v>0</v>
      </c>
      <c r="AU116" s="94">
        <f ca="1">TblConstr[[#This Row],[Total Lum Cost]]+TblImps[[#This Row],[L1]]-TblProd[[#This Row],[Bank Lumber]] + Military!$CO$25*TblMili[[#This Row],[Sec. rec. Cost]]</f>
        <v>0</v>
      </c>
      <c r="AV116" s="94">
        <f ca="1">TblMagic[[#This Row],[Mana cost]] + Military!$CO$26*TblMili[[#This Row],[Sec. rec. Cost]]</f>
        <v>0</v>
      </c>
      <c r="AW116" s="94">
        <f ca="1">Military!$CO$24*TblMili[[#This Row],[Sec. rec. Cost]]+TblImps[[#This Row],[O1]]-TblProd[[#This Row],[Bank Ore]]</f>
        <v>0</v>
      </c>
      <c r="AX116" s="94">
        <f>TblImps[[#This Row],[G1]]-TblProd[[#This Row],[Bank Gems]]</f>
        <v>0</v>
      </c>
      <c r="AY116" s="142"/>
      <c r="AZ116" s="61" t="b">
        <f ca="1">IF(TblProd[[#This Row],[Set Guard]]&lt;&gt;"",TblProd[[#This Row],[Set Guard]],OFFSET(TblProd[[#This Row],[Guard]],-1,0))</f>
        <v>0</v>
      </c>
      <c r="BA116" s="153"/>
      <c r="BB116" s="45">
        <f>TblProd[[#This Row],[Hour]]</f>
        <v>65</v>
      </c>
      <c r="BC116" s="158">
        <f>-TblProd[[#This Row],[Bank Lumber]] / 2 + -TblProd[[#This Row],[Bank Gems]] * 2 + -TblProd[[#This Row],[Bank Ore]] / 2</f>
        <v>0</v>
      </c>
      <c r="BD116" s="158"/>
      <c r="BE116" s="158"/>
      <c r="BF116" s="158"/>
      <c r="BG116" s="159">
        <f ca="1">TblProd[[#This Row],[Time]]</f>
        <v>46324.666666666395</v>
      </c>
      <c r="BH116" s="45"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94">
        <f ca="1">TblProd[[#This Row],[Platinum]]</f>
        <v>205820</v>
      </c>
      <c r="BJ116" s="94">
        <f ca="1">TblProd[[#This Row],[Food]]</f>
        <v>166173</v>
      </c>
      <c r="BK116" s="94">
        <f ca="1">TblProd[[#This Row],[Lumber]]</f>
        <v>72420</v>
      </c>
      <c r="BL116" s="94">
        <f ca="1">TblProd[[#This Row],[Mana]]</f>
        <v>0</v>
      </c>
      <c r="BM116" s="94">
        <f ca="1">TblProd[[#This Row],[Ore]]</f>
        <v>0</v>
      </c>
    </row>
    <row r="117" spans="1:65" x14ac:dyDescent="0.2">
      <c r="A117" s="137">
        <f t="shared" si="0"/>
        <v>66</v>
      </c>
      <c r="B117" s="152">
        <f ca="1">TblImps[[#This Row],[Time]]</f>
        <v>46324.708333333059</v>
      </c>
      <c r="C117" s="153"/>
      <c r="D117" s="154"/>
      <c r="E117" s="94">
        <f ca="1">TblConstr[[#This Row],[Land]]</f>
        <v>50</v>
      </c>
      <c r="F117" s="94">
        <f ca="1">TblPop[[#This Row],[Peasants]]</f>
        <v>148</v>
      </c>
      <c r="G117" s="94">
        <f ca="1">TblMili[[#This Row],[Networth (2)]]</f>
        <v>1250</v>
      </c>
      <c r="H117" s="94">
        <f ca="1">OFFSET(TblProd[[#This Row],[Platinum]],-1,0)+OFFSET(TblProd[[#This Row],[Plat/hr]],-1,0) - TblProd[[#This Row],[Expenses Platinum]] + IF(TblProd[[#This Row],[Plat Bonus]],TblPop[[#This Row],[Peasants]]*4) + SUM(TblConstr[[#This Row],[Dest Hom]:[Dest Doc]])*TblConstr[[#This Row],[CPA Platinum -DB]]*tech_3_3_2*TblTech[[#This Row],[3-3]]</f>
        <v>206222</v>
      </c>
      <c r="I117" s="94">
        <f ca="1">OFFSET(TblProd[[#This Row],[Food]],-1,0)+OFFSET(TblProd[[#This Row],[Food/hr]],-1,0)+ROUNDUP((TblConstr[[#This Row],[Farms]]*80+TblConstr[[#This Row],[Docks]]*35)*(1+OFFSET(TblProd[[#This Row],[Bonus Food/hr]],-1,0)),0)</f>
        <v>166899</v>
      </c>
      <c r="J117" s="94">
        <f ca="1">OFFSET(TblProd[[#This Row],[Lumber]],-1,0)+OFFSET(TblProd[[#This Row],[Lumber/hr]],-1,0) - TblProd[[#This Row],[Expenses Lumber]] + SUM(TblConstr[[#This Row],[Dest Hom]:[Dest Doc]])*TblConstr[[#This Row],[CPA Lumber -DB]]*tech_3_3_2*TblTech[[#This Row],[3-3]]</f>
        <v>72696</v>
      </c>
      <c r="K117" s="94">
        <f ca="1">OFFSET(TblProd[[#This Row],[Mana]],-1,0)+OFFSET(TblProd[[#This Row],[Mana/hr]],-1,0)- TblProd[[#This Row],[Expenses Mana]]</f>
        <v>0</v>
      </c>
      <c r="L117" s="94">
        <f ca="1">OFFSET(TblProd[[#This Row],[Ore]],-1,0)+OFFSET(TblProd[[#This Row],[Ore/hr]],-1,0) -TblProd[[#This Row],[Expenses Ore]]</f>
        <v>0</v>
      </c>
      <c r="M117" s="94">
        <f ca="1">OFFSET(TblProd[[#This Row],[Gems]],-1,0)+OFFSET(TblProd[[#This Row],[Gems/hr]],-1,0) - TblProd[[#This Row],[Expenses Gems]]</f>
        <v>0</v>
      </c>
      <c r="N117" s="94">
        <f ca="1">OFFSET(TblProd[[#This Row],[Boats]],-1,0)+OFFSET(TblProd[[#This Row],[Boats/hr]],-1,0)</f>
        <v>0</v>
      </c>
      <c r="O117" s="94">
        <f ca="1">OFFSET(TblProd[[#This Row],[Prestige]],-1,0)</f>
        <v>250</v>
      </c>
      <c r="P11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7" s="94">
        <f ca="1">MAX(_xlfn.CEILING.MATH(TblProd[[#This Row],[Land]]*2.5+IFERROR(OFFSET(TblTech[[#This Row],[Sum of tech]],-1,0)*50,0)),3750)</f>
        <v>3750</v>
      </c>
      <c r="R117" s="142"/>
      <c r="S117" s="94">
        <f ca="1">ROUNDDOWN(TblProd[[#This Row],[Raw Plat/hr]]*(1+TblProd[[#This Row],[Bonus Plat/hr]]),0)</f>
        <v>399</v>
      </c>
      <c r="T117" s="94">
        <f ca="1">ROUND(TblProd[[#This Row],[Raw Food/hr]]*(1+TblProd[[#This Row],[Bonus Food/hr]])-TblProd[[#This Row],[Food decay]]-TblProd[[#This Row],[Food eaten]],0)</f>
        <v>719</v>
      </c>
      <c r="U117" s="94">
        <f ca="1">ROUND(TblProd[[#This Row],[Raw Lumber/hr]]*(1+TblProd[[#This Row],[Bonus Lumber/hr]])-TblProd[[#This Row],[Lumber rot]],0)</f>
        <v>273</v>
      </c>
      <c r="V117" s="94">
        <f ca="1">ROUND(TblProd[[#This Row],[Raw Mana/hr]]*(1+TblProd[[#This Row],[Bonus Mana/hr]])-TblProd[[#This Row],[Mana drain]],0)</f>
        <v>0</v>
      </c>
      <c r="W117" s="94">
        <f ca="1">ROUNDDOWN(TblProd[[#This Row],[Raw Ore/hr]]*(1+TblProd[[#This Row],[Bonux Ore/hr]]),0)</f>
        <v>0</v>
      </c>
      <c r="X117" s="94">
        <f ca="1">ROUNDDOWN(TblProd[[#This Row],[Raw Gems/hr]]*(1+TblProd[[#This Row],[Bonus Gems/hr]]),0)</f>
        <v>0</v>
      </c>
      <c r="Y117" s="155">
        <f ca="1">OFFSET(TblConstr[[#This Row],[Tot Doc]],1,0)*dock_boats_hr * (1 + tech_4_1*TblTech[[#This Row],[4-1]])</f>
        <v>0</v>
      </c>
      <c r="Z117" s="154"/>
      <c r="AA117" s="94">
        <f ca="1">TblPop[[#This Row],[Peasants]]*tax*TblPop[[#This Row],[Employment]] + (Construction!AZ118+Construction!BX118)*(alch_plat+(Magic!AN117&gt;0)*alchemist_flame_bonus)</f>
        <v>399.6</v>
      </c>
      <c r="AB117" s="94">
        <f ca="1">TblConstr[[#This Row],[Tot Farm]]*farm_food + TblConstr[[#This Row],[Tot Doc]]*dock_food</f>
        <v>2400</v>
      </c>
      <c r="AC117" s="94">
        <f ca="1">TblConstr[[#This Row],[Tot Ly]]*ly_lumber + TblConstr[[#This Row],[Tot Hav]]*fh_lumber + IF(race="Wood Elf",TblMili[[#This Row],[Unit 2]]*MIN(TblMili[[#This Row],[Homeland%]]/wisp_bonus,wisp_cap),0)</f>
        <v>1000</v>
      </c>
      <c r="AD117" s="94">
        <f ca="1">OFFSET(TblConstr[[#This Row],[Tot Tow]],1,0)*(tower_mana + tech_4_5*TblTech[[#This Row],[4-5]]) + OFFSET(TblConstr[[#This Row],[Tot WG]],1,0)*wg_mana_prod</f>
        <v>0</v>
      </c>
      <c r="AE117" s="94">
        <f ca="1">OFFSET(TblConstr[[#This Row],[Tot OM]],1,0)*om_ore+IF(race="Dwarf",TblMili[[#This Row],[Unit 2]]*0.5,0)</f>
        <v>0</v>
      </c>
      <c r="AF117" s="94">
        <f ca="1">OFFSET(TblConstr[[#This Row],[Tot DM]],1,0)*dm_gems</f>
        <v>0</v>
      </c>
      <c r="AG117" s="142"/>
      <c r="AH117" s="156">
        <f ca="1">MIN(race_platinum_bonus + IF(TblMagic[[#This Row],[Active Arc Infusion]]&gt;0,alch_frost_bonus,IF(Magic!AE117&gt;0,midas_bonus)) + TblImps[[#This Row],[Science]] - TblProd[[#This Row],[Guard]]*(0.02 + tech_5_7*TblTech[[#This Row],[5-7]]) + tech_1_5*TblTech[[#This Row],[1-5]] + tech_4_4*TblTech[[#This Row],[4-4]] + IF(TblMagic[[#This Row],[Active Infernal Command]]&gt;0,demonic_pact_plat,0), 0.5)</f>
        <v>0</v>
      </c>
      <c r="AI11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7" s="156">
        <f ca="1">race_lumber_bonus+ IF(TblMagic[[#This Row],[Active Gaia''s Blessing]]&gt;0,gaias_blessing_lumber)+ tech_1_3*TblTech[[#This Row],[1-3]] + tech_1_6*TblTech[[#This Row],[1-6]] + tech_3_3*TblTech[[#This Row],[3-3]]</f>
        <v>0</v>
      </c>
      <c r="AK117" s="156">
        <f ca="1">race_mana_bonus+ 0 + TblImps[[#This Row],[Spires]] + tech_1_2*TblTech[[#This Row],[1-2]] + tech_3_4*TblTech[[#This Row],[3-4]]</f>
        <v>0</v>
      </c>
      <c r="AL117" s="156">
        <f ca="1">race_ore_bonus + IF(TblMagic[[#This Row],[Active Miner''s Sight]]&gt;0,miners_sight_bonus,IF(TblMagic[[#This Row],[Active Mining Strength]]&gt;0,mining_strength_bonus)) +  tech_1_6*TblTech[[#This Row],[1-6]]</f>
        <v>0</v>
      </c>
      <c r="AM117" s="156">
        <f>race_gem_bonus+ tech_3_2*TblTech[[#This Row],[3-2]] + tech_4_3*TblTech[[#This Row],[4-3]] + tech_6_2*TblTech[[#This Row],[6-2]]</f>
        <v>0</v>
      </c>
      <c r="AN117" s="142"/>
      <c r="AO117" s="94">
        <f ca="1">TblProd[[#This Row],[Food]]*food_decay * (1 + tech_2_1*TblTech[[#This Row],[2-1]] + tech_2_8*TblTech[[#This Row],[2-8]] + IF(AND(TblMagic[[#This Row],[Active DnD]]&lt;12,TblMagic[[#This Row],[Active DnD]]&gt;5),1,0))</f>
        <v>1668.99</v>
      </c>
      <c r="AP117" s="94">
        <f ca="1">(1+race_food_consumption)*TblPop[[#This Row],[Total]]*food_per_person*(1+tech_1_10*TblTech[[#This Row],[1-10]]+tech_7_5*TblTech[[#This Row],[7-5]] + IF(TblMagic[[#This Row],[Active Infernal Command]]&gt;0,demonic_pact_food_cons,0))</f>
        <v>192.25</v>
      </c>
      <c r="AQ117" s="94">
        <f ca="1">TblProd[[#This Row],[Lumber]]*lumber_rot * (1 + tech_2_1*TblTech[[#This Row],[2-1]] + tech_2_8*TblTech[[#This Row],[2-8]] + tech_5_2*TblTech[[#This Row],[5-2]] + IF(AND(TblMagic[[#This Row],[Active DnD]]&lt;12,TblMagic[[#This Row],[Active DnD]]&gt;5),1,0))</f>
        <v>726.96</v>
      </c>
      <c r="AR117" s="94">
        <f ca="1">TblProd[[#This Row],[Mana]]*mana_drain * (1 + tech_2_1*TblTech[[#This Row],[2-1]] + tech_2_8*TblTech[[#This Row],[2-8]])</f>
        <v>0</v>
      </c>
      <c r="AS117" s="154"/>
      <c r="AT117" s="94">
        <f ca="1">TblExplore[[#This Row],[Platinum (2)]]+TblConstr[[#This Row],[Total Plat Cost]]+TblMili[[#This Row],[Plat Cost]]+TblRezone[[#This Row],[Platinum cost]]+TblImps[[#This Row],[P1]]-TblProd[[#This Row],[Bank Plat]]</f>
        <v>0</v>
      </c>
      <c r="AU117" s="94">
        <f ca="1">TblConstr[[#This Row],[Total Lum Cost]]+TblImps[[#This Row],[L1]]-TblProd[[#This Row],[Bank Lumber]] + Military!$CO$25*TblMili[[#This Row],[Sec. rec. Cost]]</f>
        <v>0</v>
      </c>
      <c r="AV117" s="94">
        <f ca="1">TblMagic[[#This Row],[Mana cost]] + Military!$CO$26*TblMili[[#This Row],[Sec. rec. Cost]]</f>
        <v>0</v>
      </c>
      <c r="AW117" s="94">
        <f ca="1">Military!$CO$24*TblMili[[#This Row],[Sec. rec. Cost]]+TblImps[[#This Row],[O1]]-TblProd[[#This Row],[Bank Ore]]</f>
        <v>0</v>
      </c>
      <c r="AX117" s="94">
        <f>TblImps[[#This Row],[G1]]-TblProd[[#This Row],[Bank Gems]]</f>
        <v>0</v>
      </c>
      <c r="AY117" s="142"/>
      <c r="AZ117" s="61" t="b">
        <f ca="1">IF(TblProd[[#This Row],[Set Guard]]&lt;&gt;"",TblProd[[#This Row],[Set Guard]],OFFSET(TblProd[[#This Row],[Guard]],-1,0))</f>
        <v>0</v>
      </c>
      <c r="BA117" s="153"/>
      <c r="BB117" s="45">
        <f>TblProd[[#This Row],[Hour]]</f>
        <v>66</v>
      </c>
      <c r="BC117" s="158">
        <f>-TblProd[[#This Row],[Bank Lumber]] / 2 + -TblProd[[#This Row],[Bank Gems]] * 2 + -TblProd[[#This Row],[Bank Ore]] / 2</f>
        <v>0</v>
      </c>
      <c r="BD117" s="158"/>
      <c r="BE117" s="158"/>
      <c r="BF117" s="158"/>
      <c r="BG117" s="159">
        <f ca="1">TblProd[[#This Row],[Time]]</f>
        <v>46324.708333333059</v>
      </c>
      <c r="BH117" s="45"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94">
        <f ca="1">TblProd[[#This Row],[Platinum]]</f>
        <v>206222</v>
      </c>
      <c r="BJ117" s="94">
        <f ca="1">TblProd[[#This Row],[Food]]</f>
        <v>166899</v>
      </c>
      <c r="BK117" s="94">
        <f ca="1">TblProd[[#This Row],[Lumber]]</f>
        <v>72696</v>
      </c>
      <c r="BL117" s="94">
        <f ca="1">TblProd[[#This Row],[Mana]]</f>
        <v>0</v>
      </c>
      <c r="BM117" s="94">
        <f ca="1">TblProd[[#This Row],[Ore]]</f>
        <v>0</v>
      </c>
    </row>
    <row r="118" spans="1:65" x14ac:dyDescent="0.2">
      <c r="A118" s="137">
        <f t="shared" si="0"/>
        <v>67</v>
      </c>
      <c r="B118" s="152">
        <f ca="1">TblImps[[#This Row],[Time]]</f>
        <v>46324.749999999724</v>
      </c>
      <c r="C118" s="153"/>
      <c r="D118" s="154"/>
      <c r="E118" s="94">
        <f ca="1">TblConstr[[#This Row],[Land]]</f>
        <v>50</v>
      </c>
      <c r="F118" s="94">
        <f ca="1">TblPop[[#This Row],[Peasants]]</f>
        <v>147</v>
      </c>
      <c r="G118" s="94">
        <f ca="1">TblMili[[#This Row],[Networth (2)]]</f>
        <v>1250</v>
      </c>
      <c r="H118" s="94">
        <f ca="1">OFFSET(TblProd[[#This Row],[Platinum]],-1,0)+OFFSET(TblProd[[#This Row],[Plat/hr]],-1,0) - TblProd[[#This Row],[Expenses Platinum]] + IF(TblProd[[#This Row],[Plat Bonus]],TblPop[[#This Row],[Peasants]]*4) + SUM(TblConstr[[#This Row],[Dest Hom]:[Dest Doc]])*TblConstr[[#This Row],[CPA Platinum -DB]]*tech_3_3_2*TblTech[[#This Row],[3-3]]</f>
        <v>206621</v>
      </c>
      <c r="I118" s="94">
        <f ca="1">OFFSET(TblProd[[#This Row],[Food]],-1,0)+OFFSET(TblProd[[#This Row],[Food/hr]],-1,0)+ROUNDUP((TblConstr[[#This Row],[Farms]]*80+TblConstr[[#This Row],[Docks]]*35)*(1+OFFSET(TblProd[[#This Row],[Bonus Food/hr]],-1,0)),0)</f>
        <v>167618</v>
      </c>
      <c r="J118" s="94">
        <f ca="1">OFFSET(TblProd[[#This Row],[Lumber]],-1,0)+OFFSET(TblProd[[#This Row],[Lumber/hr]],-1,0) - TblProd[[#This Row],[Expenses Lumber]] + SUM(TblConstr[[#This Row],[Dest Hom]:[Dest Doc]])*TblConstr[[#This Row],[CPA Lumber -DB]]*tech_3_3_2*TblTech[[#This Row],[3-3]]</f>
        <v>72969</v>
      </c>
      <c r="K118" s="94">
        <f ca="1">OFFSET(TblProd[[#This Row],[Mana]],-1,0)+OFFSET(TblProd[[#This Row],[Mana/hr]],-1,0)- TblProd[[#This Row],[Expenses Mana]]</f>
        <v>0</v>
      </c>
      <c r="L118" s="94">
        <f ca="1">OFFSET(TblProd[[#This Row],[Ore]],-1,0)+OFFSET(TblProd[[#This Row],[Ore/hr]],-1,0) -TblProd[[#This Row],[Expenses Ore]]</f>
        <v>0</v>
      </c>
      <c r="M118" s="94">
        <f ca="1">OFFSET(TblProd[[#This Row],[Gems]],-1,0)+OFFSET(TblProd[[#This Row],[Gems/hr]],-1,0) - TblProd[[#This Row],[Expenses Gems]]</f>
        <v>0</v>
      </c>
      <c r="N118" s="94">
        <f ca="1">OFFSET(TblProd[[#This Row],[Boats]],-1,0)+OFFSET(TblProd[[#This Row],[Boats/hr]],-1,0)</f>
        <v>0</v>
      </c>
      <c r="O118" s="94">
        <f ca="1">OFFSET(TblProd[[#This Row],[Prestige]],-1,0)</f>
        <v>250</v>
      </c>
      <c r="P11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8" s="94">
        <f ca="1">MAX(_xlfn.CEILING.MATH(TblProd[[#This Row],[Land]]*2.5+IFERROR(OFFSET(TblTech[[#This Row],[Sum of tech]],-1,0)*50,0)),3750)</f>
        <v>3750</v>
      </c>
      <c r="R118" s="142"/>
      <c r="S118" s="94">
        <f ca="1">ROUNDDOWN(TblProd[[#This Row],[Raw Plat/hr]]*(1+TblProd[[#This Row],[Bonus Plat/hr]]),0)</f>
        <v>396</v>
      </c>
      <c r="T118" s="94">
        <f ca="1">ROUND(TblProd[[#This Row],[Raw Food/hr]]*(1+TblProd[[#This Row],[Bonus Food/hr]])-TblProd[[#This Row],[Food decay]]-TblProd[[#This Row],[Food eaten]],0)</f>
        <v>712</v>
      </c>
      <c r="U118" s="94">
        <f ca="1">ROUND(TblProd[[#This Row],[Raw Lumber/hr]]*(1+TblProd[[#This Row],[Bonus Lumber/hr]])-TblProd[[#This Row],[Lumber rot]],0)</f>
        <v>270</v>
      </c>
      <c r="V118" s="94">
        <f ca="1">ROUND(TblProd[[#This Row],[Raw Mana/hr]]*(1+TblProd[[#This Row],[Bonus Mana/hr]])-TblProd[[#This Row],[Mana drain]],0)</f>
        <v>0</v>
      </c>
      <c r="W118" s="94">
        <f ca="1">ROUNDDOWN(TblProd[[#This Row],[Raw Ore/hr]]*(1+TblProd[[#This Row],[Bonux Ore/hr]]),0)</f>
        <v>0</v>
      </c>
      <c r="X118" s="94">
        <f ca="1">ROUNDDOWN(TblProd[[#This Row],[Raw Gems/hr]]*(1+TblProd[[#This Row],[Bonus Gems/hr]]),0)</f>
        <v>0</v>
      </c>
      <c r="Y118" s="155">
        <f ca="1">OFFSET(TblConstr[[#This Row],[Tot Doc]],1,0)*dock_boats_hr * (1 + tech_4_1*TblTech[[#This Row],[4-1]])</f>
        <v>0</v>
      </c>
      <c r="Z118" s="154"/>
      <c r="AA118" s="94">
        <f ca="1">TblPop[[#This Row],[Peasants]]*tax*TblPop[[#This Row],[Employment]] + (Construction!AZ119+Construction!BX119)*(alch_plat+(Magic!AN118&gt;0)*alchemist_flame_bonus)</f>
        <v>396.90000000000003</v>
      </c>
      <c r="AB118" s="94">
        <f ca="1">TblConstr[[#This Row],[Tot Farm]]*farm_food + TblConstr[[#This Row],[Tot Doc]]*dock_food</f>
        <v>2400</v>
      </c>
      <c r="AC118" s="94">
        <f ca="1">TblConstr[[#This Row],[Tot Ly]]*ly_lumber + TblConstr[[#This Row],[Tot Hav]]*fh_lumber + IF(race="Wood Elf",TblMili[[#This Row],[Unit 2]]*MIN(TblMili[[#This Row],[Homeland%]]/wisp_bonus,wisp_cap),0)</f>
        <v>1000</v>
      </c>
      <c r="AD118" s="94">
        <f ca="1">OFFSET(TblConstr[[#This Row],[Tot Tow]],1,0)*(tower_mana + tech_4_5*TblTech[[#This Row],[4-5]]) + OFFSET(TblConstr[[#This Row],[Tot WG]],1,0)*wg_mana_prod</f>
        <v>0</v>
      </c>
      <c r="AE118" s="94">
        <f ca="1">OFFSET(TblConstr[[#This Row],[Tot OM]],1,0)*om_ore+IF(race="Dwarf",TblMili[[#This Row],[Unit 2]]*0.5,0)</f>
        <v>0</v>
      </c>
      <c r="AF118" s="94">
        <f ca="1">OFFSET(TblConstr[[#This Row],[Tot DM]],1,0)*dm_gems</f>
        <v>0</v>
      </c>
      <c r="AG118" s="142"/>
      <c r="AH118" s="156">
        <f ca="1">MIN(race_platinum_bonus + IF(TblMagic[[#This Row],[Active Arc Infusion]]&gt;0,alch_frost_bonus,IF(Magic!AE118&gt;0,midas_bonus)) + TblImps[[#This Row],[Science]] - TblProd[[#This Row],[Guard]]*(0.02 + tech_5_7*TblTech[[#This Row],[5-7]]) + tech_1_5*TblTech[[#This Row],[1-5]] + tech_4_4*TblTech[[#This Row],[4-4]] + IF(TblMagic[[#This Row],[Active Infernal Command]]&gt;0,demonic_pact_plat,0), 0.5)</f>
        <v>0</v>
      </c>
      <c r="AI11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8" s="156">
        <f ca="1">race_lumber_bonus+ IF(TblMagic[[#This Row],[Active Gaia''s Blessing]]&gt;0,gaias_blessing_lumber)+ tech_1_3*TblTech[[#This Row],[1-3]] + tech_1_6*TblTech[[#This Row],[1-6]] + tech_3_3*TblTech[[#This Row],[3-3]]</f>
        <v>0</v>
      </c>
      <c r="AK118" s="156">
        <f ca="1">race_mana_bonus+ 0 + TblImps[[#This Row],[Spires]] + tech_1_2*TblTech[[#This Row],[1-2]] + tech_3_4*TblTech[[#This Row],[3-4]]</f>
        <v>0</v>
      </c>
      <c r="AL118" s="156">
        <f ca="1">race_ore_bonus + IF(TblMagic[[#This Row],[Active Miner''s Sight]]&gt;0,miners_sight_bonus,IF(TblMagic[[#This Row],[Active Mining Strength]]&gt;0,mining_strength_bonus)) +  tech_1_6*TblTech[[#This Row],[1-6]]</f>
        <v>0</v>
      </c>
      <c r="AM118" s="156">
        <f>race_gem_bonus+ tech_3_2*TblTech[[#This Row],[3-2]] + tech_4_3*TblTech[[#This Row],[4-3]] + tech_6_2*TblTech[[#This Row],[6-2]]</f>
        <v>0</v>
      </c>
      <c r="AN118" s="142"/>
      <c r="AO118" s="94">
        <f ca="1">TblProd[[#This Row],[Food]]*food_decay * (1 + tech_2_1*TblTech[[#This Row],[2-1]] + tech_2_8*TblTech[[#This Row],[2-8]] + IF(AND(TblMagic[[#This Row],[Active DnD]]&lt;12,TblMagic[[#This Row],[Active DnD]]&gt;5),1,0))</f>
        <v>1676.18</v>
      </c>
      <c r="AP118" s="94">
        <f ca="1">(1+race_food_consumption)*TblPop[[#This Row],[Total]]*food_per_person*(1+tech_1_10*TblTech[[#This Row],[1-10]]+tech_7_5*TblTech[[#This Row],[7-5]] + IF(TblMagic[[#This Row],[Active Infernal Command]]&gt;0,demonic_pact_food_cons,0))</f>
        <v>192.25</v>
      </c>
      <c r="AQ118" s="94">
        <f ca="1">TblProd[[#This Row],[Lumber]]*lumber_rot * (1 + tech_2_1*TblTech[[#This Row],[2-1]] + tech_2_8*TblTech[[#This Row],[2-8]] + tech_5_2*TblTech[[#This Row],[5-2]] + IF(AND(TblMagic[[#This Row],[Active DnD]]&lt;12,TblMagic[[#This Row],[Active DnD]]&gt;5),1,0))</f>
        <v>729.69</v>
      </c>
      <c r="AR118" s="94">
        <f ca="1">TblProd[[#This Row],[Mana]]*mana_drain * (1 + tech_2_1*TblTech[[#This Row],[2-1]] + tech_2_8*TblTech[[#This Row],[2-8]])</f>
        <v>0</v>
      </c>
      <c r="AS118" s="154"/>
      <c r="AT118" s="94">
        <f ca="1">TblExplore[[#This Row],[Platinum (2)]]+TblConstr[[#This Row],[Total Plat Cost]]+TblMili[[#This Row],[Plat Cost]]+TblRezone[[#This Row],[Platinum cost]]+TblImps[[#This Row],[P1]]-TblProd[[#This Row],[Bank Plat]]</f>
        <v>0</v>
      </c>
      <c r="AU118" s="94">
        <f ca="1">TblConstr[[#This Row],[Total Lum Cost]]+TblImps[[#This Row],[L1]]-TblProd[[#This Row],[Bank Lumber]] + Military!$CO$25*TblMili[[#This Row],[Sec. rec. Cost]]</f>
        <v>0</v>
      </c>
      <c r="AV118" s="94">
        <f ca="1">TblMagic[[#This Row],[Mana cost]] + Military!$CO$26*TblMili[[#This Row],[Sec. rec. Cost]]</f>
        <v>0</v>
      </c>
      <c r="AW118" s="94">
        <f ca="1">Military!$CO$24*TblMili[[#This Row],[Sec. rec. Cost]]+TblImps[[#This Row],[O1]]-TblProd[[#This Row],[Bank Ore]]</f>
        <v>0</v>
      </c>
      <c r="AX118" s="94">
        <f>TblImps[[#This Row],[G1]]-TblProd[[#This Row],[Bank Gems]]</f>
        <v>0</v>
      </c>
      <c r="AY118" s="142"/>
      <c r="AZ118" s="61" t="b">
        <f ca="1">IF(TblProd[[#This Row],[Set Guard]]&lt;&gt;"",TblProd[[#This Row],[Set Guard]],OFFSET(TblProd[[#This Row],[Guard]],-1,0))</f>
        <v>0</v>
      </c>
      <c r="BA118" s="153"/>
      <c r="BB118" s="45">
        <f>TblProd[[#This Row],[Hour]]</f>
        <v>67</v>
      </c>
      <c r="BC118" s="158">
        <f>-TblProd[[#This Row],[Bank Lumber]] / 2 + -TblProd[[#This Row],[Bank Gems]] * 2 + -TblProd[[#This Row],[Bank Ore]] / 2</f>
        <v>0</v>
      </c>
      <c r="BD118" s="158"/>
      <c r="BE118" s="158"/>
      <c r="BF118" s="158"/>
      <c r="BG118" s="159">
        <f ca="1">TblProd[[#This Row],[Time]]</f>
        <v>46324.749999999724</v>
      </c>
      <c r="BH118" s="45"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94">
        <f ca="1">TblProd[[#This Row],[Platinum]]</f>
        <v>206621</v>
      </c>
      <c r="BJ118" s="94">
        <f ca="1">TblProd[[#This Row],[Food]]</f>
        <v>167618</v>
      </c>
      <c r="BK118" s="94">
        <f ca="1">TblProd[[#This Row],[Lumber]]</f>
        <v>72969</v>
      </c>
      <c r="BL118" s="94">
        <f ca="1">TblProd[[#This Row],[Mana]]</f>
        <v>0</v>
      </c>
      <c r="BM118" s="94">
        <f ca="1">TblProd[[#This Row],[Ore]]</f>
        <v>0</v>
      </c>
    </row>
    <row r="119" spans="1:65" x14ac:dyDescent="0.2">
      <c r="A119" s="137">
        <f t="shared" ref="A119:A136" si="1">A118+1</f>
        <v>68</v>
      </c>
      <c r="B119" s="152">
        <f ca="1">TblImps[[#This Row],[Time]]</f>
        <v>46324.791666666388</v>
      </c>
      <c r="C119" s="153"/>
      <c r="D119" s="154"/>
      <c r="E119" s="94">
        <f ca="1">TblConstr[[#This Row],[Land]]</f>
        <v>50</v>
      </c>
      <c r="F119" s="94">
        <f ca="1">TblPop[[#This Row],[Peasants]]</f>
        <v>146</v>
      </c>
      <c r="G119" s="94">
        <f ca="1">TblMili[[#This Row],[Networth (2)]]</f>
        <v>1250</v>
      </c>
      <c r="H119" s="94">
        <f ca="1">OFFSET(TblProd[[#This Row],[Platinum]],-1,0)+OFFSET(TblProd[[#This Row],[Plat/hr]],-1,0) - TblProd[[#This Row],[Expenses Platinum]] + IF(TblProd[[#This Row],[Plat Bonus]],TblPop[[#This Row],[Peasants]]*4) + SUM(TblConstr[[#This Row],[Dest Hom]:[Dest Doc]])*TblConstr[[#This Row],[CPA Platinum -DB]]*tech_3_3_2*TblTech[[#This Row],[3-3]]</f>
        <v>207017</v>
      </c>
      <c r="I119" s="94">
        <f ca="1">OFFSET(TblProd[[#This Row],[Food]],-1,0)+OFFSET(TblProd[[#This Row],[Food/hr]],-1,0)+ROUNDUP((TblConstr[[#This Row],[Farms]]*80+TblConstr[[#This Row],[Docks]]*35)*(1+OFFSET(TblProd[[#This Row],[Bonus Food/hr]],-1,0)),0)</f>
        <v>168330</v>
      </c>
      <c r="J119" s="94">
        <f ca="1">OFFSET(TblProd[[#This Row],[Lumber]],-1,0)+OFFSET(TblProd[[#This Row],[Lumber/hr]],-1,0) - TblProd[[#This Row],[Expenses Lumber]] + SUM(TblConstr[[#This Row],[Dest Hom]:[Dest Doc]])*TblConstr[[#This Row],[CPA Lumber -DB]]*tech_3_3_2*TblTech[[#This Row],[3-3]]</f>
        <v>73239</v>
      </c>
      <c r="K119" s="94">
        <f ca="1">OFFSET(TblProd[[#This Row],[Mana]],-1,0)+OFFSET(TblProd[[#This Row],[Mana/hr]],-1,0)- TblProd[[#This Row],[Expenses Mana]]</f>
        <v>0</v>
      </c>
      <c r="L119" s="94">
        <f ca="1">OFFSET(TblProd[[#This Row],[Ore]],-1,0)+OFFSET(TblProd[[#This Row],[Ore/hr]],-1,0) -TblProd[[#This Row],[Expenses Ore]]</f>
        <v>0</v>
      </c>
      <c r="M119" s="94">
        <f ca="1">OFFSET(TblProd[[#This Row],[Gems]],-1,0)+OFFSET(TblProd[[#This Row],[Gems/hr]],-1,0) - TblProd[[#This Row],[Expenses Gems]]</f>
        <v>0</v>
      </c>
      <c r="N119" s="94">
        <f ca="1">OFFSET(TblProd[[#This Row],[Boats]],-1,0)+OFFSET(TblProd[[#This Row],[Boats/hr]],-1,0)</f>
        <v>0</v>
      </c>
      <c r="O119" s="94">
        <f ca="1">OFFSET(TblProd[[#This Row],[Prestige]],-1,0)</f>
        <v>250</v>
      </c>
      <c r="P11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9" s="94">
        <f ca="1">MAX(_xlfn.CEILING.MATH(TblProd[[#This Row],[Land]]*2.5+IFERROR(OFFSET(TblTech[[#This Row],[Sum of tech]],-1,0)*50,0)),3750)</f>
        <v>3750</v>
      </c>
      <c r="R119" s="142"/>
      <c r="S119" s="94">
        <f ca="1">ROUNDDOWN(TblProd[[#This Row],[Raw Plat/hr]]*(1+TblProd[[#This Row],[Bonus Plat/hr]]),0)</f>
        <v>394</v>
      </c>
      <c r="T119" s="94">
        <f ca="1">ROUND(TblProd[[#This Row],[Raw Food/hr]]*(1+TblProd[[#This Row],[Bonus Food/hr]])-TblProd[[#This Row],[Food decay]]-TblProd[[#This Row],[Food eaten]],0)</f>
        <v>704</v>
      </c>
      <c r="U119" s="94">
        <f ca="1">ROUND(TblProd[[#This Row],[Raw Lumber/hr]]*(1+TblProd[[#This Row],[Bonus Lumber/hr]])-TblProd[[#This Row],[Lumber rot]],0)</f>
        <v>268</v>
      </c>
      <c r="V119" s="94">
        <f ca="1">ROUND(TblProd[[#This Row],[Raw Mana/hr]]*(1+TblProd[[#This Row],[Bonus Mana/hr]])-TblProd[[#This Row],[Mana drain]],0)</f>
        <v>0</v>
      </c>
      <c r="W119" s="94">
        <f ca="1">ROUNDDOWN(TblProd[[#This Row],[Raw Ore/hr]]*(1+TblProd[[#This Row],[Bonux Ore/hr]]),0)</f>
        <v>0</v>
      </c>
      <c r="X119" s="94">
        <f ca="1">ROUNDDOWN(TblProd[[#This Row],[Raw Gems/hr]]*(1+TblProd[[#This Row],[Bonus Gems/hr]]),0)</f>
        <v>0</v>
      </c>
      <c r="Y119" s="155">
        <f ca="1">OFFSET(TblConstr[[#This Row],[Tot Doc]],1,0)*dock_boats_hr * (1 + tech_4_1*TblTech[[#This Row],[4-1]])</f>
        <v>0</v>
      </c>
      <c r="Z119" s="154"/>
      <c r="AA119" s="94">
        <f ca="1">TblPop[[#This Row],[Peasants]]*tax*TblPop[[#This Row],[Employment]] + (Construction!AZ120+Construction!BX120)*(alch_plat+(Magic!AN119&gt;0)*alchemist_flame_bonus)</f>
        <v>394.20000000000005</v>
      </c>
      <c r="AB119" s="94">
        <f ca="1">TblConstr[[#This Row],[Tot Farm]]*farm_food + TblConstr[[#This Row],[Tot Doc]]*dock_food</f>
        <v>2400</v>
      </c>
      <c r="AC119" s="94">
        <f ca="1">TblConstr[[#This Row],[Tot Ly]]*ly_lumber + TblConstr[[#This Row],[Tot Hav]]*fh_lumber + IF(race="Wood Elf",TblMili[[#This Row],[Unit 2]]*MIN(TblMili[[#This Row],[Homeland%]]/wisp_bonus,wisp_cap),0)</f>
        <v>1000</v>
      </c>
      <c r="AD119" s="94">
        <f ca="1">OFFSET(TblConstr[[#This Row],[Tot Tow]],1,0)*(tower_mana + tech_4_5*TblTech[[#This Row],[4-5]]) + OFFSET(TblConstr[[#This Row],[Tot WG]],1,0)*wg_mana_prod</f>
        <v>0</v>
      </c>
      <c r="AE119" s="94">
        <f ca="1">OFFSET(TblConstr[[#This Row],[Tot OM]],1,0)*om_ore+IF(race="Dwarf",TblMili[[#This Row],[Unit 2]]*0.5,0)</f>
        <v>0</v>
      </c>
      <c r="AF119" s="94">
        <f ca="1">OFFSET(TblConstr[[#This Row],[Tot DM]],1,0)*dm_gems</f>
        <v>0</v>
      </c>
      <c r="AG119" s="142"/>
      <c r="AH119" s="156">
        <f ca="1">MIN(race_platinum_bonus + IF(TblMagic[[#This Row],[Active Arc Infusion]]&gt;0,alch_frost_bonus,IF(Magic!AE119&gt;0,midas_bonus)) + TblImps[[#This Row],[Science]] - TblProd[[#This Row],[Guard]]*(0.02 + tech_5_7*TblTech[[#This Row],[5-7]]) + tech_1_5*TblTech[[#This Row],[1-5]] + tech_4_4*TblTech[[#This Row],[4-4]] + IF(TblMagic[[#This Row],[Active Infernal Command]]&gt;0,demonic_pact_plat,0), 0.5)</f>
        <v>0</v>
      </c>
      <c r="AI11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9" s="156">
        <f ca="1">race_lumber_bonus+ IF(TblMagic[[#This Row],[Active Gaia''s Blessing]]&gt;0,gaias_blessing_lumber)+ tech_1_3*TblTech[[#This Row],[1-3]] + tech_1_6*TblTech[[#This Row],[1-6]] + tech_3_3*TblTech[[#This Row],[3-3]]</f>
        <v>0</v>
      </c>
      <c r="AK119" s="156">
        <f ca="1">race_mana_bonus+ 0 + TblImps[[#This Row],[Spires]] + tech_1_2*TblTech[[#This Row],[1-2]] + tech_3_4*TblTech[[#This Row],[3-4]]</f>
        <v>0</v>
      </c>
      <c r="AL119" s="156">
        <f ca="1">race_ore_bonus + IF(TblMagic[[#This Row],[Active Miner''s Sight]]&gt;0,miners_sight_bonus,IF(TblMagic[[#This Row],[Active Mining Strength]]&gt;0,mining_strength_bonus)) +  tech_1_6*TblTech[[#This Row],[1-6]]</f>
        <v>0</v>
      </c>
      <c r="AM119" s="156">
        <f>race_gem_bonus+ tech_3_2*TblTech[[#This Row],[3-2]] + tech_4_3*TblTech[[#This Row],[4-3]] + tech_6_2*TblTech[[#This Row],[6-2]]</f>
        <v>0</v>
      </c>
      <c r="AN119" s="142"/>
      <c r="AO119" s="94">
        <f ca="1">TblProd[[#This Row],[Food]]*food_decay * (1 + tech_2_1*TblTech[[#This Row],[2-1]] + tech_2_8*TblTech[[#This Row],[2-8]] + IF(AND(TblMagic[[#This Row],[Active DnD]]&lt;12,TblMagic[[#This Row],[Active DnD]]&gt;5),1,0))</f>
        <v>1683.3</v>
      </c>
      <c r="AP119" s="94">
        <f ca="1">(1+race_food_consumption)*TblPop[[#This Row],[Total]]*food_per_person*(1+tech_1_10*TblTech[[#This Row],[1-10]]+tech_7_5*TblTech[[#This Row],[7-5]] + IF(TblMagic[[#This Row],[Active Infernal Command]]&gt;0,demonic_pact_food_cons,0))</f>
        <v>192.25</v>
      </c>
      <c r="AQ119" s="94">
        <f ca="1">TblProd[[#This Row],[Lumber]]*lumber_rot * (1 + tech_2_1*TblTech[[#This Row],[2-1]] + tech_2_8*TblTech[[#This Row],[2-8]] + tech_5_2*TblTech[[#This Row],[5-2]] + IF(AND(TblMagic[[#This Row],[Active DnD]]&lt;12,TblMagic[[#This Row],[Active DnD]]&gt;5),1,0))</f>
        <v>732.39</v>
      </c>
      <c r="AR119" s="94">
        <f ca="1">TblProd[[#This Row],[Mana]]*mana_drain * (1 + tech_2_1*TblTech[[#This Row],[2-1]] + tech_2_8*TblTech[[#This Row],[2-8]])</f>
        <v>0</v>
      </c>
      <c r="AS119" s="154"/>
      <c r="AT119" s="94">
        <f ca="1">TblExplore[[#This Row],[Platinum (2)]]+TblConstr[[#This Row],[Total Plat Cost]]+TblMili[[#This Row],[Plat Cost]]+TblRezone[[#This Row],[Platinum cost]]+TblImps[[#This Row],[P1]]-TblProd[[#This Row],[Bank Plat]]</f>
        <v>0</v>
      </c>
      <c r="AU119" s="94">
        <f ca="1">TblConstr[[#This Row],[Total Lum Cost]]+TblImps[[#This Row],[L1]]-TblProd[[#This Row],[Bank Lumber]] + Military!$CO$25*TblMili[[#This Row],[Sec. rec. Cost]]</f>
        <v>0</v>
      </c>
      <c r="AV119" s="94">
        <f ca="1">TblMagic[[#This Row],[Mana cost]] + Military!$CO$26*TblMili[[#This Row],[Sec. rec. Cost]]</f>
        <v>0</v>
      </c>
      <c r="AW119" s="94">
        <f ca="1">Military!$CO$24*TblMili[[#This Row],[Sec. rec. Cost]]+TblImps[[#This Row],[O1]]-TblProd[[#This Row],[Bank Ore]]</f>
        <v>0</v>
      </c>
      <c r="AX119" s="94">
        <f>TblImps[[#This Row],[G1]]-TblProd[[#This Row],[Bank Gems]]</f>
        <v>0</v>
      </c>
      <c r="AY119" s="142"/>
      <c r="AZ119" s="61" t="b">
        <f ca="1">IF(TblProd[[#This Row],[Set Guard]]&lt;&gt;"",TblProd[[#This Row],[Set Guard]],OFFSET(TblProd[[#This Row],[Guard]],-1,0))</f>
        <v>0</v>
      </c>
      <c r="BA119" s="153"/>
      <c r="BB119" s="45">
        <f>TblProd[[#This Row],[Hour]]</f>
        <v>68</v>
      </c>
      <c r="BC119" s="158">
        <f>-TblProd[[#This Row],[Bank Lumber]] / 2 + -TblProd[[#This Row],[Bank Gems]] * 2 + -TblProd[[#This Row],[Bank Ore]] / 2</f>
        <v>0</v>
      </c>
      <c r="BD119" s="158"/>
      <c r="BE119" s="158"/>
      <c r="BF119" s="158"/>
      <c r="BG119" s="159">
        <f ca="1">TblProd[[#This Row],[Time]]</f>
        <v>46324.791666666388</v>
      </c>
      <c r="BH119" s="45"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94">
        <f ca="1">TblProd[[#This Row],[Platinum]]</f>
        <v>207017</v>
      </c>
      <c r="BJ119" s="94">
        <f ca="1">TblProd[[#This Row],[Food]]</f>
        <v>168330</v>
      </c>
      <c r="BK119" s="94">
        <f ca="1">TblProd[[#This Row],[Lumber]]</f>
        <v>73239</v>
      </c>
      <c r="BL119" s="94">
        <f ca="1">TblProd[[#This Row],[Mana]]</f>
        <v>0</v>
      </c>
      <c r="BM119" s="94">
        <f ca="1">TblProd[[#This Row],[Ore]]</f>
        <v>0</v>
      </c>
    </row>
    <row r="120" spans="1:65" x14ac:dyDescent="0.2">
      <c r="A120" s="137">
        <f t="shared" si="1"/>
        <v>69</v>
      </c>
      <c r="B120" s="152">
        <f ca="1">TblImps[[#This Row],[Time]]</f>
        <v>46324.833333333052</v>
      </c>
      <c r="C120" s="153"/>
      <c r="D120" s="154"/>
      <c r="E120" s="94">
        <f ca="1">TblConstr[[#This Row],[Land]]</f>
        <v>50</v>
      </c>
      <c r="F120" s="94">
        <f ca="1">TblPop[[#This Row],[Peasants]]</f>
        <v>145</v>
      </c>
      <c r="G120" s="94">
        <f ca="1">TblMili[[#This Row],[Networth (2)]]</f>
        <v>1250</v>
      </c>
      <c r="H120" s="94">
        <f ca="1">OFFSET(TblProd[[#This Row],[Platinum]],-1,0)+OFFSET(TblProd[[#This Row],[Plat/hr]],-1,0) - TblProd[[#This Row],[Expenses Platinum]] + IF(TblProd[[#This Row],[Plat Bonus]],TblPop[[#This Row],[Peasants]]*4) + SUM(TblConstr[[#This Row],[Dest Hom]:[Dest Doc]])*TblConstr[[#This Row],[CPA Platinum -DB]]*tech_3_3_2*TblTech[[#This Row],[3-3]]</f>
        <v>207411</v>
      </c>
      <c r="I120" s="94">
        <f ca="1">OFFSET(TblProd[[#This Row],[Food]],-1,0)+OFFSET(TblProd[[#This Row],[Food/hr]],-1,0)+ROUNDUP((TblConstr[[#This Row],[Farms]]*80+TblConstr[[#This Row],[Docks]]*35)*(1+OFFSET(TblProd[[#This Row],[Bonus Food/hr]],-1,0)),0)</f>
        <v>169034</v>
      </c>
      <c r="J120" s="94">
        <f ca="1">OFFSET(TblProd[[#This Row],[Lumber]],-1,0)+OFFSET(TblProd[[#This Row],[Lumber/hr]],-1,0) - TblProd[[#This Row],[Expenses Lumber]] + SUM(TblConstr[[#This Row],[Dest Hom]:[Dest Doc]])*TblConstr[[#This Row],[CPA Lumber -DB]]*tech_3_3_2*TblTech[[#This Row],[3-3]]</f>
        <v>73507</v>
      </c>
      <c r="K120" s="94">
        <f ca="1">OFFSET(TblProd[[#This Row],[Mana]],-1,0)+OFFSET(TblProd[[#This Row],[Mana/hr]],-1,0)- TblProd[[#This Row],[Expenses Mana]]</f>
        <v>0</v>
      </c>
      <c r="L120" s="94">
        <f ca="1">OFFSET(TblProd[[#This Row],[Ore]],-1,0)+OFFSET(TblProd[[#This Row],[Ore/hr]],-1,0) -TblProd[[#This Row],[Expenses Ore]]</f>
        <v>0</v>
      </c>
      <c r="M120" s="94">
        <f ca="1">OFFSET(TblProd[[#This Row],[Gems]],-1,0)+OFFSET(TblProd[[#This Row],[Gems/hr]],-1,0) - TblProd[[#This Row],[Expenses Gems]]</f>
        <v>0</v>
      </c>
      <c r="N120" s="94">
        <f ca="1">OFFSET(TblProd[[#This Row],[Boats]],-1,0)+OFFSET(TblProd[[#This Row],[Boats/hr]],-1,0)</f>
        <v>0</v>
      </c>
      <c r="O120" s="94">
        <f ca="1">OFFSET(TblProd[[#This Row],[Prestige]],-1,0)</f>
        <v>250</v>
      </c>
      <c r="P12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0" s="94">
        <f ca="1">MAX(_xlfn.CEILING.MATH(TblProd[[#This Row],[Land]]*2.5+IFERROR(OFFSET(TblTech[[#This Row],[Sum of tech]],-1,0)*50,0)),3750)</f>
        <v>3750</v>
      </c>
      <c r="R120" s="142"/>
      <c r="S120" s="94">
        <f ca="1">ROUNDDOWN(TblProd[[#This Row],[Raw Plat/hr]]*(1+TblProd[[#This Row],[Bonus Plat/hr]]),0)</f>
        <v>391</v>
      </c>
      <c r="T120" s="94">
        <f ca="1">ROUND(TblProd[[#This Row],[Raw Food/hr]]*(1+TblProd[[#This Row],[Bonus Food/hr]])-TblProd[[#This Row],[Food decay]]-TblProd[[#This Row],[Food eaten]],0)</f>
        <v>697</v>
      </c>
      <c r="U120" s="94">
        <f ca="1">ROUND(TblProd[[#This Row],[Raw Lumber/hr]]*(1+TblProd[[#This Row],[Bonus Lumber/hr]])-TblProd[[#This Row],[Lumber rot]],0)</f>
        <v>265</v>
      </c>
      <c r="V120" s="94">
        <f ca="1">ROUND(TblProd[[#This Row],[Raw Mana/hr]]*(1+TblProd[[#This Row],[Bonus Mana/hr]])-TblProd[[#This Row],[Mana drain]],0)</f>
        <v>0</v>
      </c>
      <c r="W120" s="94">
        <f ca="1">ROUNDDOWN(TblProd[[#This Row],[Raw Ore/hr]]*(1+TblProd[[#This Row],[Bonux Ore/hr]]),0)</f>
        <v>0</v>
      </c>
      <c r="X120" s="94">
        <f ca="1">ROUNDDOWN(TblProd[[#This Row],[Raw Gems/hr]]*(1+TblProd[[#This Row],[Bonus Gems/hr]]),0)</f>
        <v>0</v>
      </c>
      <c r="Y120" s="155">
        <f ca="1">OFFSET(TblConstr[[#This Row],[Tot Doc]],1,0)*dock_boats_hr * (1 + tech_4_1*TblTech[[#This Row],[4-1]])</f>
        <v>0</v>
      </c>
      <c r="Z120" s="154"/>
      <c r="AA120" s="94">
        <f ca="1">TblPop[[#This Row],[Peasants]]*tax*TblPop[[#This Row],[Employment]] + (Construction!AZ121+Construction!BX121)*(alch_plat+(Magic!AN120&gt;0)*alchemist_flame_bonus)</f>
        <v>391.5</v>
      </c>
      <c r="AB120" s="94">
        <f ca="1">TblConstr[[#This Row],[Tot Farm]]*farm_food + TblConstr[[#This Row],[Tot Doc]]*dock_food</f>
        <v>2400</v>
      </c>
      <c r="AC120" s="94">
        <f ca="1">TblConstr[[#This Row],[Tot Ly]]*ly_lumber + TblConstr[[#This Row],[Tot Hav]]*fh_lumber + IF(race="Wood Elf",TblMili[[#This Row],[Unit 2]]*MIN(TblMili[[#This Row],[Homeland%]]/wisp_bonus,wisp_cap),0)</f>
        <v>1000</v>
      </c>
      <c r="AD120" s="94">
        <f ca="1">OFFSET(TblConstr[[#This Row],[Tot Tow]],1,0)*(tower_mana + tech_4_5*TblTech[[#This Row],[4-5]]) + OFFSET(TblConstr[[#This Row],[Tot WG]],1,0)*wg_mana_prod</f>
        <v>0</v>
      </c>
      <c r="AE120" s="94">
        <f ca="1">OFFSET(TblConstr[[#This Row],[Tot OM]],1,0)*om_ore+IF(race="Dwarf",TblMili[[#This Row],[Unit 2]]*0.5,0)</f>
        <v>0</v>
      </c>
      <c r="AF120" s="94">
        <f ca="1">OFFSET(TblConstr[[#This Row],[Tot DM]],1,0)*dm_gems</f>
        <v>0</v>
      </c>
      <c r="AG120" s="142"/>
      <c r="AH120" s="156">
        <f ca="1">MIN(race_platinum_bonus + IF(TblMagic[[#This Row],[Active Arc Infusion]]&gt;0,alch_frost_bonus,IF(Magic!AE120&gt;0,midas_bonus)) + TblImps[[#This Row],[Science]] - TblProd[[#This Row],[Guard]]*(0.02 + tech_5_7*TblTech[[#This Row],[5-7]]) + tech_1_5*TblTech[[#This Row],[1-5]] + tech_4_4*TblTech[[#This Row],[4-4]] + IF(TblMagic[[#This Row],[Active Infernal Command]]&gt;0,demonic_pact_plat,0), 0.5)</f>
        <v>0</v>
      </c>
      <c r="AI12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0" s="156">
        <f ca="1">race_lumber_bonus+ IF(TblMagic[[#This Row],[Active Gaia''s Blessing]]&gt;0,gaias_blessing_lumber)+ tech_1_3*TblTech[[#This Row],[1-3]] + tech_1_6*TblTech[[#This Row],[1-6]] + tech_3_3*TblTech[[#This Row],[3-3]]</f>
        <v>0</v>
      </c>
      <c r="AK120" s="156">
        <f ca="1">race_mana_bonus+ 0 + TblImps[[#This Row],[Spires]] + tech_1_2*TblTech[[#This Row],[1-2]] + tech_3_4*TblTech[[#This Row],[3-4]]</f>
        <v>0</v>
      </c>
      <c r="AL120" s="156">
        <f ca="1">race_ore_bonus + IF(TblMagic[[#This Row],[Active Miner''s Sight]]&gt;0,miners_sight_bonus,IF(TblMagic[[#This Row],[Active Mining Strength]]&gt;0,mining_strength_bonus)) +  tech_1_6*TblTech[[#This Row],[1-6]]</f>
        <v>0</v>
      </c>
      <c r="AM120" s="156">
        <f>race_gem_bonus+ tech_3_2*TblTech[[#This Row],[3-2]] + tech_4_3*TblTech[[#This Row],[4-3]] + tech_6_2*TblTech[[#This Row],[6-2]]</f>
        <v>0</v>
      </c>
      <c r="AN120" s="142"/>
      <c r="AO120" s="94">
        <f ca="1">TblProd[[#This Row],[Food]]*food_decay * (1 + tech_2_1*TblTech[[#This Row],[2-1]] + tech_2_8*TblTech[[#This Row],[2-8]] + IF(AND(TblMagic[[#This Row],[Active DnD]]&lt;12,TblMagic[[#This Row],[Active DnD]]&gt;5),1,0))</f>
        <v>1690.3400000000001</v>
      </c>
      <c r="AP120" s="94">
        <f ca="1">(1+race_food_consumption)*TblPop[[#This Row],[Total]]*food_per_person*(1+tech_1_10*TblTech[[#This Row],[1-10]]+tech_7_5*TblTech[[#This Row],[7-5]] + IF(TblMagic[[#This Row],[Active Infernal Command]]&gt;0,demonic_pact_food_cons,0))</f>
        <v>192.25</v>
      </c>
      <c r="AQ120" s="94">
        <f ca="1">TblProd[[#This Row],[Lumber]]*lumber_rot * (1 + tech_2_1*TblTech[[#This Row],[2-1]] + tech_2_8*TblTech[[#This Row],[2-8]] + tech_5_2*TblTech[[#This Row],[5-2]] + IF(AND(TblMagic[[#This Row],[Active DnD]]&lt;12,TblMagic[[#This Row],[Active DnD]]&gt;5),1,0))</f>
        <v>735.07</v>
      </c>
      <c r="AR120" s="94">
        <f ca="1">TblProd[[#This Row],[Mana]]*mana_drain * (1 + tech_2_1*TblTech[[#This Row],[2-1]] + tech_2_8*TblTech[[#This Row],[2-8]])</f>
        <v>0</v>
      </c>
      <c r="AS120" s="154"/>
      <c r="AT120" s="94">
        <f ca="1">TblExplore[[#This Row],[Platinum (2)]]+TblConstr[[#This Row],[Total Plat Cost]]+TblMili[[#This Row],[Plat Cost]]+TblRezone[[#This Row],[Platinum cost]]+TblImps[[#This Row],[P1]]-TblProd[[#This Row],[Bank Plat]]</f>
        <v>0</v>
      </c>
      <c r="AU120" s="94">
        <f ca="1">TblConstr[[#This Row],[Total Lum Cost]]+TblImps[[#This Row],[L1]]-TblProd[[#This Row],[Bank Lumber]] + Military!$CO$25*TblMili[[#This Row],[Sec. rec. Cost]]</f>
        <v>0</v>
      </c>
      <c r="AV120" s="94">
        <f ca="1">TblMagic[[#This Row],[Mana cost]] + Military!$CO$26*TblMili[[#This Row],[Sec. rec. Cost]]</f>
        <v>0</v>
      </c>
      <c r="AW120" s="94">
        <f ca="1">Military!$CO$24*TblMili[[#This Row],[Sec. rec. Cost]]+TblImps[[#This Row],[O1]]-TblProd[[#This Row],[Bank Ore]]</f>
        <v>0</v>
      </c>
      <c r="AX120" s="94">
        <f>TblImps[[#This Row],[G1]]-TblProd[[#This Row],[Bank Gems]]</f>
        <v>0</v>
      </c>
      <c r="AY120" s="142"/>
      <c r="AZ120" s="61" t="b">
        <f ca="1">IF(TblProd[[#This Row],[Set Guard]]&lt;&gt;"",TblProd[[#This Row],[Set Guard]],OFFSET(TblProd[[#This Row],[Guard]],-1,0))</f>
        <v>0</v>
      </c>
      <c r="BA120" s="153"/>
      <c r="BB120" s="45">
        <f>TblProd[[#This Row],[Hour]]</f>
        <v>69</v>
      </c>
      <c r="BC120" s="158">
        <f>-TblProd[[#This Row],[Bank Lumber]] / 2 + -TblProd[[#This Row],[Bank Gems]] * 2 + -TblProd[[#This Row],[Bank Ore]] / 2</f>
        <v>0</v>
      </c>
      <c r="BD120" s="158"/>
      <c r="BE120" s="158"/>
      <c r="BF120" s="158"/>
      <c r="BG120" s="159">
        <f ca="1">TblProd[[#This Row],[Time]]</f>
        <v>46324.833333333052</v>
      </c>
      <c r="BH120" s="45"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94">
        <f ca="1">TblProd[[#This Row],[Platinum]]</f>
        <v>207411</v>
      </c>
      <c r="BJ120" s="94">
        <f ca="1">TblProd[[#This Row],[Food]]</f>
        <v>169034</v>
      </c>
      <c r="BK120" s="94">
        <f ca="1">TblProd[[#This Row],[Lumber]]</f>
        <v>73507</v>
      </c>
      <c r="BL120" s="94">
        <f ca="1">TblProd[[#This Row],[Mana]]</f>
        <v>0</v>
      </c>
      <c r="BM120" s="94">
        <f ca="1">TblProd[[#This Row],[Ore]]</f>
        <v>0</v>
      </c>
    </row>
    <row r="121" spans="1:65" x14ac:dyDescent="0.2">
      <c r="A121" s="137">
        <f t="shared" si="1"/>
        <v>70</v>
      </c>
      <c r="B121" s="152">
        <f ca="1">TblImps[[#This Row],[Time]]</f>
        <v>46324.874999999716</v>
      </c>
      <c r="C121" s="153"/>
      <c r="D121" s="154"/>
      <c r="E121" s="94">
        <f ca="1">TblConstr[[#This Row],[Land]]</f>
        <v>50</v>
      </c>
      <c r="F121" s="94">
        <f ca="1">TblPop[[#This Row],[Peasants]]</f>
        <v>144</v>
      </c>
      <c r="G121" s="94">
        <f ca="1">TblMili[[#This Row],[Networth (2)]]</f>
        <v>1250</v>
      </c>
      <c r="H121" s="94">
        <f ca="1">OFFSET(TblProd[[#This Row],[Platinum]],-1,0)+OFFSET(TblProd[[#This Row],[Plat/hr]],-1,0) - TblProd[[#This Row],[Expenses Platinum]] + IF(TblProd[[#This Row],[Plat Bonus]],TblPop[[#This Row],[Peasants]]*4) + SUM(TblConstr[[#This Row],[Dest Hom]:[Dest Doc]])*TblConstr[[#This Row],[CPA Platinum -DB]]*tech_3_3_2*TblTech[[#This Row],[3-3]]</f>
        <v>207802</v>
      </c>
      <c r="I121" s="94">
        <f ca="1">OFFSET(TblProd[[#This Row],[Food]],-1,0)+OFFSET(TblProd[[#This Row],[Food/hr]],-1,0)+ROUNDUP((TblConstr[[#This Row],[Farms]]*80+TblConstr[[#This Row],[Docks]]*35)*(1+OFFSET(TblProd[[#This Row],[Bonus Food/hr]],-1,0)),0)</f>
        <v>169731</v>
      </c>
      <c r="J121" s="94">
        <f ca="1">OFFSET(TblProd[[#This Row],[Lumber]],-1,0)+OFFSET(TblProd[[#This Row],[Lumber/hr]],-1,0) - TblProd[[#This Row],[Expenses Lumber]] + SUM(TblConstr[[#This Row],[Dest Hom]:[Dest Doc]])*TblConstr[[#This Row],[CPA Lumber -DB]]*tech_3_3_2*TblTech[[#This Row],[3-3]]</f>
        <v>73772</v>
      </c>
      <c r="K121" s="94">
        <f ca="1">OFFSET(TblProd[[#This Row],[Mana]],-1,0)+OFFSET(TblProd[[#This Row],[Mana/hr]],-1,0)- TblProd[[#This Row],[Expenses Mana]]</f>
        <v>0</v>
      </c>
      <c r="L121" s="94">
        <f ca="1">OFFSET(TblProd[[#This Row],[Ore]],-1,0)+OFFSET(TblProd[[#This Row],[Ore/hr]],-1,0) -TblProd[[#This Row],[Expenses Ore]]</f>
        <v>0</v>
      </c>
      <c r="M121" s="94">
        <f ca="1">OFFSET(TblProd[[#This Row],[Gems]],-1,0)+OFFSET(TblProd[[#This Row],[Gems/hr]],-1,0) - TblProd[[#This Row],[Expenses Gems]]</f>
        <v>0</v>
      </c>
      <c r="N121" s="94">
        <f ca="1">OFFSET(TblProd[[#This Row],[Boats]],-1,0)+OFFSET(TblProd[[#This Row],[Boats/hr]],-1,0)</f>
        <v>0</v>
      </c>
      <c r="O121" s="94">
        <f ca="1">OFFSET(TblProd[[#This Row],[Prestige]],-1,0)</f>
        <v>250</v>
      </c>
      <c r="P12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1" s="94">
        <f ca="1">MAX(_xlfn.CEILING.MATH(TblProd[[#This Row],[Land]]*2.5+IFERROR(OFFSET(TblTech[[#This Row],[Sum of tech]],-1,0)*50,0)),3750)</f>
        <v>3750</v>
      </c>
      <c r="R121" s="142"/>
      <c r="S121" s="94">
        <f ca="1">ROUNDDOWN(TblProd[[#This Row],[Raw Plat/hr]]*(1+TblProd[[#This Row],[Bonus Plat/hr]]),0)</f>
        <v>388</v>
      </c>
      <c r="T121" s="94">
        <f ca="1">ROUND(TblProd[[#This Row],[Raw Food/hr]]*(1+TblProd[[#This Row],[Bonus Food/hr]])-TblProd[[#This Row],[Food decay]]-TblProd[[#This Row],[Food eaten]],0)</f>
        <v>690</v>
      </c>
      <c r="U121" s="94">
        <f ca="1">ROUND(TblProd[[#This Row],[Raw Lumber/hr]]*(1+TblProd[[#This Row],[Bonus Lumber/hr]])-TblProd[[#This Row],[Lumber rot]],0)</f>
        <v>262</v>
      </c>
      <c r="V121" s="94">
        <f ca="1">ROUND(TblProd[[#This Row],[Raw Mana/hr]]*(1+TblProd[[#This Row],[Bonus Mana/hr]])-TblProd[[#This Row],[Mana drain]],0)</f>
        <v>0</v>
      </c>
      <c r="W121" s="94">
        <f ca="1">ROUNDDOWN(TblProd[[#This Row],[Raw Ore/hr]]*(1+TblProd[[#This Row],[Bonux Ore/hr]]),0)</f>
        <v>0</v>
      </c>
      <c r="X121" s="94">
        <f ca="1">ROUNDDOWN(TblProd[[#This Row],[Raw Gems/hr]]*(1+TblProd[[#This Row],[Bonus Gems/hr]]),0)</f>
        <v>0</v>
      </c>
      <c r="Y121" s="155">
        <f ca="1">OFFSET(TblConstr[[#This Row],[Tot Doc]],1,0)*dock_boats_hr * (1 + tech_4_1*TblTech[[#This Row],[4-1]])</f>
        <v>0</v>
      </c>
      <c r="Z121" s="154"/>
      <c r="AA121" s="94">
        <f ca="1">TblPop[[#This Row],[Peasants]]*tax*TblPop[[#This Row],[Employment]] + (Construction!AZ122+Construction!BX122)*(alch_plat+(Magic!AN121&gt;0)*alchemist_flame_bonus)</f>
        <v>388.8</v>
      </c>
      <c r="AB121" s="94">
        <f ca="1">TblConstr[[#This Row],[Tot Farm]]*farm_food + TblConstr[[#This Row],[Tot Doc]]*dock_food</f>
        <v>2400</v>
      </c>
      <c r="AC121" s="94">
        <f ca="1">TblConstr[[#This Row],[Tot Ly]]*ly_lumber + TblConstr[[#This Row],[Tot Hav]]*fh_lumber + IF(race="Wood Elf",TblMili[[#This Row],[Unit 2]]*MIN(TblMili[[#This Row],[Homeland%]]/wisp_bonus,wisp_cap),0)</f>
        <v>1000</v>
      </c>
      <c r="AD121" s="94">
        <f ca="1">OFFSET(TblConstr[[#This Row],[Tot Tow]],1,0)*(tower_mana + tech_4_5*TblTech[[#This Row],[4-5]]) + OFFSET(TblConstr[[#This Row],[Tot WG]],1,0)*wg_mana_prod</f>
        <v>0</v>
      </c>
      <c r="AE121" s="94">
        <f ca="1">OFFSET(TblConstr[[#This Row],[Tot OM]],1,0)*om_ore+IF(race="Dwarf",TblMili[[#This Row],[Unit 2]]*0.5,0)</f>
        <v>0</v>
      </c>
      <c r="AF121" s="94">
        <f ca="1">OFFSET(TblConstr[[#This Row],[Tot DM]],1,0)*dm_gems</f>
        <v>0</v>
      </c>
      <c r="AG121" s="142"/>
      <c r="AH121" s="156">
        <f ca="1">MIN(race_platinum_bonus + IF(TblMagic[[#This Row],[Active Arc Infusion]]&gt;0,alch_frost_bonus,IF(Magic!AE121&gt;0,midas_bonus)) + TblImps[[#This Row],[Science]] - TblProd[[#This Row],[Guard]]*(0.02 + tech_5_7*TblTech[[#This Row],[5-7]]) + tech_1_5*TblTech[[#This Row],[1-5]] + tech_4_4*TblTech[[#This Row],[4-4]] + IF(TblMagic[[#This Row],[Active Infernal Command]]&gt;0,demonic_pact_plat,0), 0.5)</f>
        <v>0</v>
      </c>
      <c r="AI12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1" s="156">
        <f ca="1">race_lumber_bonus+ IF(TblMagic[[#This Row],[Active Gaia''s Blessing]]&gt;0,gaias_blessing_lumber)+ tech_1_3*TblTech[[#This Row],[1-3]] + tech_1_6*TblTech[[#This Row],[1-6]] + tech_3_3*TblTech[[#This Row],[3-3]]</f>
        <v>0</v>
      </c>
      <c r="AK121" s="156">
        <f ca="1">race_mana_bonus+ 0 + TblImps[[#This Row],[Spires]] + tech_1_2*TblTech[[#This Row],[1-2]] + tech_3_4*TblTech[[#This Row],[3-4]]</f>
        <v>0</v>
      </c>
      <c r="AL121" s="156">
        <f ca="1">race_ore_bonus + IF(TblMagic[[#This Row],[Active Miner''s Sight]]&gt;0,miners_sight_bonus,IF(TblMagic[[#This Row],[Active Mining Strength]]&gt;0,mining_strength_bonus)) +  tech_1_6*TblTech[[#This Row],[1-6]]</f>
        <v>0</v>
      </c>
      <c r="AM121" s="156">
        <f>race_gem_bonus+ tech_3_2*TblTech[[#This Row],[3-2]] + tech_4_3*TblTech[[#This Row],[4-3]] + tech_6_2*TblTech[[#This Row],[6-2]]</f>
        <v>0</v>
      </c>
      <c r="AN121" s="142"/>
      <c r="AO121" s="94">
        <f ca="1">TblProd[[#This Row],[Food]]*food_decay * (1 + tech_2_1*TblTech[[#This Row],[2-1]] + tech_2_8*TblTech[[#This Row],[2-8]] + IF(AND(TblMagic[[#This Row],[Active DnD]]&lt;12,TblMagic[[#This Row],[Active DnD]]&gt;5),1,0))</f>
        <v>1697.31</v>
      </c>
      <c r="AP121" s="94">
        <f ca="1">(1+race_food_consumption)*TblPop[[#This Row],[Total]]*food_per_person*(1+tech_1_10*TblTech[[#This Row],[1-10]]+tech_7_5*TblTech[[#This Row],[7-5]] + IF(TblMagic[[#This Row],[Active Infernal Command]]&gt;0,demonic_pact_food_cons,0))</f>
        <v>192.25</v>
      </c>
      <c r="AQ121" s="94">
        <f ca="1">TblProd[[#This Row],[Lumber]]*lumber_rot * (1 + tech_2_1*TblTech[[#This Row],[2-1]] + tech_2_8*TblTech[[#This Row],[2-8]] + tech_5_2*TblTech[[#This Row],[5-2]] + IF(AND(TblMagic[[#This Row],[Active DnD]]&lt;12,TblMagic[[#This Row],[Active DnD]]&gt;5),1,0))</f>
        <v>737.72</v>
      </c>
      <c r="AR121" s="94">
        <f ca="1">TblProd[[#This Row],[Mana]]*mana_drain * (1 + tech_2_1*TblTech[[#This Row],[2-1]] + tech_2_8*TblTech[[#This Row],[2-8]])</f>
        <v>0</v>
      </c>
      <c r="AS121" s="154"/>
      <c r="AT121" s="94">
        <f ca="1">TblExplore[[#This Row],[Platinum (2)]]+TblConstr[[#This Row],[Total Plat Cost]]+TblMili[[#This Row],[Plat Cost]]+TblRezone[[#This Row],[Platinum cost]]+TblImps[[#This Row],[P1]]-TblProd[[#This Row],[Bank Plat]]</f>
        <v>0</v>
      </c>
      <c r="AU121" s="94">
        <f ca="1">TblConstr[[#This Row],[Total Lum Cost]]+TblImps[[#This Row],[L1]]-TblProd[[#This Row],[Bank Lumber]] + Military!$CO$25*TblMili[[#This Row],[Sec. rec. Cost]]</f>
        <v>0</v>
      </c>
      <c r="AV121" s="94">
        <f ca="1">TblMagic[[#This Row],[Mana cost]] + Military!$CO$26*TblMili[[#This Row],[Sec. rec. Cost]]</f>
        <v>0</v>
      </c>
      <c r="AW121" s="94">
        <f ca="1">Military!$CO$24*TblMili[[#This Row],[Sec. rec. Cost]]+TblImps[[#This Row],[O1]]-TblProd[[#This Row],[Bank Ore]]</f>
        <v>0</v>
      </c>
      <c r="AX121" s="94">
        <f>TblImps[[#This Row],[G1]]-TblProd[[#This Row],[Bank Gems]]</f>
        <v>0</v>
      </c>
      <c r="AY121" s="142"/>
      <c r="AZ121" s="61" t="b">
        <f ca="1">IF(TblProd[[#This Row],[Set Guard]]&lt;&gt;"",TblProd[[#This Row],[Set Guard]],OFFSET(TblProd[[#This Row],[Guard]],-1,0))</f>
        <v>0</v>
      </c>
      <c r="BA121" s="153"/>
      <c r="BB121" s="45">
        <f>TblProd[[#This Row],[Hour]]</f>
        <v>70</v>
      </c>
      <c r="BC121" s="158">
        <f>-TblProd[[#This Row],[Bank Lumber]] / 2 + -TblProd[[#This Row],[Bank Gems]] * 2 + -TblProd[[#This Row],[Bank Ore]] / 2</f>
        <v>0</v>
      </c>
      <c r="BD121" s="158"/>
      <c r="BE121" s="158"/>
      <c r="BF121" s="158"/>
      <c r="BG121" s="159">
        <f ca="1">TblProd[[#This Row],[Time]]</f>
        <v>46324.874999999716</v>
      </c>
      <c r="BH121" s="45"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94">
        <f ca="1">TblProd[[#This Row],[Platinum]]</f>
        <v>207802</v>
      </c>
      <c r="BJ121" s="94">
        <f ca="1">TblProd[[#This Row],[Food]]</f>
        <v>169731</v>
      </c>
      <c r="BK121" s="94">
        <f ca="1">TblProd[[#This Row],[Lumber]]</f>
        <v>73772</v>
      </c>
      <c r="BL121" s="94">
        <f ca="1">TblProd[[#This Row],[Mana]]</f>
        <v>0</v>
      </c>
      <c r="BM121" s="94">
        <f ca="1">TblProd[[#This Row],[Ore]]</f>
        <v>0</v>
      </c>
    </row>
    <row r="122" spans="1:65" x14ac:dyDescent="0.2">
      <c r="A122" s="137">
        <f t="shared" si="1"/>
        <v>71</v>
      </c>
      <c r="B122" s="152">
        <f ca="1">TblImps[[#This Row],[Time]]</f>
        <v>46324.91666666638</v>
      </c>
      <c r="C122" s="153"/>
      <c r="D122" s="154"/>
      <c r="E122" s="94">
        <f ca="1">TblConstr[[#This Row],[Land]]</f>
        <v>50</v>
      </c>
      <c r="F122" s="94">
        <f ca="1">TblPop[[#This Row],[Peasants]]</f>
        <v>143</v>
      </c>
      <c r="G122" s="94">
        <f ca="1">TblMili[[#This Row],[Networth (2)]]</f>
        <v>1250</v>
      </c>
      <c r="H122" s="94">
        <f ca="1">OFFSET(TblProd[[#This Row],[Platinum]],-1,0)+OFFSET(TblProd[[#This Row],[Plat/hr]],-1,0) - TblProd[[#This Row],[Expenses Platinum]] + IF(TblProd[[#This Row],[Plat Bonus]],TblPop[[#This Row],[Peasants]]*4) + SUM(TblConstr[[#This Row],[Dest Hom]:[Dest Doc]])*TblConstr[[#This Row],[CPA Platinum -DB]]*tech_3_3_2*TblTech[[#This Row],[3-3]]</f>
        <v>208190</v>
      </c>
      <c r="I122" s="94">
        <f ca="1">OFFSET(TblProd[[#This Row],[Food]],-1,0)+OFFSET(TblProd[[#This Row],[Food/hr]],-1,0)+ROUNDUP((TblConstr[[#This Row],[Farms]]*80+TblConstr[[#This Row],[Docks]]*35)*(1+OFFSET(TblProd[[#This Row],[Bonus Food/hr]],-1,0)),0)</f>
        <v>170421</v>
      </c>
      <c r="J122" s="94">
        <f ca="1">OFFSET(TblProd[[#This Row],[Lumber]],-1,0)+OFFSET(TblProd[[#This Row],[Lumber/hr]],-1,0) - TblProd[[#This Row],[Expenses Lumber]] + SUM(TblConstr[[#This Row],[Dest Hom]:[Dest Doc]])*TblConstr[[#This Row],[CPA Lumber -DB]]*tech_3_3_2*TblTech[[#This Row],[3-3]]</f>
        <v>74034</v>
      </c>
      <c r="K122" s="94">
        <f ca="1">OFFSET(TblProd[[#This Row],[Mana]],-1,0)+OFFSET(TblProd[[#This Row],[Mana/hr]],-1,0)- TblProd[[#This Row],[Expenses Mana]]</f>
        <v>0</v>
      </c>
      <c r="L122" s="94">
        <f ca="1">OFFSET(TblProd[[#This Row],[Ore]],-1,0)+OFFSET(TblProd[[#This Row],[Ore/hr]],-1,0) -TblProd[[#This Row],[Expenses Ore]]</f>
        <v>0</v>
      </c>
      <c r="M122" s="94">
        <f ca="1">OFFSET(TblProd[[#This Row],[Gems]],-1,0)+OFFSET(TblProd[[#This Row],[Gems/hr]],-1,0) - TblProd[[#This Row],[Expenses Gems]]</f>
        <v>0</v>
      </c>
      <c r="N122" s="94">
        <f ca="1">OFFSET(TblProd[[#This Row],[Boats]],-1,0)+OFFSET(TblProd[[#This Row],[Boats/hr]],-1,0)</f>
        <v>0</v>
      </c>
      <c r="O122" s="94">
        <f ca="1">OFFSET(TblProd[[#This Row],[Prestige]],-1,0)</f>
        <v>250</v>
      </c>
      <c r="P12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2" s="94">
        <f ca="1">MAX(_xlfn.CEILING.MATH(TblProd[[#This Row],[Land]]*2.5+IFERROR(OFFSET(TblTech[[#This Row],[Sum of tech]],-1,0)*50,0)),3750)</f>
        <v>3750</v>
      </c>
      <c r="R122" s="142"/>
      <c r="S122" s="94">
        <f ca="1">ROUNDDOWN(TblProd[[#This Row],[Raw Plat/hr]]*(1+TblProd[[#This Row],[Bonus Plat/hr]]),0)</f>
        <v>386</v>
      </c>
      <c r="T122" s="94">
        <f ca="1">ROUND(TblProd[[#This Row],[Raw Food/hr]]*(1+TblProd[[#This Row],[Bonus Food/hr]])-TblProd[[#This Row],[Food decay]]-TblProd[[#This Row],[Food eaten]],0)</f>
        <v>684</v>
      </c>
      <c r="U122" s="94">
        <f ca="1">ROUND(TblProd[[#This Row],[Raw Lumber/hr]]*(1+TblProd[[#This Row],[Bonus Lumber/hr]])-TblProd[[#This Row],[Lumber rot]],0)</f>
        <v>260</v>
      </c>
      <c r="V122" s="94">
        <f ca="1">ROUND(TblProd[[#This Row],[Raw Mana/hr]]*(1+TblProd[[#This Row],[Bonus Mana/hr]])-TblProd[[#This Row],[Mana drain]],0)</f>
        <v>0</v>
      </c>
      <c r="W122" s="94">
        <f ca="1">ROUNDDOWN(TblProd[[#This Row],[Raw Ore/hr]]*(1+TblProd[[#This Row],[Bonux Ore/hr]]),0)</f>
        <v>0</v>
      </c>
      <c r="X122" s="94">
        <f ca="1">ROUNDDOWN(TblProd[[#This Row],[Raw Gems/hr]]*(1+TblProd[[#This Row],[Bonus Gems/hr]]),0)</f>
        <v>0</v>
      </c>
      <c r="Y122" s="155">
        <f ca="1">OFFSET(TblConstr[[#This Row],[Tot Doc]],1,0)*dock_boats_hr * (1 + tech_4_1*TblTech[[#This Row],[4-1]])</f>
        <v>0</v>
      </c>
      <c r="Z122" s="154"/>
      <c r="AA122" s="94">
        <f ca="1">TblPop[[#This Row],[Peasants]]*tax*TblPop[[#This Row],[Employment]] + (Construction!AZ123+Construction!BX123)*(alch_plat+(Magic!AN122&gt;0)*alchemist_flame_bonus)</f>
        <v>386.1</v>
      </c>
      <c r="AB122" s="94">
        <f ca="1">TblConstr[[#This Row],[Tot Farm]]*farm_food + TblConstr[[#This Row],[Tot Doc]]*dock_food</f>
        <v>2400</v>
      </c>
      <c r="AC122" s="94">
        <f ca="1">TblConstr[[#This Row],[Tot Ly]]*ly_lumber + TblConstr[[#This Row],[Tot Hav]]*fh_lumber + IF(race="Wood Elf",TblMili[[#This Row],[Unit 2]]*MIN(TblMili[[#This Row],[Homeland%]]/wisp_bonus,wisp_cap),0)</f>
        <v>1000</v>
      </c>
      <c r="AD122" s="94">
        <f ca="1">OFFSET(TblConstr[[#This Row],[Tot Tow]],1,0)*(tower_mana + tech_4_5*TblTech[[#This Row],[4-5]]) + OFFSET(TblConstr[[#This Row],[Tot WG]],1,0)*wg_mana_prod</f>
        <v>0</v>
      </c>
      <c r="AE122" s="94">
        <f ca="1">OFFSET(TblConstr[[#This Row],[Tot OM]],1,0)*om_ore+IF(race="Dwarf",TblMili[[#This Row],[Unit 2]]*0.5,0)</f>
        <v>0</v>
      </c>
      <c r="AF122" s="94">
        <f ca="1">OFFSET(TblConstr[[#This Row],[Tot DM]],1,0)*dm_gems</f>
        <v>0</v>
      </c>
      <c r="AG122" s="142"/>
      <c r="AH122" s="156">
        <f ca="1">MIN(race_platinum_bonus + IF(TblMagic[[#This Row],[Active Arc Infusion]]&gt;0,alch_frost_bonus,IF(Magic!AE122&gt;0,midas_bonus)) + TblImps[[#This Row],[Science]] - TblProd[[#This Row],[Guard]]*(0.02 + tech_5_7*TblTech[[#This Row],[5-7]]) + tech_1_5*TblTech[[#This Row],[1-5]] + tech_4_4*TblTech[[#This Row],[4-4]] + IF(TblMagic[[#This Row],[Active Infernal Command]]&gt;0,demonic_pact_plat,0), 0.5)</f>
        <v>0</v>
      </c>
      <c r="AI12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2" s="156">
        <f ca="1">race_lumber_bonus+ IF(TblMagic[[#This Row],[Active Gaia''s Blessing]]&gt;0,gaias_blessing_lumber)+ tech_1_3*TblTech[[#This Row],[1-3]] + tech_1_6*TblTech[[#This Row],[1-6]] + tech_3_3*TblTech[[#This Row],[3-3]]</f>
        <v>0</v>
      </c>
      <c r="AK122" s="156">
        <f ca="1">race_mana_bonus+ 0 + TblImps[[#This Row],[Spires]] + tech_1_2*TblTech[[#This Row],[1-2]] + tech_3_4*TblTech[[#This Row],[3-4]]</f>
        <v>0</v>
      </c>
      <c r="AL122" s="156">
        <f ca="1">race_ore_bonus + IF(TblMagic[[#This Row],[Active Miner''s Sight]]&gt;0,miners_sight_bonus,IF(TblMagic[[#This Row],[Active Mining Strength]]&gt;0,mining_strength_bonus)) +  tech_1_6*TblTech[[#This Row],[1-6]]</f>
        <v>0</v>
      </c>
      <c r="AM122" s="156">
        <f>race_gem_bonus+ tech_3_2*TblTech[[#This Row],[3-2]] + tech_4_3*TblTech[[#This Row],[4-3]] + tech_6_2*TblTech[[#This Row],[6-2]]</f>
        <v>0</v>
      </c>
      <c r="AN122" s="142"/>
      <c r="AO122" s="94">
        <f ca="1">TblProd[[#This Row],[Food]]*food_decay * (1 + tech_2_1*TblTech[[#This Row],[2-1]] + tech_2_8*TblTech[[#This Row],[2-8]] + IF(AND(TblMagic[[#This Row],[Active DnD]]&lt;12,TblMagic[[#This Row],[Active DnD]]&gt;5),1,0))</f>
        <v>1704.21</v>
      </c>
      <c r="AP122" s="94">
        <f ca="1">(1+race_food_consumption)*TblPop[[#This Row],[Total]]*food_per_person*(1+tech_1_10*TblTech[[#This Row],[1-10]]+tech_7_5*TblTech[[#This Row],[7-5]] + IF(TblMagic[[#This Row],[Active Infernal Command]]&gt;0,demonic_pact_food_cons,0))</f>
        <v>192.25</v>
      </c>
      <c r="AQ122" s="94">
        <f ca="1">TblProd[[#This Row],[Lumber]]*lumber_rot * (1 + tech_2_1*TblTech[[#This Row],[2-1]] + tech_2_8*TblTech[[#This Row],[2-8]] + tech_5_2*TblTech[[#This Row],[5-2]] + IF(AND(TblMagic[[#This Row],[Active DnD]]&lt;12,TblMagic[[#This Row],[Active DnD]]&gt;5),1,0))</f>
        <v>740.34</v>
      </c>
      <c r="AR122" s="94">
        <f ca="1">TblProd[[#This Row],[Mana]]*mana_drain * (1 + tech_2_1*TblTech[[#This Row],[2-1]] + tech_2_8*TblTech[[#This Row],[2-8]])</f>
        <v>0</v>
      </c>
      <c r="AS122" s="154"/>
      <c r="AT122" s="94">
        <f ca="1">TblExplore[[#This Row],[Platinum (2)]]+TblConstr[[#This Row],[Total Plat Cost]]+TblMili[[#This Row],[Plat Cost]]+TblRezone[[#This Row],[Platinum cost]]+TblImps[[#This Row],[P1]]-TblProd[[#This Row],[Bank Plat]]</f>
        <v>0</v>
      </c>
      <c r="AU122" s="94">
        <f ca="1">TblConstr[[#This Row],[Total Lum Cost]]+TblImps[[#This Row],[L1]]-TblProd[[#This Row],[Bank Lumber]] + Military!$CO$25*TblMili[[#This Row],[Sec. rec. Cost]]</f>
        <v>0</v>
      </c>
      <c r="AV122" s="94">
        <f ca="1">TblMagic[[#This Row],[Mana cost]] + Military!$CO$26*TblMili[[#This Row],[Sec. rec. Cost]]</f>
        <v>0</v>
      </c>
      <c r="AW122" s="94">
        <f ca="1">Military!$CO$24*TblMili[[#This Row],[Sec. rec. Cost]]+TblImps[[#This Row],[O1]]-TblProd[[#This Row],[Bank Ore]]</f>
        <v>0</v>
      </c>
      <c r="AX122" s="94">
        <f>TblImps[[#This Row],[G1]]-TblProd[[#This Row],[Bank Gems]]</f>
        <v>0</v>
      </c>
      <c r="AY122" s="142"/>
      <c r="AZ122" s="61" t="b">
        <f ca="1">IF(TblProd[[#This Row],[Set Guard]]&lt;&gt;"",TblProd[[#This Row],[Set Guard]],OFFSET(TblProd[[#This Row],[Guard]],-1,0))</f>
        <v>0</v>
      </c>
      <c r="BA122" s="153"/>
      <c r="BB122" s="45">
        <f>TblProd[[#This Row],[Hour]]</f>
        <v>71</v>
      </c>
      <c r="BC122" s="158">
        <f>-TblProd[[#This Row],[Bank Lumber]] / 2 + -TblProd[[#This Row],[Bank Gems]] * 2 + -TblProd[[#This Row],[Bank Ore]] / 2</f>
        <v>0</v>
      </c>
      <c r="BD122" s="158"/>
      <c r="BE122" s="158"/>
      <c r="BF122" s="158"/>
      <c r="BG122" s="159">
        <f ca="1">TblProd[[#This Row],[Time]]</f>
        <v>46324.91666666638</v>
      </c>
      <c r="BH122" s="45"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94">
        <f ca="1">TblProd[[#This Row],[Platinum]]</f>
        <v>208190</v>
      </c>
      <c r="BJ122" s="94">
        <f ca="1">TblProd[[#This Row],[Food]]</f>
        <v>170421</v>
      </c>
      <c r="BK122" s="94">
        <f ca="1">TblProd[[#This Row],[Lumber]]</f>
        <v>74034</v>
      </c>
      <c r="BL122" s="94">
        <f ca="1">TblProd[[#This Row],[Mana]]</f>
        <v>0</v>
      </c>
      <c r="BM122" s="94">
        <f ca="1">TblProd[[#This Row],[Ore]]</f>
        <v>0</v>
      </c>
    </row>
    <row r="123" spans="1:65" x14ac:dyDescent="0.2">
      <c r="A123" s="137">
        <f t="shared" si="1"/>
        <v>72</v>
      </c>
      <c r="B123" s="152">
        <f ca="1">TblImps[[#This Row],[Time]]</f>
        <v>46324.958333333045</v>
      </c>
      <c r="C123" s="153"/>
      <c r="D123" s="154"/>
      <c r="E123" s="94">
        <f ca="1">TblConstr[[#This Row],[Land]]</f>
        <v>50</v>
      </c>
      <c r="F123" s="94">
        <f ca="1">TblPop[[#This Row],[Peasants]]</f>
        <v>142</v>
      </c>
      <c r="G123" s="94">
        <f ca="1">TblMili[[#This Row],[Networth (2)]]</f>
        <v>1250</v>
      </c>
      <c r="H123" s="94">
        <f ca="1">OFFSET(TblProd[[#This Row],[Platinum]],-1,0)+OFFSET(TblProd[[#This Row],[Plat/hr]],-1,0) - TblProd[[#This Row],[Expenses Platinum]] + IF(TblProd[[#This Row],[Plat Bonus]],TblPop[[#This Row],[Peasants]]*4) + SUM(TblConstr[[#This Row],[Dest Hom]:[Dest Doc]])*TblConstr[[#This Row],[CPA Platinum -DB]]*tech_3_3_2*TblTech[[#This Row],[3-3]]</f>
        <v>208576</v>
      </c>
      <c r="I123" s="94">
        <f ca="1">OFFSET(TblProd[[#This Row],[Food]],-1,0)+OFFSET(TblProd[[#This Row],[Food/hr]],-1,0)+ROUNDUP((TblConstr[[#This Row],[Farms]]*80+TblConstr[[#This Row],[Docks]]*35)*(1+OFFSET(TblProd[[#This Row],[Bonus Food/hr]],-1,0)),0)</f>
        <v>171105</v>
      </c>
      <c r="J123" s="94">
        <f ca="1">OFFSET(TblProd[[#This Row],[Lumber]],-1,0)+OFFSET(TblProd[[#This Row],[Lumber/hr]],-1,0) - TblProd[[#This Row],[Expenses Lumber]] + SUM(TblConstr[[#This Row],[Dest Hom]:[Dest Doc]])*TblConstr[[#This Row],[CPA Lumber -DB]]*tech_3_3_2*TblTech[[#This Row],[3-3]]</f>
        <v>74294</v>
      </c>
      <c r="K123" s="94">
        <f ca="1">OFFSET(TblProd[[#This Row],[Mana]],-1,0)+OFFSET(TblProd[[#This Row],[Mana/hr]],-1,0)- TblProd[[#This Row],[Expenses Mana]]</f>
        <v>0</v>
      </c>
      <c r="L123" s="94">
        <f ca="1">OFFSET(TblProd[[#This Row],[Ore]],-1,0)+OFFSET(TblProd[[#This Row],[Ore/hr]],-1,0) -TblProd[[#This Row],[Expenses Ore]]</f>
        <v>0</v>
      </c>
      <c r="M123" s="94">
        <f ca="1">OFFSET(TblProd[[#This Row],[Gems]],-1,0)+OFFSET(TblProd[[#This Row],[Gems/hr]],-1,0) - TblProd[[#This Row],[Expenses Gems]]</f>
        <v>0</v>
      </c>
      <c r="N123" s="94">
        <f ca="1">OFFSET(TblProd[[#This Row],[Boats]],-1,0)+OFFSET(TblProd[[#This Row],[Boats/hr]],-1,0)</f>
        <v>0</v>
      </c>
      <c r="O123" s="94">
        <f ca="1">OFFSET(TblProd[[#This Row],[Prestige]],-1,0)</f>
        <v>250</v>
      </c>
      <c r="P12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3" s="94">
        <f ca="1">MAX(_xlfn.CEILING.MATH(TblProd[[#This Row],[Land]]*2.5+IFERROR(OFFSET(TblTech[[#This Row],[Sum of tech]],-1,0)*50,0)),3750)</f>
        <v>3750</v>
      </c>
      <c r="R123" s="142"/>
      <c r="S123" s="94">
        <f ca="1">ROUNDDOWN(TblProd[[#This Row],[Raw Plat/hr]]*(1+TblProd[[#This Row],[Bonus Plat/hr]]),0)</f>
        <v>383</v>
      </c>
      <c r="T123" s="94">
        <f ca="1">ROUND(TblProd[[#This Row],[Raw Food/hr]]*(1+TblProd[[#This Row],[Bonus Food/hr]])-TblProd[[#This Row],[Food decay]]-TblProd[[#This Row],[Food eaten]],0)</f>
        <v>677</v>
      </c>
      <c r="U123" s="94">
        <f ca="1">ROUND(TblProd[[#This Row],[Raw Lumber/hr]]*(1+TblProd[[#This Row],[Bonus Lumber/hr]])-TblProd[[#This Row],[Lumber rot]],0)</f>
        <v>257</v>
      </c>
      <c r="V123" s="94">
        <f ca="1">ROUND(TblProd[[#This Row],[Raw Mana/hr]]*(1+TblProd[[#This Row],[Bonus Mana/hr]])-TblProd[[#This Row],[Mana drain]],0)</f>
        <v>0</v>
      </c>
      <c r="W123" s="94">
        <f ca="1">ROUNDDOWN(TblProd[[#This Row],[Raw Ore/hr]]*(1+TblProd[[#This Row],[Bonux Ore/hr]]),0)</f>
        <v>0</v>
      </c>
      <c r="X123" s="94">
        <f ca="1">ROUNDDOWN(TblProd[[#This Row],[Raw Gems/hr]]*(1+TblProd[[#This Row],[Bonus Gems/hr]]),0)</f>
        <v>0</v>
      </c>
      <c r="Y123" s="155">
        <f ca="1">OFFSET(TblConstr[[#This Row],[Tot Doc]],1,0)*dock_boats_hr * (1 + tech_4_1*TblTech[[#This Row],[4-1]])</f>
        <v>0</v>
      </c>
      <c r="Z123" s="154"/>
      <c r="AA123" s="94">
        <f ca="1">TblPop[[#This Row],[Peasants]]*tax*TblPop[[#This Row],[Employment]] + (Construction!AZ124+Construction!BX124)*(alch_plat+(Magic!AN123&gt;0)*alchemist_flame_bonus)</f>
        <v>383.40000000000003</v>
      </c>
      <c r="AB123" s="94">
        <f ca="1">TblConstr[[#This Row],[Tot Farm]]*farm_food + TblConstr[[#This Row],[Tot Doc]]*dock_food</f>
        <v>2400</v>
      </c>
      <c r="AC123" s="94">
        <f ca="1">TblConstr[[#This Row],[Tot Ly]]*ly_lumber + TblConstr[[#This Row],[Tot Hav]]*fh_lumber + IF(race="Wood Elf",TblMili[[#This Row],[Unit 2]]*MIN(TblMili[[#This Row],[Homeland%]]/wisp_bonus,wisp_cap),0)</f>
        <v>1000</v>
      </c>
      <c r="AD123" s="94">
        <f ca="1">OFFSET(TblConstr[[#This Row],[Tot Tow]],1,0)*(tower_mana + tech_4_5*TblTech[[#This Row],[4-5]]) + OFFSET(TblConstr[[#This Row],[Tot WG]],1,0)*wg_mana_prod</f>
        <v>0</v>
      </c>
      <c r="AE123" s="94">
        <f ca="1">OFFSET(TblConstr[[#This Row],[Tot OM]],1,0)*om_ore+IF(race="Dwarf",TblMili[[#This Row],[Unit 2]]*0.5,0)</f>
        <v>0</v>
      </c>
      <c r="AF123" s="94">
        <f ca="1">OFFSET(TblConstr[[#This Row],[Tot DM]],1,0)*dm_gems</f>
        <v>0</v>
      </c>
      <c r="AG123" s="142"/>
      <c r="AH123" s="156">
        <f ca="1">MIN(race_platinum_bonus + IF(TblMagic[[#This Row],[Active Arc Infusion]]&gt;0,alch_frost_bonus,IF(Magic!AE123&gt;0,midas_bonus)) + TblImps[[#This Row],[Science]] - TblProd[[#This Row],[Guard]]*(0.02 + tech_5_7*TblTech[[#This Row],[5-7]]) + tech_1_5*TblTech[[#This Row],[1-5]] + tech_4_4*TblTech[[#This Row],[4-4]] + IF(TblMagic[[#This Row],[Active Infernal Command]]&gt;0,demonic_pact_plat,0), 0.5)</f>
        <v>0</v>
      </c>
      <c r="AI12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3" s="156">
        <f ca="1">race_lumber_bonus+ IF(TblMagic[[#This Row],[Active Gaia''s Blessing]]&gt;0,gaias_blessing_lumber)+ tech_1_3*TblTech[[#This Row],[1-3]] + tech_1_6*TblTech[[#This Row],[1-6]] + tech_3_3*TblTech[[#This Row],[3-3]]</f>
        <v>0</v>
      </c>
      <c r="AK123" s="156">
        <f ca="1">race_mana_bonus+ 0 + TblImps[[#This Row],[Spires]] + tech_1_2*TblTech[[#This Row],[1-2]] + tech_3_4*TblTech[[#This Row],[3-4]]</f>
        <v>0</v>
      </c>
      <c r="AL123" s="156">
        <f ca="1">race_ore_bonus + IF(TblMagic[[#This Row],[Active Miner''s Sight]]&gt;0,miners_sight_bonus,IF(TblMagic[[#This Row],[Active Mining Strength]]&gt;0,mining_strength_bonus)) +  tech_1_6*TblTech[[#This Row],[1-6]]</f>
        <v>0</v>
      </c>
      <c r="AM123" s="156">
        <f>race_gem_bonus+ tech_3_2*TblTech[[#This Row],[3-2]] + tech_4_3*TblTech[[#This Row],[4-3]] + tech_6_2*TblTech[[#This Row],[6-2]]</f>
        <v>0</v>
      </c>
      <c r="AN123" s="142"/>
      <c r="AO123" s="94">
        <f ca="1">TblProd[[#This Row],[Food]]*food_decay * (1 + tech_2_1*TblTech[[#This Row],[2-1]] + tech_2_8*TblTech[[#This Row],[2-8]] + IF(AND(TblMagic[[#This Row],[Active DnD]]&lt;12,TblMagic[[#This Row],[Active DnD]]&gt;5),1,0))</f>
        <v>1711.05</v>
      </c>
      <c r="AP123" s="94">
        <f ca="1">(1+race_food_consumption)*TblPop[[#This Row],[Total]]*food_per_person*(1+tech_1_10*TblTech[[#This Row],[1-10]]+tech_7_5*TblTech[[#This Row],[7-5]] + IF(TblMagic[[#This Row],[Active Infernal Command]]&gt;0,demonic_pact_food_cons,0))</f>
        <v>192.25</v>
      </c>
      <c r="AQ123" s="94">
        <f ca="1">TblProd[[#This Row],[Lumber]]*lumber_rot * (1 + tech_2_1*TblTech[[#This Row],[2-1]] + tech_2_8*TblTech[[#This Row],[2-8]] + tech_5_2*TblTech[[#This Row],[5-2]] + IF(AND(TblMagic[[#This Row],[Active DnD]]&lt;12,TblMagic[[#This Row],[Active DnD]]&gt;5),1,0))</f>
        <v>742.94</v>
      </c>
      <c r="AR123" s="94">
        <f ca="1">TblProd[[#This Row],[Mana]]*mana_drain * (1 + tech_2_1*TblTech[[#This Row],[2-1]] + tech_2_8*TblTech[[#This Row],[2-8]])</f>
        <v>0</v>
      </c>
      <c r="AS123" s="154"/>
      <c r="AT123" s="94">
        <f ca="1">TblExplore[[#This Row],[Platinum (2)]]+TblConstr[[#This Row],[Total Plat Cost]]+TblMili[[#This Row],[Plat Cost]]+TblRezone[[#This Row],[Platinum cost]]+TblImps[[#This Row],[P1]]-TblProd[[#This Row],[Bank Plat]]</f>
        <v>0</v>
      </c>
      <c r="AU123" s="94">
        <f ca="1">TblConstr[[#This Row],[Total Lum Cost]]+TblImps[[#This Row],[L1]]-TblProd[[#This Row],[Bank Lumber]] + Military!$CO$25*TblMili[[#This Row],[Sec. rec. Cost]]</f>
        <v>0</v>
      </c>
      <c r="AV123" s="94">
        <f ca="1">TblMagic[[#This Row],[Mana cost]] + Military!$CO$26*TblMili[[#This Row],[Sec. rec. Cost]]</f>
        <v>0</v>
      </c>
      <c r="AW123" s="94">
        <f ca="1">Military!$CO$24*TblMili[[#This Row],[Sec. rec. Cost]]+TblImps[[#This Row],[O1]]-TblProd[[#This Row],[Bank Ore]]</f>
        <v>0</v>
      </c>
      <c r="AX123" s="94">
        <f>TblImps[[#This Row],[G1]]-TblProd[[#This Row],[Bank Gems]]</f>
        <v>0</v>
      </c>
      <c r="AY123" s="142"/>
      <c r="AZ123" s="61" t="b">
        <f ca="1">IF(TblProd[[#This Row],[Set Guard]]&lt;&gt;"",TblProd[[#This Row],[Set Guard]],OFFSET(TblProd[[#This Row],[Guard]],-1,0))</f>
        <v>0</v>
      </c>
      <c r="BA123" s="153"/>
      <c r="BB123" s="45">
        <f>TblProd[[#This Row],[Hour]]</f>
        <v>72</v>
      </c>
      <c r="BC123" s="158">
        <f>-TblProd[[#This Row],[Bank Lumber]] / 2 + -TblProd[[#This Row],[Bank Gems]] * 2 + -TblProd[[#This Row],[Bank Ore]] / 2</f>
        <v>0</v>
      </c>
      <c r="BD123" s="158"/>
      <c r="BE123" s="158"/>
      <c r="BF123" s="158"/>
      <c r="BG123" s="159">
        <f ca="1">TblProd[[#This Row],[Time]]</f>
        <v>46324.958333333045</v>
      </c>
      <c r="BH123" s="45"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94">
        <f ca="1">TblProd[[#This Row],[Platinum]]</f>
        <v>208576</v>
      </c>
      <c r="BJ123" s="94">
        <f ca="1">TblProd[[#This Row],[Food]]</f>
        <v>171105</v>
      </c>
      <c r="BK123" s="94">
        <f ca="1">TblProd[[#This Row],[Lumber]]</f>
        <v>74294</v>
      </c>
      <c r="BL123" s="94">
        <f ca="1">TblProd[[#This Row],[Mana]]</f>
        <v>0</v>
      </c>
      <c r="BM123" s="94">
        <f ca="1">TblProd[[#This Row],[Ore]]</f>
        <v>0</v>
      </c>
    </row>
    <row r="124" spans="1:65" x14ac:dyDescent="0.2">
      <c r="A124" s="137">
        <f t="shared" si="1"/>
        <v>73</v>
      </c>
      <c r="B124" s="152">
        <f ca="1">TblImps[[#This Row],[Time]]</f>
        <v>46324.999999999709</v>
      </c>
      <c r="C124" s="153"/>
      <c r="D124" s="154"/>
      <c r="E124" s="94">
        <f ca="1">TblConstr[[#This Row],[Land]]</f>
        <v>50</v>
      </c>
      <c r="F124" s="94">
        <f ca="1">TblPop[[#This Row],[Peasants]]</f>
        <v>141</v>
      </c>
      <c r="G124" s="94">
        <f ca="1">TblMili[[#This Row],[Networth (2)]]</f>
        <v>1250</v>
      </c>
      <c r="H124" s="94">
        <f ca="1">OFFSET(TblProd[[#This Row],[Platinum]],-1,0)+OFFSET(TblProd[[#This Row],[Plat/hr]],-1,0) - TblProd[[#This Row],[Expenses Platinum]] + IF(TblProd[[#This Row],[Plat Bonus]],TblPop[[#This Row],[Peasants]]*4) + SUM(TblConstr[[#This Row],[Dest Hom]:[Dest Doc]])*TblConstr[[#This Row],[CPA Platinum -DB]]*tech_3_3_2*TblTech[[#This Row],[3-3]]</f>
        <v>208959</v>
      </c>
      <c r="I124" s="94">
        <f ca="1">OFFSET(TblProd[[#This Row],[Food]],-1,0)+OFFSET(TblProd[[#This Row],[Food/hr]],-1,0)+ROUNDUP((TblConstr[[#This Row],[Farms]]*80+TblConstr[[#This Row],[Docks]]*35)*(1+OFFSET(TblProd[[#This Row],[Bonus Food/hr]],-1,0)),0)</f>
        <v>171782</v>
      </c>
      <c r="J124" s="94">
        <f ca="1">OFFSET(TblProd[[#This Row],[Lumber]],-1,0)+OFFSET(TblProd[[#This Row],[Lumber/hr]],-1,0) - TblProd[[#This Row],[Expenses Lumber]] + SUM(TblConstr[[#This Row],[Dest Hom]:[Dest Doc]])*TblConstr[[#This Row],[CPA Lumber -DB]]*tech_3_3_2*TblTech[[#This Row],[3-3]]</f>
        <v>74551</v>
      </c>
      <c r="K124" s="94">
        <f ca="1">OFFSET(TblProd[[#This Row],[Mana]],-1,0)+OFFSET(TblProd[[#This Row],[Mana/hr]],-1,0)- TblProd[[#This Row],[Expenses Mana]]</f>
        <v>0</v>
      </c>
      <c r="L124" s="94">
        <f ca="1">OFFSET(TblProd[[#This Row],[Ore]],-1,0)+OFFSET(TblProd[[#This Row],[Ore/hr]],-1,0) -TblProd[[#This Row],[Expenses Ore]]</f>
        <v>0</v>
      </c>
      <c r="M124" s="94">
        <f ca="1">OFFSET(TblProd[[#This Row],[Gems]],-1,0)+OFFSET(TblProd[[#This Row],[Gems/hr]],-1,0) - TblProd[[#This Row],[Expenses Gems]]</f>
        <v>0</v>
      </c>
      <c r="N124" s="94">
        <f ca="1">OFFSET(TblProd[[#This Row],[Boats]],-1,0)+OFFSET(TblProd[[#This Row],[Boats/hr]],-1,0)</f>
        <v>0</v>
      </c>
      <c r="O124" s="94">
        <f ca="1">OFFSET(TblProd[[#This Row],[Prestige]],-1,0)</f>
        <v>250</v>
      </c>
      <c r="P12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4" s="94">
        <f ca="1">MAX(_xlfn.CEILING.MATH(TblProd[[#This Row],[Land]]*2.5+IFERROR(OFFSET(TblTech[[#This Row],[Sum of tech]],-1,0)*50,0)),3750)</f>
        <v>3750</v>
      </c>
      <c r="R124" s="142"/>
      <c r="S124" s="94">
        <f ca="1">ROUNDDOWN(TblProd[[#This Row],[Raw Plat/hr]]*(1+TblProd[[#This Row],[Bonus Plat/hr]]),0)</f>
        <v>380</v>
      </c>
      <c r="T124" s="94">
        <f ca="1">ROUND(TblProd[[#This Row],[Raw Food/hr]]*(1+TblProd[[#This Row],[Bonus Food/hr]])-TblProd[[#This Row],[Food decay]]-TblProd[[#This Row],[Food eaten]],0)</f>
        <v>670</v>
      </c>
      <c r="U124" s="94">
        <f ca="1">ROUND(TblProd[[#This Row],[Raw Lumber/hr]]*(1+TblProd[[#This Row],[Bonus Lumber/hr]])-TblProd[[#This Row],[Lumber rot]],0)</f>
        <v>254</v>
      </c>
      <c r="V124" s="94">
        <f ca="1">ROUND(TblProd[[#This Row],[Raw Mana/hr]]*(1+TblProd[[#This Row],[Bonus Mana/hr]])-TblProd[[#This Row],[Mana drain]],0)</f>
        <v>0</v>
      </c>
      <c r="W124" s="94">
        <f ca="1">ROUNDDOWN(TblProd[[#This Row],[Raw Ore/hr]]*(1+TblProd[[#This Row],[Bonux Ore/hr]]),0)</f>
        <v>0</v>
      </c>
      <c r="X124" s="94">
        <f ca="1">ROUNDDOWN(TblProd[[#This Row],[Raw Gems/hr]]*(1+TblProd[[#This Row],[Bonus Gems/hr]]),0)</f>
        <v>0</v>
      </c>
      <c r="Y124" s="155">
        <f ca="1">OFFSET(TblConstr[[#This Row],[Tot Doc]],1,0)*dock_boats_hr * (1 + tech_4_1*TblTech[[#This Row],[4-1]])</f>
        <v>0</v>
      </c>
      <c r="Z124" s="154"/>
      <c r="AA124" s="94">
        <f ca="1">TblPop[[#This Row],[Peasants]]*tax*TblPop[[#This Row],[Employment]] + (Construction!AZ125+Construction!BX125)*(alch_plat+(Magic!AN124&gt;0)*alchemist_flame_bonus)</f>
        <v>380.70000000000005</v>
      </c>
      <c r="AB124" s="94">
        <f ca="1">TblConstr[[#This Row],[Tot Farm]]*farm_food + TblConstr[[#This Row],[Tot Doc]]*dock_food</f>
        <v>2400</v>
      </c>
      <c r="AC124" s="94">
        <f ca="1">TblConstr[[#This Row],[Tot Ly]]*ly_lumber + TblConstr[[#This Row],[Tot Hav]]*fh_lumber + IF(race="Wood Elf",TblMili[[#This Row],[Unit 2]]*MIN(TblMili[[#This Row],[Homeland%]]/wisp_bonus,wisp_cap),0)</f>
        <v>1000</v>
      </c>
      <c r="AD124" s="94">
        <f ca="1">OFFSET(TblConstr[[#This Row],[Tot Tow]],1,0)*(tower_mana + tech_4_5*TblTech[[#This Row],[4-5]]) + OFFSET(TblConstr[[#This Row],[Tot WG]],1,0)*wg_mana_prod</f>
        <v>0</v>
      </c>
      <c r="AE124" s="94">
        <f ca="1">OFFSET(TblConstr[[#This Row],[Tot OM]],1,0)*om_ore+IF(race="Dwarf",TblMili[[#This Row],[Unit 2]]*0.5,0)</f>
        <v>0</v>
      </c>
      <c r="AF124" s="94">
        <f ca="1">OFFSET(TblConstr[[#This Row],[Tot DM]],1,0)*dm_gems</f>
        <v>0</v>
      </c>
      <c r="AG124" s="142"/>
      <c r="AH124" s="156">
        <f ca="1">MIN(race_platinum_bonus + IF(TblMagic[[#This Row],[Active Arc Infusion]]&gt;0,alch_frost_bonus,IF(Magic!AE124&gt;0,midas_bonus)) + TblImps[[#This Row],[Science]] - TblProd[[#This Row],[Guard]]*(0.02 + tech_5_7*TblTech[[#This Row],[5-7]]) + tech_1_5*TblTech[[#This Row],[1-5]] + tech_4_4*TblTech[[#This Row],[4-4]] + IF(TblMagic[[#This Row],[Active Infernal Command]]&gt;0,demonic_pact_plat,0), 0.5)</f>
        <v>0</v>
      </c>
      <c r="AI12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4" s="156">
        <f ca="1">race_lumber_bonus+ IF(TblMagic[[#This Row],[Active Gaia''s Blessing]]&gt;0,gaias_blessing_lumber)+ tech_1_3*TblTech[[#This Row],[1-3]] + tech_1_6*TblTech[[#This Row],[1-6]] + tech_3_3*TblTech[[#This Row],[3-3]]</f>
        <v>0</v>
      </c>
      <c r="AK124" s="156">
        <f ca="1">race_mana_bonus+ 0 + TblImps[[#This Row],[Spires]] + tech_1_2*TblTech[[#This Row],[1-2]] + tech_3_4*TblTech[[#This Row],[3-4]]</f>
        <v>0</v>
      </c>
      <c r="AL124" s="156">
        <f ca="1">race_ore_bonus + IF(TblMagic[[#This Row],[Active Miner''s Sight]]&gt;0,miners_sight_bonus,IF(TblMagic[[#This Row],[Active Mining Strength]]&gt;0,mining_strength_bonus)) +  tech_1_6*TblTech[[#This Row],[1-6]]</f>
        <v>0</v>
      </c>
      <c r="AM124" s="156">
        <f>race_gem_bonus+ tech_3_2*TblTech[[#This Row],[3-2]] + tech_4_3*TblTech[[#This Row],[4-3]] + tech_6_2*TblTech[[#This Row],[6-2]]</f>
        <v>0</v>
      </c>
      <c r="AN124" s="142"/>
      <c r="AO124" s="94">
        <f ca="1">TblProd[[#This Row],[Food]]*food_decay * (1 + tech_2_1*TblTech[[#This Row],[2-1]] + tech_2_8*TblTech[[#This Row],[2-8]] + IF(AND(TblMagic[[#This Row],[Active DnD]]&lt;12,TblMagic[[#This Row],[Active DnD]]&gt;5),1,0))</f>
        <v>1717.82</v>
      </c>
      <c r="AP124" s="94">
        <f ca="1">(1+race_food_consumption)*TblPop[[#This Row],[Total]]*food_per_person*(1+tech_1_10*TblTech[[#This Row],[1-10]]+tech_7_5*TblTech[[#This Row],[7-5]] + IF(TblMagic[[#This Row],[Active Infernal Command]]&gt;0,demonic_pact_food_cons,0))</f>
        <v>192.25</v>
      </c>
      <c r="AQ124" s="94">
        <f ca="1">TblProd[[#This Row],[Lumber]]*lumber_rot * (1 + tech_2_1*TblTech[[#This Row],[2-1]] + tech_2_8*TblTech[[#This Row],[2-8]] + tech_5_2*TblTech[[#This Row],[5-2]] + IF(AND(TblMagic[[#This Row],[Active DnD]]&lt;12,TblMagic[[#This Row],[Active DnD]]&gt;5),1,0))</f>
        <v>745.51</v>
      </c>
      <c r="AR124" s="94">
        <f ca="1">TblProd[[#This Row],[Mana]]*mana_drain * (1 + tech_2_1*TblTech[[#This Row],[2-1]] + tech_2_8*TblTech[[#This Row],[2-8]])</f>
        <v>0</v>
      </c>
      <c r="AS124" s="154"/>
      <c r="AT124" s="94">
        <f ca="1">TblExplore[[#This Row],[Platinum (2)]]+TblConstr[[#This Row],[Total Plat Cost]]+TblMili[[#This Row],[Plat Cost]]+TblRezone[[#This Row],[Platinum cost]]+TblImps[[#This Row],[P1]]-TblProd[[#This Row],[Bank Plat]]</f>
        <v>0</v>
      </c>
      <c r="AU124" s="94">
        <f ca="1">TblConstr[[#This Row],[Total Lum Cost]]+TblImps[[#This Row],[L1]]-TblProd[[#This Row],[Bank Lumber]] + Military!$CO$25*TblMili[[#This Row],[Sec. rec. Cost]]</f>
        <v>0</v>
      </c>
      <c r="AV124" s="94">
        <f ca="1">TblMagic[[#This Row],[Mana cost]] + Military!$CO$26*TblMili[[#This Row],[Sec. rec. Cost]]</f>
        <v>0</v>
      </c>
      <c r="AW124" s="94">
        <f ca="1">Military!$CO$24*TblMili[[#This Row],[Sec. rec. Cost]]+TblImps[[#This Row],[O1]]-TblProd[[#This Row],[Bank Ore]]</f>
        <v>0</v>
      </c>
      <c r="AX124" s="94">
        <f>TblImps[[#This Row],[G1]]-TblProd[[#This Row],[Bank Gems]]</f>
        <v>0</v>
      </c>
      <c r="AY124" s="142"/>
      <c r="AZ124" s="61" t="b">
        <f ca="1">IF(TblProd[[#This Row],[Set Guard]]&lt;&gt;"",TblProd[[#This Row],[Set Guard]],OFFSET(TblProd[[#This Row],[Guard]],-1,0))</f>
        <v>0</v>
      </c>
      <c r="BA124" s="153"/>
      <c r="BB124" s="45">
        <f>TblProd[[#This Row],[Hour]]</f>
        <v>73</v>
      </c>
      <c r="BC124" s="158">
        <f>-TblProd[[#This Row],[Bank Lumber]] / 2 + -TblProd[[#This Row],[Bank Gems]] * 2 + -TblProd[[#This Row],[Bank Ore]] / 2</f>
        <v>0</v>
      </c>
      <c r="BD124" s="158"/>
      <c r="BE124" s="158"/>
      <c r="BF124" s="158"/>
      <c r="BG124" s="159">
        <f ca="1">TblProd[[#This Row],[Time]]</f>
        <v>46324.999999999709</v>
      </c>
      <c r="BH124" s="45"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94">
        <f ca="1">TblProd[[#This Row],[Platinum]]</f>
        <v>208959</v>
      </c>
      <c r="BJ124" s="94">
        <f ca="1">TblProd[[#This Row],[Food]]</f>
        <v>171782</v>
      </c>
      <c r="BK124" s="94">
        <f ca="1">TblProd[[#This Row],[Lumber]]</f>
        <v>74551</v>
      </c>
      <c r="BL124" s="94">
        <f ca="1">TblProd[[#This Row],[Mana]]</f>
        <v>0</v>
      </c>
      <c r="BM124" s="94">
        <f ca="1">TblProd[[#This Row],[Ore]]</f>
        <v>0</v>
      </c>
    </row>
    <row r="125" spans="1:65" x14ac:dyDescent="0.2">
      <c r="A125" s="137">
        <f t="shared" si="1"/>
        <v>74</v>
      </c>
      <c r="B125" s="152">
        <f ca="1">TblImps[[#This Row],[Time]]</f>
        <v>46325.041666666373</v>
      </c>
      <c r="C125" s="153"/>
      <c r="D125" s="154"/>
      <c r="E125" s="94">
        <f ca="1">TblConstr[[#This Row],[Land]]</f>
        <v>50</v>
      </c>
      <c r="F125" s="94">
        <f ca="1">TblPop[[#This Row],[Peasants]]</f>
        <v>140</v>
      </c>
      <c r="G125" s="94">
        <f ca="1">TblMili[[#This Row],[Networth (2)]]</f>
        <v>1250</v>
      </c>
      <c r="H125" s="94">
        <f ca="1">OFFSET(TblProd[[#This Row],[Platinum]],-1,0)+OFFSET(TblProd[[#This Row],[Plat/hr]],-1,0) - TblProd[[#This Row],[Expenses Platinum]] + IF(TblProd[[#This Row],[Plat Bonus]],TblPop[[#This Row],[Peasants]]*4) + SUM(TblConstr[[#This Row],[Dest Hom]:[Dest Doc]])*TblConstr[[#This Row],[CPA Platinum -DB]]*tech_3_3_2*TblTech[[#This Row],[3-3]]</f>
        <v>209339</v>
      </c>
      <c r="I125" s="94">
        <f ca="1">OFFSET(TblProd[[#This Row],[Food]],-1,0)+OFFSET(TblProd[[#This Row],[Food/hr]],-1,0)+ROUNDUP((TblConstr[[#This Row],[Farms]]*80+TblConstr[[#This Row],[Docks]]*35)*(1+OFFSET(TblProd[[#This Row],[Bonus Food/hr]],-1,0)),0)</f>
        <v>172452</v>
      </c>
      <c r="J125" s="94">
        <f ca="1">OFFSET(TblProd[[#This Row],[Lumber]],-1,0)+OFFSET(TblProd[[#This Row],[Lumber/hr]],-1,0) - TblProd[[#This Row],[Expenses Lumber]] + SUM(TblConstr[[#This Row],[Dest Hom]:[Dest Doc]])*TblConstr[[#This Row],[CPA Lumber -DB]]*tech_3_3_2*TblTech[[#This Row],[3-3]]</f>
        <v>74805</v>
      </c>
      <c r="K125" s="94">
        <f ca="1">OFFSET(TblProd[[#This Row],[Mana]],-1,0)+OFFSET(TblProd[[#This Row],[Mana/hr]],-1,0)- TblProd[[#This Row],[Expenses Mana]]</f>
        <v>0</v>
      </c>
      <c r="L125" s="94">
        <f ca="1">OFFSET(TblProd[[#This Row],[Ore]],-1,0)+OFFSET(TblProd[[#This Row],[Ore/hr]],-1,0) -TblProd[[#This Row],[Expenses Ore]]</f>
        <v>0</v>
      </c>
      <c r="M125" s="94">
        <f ca="1">OFFSET(TblProd[[#This Row],[Gems]],-1,0)+OFFSET(TblProd[[#This Row],[Gems/hr]],-1,0) - TblProd[[#This Row],[Expenses Gems]]</f>
        <v>0</v>
      </c>
      <c r="N125" s="94">
        <f ca="1">OFFSET(TblProd[[#This Row],[Boats]],-1,0)+OFFSET(TblProd[[#This Row],[Boats/hr]],-1,0)</f>
        <v>0</v>
      </c>
      <c r="O125" s="94">
        <f ca="1">OFFSET(TblProd[[#This Row],[Prestige]],-1,0)</f>
        <v>250</v>
      </c>
      <c r="P12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5" s="94">
        <f ca="1">MAX(_xlfn.CEILING.MATH(TblProd[[#This Row],[Land]]*2.5+IFERROR(OFFSET(TblTech[[#This Row],[Sum of tech]],-1,0)*50,0)),3750)</f>
        <v>3750</v>
      </c>
      <c r="R125" s="142"/>
      <c r="S125" s="94">
        <f ca="1">ROUNDDOWN(TblProd[[#This Row],[Raw Plat/hr]]*(1+TblProd[[#This Row],[Bonus Plat/hr]]),0)</f>
        <v>378</v>
      </c>
      <c r="T125" s="94">
        <f ca="1">ROUND(TblProd[[#This Row],[Raw Food/hr]]*(1+TblProd[[#This Row],[Bonus Food/hr]])-TblProd[[#This Row],[Food decay]]-TblProd[[#This Row],[Food eaten]],0)</f>
        <v>663</v>
      </c>
      <c r="U125" s="94">
        <f ca="1">ROUND(TblProd[[#This Row],[Raw Lumber/hr]]*(1+TblProd[[#This Row],[Bonus Lumber/hr]])-TblProd[[#This Row],[Lumber rot]],0)</f>
        <v>252</v>
      </c>
      <c r="V125" s="94">
        <f ca="1">ROUND(TblProd[[#This Row],[Raw Mana/hr]]*(1+TblProd[[#This Row],[Bonus Mana/hr]])-TblProd[[#This Row],[Mana drain]],0)</f>
        <v>0</v>
      </c>
      <c r="W125" s="94">
        <f ca="1">ROUNDDOWN(TblProd[[#This Row],[Raw Ore/hr]]*(1+TblProd[[#This Row],[Bonux Ore/hr]]),0)</f>
        <v>0</v>
      </c>
      <c r="X125" s="94">
        <f ca="1">ROUNDDOWN(TblProd[[#This Row],[Raw Gems/hr]]*(1+TblProd[[#This Row],[Bonus Gems/hr]]),0)</f>
        <v>0</v>
      </c>
      <c r="Y125" s="155">
        <f ca="1">OFFSET(TblConstr[[#This Row],[Tot Doc]],1,0)*dock_boats_hr * (1 + tech_4_1*TblTech[[#This Row],[4-1]])</f>
        <v>0</v>
      </c>
      <c r="Z125" s="154"/>
      <c r="AA125" s="94">
        <f ca="1">TblPop[[#This Row],[Peasants]]*tax*TblPop[[#This Row],[Employment]] + (Construction!AZ126+Construction!BX126)*(alch_plat+(Magic!AN125&gt;0)*alchemist_flame_bonus)</f>
        <v>378</v>
      </c>
      <c r="AB125" s="94">
        <f ca="1">TblConstr[[#This Row],[Tot Farm]]*farm_food + TblConstr[[#This Row],[Tot Doc]]*dock_food</f>
        <v>2400</v>
      </c>
      <c r="AC125" s="94">
        <f ca="1">TblConstr[[#This Row],[Tot Ly]]*ly_lumber + TblConstr[[#This Row],[Tot Hav]]*fh_lumber + IF(race="Wood Elf",TblMili[[#This Row],[Unit 2]]*MIN(TblMili[[#This Row],[Homeland%]]/wisp_bonus,wisp_cap),0)</f>
        <v>1000</v>
      </c>
      <c r="AD125" s="94">
        <f ca="1">OFFSET(TblConstr[[#This Row],[Tot Tow]],1,0)*(tower_mana + tech_4_5*TblTech[[#This Row],[4-5]]) + OFFSET(TblConstr[[#This Row],[Tot WG]],1,0)*wg_mana_prod</f>
        <v>0</v>
      </c>
      <c r="AE125" s="94">
        <f ca="1">OFFSET(TblConstr[[#This Row],[Tot OM]],1,0)*om_ore+IF(race="Dwarf",TblMili[[#This Row],[Unit 2]]*0.5,0)</f>
        <v>0</v>
      </c>
      <c r="AF125" s="94">
        <f ca="1">OFFSET(TblConstr[[#This Row],[Tot DM]],1,0)*dm_gems</f>
        <v>0</v>
      </c>
      <c r="AG125" s="142"/>
      <c r="AH125" s="156">
        <f ca="1">MIN(race_platinum_bonus + IF(TblMagic[[#This Row],[Active Arc Infusion]]&gt;0,alch_frost_bonus,IF(Magic!AE125&gt;0,midas_bonus)) + TblImps[[#This Row],[Science]] - TblProd[[#This Row],[Guard]]*(0.02 + tech_5_7*TblTech[[#This Row],[5-7]]) + tech_1_5*TblTech[[#This Row],[1-5]] + tech_4_4*TblTech[[#This Row],[4-4]] + IF(TblMagic[[#This Row],[Active Infernal Command]]&gt;0,demonic_pact_plat,0), 0.5)</f>
        <v>0</v>
      </c>
      <c r="AI12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5" s="156">
        <f ca="1">race_lumber_bonus+ IF(TblMagic[[#This Row],[Active Gaia''s Blessing]]&gt;0,gaias_blessing_lumber)+ tech_1_3*TblTech[[#This Row],[1-3]] + tech_1_6*TblTech[[#This Row],[1-6]] + tech_3_3*TblTech[[#This Row],[3-3]]</f>
        <v>0</v>
      </c>
      <c r="AK125" s="156">
        <f ca="1">race_mana_bonus+ 0 + TblImps[[#This Row],[Spires]] + tech_1_2*TblTech[[#This Row],[1-2]] + tech_3_4*TblTech[[#This Row],[3-4]]</f>
        <v>0</v>
      </c>
      <c r="AL125" s="156">
        <f ca="1">race_ore_bonus + IF(TblMagic[[#This Row],[Active Miner''s Sight]]&gt;0,miners_sight_bonus,IF(TblMagic[[#This Row],[Active Mining Strength]]&gt;0,mining_strength_bonus)) +  tech_1_6*TblTech[[#This Row],[1-6]]</f>
        <v>0</v>
      </c>
      <c r="AM125" s="156">
        <f>race_gem_bonus+ tech_3_2*TblTech[[#This Row],[3-2]] + tech_4_3*TblTech[[#This Row],[4-3]] + tech_6_2*TblTech[[#This Row],[6-2]]</f>
        <v>0</v>
      </c>
      <c r="AN125" s="142"/>
      <c r="AO125" s="94">
        <f ca="1">TblProd[[#This Row],[Food]]*food_decay * (1 + tech_2_1*TblTech[[#This Row],[2-1]] + tech_2_8*TblTech[[#This Row],[2-8]] + IF(AND(TblMagic[[#This Row],[Active DnD]]&lt;12,TblMagic[[#This Row],[Active DnD]]&gt;5),1,0))</f>
        <v>1724.52</v>
      </c>
      <c r="AP125" s="94">
        <f ca="1">(1+race_food_consumption)*TblPop[[#This Row],[Total]]*food_per_person*(1+tech_1_10*TblTech[[#This Row],[1-10]]+tech_7_5*TblTech[[#This Row],[7-5]] + IF(TblMagic[[#This Row],[Active Infernal Command]]&gt;0,demonic_pact_food_cons,0))</f>
        <v>192.25</v>
      </c>
      <c r="AQ125" s="94">
        <f ca="1">TblProd[[#This Row],[Lumber]]*lumber_rot * (1 + tech_2_1*TblTech[[#This Row],[2-1]] + tech_2_8*TblTech[[#This Row],[2-8]] + tech_5_2*TblTech[[#This Row],[5-2]] + IF(AND(TblMagic[[#This Row],[Active DnD]]&lt;12,TblMagic[[#This Row],[Active DnD]]&gt;5),1,0))</f>
        <v>748.05000000000007</v>
      </c>
      <c r="AR125" s="94">
        <f ca="1">TblProd[[#This Row],[Mana]]*mana_drain * (1 + tech_2_1*TblTech[[#This Row],[2-1]] + tech_2_8*TblTech[[#This Row],[2-8]])</f>
        <v>0</v>
      </c>
      <c r="AS125" s="154"/>
      <c r="AT125" s="94">
        <f ca="1">TblExplore[[#This Row],[Platinum (2)]]+TblConstr[[#This Row],[Total Plat Cost]]+TblMili[[#This Row],[Plat Cost]]+TblRezone[[#This Row],[Platinum cost]]+TblImps[[#This Row],[P1]]-TblProd[[#This Row],[Bank Plat]]</f>
        <v>0</v>
      </c>
      <c r="AU125" s="94">
        <f ca="1">TblConstr[[#This Row],[Total Lum Cost]]+TblImps[[#This Row],[L1]]-TblProd[[#This Row],[Bank Lumber]] + Military!$CO$25*TblMili[[#This Row],[Sec. rec. Cost]]</f>
        <v>0</v>
      </c>
      <c r="AV125" s="94">
        <f ca="1">TblMagic[[#This Row],[Mana cost]] + Military!$CO$26*TblMili[[#This Row],[Sec. rec. Cost]]</f>
        <v>0</v>
      </c>
      <c r="AW125" s="94">
        <f ca="1">Military!$CO$24*TblMili[[#This Row],[Sec. rec. Cost]]+TblImps[[#This Row],[O1]]-TblProd[[#This Row],[Bank Ore]]</f>
        <v>0</v>
      </c>
      <c r="AX125" s="94">
        <f>TblImps[[#This Row],[G1]]-TblProd[[#This Row],[Bank Gems]]</f>
        <v>0</v>
      </c>
      <c r="AY125" s="142"/>
      <c r="AZ125" s="61" t="b">
        <f ca="1">IF(TblProd[[#This Row],[Set Guard]]&lt;&gt;"",TblProd[[#This Row],[Set Guard]],OFFSET(TblProd[[#This Row],[Guard]],-1,0))</f>
        <v>0</v>
      </c>
      <c r="BA125" s="153"/>
      <c r="BB125" s="45">
        <f>TblProd[[#This Row],[Hour]]</f>
        <v>74</v>
      </c>
      <c r="BC125" s="158">
        <f>-TblProd[[#This Row],[Bank Lumber]] / 2 + -TblProd[[#This Row],[Bank Gems]] * 2 + -TblProd[[#This Row],[Bank Ore]] / 2</f>
        <v>0</v>
      </c>
      <c r="BD125" s="158"/>
      <c r="BE125" s="158"/>
      <c r="BF125" s="158"/>
      <c r="BG125" s="159">
        <f ca="1">TblProd[[#This Row],[Time]]</f>
        <v>46325.041666666373</v>
      </c>
      <c r="BH125" s="45"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94">
        <f ca="1">TblProd[[#This Row],[Platinum]]</f>
        <v>209339</v>
      </c>
      <c r="BJ125" s="94">
        <f ca="1">TblProd[[#This Row],[Food]]</f>
        <v>172452</v>
      </c>
      <c r="BK125" s="94">
        <f ca="1">TblProd[[#This Row],[Lumber]]</f>
        <v>74805</v>
      </c>
      <c r="BL125" s="94">
        <f ca="1">TblProd[[#This Row],[Mana]]</f>
        <v>0</v>
      </c>
      <c r="BM125" s="94">
        <f ca="1">TblProd[[#This Row],[Ore]]</f>
        <v>0</v>
      </c>
    </row>
    <row r="126" spans="1:65" x14ac:dyDescent="0.2">
      <c r="A126" s="137">
        <f t="shared" si="1"/>
        <v>75</v>
      </c>
      <c r="B126" s="152">
        <f ca="1">TblImps[[#This Row],[Time]]</f>
        <v>46325.083333333037</v>
      </c>
      <c r="C126" s="153"/>
      <c r="D126" s="154"/>
      <c r="E126" s="94">
        <f ca="1">TblConstr[[#This Row],[Land]]</f>
        <v>50</v>
      </c>
      <c r="F126" s="94">
        <f ca="1">TblPop[[#This Row],[Peasants]]</f>
        <v>139</v>
      </c>
      <c r="G126" s="94">
        <f ca="1">TblMili[[#This Row],[Networth (2)]]</f>
        <v>1250</v>
      </c>
      <c r="H126" s="94">
        <f ca="1">OFFSET(TblProd[[#This Row],[Platinum]],-1,0)+OFFSET(TblProd[[#This Row],[Plat/hr]],-1,0) - TblProd[[#This Row],[Expenses Platinum]] + IF(TblProd[[#This Row],[Plat Bonus]],TblPop[[#This Row],[Peasants]]*4) + SUM(TblConstr[[#This Row],[Dest Hom]:[Dest Doc]])*TblConstr[[#This Row],[CPA Platinum -DB]]*tech_3_3_2*TblTech[[#This Row],[3-3]]</f>
        <v>209717</v>
      </c>
      <c r="I126" s="94">
        <f ca="1">OFFSET(TblProd[[#This Row],[Food]],-1,0)+OFFSET(TblProd[[#This Row],[Food/hr]],-1,0)+ROUNDUP((TblConstr[[#This Row],[Farms]]*80+TblConstr[[#This Row],[Docks]]*35)*(1+OFFSET(TblProd[[#This Row],[Bonus Food/hr]],-1,0)),0)</f>
        <v>173115</v>
      </c>
      <c r="J126" s="94">
        <f ca="1">OFFSET(TblProd[[#This Row],[Lumber]],-1,0)+OFFSET(TblProd[[#This Row],[Lumber/hr]],-1,0) - TblProd[[#This Row],[Expenses Lumber]] + SUM(TblConstr[[#This Row],[Dest Hom]:[Dest Doc]])*TblConstr[[#This Row],[CPA Lumber -DB]]*tech_3_3_2*TblTech[[#This Row],[3-3]]</f>
        <v>75057</v>
      </c>
      <c r="K126" s="94">
        <f ca="1">OFFSET(TblProd[[#This Row],[Mana]],-1,0)+OFFSET(TblProd[[#This Row],[Mana/hr]],-1,0)- TblProd[[#This Row],[Expenses Mana]]</f>
        <v>0</v>
      </c>
      <c r="L126" s="94">
        <f ca="1">OFFSET(TblProd[[#This Row],[Ore]],-1,0)+OFFSET(TblProd[[#This Row],[Ore/hr]],-1,0) -TblProd[[#This Row],[Expenses Ore]]</f>
        <v>0</v>
      </c>
      <c r="M126" s="94">
        <f ca="1">OFFSET(TblProd[[#This Row],[Gems]],-1,0)+OFFSET(TblProd[[#This Row],[Gems/hr]],-1,0) - TblProd[[#This Row],[Expenses Gems]]</f>
        <v>0</v>
      </c>
      <c r="N126" s="94">
        <f ca="1">OFFSET(TblProd[[#This Row],[Boats]],-1,0)+OFFSET(TblProd[[#This Row],[Boats/hr]],-1,0)</f>
        <v>0</v>
      </c>
      <c r="O126" s="94">
        <f ca="1">OFFSET(TblProd[[#This Row],[Prestige]],-1,0)</f>
        <v>250</v>
      </c>
      <c r="P12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6" s="94">
        <f ca="1">MAX(_xlfn.CEILING.MATH(TblProd[[#This Row],[Land]]*2.5+IFERROR(OFFSET(TblTech[[#This Row],[Sum of tech]],-1,0)*50,0)),3750)</f>
        <v>3750</v>
      </c>
      <c r="R126" s="142"/>
      <c r="S126" s="94">
        <f ca="1">ROUNDDOWN(TblProd[[#This Row],[Raw Plat/hr]]*(1+TblProd[[#This Row],[Bonus Plat/hr]]),0)</f>
        <v>375</v>
      </c>
      <c r="T126" s="94">
        <f ca="1">ROUND(TblProd[[#This Row],[Raw Food/hr]]*(1+TblProd[[#This Row],[Bonus Food/hr]])-TblProd[[#This Row],[Food decay]]-TblProd[[#This Row],[Food eaten]],0)</f>
        <v>657</v>
      </c>
      <c r="U126" s="94">
        <f ca="1">ROUND(TblProd[[#This Row],[Raw Lumber/hr]]*(1+TblProd[[#This Row],[Bonus Lumber/hr]])-TblProd[[#This Row],[Lumber rot]],0)</f>
        <v>249</v>
      </c>
      <c r="V126" s="94">
        <f ca="1">ROUND(TblProd[[#This Row],[Raw Mana/hr]]*(1+TblProd[[#This Row],[Bonus Mana/hr]])-TblProd[[#This Row],[Mana drain]],0)</f>
        <v>0</v>
      </c>
      <c r="W126" s="94">
        <f ca="1">ROUNDDOWN(TblProd[[#This Row],[Raw Ore/hr]]*(1+TblProd[[#This Row],[Bonux Ore/hr]]),0)</f>
        <v>0</v>
      </c>
      <c r="X126" s="94">
        <f ca="1">ROUNDDOWN(TblProd[[#This Row],[Raw Gems/hr]]*(1+TblProd[[#This Row],[Bonus Gems/hr]]),0)</f>
        <v>0</v>
      </c>
      <c r="Y126" s="155">
        <f ca="1">OFFSET(TblConstr[[#This Row],[Tot Doc]],1,0)*dock_boats_hr * (1 + tech_4_1*TblTech[[#This Row],[4-1]])</f>
        <v>0</v>
      </c>
      <c r="Z126" s="154"/>
      <c r="AA126" s="94">
        <f ca="1">TblPop[[#This Row],[Peasants]]*tax*TblPop[[#This Row],[Employment]] + (Construction!AZ127+Construction!BX127)*(alch_plat+(Magic!AN126&gt;0)*alchemist_flame_bonus)</f>
        <v>375.3</v>
      </c>
      <c r="AB126" s="94">
        <f ca="1">TblConstr[[#This Row],[Tot Farm]]*farm_food + TblConstr[[#This Row],[Tot Doc]]*dock_food</f>
        <v>2400</v>
      </c>
      <c r="AC126" s="94">
        <f ca="1">TblConstr[[#This Row],[Tot Ly]]*ly_lumber + TblConstr[[#This Row],[Tot Hav]]*fh_lumber + IF(race="Wood Elf",TblMili[[#This Row],[Unit 2]]*MIN(TblMili[[#This Row],[Homeland%]]/wisp_bonus,wisp_cap),0)</f>
        <v>1000</v>
      </c>
      <c r="AD126" s="94">
        <f ca="1">OFFSET(TblConstr[[#This Row],[Tot Tow]],1,0)*(tower_mana + tech_4_5*TblTech[[#This Row],[4-5]]) + OFFSET(TblConstr[[#This Row],[Tot WG]],1,0)*wg_mana_prod</f>
        <v>0</v>
      </c>
      <c r="AE126" s="94">
        <f ca="1">OFFSET(TblConstr[[#This Row],[Tot OM]],1,0)*om_ore+IF(race="Dwarf",TblMili[[#This Row],[Unit 2]]*0.5,0)</f>
        <v>0</v>
      </c>
      <c r="AF126" s="94">
        <f ca="1">OFFSET(TblConstr[[#This Row],[Tot DM]],1,0)*dm_gems</f>
        <v>0</v>
      </c>
      <c r="AG126" s="142"/>
      <c r="AH126" s="156">
        <f ca="1">MIN(race_platinum_bonus + IF(TblMagic[[#This Row],[Active Arc Infusion]]&gt;0,alch_frost_bonus,IF(Magic!AE126&gt;0,midas_bonus)) + TblImps[[#This Row],[Science]] - TblProd[[#This Row],[Guard]]*(0.02 + tech_5_7*TblTech[[#This Row],[5-7]]) + tech_1_5*TblTech[[#This Row],[1-5]] + tech_4_4*TblTech[[#This Row],[4-4]] + IF(TblMagic[[#This Row],[Active Infernal Command]]&gt;0,demonic_pact_plat,0), 0.5)</f>
        <v>0</v>
      </c>
      <c r="AI12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6" s="156">
        <f ca="1">race_lumber_bonus+ IF(TblMagic[[#This Row],[Active Gaia''s Blessing]]&gt;0,gaias_blessing_lumber)+ tech_1_3*TblTech[[#This Row],[1-3]] + tech_1_6*TblTech[[#This Row],[1-6]] + tech_3_3*TblTech[[#This Row],[3-3]]</f>
        <v>0</v>
      </c>
      <c r="AK126" s="156">
        <f ca="1">race_mana_bonus+ 0 + TblImps[[#This Row],[Spires]] + tech_1_2*TblTech[[#This Row],[1-2]] + tech_3_4*TblTech[[#This Row],[3-4]]</f>
        <v>0</v>
      </c>
      <c r="AL126" s="156">
        <f ca="1">race_ore_bonus + IF(TblMagic[[#This Row],[Active Miner''s Sight]]&gt;0,miners_sight_bonus,IF(TblMagic[[#This Row],[Active Mining Strength]]&gt;0,mining_strength_bonus)) +  tech_1_6*TblTech[[#This Row],[1-6]]</f>
        <v>0</v>
      </c>
      <c r="AM126" s="156">
        <f>race_gem_bonus+ tech_3_2*TblTech[[#This Row],[3-2]] + tech_4_3*TblTech[[#This Row],[4-3]] + tech_6_2*TblTech[[#This Row],[6-2]]</f>
        <v>0</v>
      </c>
      <c r="AN126" s="142"/>
      <c r="AO126" s="94">
        <f ca="1">TblProd[[#This Row],[Food]]*food_decay * (1 + tech_2_1*TblTech[[#This Row],[2-1]] + tech_2_8*TblTech[[#This Row],[2-8]] + IF(AND(TblMagic[[#This Row],[Active DnD]]&lt;12,TblMagic[[#This Row],[Active DnD]]&gt;5),1,0))</f>
        <v>1731.15</v>
      </c>
      <c r="AP126" s="94">
        <f ca="1">(1+race_food_consumption)*TblPop[[#This Row],[Total]]*food_per_person*(1+tech_1_10*TblTech[[#This Row],[1-10]]+tech_7_5*TblTech[[#This Row],[7-5]] + IF(TblMagic[[#This Row],[Active Infernal Command]]&gt;0,demonic_pact_food_cons,0))</f>
        <v>192.25</v>
      </c>
      <c r="AQ126" s="94">
        <f ca="1">TblProd[[#This Row],[Lumber]]*lumber_rot * (1 + tech_2_1*TblTech[[#This Row],[2-1]] + tech_2_8*TblTech[[#This Row],[2-8]] + tech_5_2*TblTech[[#This Row],[5-2]] + IF(AND(TblMagic[[#This Row],[Active DnD]]&lt;12,TblMagic[[#This Row],[Active DnD]]&gt;5),1,0))</f>
        <v>750.57</v>
      </c>
      <c r="AR126" s="94">
        <f ca="1">TblProd[[#This Row],[Mana]]*mana_drain * (1 + tech_2_1*TblTech[[#This Row],[2-1]] + tech_2_8*TblTech[[#This Row],[2-8]])</f>
        <v>0</v>
      </c>
      <c r="AS126" s="154"/>
      <c r="AT126" s="94">
        <f ca="1">TblExplore[[#This Row],[Platinum (2)]]+TblConstr[[#This Row],[Total Plat Cost]]+TblMili[[#This Row],[Plat Cost]]+TblRezone[[#This Row],[Platinum cost]]+TblImps[[#This Row],[P1]]-TblProd[[#This Row],[Bank Plat]]</f>
        <v>0</v>
      </c>
      <c r="AU126" s="94">
        <f ca="1">TblConstr[[#This Row],[Total Lum Cost]]+TblImps[[#This Row],[L1]]-TblProd[[#This Row],[Bank Lumber]] + Military!$CO$25*TblMili[[#This Row],[Sec. rec. Cost]]</f>
        <v>0</v>
      </c>
      <c r="AV126" s="94">
        <f ca="1">TblMagic[[#This Row],[Mana cost]] + Military!$CO$26*TblMili[[#This Row],[Sec. rec. Cost]]</f>
        <v>0</v>
      </c>
      <c r="AW126" s="94">
        <f ca="1">Military!$CO$24*TblMili[[#This Row],[Sec. rec. Cost]]+TblImps[[#This Row],[O1]]-TblProd[[#This Row],[Bank Ore]]</f>
        <v>0</v>
      </c>
      <c r="AX126" s="94">
        <f>TblImps[[#This Row],[G1]]-TblProd[[#This Row],[Bank Gems]]</f>
        <v>0</v>
      </c>
      <c r="AY126" s="142"/>
      <c r="AZ126" s="61" t="b">
        <f ca="1">IF(TblProd[[#This Row],[Set Guard]]&lt;&gt;"",TblProd[[#This Row],[Set Guard]],OFFSET(TblProd[[#This Row],[Guard]],-1,0))</f>
        <v>0</v>
      </c>
      <c r="BA126" s="153"/>
      <c r="BB126" s="45">
        <f>TblProd[[#This Row],[Hour]]</f>
        <v>75</v>
      </c>
      <c r="BC126" s="158">
        <f>-TblProd[[#This Row],[Bank Lumber]] / 2 + -TblProd[[#This Row],[Bank Gems]] * 2 + -TblProd[[#This Row],[Bank Ore]] / 2</f>
        <v>0</v>
      </c>
      <c r="BD126" s="158"/>
      <c r="BE126" s="158"/>
      <c r="BF126" s="158"/>
      <c r="BG126" s="159">
        <f ca="1">TblProd[[#This Row],[Time]]</f>
        <v>46325.083333333037</v>
      </c>
      <c r="BH126" s="45"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94">
        <f ca="1">TblProd[[#This Row],[Platinum]]</f>
        <v>209717</v>
      </c>
      <c r="BJ126" s="94">
        <f ca="1">TblProd[[#This Row],[Food]]</f>
        <v>173115</v>
      </c>
      <c r="BK126" s="94">
        <f ca="1">TblProd[[#This Row],[Lumber]]</f>
        <v>75057</v>
      </c>
      <c r="BL126" s="94">
        <f ca="1">TblProd[[#This Row],[Mana]]</f>
        <v>0</v>
      </c>
      <c r="BM126" s="94">
        <f ca="1">TblProd[[#This Row],[Ore]]</f>
        <v>0</v>
      </c>
    </row>
    <row r="127" spans="1:65" x14ac:dyDescent="0.2">
      <c r="A127" s="137">
        <f t="shared" si="1"/>
        <v>76</v>
      </c>
      <c r="B127" s="152">
        <f ca="1">TblImps[[#This Row],[Time]]</f>
        <v>46325.124999999702</v>
      </c>
      <c r="C127" s="153"/>
      <c r="D127" s="154"/>
      <c r="E127" s="94">
        <f ca="1">TblConstr[[#This Row],[Land]]</f>
        <v>50</v>
      </c>
      <c r="F127" s="94">
        <f ca="1">TblPop[[#This Row],[Peasants]]</f>
        <v>138</v>
      </c>
      <c r="G127" s="94">
        <f ca="1">TblMili[[#This Row],[Networth (2)]]</f>
        <v>1250</v>
      </c>
      <c r="H127" s="94">
        <f ca="1">OFFSET(TblProd[[#This Row],[Platinum]],-1,0)+OFFSET(TblProd[[#This Row],[Plat/hr]],-1,0) - TblProd[[#This Row],[Expenses Platinum]] + IF(TblProd[[#This Row],[Plat Bonus]],TblPop[[#This Row],[Peasants]]*4) + SUM(TblConstr[[#This Row],[Dest Hom]:[Dest Doc]])*TblConstr[[#This Row],[CPA Platinum -DB]]*tech_3_3_2*TblTech[[#This Row],[3-3]]</f>
        <v>210092</v>
      </c>
      <c r="I127" s="94">
        <f ca="1">OFFSET(TblProd[[#This Row],[Food]],-1,0)+OFFSET(TblProd[[#This Row],[Food/hr]],-1,0)+ROUNDUP((TblConstr[[#This Row],[Farms]]*80+TblConstr[[#This Row],[Docks]]*35)*(1+OFFSET(TblProd[[#This Row],[Bonus Food/hr]],-1,0)),0)</f>
        <v>173772</v>
      </c>
      <c r="J127" s="94">
        <f ca="1">OFFSET(TblProd[[#This Row],[Lumber]],-1,0)+OFFSET(TblProd[[#This Row],[Lumber/hr]],-1,0) - TblProd[[#This Row],[Expenses Lumber]] + SUM(TblConstr[[#This Row],[Dest Hom]:[Dest Doc]])*TblConstr[[#This Row],[CPA Lumber -DB]]*tech_3_3_2*TblTech[[#This Row],[3-3]]</f>
        <v>75306</v>
      </c>
      <c r="K127" s="94">
        <f ca="1">OFFSET(TblProd[[#This Row],[Mana]],-1,0)+OFFSET(TblProd[[#This Row],[Mana/hr]],-1,0)- TblProd[[#This Row],[Expenses Mana]]</f>
        <v>0</v>
      </c>
      <c r="L127" s="94">
        <f ca="1">OFFSET(TblProd[[#This Row],[Ore]],-1,0)+OFFSET(TblProd[[#This Row],[Ore/hr]],-1,0) -TblProd[[#This Row],[Expenses Ore]]</f>
        <v>0</v>
      </c>
      <c r="M127" s="94">
        <f ca="1">OFFSET(TblProd[[#This Row],[Gems]],-1,0)+OFFSET(TblProd[[#This Row],[Gems/hr]],-1,0) - TblProd[[#This Row],[Expenses Gems]]</f>
        <v>0</v>
      </c>
      <c r="N127" s="94">
        <f ca="1">OFFSET(TblProd[[#This Row],[Boats]],-1,0)+OFFSET(TblProd[[#This Row],[Boats/hr]],-1,0)</f>
        <v>0</v>
      </c>
      <c r="O127" s="94">
        <f ca="1">OFFSET(TblProd[[#This Row],[Prestige]],-1,0)</f>
        <v>250</v>
      </c>
      <c r="P12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7" s="94">
        <f ca="1">MAX(_xlfn.CEILING.MATH(TblProd[[#This Row],[Land]]*2.5+IFERROR(OFFSET(TblTech[[#This Row],[Sum of tech]],-1,0)*50,0)),3750)</f>
        <v>3750</v>
      </c>
      <c r="R127" s="142"/>
      <c r="S127" s="94">
        <f ca="1">ROUNDDOWN(TblProd[[#This Row],[Raw Plat/hr]]*(1+TblProd[[#This Row],[Bonus Plat/hr]]),0)</f>
        <v>372</v>
      </c>
      <c r="T127" s="94">
        <f ca="1">ROUND(TblProd[[#This Row],[Raw Food/hr]]*(1+TblProd[[#This Row],[Bonus Food/hr]])-TblProd[[#This Row],[Food decay]]-TblProd[[#This Row],[Food eaten]],0)</f>
        <v>650</v>
      </c>
      <c r="U127" s="94">
        <f ca="1">ROUND(TblProd[[#This Row],[Raw Lumber/hr]]*(1+TblProd[[#This Row],[Bonus Lumber/hr]])-TblProd[[#This Row],[Lumber rot]],0)</f>
        <v>247</v>
      </c>
      <c r="V127" s="94">
        <f ca="1">ROUND(TblProd[[#This Row],[Raw Mana/hr]]*(1+TblProd[[#This Row],[Bonus Mana/hr]])-TblProd[[#This Row],[Mana drain]],0)</f>
        <v>0</v>
      </c>
      <c r="W127" s="94">
        <f ca="1">ROUNDDOWN(TblProd[[#This Row],[Raw Ore/hr]]*(1+TblProd[[#This Row],[Bonux Ore/hr]]),0)</f>
        <v>0</v>
      </c>
      <c r="X127" s="94">
        <f ca="1">ROUNDDOWN(TblProd[[#This Row],[Raw Gems/hr]]*(1+TblProd[[#This Row],[Bonus Gems/hr]]),0)</f>
        <v>0</v>
      </c>
      <c r="Y127" s="155">
        <f ca="1">OFFSET(TblConstr[[#This Row],[Tot Doc]],1,0)*dock_boats_hr * (1 + tech_4_1*TblTech[[#This Row],[4-1]])</f>
        <v>0</v>
      </c>
      <c r="Z127" s="154"/>
      <c r="AA127" s="94">
        <f ca="1">TblPop[[#This Row],[Peasants]]*tax*TblPop[[#This Row],[Employment]] + (Construction!AZ128+Construction!BX128)*(alch_plat+(Magic!AN127&gt;0)*alchemist_flame_bonus)</f>
        <v>372.6</v>
      </c>
      <c r="AB127" s="94">
        <f ca="1">TblConstr[[#This Row],[Tot Farm]]*farm_food + TblConstr[[#This Row],[Tot Doc]]*dock_food</f>
        <v>2400</v>
      </c>
      <c r="AC127" s="94">
        <f ca="1">TblConstr[[#This Row],[Tot Ly]]*ly_lumber + TblConstr[[#This Row],[Tot Hav]]*fh_lumber + IF(race="Wood Elf",TblMili[[#This Row],[Unit 2]]*MIN(TblMili[[#This Row],[Homeland%]]/wisp_bonus,wisp_cap),0)</f>
        <v>1000</v>
      </c>
      <c r="AD127" s="94">
        <f ca="1">OFFSET(TblConstr[[#This Row],[Tot Tow]],1,0)*(tower_mana + tech_4_5*TblTech[[#This Row],[4-5]]) + OFFSET(TblConstr[[#This Row],[Tot WG]],1,0)*wg_mana_prod</f>
        <v>0</v>
      </c>
      <c r="AE127" s="94">
        <f ca="1">OFFSET(TblConstr[[#This Row],[Tot OM]],1,0)*om_ore+IF(race="Dwarf",TblMili[[#This Row],[Unit 2]]*0.5,0)</f>
        <v>0</v>
      </c>
      <c r="AF127" s="94">
        <f ca="1">OFFSET(TblConstr[[#This Row],[Tot DM]],1,0)*dm_gems</f>
        <v>0</v>
      </c>
      <c r="AG127" s="142"/>
      <c r="AH127" s="156">
        <f ca="1">MIN(race_platinum_bonus + IF(TblMagic[[#This Row],[Active Arc Infusion]]&gt;0,alch_frost_bonus,IF(Magic!AE127&gt;0,midas_bonus)) + TblImps[[#This Row],[Science]] - TblProd[[#This Row],[Guard]]*(0.02 + tech_5_7*TblTech[[#This Row],[5-7]]) + tech_1_5*TblTech[[#This Row],[1-5]] + tech_4_4*TblTech[[#This Row],[4-4]] + IF(TblMagic[[#This Row],[Active Infernal Command]]&gt;0,demonic_pact_plat,0), 0.5)</f>
        <v>0</v>
      </c>
      <c r="AI12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7" s="156">
        <f ca="1">race_lumber_bonus+ IF(TblMagic[[#This Row],[Active Gaia''s Blessing]]&gt;0,gaias_blessing_lumber)+ tech_1_3*TblTech[[#This Row],[1-3]] + tech_1_6*TblTech[[#This Row],[1-6]] + tech_3_3*TblTech[[#This Row],[3-3]]</f>
        <v>0</v>
      </c>
      <c r="AK127" s="156">
        <f ca="1">race_mana_bonus+ 0 + TblImps[[#This Row],[Spires]] + tech_1_2*TblTech[[#This Row],[1-2]] + tech_3_4*TblTech[[#This Row],[3-4]]</f>
        <v>0</v>
      </c>
      <c r="AL127" s="156">
        <f ca="1">race_ore_bonus + IF(TblMagic[[#This Row],[Active Miner''s Sight]]&gt;0,miners_sight_bonus,IF(TblMagic[[#This Row],[Active Mining Strength]]&gt;0,mining_strength_bonus)) +  tech_1_6*TblTech[[#This Row],[1-6]]</f>
        <v>0</v>
      </c>
      <c r="AM127" s="156">
        <f>race_gem_bonus+ tech_3_2*TblTech[[#This Row],[3-2]] + tech_4_3*TblTech[[#This Row],[4-3]] + tech_6_2*TblTech[[#This Row],[6-2]]</f>
        <v>0</v>
      </c>
      <c r="AN127" s="142"/>
      <c r="AO127" s="94">
        <f ca="1">TblProd[[#This Row],[Food]]*food_decay * (1 + tech_2_1*TblTech[[#This Row],[2-1]] + tech_2_8*TblTech[[#This Row],[2-8]] + IF(AND(TblMagic[[#This Row],[Active DnD]]&lt;12,TblMagic[[#This Row],[Active DnD]]&gt;5),1,0))</f>
        <v>1737.72</v>
      </c>
      <c r="AP127" s="94">
        <f ca="1">(1+race_food_consumption)*TblPop[[#This Row],[Total]]*food_per_person*(1+tech_1_10*TblTech[[#This Row],[1-10]]+tech_7_5*TblTech[[#This Row],[7-5]] + IF(TblMagic[[#This Row],[Active Infernal Command]]&gt;0,demonic_pact_food_cons,0))</f>
        <v>192.25</v>
      </c>
      <c r="AQ127" s="94">
        <f ca="1">TblProd[[#This Row],[Lumber]]*lumber_rot * (1 + tech_2_1*TblTech[[#This Row],[2-1]] + tech_2_8*TblTech[[#This Row],[2-8]] + tech_5_2*TblTech[[#This Row],[5-2]] + IF(AND(TblMagic[[#This Row],[Active DnD]]&lt;12,TblMagic[[#This Row],[Active DnD]]&gt;5),1,0))</f>
        <v>753.06000000000006</v>
      </c>
      <c r="AR127" s="94">
        <f ca="1">TblProd[[#This Row],[Mana]]*mana_drain * (1 + tech_2_1*TblTech[[#This Row],[2-1]] + tech_2_8*TblTech[[#This Row],[2-8]])</f>
        <v>0</v>
      </c>
      <c r="AS127" s="154"/>
      <c r="AT127" s="94">
        <f ca="1">TblExplore[[#This Row],[Platinum (2)]]+TblConstr[[#This Row],[Total Plat Cost]]+TblMili[[#This Row],[Plat Cost]]+TblRezone[[#This Row],[Platinum cost]]+TblImps[[#This Row],[P1]]-TblProd[[#This Row],[Bank Plat]]</f>
        <v>0</v>
      </c>
      <c r="AU127" s="94">
        <f ca="1">TblConstr[[#This Row],[Total Lum Cost]]+TblImps[[#This Row],[L1]]-TblProd[[#This Row],[Bank Lumber]] + Military!$CO$25*TblMili[[#This Row],[Sec. rec. Cost]]</f>
        <v>0</v>
      </c>
      <c r="AV127" s="94">
        <f ca="1">TblMagic[[#This Row],[Mana cost]] + Military!$CO$26*TblMili[[#This Row],[Sec. rec. Cost]]</f>
        <v>0</v>
      </c>
      <c r="AW127" s="94">
        <f ca="1">Military!$CO$24*TblMili[[#This Row],[Sec. rec. Cost]]+TblImps[[#This Row],[O1]]-TblProd[[#This Row],[Bank Ore]]</f>
        <v>0</v>
      </c>
      <c r="AX127" s="94">
        <f>TblImps[[#This Row],[G1]]-TblProd[[#This Row],[Bank Gems]]</f>
        <v>0</v>
      </c>
      <c r="AY127" s="142"/>
      <c r="AZ127" s="61" t="b">
        <f ca="1">IF(TblProd[[#This Row],[Set Guard]]&lt;&gt;"",TblProd[[#This Row],[Set Guard]],OFFSET(TblProd[[#This Row],[Guard]],-1,0))</f>
        <v>0</v>
      </c>
      <c r="BA127" s="153"/>
      <c r="BB127" s="45">
        <f>TblProd[[#This Row],[Hour]]</f>
        <v>76</v>
      </c>
      <c r="BC127" s="158">
        <f>-TblProd[[#This Row],[Bank Lumber]] / 2 + -TblProd[[#This Row],[Bank Gems]] * 2 + -TblProd[[#This Row],[Bank Ore]] / 2</f>
        <v>0</v>
      </c>
      <c r="BD127" s="158"/>
      <c r="BE127" s="158"/>
      <c r="BF127" s="158"/>
      <c r="BG127" s="159">
        <f ca="1">TblProd[[#This Row],[Time]]</f>
        <v>46325.124999999702</v>
      </c>
      <c r="BH127" s="45"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94">
        <f ca="1">TblProd[[#This Row],[Platinum]]</f>
        <v>210092</v>
      </c>
      <c r="BJ127" s="94">
        <f ca="1">TblProd[[#This Row],[Food]]</f>
        <v>173772</v>
      </c>
      <c r="BK127" s="94">
        <f ca="1">TblProd[[#This Row],[Lumber]]</f>
        <v>75306</v>
      </c>
      <c r="BL127" s="94">
        <f ca="1">TblProd[[#This Row],[Mana]]</f>
        <v>0</v>
      </c>
      <c r="BM127" s="94">
        <f ca="1">TblProd[[#This Row],[Ore]]</f>
        <v>0</v>
      </c>
    </row>
    <row r="128" spans="1:65" x14ac:dyDescent="0.2">
      <c r="A128" s="137">
        <f t="shared" si="1"/>
        <v>77</v>
      </c>
      <c r="B128" s="152">
        <f ca="1">TblImps[[#This Row],[Time]]</f>
        <v>46325.166666666366</v>
      </c>
      <c r="C128" s="153"/>
      <c r="D128" s="154"/>
      <c r="E128" s="94">
        <f ca="1">TblConstr[[#This Row],[Land]]</f>
        <v>50</v>
      </c>
      <c r="F128" s="94">
        <f ca="1">TblPop[[#This Row],[Peasants]]</f>
        <v>137</v>
      </c>
      <c r="G128" s="94">
        <f ca="1">TblMili[[#This Row],[Networth (2)]]</f>
        <v>1250</v>
      </c>
      <c r="H128" s="94">
        <f ca="1">OFFSET(TblProd[[#This Row],[Platinum]],-1,0)+OFFSET(TblProd[[#This Row],[Plat/hr]],-1,0) - TblProd[[#This Row],[Expenses Platinum]] + IF(TblProd[[#This Row],[Plat Bonus]],TblPop[[#This Row],[Peasants]]*4) + SUM(TblConstr[[#This Row],[Dest Hom]:[Dest Doc]])*TblConstr[[#This Row],[CPA Platinum -DB]]*tech_3_3_2*TblTech[[#This Row],[3-3]]</f>
        <v>210464</v>
      </c>
      <c r="I128" s="94">
        <f ca="1">OFFSET(TblProd[[#This Row],[Food]],-1,0)+OFFSET(TblProd[[#This Row],[Food/hr]],-1,0)+ROUNDUP((TblConstr[[#This Row],[Farms]]*80+TblConstr[[#This Row],[Docks]]*35)*(1+OFFSET(TblProd[[#This Row],[Bonus Food/hr]],-1,0)),0)</f>
        <v>174422</v>
      </c>
      <c r="J128" s="94">
        <f ca="1">OFFSET(TblProd[[#This Row],[Lumber]],-1,0)+OFFSET(TblProd[[#This Row],[Lumber/hr]],-1,0) - TblProd[[#This Row],[Expenses Lumber]] + SUM(TblConstr[[#This Row],[Dest Hom]:[Dest Doc]])*TblConstr[[#This Row],[CPA Lumber -DB]]*tech_3_3_2*TblTech[[#This Row],[3-3]]</f>
        <v>75553</v>
      </c>
      <c r="K128" s="94">
        <f ca="1">OFFSET(TblProd[[#This Row],[Mana]],-1,0)+OFFSET(TblProd[[#This Row],[Mana/hr]],-1,0)- TblProd[[#This Row],[Expenses Mana]]</f>
        <v>0</v>
      </c>
      <c r="L128" s="94">
        <f ca="1">OFFSET(TblProd[[#This Row],[Ore]],-1,0)+OFFSET(TblProd[[#This Row],[Ore/hr]],-1,0) -TblProd[[#This Row],[Expenses Ore]]</f>
        <v>0</v>
      </c>
      <c r="M128" s="94">
        <f ca="1">OFFSET(TblProd[[#This Row],[Gems]],-1,0)+OFFSET(TblProd[[#This Row],[Gems/hr]],-1,0) - TblProd[[#This Row],[Expenses Gems]]</f>
        <v>0</v>
      </c>
      <c r="N128" s="94">
        <f ca="1">OFFSET(TblProd[[#This Row],[Boats]],-1,0)+OFFSET(TblProd[[#This Row],[Boats/hr]],-1,0)</f>
        <v>0</v>
      </c>
      <c r="O128" s="94">
        <f ca="1">OFFSET(TblProd[[#This Row],[Prestige]],-1,0)</f>
        <v>250</v>
      </c>
      <c r="P12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8" s="94">
        <f ca="1">MAX(_xlfn.CEILING.MATH(TblProd[[#This Row],[Land]]*2.5+IFERROR(OFFSET(TblTech[[#This Row],[Sum of tech]],-1,0)*50,0)),3750)</f>
        <v>3750</v>
      </c>
      <c r="R128" s="142"/>
      <c r="S128" s="94">
        <f ca="1">ROUNDDOWN(TblProd[[#This Row],[Raw Plat/hr]]*(1+TblProd[[#This Row],[Bonus Plat/hr]]),0)</f>
        <v>369</v>
      </c>
      <c r="T128" s="94">
        <f ca="1">ROUND(TblProd[[#This Row],[Raw Food/hr]]*(1+TblProd[[#This Row],[Bonus Food/hr]])-TblProd[[#This Row],[Food decay]]-TblProd[[#This Row],[Food eaten]],0)</f>
        <v>644</v>
      </c>
      <c r="U128" s="94">
        <f ca="1">ROUND(TblProd[[#This Row],[Raw Lumber/hr]]*(1+TblProd[[#This Row],[Bonus Lumber/hr]])-TblProd[[#This Row],[Lumber rot]],0)</f>
        <v>244</v>
      </c>
      <c r="V128" s="94">
        <f ca="1">ROUND(TblProd[[#This Row],[Raw Mana/hr]]*(1+TblProd[[#This Row],[Bonus Mana/hr]])-TblProd[[#This Row],[Mana drain]],0)</f>
        <v>0</v>
      </c>
      <c r="W128" s="94">
        <f ca="1">ROUNDDOWN(TblProd[[#This Row],[Raw Ore/hr]]*(1+TblProd[[#This Row],[Bonux Ore/hr]]),0)</f>
        <v>0</v>
      </c>
      <c r="X128" s="94">
        <f ca="1">ROUNDDOWN(TblProd[[#This Row],[Raw Gems/hr]]*(1+TblProd[[#This Row],[Bonus Gems/hr]]),0)</f>
        <v>0</v>
      </c>
      <c r="Y128" s="155">
        <f ca="1">OFFSET(TblConstr[[#This Row],[Tot Doc]],1,0)*dock_boats_hr * (1 + tech_4_1*TblTech[[#This Row],[4-1]])</f>
        <v>0</v>
      </c>
      <c r="Z128" s="154"/>
      <c r="AA128" s="94">
        <f ca="1">TblPop[[#This Row],[Peasants]]*tax*TblPop[[#This Row],[Employment]] + (Construction!AZ129+Construction!BX129)*(alch_plat+(Magic!AN128&gt;0)*alchemist_flame_bonus)</f>
        <v>369.90000000000003</v>
      </c>
      <c r="AB128" s="94">
        <f ca="1">TblConstr[[#This Row],[Tot Farm]]*farm_food + TblConstr[[#This Row],[Tot Doc]]*dock_food</f>
        <v>2400</v>
      </c>
      <c r="AC128" s="94">
        <f ca="1">TblConstr[[#This Row],[Tot Ly]]*ly_lumber + TblConstr[[#This Row],[Tot Hav]]*fh_lumber + IF(race="Wood Elf",TblMili[[#This Row],[Unit 2]]*MIN(TblMili[[#This Row],[Homeland%]]/wisp_bonus,wisp_cap),0)</f>
        <v>1000</v>
      </c>
      <c r="AD128" s="94">
        <f ca="1">OFFSET(TblConstr[[#This Row],[Tot Tow]],1,0)*(tower_mana + tech_4_5*TblTech[[#This Row],[4-5]]) + OFFSET(TblConstr[[#This Row],[Tot WG]],1,0)*wg_mana_prod</f>
        <v>0</v>
      </c>
      <c r="AE128" s="94">
        <f ca="1">OFFSET(TblConstr[[#This Row],[Tot OM]],1,0)*om_ore+IF(race="Dwarf",TblMili[[#This Row],[Unit 2]]*0.5,0)</f>
        <v>0</v>
      </c>
      <c r="AF128" s="94">
        <f ca="1">OFFSET(TblConstr[[#This Row],[Tot DM]],1,0)*dm_gems</f>
        <v>0</v>
      </c>
      <c r="AG128" s="142"/>
      <c r="AH128" s="156">
        <f ca="1">MIN(race_platinum_bonus + IF(TblMagic[[#This Row],[Active Arc Infusion]]&gt;0,alch_frost_bonus,IF(Magic!AE128&gt;0,midas_bonus)) + TblImps[[#This Row],[Science]] - TblProd[[#This Row],[Guard]]*(0.02 + tech_5_7*TblTech[[#This Row],[5-7]]) + tech_1_5*TblTech[[#This Row],[1-5]] + tech_4_4*TblTech[[#This Row],[4-4]] + IF(TblMagic[[#This Row],[Active Infernal Command]]&gt;0,demonic_pact_plat,0), 0.5)</f>
        <v>0</v>
      </c>
      <c r="AI12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8" s="156">
        <f ca="1">race_lumber_bonus+ IF(TblMagic[[#This Row],[Active Gaia''s Blessing]]&gt;0,gaias_blessing_lumber)+ tech_1_3*TblTech[[#This Row],[1-3]] + tech_1_6*TblTech[[#This Row],[1-6]] + tech_3_3*TblTech[[#This Row],[3-3]]</f>
        <v>0</v>
      </c>
      <c r="AK128" s="156">
        <f ca="1">race_mana_bonus+ 0 + TblImps[[#This Row],[Spires]] + tech_1_2*TblTech[[#This Row],[1-2]] + tech_3_4*TblTech[[#This Row],[3-4]]</f>
        <v>0</v>
      </c>
      <c r="AL128" s="156">
        <f ca="1">race_ore_bonus + IF(TblMagic[[#This Row],[Active Miner''s Sight]]&gt;0,miners_sight_bonus,IF(TblMagic[[#This Row],[Active Mining Strength]]&gt;0,mining_strength_bonus)) +  tech_1_6*TblTech[[#This Row],[1-6]]</f>
        <v>0</v>
      </c>
      <c r="AM128" s="156">
        <f>race_gem_bonus+ tech_3_2*TblTech[[#This Row],[3-2]] + tech_4_3*TblTech[[#This Row],[4-3]] + tech_6_2*TblTech[[#This Row],[6-2]]</f>
        <v>0</v>
      </c>
      <c r="AN128" s="142"/>
      <c r="AO128" s="94">
        <f ca="1">TblProd[[#This Row],[Food]]*food_decay * (1 + tech_2_1*TblTech[[#This Row],[2-1]] + tech_2_8*TblTech[[#This Row],[2-8]] + IF(AND(TblMagic[[#This Row],[Active DnD]]&lt;12,TblMagic[[#This Row],[Active DnD]]&gt;5),1,0))</f>
        <v>1744.22</v>
      </c>
      <c r="AP128" s="94">
        <f ca="1">(1+race_food_consumption)*TblPop[[#This Row],[Total]]*food_per_person*(1+tech_1_10*TblTech[[#This Row],[1-10]]+tech_7_5*TblTech[[#This Row],[7-5]] + IF(TblMagic[[#This Row],[Active Infernal Command]]&gt;0,demonic_pact_food_cons,0))</f>
        <v>192.25</v>
      </c>
      <c r="AQ128" s="94">
        <f ca="1">TblProd[[#This Row],[Lumber]]*lumber_rot * (1 + tech_2_1*TblTech[[#This Row],[2-1]] + tech_2_8*TblTech[[#This Row],[2-8]] + tech_5_2*TblTech[[#This Row],[5-2]] + IF(AND(TblMagic[[#This Row],[Active DnD]]&lt;12,TblMagic[[#This Row],[Active DnD]]&gt;5),1,0))</f>
        <v>755.53</v>
      </c>
      <c r="AR128" s="94">
        <f ca="1">TblProd[[#This Row],[Mana]]*mana_drain * (1 + tech_2_1*TblTech[[#This Row],[2-1]] + tech_2_8*TblTech[[#This Row],[2-8]])</f>
        <v>0</v>
      </c>
      <c r="AS128" s="154"/>
      <c r="AT128" s="94">
        <f ca="1">TblExplore[[#This Row],[Platinum (2)]]+TblConstr[[#This Row],[Total Plat Cost]]+TblMili[[#This Row],[Plat Cost]]+TblRezone[[#This Row],[Platinum cost]]+TblImps[[#This Row],[P1]]-TblProd[[#This Row],[Bank Plat]]</f>
        <v>0</v>
      </c>
      <c r="AU128" s="94">
        <f ca="1">TblConstr[[#This Row],[Total Lum Cost]]+TblImps[[#This Row],[L1]]-TblProd[[#This Row],[Bank Lumber]] + Military!$CO$25*TblMili[[#This Row],[Sec. rec. Cost]]</f>
        <v>0</v>
      </c>
      <c r="AV128" s="94">
        <f ca="1">TblMagic[[#This Row],[Mana cost]] + Military!$CO$26*TblMili[[#This Row],[Sec. rec. Cost]]</f>
        <v>0</v>
      </c>
      <c r="AW128" s="94">
        <f ca="1">Military!$CO$24*TblMili[[#This Row],[Sec. rec. Cost]]+TblImps[[#This Row],[O1]]-TblProd[[#This Row],[Bank Ore]]</f>
        <v>0</v>
      </c>
      <c r="AX128" s="94">
        <f>TblImps[[#This Row],[G1]]-TblProd[[#This Row],[Bank Gems]]</f>
        <v>0</v>
      </c>
      <c r="AY128" s="142"/>
      <c r="AZ128" s="61" t="b">
        <f ca="1">IF(TblProd[[#This Row],[Set Guard]]&lt;&gt;"",TblProd[[#This Row],[Set Guard]],OFFSET(TblProd[[#This Row],[Guard]],-1,0))</f>
        <v>0</v>
      </c>
      <c r="BA128" s="153"/>
      <c r="BB128" s="45">
        <f>TblProd[[#This Row],[Hour]]</f>
        <v>77</v>
      </c>
      <c r="BC128" s="158">
        <f>-TblProd[[#This Row],[Bank Lumber]] / 2 + -TblProd[[#This Row],[Bank Gems]] * 2 + -TblProd[[#This Row],[Bank Ore]] / 2</f>
        <v>0</v>
      </c>
      <c r="BD128" s="158"/>
      <c r="BE128" s="158"/>
      <c r="BF128" s="158"/>
      <c r="BG128" s="159">
        <f ca="1">TblProd[[#This Row],[Time]]</f>
        <v>46325.166666666366</v>
      </c>
      <c r="BH128" s="45"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94">
        <f ca="1">TblProd[[#This Row],[Platinum]]</f>
        <v>210464</v>
      </c>
      <c r="BJ128" s="94">
        <f ca="1">TblProd[[#This Row],[Food]]</f>
        <v>174422</v>
      </c>
      <c r="BK128" s="94">
        <f ca="1">TblProd[[#This Row],[Lumber]]</f>
        <v>75553</v>
      </c>
      <c r="BL128" s="94">
        <f ca="1">TblProd[[#This Row],[Mana]]</f>
        <v>0</v>
      </c>
      <c r="BM128" s="94">
        <f ca="1">TblProd[[#This Row],[Ore]]</f>
        <v>0</v>
      </c>
    </row>
    <row r="129" spans="1:65" x14ac:dyDescent="0.2">
      <c r="A129" s="137">
        <f t="shared" si="1"/>
        <v>78</v>
      </c>
      <c r="B129" s="152">
        <f ca="1">TblImps[[#This Row],[Time]]</f>
        <v>46325.20833333303</v>
      </c>
      <c r="C129" s="153"/>
      <c r="D129" s="154"/>
      <c r="E129" s="94">
        <f ca="1">TblConstr[[#This Row],[Land]]</f>
        <v>50</v>
      </c>
      <c r="F129" s="94">
        <f ca="1">TblPop[[#This Row],[Peasants]]</f>
        <v>136</v>
      </c>
      <c r="G129" s="94">
        <f ca="1">TblMili[[#This Row],[Networth (2)]]</f>
        <v>1250</v>
      </c>
      <c r="H129" s="94">
        <f ca="1">OFFSET(TblProd[[#This Row],[Platinum]],-1,0)+OFFSET(TblProd[[#This Row],[Plat/hr]],-1,0) - TblProd[[#This Row],[Expenses Platinum]] + IF(TblProd[[#This Row],[Plat Bonus]],TblPop[[#This Row],[Peasants]]*4) + SUM(TblConstr[[#This Row],[Dest Hom]:[Dest Doc]])*TblConstr[[#This Row],[CPA Platinum -DB]]*tech_3_3_2*TblTech[[#This Row],[3-3]]</f>
        <v>210833</v>
      </c>
      <c r="I129" s="94">
        <f ca="1">OFFSET(TblProd[[#This Row],[Food]],-1,0)+OFFSET(TblProd[[#This Row],[Food/hr]],-1,0)+ROUNDUP((TblConstr[[#This Row],[Farms]]*80+TblConstr[[#This Row],[Docks]]*35)*(1+OFFSET(TblProd[[#This Row],[Bonus Food/hr]],-1,0)),0)</f>
        <v>175066</v>
      </c>
      <c r="J129" s="94">
        <f ca="1">OFFSET(TblProd[[#This Row],[Lumber]],-1,0)+OFFSET(TblProd[[#This Row],[Lumber/hr]],-1,0) - TblProd[[#This Row],[Expenses Lumber]] + SUM(TblConstr[[#This Row],[Dest Hom]:[Dest Doc]])*TblConstr[[#This Row],[CPA Lumber -DB]]*tech_3_3_2*TblTech[[#This Row],[3-3]]</f>
        <v>75797</v>
      </c>
      <c r="K129" s="94">
        <f ca="1">OFFSET(TblProd[[#This Row],[Mana]],-1,0)+OFFSET(TblProd[[#This Row],[Mana/hr]],-1,0)- TblProd[[#This Row],[Expenses Mana]]</f>
        <v>0</v>
      </c>
      <c r="L129" s="94">
        <f ca="1">OFFSET(TblProd[[#This Row],[Ore]],-1,0)+OFFSET(TblProd[[#This Row],[Ore/hr]],-1,0) -TblProd[[#This Row],[Expenses Ore]]</f>
        <v>0</v>
      </c>
      <c r="M129" s="94">
        <f ca="1">OFFSET(TblProd[[#This Row],[Gems]],-1,0)+OFFSET(TblProd[[#This Row],[Gems/hr]],-1,0) - TblProd[[#This Row],[Expenses Gems]]</f>
        <v>0</v>
      </c>
      <c r="N129" s="94">
        <f ca="1">OFFSET(TblProd[[#This Row],[Boats]],-1,0)+OFFSET(TblProd[[#This Row],[Boats/hr]],-1,0)</f>
        <v>0</v>
      </c>
      <c r="O129" s="94">
        <f ca="1">OFFSET(TblProd[[#This Row],[Prestige]],-1,0)</f>
        <v>250</v>
      </c>
      <c r="P12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9" s="94">
        <f ca="1">MAX(_xlfn.CEILING.MATH(TblProd[[#This Row],[Land]]*2.5+IFERROR(OFFSET(TblTech[[#This Row],[Sum of tech]],-1,0)*50,0)),3750)</f>
        <v>3750</v>
      </c>
      <c r="R129" s="142"/>
      <c r="S129" s="94">
        <f ca="1">ROUNDDOWN(TblProd[[#This Row],[Raw Plat/hr]]*(1+TblProd[[#This Row],[Bonus Plat/hr]]),0)</f>
        <v>367</v>
      </c>
      <c r="T129" s="94">
        <f ca="1">ROUND(TblProd[[#This Row],[Raw Food/hr]]*(1+TblProd[[#This Row],[Bonus Food/hr]])-TblProd[[#This Row],[Food decay]]-TblProd[[#This Row],[Food eaten]],0)</f>
        <v>637</v>
      </c>
      <c r="U129" s="94">
        <f ca="1">ROUND(TblProd[[#This Row],[Raw Lumber/hr]]*(1+TblProd[[#This Row],[Bonus Lumber/hr]])-TblProd[[#This Row],[Lumber rot]],0)</f>
        <v>242</v>
      </c>
      <c r="V129" s="94">
        <f ca="1">ROUND(TblProd[[#This Row],[Raw Mana/hr]]*(1+TblProd[[#This Row],[Bonus Mana/hr]])-TblProd[[#This Row],[Mana drain]],0)</f>
        <v>0</v>
      </c>
      <c r="W129" s="94">
        <f ca="1">ROUNDDOWN(TblProd[[#This Row],[Raw Ore/hr]]*(1+TblProd[[#This Row],[Bonux Ore/hr]]),0)</f>
        <v>0</v>
      </c>
      <c r="X129" s="94">
        <f ca="1">ROUNDDOWN(TblProd[[#This Row],[Raw Gems/hr]]*(1+TblProd[[#This Row],[Bonus Gems/hr]]),0)</f>
        <v>0</v>
      </c>
      <c r="Y129" s="155">
        <f ca="1">OFFSET(TblConstr[[#This Row],[Tot Doc]],1,0)*dock_boats_hr * (1 + tech_4_1*TblTech[[#This Row],[4-1]])</f>
        <v>0</v>
      </c>
      <c r="Z129" s="154"/>
      <c r="AA129" s="94">
        <f ca="1">TblPop[[#This Row],[Peasants]]*tax*TblPop[[#This Row],[Employment]] + (Construction!AZ130+Construction!BX130)*(alch_plat+(Magic!AN129&gt;0)*alchemist_flame_bonus)</f>
        <v>367.20000000000005</v>
      </c>
      <c r="AB129" s="94">
        <f ca="1">TblConstr[[#This Row],[Tot Farm]]*farm_food + TblConstr[[#This Row],[Tot Doc]]*dock_food</f>
        <v>2400</v>
      </c>
      <c r="AC129" s="94">
        <f ca="1">TblConstr[[#This Row],[Tot Ly]]*ly_lumber + TblConstr[[#This Row],[Tot Hav]]*fh_lumber + IF(race="Wood Elf",TblMili[[#This Row],[Unit 2]]*MIN(TblMili[[#This Row],[Homeland%]]/wisp_bonus,wisp_cap),0)</f>
        <v>1000</v>
      </c>
      <c r="AD129" s="94">
        <f ca="1">OFFSET(TblConstr[[#This Row],[Tot Tow]],1,0)*(tower_mana + tech_4_5*TblTech[[#This Row],[4-5]]) + OFFSET(TblConstr[[#This Row],[Tot WG]],1,0)*wg_mana_prod</f>
        <v>0</v>
      </c>
      <c r="AE129" s="94">
        <f ca="1">OFFSET(TblConstr[[#This Row],[Tot OM]],1,0)*om_ore+IF(race="Dwarf",TblMili[[#This Row],[Unit 2]]*0.5,0)</f>
        <v>0</v>
      </c>
      <c r="AF129" s="94">
        <f ca="1">OFFSET(TblConstr[[#This Row],[Tot DM]],1,0)*dm_gems</f>
        <v>0</v>
      </c>
      <c r="AG129" s="142"/>
      <c r="AH129" s="156">
        <f ca="1">MIN(race_platinum_bonus + IF(TblMagic[[#This Row],[Active Arc Infusion]]&gt;0,alch_frost_bonus,IF(Magic!AE129&gt;0,midas_bonus)) + TblImps[[#This Row],[Science]] - TblProd[[#This Row],[Guard]]*(0.02 + tech_5_7*TblTech[[#This Row],[5-7]]) + tech_1_5*TblTech[[#This Row],[1-5]] + tech_4_4*TblTech[[#This Row],[4-4]] + IF(TblMagic[[#This Row],[Active Infernal Command]]&gt;0,demonic_pact_plat,0), 0.5)</f>
        <v>0</v>
      </c>
      <c r="AI12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9" s="156">
        <f ca="1">race_lumber_bonus+ IF(TblMagic[[#This Row],[Active Gaia''s Blessing]]&gt;0,gaias_blessing_lumber)+ tech_1_3*TblTech[[#This Row],[1-3]] + tech_1_6*TblTech[[#This Row],[1-6]] + tech_3_3*TblTech[[#This Row],[3-3]]</f>
        <v>0</v>
      </c>
      <c r="AK129" s="156">
        <f ca="1">race_mana_bonus+ 0 + TblImps[[#This Row],[Spires]] + tech_1_2*TblTech[[#This Row],[1-2]] + tech_3_4*TblTech[[#This Row],[3-4]]</f>
        <v>0</v>
      </c>
      <c r="AL129" s="156">
        <f ca="1">race_ore_bonus + IF(TblMagic[[#This Row],[Active Miner''s Sight]]&gt;0,miners_sight_bonus,IF(TblMagic[[#This Row],[Active Mining Strength]]&gt;0,mining_strength_bonus)) +  tech_1_6*TblTech[[#This Row],[1-6]]</f>
        <v>0</v>
      </c>
      <c r="AM129" s="156">
        <f>race_gem_bonus+ tech_3_2*TblTech[[#This Row],[3-2]] + tech_4_3*TblTech[[#This Row],[4-3]] + tech_6_2*TblTech[[#This Row],[6-2]]</f>
        <v>0</v>
      </c>
      <c r="AN129" s="142"/>
      <c r="AO129" s="94">
        <f ca="1">TblProd[[#This Row],[Food]]*food_decay * (1 + tech_2_1*TblTech[[#This Row],[2-1]] + tech_2_8*TblTech[[#This Row],[2-8]] + IF(AND(TblMagic[[#This Row],[Active DnD]]&lt;12,TblMagic[[#This Row],[Active DnD]]&gt;5),1,0))</f>
        <v>1750.66</v>
      </c>
      <c r="AP129" s="94">
        <f ca="1">(1+race_food_consumption)*TblPop[[#This Row],[Total]]*food_per_person*(1+tech_1_10*TblTech[[#This Row],[1-10]]+tech_7_5*TblTech[[#This Row],[7-5]] + IF(TblMagic[[#This Row],[Active Infernal Command]]&gt;0,demonic_pact_food_cons,0))</f>
        <v>192.25</v>
      </c>
      <c r="AQ129" s="94">
        <f ca="1">TblProd[[#This Row],[Lumber]]*lumber_rot * (1 + tech_2_1*TblTech[[#This Row],[2-1]] + tech_2_8*TblTech[[#This Row],[2-8]] + tech_5_2*TblTech[[#This Row],[5-2]] + IF(AND(TblMagic[[#This Row],[Active DnD]]&lt;12,TblMagic[[#This Row],[Active DnD]]&gt;5),1,0))</f>
        <v>757.97</v>
      </c>
      <c r="AR129" s="94">
        <f ca="1">TblProd[[#This Row],[Mana]]*mana_drain * (1 + tech_2_1*TblTech[[#This Row],[2-1]] + tech_2_8*TblTech[[#This Row],[2-8]])</f>
        <v>0</v>
      </c>
      <c r="AS129" s="154"/>
      <c r="AT129" s="94">
        <f ca="1">TblExplore[[#This Row],[Platinum (2)]]+TblConstr[[#This Row],[Total Plat Cost]]+TblMili[[#This Row],[Plat Cost]]+TblRezone[[#This Row],[Platinum cost]]+TblImps[[#This Row],[P1]]-TblProd[[#This Row],[Bank Plat]]</f>
        <v>0</v>
      </c>
      <c r="AU129" s="94">
        <f ca="1">TblConstr[[#This Row],[Total Lum Cost]]+TblImps[[#This Row],[L1]]-TblProd[[#This Row],[Bank Lumber]] + Military!$CO$25*TblMili[[#This Row],[Sec. rec. Cost]]</f>
        <v>0</v>
      </c>
      <c r="AV129" s="94">
        <f ca="1">TblMagic[[#This Row],[Mana cost]] + Military!$CO$26*TblMili[[#This Row],[Sec. rec. Cost]]</f>
        <v>0</v>
      </c>
      <c r="AW129" s="94">
        <f ca="1">Military!$CO$24*TblMili[[#This Row],[Sec. rec. Cost]]+TblImps[[#This Row],[O1]]-TblProd[[#This Row],[Bank Ore]]</f>
        <v>0</v>
      </c>
      <c r="AX129" s="94">
        <f>TblImps[[#This Row],[G1]]-TblProd[[#This Row],[Bank Gems]]</f>
        <v>0</v>
      </c>
      <c r="AY129" s="142"/>
      <c r="AZ129" s="61" t="b">
        <f ca="1">IF(TblProd[[#This Row],[Set Guard]]&lt;&gt;"",TblProd[[#This Row],[Set Guard]],OFFSET(TblProd[[#This Row],[Guard]],-1,0))</f>
        <v>0</v>
      </c>
      <c r="BA129" s="153"/>
      <c r="BB129" s="45">
        <f>TblProd[[#This Row],[Hour]]</f>
        <v>78</v>
      </c>
      <c r="BC129" s="158">
        <f>-TblProd[[#This Row],[Bank Lumber]] / 2 + -TblProd[[#This Row],[Bank Gems]] * 2 + -TblProd[[#This Row],[Bank Ore]] / 2</f>
        <v>0</v>
      </c>
      <c r="BD129" s="158"/>
      <c r="BE129" s="158"/>
      <c r="BF129" s="158"/>
      <c r="BG129" s="159">
        <f ca="1">TblProd[[#This Row],[Time]]</f>
        <v>46325.20833333303</v>
      </c>
      <c r="BH129" s="45"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94">
        <f ca="1">TblProd[[#This Row],[Platinum]]</f>
        <v>210833</v>
      </c>
      <c r="BJ129" s="94">
        <f ca="1">TblProd[[#This Row],[Food]]</f>
        <v>175066</v>
      </c>
      <c r="BK129" s="94">
        <f ca="1">TblProd[[#This Row],[Lumber]]</f>
        <v>75797</v>
      </c>
      <c r="BL129" s="94">
        <f ca="1">TblProd[[#This Row],[Mana]]</f>
        <v>0</v>
      </c>
      <c r="BM129" s="94">
        <f ca="1">TblProd[[#This Row],[Ore]]</f>
        <v>0</v>
      </c>
    </row>
    <row r="130" spans="1:65" x14ac:dyDescent="0.2">
      <c r="A130" s="137">
        <f t="shared" si="1"/>
        <v>79</v>
      </c>
      <c r="B130" s="152">
        <f ca="1">TblImps[[#This Row],[Time]]</f>
        <v>46325.249999999694</v>
      </c>
      <c r="C130" s="153"/>
      <c r="D130" s="154"/>
      <c r="E130" s="94">
        <f ca="1">TblConstr[[#This Row],[Land]]</f>
        <v>50</v>
      </c>
      <c r="F130" s="94">
        <f ca="1">TblPop[[#This Row],[Peasants]]</f>
        <v>135</v>
      </c>
      <c r="G130" s="94">
        <f ca="1">TblMili[[#This Row],[Networth (2)]]</f>
        <v>1250</v>
      </c>
      <c r="H130" s="94">
        <f ca="1">OFFSET(TblProd[[#This Row],[Platinum]],-1,0)+OFFSET(TblProd[[#This Row],[Plat/hr]],-1,0) - TblProd[[#This Row],[Expenses Platinum]] + IF(TblProd[[#This Row],[Plat Bonus]],TblPop[[#This Row],[Peasants]]*4) + SUM(TblConstr[[#This Row],[Dest Hom]:[Dest Doc]])*TblConstr[[#This Row],[CPA Platinum -DB]]*tech_3_3_2*TblTech[[#This Row],[3-3]]</f>
        <v>211200</v>
      </c>
      <c r="I130" s="94">
        <f ca="1">OFFSET(TblProd[[#This Row],[Food]],-1,0)+OFFSET(TblProd[[#This Row],[Food/hr]],-1,0)+ROUNDUP((TblConstr[[#This Row],[Farms]]*80+TblConstr[[#This Row],[Docks]]*35)*(1+OFFSET(TblProd[[#This Row],[Bonus Food/hr]],-1,0)),0)</f>
        <v>175703</v>
      </c>
      <c r="J130" s="94">
        <f ca="1">OFFSET(TblProd[[#This Row],[Lumber]],-1,0)+OFFSET(TblProd[[#This Row],[Lumber/hr]],-1,0) - TblProd[[#This Row],[Expenses Lumber]] + SUM(TblConstr[[#This Row],[Dest Hom]:[Dest Doc]])*TblConstr[[#This Row],[CPA Lumber -DB]]*tech_3_3_2*TblTech[[#This Row],[3-3]]</f>
        <v>76039</v>
      </c>
      <c r="K130" s="94">
        <f ca="1">OFFSET(TblProd[[#This Row],[Mana]],-1,0)+OFFSET(TblProd[[#This Row],[Mana/hr]],-1,0)- TblProd[[#This Row],[Expenses Mana]]</f>
        <v>0</v>
      </c>
      <c r="L130" s="94">
        <f ca="1">OFFSET(TblProd[[#This Row],[Ore]],-1,0)+OFFSET(TblProd[[#This Row],[Ore/hr]],-1,0) -TblProd[[#This Row],[Expenses Ore]]</f>
        <v>0</v>
      </c>
      <c r="M130" s="94">
        <f ca="1">OFFSET(TblProd[[#This Row],[Gems]],-1,0)+OFFSET(TblProd[[#This Row],[Gems/hr]],-1,0) - TblProd[[#This Row],[Expenses Gems]]</f>
        <v>0</v>
      </c>
      <c r="N130" s="94">
        <f ca="1">OFFSET(TblProd[[#This Row],[Boats]],-1,0)+OFFSET(TblProd[[#This Row],[Boats/hr]],-1,0)</f>
        <v>0</v>
      </c>
      <c r="O130" s="94">
        <f ca="1">OFFSET(TblProd[[#This Row],[Prestige]],-1,0)</f>
        <v>250</v>
      </c>
      <c r="P13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0" s="94">
        <f ca="1">MAX(_xlfn.CEILING.MATH(TblProd[[#This Row],[Land]]*2.5+IFERROR(OFFSET(TblTech[[#This Row],[Sum of tech]],-1,0)*50,0)),3750)</f>
        <v>3750</v>
      </c>
      <c r="R130" s="142"/>
      <c r="S130" s="94">
        <f ca="1">ROUNDDOWN(TblProd[[#This Row],[Raw Plat/hr]]*(1+TblProd[[#This Row],[Bonus Plat/hr]]),0)</f>
        <v>364</v>
      </c>
      <c r="T130" s="94">
        <f ca="1">ROUND(TblProd[[#This Row],[Raw Food/hr]]*(1+TblProd[[#This Row],[Bonus Food/hr]])-TblProd[[#This Row],[Food decay]]-TblProd[[#This Row],[Food eaten]],0)</f>
        <v>631</v>
      </c>
      <c r="U130" s="94">
        <f ca="1">ROUND(TblProd[[#This Row],[Raw Lumber/hr]]*(1+TblProd[[#This Row],[Bonus Lumber/hr]])-TblProd[[#This Row],[Lumber rot]],0)</f>
        <v>240</v>
      </c>
      <c r="V130" s="94">
        <f ca="1">ROUND(TblProd[[#This Row],[Raw Mana/hr]]*(1+TblProd[[#This Row],[Bonus Mana/hr]])-TblProd[[#This Row],[Mana drain]],0)</f>
        <v>0</v>
      </c>
      <c r="W130" s="94">
        <f ca="1">ROUNDDOWN(TblProd[[#This Row],[Raw Ore/hr]]*(1+TblProd[[#This Row],[Bonux Ore/hr]]),0)</f>
        <v>0</v>
      </c>
      <c r="X130" s="94">
        <f ca="1">ROUNDDOWN(TblProd[[#This Row],[Raw Gems/hr]]*(1+TblProd[[#This Row],[Bonus Gems/hr]]),0)</f>
        <v>0</v>
      </c>
      <c r="Y130" s="155">
        <f ca="1">OFFSET(TblConstr[[#This Row],[Tot Doc]],1,0)*dock_boats_hr * (1 + tech_4_1*TblTech[[#This Row],[4-1]])</f>
        <v>0</v>
      </c>
      <c r="Z130" s="154"/>
      <c r="AA130" s="94">
        <f ca="1">TblPop[[#This Row],[Peasants]]*tax*TblPop[[#This Row],[Employment]] + (Construction!AZ131+Construction!BX131)*(alch_plat+(Magic!AN130&gt;0)*alchemist_flame_bonus)</f>
        <v>364.5</v>
      </c>
      <c r="AB130" s="94">
        <f ca="1">TblConstr[[#This Row],[Tot Farm]]*farm_food + TblConstr[[#This Row],[Tot Doc]]*dock_food</f>
        <v>2400</v>
      </c>
      <c r="AC130" s="94">
        <f ca="1">TblConstr[[#This Row],[Tot Ly]]*ly_lumber + TblConstr[[#This Row],[Tot Hav]]*fh_lumber + IF(race="Wood Elf",TblMili[[#This Row],[Unit 2]]*MIN(TblMili[[#This Row],[Homeland%]]/wisp_bonus,wisp_cap),0)</f>
        <v>1000</v>
      </c>
      <c r="AD130" s="94">
        <f ca="1">OFFSET(TblConstr[[#This Row],[Tot Tow]],1,0)*(tower_mana + tech_4_5*TblTech[[#This Row],[4-5]]) + OFFSET(TblConstr[[#This Row],[Tot WG]],1,0)*wg_mana_prod</f>
        <v>0</v>
      </c>
      <c r="AE130" s="94">
        <f ca="1">OFFSET(TblConstr[[#This Row],[Tot OM]],1,0)*om_ore+IF(race="Dwarf",TblMili[[#This Row],[Unit 2]]*0.5,0)</f>
        <v>0</v>
      </c>
      <c r="AF130" s="94">
        <f ca="1">OFFSET(TblConstr[[#This Row],[Tot DM]],1,0)*dm_gems</f>
        <v>0</v>
      </c>
      <c r="AG130" s="142"/>
      <c r="AH130" s="156">
        <f ca="1">MIN(race_platinum_bonus + IF(TblMagic[[#This Row],[Active Arc Infusion]]&gt;0,alch_frost_bonus,IF(Magic!AE130&gt;0,midas_bonus)) + TblImps[[#This Row],[Science]] - TblProd[[#This Row],[Guard]]*(0.02 + tech_5_7*TblTech[[#This Row],[5-7]]) + tech_1_5*TblTech[[#This Row],[1-5]] + tech_4_4*TblTech[[#This Row],[4-4]] + IF(TblMagic[[#This Row],[Active Infernal Command]]&gt;0,demonic_pact_plat,0), 0.5)</f>
        <v>0</v>
      </c>
      <c r="AI13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0" s="156">
        <f ca="1">race_lumber_bonus+ IF(TblMagic[[#This Row],[Active Gaia''s Blessing]]&gt;0,gaias_blessing_lumber)+ tech_1_3*TblTech[[#This Row],[1-3]] + tech_1_6*TblTech[[#This Row],[1-6]] + tech_3_3*TblTech[[#This Row],[3-3]]</f>
        <v>0</v>
      </c>
      <c r="AK130" s="156">
        <f ca="1">race_mana_bonus+ 0 + TblImps[[#This Row],[Spires]] + tech_1_2*TblTech[[#This Row],[1-2]] + tech_3_4*TblTech[[#This Row],[3-4]]</f>
        <v>0</v>
      </c>
      <c r="AL130" s="156">
        <f ca="1">race_ore_bonus + IF(TblMagic[[#This Row],[Active Miner''s Sight]]&gt;0,miners_sight_bonus,IF(TblMagic[[#This Row],[Active Mining Strength]]&gt;0,mining_strength_bonus)) +  tech_1_6*TblTech[[#This Row],[1-6]]</f>
        <v>0</v>
      </c>
      <c r="AM130" s="156">
        <f>race_gem_bonus+ tech_3_2*TblTech[[#This Row],[3-2]] + tech_4_3*TblTech[[#This Row],[4-3]] + tech_6_2*TblTech[[#This Row],[6-2]]</f>
        <v>0</v>
      </c>
      <c r="AN130" s="142"/>
      <c r="AO130" s="94">
        <f ca="1">TblProd[[#This Row],[Food]]*food_decay * (1 + tech_2_1*TblTech[[#This Row],[2-1]] + tech_2_8*TblTech[[#This Row],[2-8]] + IF(AND(TblMagic[[#This Row],[Active DnD]]&lt;12,TblMagic[[#This Row],[Active DnD]]&gt;5),1,0))</f>
        <v>1757.03</v>
      </c>
      <c r="AP130" s="94">
        <f ca="1">(1+race_food_consumption)*TblPop[[#This Row],[Total]]*food_per_person*(1+tech_1_10*TblTech[[#This Row],[1-10]]+tech_7_5*TblTech[[#This Row],[7-5]] + IF(TblMagic[[#This Row],[Active Infernal Command]]&gt;0,demonic_pact_food_cons,0))</f>
        <v>192.25</v>
      </c>
      <c r="AQ130" s="94">
        <f ca="1">TblProd[[#This Row],[Lumber]]*lumber_rot * (1 + tech_2_1*TblTech[[#This Row],[2-1]] + tech_2_8*TblTech[[#This Row],[2-8]] + tech_5_2*TblTech[[#This Row],[5-2]] + IF(AND(TblMagic[[#This Row],[Active DnD]]&lt;12,TblMagic[[#This Row],[Active DnD]]&gt;5),1,0))</f>
        <v>760.39</v>
      </c>
      <c r="AR130" s="94">
        <f ca="1">TblProd[[#This Row],[Mana]]*mana_drain * (1 + tech_2_1*TblTech[[#This Row],[2-1]] + tech_2_8*TblTech[[#This Row],[2-8]])</f>
        <v>0</v>
      </c>
      <c r="AS130" s="154"/>
      <c r="AT130" s="94">
        <f ca="1">TblExplore[[#This Row],[Platinum (2)]]+TblConstr[[#This Row],[Total Plat Cost]]+TblMili[[#This Row],[Plat Cost]]+TblRezone[[#This Row],[Platinum cost]]+TblImps[[#This Row],[P1]]-TblProd[[#This Row],[Bank Plat]]</f>
        <v>0</v>
      </c>
      <c r="AU130" s="94">
        <f ca="1">TblConstr[[#This Row],[Total Lum Cost]]+TblImps[[#This Row],[L1]]-TblProd[[#This Row],[Bank Lumber]] + Military!$CO$25*TblMili[[#This Row],[Sec. rec. Cost]]</f>
        <v>0</v>
      </c>
      <c r="AV130" s="94">
        <f ca="1">TblMagic[[#This Row],[Mana cost]] + Military!$CO$26*TblMili[[#This Row],[Sec. rec. Cost]]</f>
        <v>0</v>
      </c>
      <c r="AW130" s="94">
        <f ca="1">Military!$CO$24*TblMili[[#This Row],[Sec. rec. Cost]]+TblImps[[#This Row],[O1]]-TblProd[[#This Row],[Bank Ore]]</f>
        <v>0</v>
      </c>
      <c r="AX130" s="94">
        <f>TblImps[[#This Row],[G1]]-TblProd[[#This Row],[Bank Gems]]</f>
        <v>0</v>
      </c>
      <c r="AY130" s="142"/>
      <c r="AZ130" s="61" t="b">
        <f ca="1">IF(TblProd[[#This Row],[Set Guard]]&lt;&gt;"",TblProd[[#This Row],[Set Guard]],OFFSET(TblProd[[#This Row],[Guard]],-1,0))</f>
        <v>0</v>
      </c>
      <c r="BA130" s="153"/>
      <c r="BB130" s="45">
        <f>TblProd[[#This Row],[Hour]]</f>
        <v>79</v>
      </c>
      <c r="BC130" s="158">
        <f>-TblProd[[#This Row],[Bank Lumber]] / 2 + -TblProd[[#This Row],[Bank Gems]] * 2 + -TblProd[[#This Row],[Bank Ore]] / 2</f>
        <v>0</v>
      </c>
      <c r="BD130" s="158"/>
      <c r="BE130" s="158"/>
      <c r="BF130" s="158"/>
      <c r="BG130" s="159">
        <f ca="1">TblProd[[#This Row],[Time]]</f>
        <v>46325.249999999694</v>
      </c>
      <c r="BH130" s="45"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94">
        <f ca="1">TblProd[[#This Row],[Platinum]]</f>
        <v>211200</v>
      </c>
      <c r="BJ130" s="94">
        <f ca="1">TblProd[[#This Row],[Food]]</f>
        <v>175703</v>
      </c>
      <c r="BK130" s="94">
        <f ca="1">TblProd[[#This Row],[Lumber]]</f>
        <v>76039</v>
      </c>
      <c r="BL130" s="94">
        <f ca="1">TblProd[[#This Row],[Mana]]</f>
        <v>0</v>
      </c>
      <c r="BM130" s="94">
        <f ca="1">TblProd[[#This Row],[Ore]]</f>
        <v>0</v>
      </c>
    </row>
    <row r="131" spans="1:65" x14ac:dyDescent="0.2">
      <c r="A131" s="137">
        <f t="shared" si="1"/>
        <v>80</v>
      </c>
      <c r="B131" s="152">
        <f ca="1">TblImps[[#This Row],[Time]]</f>
        <v>46325.291666666359</v>
      </c>
      <c r="C131" s="153"/>
      <c r="D131" s="154"/>
      <c r="E131" s="94">
        <f ca="1">TblConstr[[#This Row],[Land]]</f>
        <v>50</v>
      </c>
      <c r="F131" s="94">
        <f ca="1">TblPop[[#This Row],[Peasants]]</f>
        <v>134</v>
      </c>
      <c r="G131" s="94">
        <f ca="1">TblMili[[#This Row],[Networth (2)]]</f>
        <v>1250</v>
      </c>
      <c r="H131" s="94">
        <f ca="1">OFFSET(TblProd[[#This Row],[Platinum]],-1,0)+OFFSET(TblProd[[#This Row],[Plat/hr]],-1,0) - TblProd[[#This Row],[Expenses Platinum]] + IF(TblProd[[#This Row],[Plat Bonus]],TblPop[[#This Row],[Peasants]]*4) + SUM(TblConstr[[#This Row],[Dest Hom]:[Dest Doc]])*TblConstr[[#This Row],[CPA Platinum -DB]]*tech_3_3_2*TblTech[[#This Row],[3-3]]</f>
        <v>211564</v>
      </c>
      <c r="I131" s="94">
        <f ca="1">OFFSET(TblProd[[#This Row],[Food]],-1,0)+OFFSET(TblProd[[#This Row],[Food/hr]],-1,0)+ROUNDUP((TblConstr[[#This Row],[Farms]]*80+TblConstr[[#This Row],[Docks]]*35)*(1+OFFSET(TblProd[[#This Row],[Bonus Food/hr]],-1,0)),0)</f>
        <v>176334</v>
      </c>
      <c r="J131" s="94">
        <f ca="1">OFFSET(TblProd[[#This Row],[Lumber]],-1,0)+OFFSET(TblProd[[#This Row],[Lumber/hr]],-1,0) - TblProd[[#This Row],[Expenses Lumber]] + SUM(TblConstr[[#This Row],[Dest Hom]:[Dest Doc]])*TblConstr[[#This Row],[CPA Lumber -DB]]*tech_3_3_2*TblTech[[#This Row],[3-3]]</f>
        <v>76279</v>
      </c>
      <c r="K131" s="94">
        <f ca="1">OFFSET(TblProd[[#This Row],[Mana]],-1,0)+OFFSET(TblProd[[#This Row],[Mana/hr]],-1,0)- TblProd[[#This Row],[Expenses Mana]]</f>
        <v>0</v>
      </c>
      <c r="L131" s="94">
        <f ca="1">OFFSET(TblProd[[#This Row],[Ore]],-1,0)+OFFSET(TblProd[[#This Row],[Ore/hr]],-1,0) -TblProd[[#This Row],[Expenses Ore]]</f>
        <v>0</v>
      </c>
      <c r="M131" s="94">
        <f ca="1">OFFSET(TblProd[[#This Row],[Gems]],-1,0)+OFFSET(TblProd[[#This Row],[Gems/hr]],-1,0) - TblProd[[#This Row],[Expenses Gems]]</f>
        <v>0</v>
      </c>
      <c r="N131" s="94">
        <f ca="1">OFFSET(TblProd[[#This Row],[Boats]],-1,0)+OFFSET(TblProd[[#This Row],[Boats/hr]],-1,0)</f>
        <v>0</v>
      </c>
      <c r="O131" s="94">
        <f ca="1">OFFSET(TblProd[[#This Row],[Prestige]],-1,0)</f>
        <v>250</v>
      </c>
      <c r="P13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1" s="94">
        <f ca="1">MAX(_xlfn.CEILING.MATH(TblProd[[#This Row],[Land]]*2.5+IFERROR(OFFSET(TblTech[[#This Row],[Sum of tech]],-1,0)*50,0)),3750)</f>
        <v>3750</v>
      </c>
      <c r="R131" s="142"/>
      <c r="S131" s="94">
        <f ca="1">ROUNDDOWN(TblProd[[#This Row],[Raw Plat/hr]]*(1+TblProd[[#This Row],[Bonus Plat/hr]]),0)</f>
        <v>361</v>
      </c>
      <c r="T131" s="94">
        <f ca="1">ROUND(TblProd[[#This Row],[Raw Food/hr]]*(1+TblProd[[#This Row],[Bonus Food/hr]])-TblProd[[#This Row],[Food decay]]-TblProd[[#This Row],[Food eaten]],0)</f>
        <v>624</v>
      </c>
      <c r="U131" s="94">
        <f ca="1">ROUND(TblProd[[#This Row],[Raw Lumber/hr]]*(1+TblProd[[#This Row],[Bonus Lumber/hr]])-TblProd[[#This Row],[Lumber rot]],0)</f>
        <v>237</v>
      </c>
      <c r="V131" s="94">
        <f ca="1">ROUND(TblProd[[#This Row],[Raw Mana/hr]]*(1+TblProd[[#This Row],[Bonus Mana/hr]])-TblProd[[#This Row],[Mana drain]],0)</f>
        <v>0</v>
      </c>
      <c r="W131" s="94">
        <f ca="1">ROUNDDOWN(TblProd[[#This Row],[Raw Ore/hr]]*(1+TblProd[[#This Row],[Bonux Ore/hr]]),0)</f>
        <v>0</v>
      </c>
      <c r="X131" s="94">
        <f ca="1">ROUNDDOWN(TblProd[[#This Row],[Raw Gems/hr]]*(1+TblProd[[#This Row],[Bonus Gems/hr]]),0)</f>
        <v>0</v>
      </c>
      <c r="Y131" s="155">
        <f ca="1">OFFSET(TblConstr[[#This Row],[Tot Doc]],1,0)*dock_boats_hr * (1 + tech_4_1*TblTech[[#This Row],[4-1]])</f>
        <v>0</v>
      </c>
      <c r="Z131" s="154"/>
      <c r="AA131" s="94">
        <f ca="1">TblPop[[#This Row],[Peasants]]*tax*TblPop[[#This Row],[Employment]] + (Construction!AZ132+Construction!BX132)*(alch_plat+(Magic!AN131&gt;0)*alchemist_flame_bonus)</f>
        <v>361.8</v>
      </c>
      <c r="AB131" s="94">
        <f ca="1">TblConstr[[#This Row],[Tot Farm]]*farm_food + TblConstr[[#This Row],[Tot Doc]]*dock_food</f>
        <v>2400</v>
      </c>
      <c r="AC131" s="94">
        <f ca="1">TblConstr[[#This Row],[Tot Ly]]*ly_lumber + TblConstr[[#This Row],[Tot Hav]]*fh_lumber + IF(race="Wood Elf",TblMili[[#This Row],[Unit 2]]*MIN(TblMili[[#This Row],[Homeland%]]/wisp_bonus,wisp_cap),0)</f>
        <v>1000</v>
      </c>
      <c r="AD131" s="94">
        <f ca="1">OFFSET(TblConstr[[#This Row],[Tot Tow]],1,0)*(tower_mana + tech_4_5*TblTech[[#This Row],[4-5]]) + OFFSET(TblConstr[[#This Row],[Tot WG]],1,0)*wg_mana_prod</f>
        <v>0</v>
      </c>
      <c r="AE131" s="94">
        <f ca="1">OFFSET(TblConstr[[#This Row],[Tot OM]],1,0)*om_ore+IF(race="Dwarf",TblMili[[#This Row],[Unit 2]]*0.5,0)</f>
        <v>0</v>
      </c>
      <c r="AF131" s="94">
        <f ca="1">OFFSET(TblConstr[[#This Row],[Tot DM]],1,0)*dm_gems</f>
        <v>0</v>
      </c>
      <c r="AG131" s="142"/>
      <c r="AH131" s="156">
        <f ca="1">MIN(race_platinum_bonus + IF(TblMagic[[#This Row],[Active Arc Infusion]]&gt;0,alch_frost_bonus,IF(Magic!AE131&gt;0,midas_bonus)) + TblImps[[#This Row],[Science]] - TblProd[[#This Row],[Guard]]*(0.02 + tech_5_7*TblTech[[#This Row],[5-7]]) + tech_1_5*TblTech[[#This Row],[1-5]] + tech_4_4*TblTech[[#This Row],[4-4]] + IF(TblMagic[[#This Row],[Active Infernal Command]]&gt;0,demonic_pact_plat,0), 0.5)</f>
        <v>0</v>
      </c>
      <c r="AI13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1" s="156">
        <f ca="1">race_lumber_bonus+ IF(TblMagic[[#This Row],[Active Gaia''s Blessing]]&gt;0,gaias_blessing_lumber)+ tech_1_3*TblTech[[#This Row],[1-3]] + tech_1_6*TblTech[[#This Row],[1-6]] + tech_3_3*TblTech[[#This Row],[3-3]]</f>
        <v>0</v>
      </c>
      <c r="AK131" s="156">
        <f ca="1">race_mana_bonus+ 0 + TblImps[[#This Row],[Spires]] + tech_1_2*TblTech[[#This Row],[1-2]] + tech_3_4*TblTech[[#This Row],[3-4]]</f>
        <v>0</v>
      </c>
      <c r="AL131" s="156">
        <f ca="1">race_ore_bonus + IF(TblMagic[[#This Row],[Active Miner''s Sight]]&gt;0,miners_sight_bonus,IF(TblMagic[[#This Row],[Active Mining Strength]]&gt;0,mining_strength_bonus)) +  tech_1_6*TblTech[[#This Row],[1-6]]</f>
        <v>0</v>
      </c>
      <c r="AM131" s="156">
        <f>race_gem_bonus+ tech_3_2*TblTech[[#This Row],[3-2]] + tech_4_3*TblTech[[#This Row],[4-3]] + tech_6_2*TblTech[[#This Row],[6-2]]</f>
        <v>0</v>
      </c>
      <c r="AN131" s="142"/>
      <c r="AO131" s="94">
        <f ca="1">TblProd[[#This Row],[Food]]*food_decay * (1 + tech_2_1*TblTech[[#This Row],[2-1]] + tech_2_8*TblTech[[#This Row],[2-8]] + IF(AND(TblMagic[[#This Row],[Active DnD]]&lt;12,TblMagic[[#This Row],[Active DnD]]&gt;5),1,0))</f>
        <v>1763.3400000000001</v>
      </c>
      <c r="AP131" s="94">
        <f ca="1">(1+race_food_consumption)*TblPop[[#This Row],[Total]]*food_per_person*(1+tech_1_10*TblTech[[#This Row],[1-10]]+tech_7_5*TblTech[[#This Row],[7-5]] + IF(TblMagic[[#This Row],[Active Infernal Command]]&gt;0,demonic_pact_food_cons,0))</f>
        <v>192.25</v>
      </c>
      <c r="AQ131" s="94">
        <f ca="1">TblProd[[#This Row],[Lumber]]*lumber_rot * (1 + tech_2_1*TblTech[[#This Row],[2-1]] + tech_2_8*TblTech[[#This Row],[2-8]] + tech_5_2*TblTech[[#This Row],[5-2]] + IF(AND(TblMagic[[#This Row],[Active DnD]]&lt;12,TblMagic[[#This Row],[Active DnD]]&gt;5),1,0))</f>
        <v>762.79</v>
      </c>
      <c r="AR131" s="94">
        <f ca="1">TblProd[[#This Row],[Mana]]*mana_drain * (1 + tech_2_1*TblTech[[#This Row],[2-1]] + tech_2_8*TblTech[[#This Row],[2-8]])</f>
        <v>0</v>
      </c>
      <c r="AS131" s="154"/>
      <c r="AT131" s="94">
        <f ca="1">TblExplore[[#This Row],[Platinum (2)]]+TblConstr[[#This Row],[Total Plat Cost]]+TblMili[[#This Row],[Plat Cost]]+TblRezone[[#This Row],[Platinum cost]]+TblImps[[#This Row],[P1]]-TblProd[[#This Row],[Bank Plat]]</f>
        <v>0</v>
      </c>
      <c r="AU131" s="94">
        <f ca="1">TblConstr[[#This Row],[Total Lum Cost]]+TblImps[[#This Row],[L1]]-TblProd[[#This Row],[Bank Lumber]] + Military!$CO$25*TblMili[[#This Row],[Sec. rec. Cost]]</f>
        <v>0</v>
      </c>
      <c r="AV131" s="94">
        <f ca="1">TblMagic[[#This Row],[Mana cost]] + Military!$CO$26*TblMili[[#This Row],[Sec. rec. Cost]]</f>
        <v>0</v>
      </c>
      <c r="AW131" s="94">
        <f ca="1">Military!$CO$24*TblMili[[#This Row],[Sec. rec. Cost]]+TblImps[[#This Row],[O1]]-TblProd[[#This Row],[Bank Ore]]</f>
        <v>0</v>
      </c>
      <c r="AX131" s="94">
        <f>TblImps[[#This Row],[G1]]-TblProd[[#This Row],[Bank Gems]]</f>
        <v>0</v>
      </c>
      <c r="AY131" s="142"/>
      <c r="AZ131" s="61" t="b">
        <f ca="1">IF(TblProd[[#This Row],[Set Guard]]&lt;&gt;"",TblProd[[#This Row],[Set Guard]],OFFSET(TblProd[[#This Row],[Guard]],-1,0))</f>
        <v>0</v>
      </c>
      <c r="BA131" s="153"/>
      <c r="BB131" s="45">
        <f>TblProd[[#This Row],[Hour]]</f>
        <v>80</v>
      </c>
      <c r="BC131" s="158">
        <f>-TblProd[[#This Row],[Bank Lumber]] / 2 + -TblProd[[#This Row],[Bank Gems]] * 2 + -TblProd[[#This Row],[Bank Ore]] / 2</f>
        <v>0</v>
      </c>
      <c r="BD131" s="158"/>
      <c r="BE131" s="158"/>
      <c r="BF131" s="158"/>
      <c r="BG131" s="159">
        <f ca="1">TblProd[[#This Row],[Time]]</f>
        <v>46325.291666666359</v>
      </c>
      <c r="BH131" s="45"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94">
        <f ca="1">TblProd[[#This Row],[Platinum]]</f>
        <v>211564</v>
      </c>
      <c r="BJ131" s="94">
        <f ca="1">TblProd[[#This Row],[Food]]</f>
        <v>176334</v>
      </c>
      <c r="BK131" s="94">
        <f ca="1">TblProd[[#This Row],[Lumber]]</f>
        <v>76279</v>
      </c>
      <c r="BL131" s="94">
        <f ca="1">TblProd[[#This Row],[Mana]]</f>
        <v>0</v>
      </c>
      <c r="BM131" s="94">
        <f ca="1">TblProd[[#This Row],[Ore]]</f>
        <v>0</v>
      </c>
    </row>
    <row r="132" spans="1:65" x14ac:dyDescent="0.2">
      <c r="A132" s="137">
        <f t="shared" si="1"/>
        <v>81</v>
      </c>
      <c r="B132" s="152">
        <f ca="1">TblImps[[#This Row],[Time]]</f>
        <v>46325.333333333023</v>
      </c>
      <c r="C132" s="153"/>
      <c r="D132" s="154"/>
      <c r="E132" s="94">
        <f ca="1">TblConstr[[#This Row],[Land]]</f>
        <v>50</v>
      </c>
      <c r="F132" s="94">
        <f ca="1">TblPop[[#This Row],[Peasants]]</f>
        <v>133</v>
      </c>
      <c r="G132" s="94">
        <f ca="1">TblMili[[#This Row],[Networth (2)]]</f>
        <v>1250</v>
      </c>
      <c r="H132" s="94">
        <f ca="1">OFFSET(TblProd[[#This Row],[Platinum]],-1,0)+OFFSET(TblProd[[#This Row],[Plat/hr]],-1,0) - TblProd[[#This Row],[Expenses Platinum]] + IF(TblProd[[#This Row],[Plat Bonus]],TblPop[[#This Row],[Peasants]]*4) + SUM(TblConstr[[#This Row],[Dest Hom]:[Dest Doc]])*TblConstr[[#This Row],[CPA Platinum -DB]]*tech_3_3_2*TblTech[[#This Row],[3-3]]</f>
        <v>211925</v>
      </c>
      <c r="I132" s="94">
        <f ca="1">OFFSET(TblProd[[#This Row],[Food]],-1,0)+OFFSET(TblProd[[#This Row],[Food/hr]],-1,0)+ROUNDUP((TblConstr[[#This Row],[Farms]]*80+TblConstr[[#This Row],[Docks]]*35)*(1+OFFSET(TblProd[[#This Row],[Bonus Food/hr]],-1,0)),0)</f>
        <v>176958</v>
      </c>
      <c r="J132" s="94">
        <f ca="1">OFFSET(TblProd[[#This Row],[Lumber]],-1,0)+OFFSET(TblProd[[#This Row],[Lumber/hr]],-1,0) - TblProd[[#This Row],[Expenses Lumber]] + SUM(TblConstr[[#This Row],[Dest Hom]:[Dest Doc]])*TblConstr[[#This Row],[CPA Lumber -DB]]*tech_3_3_2*TblTech[[#This Row],[3-3]]</f>
        <v>76516</v>
      </c>
      <c r="K132" s="94">
        <f ca="1">OFFSET(TblProd[[#This Row],[Mana]],-1,0)+OFFSET(TblProd[[#This Row],[Mana/hr]],-1,0)- TblProd[[#This Row],[Expenses Mana]]</f>
        <v>0</v>
      </c>
      <c r="L132" s="94">
        <f ca="1">OFFSET(TblProd[[#This Row],[Ore]],-1,0)+OFFSET(TblProd[[#This Row],[Ore/hr]],-1,0) -TblProd[[#This Row],[Expenses Ore]]</f>
        <v>0</v>
      </c>
      <c r="M132" s="94">
        <f ca="1">OFFSET(TblProd[[#This Row],[Gems]],-1,0)+OFFSET(TblProd[[#This Row],[Gems/hr]],-1,0) - TblProd[[#This Row],[Expenses Gems]]</f>
        <v>0</v>
      </c>
      <c r="N132" s="94">
        <f ca="1">OFFSET(TblProd[[#This Row],[Boats]],-1,0)+OFFSET(TblProd[[#This Row],[Boats/hr]],-1,0)</f>
        <v>0</v>
      </c>
      <c r="O132" s="94">
        <f ca="1">OFFSET(TblProd[[#This Row],[Prestige]],-1,0)</f>
        <v>250</v>
      </c>
      <c r="P13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2" s="94">
        <f ca="1">MAX(_xlfn.CEILING.MATH(TblProd[[#This Row],[Land]]*2.5+IFERROR(OFFSET(TblTech[[#This Row],[Sum of tech]],-1,0)*50,0)),3750)</f>
        <v>3750</v>
      </c>
      <c r="R132" s="142"/>
      <c r="S132" s="94">
        <f ca="1">ROUNDDOWN(TblProd[[#This Row],[Raw Plat/hr]]*(1+TblProd[[#This Row],[Bonus Plat/hr]]),0)</f>
        <v>359</v>
      </c>
      <c r="T132" s="94">
        <f ca="1">ROUND(TblProd[[#This Row],[Raw Food/hr]]*(1+TblProd[[#This Row],[Bonus Food/hr]])-TblProd[[#This Row],[Food decay]]-TblProd[[#This Row],[Food eaten]],0)</f>
        <v>618</v>
      </c>
      <c r="U132" s="94">
        <f ca="1">ROUND(TblProd[[#This Row],[Raw Lumber/hr]]*(1+TblProd[[#This Row],[Bonus Lumber/hr]])-TblProd[[#This Row],[Lumber rot]],0)</f>
        <v>235</v>
      </c>
      <c r="V132" s="94">
        <f ca="1">ROUND(TblProd[[#This Row],[Raw Mana/hr]]*(1+TblProd[[#This Row],[Bonus Mana/hr]])-TblProd[[#This Row],[Mana drain]],0)</f>
        <v>0</v>
      </c>
      <c r="W132" s="94">
        <f ca="1">ROUNDDOWN(TblProd[[#This Row],[Raw Ore/hr]]*(1+TblProd[[#This Row],[Bonux Ore/hr]]),0)</f>
        <v>0</v>
      </c>
      <c r="X132" s="94">
        <f ca="1">ROUNDDOWN(TblProd[[#This Row],[Raw Gems/hr]]*(1+TblProd[[#This Row],[Bonus Gems/hr]]),0)</f>
        <v>0</v>
      </c>
      <c r="Y132" s="155">
        <f ca="1">OFFSET(TblConstr[[#This Row],[Tot Doc]],1,0)*dock_boats_hr * (1 + tech_4_1*TblTech[[#This Row],[4-1]])</f>
        <v>0</v>
      </c>
      <c r="Z132" s="154"/>
      <c r="AA132" s="94">
        <f ca="1">TblPop[[#This Row],[Peasants]]*tax*TblPop[[#This Row],[Employment]] + (Construction!AZ133+Construction!BX133)*(alch_plat+(Magic!AN132&gt;0)*alchemist_flame_bonus)</f>
        <v>359.1</v>
      </c>
      <c r="AB132" s="94">
        <f ca="1">TblConstr[[#This Row],[Tot Farm]]*farm_food + TblConstr[[#This Row],[Tot Doc]]*dock_food</f>
        <v>2400</v>
      </c>
      <c r="AC132" s="94">
        <f ca="1">TblConstr[[#This Row],[Tot Ly]]*ly_lumber + TblConstr[[#This Row],[Tot Hav]]*fh_lumber + IF(race="Wood Elf",TblMili[[#This Row],[Unit 2]]*MIN(TblMili[[#This Row],[Homeland%]]/wisp_bonus,wisp_cap),0)</f>
        <v>1000</v>
      </c>
      <c r="AD132" s="94">
        <f ca="1">OFFSET(TblConstr[[#This Row],[Tot Tow]],1,0)*(tower_mana + tech_4_5*TblTech[[#This Row],[4-5]]) + OFFSET(TblConstr[[#This Row],[Tot WG]],1,0)*wg_mana_prod</f>
        <v>0</v>
      </c>
      <c r="AE132" s="94">
        <f ca="1">OFFSET(TblConstr[[#This Row],[Tot OM]],1,0)*om_ore+IF(race="Dwarf",TblMili[[#This Row],[Unit 2]]*0.5,0)</f>
        <v>0</v>
      </c>
      <c r="AF132" s="94">
        <f ca="1">OFFSET(TblConstr[[#This Row],[Tot DM]],1,0)*dm_gems</f>
        <v>0</v>
      </c>
      <c r="AG132" s="142"/>
      <c r="AH132" s="156">
        <f ca="1">MIN(race_platinum_bonus + IF(TblMagic[[#This Row],[Active Arc Infusion]]&gt;0,alch_frost_bonus,IF(Magic!AE132&gt;0,midas_bonus)) + TblImps[[#This Row],[Science]] - TblProd[[#This Row],[Guard]]*(0.02 + tech_5_7*TblTech[[#This Row],[5-7]]) + tech_1_5*TblTech[[#This Row],[1-5]] + tech_4_4*TblTech[[#This Row],[4-4]] + IF(TblMagic[[#This Row],[Active Infernal Command]]&gt;0,demonic_pact_plat,0), 0.5)</f>
        <v>0</v>
      </c>
      <c r="AI13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2" s="156">
        <f ca="1">race_lumber_bonus+ IF(TblMagic[[#This Row],[Active Gaia''s Blessing]]&gt;0,gaias_blessing_lumber)+ tech_1_3*TblTech[[#This Row],[1-3]] + tech_1_6*TblTech[[#This Row],[1-6]] + tech_3_3*TblTech[[#This Row],[3-3]]</f>
        <v>0</v>
      </c>
      <c r="AK132" s="156">
        <f ca="1">race_mana_bonus+ 0 + TblImps[[#This Row],[Spires]] + tech_1_2*TblTech[[#This Row],[1-2]] + tech_3_4*TblTech[[#This Row],[3-4]]</f>
        <v>0</v>
      </c>
      <c r="AL132" s="156">
        <f ca="1">race_ore_bonus + IF(TblMagic[[#This Row],[Active Miner''s Sight]]&gt;0,miners_sight_bonus,IF(TblMagic[[#This Row],[Active Mining Strength]]&gt;0,mining_strength_bonus)) +  tech_1_6*TblTech[[#This Row],[1-6]]</f>
        <v>0</v>
      </c>
      <c r="AM132" s="156">
        <f>race_gem_bonus+ tech_3_2*TblTech[[#This Row],[3-2]] + tech_4_3*TblTech[[#This Row],[4-3]] + tech_6_2*TblTech[[#This Row],[6-2]]</f>
        <v>0</v>
      </c>
      <c r="AN132" s="142"/>
      <c r="AO132" s="94">
        <f ca="1">TblProd[[#This Row],[Food]]*food_decay * (1 + tech_2_1*TblTech[[#This Row],[2-1]] + tech_2_8*TblTech[[#This Row],[2-8]] + IF(AND(TblMagic[[#This Row],[Active DnD]]&lt;12,TblMagic[[#This Row],[Active DnD]]&gt;5),1,0))</f>
        <v>1769.58</v>
      </c>
      <c r="AP132" s="94">
        <f ca="1">(1+race_food_consumption)*TblPop[[#This Row],[Total]]*food_per_person*(1+tech_1_10*TblTech[[#This Row],[1-10]]+tech_7_5*TblTech[[#This Row],[7-5]] + IF(TblMagic[[#This Row],[Active Infernal Command]]&gt;0,demonic_pact_food_cons,0))</f>
        <v>192.25</v>
      </c>
      <c r="AQ132" s="94">
        <f ca="1">TblProd[[#This Row],[Lumber]]*lumber_rot * (1 + tech_2_1*TblTech[[#This Row],[2-1]] + tech_2_8*TblTech[[#This Row],[2-8]] + tech_5_2*TblTech[[#This Row],[5-2]] + IF(AND(TblMagic[[#This Row],[Active DnD]]&lt;12,TblMagic[[#This Row],[Active DnD]]&gt;5),1,0))</f>
        <v>765.16</v>
      </c>
      <c r="AR132" s="94">
        <f ca="1">TblProd[[#This Row],[Mana]]*mana_drain * (1 + tech_2_1*TblTech[[#This Row],[2-1]] + tech_2_8*TblTech[[#This Row],[2-8]])</f>
        <v>0</v>
      </c>
      <c r="AS132" s="154"/>
      <c r="AT132" s="94">
        <f ca="1">TblExplore[[#This Row],[Platinum (2)]]+TblConstr[[#This Row],[Total Plat Cost]]+TblMili[[#This Row],[Plat Cost]]+TblRezone[[#This Row],[Platinum cost]]+TblImps[[#This Row],[P1]]-TblProd[[#This Row],[Bank Plat]]</f>
        <v>0</v>
      </c>
      <c r="AU132" s="94">
        <f ca="1">TblConstr[[#This Row],[Total Lum Cost]]+TblImps[[#This Row],[L1]]-TblProd[[#This Row],[Bank Lumber]] + Military!$CO$25*TblMili[[#This Row],[Sec. rec. Cost]]</f>
        <v>0</v>
      </c>
      <c r="AV132" s="94">
        <f ca="1">TblMagic[[#This Row],[Mana cost]] + Military!$CO$26*TblMili[[#This Row],[Sec. rec. Cost]]</f>
        <v>0</v>
      </c>
      <c r="AW132" s="94">
        <f ca="1">Military!$CO$24*TblMili[[#This Row],[Sec. rec. Cost]]+TblImps[[#This Row],[O1]]-TblProd[[#This Row],[Bank Ore]]</f>
        <v>0</v>
      </c>
      <c r="AX132" s="94">
        <f>TblImps[[#This Row],[G1]]-TblProd[[#This Row],[Bank Gems]]</f>
        <v>0</v>
      </c>
      <c r="AY132" s="142"/>
      <c r="AZ132" s="61" t="b">
        <f ca="1">IF(TblProd[[#This Row],[Set Guard]]&lt;&gt;"",TblProd[[#This Row],[Set Guard]],OFFSET(TblProd[[#This Row],[Guard]],-1,0))</f>
        <v>0</v>
      </c>
      <c r="BA132" s="153"/>
      <c r="BB132" s="45">
        <f>TblProd[[#This Row],[Hour]]</f>
        <v>81</v>
      </c>
      <c r="BC132" s="158">
        <f>-TblProd[[#This Row],[Bank Lumber]] / 2 + -TblProd[[#This Row],[Bank Gems]] * 2 + -TblProd[[#This Row],[Bank Ore]] / 2</f>
        <v>0</v>
      </c>
      <c r="BD132" s="158"/>
      <c r="BE132" s="158"/>
      <c r="BF132" s="158"/>
      <c r="BG132" s="159">
        <f ca="1">TblProd[[#This Row],[Time]]</f>
        <v>46325.333333333023</v>
      </c>
      <c r="BH132" s="45"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94">
        <f ca="1">TblProd[[#This Row],[Platinum]]</f>
        <v>211925</v>
      </c>
      <c r="BJ132" s="94">
        <f ca="1">TblProd[[#This Row],[Food]]</f>
        <v>176958</v>
      </c>
      <c r="BK132" s="94">
        <f ca="1">TblProd[[#This Row],[Lumber]]</f>
        <v>76516</v>
      </c>
      <c r="BL132" s="94">
        <f ca="1">TblProd[[#This Row],[Mana]]</f>
        <v>0</v>
      </c>
      <c r="BM132" s="94">
        <f ca="1">TblProd[[#This Row],[Ore]]</f>
        <v>0</v>
      </c>
    </row>
    <row r="133" spans="1:65" x14ac:dyDescent="0.2">
      <c r="A133" s="137">
        <f t="shared" si="1"/>
        <v>82</v>
      </c>
      <c r="B133" s="152">
        <f ca="1">TblImps[[#This Row],[Time]]</f>
        <v>46325.374999999687</v>
      </c>
      <c r="C133" s="153"/>
      <c r="D133" s="154"/>
      <c r="E133" s="94">
        <f ca="1">TblConstr[[#This Row],[Land]]</f>
        <v>50</v>
      </c>
      <c r="F133" s="94">
        <f ca="1">TblPop[[#This Row],[Peasants]]</f>
        <v>132</v>
      </c>
      <c r="G133" s="94">
        <f ca="1">TblMili[[#This Row],[Networth (2)]]</f>
        <v>1250</v>
      </c>
      <c r="H133" s="94">
        <f ca="1">OFFSET(TblProd[[#This Row],[Platinum]],-1,0)+OFFSET(TblProd[[#This Row],[Plat/hr]],-1,0) - TblProd[[#This Row],[Expenses Platinum]] + IF(TblProd[[#This Row],[Plat Bonus]],TblPop[[#This Row],[Peasants]]*4) + SUM(TblConstr[[#This Row],[Dest Hom]:[Dest Doc]])*TblConstr[[#This Row],[CPA Platinum -DB]]*tech_3_3_2*TblTech[[#This Row],[3-3]]</f>
        <v>212284</v>
      </c>
      <c r="I133" s="94">
        <f ca="1">OFFSET(TblProd[[#This Row],[Food]],-1,0)+OFFSET(TblProd[[#This Row],[Food/hr]],-1,0)+ROUNDUP((TblConstr[[#This Row],[Farms]]*80+TblConstr[[#This Row],[Docks]]*35)*(1+OFFSET(TblProd[[#This Row],[Bonus Food/hr]],-1,0)),0)</f>
        <v>177576</v>
      </c>
      <c r="J133" s="94">
        <f ca="1">OFFSET(TblProd[[#This Row],[Lumber]],-1,0)+OFFSET(TblProd[[#This Row],[Lumber/hr]],-1,0) - TblProd[[#This Row],[Expenses Lumber]] + SUM(TblConstr[[#This Row],[Dest Hom]:[Dest Doc]])*TblConstr[[#This Row],[CPA Lumber -DB]]*tech_3_3_2*TblTech[[#This Row],[3-3]]</f>
        <v>76751</v>
      </c>
      <c r="K133" s="94">
        <f ca="1">OFFSET(TblProd[[#This Row],[Mana]],-1,0)+OFFSET(TblProd[[#This Row],[Mana/hr]],-1,0)- TblProd[[#This Row],[Expenses Mana]]</f>
        <v>0</v>
      </c>
      <c r="L133" s="94">
        <f ca="1">OFFSET(TblProd[[#This Row],[Ore]],-1,0)+OFFSET(TblProd[[#This Row],[Ore/hr]],-1,0) -TblProd[[#This Row],[Expenses Ore]]</f>
        <v>0</v>
      </c>
      <c r="M133" s="94">
        <f ca="1">OFFSET(TblProd[[#This Row],[Gems]],-1,0)+OFFSET(TblProd[[#This Row],[Gems/hr]],-1,0) - TblProd[[#This Row],[Expenses Gems]]</f>
        <v>0</v>
      </c>
      <c r="N133" s="94">
        <f ca="1">OFFSET(TblProd[[#This Row],[Boats]],-1,0)+OFFSET(TblProd[[#This Row],[Boats/hr]],-1,0)</f>
        <v>0</v>
      </c>
      <c r="O133" s="94">
        <f ca="1">OFFSET(TblProd[[#This Row],[Prestige]],-1,0)</f>
        <v>250</v>
      </c>
      <c r="P13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3" s="94">
        <f ca="1">MAX(_xlfn.CEILING.MATH(TblProd[[#This Row],[Land]]*2.5+IFERROR(OFFSET(TblTech[[#This Row],[Sum of tech]],-1,0)*50,0)),3750)</f>
        <v>3750</v>
      </c>
      <c r="R133" s="142"/>
      <c r="S133" s="94">
        <f ca="1">ROUNDDOWN(TblProd[[#This Row],[Raw Plat/hr]]*(1+TblProd[[#This Row],[Bonus Plat/hr]]),0)</f>
        <v>356</v>
      </c>
      <c r="T133" s="94">
        <f ca="1">ROUND(TblProd[[#This Row],[Raw Food/hr]]*(1+TblProd[[#This Row],[Bonus Food/hr]])-TblProd[[#This Row],[Food decay]]-TblProd[[#This Row],[Food eaten]],0)</f>
        <v>612</v>
      </c>
      <c r="U133" s="94">
        <f ca="1">ROUND(TblProd[[#This Row],[Raw Lumber/hr]]*(1+TblProd[[#This Row],[Bonus Lumber/hr]])-TblProd[[#This Row],[Lumber rot]],0)</f>
        <v>232</v>
      </c>
      <c r="V133" s="94">
        <f ca="1">ROUND(TblProd[[#This Row],[Raw Mana/hr]]*(1+TblProd[[#This Row],[Bonus Mana/hr]])-TblProd[[#This Row],[Mana drain]],0)</f>
        <v>0</v>
      </c>
      <c r="W133" s="94">
        <f ca="1">ROUNDDOWN(TblProd[[#This Row],[Raw Ore/hr]]*(1+TblProd[[#This Row],[Bonux Ore/hr]]),0)</f>
        <v>0</v>
      </c>
      <c r="X133" s="94">
        <f ca="1">ROUNDDOWN(TblProd[[#This Row],[Raw Gems/hr]]*(1+TblProd[[#This Row],[Bonus Gems/hr]]),0)</f>
        <v>0</v>
      </c>
      <c r="Y133" s="155">
        <f ca="1">OFFSET(TblConstr[[#This Row],[Tot Doc]],1,0)*dock_boats_hr * (1 + tech_4_1*TblTech[[#This Row],[4-1]])</f>
        <v>0</v>
      </c>
      <c r="Z133" s="154"/>
      <c r="AA133" s="94">
        <f ca="1">TblPop[[#This Row],[Peasants]]*tax*TblPop[[#This Row],[Employment]] + (Construction!AZ134+Construction!BX134)*(alch_plat+(Magic!AN133&gt;0)*alchemist_flame_bonus)</f>
        <v>356.40000000000003</v>
      </c>
      <c r="AB133" s="94">
        <f ca="1">TblConstr[[#This Row],[Tot Farm]]*farm_food + TblConstr[[#This Row],[Tot Doc]]*dock_food</f>
        <v>2400</v>
      </c>
      <c r="AC133" s="94">
        <f ca="1">TblConstr[[#This Row],[Tot Ly]]*ly_lumber + TblConstr[[#This Row],[Tot Hav]]*fh_lumber + IF(race="Wood Elf",TblMili[[#This Row],[Unit 2]]*MIN(TblMili[[#This Row],[Homeland%]]/wisp_bonus,wisp_cap),0)</f>
        <v>1000</v>
      </c>
      <c r="AD133" s="94">
        <f ca="1">OFFSET(TblConstr[[#This Row],[Tot Tow]],1,0)*(tower_mana + tech_4_5*TblTech[[#This Row],[4-5]]) + OFFSET(TblConstr[[#This Row],[Tot WG]],1,0)*wg_mana_prod</f>
        <v>0</v>
      </c>
      <c r="AE133" s="94">
        <f ca="1">OFFSET(TblConstr[[#This Row],[Tot OM]],1,0)*om_ore+IF(race="Dwarf",TblMili[[#This Row],[Unit 2]]*0.5,0)</f>
        <v>0</v>
      </c>
      <c r="AF133" s="94">
        <f ca="1">OFFSET(TblConstr[[#This Row],[Tot DM]],1,0)*dm_gems</f>
        <v>0</v>
      </c>
      <c r="AG133" s="142"/>
      <c r="AH133" s="156">
        <f ca="1">MIN(race_platinum_bonus + IF(TblMagic[[#This Row],[Active Arc Infusion]]&gt;0,alch_frost_bonus,IF(Magic!AE133&gt;0,midas_bonus)) + TblImps[[#This Row],[Science]] - TblProd[[#This Row],[Guard]]*(0.02 + tech_5_7*TblTech[[#This Row],[5-7]]) + tech_1_5*TblTech[[#This Row],[1-5]] + tech_4_4*TblTech[[#This Row],[4-4]] + IF(TblMagic[[#This Row],[Active Infernal Command]]&gt;0,demonic_pact_plat,0), 0.5)</f>
        <v>0</v>
      </c>
      <c r="AI13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3" s="156">
        <f ca="1">race_lumber_bonus+ IF(TblMagic[[#This Row],[Active Gaia''s Blessing]]&gt;0,gaias_blessing_lumber)+ tech_1_3*TblTech[[#This Row],[1-3]] + tech_1_6*TblTech[[#This Row],[1-6]] + tech_3_3*TblTech[[#This Row],[3-3]]</f>
        <v>0</v>
      </c>
      <c r="AK133" s="156">
        <f ca="1">race_mana_bonus+ 0 + TblImps[[#This Row],[Spires]] + tech_1_2*TblTech[[#This Row],[1-2]] + tech_3_4*TblTech[[#This Row],[3-4]]</f>
        <v>0</v>
      </c>
      <c r="AL133" s="156">
        <f ca="1">race_ore_bonus + IF(TblMagic[[#This Row],[Active Miner''s Sight]]&gt;0,miners_sight_bonus,IF(TblMagic[[#This Row],[Active Mining Strength]]&gt;0,mining_strength_bonus)) +  tech_1_6*TblTech[[#This Row],[1-6]]</f>
        <v>0</v>
      </c>
      <c r="AM133" s="156">
        <f>race_gem_bonus+ tech_3_2*TblTech[[#This Row],[3-2]] + tech_4_3*TblTech[[#This Row],[4-3]] + tech_6_2*TblTech[[#This Row],[6-2]]</f>
        <v>0</v>
      </c>
      <c r="AN133" s="142"/>
      <c r="AO133" s="94">
        <f ca="1">TblProd[[#This Row],[Food]]*food_decay * (1 + tech_2_1*TblTech[[#This Row],[2-1]] + tech_2_8*TblTech[[#This Row],[2-8]] + IF(AND(TblMagic[[#This Row],[Active DnD]]&lt;12,TblMagic[[#This Row],[Active DnD]]&gt;5),1,0))</f>
        <v>1775.76</v>
      </c>
      <c r="AP133" s="94">
        <f ca="1">(1+race_food_consumption)*TblPop[[#This Row],[Total]]*food_per_person*(1+tech_1_10*TblTech[[#This Row],[1-10]]+tech_7_5*TblTech[[#This Row],[7-5]] + IF(TblMagic[[#This Row],[Active Infernal Command]]&gt;0,demonic_pact_food_cons,0))</f>
        <v>192.25</v>
      </c>
      <c r="AQ133" s="94">
        <f ca="1">TblProd[[#This Row],[Lumber]]*lumber_rot * (1 + tech_2_1*TblTech[[#This Row],[2-1]] + tech_2_8*TblTech[[#This Row],[2-8]] + tech_5_2*TblTech[[#This Row],[5-2]] + IF(AND(TblMagic[[#This Row],[Active DnD]]&lt;12,TblMagic[[#This Row],[Active DnD]]&gt;5),1,0))</f>
        <v>767.51</v>
      </c>
      <c r="AR133" s="94">
        <f ca="1">TblProd[[#This Row],[Mana]]*mana_drain * (1 + tech_2_1*TblTech[[#This Row],[2-1]] + tech_2_8*TblTech[[#This Row],[2-8]])</f>
        <v>0</v>
      </c>
      <c r="AS133" s="154"/>
      <c r="AT133" s="94">
        <f ca="1">TblExplore[[#This Row],[Platinum (2)]]+TblConstr[[#This Row],[Total Plat Cost]]+TblMili[[#This Row],[Plat Cost]]+TblRezone[[#This Row],[Platinum cost]]+TblImps[[#This Row],[P1]]-TblProd[[#This Row],[Bank Plat]]</f>
        <v>0</v>
      </c>
      <c r="AU133" s="94">
        <f ca="1">TblConstr[[#This Row],[Total Lum Cost]]+TblImps[[#This Row],[L1]]-TblProd[[#This Row],[Bank Lumber]] + Military!$CO$25*TblMili[[#This Row],[Sec. rec. Cost]]</f>
        <v>0</v>
      </c>
      <c r="AV133" s="94">
        <f ca="1">TblMagic[[#This Row],[Mana cost]] + Military!$CO$26*TblMili[[#This Row],[Sec. rec. Cost]]</f>
        <v>0</v>
      </c>
      <c r="AW133" s="94">
        <f ca="1">Military!$CO$24*TblMili[[#This Row],[Sec. rec. Cost]]+TblImps[[#This Row],[O1]]-TblProd[[#This Row],[Bank Ore]]</f>
        <v>0</v>
      </c>
      <c r="AX133" s="94">
        <f>TblImps[[#This Row],[G1]]-TblProd[[#This Row],[Bank Gems]]</f>
        <v>0</v>
      </c>
      <c r="AY133" s="142"/>
      <c r="AZ133" s="61" t="b">
        <f ca="1">IF(TblProd[[#This Row],[Set Guard]]&lt;&gt;"",TblProd[[#This Row],[Set Guard]],OFFSET(TblProd[[#This Row],[Guard]],-1,0))</f>
        <v>0</v>
      </c>
      <c r="BA133" s="153"/>
      <c r="BB133" s="45">
        <f>TblProd[[#This Row],[Hour]]</f>
        <v>82</v>
      </c>
      <c r="BC133" s="158">
        <f>-TblProd[[#This Row],[Bank Lumber]] / 2 + -TblProd[[#This Row],[Bank Gems]] * 2 + -TblProd[[#This Row],[Bank Ore]] / 2</f>
        <v>0</v>
      </c>
      <c r="BD133" s="158"/>
      <c r="BE133" s="158"/>
      <c r="BF133" s="158"/>
      <c r="BG133" s="159">
        <f ca="1">TblProd[[#This Row],[Time]]</f>
        <v>46325.374999999687</v>
      </c>
      <c r="BH133" s="45"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94">
        <f ca="1">TblProd[[#This Row],[Platinum]]</f>
        <v>212284</v>
      </c>
      <c r="BJ133" s="94">
        <f ca="1">TblProd[[#This Row],[Food]]</f>
        <v>177576</v>
      </c>
      <c r="BK133" s="94">
        <f ca="1">TblProd[[#This Row],[Lumber]]</f>
        <v>76751</v>
      </c>
      <c r="BL133" s="94">
        <f ca="1">TblProd[[#This Row],[Mana]]</f>
        <v>0</v>
      </c>
      <c r="BM133" s="94">
        <f ca="1">TblProd[[#This Row],[Ore]]</f>
        <v>0</v>
      </c>
    </row>
    <row r="134" spans="1:65" x14ac:dyDescent="0.2">
      <c r="A134" s="137">
        <f t="shared" si="1"/>
        <v>83</v>
      </c>
      <c r="B134" s="152">
        <f ca="1">TblImps[[#This Row],[Time]]</f>
        <v>46325.416666666351</v>
      </c>
      <c r="C134" s="153"/>
      <c r="D134" s="154"/>
      <c r="E134" s="94">
        <f ca="1">TblConstr[[#This Row],[Land]]</f>
        <v>50</v>
      </c>
      <c r="F134" s="94">
        <f ca="1">TblPop[[#This Row],[Peasants]]</f>
        <v>131</v>
      </c>
      <c r="G134" s="94">
        <f ca="1">TblMili[[#This Row],[Networth (2)]]</f>
        <v>1250</v>
      </c>
      <c r="H134" s="94">
        <f ca="1">OFFSET(TblProd[[#This Row],[Platinum]],-1,0)+OFFSET(TblProd[[#This Row],[Plat/hr]],-1,0) - TblProd[[#This Row],[Expenses Platinum]] + IF(TblProd[[#This Row],[Plat Bonus]],TblPop[[#This Row],[Peasants]]*4) + SUM(TblConstr[[#This Row],[Dest Hom]:[Dest Doc]])*TblConstr[[#This Row],[CPA Platinum -DB]]*tech_3_3_2*TblTech[[#This Row],[3-3]]</f>
        <v>212640</v>
      </c>
      <c r="I134" s="94">
        <f ca="1">OFFSET(TblProd[[#This Row],[Food]],-1,0)+OFFSET(TblProd[[#This Row],[Food/hr]],-1,0)+ROUNDUP((TblConstr[[#This Row],[Farms]]*80+TblConstr[[#This Row],[Docks]]*35)*(1+OFFSET(TblProd[[#This Row],[Bonus Food/hr]],-1,0)),0)</f>
        <v>178188</v>
      </c>
      <c r="J134" s="94">
        <f ca="1">OFFSET(TblProd[[#This Row],[Lumber]],-1,0)+OFFSET(TblProd[[#This Row],[Lumber/hr]],-1,0) - TblProd[[#This Row],[Expenses Lumber]] + SUM(TblConstr[[#This Row],[Dest Hom]:[Dest Doc]])*TblConstr[[#This Row],[CPA Lumber -DB]]*tech_3_3_2*TblTech[[#This Row],[3-3]]</f>
        <v>76983</v>
      </c>
      <c r="K134" s="94">
        <f ca="1">OFFSET(TblProd[[#This Row],[Mana]],-1,0)+OFFSET(TblProd[[#This Row],[Mana/hr]],-1,0)- TblProd[[#This Row],[Expenses Mana]]</f>
        <v>0</v>
      </c>
      <c r="L134" s="94">
        <f ca="1">OFFSET(TblProd[[#This Row],[Ore]],-1,0)+OFFSET(TblProd[[#This Row],[Ore/hr]],-1,0) -TblProd[[#This Row],[Expenses Ore]]</f>
        <v>0</v>
      </c>
      <c r="M134" s="94">
        <f ca="1">OFFSET(TblProd[[#This Row],[Gems]],-1,0)+OFFSET(TblProd[[#This Row],[Gems/hr]],-1,0) - TblProd[[#This Row],[Expenses Gems]]</f>
        <v>0</v>
      </c>
      <c r="N134" s="94">
        <f ca="1">OFFSET(TblProd[[#This Row],[Boats]],-1,0)+OFFSET(TblProd[[#This Row],[Boats/hr]],-1,0)</f>
        <v>0</v>
      </c>
      <c r="O134" s="94">
        <f ca="1">OFFSET(TblProd[[#This Row],[Prestige]],-1,0)</f>
        <v>250</v>
      </c>
      <c r="P13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4" s="94">
        <f ca="1">MAX(_xlfn.CEILING.MATH(TblProd[[#This Row],[Land]]*2.5+IFERROR(OFFSET(TblTech[[#This Row],[Sum of tech]],-1,0)*50,0)),3750)</f>
        <v>3750</v>
      </c>
      <c r="R134" s="142"/>
      <c r="S134" s="94">
        <f ca="1">ROUNDDOWN(TblProd[[#This Row],[Raw Plat/hr]]*(1+TblProd[[#This Row],[Bonus Plat/hr]]),0)</f>
        <v>353</v>
      </c>
      <c r="T134" s="94">
        <f ca="1">ROUND(TblProd[[#This Row],[Raw Food/hr]]*(1+TblProd[[#This Row],[Bonus Food/hr]])-TblProd[[#This Row],[Food decay]]-TblProd[[#This Row],[Food eaten]],0)</f>
        <v>606</v>
      </c>
      <c r="U134" s="94">
        <f ca="1">ROUND(TblProd[[#This Row],[Raw Lumber/hr]]*(1+TblProd[[#This Row],[Bonus Lumber/hr]])-TblProd[[#This Row],[Lumber rot]],0)</f>
        <v>230</v>
      </c>
      <c r="V134" s="94">
        <f ca="1">ROUND(TblProd[[#This Row],[Raw Mana/hr]]*(1+TblProd[[#This Row],[Bonus Mana/hr]])-TblProd[[#This Row],[Mana drain]],0)</f>
        <v>0</v>
      </c>
      <c r="W134" s="94">
        <f ca="1">ROUNDDOWN(TblProd[[#This Row],[Raw Ore/hr]]*(1+TblProd[[#This Row],[Bonux Ore/hr]]),0)</f>
        <v>0</v>
      </c>
      <c r="X134" s="94">
        <f ca="1">ROUNDDOWN(TblProd[[#This Row],[Raw Gems/hr]]*(1+TblProd[[#This Row],[Bonus Gems/hr]]),0)</f>
        <v>0</v>
      </c>
      <c r="Y134" s="155">
        <f ca="1">OFFSET(TblConstr[[#This Row],[Tot Doc]],1,0)*dock_boats_hr * (1 + tech_4_1*TblTech[[#This Row],[4-1]])</f>
        <v>0</v>
      </c>
      <c r="Z134" s="154"/>
      <c r="AA134" s="94">
        <f ca="1">TblPop[[#This Row],[Peasants]]*tax*TblPop[[#This Row],[Employment]] + (Construction!AZ135+Construction!BX135)*(alch_plat+(Magic!AN134&gt;0)*alchemist_flame_bonus)</f>
        <v>353.70000000000005</v>
      </c>
      <c r="AB134" s="94">
        <f ca="1">TblConstr[[#This Row],[Tot Farm]]*farm_food + TblConstr[[#This Row],[Tot Doc]]*dock_food</f>
        <v>2400</v>
      </c>
      <c r="AC134" s="94">
        <f ca="1">TblConstr[[#This Row],[Tot Ly]]*ly_lumber + TblConstr[[#This Row],[Tot Hav]]*fh_lumber + IF(race="Wood Elf",TblMili[[#This Row],[Unit 2]]*MIN(TblMili[[#This Row],[Homeland%]]/wisp_bonus,wisp_cap),0)</f>
        <v>1000</v>
      </c>
      <c r="AD134" s="94">
        <f ca="1">OFFSET(TblConstr[[#This Row],[Tot Tow]],1,0)*(tower_mana + tech_4_5*TblTech[[#This Row],[4-5]]) + OFFSET(TblConstr[[#This Row],[Tot WG]],1,0)*wg_mana_prod</f>
        <v>0</v>
      </c>
      <c r="AE134" s="94">
        <f ca="1">OFFSET(TblConstr[[#This Row],[Tot OM]],1,0)*om_ore+IF(race="Dwarf",TblMili[[#This Row],[Unit 2]]*0.5,0)</f>
        <v>0</v>
      </c>
      <c r="AF134" s="94">
        <f ca="1">OFFSET(TblConstr[[#This Row],[Tot DM]],1,0)*dm_gems</f>
        <v>0</v>
      </c>
      <c r="AG134" s="142"/>
      <c r="AH134" s="156">
        <f ca="1">MIN(race_platinum_bonus + IF(TblMagic[[#This Row],[Active Arc Infusion]]&gt;0,alch_frost_bonus,IF(Magic!AE134&gt;0,midas_bonus)) + TblImps[[#This Row],[Science]] - TblProd[[#This Row],[Guard]]*(0.02 + tech_5_7*TblTech[[#This Row],[5-7]]) + tech_1_5*TblTech[[#This Row],[1-5]] + tech_4_4*TblTech[[#This Row],[4-4]] + IF(TblMagic[[#This Row],[Active Infernal Command]]&gt;0,demonic_pact_plat,0), 0.5)</f>
        <v>0</v>
      </c>
      <c r="AI13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4" s="156">
        <f ca="1">race_lumber_bonus+ IF(TblMagic[[#This Row],[Active Gaia''s Blessing]]&gt;0,gaias_blessing_lumber)+ tech_1_3*TblTech[[#This Row],[1-3]] + tech_1_6*TblTech[[#This Row],[1-6]] + tech_3_3*TblTech[[#This Row],[3-3]]</f>
        <v>0</v>
      </c>
      <c r="AK134" s="156">
        <f ca="1">race_mana_bonus+ 0 + TblImps[[#This Row],[Spires]] + tech_1_2*TblTech[[#This Row],[1-2]] + tech_3_4*TblTech[[#This Row],[3-4]]</f>
        <v>0</v>
      </c>
      <c r="AL134" s="156">
        <f ca="1">race_ore_bonus + IF(TblMagic[[#This Row],[Active Miner''s Sight]]&gt;0,miners_sight_bonus,IF(TblMagic[[#This Row],[Active Mining Strength]]&gt;0,mining_strength_bonus)) +  tech_1_6*TblTech[[#This Row],[1-6]]</f>
        <v>0</v>
      </c>
      <c r="AM134" s="156">
        <f>race_gem_bonus+ tech_3_2*TblTech[[#This Row],[3-2]] + tech_4_3*TblTech[[#This Row],[4-3]] + tech_6_2*TblTech[[#This Row],[6-2]]</f>
        <v>0</v>
      </c>
      <c r="AN134" s="142"/>
      <c r="AO134" s="94">
        <f ca="1">TblProd[[#This Row],[Food]]*food_decay * (1 + tech_2_1*TblTech[[#This Row],[2-1]] + tech_2_8*TblTech[[#This Row],[2-8]] + IF(AND(TblMagic[[#This Row],[Active DnD]]&lt;12,TblMagic[[#This Row],[Active DnD]]&gt;5),1,0))</f>
        <v>1781.88</v>
      </c>
      <c r="AP134" s="94">
        <f ca="1">(1+race_food_consumption)*TblPop[[#This Row],[Total]]*food_per_person*(1+tech_1_10*TblTech[[#This Row],[1-10]]+tech_7_5*TblTech[[#This Row],[7-5]] + IF(TblMagic[[#This Row],[Active Infernal Command]]&gt;0,demonic_pact_food_cons,0))</f>
        <v>192.25</v>
      </c>
      <c r="AQ134" s="94">
        <f ca="1">TblProd[[#This Row],[Lumber]]*lumber_rot * (1 + tech_2_1*TblTech[[#This Row],[2-1]] + tech_2_8*TblTech[[#This Row],[2-8]] + tech_5_2*TblTech[[#This Row],[5-2]] + IF(AND(TblMagic[[#This Row],[Active DnD]]&lt;12,TblMagic[[#This Row],[Active DnD]]&gt;5),1,0))</f>
        <v>769.83</v>
      </c>
      <c r="AR134" s="94">
        <f ca="1">TblProd[[#This Row],[Mana]]*mana_drain * (1 + tech_2_1*TblTech[[#This Row],[2-1]] + tech_2_8*TblTech[[#This Row],[2-8]])</f>
        <v>0</v>
      </c>
      <c r="AS134" s="154"/>
      <c r="AT134" s="94">
        <f ca="1">TblExplore[[#This Row],[Platinum (2)]]+TblConstr[[#This Row],[Total Plat Cost]]+TblMili[[#This Row],[Plat Cost]]+TblRezone[[#This Row],[Platinum cost]]+TblImps[[#This Row],[P1]]-TblProd[[#This Row],[Bank Plat]]</f>
        <v>0</v>
      </c>
      <c r="AU134" s="94">
        <f ca="1">TblConstr[[#This Row],[Total Lum Cost]]+TblImps[[#This Row],[L1]]-TblProd[[#This Row],[Bank Lumber]] + Military!$CO$25*TblMili[[#This Row],[Sec. rec. Cost]]</f>
        <v>0</v>
      </c>
      <c r="AV134" s="94">
        <f ca="1">TblMagic[[#This Row],[Mana cost]] + Military!$CO$26*TblMili[[#This Row],[Sec. rec. Cost]]</f>
        <v>0</v>
      </c>
      <c r="AW134" s="94">
        <f ca="1">Military!$CO$24*TblMili[[#This Row],[Sec. rec. Cost]]+TblImps[[#This Row],[O1]]-TblProd[[#This Row],[Bank Ore]]</f>
        <v>0</v>
      </c>
      <c r="AX134" s="94">
        <f>TblImps[[#This Row],[G1]]-TblProd[[#This Row],[Bank Gems]]</f>
        <v>0</v>
      </c>
      <c r="AY134" s="142"/>
      <c r="AZ134" s="61" t="b">
        <f ca="1">IF(TblProd[[#This Row],[Set Guard]]&lt;&gt;"",TblProd[[#This Row],[Set Guard]],OFFSET(TblProd[[#This Row],[Guard]],-1,0))</f>
        <v>0</v>
      </c>
      <c r="BA134" s="153"/>
      <c r="BB134" s="45">
        <f>TblProd[[#This Row],[Hour]]</f>
        <v>83</v>
      </c>
      <c r="BC134" s="158">
        <f>-TblProd[[#This Row],[Bank Lumber]] / 2 + -TblProd[[#This Row],[Bank Gems]] * 2 + -TblProd[[#This Row],[Bank Ore]] / 2</f>
        <v>0</v>
      </c>
      <c r="BD134" s="158"/>
      <c r="BE134" s="158"/>
      <c r="BF134" s="158"/>
      <c r="BG134" s="159">
        <f ca="1">TblProd[[#This Row],[Time]]</f>
        <v>46325.416666666351</v>
      </c>
      <c r="BH134" s="45"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94">
        <f ca="1">TblProd[[#This Row],[Platinum]]</f>
        <v>212640</v>
      </c>
      <c r="BJ134" s="94">
        <f ca="1">TblProd[[#This Row],[Food]]</f>
        <v>178188</v>
      </c>
      <c r="BK134" s="94">
        <f ca="1">TblProd[[#This Row],[Lumber]]</f>
        <v>76983</v>
      </c>
      <c r="BL134" s="94">
        <f ca="1">TblProd[[#This Row],[Mana]]</f>
        <v>0</v>
      </c>
      <c r="BM134" s="94">
        <f ca="1">TblProd[[#This Row],[Ore]]</f>
        <v>0</v>
      </c>
    </row>
    <row r="135" spans="1:65" x14ac:dyDescent="0.2">
      <c r="A135" s="137">
        <f t="shared" si="1"/>
        <v>84</v>
      </c>
      <c r="B135" s="152">
        <f ca="1">TblImps[[#This Row],[Time]]</f>
        <v>46325.458333333016</v>
      </c>
      <c r="C135" s="153"/>
      <c r="D135" s="154"/>
      <c r="E135" s="94">
        <f ca="1">TblConstr[[#This Row],[Land]]</f>
        <v>50</v>
      </c>
      <c r="F135" s="94">
        <f ca="1">TblPop[[#This Row],[Peasants]]</f>
        <v>130</v>
      </c>
      <c r="G135" s="94">
        <f ca="1">TblMili[[#This Row],[Networth (2)]]</f>
        <v>1250</v>
      </c>
      <c r="H135" s="94">
        <f ca="1">OFFSET(TblProd[[#This Row],[Platinum]],-1,0)+OFFSET(TblProd[[#This Row],[Plat/hr]],-1,0) - TblProd[[#This Row],[Expenses Platinum]] + IF(TblProd[[#This Row],[Plat Bonus]],TblPop[[#This Row],[Peasants]]*4) + SUM(TblConstr[[#This Row],[Dest Hom]:[Dest Doc]])*TblConstr[[#This Row],[CPA Platinum -DB]]*tech_3_3_2*TblTech[[#This Row],[3-3]]</f>
        <v>212993</v>
      </c>
      <c r="I135" s="94">
        <f ca="1">OFFSET(TblProd[[#This Row],[Food]],-1,0)+OFFSET(TblProd[[#This Row],[Food/hr]],-1,0)+ROUNDUP((TblConstr[[#This Row],[Farms]]*80+TblConstr[[#This Row],[Docks]]*35)*(1+OFFSET(TblProd[[#This Row],[Bonus Food/hr]],-1,0)),0)</f>
        <v>178794</v>
      </c>
      <c r="J135" s="94">
        <f ca="1">OFFSET(TblProd[[#This Row],[Lumber]],-1,0)+OFFSET(TblProd[[#This Row],[Lumber/hr]],-1,0) - TblProd[[#This Row],[Expenses Lumber]] + SUM(TblConstr[[#This Row],[Dest Hom]:[Dest Doc]])*TblConstr[[#This Row],[CPA Lumber -DB]]*tech_3_3_2*TblTech[[#This Row],[3-3]]</f>
        <v>77213</v>
      </c>
      <c r="K135" s="94">
        <f ca="1">OFFSET(TblProd[[#This Row],[Mana]],-1,0)+OFFSET(TblProd[[#This Row],[Mana/hr]],-1,0)- TblProd[[#This Row],[Expenses Mana]]</f>
        <v>0</v>
      </c>
      <c r="L135" s="94">
        <f ca="1">OFFSET(TblProd[[#This Row],[Ore]],-1,0)+OFFSET(TblProd[[#This Row],[Ore/hr]],-1,0) -TblProd[[#This Row],[Expenses Ore]]</f>
        <v>0</v>
      </c>
      <c r="M135" s="94">
        <f ca="1">OFFSET(TblProd[[#This Row],[Gems]],-1,0)+OFFSET(TblProd[[#This Row],[Gems/hr]],-1,0) - TblProd[[#This Row],[Expenses Gems]]</f>
        <v>0</v>
      </c>
      <c r="N135" s="94">
        <f ca="1">OFFSET(TblProd[[#This Row],[Boats]],-1,0)+OFFSET(TblProd[[#This Row],[Boats/hr]],-1,0)</f>
        <v>0</v>
      </c>
      <c r="O135" s="94">
        <f ca="1">OFFSET(TblProd[[#This Row],[Prestige]],-1,0)</f>
        <v>250</v>
      </c>
      <c r="P13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5" s="94">
        <f ca="1">MAX(_xlfn.CEILING.MATH(TblProd[[#This Row],[Land]]*2.5+IFERROR(OFFSET(TblTech[[#This Row],[Sum of tech]],-1,0)*50,0)),3750)</f>
        <v>3750</v>
      </c>
      <c r="R135" s="142"/>
      <c r="S135" s="94">
        <f ca="1">ROUNDDOWN(TblProd[[#This Row],[Raw Plat/hr]]*(1+TblProd[[#This Row],[Bonus Plat/hr]]),0)</f>
        <v>351</v>
      </c>
      <c r="T135" s="94">
        <f ca="1">ROUND(TblProd[[#This Row],[Raw Food/hr]]*(1+TblProd[[#This Row],[Bonus Food/hr]])-TblProd[[#This Row],[Food decay]]-TblProd[[#This Row],[Food eaten]],0)</f>
        <v>600</v>
      </c>
      <c r="U135" s="94">
        <f ca="1">ROUND(TblProd[[#This Row],[Raw Lumber/hr]]*(1+TblProd[[#This Row],[Bonus Lumber/hr]])-TblProd[[#This Row],[Lumber rot]],0)</f>
        <v>228</v>
      </c>
      <c r="V135" s="94">
        <f ca="1">ROUND(TblProd[[#This Row],[Raw Mana/hr]]*(1+TblProd[[#This Row],[Bonus Mana/hr]])-TblProd[[#This Row],[Mana drain]],0)</f>
        <v>0</v>
      </c>
      <c r="W135" s="94">
        <f ca="1">ROUNDDOWN(TblProd[[#This Row],[Raw Ore/hr]]*(1+TblProd[[#This Row],[Bonux Ore/hr]]),0)</f>
        <v>0</v>
      </c>
      <c r="X135" s="94">
        <f ca="1">ROUNDDOWN(TblProd[[#This Row],[Raw Gems/hr]]*(1+TblProd[[#This Row],[Bonus Gems/hr]]),0)</f>
        <v>0</v>
      </c>
      <c r="Y135" s="155">
        <f ca="1">OFFSET(TblConstr[[#This Row],[Tot Doc]],1,0)*dock_boats_hr * (1 + tech_4_1*TblTech[[#This Row],[4-1]])</f>
        <v>0</v>
      </c>
      <c r="Z135" s="154"/>
      <c r="AA135" s="94">
        <f ca="1">TblPop[[#This Row],[Peasants]]*tax*TblPop[[#This Row],[Employment]] + (Construction!AZ136+Construction!BX136)*(alch_plat+(Magic!AN135&gt;0)*alchemist_flame_bonus)</f>
        <v>351</v>
      </c>
      <c r="AB135" s="94">
        <f ca="1">TblConstr[[#This Row],[Tot Farm]]*farm_food + TblConstr[[#This Row],[Tot Doc]]*dock_food</f>
        <v>2400</v>
      </c>
      <c r="AC135" s="94">
        <f ca="1">TblConstr[[#This Row],[Tot Ly]]*ly_lumber + TblConstr[[#This Row],[Tot Hav]]*fh_lumber + IF(race="Wood Elf",TblMili[[#This Row],[Unit 2]]*MIN(TblMili[[#This Row],[Homeland%]]/wisp_bonus,wisp_cap),0)</f>
        <v>1000</v>
      </c>
      <c r="AD135" s="94">
        <f ca="1">OFFSET(TblConstr[[#This Row],[Tot Tow]],1,0)*(tower_mana + tech_4_5*TblTech[[#This Row],[4-5]]) + OFFSET(TblConstr[[#This Row],[Tot WG]],1,0)*wg_mana_prod</f>
        <v>0</v>
      </c>
      <c r="AE135" s="94">
        <f ca="1">OFFSET(TblConstr[[#This Row],[Tot OM]],1,0)*om_ore+IF(race="Dwarf",TblMili[[#This Row],[Unit 2]]*0.5,0)</f>
        <v>0</v>
      </c>
      <c r="AF135" s="94">
        <f ca="1">OFFSET(TblConstr[[#This Row],[Tot DM]],1,0)*dm_gems</f>
        <v>0</v>
      </c>
      <c r="AG135" s="142"/>
      <c r="AH135" s="156">
        <f ca="1">MIN(race_platinum_bonus + IF(TblMagic[[#This Row],[Active Arc Infusion]]&gt;0,alch_frost_bonus,IF(Magic!AE135&gt;0,midas_bonus)) + TblImps[[#This Row],[Science]] - TblProd[[#This Row],[Guard]]*(0.02 + tech_5_7*TblTech[[#This Row],[5-7]]) + tech_1_5*TblTech[[#This Row],[1-5]] + tech_4_4*TblTech[[#This Row],[4-4]] + IF(TblMagic[[#This Row],[Active Infernal Command]]&gt;0,demonic_pact_plat,0), 0.5)</f>
        <v>0</v>
      </c>
      <c r="AI13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5" s="156">
        <f ca="1">race_lumber_bonus+ IF(TblMagic[[#This Row],[Active Gaia''s Blessing]]&gt;0,gaias_blessing_lumber)+ tech_1_3*TblTech[[#This Row],[1-3]] + tech_1_6*TblTech[[#This Row],[1-6]] + tech_3_3*TblTech[[#This Row],[3-3]]</f>
        <v>0</v>
      </c>
      <c r="AK135" s="156">
        <f ca="1">race_mana_bonus+ 0 + TblImps[[#This Row],[Spires]] + tech_1_2*TblTech[[#This Row],[1-2]] + tech_3_4*TblTech[[#This Row],[3-4]]</f>
        <v>0</v>
      </c>
      <c r="AL135" s="156">
        <f ca="1">race_ore_bonus + IF(TblMagic[[#This Row],[Active Miner''s Sight]]&gt;0,miners_sight_bonus,IF(TblMagic[[#This Row],[Active Mining Strength]]&gt;0,mining_strength_bonus)) +  tech_1_6*TblTech[[#This Row],[1-6]]</f>
        <v>0</v>
      </c>
      <c r="AM135" s="156">
        <f>race_gem_bonus+ tech_3_2*TblTech[[#This Row],[3-2]] + tech_4_3*TblTech[[#This Row],[4-3]] + tech_6_2*TblTech[[#This Row],[6-2]]</f>
        <v>0</v>
      </c>
      <c r="AN135" s="142"/>
      <c r="AO135" s="94">
        <f ca="1">TblProd[[#This Row],[Food]]*food_decay * (1 + tech_2_1*TblTech[[#This Row],[2-1]] + tech_2_8*TblTech[[#This Row],[2-8]] + IF(AND(TblMagic[[#This Row],[Active DnD]]&lt;12,TblMagic[[#This Row],[Active DnD]]&gt;5),1,0))</f>
        <v>1787.94</v>
      </c>
      <c r="AP135" s="94">
        <f ca="1">(1+race_food_consumption)*TblPop[[#This Row],[Total]]*food_per_person*(1+tech_1_10*TblTech[[#This Row],[1-10]]+tech_7_5*TblTech[[#This Row],[7-5]] + IF(TblMagic[[#This Row],[Active Infernal Command]]&gt;0,demonic_pact_food_cons,0))</f>
        <v>192.25</v>
      </c>
      <c r="AQ135" s="94">
        <f ca="1">TblProd[[#This Row],[Lumber]]*lumber_rot * (1 + tech_2_1*TblTech[[#This Row],[2-1]] + tech_2_8*TblTech[[#This Row],[2-8]] + tech_5_2*TblTech[[#This Row],[5-2]] + IF(AND(TblMagic[[#This Row],[Active DnD]]&lt;12,TblMagic[[#This Row],[Active DnD]]&gt;5),1,0))</f>
        <v>772.13</v>
      </c>
      <c r="AR135" s="94">
        <f ca="1">TblProd[[#This Row],[Mana]]*mana_drain * (1 + tech_2_1*TblTech[[#This Row],[2-1]] + tech_2_8*TblTech[[#This Row],[2-8]])</f>
        <v>0</v>
      </c>
      <c r="AS135" s="154"/>
      <c r="AT135" s="94">
        <f ca="1">TblExplore[[#This Row],[Platinum (2)]]+TblConstr[[#This Row],[Total Plat Cost]]+TblMili[[#This Row],[Plat Cost]]+TblRezone[[#This Row],[Platinum cost]]+TblImps[[#This Row],[P1]]-TblProd[[#This Row],[Bank Plat]]</f>
        <v>0</v>
      </c>
      <c r="AU135" s="94">
        <f ca="1">TblConstr[[#This Row],[Total Lum Cost]]+TblImps[[#This Row],[L1]]-TblProd[[#This Row],[Bank Lumber]] + Military!$CO$25*TblMili[[#This Row],[Sec. rec. Cost]]</f>
        <v>0</v>
      </c>
      <c r="AV135" s="94">
        <f ca="1">TblMagic[[#This Row],[Mana cost]] + Military!$CO$26*TblMili[[#This Row],[Sec. rec. Cost]]</f>
        <v>0</v>
      </c>
      <c r="AW135" s="94">
        <f ca="1">Military!$CO$24*TblMili[[#This Row],[Sec. rec. Cost]]+TblImps[[#This Row],[O1]]-TblProd[[#This Row],[Bank Ore]]</f>
        <v>0</v>
      </c>
      <c r="AX135" s="94">
        <f>TblImps[[#This Row],[G1]]-TblProd[[#This Row],[Bank Gems]]</f>
        <v>0</v>
      </c>
      <c r="AY135" s="142"/>
      <c r="AZ135" s="61" t="b">
        <f ca="1">IF(TblProd[[#This Row],[Set Guard]]&lt;&gt;"",TblProd[[#This Row],[Set Guard]],OFFSET(TblProd[[#This Row],[Guard]],-1,0))</f>
        <v>0</v>
      </c>
      <c r="BA135" s="153"/>
      <c r="BB135" s="45">
        <f>TblProd[[#This Row],[Hour]]</f>
        <v>84</v>
      </c>
      <c r="BC135" s="158">
        <f>-TblProd[[#This Row],[Bank Lumber]] / 2 + -TblProd[[#This Row],[Bank Gems]] * 2 + -TblProd[[#This Row],[Bank Ore]] / 2</f>
        <v>0</v>
      </c>
      <c r="BD135" s="158"/>
      <c r="BE135" s="158"/>
      <c r="BF135" s="158"/>
      <c r="BG135" s="159">
        <f ca="1">TblProd[[#This Row],[Time]]</f>
        <v>46325.458333333016</v>
      </c>
      <c r="BH135" s="45"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94">
        <f ca="1">TblProd[[#This Row],[Platinum]]</f>
        <v>212993</v>
      </c>
      <c r="BJ135" s="94">
        <f ca="1">TblProd[[#This Row],[Food]]</f>
        <v>178794</v>
      </c>
      <c r="BK135" s="94">
        <f ca="1">TblProd[[#This Row],[Lumber]]</f>
        <v>77213</v>
      </c>
      <c r="BL135" s="94">
        <f ca="1">TblProd[[#This Row],[Mana]]</f>
        <v>0</v>
      </c>
      <c r="BM135" s="94">
        <f ca="1">TblProd[[#This Row],[Ore]]</f>
        <v>0</v>
      </c>
    </row>
    <row r="136" spans="1:65" x14ac:dyDescent="0.2">
      <c r="A136" s="137">
        <f t="shared" si="1"/>
        <v>85</v>
      </c>
      <c r="B136" s="152">
        <f ca="1">TblImps[[#This Row],[Time]]</f>
        <v>46325.49999999968</v>
      </c>
      <c r="C136" s="153"/>
      <c r="D136" s="154"/>
      <c r="E136" s="94">
        <f ca="1">TblConstr[[#This Row],[Land]]</f>
        <v>50</v>
      </c>
      <c r="F136" s="94">
        <f ca="1">TblPop[[#This Row],[Peasants]]</f>
        <v>129</v>
      </c>
      <c r="G136" s="94">
        <f ca="1">TblMili[[#This Row],[Networth (2)]]</f>
        <v>1250</v>
      </c>
      <c r="H136" s="94">
        <f ca="1">OFFSET(TblProd[[#This Row],[Platinum]],-1,0)+OFFSET(TblProd[[#This Row],[Plat/hr]],-1,0) - TblProd[[#This Row],[Expenses Platinum]] + IF(TblProd[[#This Row],[Plat Bonus]],TblPop[[#This Row],[Peasants]]*4) + SUM(TblConstr[[#This Row],[Dest Hom]:[Dest Doc]])*TblConstr[[#This Row],[CPA Platinum -DB]]*tech_3_3_2*TblTech[[#This Row],[3-3]]</f>
        <v>213344</v>
      </c>
      <c r="I136" s="94">
        <f ca="1">OFFSET(TblProd[[#This Row],[Food]],-1,0)+OFFSET(TblProd[[#This Row],[Food/hr]],-1,0)+ROUNDUP((TblConstr[[#This Row],[Farms]]*80+TblConstr[[#This Row],[Docks]]*35)*(1+OFFSET(TblProd[[#This Row],[Bonus Food/hr]],-1,0)),0)</f>
        <v>179394</v>
      </c>
      <c r="J136" s="94">
        <f ca="1">OFFSET(TblProd[[#This Row],[Lumber]],-1,0)+OFFSET(TblProd[[#This Row],[Lumber/hr]],-1,0) - TblProd[[#This Row],[Expenses Lumber]] + SUM(TblConstr[[#This Row],[Dest Hom]:[Dest Doc]])*TblConstr[[#This Row],[CPA Lumber -DB]]*tech_3_3_2*TblTech[[#This Row],[3-3]]</f>
        <v>77441</v>
      </c>
      <c r="K136" s="94">
        <f ca="1">OFFSET(TblProd[[#This Row],[Mana]],-1,0)+OFFSET(TblProd[[#This Row],[Mana/hr]],-1,0)- TblProd[[#This Row],[Expenses Mana]]</f>
        <v>0</v>
      </c>
      <c r="L136" s="94">
        <f ca="1">OFFSET(TblProd[[#This Row],[Ore]],-1,0)+OFFSET(TblProd[[#This Row],[Ore/hr]],-1,0) -TblProd[[#This Row],[Expenses Ore]]</f>
        <v>0</v>
      </c>
      <c r="M136" s="94">
        <f ca="1">OFFSET(TblProd[[#This Row],[Gems]],-1,0)+OFFSET(TblProd[[#This Row],[Gems/hr]],-1,0) - TblProd[[#This Row],[Expenses Gems]]</f>
        <v>0</v>
      </c>
      <c r="N136" s="94">
        <f ca="1">OFFSET(TblProd[[#This Row],[Boats]],-1,0)+OFFSET(TblProd[[#This Row],[Boats/hr]],-1,0)</f>
        <v>0</v>
      </c>
      <c r="O136" s="94">
        <f ca="1">OFFSET(TblProd[[#This Row],[Prestige]],-1,0)</f>
        <v>250</v>
      </c>
      <c r="P13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6" s="94">
        <f ca="1">MAX(_xlfn.CEILING.MATH(TblProd[[#This Row],[Land]]*2.5+IFERROR(OFFSET(TblTech[[#This Row],[Sum of tech]],-1,0)*50,0)),3750)</f>
        <v>3750</v>
      </c>
      <c r="R136" s="142"/>
      <c r="S136" s="94">
        <f ca="1">ROUNDDOWN(TblProd[[#This Row],[Raw Plat/hr]]*(1+TblProd[[#This Row],[Bonus Plat/hr]]),0)</f>
        <v>0</v>
      </c>
      <c r="T136" s="94">
        <f ca="1">ROUND(TblProd[[#This Row],[Raw Food/hr]]*(1+TblProd[[#This Row],[Bonus Food/hr]])-TblProd[[#This Row],[Food decay]]-TblProd[[#This Row],[Food eaten]],0)</f>
        <v>594</v>
      </c>
      <c r="U136" s="94">
        <f ca="1">ROUND(TblProd[[#This Row],[Raw Lumber/hr]]*(1+TblProd[[#This Row],[Bonus Lumber/hr]])-TblProd[[#This Row],[Lumber rot]],0)</f>
        <v>226</v>
      </c>
      <c r="V136" s="94">
        <f ca="1">ROUND(TblProd[[#This Row],[Raw Mana/hr]]*(1+TblProd[[#This Row],[Bonus Mana/hr]])-TblProd[[#This Row],[Mana drain]],0)</f>
        <v>0</v>
      </c>
      <c r="W136" s="94">
        <f ca="1">ROUNDDOWN(TblProd[[#This Row],[Raw Ore/hr]]*(1+TblProd[[#This Row],[Bonux Ore/hr]]),0)</f>
        <v>0</v>
      </c>
      <c r="X136" s="94">
        <f ca="1">ROUNDDOWN(TblProd[[#This Row],[Raw Gems/hr]]*(1+TblProd[[#This Row],[Bonus Gems/hr]]),0)</f>
        <v>0</v>
      </c>
      <c r="Y136" s="155">
        <f ca="1">OFFSET(TblConstr[[#This Row],[Tot Doc]],1,0)*dock_boats_hr * (1 + tech_4_1*TblTech[[#This Row],[4-1]])</f>
        <v>0</v>
      </c>
      <c r="Z136" s="154"/>
      <c r="AA136" s="94">
        <f ca="1">TblPop[[#This Row],[Peasants]]*tax*TblPop[[#This Row],[Employment]] + (Construction!AZ137+Construction!BX137)*(alch_plat+(Magic!AN136&gt;0)*alchemist_flame_bonus)</f>
        <v>0</v>
      </c>
      <c r="AB136" s="94">
        <f ca="1">TblConstr[[#This Row],[Tot Farm]]*farm_food + TblConstr[[#This Row],[Tot Doc]]*dock_food</f>
        <v>2400</v>
      </c>
      <c r="AC136" s="94">
        <f ca="1">TblConstr[[#This Row],[Tot Ly]]*ly_lumber + TblConstr[[#This Row],[Tot Hav]]*fh_lumber + IF(race="Wood Elf",TblMili[[#This Row],[Unit 2]]*MIN(TblMili[[#This Row],[Homeland%]]/wisp_bonus,wisp_cap),0)</f>
        <v>1000</v>
      </c>
      <c r="AD136" s="94">
        <f ca="1">OFFSET(TblConstr[[#This Row],[Tot Tow]],1,0)*(tower_mana + tech_4_5*TblTech[[#This Row],[4-5]]) + OFFSET(TblConstr[[#This Row],[Tot WG]],1,0)*wg_mana_prod</f>
        <v>0</v>
      </c>
      <c r="AE136" s="94">
        <f ca="1">OFFSET(TblConstr[[#This Row],[Tot OM]],1,0)*om_ore+IF(race="Dwarf",TblMili[[#This Row],[Unit 2]]*0.5,0)</f>
        <v>0</v>
      </c>
      <c r="AF136" s="94">
        <f ca="1">OFFSET(TblConstr[[#This Row],[Tot DM]],1,0)*dm_gems</f>
        <v>0</v>
      </c>
      <c r="AG136" s="142"/>
      <c r="AH136" s="156">
        <f ca="1">MIN(race_platinum_bonus + IF(TblMagic[[#This Row],[Active Arc Infusion]]&gt;0,alch_frost_bonus,IF(Magic!AE136&gt;0,midas_bonus)) + TblImps[[#This Row],[Science]] - TblProd[[#This Row],[Guard]]*(0.02 + tech_5_7*TblTech[[#This Row],[5-7]]) + tech_1_5*TblTech[[#This Row],[1-5]] + tech_4_4*TblTech[[#This Row],[4-4]] + IF(TblMagic[[#This Row],[Active Infernal Command]]&gt;0,demonic_pact_plat,0), 0.5)</f>
        <v>0</v>
      </c>
      <c r="AI13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6" s="156">
        <f ca="1">race_lumber_bonus+ IF(TblMagic[[#This Row],[Active Gaia''s Blessing]]&gt;0,gaias_blessing_lumber)+ tech_1_3*TblTech[[#This Row],[1-3]] + tech_1_6*TblTech[[#This Row],[1-6]] + tech_3_3*TblTech[[#This Row],[3-3]]</f>
        <v>0</v>
      </c>
      <c r="AK136" s="156">
        <f ca="1">race_mana_bonus+ 0 + TblImps[[#This Row],[Spires]] + tech_1_2*TblTech[[#This Row],[1-2]] + tech_3_4*TblTech[[#This Row],[3-4]]</f>
        <v>0</v>
      </c>
      <c r="AL136" s="156">
        <f ca="1">race_ore_bonus + IF(TblMagic[[#This Row],[Active Miner''s Sight]]&gt;0,miners_sight_bonus,IF(TblMagic[[#This Row],[Active Mining Strength]]&gt;0,mining_strength_bonus)) +  tech_1_6*TblTech[[#This Row],[1-6]]</f>
        <v>0</v>
      </c>
      <c r="AM136" s="156">
        <f>race_gem_bonus+ tech_3_2*TblTech[[#This Row],[3-2]] + tech_4_3*TblTech[[#This Row],[4-3]] + tech_6_2*TblTech[[#This Row],[6-2]]</f>
        <v>0</v>
      </c>
      <c r="AN136" s="142"/>
      <c r="AO136" s="94">
        <f ca="1">TblProd[[#This Row],[Food]]*food_decay * (1 + tech_2_1*TblTech[[#This Row],[2-1]] + tech_2_8*TblTech[[#This Row],[2-8]] + IF(AND(TblMagic[[#This Row],[Active DnD]]&lt;12,TblMagic[[#This Row],[Active DnD]]&gt;5),1,0))</f>
        <v>1793.94</v>
      </c>
      <c r="AP136" s="94">
        <f ca="1">(1+race_food_consumption)*TblPop[[#This Row],[Total]]*food_per_person*(1+tech_1_10*TblTech[[#This Row],[1-10]]+tech_7_5*TblTech[[#This Row],[7-5]] + IF(TblMagic[[#This Row],[Active Infernal Command]]&gt;0,demonic_pact_food_cons,0))</f>
        <v>192.25</v>
      </c>
      <c r="AQ136" s="94">
        <f ca="1">TblProd[[#This Row],[Lumber]]*lumber_rot * (1 + tech_2_1*TblTech[[#This Row],[2-1]] + tech_2_8*TblTech[[#This Row],[2-8]] + tech_5_2*TblTech[[#This Row],[5-2]] + IF(AND(TblMagic[[#This Row],[Active DnD]]&lt;12,TblMagic[[#This Row],[Active DnD]]&gt;5),1,0))</f>
        <v>774.41</v>
      </c>
      <c r="AR136" s="94">
        <f ca="1">TblProd[[#This Row],[Mana]]*mana_drain * (1 + tech_2_1*TblTech[[#This Row],[2-1]] + tech_2_8*TblTech[[#This Row],[2-8]])</f>
        <v>0</v>
      </c>
      <c r="AS136" s="154"/>
      <c r="AT136" s="94">
        <f ca="1">TblExplore[[#This Row],[Platinum (2)]]+TblConstr[[#This Row],[Total Plat Cost]]+TblMili[[#This Row],[Plat Cost]]+TblRezone[[#This Row],[Platinum cost]]+TblImps[[#This Row],[P1]]-TblProd[[#This Row],[Bank Plat]]</f>
        <v>0</v>
      </c>
      <c r="AU136" s="94">
        <f ca="1">TblConstr[[#This Row],[Total Lum Cost]]+TblImps[[#This Row],[L1]]-TblProd[[#This Row],[Bank Lumber]] + Military!$CO$25*TblMili[[#This Row],[Sec. rec. Cost]]</f>
        <v>0</v>
      </c>
      <c r="AV136" s="94">
        <f ca="1">TblMagic[[#This Row],[Mana cost]] + Military!$CO$26*TblMili[[#This Row],[Sec. rec. Cost]]</f>
        <v>0</v>
      </c>
      <c r="AW136" s="94">
        <f ca="1">Military!$CO$24*TblMili[[#This Row],[Sec. rec. Cost]]+TblImps[[#This Row],[O1]]-TblProd[[#This Row],[Bank Ore]]</f>
        <v>0</v>
      </c>
      <c r="AX136" s="94">
        <f>TblImps[[#This Row],[G1]]-TblProd[[#This Row],[Bank Gems]]</f>
        <v>0</v>
      </c>
      <c r="AY136" s="142"/>
      <c r="AZ136" s="61" t="b">
        <f ca="1">IF(TblProd[[#This Row],[Set Guard]]&lt;&gt;"",TblProd[[#This Row],[Set Guard]],OFFSET(TblProd[[#This Row],[Guard]],-1,0))</f>
        <v>0</v>
      </c>
      <c r="BA136" s="153"/>
      <c r="BB136" s="45">
        <f>TblProd[[#This Row],[Hour]]</f>
        <v>85</v>
      </c>
      <c r="BC136" s="158">
        <f>-TblProd[[#This Row],[Bank Lumber]] / 2 + -TblProd[[#This Row],[Bank Gems]] * 2 + -TblProd[[#This Row],[Bank Ore]] / 2</f>
        <v>0</v>
      </c>
      <c r="BD136" s="158"/>
      <c r="BE136" s="158"/>
      <c r="BF136" s="158"/>
      <c r="BG136" s="159">
        <f ca="1">TblProd[[#This Row],[Time]]</f>
        <v>46325.49999999968</v>
      </c>
      <c r="BH136" s="45"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94">
        <f ca="1">TblProd[[#This Row],[Platinum]]</f>
        <v>213344</v>
      </c>
      <c r="BJ136" s="94">
        <f ca="1">TblProd[[#This Row],[Food]]</f>
        <v>179394</v>
      </c>
      <c r="BK136" s="94">
        <f ca="1">TblProd[[#This Row],[Lumber]]</f>
        <v>77441</v>
      </c>
      <c r="BL136" s="94">
        <f ca="1">TblProd[[#This Row],[Mana]]</f>
        <v>0</v>
      </c>
      <c r="BM136" s="94">
        <f ca="1">TblProd[[#This Row],[Ore]]</f>
        <v>0</v>
      </c>
    </row>
    <row r="1269" spans="3:12" x14ac:dyDescent="0.2">
      <c r="C1269" s="531" t="s">
        <v>314</v>
      </c>
      <c r="D1269" s="487"/>
      <c r="L1269" s="57"/>
    </row>
    <row r="1270" spans="3:12" x14ac:dyDescent="0.2">
      <c r="C1270" s="28">
        <f>Overview!E17</f>
        <v>0</v>
      </c>
      <c r="D1270" s="28"/>
      <c r="E1270" s="168"/>
      <c r="F1270" s="168"/>
      <c r="G1270" s="168"/>
      <c r="H1270" s="168"/>
      <c r="I1270" s="168"/>
      <c r="J1270" s="168"/>
      <c r="K1270" s="64"/>
      <c r="L1270" s="169"/>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815" priority="58" stopIfTrue="1">
      <formula>ROW()-2=#REF!</formula>
    </cfRule>
  </conditionalFormatting>
  <conditionalFormatting sqref="A1269:XFD1270">
    <cfRule type="expression" dxfId="814" priority="59" stopIfTrue="1">
      <formula>$C$1270&gt;144</formula>
    </cfRule>
  </conditionalFormatting>
  <conditionalFormatting sqref="E4:Q136">
    <cfRule type="expression" dxfId="813" priority="39" stopIfTrue="1">
      <formula>OR(ROW()-3=$C$1270,E4&lt;0)</formula>
    </cfRule>
  </conditionalFormatting>
  <conditionalFormatting sqref="BH4:BH136">
    <cfRule type="cellIs" dxfId="812" priority="61" stopIfTrue="1" operator="equal">
      <formula>"Nope"</formula>
    </cfRule>
  </conditionalFormatting>
  <conditionalFormatting sqref="A4:BM136">
    <cfRule type="expression" dxfId="811" priority="1" stopIfTrue="1">
      <formula>ROW()-3=$C$1270</formula>
    </cfRule>
    <cfRule type="expression" dxfId="810" priority="56">
      <formula>$A4="OOP"</formula>
    </cfRule>
    <cfRule type="expression" dxfId="809" priority="57">
      <formula>ROUND(($A4-1)/12,0)=INT($A4-1)/12</formula>
    </cfRule>
  </conditionalFormatting>
  <conditionalFormatting sqref="A1:XFD3">
    <cfRule type="expression" dxfId="808"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ColWidth="9.140625" defaultRowHeight="12.75" x14ac:dyDescent="0.2"/>
  <cols>
    <col min="1" max="1" width="8.5703125" style="177" customWidth="1"/>
    <col min="2" max="3" width="11.42578125" style="177" customWidth="1"/>
    <col min="4" max="4" width="12.5703125" style="45" customWidth="1"/>
    <col min="5" max="5" width="2.85546875" style="45" customWidth="1"/>
    <col min="6" max="6" width="8.85546875" style="57" customWidth="1"/>
    <col min="7" max="7" width="7" style="57" bestFit="1" customWidth="1"/>
    <col min="8" max="8" width="6.85546875" style="57" customWidth="1"/>
    <col min="9" max="9" width="9.42578125" style="57" customWidth="1"/>
    <col min="10" max="10" width="4.28515625" style="57" bestFit="1" customWidth="1"/>
    <col min="11" max="11" width="7.85546875" style="57" customWidth="1"/>
    <col min="12" max="12" width="7.5703125" style="57" customWidth="1"/>
    <col min="13" max="13" width="6.140625" style="107" bestFit="1" customWidth="1"/>
    <col min="14" max="14" width="5.5703125" style="57" customWidth="1"/>
    <col min="15" max="15" width="5" style="45" customWidth="1"/>
    <col min="16" max="17" width="4.140625" style="45" bestFit="1" customWidth="1"/>
    <col min="18" max="18" width="4.28515625" style="45" customWidth="1"/>
    <col min="19" max="19" width="4.7109375" style="45" customWidth="1"/>
    <col min="20" max="27" width="4.140625" style="45" bestFit="1" customWidth="1"/>
    <col min="28" max="28" width="4.85546875" style="45" customWidth="1"/>
    <col min="29" max="29" width="5" style="45" customWidth="1"/>
    <col min="30" max="33" width="4.140625" style="45" bestFit="1" customWidth="1"/>
    <col min="34" max="34" width="6.42578125" style="45" bestFit="1" customWidth="1"/>
    <col min="35" max="35" width="7.5703125" style="45" bestFit="1" customWidth="1"/>
    <col min="36" max="36" width="7" style="45" bestFit="1" customWidth="1"/>
    <col min="37" max="37" width="8.85546875" style="45" customWidth="1"/>
    <col min="38" max="38" width="8.28515625" style="45" customWidth="1"/>
    <col min="39" max="39" width="11.5703125" style="45" customWidth="1"/>
    <col min="40" max="41" width="11.85546875" style="45" customWidth="1"/>
    <col min="42" max="42" width="10.85546875" style="45" customWidth="1"/>
    <col min="43" max="44" width="8.7109375" style="45" customWidth="1"/>
    <col min="45" max="45" width="8.140625" style="45" customWidth="1"/>
    <col min="46" max="46" width="8.5703125" style="45" customWidth="1"/>
    <col min="47" max="47" width="3.28515625" style="45" customWidth="1"/>
    <col min="48" max="49" width="9.85546875" style="45" customWidth="1"/>
    <col min="50" max="50" width="3.28515625" style="45" customWidth="1"/>
    <col min="51" max="51" width="7.85546875" style="57" bestFit="1" customWidth="1"/>
    <col min="52" max="52" width="6.7109375" style="57" bestFit="1" customWidth="1"/>
    <col min="53" max="53" width="8.140625" style="57" bestFit="1" customWidth="1"/>
    <col min="54" max="54" width="7" style="57" bestFit="1" customWidth="1"/>
    <col min="55" max="55" width="7.28515625" style="57" bestFit="1" customWidth="1"/>
    <col min="56" max="56" width="5.85546875" style="57" bestFit="1" customWidth="1"/>
    <col min="57" max="58" width="7" style="57" bestFit="1" customWidth="1"/>
    <col min="59" max="59" width="6.5703125" style="57" bestFit="1" customWidth="1"/>
    <col min="60" max="60" width="6.7109375" style="57" bestFit="1" customWidth="1"/>
    <col min="61" max="61" width="6.140625" style="57" bestFit="1" customWidth="1"/>
    <col min="62" max="63" width="6.7109375" style="57" bestFit="1" customWidth="1"/>
    <col min="64" max="64" width="7.42578125" style="57" bestFit="1" customWidth="1"/>
    <col min="65" max="65" width="7.5703125" style="57" bestFit="1" customWidth="1"/>
    <col min="66" max="66" width="8.42578125" style="57" bestFit="1" customWidth="1"/>
    <col min="67" max="67" width="7" style="57" bestFit="1" customWidth="1"/>
    <col min="68" max="68" width="6.85546875" style="57" bestFit="1" customWidth="1"/>
    <col min="69" max="69" width="7.140625" style="57" bestFit="1" customWidth="1"/>
    <col min="70" max="70" width="3" style="45" bestFit="1" customWidth="1"/>
    <col min="71" max="71" width="4.140625" style="45" customWidth="1"/>
    <col min="72" max="72" width="10.140625" style="45" customWidth="1"/>
    <col min="73" max="73" width="10.42578125" style="45" customWidth="1"/>
    <col min="74" max="74" width="4.140625" style="45" customWidth="1"/>
    <col min="75" max="75" width="5.85546875" style="45" bestFit="1" customWidth="1"/>
    <col min="76" max="76" width="5.28515625" style="45" customWidth="1"/>
    <col min="77" max="77" width="5.85546875" style="45" bestFit="1" customWidth="1"/>
    <col min="78" max="87" width="5.28515625" style="45" customWidth="1"/>
    <col min="88" max="88" width="5.7109375" style="45" bestFit="1" customWidth="1"/>
    <col min="89" max="89" width="5.85546875" style="45" bestFit="1" customWidth="1"/>
    <col min="90" max="93" width="5.28515625" style="45" customWidth="1"/>
    <col min="94" max="94" width="3.85546875" style="45" hidden="1" customWidth="1"/>
    <col min="95" max="95" width="8" style="57" hidden="1" customWidth="1"/>
    <col min="96" max="96" width="9" style="57" hidden="1" customWidth="1"/>
    <col min="97" max="97" width="11.85546875" style="57" hidden="1" customWidth="1"/>
    <col min="98" max="98" width="6.85546875" style="57" hidden="1" customWidth="1"/>
    <col min="99" max="99" width="9.7109375" style="57" hidden="1" customWidth="1"/>
    <col min="100" max="100" width="9.5703125" style="57" hidden="1" customWidth="1"/>
    <col min="101" max="101" width="9" style="57" hidden="1" customWidth="1"/>
    <col min="102" max="102" width="11.85546875" style="45" hidden="1" customWidth="1"/>
    <col min="103" max="103" width="2.7109375" style="45" hidden="1" customWidth="1"/>
    <col min="104" max="114" width="10.7109375" style="45" hidden="1" customWidth="1"/>
    <col min="115" max="16384" width="9.140625" style="45"/>
  </cols>
  <sheetData>
    <row r="1" spans="1:114" x14ac:dyDescent="0.2">
      <c r="A1" s="173"/>
      <c r="B1" s="173"/>
      <c r="C1" s="173"/>
      <c r="D1" s="5"/>
      <c r="E1" s="5"/>
      <c r="F1" s="28"/>
      <c r="G1" s="28" t="s">
        <v>54</v>
      </c>
      <c r="H1" s="28"/>
      <c r="I1" s="28"/>
      <c r="J1" s="28"/>
      <c r="K1" s="28"/>
      <c r="L1" s="28"/>
      <c r="M1" s="28"/>
      <c r="N1" s="28"/>
      <c r="O1" s="534" t="s">
        <v>56</v>
      </c>
      <c r="P1" s="534"/>
      <c r="Q1" s="487"/>
      <c r="R1" s="5"/>
      <c r="S1" s="5"/>
      <c r="T1" s="5"/>
      <c r="U1" s="5"/>
      <c r="V1" s="5"/>
      <c r="W1" s="5"/>
      <c r="X1" s="5"/>
      <c r="Y1" s="5"/>
      <c r="Z1" s="5"/>
      <c r="AA1" s="5"/>
      <c r="AB1" s="5"/>
      <c r="AC1" s="5"/>
      <c r="AD1" s="5"/>
      <c r="AE1" s="5"/>
      <c r="AF1" s="5"/>
      <c r="AG1" s="5"/>
      <c r="AH1" s="5"/>
      <c r="AI1" s="174" t="s">
        <v>513</v>
      </c>
      <c r="AJ1" s="174" t="s">
        <v>516</v>
      </c>
      <c r="AK1" s="534" t="s">
        <v>77</v>
      </c>
      <c r="AL1" s="534"/>
      <c r="AM1" s="532" t="s">
        <v>514</v>
      </c>
      <c r="AN1" s="532"/>
      <c r="AO1" s="532" t="s">
        <v>515</v>
      </c>
      <c r="AP1" s="532"/>
      <c r="AQ1" s="532" t="s">
        <v>512</v>
      </c>
      <c r="AR1" s="532"/>
      <c r="AS1" s="5"/>
      <c r="AT1" s="5"/>
      <c r="AU1" s="5"/>
      <c r="AV1" s="5" t="s">
        <v>511</v>
      </c>
      <c r="AW1" s="5"/>
      <c r="AX1" s="5"/>
      <c r="AY1" s="532" t="s">
        <v>53</v>
      </c>
      <c r="AZ1" s="532"/>
      <c r="BA1" s="532"/>
      <c r="BB1" s="28"/>
      <c r="BC1" s="28"/>
      <c r="BD1" s="28"/>
      <c r="BE1" s="28"/>
      <c r="BF1" s="28"/>
      <c r="BG1" s="28"/>
      <c r="BH1" s="28"/>
      <c r="BI1" s="28"/>
      <c r="BJ1" s="28"/>
      <c r="BK1" s="28"/>
      <c r="BL1" s="28"/>
      <c r="BM1" s="28"/>
      <c r="BN1" s="28"/>
      <c r="BO1" s="28"/>
      <c r="BP1" s="28"/>
      <c r="BQ1" s="28"/>
      <c r="BR1" s="5"/>
      <c r="BS1" s="5"/>
      <c r="BT1" s="5"/>
      <c r="BU1" s="5"/>
      <c r="BV1" s="5"/>
      <c r="BW1" s="534" t="s">
        <v>84</v>
      </c>
      <c r="BX1" s="534"/>
      <c r="BY1" s="5"/>
      <c r="BZ1" s="5"/>
      <c r="CA1" s="5"/>
      <c r="CB1" s="5"/>
      <c r="CC1" s="5"/>
      <c r="CD1" s="5"/>
      <c r="CE1" s="5"/>
      <c r="CF1" s="5"/>
      <c r="CG1" s="5"/>
      <c r="CH1" s="5"/>
      <c r="CI1" s="5"/>
      <c r="CJ1" s="5"/>
      <c r="CK1" s="5"/>
      <c r="CL1" s="5"/>
      <c r="CM1" s="5"/>
      <c r="CN1" s="5"/>
      <c r="CO1" s="5"/>
      <c r="CP1" s="5"/>
      <c r="CQ1" s="532" t="s">
        <v>18</v>
      </c>
      <c r="CR1" s="532"/>
      <c r="CS1" s="28"/>
      <c r="CT1" s="28"/>
      <c r="CU1" s="28"/>
      <c r="CV1" s="28"/>
      <c r="CW1" s="28"/>
      <c r="CX1" s="5"/>
      <c r="CY1" s="5"/>
      <c r="CZ1" s="534" t="s">
        <v>293</v>
      </c>
      <c r="DA1" s="534"/>
      <c r="DB1" s="534"/>
      <c r="DC1" s="534"/>
      <c r="DD1" s="534"/>
      <c r="DE1" s="5"/>
      <c r="DF1" s="5"/>
      <c r="DG1" s="534" t="s">
        <v>257</v>
      </c>
      <c r="DH1" s="534"/>
      <c r="DI1" s="5" t="s">
        <v>531</v>
      </c>
      <c r="DJ1" s="5"/>
    </row>
    <row r="2" spans="1:114" x14ac:dyDescent="0.2">
      <c r="A2" s="173"/>
      <c r="B2" s="173"/>
      <c r="C2" s="173"/>
      <c r="D2" s="5"/>
      <c r="E2" s="5"/>
      <c r="F2" s="28"/>
      <c r="G2" s="28"/>
      <c r="H2" s="28"/>
      <c r="I2" s="28"/>
      <c r="J2" s="28"/>
      <c r="K2" s="28"/>
      <c r="L2" s="28"/>
      <c r="M2" s="28"/>
      <c r="N2" s="28"/>
      <c r="O2" s="5"/>
      <c r="P2" s="5"/>
      <c r="R2" s="5"/>
      <c r="S2" s="5"/>
      <c r="T2" s="5"/>
      <c r="U2" s="5"/>
      <c r="V2" s="5"/>
      <c r="W2" s="5"/>
      <c r="X2" s="5"/>
      <c r="Y2" s="5"/>
      <c r="Z2" s="5"/>
      <c r="AA2" s="5"/>
      <c r="AB2" s="5"/>
      <c r="AC2" s="5"/>
      <c r="AD2" s="5"/>
      <c r="AE2" s="5"/>
      <c r="AF2" s="5"/>
      <c r="AG2" s="5"/>
      <c r="AH2" s="5"/>
      <c r="AI2" s="174"/>
      <c r="AJ2" s="174"/>
      <c r="AK2" s="5"/>
      <c r="AL2" s="5"/>
      <c r="AM2" s="28"/>
      <c r="AN2" s="28"/>
      <c r="AO2" s="28"/>
      <c r="AP2" s="28"/>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28"/>
      <c r="CR2" s="28"/>
      <c r="CS2" s="28"/>
      <c r="CT2" s="28"/>
      <c r="CU2" s="28"/>
      <c r="CV2" s="28"/>
      <c r="CW2" s="28"/>
      <c r="CX2" s="5"/>
      <c r="CY2" s="5"/>
      <c r="CZ2" s="5"/>
      <c r="DA2" s="5"/>
      <c r="DB2" s="5"/>
      <c r="DC2" s="5"/>
      <c r="DD2" s="5"/>
      <c r="DE2" s="5"/>
      <c r="DF2" s="5"/>
      <c r="DG2" s="5"/>
      <c r="DH2" s="5"/>
      <c r="DI2" s="5"/>
      <c r="DJ2" s="5"/>
    </row>
    <row r="3" spans="1:114" ht="29.1" customHeight="1" x14ac:dyDescent="0.2">
      <c r="A3" s="135" t="s">
        <v>0</v>
      </c>
      <c r="B3" s="135" t="s">
        <v>54</v>
      </c>
      <c r="C3" s="135" t="s">
        <v>53</v>
      </c>
      <c r="D3" s="135" t="s">
        <v>992</v>
      </c>
      <c r="E3" s="135" t="s">
        <v>765</v>
      </c>
      <c r="F3" s="135" t="s">
        <v>1</v>
      </c>
      <c r="G3" s="170" t="s">
        <v>243</v>
      </c>
      <c r="H3" s="135" t="s">
        <v>58</v>
      </c>
      <c r="I3" s="135" t="s">
        <v>245</v>
      </c>
      <c r="J3" s="135" t="s">
        <v>244</v>
      </c>
      <c r="K3" s="135" t="s">
        <v>60</v>
      </c>
      <c r="L3" s="135" t="s">
        <v>242</v>
      </c>
      <c r="M3" s="135" t="s">
        <v>62</v>
      </c>
      <c r="N3" s="135" t="s">
        <v>1035</v>
      </c>
      <c r="O3" s="171" t="s">
        <v>72</v>
      </c>
      <c r="P3" s="171" t="s">
        <v>71</v>
      </c>
      <c r="Q3" s="171" t="s">
        <v>70</v>
      </c>
      <c r="R3" s="171" t="s">
        <v>69</v>
      </c>
      <c r="S3" s="171" t="s">
        <v>68</v>
      </c>
      <c r="T3" s="171" t="s">
        <v>63</v>
      </c>
      <c r="U3" s="171" t="s">
        <v>346</v>
      </c>
      <c r="V3" s="171" t="s">
        <v>64</v>
      </c>
      <c r="W3" s="171" t="s">
        <v>65</v>
      </c>
      <c r="X3" s="171" t="s">
        <v>66</v>
      </c>
      <c r="Y3" s="171" t="s">
        <v>67</v>
      </c>
      <c r="Z3" s="171" t="s">
        <v>348</v>
      </c>
      <c r="AA3" s="171" t="s">
        <v>351</v>
      </c>
      <c r="AB3" s="171" t="s">
        <v>74</v>
      </c>
      <c r="AC3" s="171" t="s">
        <v>349</v>
      </c>
      <c r="AD3" s="171" t="s">
        <v>295</v>
      </c>
      <c r="AE3" s="171" t="s">
        <v>75</v>
      </c>
      <c r="AF3" s="171" t="s">
        <v>369</v>
      </c>
      <c r="AG3" s="171" t="s">
        <v>76</v>
      </c>
      <c r="AH3" s="135" t="s">
        <v>361</v>
      </c>
      <c r="AI3" s="135" t="s">
        <v>805</v>
      </c>
      <c r="AJ3" s="135" t="s">
        <v>806</v>
      </c>
      <c r="AK3" s="135" t="s">
        <v>2</v>
      </c>
      <c r="AL3" s="135" t="s">
        <v>7</v>
      </c>
      <c r="AM3" s="135" t="s">
        <v>801</v>
      </c>
      <c r="AN3" s="135" t="s">
        <v>802</v>
      </c>
      <c r="AO3" s="135" t="s">
        <v>803</v>
      </c>
      <c r="AP3" s="135" t="s">
        <v>804</v>
      </c>
      <c r="AQ3" s="135" t="s">
        <v>1024</v>
      </c>
      <c r="AR3" s="135" t="s">
        <v>1025</v>
      </c>
      <c r="AS3" s="135" t="s">
        <v>517</v>
      </c>
      <c r="AT3" s="135" t="s">
        <v>518</v>
      </c>
      <c r="AU3" s="135" t="s">
        <v>766</v>
      </c>
      <c r="AV3" s="135" t="s">
        <v>807</v>
      </c>
      <c r="AW3" s="135" t="s">
        <v>808</v>
      </c>
      <c r="AX3" s="135" t="s">
        <v>767</v>
      </c>
      <c r="AY3" s="170" t="s">
        <v>809</v>
      </c>
      <c r="AZ3" s="135" t="s">
        <v>810</v>
      </c>
      <c r="BA3" s="135" t="s">
        <v>811</v>
      </c>
      <c r="BB3" s="135" t="s">
        <v>812</v>
      </c>
      <c r="BC3" s="135" t="s">
        <v>813</v>
      </c>
      <c r="BD3" s="135" t="s">
        <v>814</v>
      </c>
      <c r="BE3" s="135" t="s">
        <v>815</v>
      </c>
      <c r="BF3" s="135" t="s">
        <v>816</v>
      </c>
      <c r="BG3" s="135" t="s">
        <v>817</v>
      </c>
      <c r="BH3" s="135" t="s">
        <v>818</v>
      </c>
      <c r="BI3" s="135" t="s">
        <v>819</v>
      </c>
      <c r="BJ3" s="135" t="s">
        <v>820</v>
      </c>
      <c r="BK3" s="135" t="s">
        <v>821</v>
      </c>
      <c r="BL3" s="135" t="s">
        <v>822</v>
      </c>
      <c r="BM3" s="135" t="s">
        <v>823</v>
      </c>
      <c r="BN3" s="135" t="s">
        <v>824</v>
      </c>
      <c r="BO3" s="135" t="s">
        <v>825</v>
      </c>
      <c r="BP3" s="135" t="s">
        <v>826</v>
      </c>
      <c r="BQ3" s="172" t="s">
        <v>827</v>
      </c>
      <c r="BR3" s="135" t="s">
        <v>780</v>
      </c>
      <c r="BS3" s="135" t="s">
        <v>781</v>
      </c>
      <c r="BT3" s="135" t="s">
        <v>872</v>
      </c>
      <c r="BU3" s="135" t="s">
        <v>850</v>
      </c>
      <c r="BV3" s="135" t="s">
        <v>782</v>
      </c>
      <c r="BW3" s="135" t="s">
        <v>1007</v>
      </c>
      <c r="BX3" s="135" t="s">
        <v>892</v>
      </c>
      <c r="BY3" s="135" t="s">
        <v>893</v>
      </c>
      <c r="BZ3" s="135" t="s">
        <v>894</v>
      </c>
      <c r="CA3" s="135" t="s">
        <v>895</v>
      </c>
      <c r="CB3" s="135" t="s">
        <v>896</v>
      </c>
      <c r="CC3" s="135" t="s">
        <v>897</v>
      </c>
      <c r="CD3" s="135" t="s">
        <v>898</v>
      </c>
      <c r="CE3" s="135" t="s">
        <v>899</v>
      </c>
      <c r="CF3" s="135" t="s">
        <v>900</v>
      </c>
      <c r="CG3" s="135" t="s">
        <v>901</v>
      </c>
      <c r="CH3" s="135" t="s">
        <v>902</v>
      </c>
      <c r="CI3" s="135" t="s">
        <v>903</v>
      </c>
      <c r="CJ3" s="135" t="s">
        <v>904</v>
      </c>
      <c r="CK3" s="135" t="s">
        <v>905</v>
      </c>
      <c r="CL3" s="135" t="s">
        <v>906</v>
      </c>
      <c r="CM3" s="135" t="s">
        <v>907</v>
      </c>
      <c r="CN3" s="135" t="s">
        <v>908</v>
      </c>
      <c r="CO3" s="135" t="s">
        <v>909</v>
      </c>
      <c r="CP3" s="135" t="s">
        <v>856</v>
      </c>
      <c r="CQ3" s="135" t="s">
        <v>793</v>
      </c>
      <c r="CR3" s="135" t="s">
        <v>794</v>
      </c>
      <c r="CS3" s="135" t="s">
        <v>795</v>
      </c>
      <c r="CT3" s="135" t="s">
        <v>796</v>
      </c>
      <c r="CU3" s="135" t="s">
        <v>797</v>
      </c>
      <c r="CV3" s="135" t="s">
        <v>798</v>
      </c>
      <c r="CW3" s="135" t="s">
        <v>799</v>
      </c>
      <c r="CX3" s="135" t="s">
        <v>257</v>
      </c>
      <c r="CY3" s="135" t="s">
        <v>857</v>
      </c>
      <c r="CZ3" s="135" t="s">
        <v>861</v>
      </c>
      <c r="DA3" s="135" t="s">
        <v>862</v>
      </c>
      <c r="DB3" s="135" t="s">
        <v>863</v>
      </c>
      <c r="DC3" s="135" t="s">
        <v>864</v>
      </c>
      <c r="DD3" s="135" t="s">
        <v>865</v>
      </c>
      <c r="DE3" s="135" t="s">
        <v>866</v>
      </c>
      <c r="DF3" s="135" t="s">
        <v>867</v>
      </c>
      <c r="DG3" s="135" t="s">
        <v>800</v>
      </c>
      <c r="DH3" s="135" t="s">
        <v>294</v>
      </c>
      <c r="DI3" s="135" t="s">
        <v>532</v>
      </c>
      <c r="DJ3" s="135" t="s">
        <v>533</v>
      </c>
    </row>
    <row r="4" spans="1:114" x14ac:dyDescent="0.2">
      <c r="A4" s="175">
        <f>TblRezone[[#This Row],[Hour]]</f>
        <v>1</v>
      </c>
      <c r="B4" s="176">
        <f ca="1">SUM(TblConstr[[#This Row],[Plain]:[Water]])</f>
        <v>0</v>
      </c>
      <c r="C4" s="177">
        <f>SUM(TblConstr[[#This Row],[Tot Hom]:[Tot Doc]])</f>
        <v>50</v>
      </c>
      <c r="D4" s="177">
        <f>SUM(O$4:AG4)</f>
        <v>0</v>
      </c>
      <c r="E4" s="178"/>
      <c r="F4" s="61">
        <f ca="1">TblConstr[[#This Row],[Barren]]+TblConstr[[#This Row],[Buildings]]+TblConstr[[#This Row],[Incoming]]</f>
        <v>50</v>
      </c>
      <c r="G4" s="380">
        <f ca="1">start_plains+TblConstr[[#This Row],[Ch_Plain]]</f>
        <v>0</v>
      </c>
      <c r="H4" s="381">
        <f ca="1">start_forest+TblConstr[[#This Row],[Ch_Forest]]</f>
        <v>0</v>
      </c>
      <c r="I4" s="382">
        <f ca="1">start_mountains+TblConstr[[#This Row],[Ch_Mountain]]</f>
        <v>0</v>
      </c>
      <c r="J4" s="383">
        <f ca="1">start_hills+TblConstr[[#This Row],[Ch_Hill]]</f>
        <v>0</v>
      </c>
      <c r="K4" s="384">
        <f ca="1">start_swamp+TblConstr[[#This Row],[Ch_Swamp]]</f>
        <v>0</v>
      </c>
      <c r="L4" s="385">
        <f ca="1">start_caverns+TblConstr[[#This Row],[Ch_Cavern]]</f>
        <v>0</v>
      </c>
      <c r="M4" s="386">
        <f ca="1">start_water+TblConstr[[#This Row],[Ch_Water]]</f>
        <v>0</v>
      </c>
      <c r="N4" s="357">
        <f>TblRezone[[#This Row],[Hour]]</f>
        <v>1</v>
      </c>
      <c r="O4" s="179"/>
      <c r="P4" s="158"/>
      <c r="Q4" s="179"/>
      <c r="R4" s="179"/>
      <c r="S4" s="179"/>
      <c r="T4" s="179"/>
      <c r="U4" s="179"/>
      <c r="V4" s="179"/>
      <c r="W4" s="179"/>
      <c r="X4" s="158"/>
      <c r="Y4" s="179"/>
      <c r="Z4" s="179"/>
      <c r="AA4" s="179"/>
      <c r="AB4" s="179"/>
      <c r="AC4" s="158"/>
      <c r="AD4" s="179"/>
      <c r="AE4" s="179"/>
      <c r="AF4" s="179"/>
      <c r="AG4" s="158"/>
      <c r="AH4" s="53">
        <f>TblImps[[#This Row],[Time]]</f>
        <v>46320</v>
      </c>
      <c r="AI4" s="180">
        <f ca="1">MIN(25%,(TblConstr[[#This Row],[Tot Fac]]+TblConstr[[#This Row],[Dest Fac]])/(TblConstr[[#This Row],[Land]]-TblExplore[[#This Row],[Land Bonus]]*20))</f>
        <v>0</v>
      </c>
      <c r="AJ4" s="180">
        <f ca="1">MIN(25%,(TblConstr[[#This Row],[Tot Fac]]+TblConstr[[#This Row],[Dest Fac]])/TblConstr[[#This Row],[Land]])</f>
        <v>0</v>
      </c>
      <c r="AK4" s="94">
        <f ca="1">TblProd[[#This Row],[Platinum]]</f>
        <v>120000</v>
      </c>
      <c r="AL4" s="94">
        <f ca="1">TblProd[[#This Row],[Lumber]]</f>
        <v>15000</v>
      </c>
      <c r="AM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 s="94">
        <f ca="1">ROUNDDOWN( MAX(1 - MIN(facs_constr_factor*TblConstr[[#This Row],[Facs -DB]],facs_constr_max) + tech_1_11*TblTech[[#This Row],[11-1]] + tech_6_3_2*TblTech[[#This Row],[6-3]] + tech_5_2_3*TblTech[[#This Row],[5-2]], 1-global_constr_cap) * TblConstr[[#This Row],[RCPA Lumber]],0)</f>
        <v>31</v>
      </c>
      <c r="AO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 s="94">
        <f ca="1">ROUNDDOWN( MAX(1 - MIN(facs_constr_factor*TblConstr[[#This Row],[Facs DB]],facs_constr_max) + tech_1_11*TblTech[[#This Row],[1-11]] + tech_6_3_2*TblTech[[#This Row],[6-3]] + tech_5_2_3*TblTech[[#This Row],[5-2]], 1-global_constr_cap) * ROUND((TblConstr[[#This Row],[Land]]-250)*0.285 + 87.5 + 0/4.25,0),0)</f>
        <v>31</v>
      </c>
      <c r="AQ4" s="45">
        <f ca="1">TblConstr[[#This Row],[build -db]]*TblConstr[[#This Row],[CPA Platinum -DB]] + TblConstr[[#This Row],[build db]]*TblConstr[[#This Row],[CPA Platinum DB]]</f>
        <v>0</v>
      </c>
      <c r="AR4" s="387">
        <f ca="1">TblConstr[[#This Row],[build -db]]*TblConstr[[#This Row],[CPA Lumber -DB]] + TblConstr[[#This Row],[build db]]*TblConstr[[#This Row],[CPA Lumber DB]]</f>
        <v>0</v>
      </c>
      <c r="AS4" s="378">
        <f>MIN(SUM(Constants!A30:G30)+SUM(TblConstr[[#This Row],[Dest Hom]:[Dest Doc]]),SUM(TblConstr[[#This Row],[Hom]:[Doc]]))</f>
        <v>0</v>
      </c>
      <c r="AT4" s="387">
        <f>IF(TblExplore[[#This Row],[Land Bonus]]&lt;&gt;0,MAX(0, MIN(20, 20 + SUM(TblConstr[[#This Row],[Hom]:[Doc]]) - SUM(TblConstr[[#This Row],[Dest Hom]:[Dest Doc]]) - SUM(Constants!A$30:G$30)-20*TblExplore[[#This Row],[Land Bonus]])),0)</f>
        <v>0</v>
      </c>
      <c r="AU4" s="142"/>
      <c r="AV4" s="94">
        <f ca="1">ROUND((TblConstr[[#This Row],[Land]]-250 - IF(TblExplore[[#This Row],[Land Bonus]]&lt;&gt;0,20,0))*1.25 + 850 + 0,0)</f>
        <v>600</v>
      </c>
      <c r="AW4" s="94">
        <f ca="1">ROUND((TblConstr[[#This Row],[Land]]-250 - IF(TblExplore[[#This Row],[Land Bonus]]&lt;&gt;0,20,0))*0.285 + 87.5 + 0/4.25,0)</f>
        <v>31</v>
      </c>
      <c r="AX4" s="154"/>
      <c r="AY4" s="388">
        <f>start_homes-TblConstr[[#This Row],[Dest Hom]]</f>
        <v>0</v>
      </c>
      <c r="AZ4" s="380">
        <f>start_alchs-TblConstr[[#This Row],[Dest Alc]]</f>
        <v>0</v>
      </c>
      <c r="BA4" s="389">
        <f>start_farms-TblConstr[[#This Row],[Dest Farm]]</f>
        <v>30</v>
      </c>
      <c r="BB4" s="389">
        <f>start_smithies-TblConstr[[#This Row],[Dest Smi]]</f>
        <v>0</v>
      </c>
      <c r="BC4" s="389">
        <f>start_masons-TblConstr[[#This Row],[Dest Mas]]</f>
        <v>0</v>
      </c>
      <c r="BD4" s="390">
        <f>start_ly-TblConstr[[#This Row],[Dest Ly]]</f>
        <v>20</v>
      </c>
      <c r="BE4" s="390">
        <f>start_havens-TblConstr[[#This Row],[Dest Hav]]</f>
        <v>0</v>
      </c>
      <c r="BF4" s="391">
        <f>start_om-TblConstr[[#This Row],[Dest OM]]</f>
        <v>0</v>
      </c>
      <c r="BG4" s="391">
        <f>start_gn-TblConstr[[#This Row],[Dest GN]]</f>
        <v>0</v>
      </c>
      <c r="BH4" s="383">
        <f>start_facs-TblConstr[[#This Row],[Dest Fac]]</f>
        <v>0</v>
      </c>
      <c r="BI4" s="392">
        <f>start_gt-TblConstr[[#This Row],[Dest GT]]</f>
        <v>0</v>
      </c>
      <c r="BJ4" s="392">
        <f>start_rax-TblConstr[[#This Row],[Dest Bar]]</f>
        <v>0</v>
      </c>
      <c r="BK4" s="392">
        <f>start_shrines-TblConstr[[#This Row],[Dest Shr]]</f>
        <v>0</v>
      </c>
      <c r="BL4" s="393">
        <f>start_towers-TblConstr[[#This Row],[Dest Tow]]</f>
        <v>0</v>
      </c>
      <c r="BM4" s="384">
        <f>start_temples-TblConstr[[#This Row],[Dest Tem]]</f>
        <v>0</v>
      </c>
      <c r="BN4" s="393">
        <f>start_wg-TblConstr[[#This Row],[Dest WG]]</f>
        <v>0</v>
      </c>
      <c r="BO4" s="394">
        <f>start_dm-TblConstr[[#This Row],[Dest DM]]</f>
        <v>0</v>
      </c>
      <c r="BP4" s="394">
        <f>start_schools-TblConstr[[#This Row],[Dest Sch]]</f>
        <v>0</v>
      </c>
      <c r="BQ4" s="386">
        <f>start_docks-TblConstr[[#This Row],[Dest Doc]]</f>
        <v>0</v>
      </c>
      <c r="BR4" s="142"/>
      <c r="BS4" s="154"/>
      <c r="BT4" s="94">
        <f ca="1">TblConstr[[#This Row],[Land]]</f>
        <v>50</v>
      </c>
      <c r="BU4" s="159">
        <f>TblImps[[#This Row],[Time]]</f>
        <v>46320</v>
      </c>
      <c r="BV4" s="142"/>
      <c r="BW4" s="179"/>
      <c r="BX4" s="179"/>
      <c r="BY4" s="179"/>
      <c r="BZ4" s="179"/>
      <c r="CA4" s="179"/>
      <c r="CB4" s="179"/>
      <c r="CC4" s="179"/>
      <c r="CD4" s="179"/>
      <c r="CE4" s="179"/>
      <c r="CF4" s="179"/>
      <c r="CG4" s="179"/>
      <c r="CH4" s="179"/>
      <c r="CI4" s="179"/>
      <c r="CJ4" s="179"/>
      <c r="CK4" s="179"/>
      <c r="CL4" s="179"/>
      <c r="CM4" s="179"/>
      <c r="CN4" s="179"/>
      <c r="CO4" s="179"/>
      <c r="CP4" s="142"/>
      <c r="CQ4" s="181">
        <f ca="1">-SUM(TblConstr[[#This Row],[Alc]:[Mas]])+SUM(TblConstr[[#This Row],[Dest Alc]:[Dest Mas]])+Rezone!L4+IF("Ch_"&amp; home_land=TblConstr[[#Headers],[Ch_Plain]],TblConstr[[#This Row],[Home Land]])+IF(TblConstr[[#This Row],[Hour]:[Hour]]&gt;12,OFFSET(TblExplore[[#This Row],[Plains Explore]],-12,0),0)</f>
        <v>0</v>
      </c>
      <c r="CR4" s="182">
        <f ca="1">-SUM(TblConstr[[#This Row],[Ly]:[Hav]])+SUM(TblConstr[[#This Row],[Dest Ly]:[Dest Hav]]) +Rezone!M4 + IF("Ch_"&amp; home_land=TblConstr[[#Headers],[Ch_Forest]],TblConstr[[#This Row],[Home Land]])+IF(TblConstr[[#This Row],[Hour]:[Hour]]&gt;12,OFFSET(TblExplore[[#This Row],[Forest Explore]],-12,0),0)</f>
        <v>0</v>
      </c>
      <c r="CS4" s="361">
        <f ca="1">-SUM(TblConstr[[#This Row],[OM]:[GN]])+SUM(TblConstr[[#This Row],[Dest OM]:[Dest GN]]) +Rezone!N4 + IF("Ch_"&amp; home_land=TblConstr[[#Headers],[Ch_Mountain]],TblConstr[[#This Row],[Home Land]])+IF(TblConstr[[#This Row],[Hour]:[Hour]]&gt;12,OFFSET(TblExplore[[#This Row],[Mountain Explore]],-12,0),0)</f>
        <v>0</v>
      </c>
      <c r="CT4" s="183">
        <f ca="1">-SUM(TblConstr[[#This Row],[Fac]:[Shr]])+SUM(TblConstr[[#This Row],[Dest Fac]:[Dest Shr]]) +Rezone!O4 + IF("Ch_" &amp; home_land=TblConstr[[#Headers],[Ch_Hill]],TblConstr[[#This Row],[Home Land]])+IF(TblConstr[[#This Row],[Hour]:[Hour]]&gt;12,OFFSET(TblExplore[[#This Row],[Hill Explore]],-12,0),0)</f>
        <v>0</v>
      </c>
      <c r="CU4" s="184">
        <f ca="1">-SUM(TblConstr[[#This Row],[Tow]:[WG]])+SUM(TblConstr[[#This Row],[Dest Tow]:[Dest WG]]) +Rezone!P4 + IF("Ch_" &amp; home_land=TblConstr[[#Headers],[Ch_Swamp]],TblConstr[[#This Row],[Home Land]])+IF(TblConstr[[#This Row],[Hour]:[Hour]]&gt;12,OFFSET(TblExplore[[#This Row],[Swamp Explore]],-12,0),0)</f>
        <v>0</v>
      </c>
      <c r="CV4" s="185">
        <f ca="1" xml:space="preserve"> - SUM(TblConstr[[#This Row],[DM]:[Sch]])+SUM(TblConstr[[#This Row],[Dest DM]:[Dest Sch]]) +Rezone!Q4 + IF("Ch_" &amp; home_land=TblConstr[[#Headers],[Ch_Cavern]],TblConstr[[#This Row],[Home Land]])+IF(TblConstr[[#This Row],[Hour]:[Hour]]&gt;12,OFFSET(TblExplore[[#This Row],[Cavern Explore]],-12,0),0)</f>
        <v>0</v>
      </c>
      <c r="CW4" s="186">
        <f ca="1">-TblConstr[[#This Row],[Doc]]+TblConstr[[#This Row],[Dest Doc]] +Rezone!R4 + IF("Ch_" &amp; home_land=TblConstr[[#Headers],[Ch_Water]],TblConstr[[#This Row],[Home Land]])+IF(TblConstr[[#This Row],[Hour]:[Hour]]&gt;12,OFFSET(TblExplore[[#This Row],[Water Explore]],-12,0),0)</f>
        <v>0</v>
      </c>
      <c r="CX4" s="45">
        <f>IF(Explore!S4=1,20) - TblConstr[[#This Row],[Hom]] + TblConstr[[#This Row],[Dest Hom]]</f>
        <v>0</v>
      </c>
      <c r="CY4" s="142"/>
      <c r="CZ4" s="94">
        <f ca="1">G4+SUM(P$4:S4)+SUM(AZ4:BC4)</f>
        <v>30</v>
      </c>
      <c r="DA4" s="94">
        <f ca="1">H4+SUM(T$4:U4)+SUM(BD4:BE4)</f>
        <v>20</v>
      </c>
      <c r="DB4" s="45">
        <f ca="1">I4+SUM(V$4:W4)+SUM(BF4:BG4)</f>
        <v>0</v>
      </c>
      <c r="DC4" s="94">
        <f ca="1">J4+SUM(X$4:Y4)+SUM(BH4:BI4)</f>
        <v>0</v>
      </c>
      <c r="DD4" s="94">
        <f ca="1">K4+SUM(AB$4:AD4)+SUM(BL4:BN4)</f>
        <v>0</v>
      </c>
      <c r="DE4" s="45">
        <f ca="1">L4+SUM(AE$4:AE4)+BO4</f>
        <v>0</v>
      </c>
      <c r="DF4" s="94">
        <f ca="1">M4+SUM(AG$4:AG4)+BQ4</f>
        <v>0</v>
      </c>
      <c r="DG4" s="45" cm="1">
        <f t="array" aca="1" ref="DG4" ca="1">INDEX(TblConstr[[Total Plain]:[Total Water]],ROW()-ROW(TblConstr[#Headers]),MATCH("Total "&amp;home_land,TblConstr[[#Headers],[Total Plain]:[Total Water]],0))+TblConstr[[#This Row],[Homes]]</f>
        <v>30</v>
      </c>
      <c r="DH4" s="45">
        <f>SUM(O$4:O4)+AY4</f>
        <v>0</v>
      </c>
      <c r="DI4" s="94">
        <v>0</v>
      </c>
      <c r="DJ4" s="45">
        <v>0</v>
      </c>
    </row>
    <row r="5" spans="1:114" x14ac:dyDescent="0.2">
      <c r="A5" s="175">
        <f>TblRezone[[#This Row],[Hour]]</f>
        <v>2</v>
      </c>
      <c r="B5" s="176">
        <f ca="1">SUM(TblConstr[[#This Row],[Plain]:[Water]])</f>
        <v>0</v>
      </c>
      <c r="C5" s="177">
        <f ca="1">SUM(TblConstr[[#This Row],[Tot Hom]:[Tot Doc]])</f>
        <v>50</v>
      </c>
      <c r="D5" s="177">
        <f>SUM(O$4:AG5)</f>
        <v>0</v>
      </c>
      <c r="E5" s="178"/>
      <c r="F5" s="61">
        <f ca="1">TblConstr[[#This Row],[Barren]]+TblConstr[[#This Row],[Buildings]]+TblConstr[[#This Row],[Incoming]]</f>
        <v>50</v>
      </c>
      <c r="G5" s="187">
        <f ca="1">OFFSET(TblConstr[[#This Row],[Plain]],-1,0)+TblConstr[[#This Row],[Ch_Plain]]</f>
        <v>0</v>
      </c>
      <c r="H5" s="182">
        <f ca="1">OFFSET(TblConstr[[#This Row],[Forest]],-1,0)+TblConstr[[#This Row],[Ch_Forest]]</f>
        <v>0</v>
      </c>
      <c r="I5" s="359">
        <f ca="1">OFFSET(TblConstr[[#This Row],[Mountain]],-1,0)+TblConstr[[#This Row],[Ch_Mountain]]</f>
        <v>0</v>
      </c>
      <c r="J5" s="363">
        <f ca="1">OFFSET(TblConstr[[#This Row],[Hill]],-1,0)+TblConstr[[#This Row],[Ch_Hill]]</f>
        <v>0</v>
      </c>
      <c r="K5" s="367">
        <f ca="1">OFFSET(TblConstr[[#This Row],[Swamp]],-1,0)+TblConstr[[#This Row],[Ch_Swamp]]</f>
        <v>0</v>
      </c>
      <c r="L5" s="185">
        <f ca="1">OFFSET(TblConstr[[#This Row],[Cavern]],-1,0)+TblConstr[[#This Row],[Ch_Cavern]]</f>
        <v>0</v>
      </c>
      <c r="M5" s="186">
        <f ca="1">OFFSET(TblConstr[[#This Row],[Water]],-1,0)+TblConstr[[#This Row],[Ch_Water]]</f>
        <v>0</v>
      </c>
      <c r="N5" s="357">
        <f>TblRezone[[#This Row],[Hour]]</f>
        <v>2</v>
      </c>
      <c r="O5" s="179"/>
      <c r="P5" s="179"/>
      <c r="Q5" s="179"/>
      <c r="R5" s="179"/>
      <c r="S5" s="179"/>
      <c r="T5" s="179"/>
      <c r="U5" s="179"/>
      <c r="V5" s="179"/>
      <c r="W5" s="179"/>
      <c r="X5" s="179"/>
      <c r="Y5" s="179"/>
      <c r="Z5" s="179"/>
      <c r="AA5" s="179"/>
      <c r="AB5" s="179"/>
      <c r="AC5" s="179"/>
      <c r="AD5" s="179"/>
      <c r="AE5" s="179"/>
      <c r="AF5" s="179"/>
      <c r="AG5" s="179"/>
      <c r="AH5" s="53">
        <f ca="1">TblImps[[#This Row],[Time]]</f>
        <v>46320.041666666664</v>
      </c>
      <c r="AI5" s="180">
        <f ca="1">MIN(25%,(TblConstr[[#This Row],[Tot Fac]]+TblConstr[[#This Row],[Dest Fac]])/(TblConstr[[#This Row],[Land]]-TblExplore[[#This Row],[Land Bonus]]*20))</f>
        <v>0</v>
      </c>
      <c r="AJ5" s="180">
        <f ca="1">MIN(25%,(TblConstr[[#This Row],[Tot Fac]]+TblConstr[[#This Row],[Dest Fac]])/TblConstr[[#This Row],[Land]])</f>
        <v>0</v>
      </c>
      <c r="AK5" s="94">
        <f ca="1">TblProd[[#This Row],[Platinum]]</f>
        <v>121266</v>
      </c>
      <c r="AL5" s="94">
        <f ca="1">TblProd[[#This Row],[Lumber]]</f>
        <v>15850</v>
      </c>
      <c r="AM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 s="94">
        <f ca="1">ROUNDDOWN( MAX(1 - MIN(facs_constr_factor*TblConstr[[#This Row],[Facs -DB]],facs_constr_max) + tech_1_11*TblTech[[#This Row],[11-1]] + tech_6_3_2*TblTech[[#This Row],[6-3]] + tech_5_2_3*TblTech[[#This Row],[5-2]], 1-global_constr_cap) * TblConstr[[#This Row],[RCPA Lumber]],0)</f>
        <v>31</v>
      </c>
      <c r="AO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 s="94">
        <f ca="1">ROUNDDOWN( MAX(1 - MIN(facs_constr_factor*TblConstr[[#This Row],[Facs DB]],facs_constr_max) + tech_1_11*TblTech[[#This Row],[1-11]] + tech_6_3_2*TblTech[[#This Row],[6-3]] + tech_5_2_3*TblTech[[#This Row],[5-2]], 1-global_constr_cap) * ROUND((TblConstr[[#This Row],[Land]]-250)*0.285 + 87.5 + 0/4.25,0),0)</f>
        <v>31</v>
      </c>
      <c r="AQ5" s="45">
        <f ca="1">TblConstr[[#This Row],[build -db]]*TblConstr[[#This Row],[CPA Platinum -DB]] + TblConstr[[#This Row],[build db]]*TblConstr[[#This Row],[CPA Platinum DB]]</f>
        <v>0</v>
      </c>
      <c r="AR5" s="45">
        <f ca="1">TblConstr[[#This Row],[build -db]]*TblConstr[[#This Row],[CPA Lumber -DB]] + TblConstr[[#This Row],[build db]]*TblConstr[[#This Row],[CPA Lumber DB]]</f>
        <v>0</v>
      </c>
      <c r="AS5" s="94">
        <f ca="1">MIN(SUM(OFFSET(TblConstr[[#This Row],[Plain]:[Water]],-1,0))+SUM(TblConstr[[#This Row],[Dest Hom]:[Dest Doc]])+IF(TblConstr[[#This Row],[Hour]]&gt;12,SUM(OFFSET(TblExplore[[#This Row],[Plains Explore]:[Water Explore]],-12,0)),0),SUM(TblConstr[[#This Row],[Hom]:[Doc]]))</f>
        <v>0</v>
      </c>
      <c r="AT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42"/>
      <c r="AV5" s="94">
        <f ca="1">ROUND((TblConstr[[#This Row],[Land]]-250 - IF(TblExplore[[#This Row],[Land Bonus]]&lt;&gt;0,20,0))*1.25 + 850 + 0,0)</f>
        <v>600</v>
      </c>
      <c r="AW5" s="94">
        <f ca="1">ROUND((TblConstr[[#This Row],[Land]]-250 - IF(TblExplore[[#This Row],[Land Bonus]]&lt;&gt;0,20,0))*0.285 + 87.5 + 0/4.25,0)</f>
        <v>31</v>
      </c>
      <c r="AX5" s="154"/>
      <c r="AY5" s="188" cm="1">
        <f t="array" aca="1" ref="AY5" ca="1">IF(TblConstr[[#This Row],[Hour]:[Hour]]&gt;12,OFFSET(TblConstr[[#This Row],[Hom]],-12,0),0)+OFFSET(TblConstr[[#This Row],[Tot Hom]],-1,0)-TblConstr[[#This Row],[Dest Hom]]</f>
        <v>0</v>
      </c>
      <c r="AZ5" s="189" cm="1">
        <f t="array" aca="1" ref="AZ5" ca="1">IF(TblConstr[[#This Row],[Hour]:[Hour]]&gt;12,OFFSET(TblConstr[[#This Row],[Alc]],-12,0),0)+OFFSET(TblConstr[[#This Row],[Tot Alc]],-1,0)-TblConstr[[#This Row],[Dest Alc]]</f>
        <v>0</v>
      </c>
      <c r="BA5" s="189" cm="1">
        <f t="array" aca="1" ref="BA5" ca="1">IF(TblConstr[[#This Row],[Hour]:[Hour]]&gt;12,OFFSET(TblConstr[[#This Row],[Far]],-12,0),0)+OFFSET(TblConstr[[#This Row],[Tot Farm]],-1,0)-TblConstr[[#This Row],[Dest Farm]]</f>
        <v>30</v>
      </c>
      <c r="BB5" s="189" cm="1">
        <f t="array" aca="1" ref="BB5" ca="1">IF(TblConstr[[#This Row],[Hour]:[Hour]]&gt;12,OFFSET(TblConstr[[#This Row],[Smi]],-12,0),0)+OFFSET(TblConstr[[#This Row],[Tot Smi]],-1,0)-TblConstr[[#This Row],[Dest Smi]]</f>
        <v>0</v>
      </c>
      <c r="BC5" s="189" cm="1">
        <f t="array" aca="1" ref="BC5" ca="1">IF(TblConstr[[#This Row],[Hour]:[Hour]]&gt;12,OFFSET(TblConstr[[#This Row],[Mas]],-12,0),0)+OFFSET(TblConstr[[#This Row],[Tot Mas]],-1,0)-TblConstr[[#This Row],[Dest Mas]]</f>
        <v>0</v>
      </c>
      <c r="BD5" s="190" cm="1">
        <f t="array" aca="1" ref="BD5" ca="1">IF(TblConstr[[#This Row],[Hour]:[Hour]]&gt;12,OFFSET(TblConstr[[#This Row],[Ly]],-12,0),0)+OFFSET(TblConstr[[#This Row],[Tot Ly]],-1,0)-TblConstr[[#This Row],[Dest Ly]]</f>
        <v>20</v>
      </c>
      <c r="BE5" s="190" cm="1">
        <f t="array" aca="1" ref="BE5" ca="1">IF(TblConstr[[#This Row],[Hour]:[Hour]]&gt;12,OFFSET(TblConstr[[#This Row],[Hav]],-12,0),0)+OFFSET(TblConstr[[#This Row],[Tot Hav]],-1,0)-TblConstr[[#This Row],[Dest Hav]]</f>
        <v>0</v>
      </c>
      <c r="BF5" s="361" cm="1">
        <f t="array" aca="1" ref="BF5" ca="1">IF(TblConstr[[#This Row],[Hour]:[Hour]]&gt;12,OFFSET(TblConstr[[#This Row],[OM]],-12,0),0)+OFFSET(TblConstr[[#This Row],[Tot OM]],-1,0)-TblConstr[[#This Row],[Dest OM]]</f>
        <v>0</v>
      </c>
      <c r="BG5" s="361" cm="1">
        <f t="array" aca="1" ref="BG5" ca="1">IF(TblConstr[[#This Row],[Hour]:[Hour]]&gt;12,OFFSET(TblConstr[[#This Row],[GN]],-12,0),0)+OFFSET(TblConstr[[#This Row],[Tot GN]],-1,0)-TblConstr[[#This Row],[Dest GN]]</f>
        <v>0</v>
      </c>
      <c r="BH5" s="365" cm="1">
        <f t="array" aca="1" ref="BH5" ca="1">IF(TblConstr[[#This Row],[Hour]:[Hour]]&gt;12,OFFSET(TblConstr[[#This Row],[Fac]],-12,0),0)+OFFSET(TblConstr[[#This Row],[Tot Fac]],-1,0)-TblConstr[[#This Row],[Dest Fac]]</f>
        <v>0</v>
      </c>
      <c r="BI5" s="365" cm="1">
        <f t="array" aca="1" ref="BI5" ca="1">IF(TblConstr[[#This Row],[Hour]:[Hour]]&gt;12,OFFSET(TblConstr[[#This Row],[GT]],-12,0),0)+OFFSET(TblConstr[[#This Row],[Tot GT]],-1,0)-TblConstr[[#This Row],[Dest GT]]</f>
        <v>0</v>
      </c>
      <c r="BJ5" s="365" cm="1">
        <f t="array" aca="1" ref="BJ5" ca="1">IF(TblConstr[[#This Row],[Hour]:[Hour]]&gt;12,OFFSET(TblConstr[[#This Row],[Bar]],-12,0),0)+OFFSET(TblConstr[[#This Row],[Tot Bar]],-1,0)-TblConstr[[#This Row],[Dest Bar]]</f>
        <v>0</v>
      </c>
      <c r="BK5" s="365" cm="1">
        <f t="array" aca="1" ref="BK5" ca="1">IF(TblConstr[[#This Row],[Hour]:[Hour]]&gt;12,OFFSET(TblConstr[[#This Row],[Shr]],-12,0),0)+OFFSET(TblConstr[[#This Row],[Tot Shr]],-1,0)-TblConstr[[#This Row],[Dest Shr]]</f>
        <v>0</v>
      </c>
      <c r="BL5" s="369" cm="1">
        <f t="array" aca="1" ref="BL5" ca="1">IF(TblConstr[[#This Row],[Hour]:[Hour]]&gt;12,OFFSET(TblConstr[[#This Row],[Tow]],-12,0),0)+OFFSET(TblConstr[[#This Row],[Tot Tow]],-1,0)-TblConstr[[#This Row],[Dest Tow]]</f>
        <v>0</v>
      </c>
      <c r="BM5" s="369" cm="1">
        <f t="array" aca="1" ref="BM5" ca="1">IF(TblConstr[[#This Row],[Hour]:[Hour]]&gt;12,OFFSET(TblConstr[[#This Row],[Tem]],-12,0),0)+OFFSET(TblConstr[[#This Row],[Tot Tem]],-1,0)-TblConstr[[#This Row],[Dest Tem]]</f>
        <v>0</v>
      </c>
      <c r="BN5" s="369" cm="1">
        <f t="array" aca="1" ref="BN5" ca="1">IF(TblConstr[[#This Row],[Hour]:[Hour]]&gt;12,OFFSET(TblConstr[[#This Row],[WG]],-12,0),0)+OFFSET(TblConstr[[#This Row],[Tot WG]],-1,0)-TblConstr[[#This Row],[Dest WG]]</f>
        <v>0</v>
      </c>
      <c r="BO5" s="191" cm="1">
        <f t="array" aca="1" ref="BO5" ca="1">IF(TblConstr[[#This Row],[Hour]:[Hour]]&gt;12,OFFSET(TblConstr[[#This Row],[DM]],-12,0),0)+OFFSET(TblConstr[[#This Row],[Tot DM]],-1,0)-TblConstr[[#This Row],[Dest DM]]</f>
        <v>0</v>
      </c>
      <c r="BP5" s="191" cm="1">
        <f t="array" aca="1" ref="BP5" ca="1">IF(TblConstr[[#This Row],[Hour]:[Hour]]&gt;12,OFFSET(TblConstr[[#This Row],[Sch]],-12,0),0)+OFFSET(TblConstr[[#This Row],[Tot Sch]],-1,0)-TblConstr[[#This Row],[Dest Sch]]</f>
        <v>0</v>
      </c>
      <c r="BQ5" s="192" cm="1">
        <f t="array" aca="1" ref="BQ5" ca="1">IF(TblConstr[[#This Row],[Hour]:[Hour]]&gt;12,OFFSET(TblConstr[[#This Row],[Doc]],-12,0),0)+OFFSET(TblConstr[[#This Row],[Tot Doc]],-1,0)-TblConstr[[#This Row],[Dest Doc]]</f>
        <v>0</v>
      </c>
      <c r="BR5" s="142"/>
      <c r="BS5" s="154"/>
      <c r="BT5" s="94">
        <f ca="1">TblConstr[[#This Row],[Land]]</f>
        <v>50</v>
      </c>
      <c r="BU5" s="159">
        <f ca="1">TblImps[[#This Row],[Time]]</f>
        <v>46320.041666666664</v>
      </c>
      <c r="BV5" s="142"/>
      <c r="BW5" s="179"/>
      <c r="BX5" s="179"/>
      <c r="BY5" s="179"/>
      <c r="BZ5" s="179"/>
      <c r="CA5" s="179"/>
      <c r="CB5" s="179"/>
      <c r="CC5" s="179"/>
      <c r="CD5" s="179"/>
      <c r="CE5" s="179"/>
      <c r="CF5" s="179"/>
      <c r="CG5" s="179"/>
      <c r="CH5" s="179"/>
      <c r="CI5" s="179"/>
      <c r="CJ5" s="179"/>
      <c r="CK5" s="179"/>
      <c r="CL5" s="179"/>
      <c r="CM5" s="179"/>
      <c r="CN5" s="179"/>
      <c r="CO5" s="179"/>
      <c r="CP5" s="142"/>
      <c r="CQ5" s="181">
        <f ca="1">-SUM(TblConstr[[#This Row],[Alc]:[Mas]])+SUM(TblConstr[[#This Row],[Dest Alc]:[Dest Mas]])+Rezone!L5+IF("Ch_"&amp; home_land=TblConstr[[#Headers],[Ch_Plain]],TblConstr[[#This Row],[Home Land]])+IF(TblConstr[[#This Row],[Hour]:[Hour]]&gt;12,OFFSET(TblExplore[[#This Row],[Plains Explore]],-12,0),0)</f>
        <v>0</v>
      </c>
      <c r="CR5" s="182">
        <f ca="1">-SUM(TblConstr[[#This Row],[Ly]:[Hav]])+SUM(TblConstr[[#This Row],[Dest Ly]:[Dest Hav]]) +Rezone!M5 + IF("Ch_"&amp; home_land=TblConstr[[#Headers],[Ch_Forest]],TblConstr[[#This Row],[Home Land]])+IF(TblConstr[[#This Row],[Hour]:[Hour]]&gt;12,OFFSET(TblExplore[[#This Row],[Forest Explore]],-12,0),0)</f>
        <v>0</v>
      </c>
      <c r="CS5" s="359">
        <f ca="1">-SUM(TblConstr[[#This Row],[OM]:[GN]])+SUM(TblConstr[[#This Row],[Dest OM]:[Dest GN]]) +Rezone!N5 + IF("Ch_"&amp; home_land=TblConstr[[#Headers],[Ch_Mountain]],TblConstr[[#This Row],[Home Land]])+IF(TblConstr[[#This Row],[Hour]:[Hour]]&gt;12,OFFSET(TblExplore[[#This Row],[Mountain Explore]],-12,0),0)</f>
        <v>0</v>
      </c>
      <c r="CT5" s="183">
        <f ca="1">-SUM(TblConstr[[#This Row],[Fac]:[Shr]])+SUM(TblConstr[[#This Row],[Dest Fac]:[Dest Shr]]) +Rezone!O5 + IF("Ch_" &amp; home_land=TblConstr[[#Headers],[Ch_Hill]],TblConstr[[#This Row],[Home Land]])+IF(TblConstr[[#This Row],[Hour]:[Hour]]&gt;12,OFFSET(TblExplore[[#This Row],[Hill Explore]],-12,0),0)</f>
        <v>0</v>
      </c>
      <c r="CU5" s="184">
        <f ca="1">-SUM(TblConstr[[#This Row],[Tow]:[WG]])+SUM(TblConstr[[#This Row],[Dest Tow]:[Dest WG]]) +Rezone!P5 + IF("Ch_" &amp; home_land=TblConstr[[#Headers],[Ch_Swamp]],TblConstr[[#This Row],[Home Land]])+IF(TblConstr[[#This Row],[Hour]:[Hour]]&gt;12,OFFSET(TblExplore[[#This Row],[Swamp Explore]],-12,0),0)</f>
        <v>0</v>
      </c>
      <c r="CV5" s="185">
        <f ca="1" xml:space="preserve"> - SUM(TblConstr[[#This Row],[DM]:[Sch]])+SUM(TblConstr[[#This Row],[Dest DM]:[Dest Sch]]) +Rezone!Q5 + IF("Ch_" &amp; home_land=TblConstr[[#Headers],[Ch_Cavern]],TblConstr[[#This Row],[Home Land]])+IF(TblConstr[[#This Row],[Hour]:[Hour]]&gt;12,OFFSET(TblExplore[[#This Row],[Cavern Explore]],-12,0),0)</f>
        <v>0</v>
      </c>
      <c r="CW5" s="186">
        <f ca="1">-TblConstr[[#This Row],[Doc]]+TblConstr[[#This Row],[Dest Doc]] +Rezone!R5 + IF("Ch_" &amp; home_land=TblConstr[[#Headers],[Ch_Water]],TblConstr[[#This Row],[Home Land]])+IF(TblConstr[[#This Row],[Hour]:[Hour]]&gt;12,OFFSET(TblExplore[[#This Row],[Water Explore]],-12,0),0)</f>
        <v>0</v>
      </c>
      <c r="CX5" s="45">
        <f>IF(Explore!S5=1,20) - TblConstr[[#This Row],[Hom]] + TblConstr[[#This Row],[Dest Hom]]</f>
        <v>0</v>
      </c>
      <c r="CY5" s="142"/>
      <c r="CZ5" s="94">
        <f ca="1">G5+SUM(P$4:S5)+SUM(AZ5:BC5)</f>
        <v>30</v>
      </c>
      <c r="DA5" s="94">
        <f ca="1">H5+SUM(T$4:U5)+SUM(BD5:BE5)</f>
        <v>20</v>
      </c>
      <c r="DB5" s="45">
        <f ca="1">I5+SUM(V$4:W5)+SUM(BF5:BG5)</f>
        <v>0</v>
      </c>
      <c r="DC5" s="94">
        <f ca="1">J5+SUM(X$4:Y5)+SUM(BH5:BI5)</f>
        <v>0</v>
      </c>
      <c r="DD5" s="94">
        <f ca="1">K5+SUM(AB$4:AD5)+SUM(BL5:BN5)</f>
        <v>0</v>
      </c>
      <c r="DE5" s="45">
        <f ca="1">L5+SUM(AE$4:AE5)+BO5</f>
        <v>0</v>
      </c>
      <c r="DF5" s="94">
        <f ca="1">M5+SUM(AG$4:AG5)+BQ5</f>
        <v>0</v>
      </c>
      <c r="DG5" s="94" cm="1">
        <f t="array" aca="1" ref="DG5" ca="1">INDEX(TblConstr[[Total Plain]:[Total Water]],ROW()-ROW(TblConstr[#Headers]),MATCH("Total "&amp;home_land,TblConstr[[#Headers],[Total Plain]:[Total Water]],0))+TblConstr[[#This Row],[Homes]]</f>
        <v>30</v>
      </c>
      <c r="DH5" s="45">
        <f ca="1">SUM(O$4:O5)+AY5</f>
        <v>0</v>
      </c>
      <c r="DI5" s="94">
        <f ca="1">MAX(BA5-BA4,0)</f>
        <v>0</v>
      </c>
      <c r="DJ5" s="45">
        <f ca="1">MAX(BQ5-BQ4,0)</f>
        <v>0</v>
      </c>
    </row>
    <row r="6" spans="1:114" x14ac:dyDescent="0.2">
      <c r="A6" s="175">
        <f>TblRezone[[#This Row],[Hour]]</f>
        <v>3</v>
      </c>
      <c r="B6" s="176">
        <f ca="1">SUM(TblConstr[[#This Row],[Plain]:[Water]])</f>
        <v>0</v>
      </c>
      <c r="C6" s="177">
        <f ca="1">SUM(TblConstr[[#This Row],[Tot Hom]:[Tot Doc]])</f>
        <v>50</v>
      </c>
      <c r="D6" s="177">
        <f>SUM(O$4:AG6)</f>
        <v>0</v>
      </c>
      <c r="E6" s="178"/>
      <c r="F6" s="61">
        <f ca="1">TblConstr[[#This Row],[Barren]]+TblConstr[[#This Row],[Buildings]]+TblConstr[[#This Row],[Incoming]]</f>
        <v>50</v>
      </c>
      <c r="G6" s="187">
        <f ca="1">OFFSET(TblConstr[[#This Row],[Plain]],-1,0)+TblConstr[[#This Row],[Ch_Plain]]</f>
        <v>0</v>
      </c>
      <c r="H6" s="182">
        <f ca="1">OFFSET(TblConstr[[#This Row],[Forest]],-1,0)+TblConstr[[#This Row],[Ch_Forest]]</f>
        <v>0</v>
      </c>
      <c r="I6" s="359">
        <f ca="1">OFFSET(TblConstr[[#This Row],[Mountain]],-1,0)+TblConstr[[#This Row],[Ch_Mountain]]</f>
        <v>0</v>
      </c>
      <c r="J6" s="363">
        <f ca="1">OFFSET(TblConstr[[#This Row],[Hill]],-1,0)+TblConstr[[#This Row],[Ch_Hill]]</f>
        <v>0</v>
      </c>
      <c r="K6" s="367">
        <f ca="1">OFFSET(TblConstr[[#This Row],[Swamp]],-1,0)+TblConstr[[#This Row],[Ch_Swamp]]</f>
        <v>0</v>
      </c>
      <c r="L6" s="185">
        <f ca="1">OFFSET(TblConstr[[#This Row],[Cavern]],-1,0)+TblConstr[[#This Row],[Ch_Cavern]]</f>
        <v>0</v>
      </c>
      <c r="M6" s="186">
        <f ca="1">OFFSET(TblConstr[[#This Row],[Water]],-1,0)+TblConstr[[#This Row],[Ch_Water]]</f>
        <v>0</v>
      </c>
      <c r="N6" s="357">
        <f>TblRezone[[#This Row],[Hour]]</f>
        <v>3</v>
      </c>
      <c r="O6" s="179"/>
      <c r="P6" s="179"/>
      <c r="Q6" s="179"/>
      <c r="R6" s="179"/>
      <c r="S6" s="179"/>
      <c r="T6" s="179"/>
      <c r="U6" s="179"/>
      <c r="V6" s="179"/>
      <c r="W6" s="179"/>
      <c r="X6" s="179"/>
      <c r="Y6" s="179"/>
      <c r="Z6" s="179"/>
      <c r="AA6" s="179"/>
      <c r="AB6" s="179"/>
      <c r="AC6" s="179"/>
      <c r="AD6" s="179"/>
      <c r="AE6" s="179"/>
      <c r="AF6" s="179"/>
      <c r="AG6" s="179"/>
      <c r="AH6" s="53">
        <f ca="1">TblImps[[#This Row],[Time]]</f>
        <v>46320.083333333328</v>
      </c>
      <c r="AI6" s="180">
        <f ca="1">MIN(25%,(TblConstr[[#This Row],[Tot Fac]]+TblConstr[[#This Row],[Dest Fac]])/(TblConstr[[#This Row],[Land]]-TblExplore[[#This Row],[Land Bonus]]*20))</f>
        <v>0</v>
      </c>
      <c r="AJ6" s="180">
        <f ca="1">MIN(25%,(TblConstr[[#This Row],[Tot Fac]]+TblConstr[[#This Row],[Dest Fac]])/TblConstr[[#This Row],[Land]])</f>
        <v>0</v>
      </c>
      <c r="AK6" s="94">
        <f ca="1">TblProd[[#This Row],[Platinum]]</f>
        <v>122518</v>
      </c>
      <c r="AL6" s="94">
        <f ca="1">TblProd[[#This Row],[Lumber]]</f>
        <v>16692</v>
      </c>
      <c r="AM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 s="94">
        <f ca="1">ROUNDDOWN( MAX(1 - MIN(facs_constr_factor*TblConstr[[#This Row],[Facs -DB]],facs_constr_max) + tech_1_11*TblTech[[#This Row],[11-1]] + tech_6_3_2*TblTech[[#This Row],[6-3]] + tech_5_2_3*TblTech[[#This Row],[5-2]], 1-global_constr_cap) * TblConstr[[#This Row],[RCPA Lumber]],0)</f>
        <v>31</v>
      </c>
      <c r="AO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 s="94">
        <f ca="1">ROUNDDOWN( MAX(1 - MIN(facs_constr_factor*TblConstr[[#This Row],[Facs DB]],facs_constr_max) + tech_1_11*TblTech[[#This Row],[1-11]] + tech_6_3_2*TblTech[[#This Row],[6-3]] + tech_5_2_3*TblTech[[#This Row],[5-2]], 1-global_constr_cap) * ROUND((TblConstr[[#This Row],[Land]]-250)*0.285 + 87.5 + 0/4.25,0),0)</f>
        <v>31</v>
      </c>
      <c r="AQ6" s="45">
        <f ca="1">TblConstr[[#This Row],[build -db]]*TblConstr[[#This Row],[CPA Platinum -DB]] + TblConstr[[#This Row],[build db]]*TblConstr[[#This Row],[CPA Platinum DB]]</f>
        <v>0</v>
      </c>
      <c r="AR6" s="45">
        <f ca="1">TblConstr[[#This Row],[build -db]]*TblConstr[[#This Row],[CPA Lumber -DB]] + TblConstr[[#This Row],[build db]]*TblConstr[[#This Row],[CPA Lumber DB]]</f>
        <v>0</v>
      </c>
      <c r="AS6" s="94">
        <f ca="1">MIN(SUM(OFFSET(TblConstr[[#This Row],[Plain]:[Water]],-1,0))+SUM(TblConstr[[#This Row],[Dest Hom]:[Dest Doc]])+IF(TblConstr[[#This Row],[Hour]]&gt;12,SUM(OFFSET(TblExplore[[#This Row],[Plains Explore]:[Water Explore]],-12,0)),0),SUM(TblConstr[[#This Row],[Hom]:[Doc]]))</f>
        <v>0</v>
      </c>
      <c r="AT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42"/>
      <c r="AV6" s="94">
        <f ca="1">ROUND((TblConstr[[#This Row],[Land]]-250 - IF(TblExplore[[#This Row],[Land Bonus]]&lt;&gt;0,20,0))*1.25 + 850 + 0,0)</f>
        <v>600</v>
      </c>
      <c r="AW6" s="94">
        <f ca="1">ROUND((TblConstr[[#This Row],[Land]]-250 - IF(TblExplore[[#This Row],[Land Bonus]]&lt;&gt;0,20,0))*0.285 + 87.5 + 0/4.25,0)</f>
        <v>31</v>
      </c>
      <c r="AX6" s="154"/>
      <c r="AY6" s="188" cm="1">
        <f t="array" aca="1" ref="AY6" ca="1">IF(TblConstr[[#This Row],[Hour]:[Hour]]&gt;12,OFFSET(TblConstr[[#This Row],[Hom]],-12,0),0)+OFFSET(TblConstr[[#This Row],[Tot Hom]],-1,0)-TblConstr[[#This Row],[Dest Hom]]</f>
        <v>0</v>
      </c>
      <c r="AZ6" s="189" cm="1">
        <f t="array" aca="1" ref="AZ6" ca="1">IF(TblConstr[[#This Row],[Hour]:[Hour]]&gt;12,OFFSET(TblConstr[[#This Row],[Alc]],-12,0),0)+OFFSET(TblConstr[[#This Row],[Tot Alc]],-1,0)-TblConstr[[#This Row],[Dest Alc]]</f>
        <v>0</v>
      </c>
      <c r="BA6" s="189" cm="1">
        <f t="array" aca="1" ref="BA6" ca="1">IF(TblConstr[[#This Row],[Hour]:[Hour]]&gt;12,OFFSET(TblConstr[[#This Row],[Far]],-12,0),0)+OFFSET(TblConstr[[#This Row],[Tot Farm]],-1,0)-TblConstr[[#This Row],[Dest Farm]]</f>
        <v>30</v>
      </c>
      <c r="BB6" s="189" cm="1">
        <f t="array" aca="1" ref="BB6" ca="1">IF(TblConstr[[#This Row],[Hour]:[Hour]]&gt;12,OFFSET(TblConstr[[#This Row],[Smi]],-12,0),0)+OFFSET(TblConstr[[#This Row],[Tot Smi]],-1,0)-TblConstr[[#This Row],[Dest Smi]]</f>
        <v>0</v>
      </c>
      <c r="BC6" s="189" cm="1">
        <f t="array" aca="1" ref="BC6" ca="1">IF(TblConstr[[#This Row],[Hour]:[Hour]]&gt;12,OFFSET(TblConstr[[#This Row],[Mas]],-12,0),0)+OFFSET(TblConstr[[#This Row],[Tot Mas]],-1,0)-TblConstr[[#This Row],[Dest Mas]]</f>
        <v>0</v>
      </c>
      <c r="BD6" s="190" cm="1">
        <f t="array" aca="1" ref="BD6" ca="1">IF(TblConstr[[#This Row],[Hour]:[Hour]]&gt;12,OFFSET(TblConstr[[#This Row],[Ly]],-12,0),0)+OFFSET(TblConstr[[#This Row],[Tot Ly]],-1,0)-TblConstr[[#This Row],[Dest Ly]]</f>
        <v>20</v>
      </c>
      <c r="BE6" s="190" cm="1">
        <f t="array" aca="1" ref="BE6" ca="1">IF(TblConstr[[#This Row],[Hour]:[Hour]]&gt;12,OFFSET(TblConstr[[#This Row],[Hav]],-12,0),0)+OFFSET(TblConstr[[#This Row],[Tot Hav]],-1,0)-TblConstr[[#This Row],[Dest Hav]]</f>
        <v>0</v>
      </c>
      <c r="BF6" s="361" cm="1">
        <f t="array" aca="1" ref="BF6" ca="1">IF(TblConstr[[#This Row],[Hour]:[Hour]]&gt;12,OFFSET(TblConstr[[#This Row],[OM]],-12,0),0)+OFFSET(TblConstr[[#This Row],[Tot OM]],-1,0)-TblConstr[[#This Row],[Dest OM]]</f>
        <v>0</v>
      </c>
      <c r="BG6" s="361" cm="1">
        <f t="array" aca="1" ref="BG6" ca="1">IF(TblConstr[[#This Row],[Hour]:[Hour]]&gt;12,OFFSET(TblConstr[[#This Row],[GN]],-12,0),0)+OFFSET(TblConstr[[#This Row],[Tot GN]],-1,0)-TblConstr[[#This Row],[Dest GN]]</f>
        <v>0</v>
      </c>
      <c r="BH6" s="365" cm="1">
        <f t="array" aca="1" ref="BH6" ca="1">IF(TblConstr[[#This Row],[Hour]:[Hour]]&gt;12,OFFSET(TblConstr[[#This Row],[Fac]],-12,0),0)+OFFSET(TblConstr[[#This Row],[Tot Fac]],-1,0)-TblConstr[[#This Row],[Dest Fac]]</f>
        <v>0</v>
      </c>
      <c r="BI6" s="365" cm="1">
        <f t="array" aca="1" ref="BI6" ca="1">IF(TblConstr[[#This Row],[Hour]:[Hour]]&gt;12,OFFSET(TblConstr[[#This Row],[GT]],-12,0),0)+OFFSET(TblConstr[[#This Row],[Tot GT]],-1,0)-TblConstr[[#This Row],[Dest GT]]</f>
        <v>0</v>
      </c>
      <c r="BJ6" s="365" cm="1">
        <f t="array" aca="1" ref="BJ6" ca="1">IF(TblConstr[[#This Row],[Hour]:[Hour]]&gt;12,OFFSET(TblConstr[[#This Row],[Bar]],-12,0),0)+OFFSET(TblConstr[[#This Row],[Tot Bar]],-1,0)-TblConstr[[#This Row],[Dest Bar]]</f>
        <v>0</v>
      </c>
      <c r="BK6" s="365" cm="1">
        <f t="array" aca="1" ref="BK6" ca="1">IF(TblConstr[[#This Row],[Hour]:[Hour]]&gt;12,OFFSET(TblConstr[[#This Row],[Shr]],-12,0),0)+OFFSET(TblConstr[[#This Row],[Tot Shr]],-1,0)-TblConstr[[#This Row],[Dest Shr]]</f>
        <v>0</v>
      </c>
      <c r="BL6" s="369" cm="1">
        <f t="array" aca="1" ref="BL6" ca="1">IF(TblConstr[[#This Row],[Hour]:[Hour]]&gt;12,OFFSET(TblConstr[[#This Row],[Tow]],-12,0),0)+OFFSET(TblConstr[[#This Row],[Tot Tow]],-1,0)-TblConstr[[#This Row],[Dest Tow]]</f>
        <v>0</v>
      </c>
      <c r="BM6" s="369" cm="1">
        <f t="array" aca="1" ref="BM6" ca="1">IF(TblConstr[[#This Row],[Hour]:[Hour]]&gt;12,OFFSET(TblConstr[[#This Row],[Tem]],-12,0),0)+OFFSET(TblConstr[[#This Row],[Tot Tem]],-1,0)-TblConstr[[#This Row],[Dest Tem]]</f>
        <v>0</v>
      </c>
      <c r="BN6" s="369" cm="1">
        <f t="array" aca="1" ref="BN6" ca="1">IF(TblConstr[[#This Row],[Hour]:[Hour]]&gt;12,OFFSET(TblConstr[[#This Row],[WG]],-12,0),0)+OFFSET(TblConstr[[#This Row],[Tot WG]],-1,0)-TblConstr[[#This Row],[Dest WG]]</f>
        <v>0</v>
      </c>
      <c r="BO6" s="191" cm="1">
        <f t="array" aca="1" ref="BO6" ca="1">IF(TblConstr[[#This Row],[Hour]:[Hour]]&gt;12,OFFSET(TblConstr[[#This Row],[DM]],-12,0),0)+OFFSET(TblConstr[[#This Row],[Tot DM]],-1,0)-TblConstr[[#This Row],[Dest DM]]</f>
        <v>0</v>
      </c>
      <c r="BP6" s="191" cm="1">
        <f t="array" aca="1" ref="BP6" ca="1">IF(TblConstr[[#This Row],[Hour]:[Hour]]&gt;12,OFFSET(TblConstr[[#This Row],[Sch]],-12,0),0)+OFFSET(TblConstr[[#This Row],[Tot Sch]],-1,0)-TblConstr[[#This Row],[Dest Sch]]</f>
        <v>0</v>
      </c>
      <c r="BQ6" s="192" cm="1">
        <f t="array" aca="1" ref="BQ6" ca="1">IF(TblConstr[[#This Row],[Hour]:[Hour]]&gt;12,OFFSET(TblConstr[[#This Row],[Doc]],-12,0),0)+OFFSET(TblConstr[[#This Row],[Tot Doc]],-1,0)-TblConstr[[#This Row],[Dest Doc]]</f>
        <v>0</v>
      </c>
      <c r="BR6" s="142"/>
      <c r="BS6" s="154"/>
      <c r="BT6" s="94">
        <f ca="1">TblConstr[[#This Row],[Land]]</f>
        <v>50</v>
      </c>
      <c r="BU6" s="159">
        <f ca="1">TblImps[[#This Row],[Time]]</f>
        <v>46320.083333333328</v>
      </c>
      <c r="BV6" s="142"/>
      <c r="BW6" s="179"/>
      <c r="BX6" s="179"/>
      <c r="BY6" s="179"/>
      <c r="BZ6" s="179"/>
      <c r="CA6" s="179"/>
      <c r="CB6" s="179"/>
      <c r="CC6" s="179"/>
      <c r="CD6" s="179"/>
      <c r="CE6" s="179"/>
      <c r="CF6" s="179"/>
      <c r="CG6" s="179"/>
      <c r="CH6" s="179"/>
      <c r="CI6" s="179"/>
      <c r="CJ6" s="179"/>
      <c r="CK6" s="179"/>
      <c r="CL6" s="179"/>
      <c r="CM6" s="179"/>
      <c r="CN6" s="179"/>
      <c r="CO6" s="179"/>
      <c r="CP6" s="142"/>
      <c r="CQ6" s="181">
        <f ca="1">-SUM(TblConstr[[#This Row],[Alc]:[Mas]])+SUM(TblConstr[[#This Row],[Dest Alc]:[Dest Mas]])+Rezone!L6+IF("Ch_"&amp; home_land=TblConstr[[#Headers],[Ch_Plain]],TblConstr[[#This Row],[Home Land]])+IF(TblConstr[[#This Row],[Hour]:[Hour]]&gt;12,OFFSET(TblExplore[[#This Row],[Plains Explore]],-12,0),0)</f>
        <v>0</v>
      </c>
      <c r="CR6" s="182">
        <f ca="1">-SUM(TblConstr[[#This Row],[Ly]:[Hav]])+SUM(TblConstr[[#This Row],[Dest Ly]:[Dest Hav]]) +Rezone!M6 + IF("Ch_"&amp; home_land=TblConstr[[#Headers],[Ch_Forest]],TblConstr[[#This Row],[Home Land]])+IF(TblConstr[[#This Row],[Hour]:[Hour]]&gt;12,OFFSET(TblExplore[[#This Row],[Forest Explore]],-12,0),0)</f>
        <v>0</v>
      </c>
      <c r="CS6" s="359">
        <f ca="1">-SUM(TblConstr[[#This Row],[OM]:[GN]])+SUM(TblConstr[[#This Row],[Dest OM]:[Dest GN]]) +Rezone!N6 + IF("Ch_"&amp; home_land=TblConstr[[#Headers],[Ch_Mountain]],TblConstr[[#This Row],[Home Land]])+IF(TblConstr[[#This Row],[Hour]:[Hour]]&gt;12,OFFSET(TblExplore[[#This Row],[Mountain Explore]],-12,0),0)</f>
        <v>0</v>
      </c>
      <c r="CT6" s="183">
        <f ca="1">-SUM(TblConstr[[#This Row],[Fac]:[Shr]])+SUM(TblConstr[[#This Row],[Dest Fac]:[Dest Shr]]) +Rezone!O6 + IF("Ch_" &amp; home_land=TblConstr[[#Headers],[Ch_Hill]],TblConstr[[#This Row],[Home Land]])+IF(TblConstr[[#This Row],[Hour]:[Hour]]&gt;12,OFFSET(TblExplore[[#This Row],[Hill Explore]],-12,0),0)</f>
        <v>0</v>
      </c>
      <c r="CU6" s="184">
        <f ca="1">-SUM(TblConstr[[#This Row],[Tow]:[WG]])+SUM(TblConstr[[#This Row],[Dest Tow]:[Dest WG]]) +Rezone!P6 + IF("Ch_" &amp; home_land=TblConstr[[#Headers],[Ch_Swamp]],TblConstr[[#This Row],[Home Land]])+IF(TblConstr[[#This Row],[Hour]:[Hour]]&gt;12,OFFSET(TblExplore[[#This Row],[Swamp Explore]],-12,0),0)</f>
        <v>0</v>
      </c>
      <c r="CV6" s="185">
        <f ca="1" xml:space="preserve"> - SUM(TblConstr[[#This Row],[DM]:[Sch]])+SUM(TblConstr[[#This Row],[Dest DM]:[Dest Sch]]) +Rezone!Q6 + IF("Ch_" &amp; home_land=TblConstr[[#Headers],[Ch_Cavern]],TblConstr[[#This Row],[Home Land]])+IF(TblConstr[[#This Row],[Hour]:[Hour]]&gt;12,OFFSET(TblExplore[[#This Row],[Cavern Explore]],-12,0),0)</f>
        <v>0</v>
      </c>
      <c r="CW6" s="186">
        <f ca="1">-TblConstr[[#This Row],[Doc]]+TblConstr[[#This Row],[Dest Doc]] +Rezone!R6 + IF("Ch_" &amp; home_land=TblConstr[[#Headers],[Ch_Water]],TblConstr[[#This Row],[Home Land]])+IF(TblConstr[[#This Row],[Hour]:[Hour]]&gt;12,OFFSET(TblExplore[[#This Row],[Water Explore]],-12,0),0)</f>
        <v>0</v>
      </c>
      <c r="CX6" s="45">
        <f>IF(Explore!S6=1,20) - TblConstr[[#This Row],[Hom]] + TblConstr[[#This Row],[Dest Hom]]</f>
        <v>0</v>
      </c>
      <c r="CY6" s="142"/>
      <c r="CZ6" s="94">
        <f ca="1">G6+SUM(P$4:S6)+SUM(AZ6:BC6)</f>
        <v>30</v>
      </c>
      <c r="DA6" s="94">
        <f ca="1">H6+SUM(T$4:U6)+SUM(BD6:BE6)</f>
        <v>20</v>
      </c>
      <c r="DB6" s="45">
        <f ca="1">I6+SUM(V$4:W6)+SUM(BF6:BG6)</f>
        <v>0</v>
      </c>
      <c r="DC6" s="94">
        <f ca="1">J6+SUM(X$4:Y6)+SUM(BH6:BI6)</f>
        <v>0</v>
      </c>
      <c r="DD6" s="94">
        <f ca="1">K6+SUM(AB$4:AD6)+SUM(BL6:BN6)</f>
        <v>0</v>
      </c>
      <c r="DE6" s="45">
        <f ca="1">L6+SUM(AE$4:AE6)+BO6</f>
        <v>0</v>
      </c>
      <c r="DF6" s="94">
        <f ca="1">M6+SUM(AG$4:AG6)+BQ6</f>
        <v>0</v>
      </c>
      <c r="DG6" s="94" cm="1">
        <f t="array" aca="1" ref="DG6" ca="1">INDEX(TblConstr[[Total Plain]:[Total Water]],ROW()-ROW(TblConstr[#Headers]),MATCH("Total "&amp;home_land,TblConstr[[#Headers],[Total Plain]:[Total Water]],0))+TblConstr[[#This Row],[Homes]]</f>
        <v>30</v>
      </c>
      <c r="DH6" s="45">
        <f ca="1">SUM(O$4:O6)+AY6</f>
        <v>0</v>
      </c>
      <c r="DI6" s="45">
        <f t="shared" ref="DI6:DI69" ca="1" si="0">MAX(BA6-BA5,0)</f>
        <v>0</v>
      </c>
      <c r="DJ6" s="45">
        <f t="shared" ref="DJ6:DJ69" ca="1" si="1">MAX(BQ6-BQ5,0)</f>
        <v>0</v>
      </c>
    </row>
    <row r="7" spans="1:114" x14ac:dyDescent="0.2">
      <c r="A7" s="175">
        <f>TblRezone[[#This Row],[Hour]]</f>
        <v>4</v>
      </c>
      <c r="B7" s="176">
        <f ca="1">SUM(TblConstr[[#This Row],[Plain]:[Water]])</f>
        <v>0</v>
      </c>
      <c r="C7" s="177">
        <f ca="1">SUM(TblConstr[[#This Row],[Tot Hom]:[Tot Doc]])</f>
        <v>50</v>
      </c>
      <c r="D7" s="177">
        <f>SUM(O$4:AG7)</f>
        <v>0</v>
      </c>
      <c r="E7" s="178"/>
      <c r="F7" s="61">
        <f ca="1">TblConstr[[#This Row],[Barren]]+TblConstr[[#This Row],[Buildings]]+TblConstr[[#This Row],[Incoming]]</f>
        <v>50</v>
      </c>
      <c r="G7" s="187">
        <f ca="1">OFFSET(TblConstr[[#This Row],[Plain]],-1,0)+TblConstr[[#This Row],[Ch_Plain]]</f>
        <v>0</v>
      </c>
      <c r="H7" s="182">
        <f ca="1">OFFSET(TblConstr[[#This Row],[Forest]],-1,0)+TblConstr[[#This Row],[Ch_Forest]]</f>
        <v>0</v>
      </c>
      <c r="I7" s="359">
        <f ca="1">OFFSET(TblConstr[[#This Row],[Mountain]],-1,0)+TblConstr[[#This Row],[Ch_Mountain]]</f>
        <v>0</v>
      </c>
      <c r="J7" s="363">
        <f ca="1">OFFSET(TblConstr[[#This Row],[Hill]],-1,0)+TblConstr[[#This Row],[Ch_Hill]]</f>
        <v>0</v>
      </c>
      <c r="K7" s="367">
        <f ca="1">OFFSET(TblConstr[[#This Row],[Swamp]],-1,0)+TblConstr[[#This Row],[Ch_Swamp]]</f>
        <v>0</v>
      </c>
      <c r="L7" s="185">
        <f ca="1">OFFSET(TblConstr[[#This Row],[Cavern]],-1,0)+TblConstr[[#This Row],[Ch_Cavern]]</f>
        <v>0</v>
      </c>
      <c r="M7" s="186">
        <f ca="1">OFFSET(TblConstr[[#This Row],[Water]],-1,0)+TblConstr[[#This Row],[Ch_Water]]</f>
        <v>0</v>
      </c>
      <c r="N7" s="357">
        <f>TblRezone[[#This Row],[Hour]]</f>
        <v>4</v>
      </c>
      <c r="O7" s="179"/>
      <c r="P7" s="179"/>
      <c r="Q7" s="179"/>
      <c r="R7" s="179"/>
      <c r="S7" s="179"/>
      <c r="T7" s="179"/>
      <c r="U7" s="179"/>
      <c r="V7" s="179"/>
      <c r="W7" s="179"/>
      <c r="X7" s="179"/>
      <c r="Y7" s="179"/>
      <c r="Z7" s="179"/>
      <c r="AA7" s="179"/>
      <c r="AB7" s="179"/>
      <c r="AC7" s="179"/>
      <c r="AD7" s="179"/>
      <c r="AE7" s="179"/>
      <c r="AF7" s="179"/>
      <c r="AG7" s="179"/>
      <c r="AH7" s="53">
        <f ca="1">TblImps[[#This Row],[Time]]</f>
        <v>46320.124999999993</v>
      </c>
      <c r="AI7" s="180">
        <f ca="1">MIN(25%,(TblConstr[[#This Row],[Tot Fac]]+TblConstr[[#This Row],[Dest Fac]])/(TblConstr[[#This Row],[Land]]-TblExplore[[#This Row],[Land Bonus]]*20))</f>
        <v>0</v>
      </c>
      <c r="AJ7" s="180">
        <f ca="1">MIN(25%,(TblConstr[[#This Row],[Tot Fac]]+TblConstr[[#This Row],[Dest Fac]])/TblConstr[[#This Row],[Land]])</f>
        <v>0</v>
      </c>
      <c r="AK7" s="94">
        <f ca="1">TblProd[[#This Row],[Platinum]]</f>
        <v>123757</v>
      </c>
      <c r="AL7" s="94">
        <f ca="1">TblProd[[#This Row],[Lumber]]</f>
        <v>17525</v>
      </c>
      <c r="AM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 s="94">
        <f ca="1">ROUNDDOWN( MAX(1 - MIN(facs_constr_factor*TblConstr[[#This Row],[Facs -DB]],facs_constr_max) + tech_1_11*TblTech[[#This Row],[11-1]] + tech_6_3_2*TblTech[[#This Row],[6-3]] + tech_5_2_3*TblTech[[#This Row],[5-2]], 1-global_constr_cap) * TblConstr[[#This Row],[RCPA Lumber]],0)</f>
        <v>31</v>
      </c>
      <c r="AO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 s="94">
        <f ca="1">ROUNDDOWN( MAX(1 - MIN(facs_constr_factor*TblConstr[[#This Row],[Facs DB]],facs_constr_max) + tech_1_11*TblTech[[#This Row],[1-11]] + tech_6_3_2*TblTech[[#This Row],[6-3]] + tech_5_2_3*TblTech[[#This Row],[5-2]], 1-global_constr_cap) * ROUND((TblConstr[[#This Row],[Land]]-250)*0.285 + 87.5 + 0/4.25,0),0)</f>
        <v>31</v>
      </c>
      <c r="AQ7" s="45">
        <f ca="1">TblConstr[[#This Row],[build -db]]*TblConstr[[#This Row],[CPA Platinum -DB]] + TblConstr[[#This Row],[build db]]*TblConstr[[#This Row],[CPA Platinum DB]]</f>
        <v>0</v>
      </c>
      <c r="AR7" s="45">
        <f ca="1">TblConstr[[#This Row],[build -db]]*TblConstr[[#This Row],[CPA Lumber -DB]] + TblConstr[[#This Row],[build db]]*TblConstr[[#This Row],[CPA Lumber DB]]</f>
        <v>0</v>
      </c>
      <c r="AS7" s="94">
        <f ca="1">MIN(SUM(OFFSET(TblConstr[[#This Row],[Plain]:[Water]],-1,0))+SUM(TblConstr[[#This Row],[Dest Hom]:[Dest Doc]])+IF(TblConstr[[#This Row],[Hour]]&gt;12,SUM(OFFSET(TblExplore[[#This Row],[Plains Explore]:[Water Explore]],-12,0)),0),SUM(TblConstr[[#This Row],[Hom]:[Doc]]))</f>
        <v>0</v>
      </c>
      <c r="AT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42"/>
      <c r="AV7" s="94">
        <f ca="1">ROUND((TblConstr[[#This Row],[Land]]-250 - IF(TblExplore[[#This Row],[Land Bonus]]&lt;&gt;0,20,0))*1.25 + 850 + 0,0)</f>
        <v>600</v>
      </c>
      <c r="AW7" s="94">
        <f ca="1">ROUND((TblConstr[[#This Row],[Land]]-250 - IF(TblExplore[[#This Row],[Land Bonus]]&lt;&gt;0,20,0))*0.285 + 87.5 + 0/4.25,0)</f>
        <v>31</v>
      </c>
      <c r="AX7" s="154"/>
      <c r="AY7" s="188" cm="1">
        <f t="array" aca="1" ref="AY7" ca="1">IF(TblConstr[[#This Row],[Hour]:[Hour]]&gt;12,OFFSET(TblConstr[[#This Row],[Hom]],-12,0),0)+OFFSET(TblConstr[[#This Row],[Tot Hom]],-1,0)-TblConstr[[#This Row],[Dest Hom]]</f>
        <v>0</v>
      </c>
      <c r="AZ7" s="189" cm="1">
        <f t="array" aca="1" ref="AZ7" ca="1">IF(TblConstr[[#This Row],[Hour]:[Hour]]&gt;12,OFFSET(TblConstr[[#This Row],[Alc]],-12,0),0)+OFFSET(TblConstr[[#This Row],[Tot Alc]],-1,0)-TblConstr[[#This Row],[Dest Alc]]</f>
        <v>0</v>
      </c>
      <c r="BA7" s="189" cm="1">
        <f t="array" aca="1" ref="BA7" ca="1">IF(TblConstr[[#This Row],[Hour]:[Hour]]&gt;12,OFFSET(TblConstr[[#This Row],[Far]],-12,0),0)+OFFSET(TblConstr[[#This Row],[Tot Farm]],-1,0)-TblConstr[[#This Row],[Dest Farm]]</f>
        <v>30</v>
      </c>
      <c r="BB7" s="189" cm="1">
        <f t="array" aca="1" ref="BB7" ca="1">IF(TblConstr[[#This Row],[Hour]:[Hour]]&gt;12,OFFSET(TblConstr[[#This Row],[Smi]],-12,0),0)+OFFSET(TblConstr[[#This Row],[Tot Smi]],-1,0)-TblConstr[[#This Row],[Dest Smi]]</f>
        <v>0</v>
      </c>
      <c r="BC7" s="189" cm="1">
        <f t="array" aca="1" ref="BC7" ca="1">IF(TblConstr[[#This Row],[Hour]:[Hour]]&gt;12,OFFSET(TblConstr[[#This Row],[Mas]],-12,0),0)+OFFSET(TblConstr[[#This Row],[Tot Mas]],-1,0)-TblConstr[[#This Row],[Dest Mas]]</f>
        <v>0</v>
      </c>
      <c r="BD7" s="190" cm="1">
        <f t="array" aca="1" ref="BD7" ca="1">IF(TblConstr[[#This Row],[Hour]:[Hour]]&gt;12,OFFSET(TblConstr[[#This Row],[Ly]],-12,0),0)+OFFSET(TblConstr[[#This Row],[Tot Ly]],-1,0)-TblConstr[[#This Row],[Dest Ly]]</f>
        <v>20</v>
      </c>
      <c r="BE7" s="190" cm="1">
        <f t="array" aca="1" ref="BE7" ca="1">IF(TblConstr[[#This Row],[Hour]:[Hour]]&gt;12,OFFSET(TblConstr[[#This Row],[Hav]],-12,0),0)+OFFSET(TblConstr[[#This Row],[Tot Hav]],-1,0)-TblConstr[[#This Row],[Dest Hav]]</f>
        <v>0</v>
      </c>
      <c r="BF7" s="361" cm="1">
        <f t="array" aca="1" ref="BF7" ca="1">IF(TblConstr[[#This Row],[Hour]:[Hour]]&gt;12,OFFSET(TblConstr[[#This Row],[OM]],-12,0),0)+OFFSET(TblConstr[[#This Row],[Tot OM]],-1,0)-TblConstr[[#This Row],[Dest OM]]</f>
        <v>0</v>
      </c>
      <c r="BG7" s="361" cm="1">
        <f t="array" aca="1" ref="BG7" ca="1">IF(TblConstr[[#This Row],[Hour]:[Hour]]&gt;12,OFFSET(TblConstr[[#This Row],[GN]],-12,0),0)+OFFSET(TblConstr[[#This Row],[Tot GN]],-1,0)-TblConstr[[#This Row],[Dest GN]]</f>
        <v>0</v>
      </c>
      <c r="BH7" s="365" cm="1">
        <f t="array" aca="1" ref="BH7" ca="1">IF(TblConstr[[#This Row],[Hour]:[Hour]]&gt;12,OFFSET(TblConstr[[#This Row],[Fac]],-12,0),0)+OFFSET(TblConstr[[#This Row],[Tot Fac]],-1,0)-TblConstr[[#This Row],[Dest Fac]]</f>
        <v>0</v>
      </c>
      <c r="BI7" s="365" cm="1">
        <f t="array" aca="1" ref="BI7" ca="1">IF(TblConstr[[#This Row],[Hour]:[Hour]]&gt;12,OFFSET(TblConstr[[#This Row],[GT]],-12,0),0)+OFFSET(TblConstr[[#This Row],[Tot GT]],-1,0)-TblConstr[[#This Row],[Dest GT]]</f>
        <v>0</v>
      </c>
      <c r="BJ7" s="365" cm="1">
        <f t="array" aca="1" ref="BJ7" ca="1">IF(TblConstr[[#This Row],[Hour]:[Hour]]&gt;12,OFFSET(TblConstr[[#This Row],[Bar]],-12,0),0)+OFFSET(TblConstr[[#This Row],[Tot Bar]],-1,0)-TblConstr[[#This Row],[Dest Bar]]</f>
        <v>0</v>
      </c>
      <c r="BK7" s="365" cm="1">
        <f t="array" aca="1" ref="BK7" ca="1">IF(TblConstr[[#This Row],[Hour]:[Hour]]&gt;12,OFFSET(TblConstr[[#This Row],[Shr]],-12,0),0)+OFFSET(TblConstr[[#This Row],[Tot Shr]],-1,0)-TblConstr[[#This Row],[Dest Shr]]</f>
        <v>0</v>
      </c>
      <c r="BL7" s="369" cm="1">
        <f t="array" aca="1" ref="BL7" ca="1">IF(TblConstr[[#This Row],[Hour]:[Hour]]&gt;12,OFFSET(TblConstr[[#This Row],[Tow]],-12,0),0)+OFFSET(TblConstr[[#This Row],[Tot Tow]],-1,0)-TblConstr[[#This Row],[Dest Tow]]</f>
        <v>0</v>
      </c>
      <c r="BM7" s="369" cm="1">
        <f t="array" aca="1" ref="BM7" ca="1">IF(TblConstr[[#This Row],[Hour]:[Hour]]&gt;12,OFFSET(TblConstr[[#This Row],[Tem]],-12,0),0)+OFFSET(TblConstr[[#This Row],[Tot Tem]],-1,0)-TblConstr[[#This Row],[Dest Tem]]</f>
        <v>0</v>
      </c>
      <c r="BN7" s="369" cm="1">
        <f t="array" aca="1" ref="BN7" ca="1">IF(TblConstr[[#This Row],[Hour]:[Hour]]&gt;12,OFFSET(TblConstr[[#This Row],[WG]],-12,0),0)+OFFSET(TblConstr[[#This Row],[Tot WG]],-1,0)-TblConstr[[#This Row],[Dest WG]]</f>
        <v>0</v>
      </c>
      <c r="BO7" s="191" cm="1">
        <f t="array" aca="1" ref="BO7" ca="1">IF(TblConstr[[#This Row],[Hour]:[Hour]]&gt;12,OFFSET(TblConstr[[#This Row],[DM]],-12,0),0)+OFFSET(TblConstr[[#This Row],[Tot DM]],-1,0)-TblConstr[[#This Row],[Dest DM]]</f>
        <v>0</v>
      </c>
      <c r="BP7" s="191" cm="1">
        <f t="array" aca="1" ref="BP7" ca="1">IF(TblConstr[[#This Row],[Hour]:[Hour]]&gt;12,OFFSET(TblConstr[[#This Row],[Sch]],-12,0),0)+OFFSET(TblConstr[[#This Row],[Tot Sch]],-1,0)-TblConstr[[#This Row],[Dest Sch]]</f>
        <v>0</v>
      </c>
      <c r="BQ7" s="192" cm="1">
        <f t="array" aca="1" ref="BQ7" ca="1">IF(TblConstr[[#This Row],[Hour]:[Hour]]&gt;12,OFFSET(TblConstr[[#This Row],[Doc]],-12,0),0)+OFFSET(TblConstr[[#This Row],[Tot Doc]],-1,0)-TblConstr[[#This Row],[Dest Doc]]</f>
        <v>0</v>
      </c>
      <c r="BR7" s="142"/>
      <c r="BS7" s="154"/>
      <c r="BT7" s="94">
        <f ca="1">TblConstr[[#This Row],[Land]]</f>
        <v>50</v>
      </c>
      <c r="BU7" s="159">
        <f ca="1">TblImps[[#This Row],[Time]]</f>
        <v>46320.124999999993</v>
      </c>
      <c r="BV7" s="142"/>
      <c r="BW7" s="179"/>
      <c r="BX7" s="179"/>
      <c r="BY7" s="179"/>
      <c r="BZ7" s="179"/>
      <c r="CA7" s="179"/>
      <c r="CB7" s="179"/>
      <c r="CC7" s="179"/>
      <c r="CD7" s="179"/>
      <c r="CE7" s="179"/>
      <c r="CF7" s="179"/>
      <c r="CG7" s="179"/>
      <c r="CH7" s="179"/>
      <c r="CI7" s="179"/>
      <c r="CJ7" s="179"/>
      <c r="CK7" s="179"/>
      <c r="CL7" s="179"/>
      <c r="CM7" s="179"/>
      <c r="CN7" s="179"/>
      <c r="CO7" s="179"/>
      <c r="CP7" s="142"/>
      <c r="CQ7" s="181">
        <f ca="1">-SUM(TblConstr[[#This Row],[Alc]:[Mas]])+SUM(TblConstr[[#This Row],[Dest Alc]:[Dest Mas]])+Rezone!L7+IF("Ch_"&amp; home_land=TblConstr[[#Headers],[Ch_Plain]],TblConstr[[#This Row],[Home Land]])+IF(TblConstr[[#This Row],[Hour]:[Hour]]&gt;12,OFFSET(TblExplore[[#This Row],[Plains Explore]],-12,0),0)</f>
        <v>0</v>
      </c>
      <c r="CR7" s="182">
        <f ca="1">-SUM(TblConstr[[#This Row],[Ly]:[Hav]])+SUM(TblConstr[[#This Row],[Dest Ly]:[Dest Hav]]) +Rezone!M7 + IF("Ch_"&amp; home_land=TblConstr[[#Headers],[Ch_Forest]],TblConstr[[#This Row],[Home Land]])+IF(TblConstr[[#This Row],[Hour]:[Hour]]&gt;12,OFFSET(TblExplore[[#This Row],[Forest Explore]],-12,0),0)</f>
        <v>0</v>
      </c>
      <c r="CS7" s="359">
        <f ca="1">-SUM(TblConstr[[#This Row],[OM]:[GN]])+SUM(TblConstr[[#This Row],[Dest OM]:[Dest GN]]) +Rezone!N7 + IF("Ch_"&amp; home_land=TblConstr[[#Headers],[Ch_Mountain]],TblConstr[[#This Row],[Home Land]])+IF(TblConstr[[#This Row],[Hour]:[Hour]]&gt;12,OFFSET(TblExplore[[#This Row],[Mountain Explore]],-12,0),0)</f>
        <v>0</v>
      </c>
      <c r="CT7" s="183">
        <f ca="1">-SUM(TblConstr[[#This Row],[Fac]:[Shr]])+SUM(TblConstr[[#This Row],[Dest Fac]:[Dest Shr]]) +Rezone!O7 + IF("Ch_" &amp; home_land=TblConstr[[#Headers],[Ch_Hill]],TblConstr[[#This Row],[Home Land]])+IF(TblConstr[[#This Row],[Hour]:[Hour]]&gt;12,OFFSET(TblExplore[[#This Row],[Hill Explore]],-12,0),0)</f>
        <v>0</v>
      </c>
      <c r="CU7" s="184">
        <f ca="1">-SUM(TblConstr[[#This Row],[Tow]:[WG]])+SUM(TblConstr[[#This Row],[Dest Tow]:[Dest WG]]) +Rezone!P7 + IF("Ch_" &amp; home_land=TblConstr[[#Headers],[Ch_Swamp]],TblConstr[[#This Row],[Home Land]])+IF(TblConstr[[#This Row],[Hour]:[Hour]]&gt;12,OFFSET(TblExplore[[#This Row],[Swamp Explore]],-12,0),0)</f>
        <v>0</v>
      </c>
      <c r="CV7" s="185">
        <f ca="1" xml:space="preserve"> - SUM(TblConstr[[#This Row],[DM]:[Sch]])+SUM(TblConstr[[#This Row],[Dest DM]:[Dest Sch]]) +Rezone!Q7 + IF("Ch_" &amp; home_land=TblConstr[[#Headers],[Ch_Cavern]],TblConstr[[#This Row],[Home Land]])+IF(TblConstr[[#This Row],[Hour]:[Hour]]&gt;12,OFFSET(TblExplore[[#This Row],[Cavern Explore]],-12,0),0)</f>
        <v>0</v>
      </c>
      <c r="CW7" s="186">
        <f ca="1">-TblConstr[[#This Row],[Doc]]+TblConstr[[#This Row],[Dest Doc]] +Rezone!R7 + IF("Ch_" &amp; home_land=TblConstr[[#Headers],[Ch_Water]],TblConstr[[#This Row],[Home Land]])+IF(TblConstr[[#This Row],[Hour]:[Hour]]&gt;12,OFFSET(TblExplore[[#This Row],[Water Explore]],-12,0),0)</f>
        <v>0</v>
      </c>
      <c r="CX7" s="45">
        <f>IF(Explore!S7=1,20) - TblConstr[[#This Row],[Hom]] + TblConstr[[#This Row],[Dest Hom]]</f>
        <v>0</v>
      </c>
      <c r="CY7" s="142"/>
      <c r="CZ7" s="94">
        <f ca="1">G7+SUM(P$4:S7)+SUM(AZ7:BC7)</f>
        <v>30</v>
      </c>
      <c r="DA7" s="94">
        <f ca="1">H7+SUM(T$4:U7)+SUM(BD7:BE7)</f>
        <v>20</v>
      </c>
      <c r="DB7" s="45">
        <f ca="1">I7+SUM(V$4:W7)+SUM(BF7:BG7)</f>
        <v>0</v>
      </c>
      <c r="DC7" s="94">
        <f ca="1">J7+SUM(X$4:Y7)+SUM(BH7:BI7)</f>
        <v>0</v>
      </c>
      <c r="DD7" s="94">
        <f ca="1">K7+SUM(AB$4:AD7)+SUM(BL7:BN7)</f>
        <v>0</v>
      </c>
      <c r="DE7" s="45">
        <f ca="1">L7+SUM(AE$4:AE7)+BO7</f>
        <v>0</v>
      </c>
      <c r="DF7" s="94">
        <f ca="1">M7+SUM(AG$4:AG7)+BQ7</f>
        <v>0</v>
      </c>
      <c r="DG7" s="94" cm="1">
        <f t="array" aca="1" ref="DG7" ca="1">INDEX(TblConstr[[Total Plain]:[Total Water]],ROW()-ROW(TblConstr[#Headers]),MATCH("Total "&amp;home_land,TblConstr[[#Headers],[Total Plain]:[Total Water]],0))+TblConstr[[#This Row],[Homes]]</f>
        <v>30</v>
      </c>
      <c r="DH7" s="45">
        <f ca="1">SUM(O$4:O7)+AY7</f>
        <v>0</v>
      </c>
      <c r="DI7" s="45">
        <f t="shared" ca="1" si="0"/>
        <v>0</v>
      </c>
      <c r="DJ7" s="45">
        <f t="shared" ca="1" si="1"/>
        <v>0</v>
      </c>
    </row>
    <row r="8" spans="1:114" x14ac:dyDescent="0.2">
      <c r="A8" s="356">
        <f>TblRezone[[#This Row],[Hour]]</f>
        <v>5</v>
      </c>
      <c r="B8" s="176">
        <f ca="1">SUM(TblConstr[[#This Row],[Plain]:[Water]])</f>
        <v>0</v>
      </c>
      <c r="C8" s="177">
        <f ca="1">SUM(TblConstr[[#This Row],[Tot Hom]:[Tot Doc]])</f>
        <v>50</v>
      </c>
      <c r="D8" s="177">
        <f>SUM(O$4:AG8)</f>
        <v>0</v>
      </c>
      <c r="E8" s="178"/>
      <c r="F8" s="61">
        <f ca="1">TblConstr[[#This Row],[Barren]]+TblConstr[[#This Row],[Buildings]]+TblConstr[[#This Row],[Incoming]]</f>
        <v>50</v>
      </c>
      <c r="G8" s="187">
        <f ca="1">OFFSET(TblConstr[[#This Row],[Plain]],-1,0)+TblConstr[[#This Row],[Ch_Plain]]</f>
        <v>0</v>
      </c>
      <c r="H8" s="182">
        <f ca="1">OFFSET(TblConstr[[#This Row],[Forest]],-1,0)+TblConstr[[#This Row],[Ch_Forest]]</f>
        <v>0</v>
      </c>
      <c r="I8" s="359">
        <f ca="1">OFFSET(TblConstr[[#This Row],[Mountain]],-1,0)+TblConstr[[#This Row],[Ch_Mountain]]</f>
        <v>0</v>
      </c>
      <c r="J8" s="363">
        <f ca="1">OFFSET(TblConstr[[#This Row],[Hill]],-1,0)+TblConstr[[#This Row],[Ch_Hill]]</f>
        <v>0</v>
      </c>
      <c r="K8" s="367">
        <f ca="1">OFFSET(TblConstr[[#This Row],[Swamp]],-1,0)+TblConstr[[#This Row],[Ch_Swamp]]</f>
        <v>0</v>
      </c>
      <c r="L8" s="185">
        <f ca="1">OFFSET(TblConstr[[#This Row],[Cavern]],-1,0)+TblConstr[[#This Row],[Ch_Cavern]]</f>
        <v>0</v>
      </c>
      <c r="M8" s="186">
        <f ca="1">OFFSET(TblConstr[[#This Row],[Water]],-1,0)+TblConstr[[#This Row],[Ch_Water]]</f>
        <v>0</v>
      </c>
      <c r="N8" s="357">
        <f>TblRezone[[#This Row],[Hour]]</f>
        <v>5</v>
      </c>
      <c r="O8" s="179"/>
      <c r="P8" s="179"/>
      <c r="Q8" s="179"/>
      <c r="R8" s="179"/>
      <c r="S8" s="179"/>
      <c r="T8" s="179"/>
      <c r="U8" s="179"/>
      <c r="V8" s="179"/>
      <c r="W8" s="179"/>
      <c r="X8" s="179"/>
      <c r="Y8" s="179"/>
      <c r="Z8" s="179"/>
      <c r="AA8" s="179"/>
      <c r="AB8" s="179"/>
      <c r="AC8" s="179"/>
      <c r="AD8" s="179"/>
      <c r="AE8" s="179"/>
      <c r="AF8" s="179"/>
      <c r="AG8" s="179"/>
      <c r="AH8" s="53">
        <f ca="1">TblImps[[#This Row],[Time]]</f>
        <v>46320.166666666657</v>
      </c>
      <c r="AI8" s="180">
        <f ca="1">MIN(25%,(TblConstr[[#This Row],[Tot Fac]]+TblConstr[[#This Row],[Dest Fac]])/(TblConstr[[#This Row],[Land]]-TblExplore[[#This Row],[Land Bonus]]*20))</f>
        <v>0</v>
      </c>
      <c r="AJ8" s="180">
        <f ca="1">MIN(25%,(TblConstr[[#This Row],[Tot Fac]]+TblConstr[[#This Row],[Dest Fac]])/TblConstr[[#This Row],[Land]])</f>
        <v>0</v>
      </c>
      <c r="AK8" s="94">
        <f ca="1">TblProd[[#This Row],[Platinum]]</f>
        <v>124982</v>
      </c>
      <c r="AL8" s="94">
        <f ca="1">TblProd[[#This Row],[Lumber]]</f>
        <v>18350</v>
      </c>
      <c r="AM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 s="94">
        <f ca="1">ROUNDDOWN( MAX(1 - MIN(facs_constr_factor*TblConstr[[#This Row],[Facs -DB]],facs_constr_max) + tech_1_11*TblTech[[#This Row],[11-1]] + tech_6_3_2*TblTech[[#This Row],[6-3]] + tech_5_2_3*TblTech[[#This Row],[5-2]], 1-global_constr_cap) * TblConstr[[#This Row],[RCPA Lumber]],0)</f>
        <v>31</v>
      </c>
      <c r="AO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 s="94">
        <f ca="1">ROUNDDOWN( MAX(1 - MIN(facs_constr_factor*TblConstr[[#This Row],[Facs DB]],facs_constr_max) + tech_1_11*TblTech[[#This Row],[1-11]] + tech_6_3_2*TblTech[[#This Row],[6-3]] + tech_5_2_3*TblTech[[#This Row],[5-2]], 1-global_constr_cap) * ROUND((TblConstr[[#This Row],[Land]]-250)*0.285 + 87.5 + 0/4.25,0),0)</f>
        <v>31</v>
      </c>
      <c r="AQ8" s="45">
        <f ca="1">TblConstr[[#This Row],[build -db]]*TblConstr[[#This Row],[CPA Platinum -DB]] + TblConstr[[#This Row],[build db]]*TblConstr[[#This Row],[CPA Platinum DB]]</f>
        <v>0</v>
      </c>
      <c r="AR8" s="45">
        <f ca="1">TblConstr[[#This Row],[build -db]]*TblConstr[[#This Row],[CPA Lumber -DB]] + TblConstr[[#This Row],[build db]]*TblConstr[[#This Row],[CPA Lumber DB]]</f>
        <v>0</v>
      </c>
      <c r="AS8" s="94">
        <f ca="1">MIN(SUM(OFFSET(TblConstr[[#This Row],[Plain]:[Water]],-1,0))+SUM(TblConstr[[#This Row],[Dest Hom]:[Dest Doc]])+IF(TblConstr[[#This Row],[Hour]]&gt;12,SUM(OFFSET(TblExplore[[#This Row],[Plains Explore]:[Water Explore]],-12,0)),0),SUM(TblConstr[[#This Row],[Hom]:[Doc]]))</f>
        <v>0</v>
      </c>
      <c r="AT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42"/>
      <c r="AV8" s="94">
        <f ca="1">ROUND((TblConstr[[#This Row],[Land]]-250 - IF(TblExplore[[#This Row],[Land Bonus]]&lt;&gt;0,20,0))*1.25 + 850 + 0,0)</f>
        <v>600</v>
      </c>
      <c r="AW8" s="94">
        <f ca="1">ROUND((TblConstr[[#This Row],[Land]]-250 - IF(TblExplore[[#This Row],[Land Bonus]]&lt;&gt;0,20,0))*0.285 + 87.5 + 0/4.25,0)</f>
        <v>31</v>
      </c>
      <c r="AX8" s="154"/>
      <c r="AY8" s="188" cm="1">
        <f t="array" aca="1" ref="AY8" ca="1">IF(TblConstr[[#This Row],[Hour]:[Hour]]&gt;12,OFFSET(TblConstr[[#This Row],[Hom]],-12,0),0)+OFFSET(TblConstr[[#This Row],[Tot Hom]],-1,0)-TblConstr[[#This Row],[Dest Hom]]</f>
        <v>0</v>
      </c>
      <c r="AZ8" s="189" cm="1">
        <f t="array" aca="1" ref="AZ8" ca="1">IF(TblConstr[[#This Row],[Hour]:[Hour]]&gt;12,OFFSET(TblConstr[[#This Row],[Alc]],-12,0),0)+OFFSET(TblConstr[[#This Row],[Tot Alc]],-1,0)-TblConstr[[#This Row],[Dest Alc]]</f>
        <v>0</v>
      </c>
      <c r="BA8" s="189" cm="1">
        <f t="array" aca="1" ref="BA8" ca="1">IF(TblConstr[[#This Row],[Hour]:[Hour]]&gt;12,OFFSET(TblConstr[[#This Row],[Far]],-12,0),0)+OFFSET(TblConstr[[#This Row],[Tot Farm]],-1,0)-TblConstr[[#This Row],[Dest Farm]]</f>
        <v>30</v>
      </c>
      <c r="BB8" s="189" cm="1">
        <f t="array" aca="1" ref="BB8" ca="1">IF(TblConstr[[#This Row],[Hour]:[Hour]]&gt;12,OFFSET(TblConstr[[#This Row],[Smi]],-12,0),0)+OFFSET(TblConstr[[#This Row],[Tot Smi]],-1,0)-TblConstr[[#This Row],[Dest Smi]]</f>
        <v>0</v>
      </c>
      <c r="BC8" s="189" cm="1">
        <f t="array" aca="1" ref="BC8" ca="1">IF(TblConstr[[#This Row],[Hour]:[Hour]]&gt;12,OFFSET(TblConstr[[#This Row],[Mas]],-12,0),0)+OFFSET(TblConstr[[#This Row],[Tot Mas]],-1,0)-TblConstr[[#This Row],[Dest Mas]]</f>
        <v>0</v>
      </c>
      <c r="BD8" s="190" cm="1">
        <f t="array" aca="1" ref="BD8" ca="1">IF(TblConstr[[#This Row],[Hour]:[Hour]]&gt;12,OFFSET(TblConstr[[#This Row],[Ly]],-12,0),0)+OFFSET(TblConstr[[#This Row],[Tot Ly]],-1,0)-TblConstr[[#This Row],[Dest Ly]]</f>
        <v>20</v>
      </c>
      <c r="BE8" s="190" cm="1">
        <f t="array" aca="1" ref="BE8" ca="1">IF(TblConstr[[#This Row],[Hour]:[Hour]]&gt;12,OFFSET(TblConstr[[#This Row],[Hav]],-12,0),0)+OFFSET(TblConstr[[#This Row],[Tot Hav]],-1,0)-TblConstr[[#This Row],[Dest Hav]]</f>
        <v>0</v>
      </c>
      <c r="BF8" s="361" cm="1">
        <f t="array" aca="1" ref="BF8" ca="1">IF(TblConstr[[#This Row],[Hour]:[Hour]]&gt;12,OFFSET(TblConstr[[#This Row],[OM]],-12,0),0)+OFFSET(TblConstr[[#This Row],[Tot OM]],-1,0)-TblConstr[[#This Row],[Dest OM]]</f>
        <v>0</v>
      </c>
      <c r="BG8" s="361" cm="1">
        <f t="array" aca="1" ref="BG8" ca="1">IF(TblConstr[[#This Row],[Hour]:[Hour]]&gt;12,OFFSET(TblConstr[[#This Row],[GN]],-12,0),0)+OFFSET(TblConstr[[#This Row],[Tot GN]],-1,0)-TblConstr[[#This Row],[Dest GN]]</f>
        <v>0</v>
      </c>
      <c r="BH8" s="365" cm="1">
        <f t="array" aca="1" ref="BH8" ca="1">IF(TblConstr[[#This Row],[Hour]:[Hour]]&gt;12,OFFSET(TblConstr[[#This Row],[Fac]],-12,0),0)+OFFSET(TblConstr[[#This Row],[Tot Fac]],-1,0)-TblConstr[[#This Row],[Dest Fac]]</f>
        <v>0</v>
      </c>
      <c r="BI8" s="365" cm="1">
        <f t="array" aca="1" ref="BI8" ca="1">IF(TblConstr[[#This Row],[Hour]:[Hour]]&gt;12,OFFSET(TblConstr[[#This Row],[GT]],-12,0),0)+OFFSET(TblConstr[[#This Row],[Tot GT]],-1,0)-TblConstr[[#This Row],[Dest GT]]</f>
        <v>0</v>
      </c>
      <c r="BJ8" s="365" cm="1">
        <f t="array" aca="1" ref="BJ8" ca="1">IF(TblConstr[[#This Row],[Hour]:[Hour]]&gt;12,OFFSET(TblConstr[[#This Row],[Bar]],-12,0),0)+OFFSET(TblConstr[[#This Row],[Tot Bar]],-1,0)-TblConstr[[#This Row],[Dest Bar]]</f>
        <v>0</v>
      </c>
      <c r="BK8" s="365" cm="1">
        <f t="array" aca="1" ref="BK8" ca="1">IF(TblConstr[[#This Row],[Hour]:[Hour]]&gt;12,OFFSET(TblConstr[[#This Row],[Shr]],-12,0),0)+OFFSET(TblConstr[[#This Row],[Tot Shr]],-1,0)-TblConstr[[#This Row],[Dest Shr]]</f>
        <v>0</v>
      </c>
      <c r="BL8" s="369" cm="1">
        <f t="array" aca="1" ref="BL8" ca="1">IF(TblConstr[[#This Row],[Hour]:[Hour]]&gt;12,OFFSET(TblConstr[[#This Row],[Tow]],-12,0),0)+OFFSET(TblConstr[[#This Row],[Tot Tow]],-1,0)-TblConstr[[#This Row],[Dest Tow]]</f>
        <v>0</v>
      </c>
      <c r="BM8" s="369" cm="1">
        <f t="array" aca="1" ref="BM8" ca="1">IF(TblConstr[[#This Row],[Hour]:[Hour]]&gt;12,OFFSET(TblConstr[[#This Row],[Tem]],-12,0),0)+OFFSET(TblConstr[[#This Row],[Tot Tem]],-1,0)-TblConstr[[#This Row],[Dest Tem]]</f>
        <v>0</v>
      </c>
      <c r="BN8" s="369" cm="1">
        <f t="array" aca="1" ref="BN8" ca="1">IF(TblConstr[[#This Row],[Hour]:[Hour]]&gt;12,OFFSET(TblConstr[[#This Row],[WG]],-12,0),0)+OFFSET(TblConstr[[#This Row],[Tot WG]],-1,0)-TblConstr[[#This Row],[Dest WG]]</f>
        <v>0</v>
      </c>
      <c r="BO8" s="191" cm="1">
        <f t="array" aca="1" ref="BO8" ca="1">IF(TblConstr[[#This Row],[Hour]:[Hour]]&gt;12,OFFSET(TblConstr[[#This Row],[DM]],-12,0),0)+OFFSET(TblConstr[[#This Row],[Tot DM]],-1,0)-TblConstr[[#This Row],[Dest DM]]</f>
        <v>0</v>
      </c>
      <c r="BP8" s="191" cm="1">
        <f t="array" aca="1" ref="BP8" ca="1">IF(TblConstr[[#This Row],[Hour]:[Hour]]&gt;12,OFFSET(TblConstr[[#This Row],[Sch]],-12,0),0)+OFFSET(TblConstr[[#This Row],[Tot Sch]],-1,0)-TblConstr[[#This Row],[Dest Sch]]</f>
        <v>0</v>
      </c>
      <c r="BQ8" s="192" cm="1">
        <f t="array" aca="1" ref="BQ8" ca="1">IF(TblConstr[[#This Row],[Hour]:[Hour]]&gt;12,OFFSET(TblConstr[[#This Row],[Doc]],-12,0),0)+OFFSET(TblConstr[[#This Row],[Tot Doc]],-1,0)-TblConstr[[#This Row],[Dest Doc]]</f>
        <v>0</v>
      </c>
      <c r="BR8" s="142"/>
      <c r="BS8" s="154"/>
      <c r="BT8" s="94">
        <f ca="1">TblConstr[[#This Row],[Land]]</f>
        <v>50</v>
      </c>
      <c r="BU8" s="159">
        <f ca="1">TblImps[[#This Row],[Time]]</f>
        <v>46320.166666666657</v>
      </c>
      <c r="BV8" s="142"/>
      <c r="BW8" s="179"/>
      <c r="BX8" s="179"/>
      <c r="BY8" s="179"/>
      <c r="BZ8" s="179"/>
      <c r="CA8" s="179"/>
      <c r="CB8" s="179"/>
      <c r="CC8" s="179"/>
      <c r="CD8" s="179"/>
      <c r="CE8" s="179"/>
      <c r="CF8" s="179"/>
      <c r="CG8" s="179"/>
      <c r="CH8" s="179"/>
      <c r="CI8" s="179"/>
      <c r="CJ8" s="179"/>
      <c r="CK8" s="179"/>
      <c r="CL8" s="179"/>
      <c r="CM8" s="179"/>
      <c r="CN8" s="179"/>
      <c r="CO8" s="179"/>
      <c r="CP8" s="142"/>
      <c r="CQ8" s="181">
        <f ca="1">-SUM(TblConstr[[#This Row],[Alc]:[Mas]])+SUM(TblConstr[[#This Row],[Dest Alc]:[Dest Mas]])+Rezone!L8+IF("Ch_"&amp; home_land=TblConstr[[#Headers],[Ch_Plain]],TblConstr[[#This Row],[Home Land]])+IF(TblConstr[[#This Row],[Hour]:[Hour]]&gt;12,OFFSET(TblExplore[[#This Row],[Plains Explore]],-12,0),0)</f>
        <v>0</v>
      </c>
      <c r="CR8" s="182">
        <f ca="1">-SUM(TblConstr[[#This Row],[Ly]:[Hav]])+SUM(TblConstr[[#This Row],[Dest Ly]:[Dest Hav]]) +Rezone!M8 + IF("Ch_"&amp; home_land=TblConstr[[#Headers],[Ch_Forest]],TblConstr[[#This Row],[Home Land]])+IF(TblConstr[[#This Row],[Hour]:[Hour]]&gt;12,OFFSET(TblExplore[[#This Row],[Forest Explore]],-12,0),0)</f>
        <v>0</v>
      </c>
      <c r="CS8" s="359">
        <f ca="1">-SUM(TblConstr[[#This Row],[OM]:[GN]])+SUM(TblConstr[[#This Row],[Dest OM]:[Dest GN]]) +Rezone!N8 + IF("Ch_"&amp; home_land=TblConstr[[#Headers],[Ch_Mountain]],TblConstr[[#This Row],[Home Land]])+IF(TblConstr[[#This Row],[Hour]:[Hour]]&gt;12,OFFSET(TblExplore[[#This Row],[Mountain Explore]],-12,0),0)</f>
        <v>0</v>
      </c>
      <c r="CT8" s="183">
        <f ca="1">-SUM(TblConstr[[#This Row],[Fac]:[Shr]])+SUM(TblConstr[[#This Row],[Dest Fac]:[Dest Shr]]) +Rezone!O8 + IF("Ch_" &amp; home_land=TblConstr[[#Headers],[Ch_Hill]],TblConstr[[#This Row],[Home Land]])+IF(TblConstr[[#This Row],[Hour]:[Hour]]&gt;12,OFFSET(TblExplore[[#This Row],[Hill Explore]],-12,0),0)</f>
        <v>0</v>
      </c>
      <c r="CU8" s="184">
        <f ca="1">-SUM(TblConstr[[#This Row],[Tow]:[WG]])+SUM(TblConstr[[#This Row],[Dest Tow]:[Dest WG]]) +Rezone!P8 + IF("Ch_" &amp; home_land=TblConstr[[#Headers],[Ch_Swamp]],TblConstr[[#This Row],[Home Land]])+IF(TblConstr[[#This Row],[Hour]:[Hour]]&gt;12,OFFSET(TblExplore[[#This Row],[Swamp Explore]],-12,0),0)</f>
        <v>0</v>
      </c>
      <c r="CV8" s="185">
        <f ca="1" xml:space="preserve"> - SUM(TblConstr[[#This Row],[DM]:[Sch]])+SUM(TblConstr[[#This Row],[Dest DM]:[Dest Sch]]) +Rezone!Q8 + IF("Ch_" &amp; home_land=TblConstr[[#Headers],[Ch_Cavern]],TblConstr[[#This Row],[Home Land]])+IF(TblConstr[[#This Row],[Hour]:[Hour]]&gt;12,OFFSET(TblExplore[[#This Row],[Cavern Explore]],-12,0),0)</f>
        <v>0</v>
      </c>
      <c r="CW8" s="186">
        <f ca="1">-TblConstr[[#This Row],[Doc]]+TblConstr[[#This Row],[Dest Doc]] +Rezone!R8 + IF("Ch_" &amp; home_land=TblConstr[[#Headers],[Ch_Water]],TblConstr[[#This Row],[Home Land]])+IF(TblConstr[[#This Row],[Hour]:[Hour]]&gt;12,OFFSET(TblExplore[[#This Row],[Water Explore]],-12,0),0)</f>
        <v>0</v>
      </c>
      <c r="CX8" s="45">
        <f>IF(Explore!S8=1,20) - TblConstr[[#This Row],[Hom]] + TblConstr[[#This Row],[Dest Hom]]</f>
        <v>0</v>
      </c>
      <c r="CY8" s="142"/>
      <c r="CZ8" s="94">
        <f ca="1">G8+SUM(P$4:S8)+SUM(AZ8:BC8)</f>
        <v>30</v>
      </c>
      <c r="DA8" s="94">
        <f ca="1">H8+SUM(T$4:U8)+SUM(BD8:BE8)</f>
        <v>20</v>
      </c>
      <c r="DB8" s="45">
        <f ca="1">I8+SUM(V$4:W8)+SUM(BF8:BG8)</f>
        <v>0</v>
      </c>
      <c r="DC8" s="94">
        <f ca="1">J8+SUM(X$4:Y8)+SUM(BH8:BI8)</f>
        <v>0</v>
      </c>
      <c r="DD8" s="94">
        <f ca="1">K8+SUM(AB$4:AD8)+SUM(BL8:BN8)</f>
        <v>0</v>
      </c>
      <c r="DE8" s="45">
        <f ca="1">L8+SUM(AE$4:AE8)+BO8</f>
        <v>0</v>
      </c>
      <c r="DF8" s="94">
        <f ca="1">M8+SUM(AG$4:AG8)+BQ8</f>
        <v>0</v>
      </c>
      <c r="DG8" s="94" cm="1">
        <f t="array" aca="1" ref="DG8" ca="1">INDEX(TblConstr[[Total Plain]:[Total Water]],ROW()-ROW(TblConstr[#Headers]),MATCH("Total "&amp;home_land,TblConstr[[#Headers],[Total Plain]:[Total Water]],0))+TblConstr[[#This Row],[Homes]]</f>
        <v>30</v>
      </c>
      <c r="DH8" s="45">
        <f ca="1">SUM(O$4:O8)+AY8</f>
        <v>0</v>
      </c>
      <c r="DI8" s="45">
        <f t="shared" ca="1" si="0"/>
        <v>0</v>
      </c>
      <c r="DJ8" s="45">
        <f t="shared" ca="1" si="1"/>
        <v>0</v>
      </c>
    </row>
    <row r="9" spans="1:114" x14ac:dyDescent="0.2">
      <c r="A9" s="175">
        <f>TblRezone[[#This Row],[Hour]]</f>
        <v>6</v>
      </c>
      <c r="B9" s="176">
        <f ca="1">SUM(TblConstr[[#This Row],[Plain]:[Water]])</f>
        <v>0</v>
      </c>
      <c r="C9" s="177">
        <f ca="1">SUM(TblConstr[[#This Row],[Tot Hom]:[Tot Doc]])</f>
        <v>50</v>
      </c>
      <c r="D9" s="177">
        <f>SUM(O$4:AG9)</f>
        <v>0</v>
      </c>
      <c r="E9" s="178"/>
      <c r="F9" s="61">
        <f ca="1">TblConstr[[#This Row],[Barren]]+TblConstr[[#This Row],[Buildings]]+TblConstr[[#This Row],[Incoming]]</f>
        <v>50</v>
      </c>
      <c r="G9" s="187">
        <f ca="1">OFFSET(TblConstr[[#This Row],[Plain]],-1,0)+TblConstr[[#This Row],[Ch_Plain]]</f>
        <v>0</v>
      </c>
      <c r="H9" s="182">
        <f ca="1">OFFSET(TblConstr[[#This Row],[Forest]],-1,0)+TblConstr[[#This Row],[Ch_Forest]]</f>
        <v>0</v>
      </c>
      <c r="I9" s="359">
        <f ca="1">OFFSET(TblConstr[[#This Row],[Mountain]],-1,0)+TblConstr[[#This Row],[Ch_Mountain]]</f>
        <v>0</v>
      </c>
      <c r="J9" s="363">
        <f ca="1">OFFSET(TblConstr[[#This Row],[Hill]],-1,0)+TblConstr[[#This Row],[Ch_Hill]]</f>
        <v>0</v>
      </c>
      <c r="K9" s="367">
        <f ca="1">OFFSET(TblConstr[[#This Row],[Swamp]],-1,0)+TblConstr[[#This Row],[Ch_Swamp]]</f>
        <v>0</v>
      </c>
      <c r="L9" s="185">
        <f ca="1">OFFSET(TblConstr[[#This Row],[Cavern]],-1,0)+TblConstr[[#This Row],[Ch_Cavern]]</f>
        <v>0</v>
      </c>
      <c r="M9" s="186">
        <f ca="1">OFFSET(TblConstr[[#This Row],[Water]],-1,0)+TblConstr[[#This Row],[Ch_Water]]</f>
        <v>0</v>
      </c>
      <c r="N9" s="357">
        <f>TblRezone[[#This Row],[Hour]]</f>
        <v>6</v>
      </c>
      <c r="O9" s="179"/>
      <c r="P9" s="179"/>
      <c r="Q9" s="179"/>
      <c r="R9" s="179"/>
      <c r="S9" s="179"/>
      <c r="T9" s="179"/>
      <c r="U9" s="179"/>
      <c r="V9" s="179"/>
      <c r="W9" s="179"/>
      <c r="X9" s="179"/>
      <c r="Y9" s="179"/>
      <c r="Z9" s="179"/>
      <c r="AA9" s="179"/>
      <c r="AB9" s="179"/>
      <c r="AC9" s="179"/>
      <c r="AD9" s="179"/>
      <c r="AE9" s="179"/>
      <c r="AF9" s="179"/>
      <c r="AG9" s="179"/>
      <c r="AH9" s="53">
        <f ca="1">TblImps[[#This Row],[Time]]</f>
        <v>46320.208333333321</v>
      </c>
      <c r="AI9" s="180">
        <f ca="1">MIN(25%,(TblConstr[[#This Row],[Tot Fac]]+TblConstr[[#This Row],[Dest Fac]])/(TblConstr[[#This Row],[Land]]-TblExplore[[#This Row],[Land Bonus]]*20))</f>
        <v>0</v>
      </c>
      <c r="AJ9" s="180">
        <f ca="1">MIN(25%,(TblConstr[[#This Row],[Tot Fac]]+TblConstr[[#This Row],[Dest Fac]])/TblConstr[[#This Row],[Land]])</f>
        <v>0</v>
      </c>
      <c r="AK9" s="94">
        <f ca="1">TblProd[[#This Row],[Platinum]]</f>
        <v>126194</v>
      </c>
      <c r="AL9" s="94">
        <f ca="1">TblProd[[#This Row],[Lumber]]</f>
        <v>19167</v>
      </c>
      <c r="AM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 s="94">
        <f ca="1">ROUNDDOWN( MAX(1 - MIN(facs_constr_factor*TblConstr[[#This Row],[Facs -DB]],facs_constr_max) + tech_1_11*TblTech[[#This Row],[11-1]] + tech_6_3_2*TblTech[[#This Row],[6-3]] + tech_5_2_3*TblTech[[#This Row],[5-2]], 1-global_constr_cap) * TblConstr[[#This Row],[RCPA Lumber]],0)</f>
        <v>31</v>
      </c>
      <c r="AO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 s="94">
        <f ca="1">ROUNDDOWN( MAX(1 - MIN(facs_constr_factor*TblConstr[[#This Row],[Facs DB]],facs_constr_max) + tech_1_11*TblTech[[#This Row],[1-11]] + tech_6_3_2*TblTech[[#This Row],[6-3]] + tech_5_2_3*TblTech[[#This Row],[5-2]], 1-global_constr_cap) * ROUND((TblConstr[[#This Row],[Land]]-250)*0.285 + 87.5 + 0/4.25,0),0)</f>
        <v>31</v>
      </c>
      <c r="AQ9" s="45">
        <f ca="1">TblConstr[[#This Row],[build -db]]*TblConstr[[#This Row],[CPA Platinum -DB]] + TblConstr[[#This Row],[build db]]*TblConstr[[#This Row],[CPA Platinum DB]]</f>
        <v>0</v>
      </c>
      <c r="AR9" s="45">
        <f ca="1">TblConstr[[#This Row],[build -db]]*TblConstr[[#This Row],[CPA Lumber -DB]] + TblConstr[[#This Row],[build db]]*TblConstr[[#This Row],[CPA Lumber DB]]</f>
        <v>0</v>
      </c>
      <c r="AS9" s="94">
        <f ca="1">MIN(SUM(OFFSET(TblConstr[[#This Row],[Plain]:[Water]],-1,0))+SUM(TblConstr[[#This Row],[Dest Hom]:[Dest Doc]])+IF(TblConstr[[#This Row],[Hour]]&gt;12,SUM(OFFSET(TblExplore[[#This Row],[Plains Explore]:[Water Explore]],-12,0)),0),SUM(TblConstr[[#This Row],[Hom]:[Doc]]))</f>
        <v>0</v>
      </c>
      <c r="AT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42"/>
      <c r="AV9" s="94">
        <f ca="1">ROUND((TblConstr[[#This Row],[Land]]-250 - IF(TblExplore[[#This Row],[Land Bonus]]&lt;&gt;0,20,0))*1.25 + 850 + 0,0)</f>
        <v>600</v>
      </c>
      <c r="AW9" s="94">
        <f ca="1">ROUND((TblConstr[[#This Row],[Land]]-250 - IF(TblExplore[[#This Row],[Land Bonus]]&lt;&gt;0,20,0))*0.285 + 87.5 + 0/4.25,0)</f>
        <v>31</v>
      </c>
      <c r="AX9" s="154"/>
      <c r="AY9" s="188" cm="1">
        <f t="array" aca="1" ref="AY9" ca="1">IF(TblConstr[[#This Row],[Hour]:[Hour]]&gt;12,OFFSET(TblConstr[[#This Row],[Hom]],-12,0),0)+OFFSET(TblConstr[[#This Row],[Tot Hom]],-1,0)-TblConstr[[#This Row],[Dest Hom]]</f>
        <v>0</v>
      </c>
      <c r="AZ9" s="189" cm="1">
        <f t="array" aca="1" ref="AZ9" ca="1">IF(TblConstr[[#This Row],[Hour]:[Hour]]&gt;12,OFFSET(TblConstr[[#This Row],[Alc]],-12,0),0)+OFFSET(TblConstr[[#This Row],[Tot Alc]],-1,0)-TblConstr[[#This Row],[Dest Alc]]</f>
        <v>0</v>
      </c>
      <c r="BA9" s="189" cm="1">
        <f t="array" aca="1" ref="BA9" ca="1">IF(TblConstr[[#This Row],[Hour]:[Hour]]&gt;12,OFFSET(TblConstr[[#This Row],[Far]],-12,0),0)+OFFSET(TblConstr[[#This Row],[Tot Farm]],-1,0)-TblConstr[[#This Row],[Dest Farm]]</f>
        <v>30</v>
      </c>
      <c r="BB9" s="189" cm="1">
        <f t="array" aca="1" ref="BB9" ca="1">IF(TblConstr[[#This Row],[Hour]:[Hour]]&gt;12,OFFSET(TblConstr[[#This Row],[Smi]],-12,0),0)+OFFSET(TblConstr[[#This Row],[Tot Smi]],-1,0)-TblConstr[[#This Row],[Dest Smi]]</f>
        <v>0</v>
      </c>
      <c r="BC9" s="189" cm="1">
        <f t="array" aca="1" ref="BC9" ca="1">IF(TblConstr[[#This Row],[Hour]:[Hour]]&gt;12,OFFSET(TblConstr[[#This Row],[Mas]],-12,0),0)+OFFSET(TblConstr[[#This Row],[Tot Mas]],-1,0)-TblConstr[[#This Row],[Dest Mas]]</f>
        <v>0</v>
      </c>
      <c r="BD9" s="190" cm="1">
        <f t="array" aca="1" ref="BD9" ca="1">IF(TblConstr[[#This Row],[Hour]:[Hour]]&gt;12,OFFSET(TblConstr[[#This Row],[Ly]],-12,0),0)+OFFSET(TblConstr[[#This Row],[Tot Ly]],-1,0)-TblConstr[[#This Row],[Dest Ly]]</f>
        <v>20</v>
      </c>
      <c r="BE9" s="190" cm="1">
        <f t="array" aca="1" ref="BE9" ca="1">IF(TblConstr[[#This Row],[Hour]:[Hour]]&gt;12,OFFSET(TblConstr[[#This Row],[Hav]],-12,0),0)+OFFSET(TblConstr[[#This Row],[Tot Hav]],-1,0)-TblConstr[[#This Row],[Dest Hav]]</f>
        <v>0</v>
      </c>
      <c r="BF9" s="361" cm="1">
        <f t="array" aca="1" ref="BF9" ca="1">IF(TblConstr[[#This Row],[Hour]:[Hour]]&gt;12,OFFSET(TblConstr[[#This Row],[OM]],-12,0),0)+OFFSET(TblConstr[[#This Row],[Tot OM]],-1,0)-TblConstr[[#This Row],[Dest OM]]</f>
        <v>0</v>
      </c>
      <c r="BG9" s="361" cm="1">
        <f t="array" aca="1" ref="BG9" ca="1">IF(TblConstr[[#This Row],[Hour]:[Hour]]&gt;12,OFFSET(TblConstr[[#This Row],[GN]],-12,0),0)+OFFSET(TblConstr[[#This Row],[Tot GN]],-1,0)-TblConstr[[#This Row],[Dest GN]]</f>
        <v>0</v>
      </c>
      <c r="BH9" s="365" cm="1">
        <f t="array" aca="1" ref="BH9" ca="1">IF(TblConstr[[#This Row],[Hour]:[Hour]]&gt;12,OFFSET(TblConstr[[#This Row],[Fac]],-12,0),0)+OFFSET(TblConstr[[#This Row],[Tot Fac]],-1,0)-TblConstr[[#This Row],[Dest Fac]]</f>
        <v>0</v>
      </c>
      <c r="BI9" s="365" cm="1">
        <f t="array" aca="1" ref="BI9" ca="1">IF(TblConstr[[#This Row],[Hour]:[Hour]]&gt;12,OFFSET(TblConstr[[#This Row],[GT]],-12,0),0)+OFFSET(TblConstr[[#This Row],[Tot GT]],-1,0)-TblConstr[[#This Row],[Dest GT]]</f>
        <v>0</v>
      </c>
      <c r="BJ9" s="365" cm="1">
        <f t="array" aca="1" ref="BJ9" ca="1">IF(TblConstr[[#This Row],[Hour]:[Hour]]&gt;12,OFFSET(TblConstr[[#This Row],[Bar]],-12,0),0)+OFFSET(TblConstr[[#This Row],[Tot Bar]],-1,0)-TblConstr[[#This Row],[Dest Bar]]</f>
        <v>0</v>
      </c>
      <c r="BK9" s="365" cm="1">
        <f t="array" aca="1" ref="BK9" ca="1">IF(TblConstr[[#This Row],[Hour]:[Hour]]&gt;12,OFFSET(TblConstr[[#This Row],[Shr]],-12,0),0)+OFFSET(TblConstr[[#This Row],[Tot Shr]],-1,0)-TblConstr[[#This Row],[Dest Shr]]</f>
        <v>0</v>
      </c>
      <c r="BL9" s="369" cm="1">
        <f t="array" aca="1" ref="BL9" ca="1">IF(TblConstr[[#This Row],[Hour]:[Hour]]&gt;12,OFFSET(TblConstr[[#This Row],[Tow]],-12,0),0)+OFFSET(TblConstr[[#This Row],[Tot Tow]],-1,0)-TblConstr[[#This Row],[Dest Tow]]</f>
        <v>0</v>
      </c>
      <c r="BM9" s="369" cm="1">
        <f t="array" aca="1" ref="BM9" ca="1">IF(TblConstr[[#This Row],[Hour]:[Hour]]&gt;12,OFFSET(TblConstr[[#This Row],[Tem]],-12,0),0)+OFFSET(TblConstr[[#This Row],[Tot Tem]],-1,0)-TblConstr[[#This Row],[Dest Tem]]</f>
        <v>0</v>
      </c>
      <c r="BN9" s="369" cm="1">
        <f t="array" aca="1" ref="BN9" ca="1">IF(TblConstr[[#This Row],[Hour]:[Hour]]&gt;12,OFFSET(TblConstr[[#This Row],[WG]],-12,0),0)+OFFSET(TblConstr[[#This Row],[Tot WG]],-1,0)-TblConstr[[#This Row],[Dest WG]]</f>
        <v>0</v>
      </c>
      <c r="BO9" s="191" cm="1">
        <f t="array" aca="1" ref="BO9" ca="1">IF(TblConstr[[#This Row],[Hour]:[Hour]]&gt;12,OFFSET(TblConstr[[#This Row],[DM]],-12,0),0)+OFFSET(TblConstr[[#This Row],[Tot DM]],-1,0)-TblConstr[[#This Row],[Dest DM]]</f>
        <v>0</v>
      </c>
      <c r="BP9" s="191" cm="1">
        <f t="array" aca="1" ref="BP9" ca="1">IF(TblConstr[[#This Row],[Hour]:[Hour]]&gt;12,OFFSET(TblConstr[[#This Row],[Sch]],-12,0),0)+OFFSET(TblConstr[[#This Row],[Tot Sch]],-1,0)-TblConstr[[#This Row],[Dest Sch]]</f>
        <v>0</v>
      </c>
      <c r="BQ9" s="192" cm="1">
        <f t="array" aca="1" ref="BQ9" ca="1">IF(TblConstr[[#This Row],[Hour]:[Hour]]&gt;12,OFFSET(TblConstr[[#This Row],[Doc]],-12,0),0)+OFFSET(TblConstr[[#This Row],[Tot Doc]],-1,0)-TblConstr[[#This Row],[Dest Doc]]</f>
        <v>0</v>
      </c>
      <c r="BR9" s="142"/>
      <c r="BS9" s="154"/>
      <c r="BT9" s="94">
        <f ca="1">TblConstr[[#This Row],[Land]]</f>
        <v>50</v>
      </c>
      <c r="BU9" s="159">
        <f ca="1">TblImps[[#This Row],[Time]]</f>
        <v>46320.208333333321</v>
      </c>
      <c r="BV9" s="142"/>
      <c r="BW9" s="179"/>
      <c r="BX9" s="179"/>
      <c r="BY9" s="179"/>
      <c r="BZ9" s="179"/>
      <c r="CA9" s="179"/>
      <c r="CB9" s="179"/>
      <c r="CC9" s="179"/>
      <c r="CD9" s="179"/>
      <c r="CE9" s="179"/>
      <c r="CF9" s="179"/>
      <c r="CG9" s="179"/>
      <c r="CH9" s="179"/>
      <c r="CI9" s="179"/>
      <c r="CJ9" s="179"/>
      <c r="CK9" s="179"/>
      <c r="CL9" s="179"/>
      <c r="CM9" s="179"/>
      <c r="CN9" s="179"/>
      <c r="CO9" s="179"/>
      <c r="CP9" s="142"/>
      <c r="CQ9" s="181">
        <f ca="1">-SUM(TblConstr[[#This Row],[Alc]:[Mas]])+SUM(TblConstr[[#This Row],[Dest Alc]:[Dest Mas]])+Rezone!L9+IF("Ch_"&amp; home_land=TblConstr[[#Headers],[Ch_Plain]],TblConstr[[#This Row],[Home Land]])+IF(TblConstr[[#This Row],[Hour]:[Hour]]&gt;12,OFFSET(TblExplore[[#This Row],[Plains Explore]],-12,0),0)</f>
        <v>0</v>
      </c>
      <c r="CR9" s="182">
        <f ca="1">-SUM(TblConstr[[#This Row],[Ly]:[Hav]])+SUM(TblConstr[[#This Row],[Dest Ly]:[Dest Hav]]) +Rezone!M9 + IF("Ch_"&amp; home_land=TblConstr[[#Headers],[Ch_Forest]],TblConstr[[#This Row],[Home Land]])+IF(TblConstr[[#This Row],[Hour]:[Hour]]&gt;12,OFFSET(TblExplore[[#This Row],[Forest Explore]],-12,0),0)</f>
        <v>0</v>
      </c>
      <c r="CS9" s="359">
        <f ca="1">-SUM(TblConstr[[#This Row],[OM]:[GN]])+SUM(TblConstr[[#This Row],[Dest OM]:[Dest GN]]) +Rezone!N9 + IF("Ch_"&amp; home_land=TblConstr[[#Headers],[Ch_Mountain]],TblConstr[[#This Row],[Home Land]])+IF(TblConstr[[#This Row],[Hour]:[Hour]]&gt;12,OFFSET(TblExplore[[#This Row],[Mountain Explore]],-12,0),0)</f>
        <v>0</v>
      </c>
      <c r="CT9" s="183">
        <f ca="1">-SUM(TblConstr[[#This Row],[Fac]:[Shr]])+SUM(TblConstr[[#This Row],[Dest Fac]:[Dest Shr]]) +Rezone!O9 + IF("Ch_" &amp; home_land=TblConstr[[#Headers],[Ch_Hill]],TblConstr[[#This Row],[Home Land]])+IF(TblConstr[[#This Row],[Hour]:[Hour]]&gt;12,OFFSET(TblExplore[[#This Row],[Hill Explore]],-12,0),0)</f>
        <v>0</v>
      </c>
      <c r="CU9" s="184">
        <f ca="1">-SUM(TblConstr[[#This Row],[Tow]:[WG]])+SUM(TblConstr[[#This Row],[Dest Tow]:[Dest WG]]) +Rezone!P9 + IF("Ch_" &amp; home_land=TblConstr[[#Headers],[Ch_Swamp]],TblConstr[[#This Row],[Home Land]])+IF(TblConstr[[#This Row],[Hour]:[Hour]]&gt;12,OFFSET(TblExplore[[#This Row],[Swamp Explore]],-12,0),0)</f>
        <v>0</v>
      </c>
      <c r="CV9" s="185">
        <f ca="1" xml:space="preserve"> - SUM(TblConstr[[#This Row],[DM]:[Sch]])+SUM(TblConstr[[#This Row],[Dest DM]:[Dest Sch]]) +Rezone!Q9 + IF("Ch_" &amp; home_land=TblConstr[[#Headers],[Ch_Cavern]],TblConstr[[#This Row],[Home Land]])+IF(TblConstr[[#This Row],[Hour]:[Hour]]&gt;12,OFFSET(TblExplore[[#This Row],[Cavern Explore]],-12,0),0)</f>
        <v>0</v>
      </c>
      <c r="CW9" s="186">
        <f ca="1">-TblConstr[[#This Row],[Doc]]+TblConstr[[#This Row],[Dest Doc]] +Rezone!R9 + IF("Ch_" &amp; home_land=TblConstr[[#Headers],[Ch_Water]],TblConstr[[#This Row],[Home Land]])+IF(TblConstr[[#This Row],[Hour]:[Hour]]&gt;12,OFFSET(TblExplore[[#This Row],[Water Explore]],-12,0),0)</f>
        <v>0</v>
      </c>
      <c r="CX9" s="45">
        <f>IF(Explore!S9=1,20) - TblConstr[[#This Row],[Hom]] + TblConstr[[#This Row],[Dest Hom]]</f>
        <v>0</v>
      </c>
      <c r="CY9" s="142"/>
      <c r="CZ9" s="94">
        <f ca="1">G9+SUM(P$4:S9)+SUM(AZ9:BC9)</f>
        <v>30</v>
      </c>
      <c r="DA9" s="94">
        <f ca="1">H9+SUM(T$4:U9)+SUM(BD9:BE9)</f>
        <v>20</v>
      </c>
      <c r="DB9" s="45">
        <f ca="1">I9+SUM(V$4:W9)+SUM(BF9:BG9)</f>
        <v>0</v>
      </c>
      <c r="DC9" s="94">
        <f ca="1">J9+SUM(X$4:Y9)+SUM(BH9:BI9)</f>
        <v>0</v>
      </c>
      <c r="DD9" s="94">
        <f ca="1">K9+SUM(AB$4:AD9)+SUM(BL9:BN9)</f>
        <v>0</v>
      </c>
      <c r="DE9" s="45">
        <f ca="1">L9+SUM(AE$4:AE9)+BO9</f>
        <v>0</v>
      </c>
      <c r="DF9" s="94">
        <f ca="1">M9+SUM(AG$4:AG9)+BQ9</f>
        <v>0</v>
      </c>
      <c r="DG9" s="94" cm="1">
        <f t="array" aca="1" ref="DG9" ca="1">INDEX(TblConstr[[Total Plain]:[Total Water]],ROW()-ROW(TblConstr[#Headers]),MATCH("Total "&amp;home_land,TblConstr[[#Headers],[Total Plain]:[Total Water]],0))+TblConstr[[#This Row],[Homes]]</f>
        <v>30</v>
      </c>
      <c r="DH9" s="45">
        <f ca="1">SUM(O$4:O9)+AY9</f>
        <v>0</v>
      </c>
      <c r="DI9" s="45">
        <f t="shared" ca="1" si="0"/>
        <v>0</v>
      </c>
      <c r="DJ9" s="45">
        <f t="shared" ca="1" si="1"/>
        <v>0</v>
      </c>
    </row>
    <row r="10" spans="1:114" x14ac:dyDescent="0.2">
      <c r="A10" s="175">
        <f>TblRezone[[#This Row],[Hour]]</f>
        <v>7</v>
      </c>
      <c r="B10" s="176">
        <f ca="1">SUM(TblConstr[[#This Row],[Plain]:[Water]])</f>
        <v>0</v>
      </c>
      <c r="C10" s="177">
        <f ca="1">SUM(TblConstr[[#This Row],[Tot Hom]:[Tot Doc]])</f>
        <v>50</v>
      </c>
      <c r="D10" s="177">
        <f>SUM(O$4:AG10)</f>
        <v>0</v>
      </c>
      <c r="E10" s="178"/>
      <c r="F10" s="61">
        <f ca="1">TblConstr[[#This Row],[Barren]]+TblConstr[[#This Row],[Buildings]]+TblConstr[[#This Row],[Incoming]]</f>
        <v>50</v>
      </c>
      <c r="G10" s="187">
        <f ca="1">OFFSET(TblConstr[[#This Row],[Plain]],-1,0)+TblConstr[[#This Row],[Ch_Plain]]</f>
        <v>0</v>
      </c>
      <c r="H10" s="182">
        <f ca="1">OFFSET(TblConstr[[#This Row],[Forest]],-1,0)+TblConstr[[#This Row],[Ch_Forest]]</f>
        <v>0</v>
      </c>
      <c r="I10" s="359">
        <f ca="1">OFFSET(TblConstr[[#This Row],[Mountain]],-1,0)+TblConstr[[#This Row],[Ch_Mountain]]</f>
        <v>0</v>
      </c>
      <c r="J10" s="363">
        <f ca="1">OFFSET(TblConstr[[#This Row],[Hill]],-1,0)+TblConstr[[#This Row],[Ch_Hill]]</f>
        <v>0</v>
      </c>
      <c r="K10" s="367">
        <f ca="1">OFFSET(TblConstr[[#This Row],[Swamp]],-1,0)+TblConstr[[#This Row],[Ch_Swamp]]</f>
        <v>0</v>
      </c>
      <c r="L10" s="185">
        <f ca="1">OFFSET(TblConstr[[#This Row],[Cavern]],-1,0)+TblConstr[[#This Row],[Ch_Cavern]]</f>
        <v>0</v>
      </c>
      <c r="M10" s="186">
        <f ca="1">OFFSET(TblConstr[[#This Row],[Water]],-1,0)+TblConstr[[#This Row],[Ch_Water]]</f>
        <v>0</v>
      </c>
      <c r="N10" s="357">
        <f>TblRezone[[#This Row],[Hour]]</f>
        <v>7</v>
      </c>
      <c r="O10" s="179"/>
      <c r="P10" s="179"/>
      <c r="Q10" s="179"/>
      <c r="R10" s="179"/>
      <c r="S10" s="179"/>
      <c r="T10" s="179"/>
      <c r="U10" s="179"/>
      <c r="V10" s="179"/>
      <c r="W10" s="179"/>
      <c r="X10" s="179"/>
      <c r="Y10" s="179"/>
      <c r="Z10" s="179"/>
      <c r="AA10" s="179"/>
      <c r="AB10" s="179"/>
      <c r="AC10" s="179"/>
      <c r="AD10" s="179"/>
      <c r="AE10" s="179"/>
      <c r="AF10" s="179"/>
      <c r="AG10" s="179"/>
      <c r="AH10" s="53">
        <f ca="1">TblImps[[#This Row],[Time]]</f>
        <v>46320.249999999985</v>
      </c>
      <c r="AI10" s="180">
        <f ca="1">MIN(25%,(TblConstr[[#This Row],[Tot Fac]]+TblConstr[[#This Row],[Dest Fac]])/(TblConstr[[#This Row],[Land]]-TblExplore[[#This Row],[Land Bonus]]*20))</f>
        <v>0</v>
      </c>
      <c r="AJ10" s="180">
        <f ca="1">MIN(25%,(TblConstr[[#This Row],[Tot Fac]]+TblConstr[[#This Row],[Dest Fac]])/TblConstr[[#This Row],[Land]])</f>
        <v>0</v>
      </c>
      <c r="AK10" s="94">
        <f ca="1">TblProd[[#This Row],[Platinum]]</f>
        <v>127395</v>
      </c>
      <c r="AL10" s="94">
        <f ca="1">TblProd[[#This Row],[Lumber]]</f>
        <v>19975</v>
      </c>
      <c r="AM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 s="94">
        <f ca="1">ROUNDDOWN( MAX(1 - MIN(facs_constr_factor*TblConstr[[#This Row],[Facs -DB]],facs_constr_max) + tech_1_11*TblTech[[#This Row],[11-1]] + tech_6_3_2*TblTech[[#This Row],[6-3]] + tech_5_2_3*TblTech[[#This Row],[5-2]], 1-global_constr_cap) * TblConstr[[#This Row],[RCPA Lumber]],0)</f>
        <v>31</v>
      </c>
      <c r="AO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 s="94">
        <f ca="1">ROUNDDOWN( MAX(1 - MIN(facs_constr_factor*TblConstr[[#This Row],[Facs DB]],facs_constr_max) + tech_1_11*TblTech[[#This Row],[1-11]] + tech_6_3_2*TblTech[[#This Row],[6-3]] + tech_5_2_3*TblTech[[#This Row],[5-2]], 1-global_constr_cap) * ROUND((TblConstr[[#This Row],[Land]]-250)*0.285 + 87.5 + 0/4.25,0),0)</f>
        <v>31</v>
      </c>
      <c r="AQ10" s="45">
        <f ca="1">TblConstr[[#This Row],[build -db]]*TblConstr[[#This Row],[CPA Platinum -DB]] + TblConstr[[#This Row],[build db]]*TblConstr[[#This Row],[CPA Platinum DB]]</f>
        <v>0</v>
      </c>
      <c r="AR10" s="45">
        <f ca="1">TblConstr[[#This Row],[build -db]]*TblConstr[[#This Row],[CPA Lumber -DB]] + TblConstr[[#This Row],[build db]]*TblConstr[[#This Row],[CPA Lumber DB]]</f>
        <v>0</v>
      </c>
      <c r="AS10" s="94">
        <f ca="1">MIN(SUM(OFFSET(TblConstr[[#This Row],[Plain]:[Water]],-1,0))+SUM(TblConstr[[#This Row],[Dest Hom]:[Dest Doc]])+IF(TblConstr[[#This Row],[Hour]]&gt;12,SUM(OFFSET(TblExplore[[#This Row],[Plains Explore]:[Water Explore]],-12,0)),0),SUM(TblConstr[[#This Row],[Hom]:[Doc]]))</f>
        <v>0</v>
      </c>
      <c r="AT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42"/>
      <c r="AV10" s="94">
        <f ca="1">ROUND((TblConstr[[#This Row],[Land]]-250 - IF(TblExplore[[#This Row],[Land Bonus]]&lt;&gt;0,20,0))*1.25 + 850 + 0,0)</f>
        <v>600</v>
      </c>
      <c r="AW10" s="94">
        <f ca="1">ROUND((TblConstr[[#This Row],[Land]]-250 - IF(TblExplore[[#This Row],[Land Bonus]]&lt;&gt;0,20,0))*0.285 + 87.5 + 0/4.25,0)</f>
        <v>31</v>
      </c>
      <c r="AX10" s="154"/>
      <c r="AY10" s="188" cm="1">
        <f t="array" aca="1" ref="AY10" ca="1">IF(TblConstr[[#This Row],[Hour]:[Hour]]&gt;12,OFFSET(TblConstr[[#This Row],[Hom]],-12,0),0)+OFFSET(TblConstr[[#This Row],[Tot Hom]],-1,0)-TblConstr[[#This Row],[Dest Hom]]</f>
        <v>0</v>
      </c>
      <c r="AZ10" s="189" cm="1">
        <f t="array" aca="1" ref="AZ10" ca="1">IF(TblConstr[[#This Row],[Hour]:[Hour]]&gt;12,OFFSET(TblConstr[[#This Row],[Alc]],-12,0),0)+OFFSET(TblConstr[[#This Row],[Tot Alc]],-1,0)-TblConstr[[#This Row],[Dest Alc]]</f>
        <v>0</v>
      </c>
      <c r="BA10" s="189" cm="1">
        <f t="array" aca="1" ref="BA10" ca="1">IF(TblConstr[[#This Row],[Hour]:[Hour]]&gt;12,OFFSET(TblConstr[[#This Row],[Far]],-12,0),0)+OFFSET(TblConstr[[#This Row],[Tot Farm]],-1,0)-TblConstr[[#This Row],[Dest Farm]]</f>
        <v>30</v>
      </c>
      <c r="BB10" s="189" cm="1">
        <f t="array" aca="1" ref="BB10" ca="1">IF(TblConstr[[#This Row],[Hour]:[Hour]]&gt;12,OFFSET(TblConstr[[#This Row],[Smi]],-12,0),0)+OFFSET(TblConstr[[#This Row],[Tot Smi]],-1,0)-TblConstr[[#This Row],[Dest Smi]]</f>
        <v>0</v>
      </c>
      <c r="BC10" s="189" cm="1">
        <f t="array" aca="1" ref="BC10" ca="1">IF(TblConstr[[#This Row],[Hour]:[Hour]]&gt;12,OFFSET(TblConstr[[#This Row],[Mas]],-12,0),0)+OFFSET(TblConstr[[#This Row],[Tot Mas]],-1,0)-TblConstr[[#This Row],[Dest Mas]]</f>
        <v>0</v>
      </c>
      <c r="BD10" s="190" cm="1">
        <f t="array" aca="1" ref="BD10" ca="1">IF(TblConstr[[#This Row],[Hour]:[Hour]]&gt;12,OFFSET(TblConstr[[#This Row],[Ly]],-12,0),0)+OFFSET(TblConstr[[#This Row],[Tot Ly]],-1,0)-TblConstr[[#This Row],[Dest Ly]]</f>
        <v>20</v>
      </c>
      <c r="BE10" s="190" cm="1">
        <f t="array" aca="1" ref="BE10" ca="1">IF(TblConstr[[#This Row],[Hour]:[Hour]]&gt;12,OFFSET(TblConstr[[#This Row],[Hav]],-12,0),0)+OFFSET(TblConstr[[#This Row],[Tot Hav]],-1,0)-TblConstr[[#This Row],[Dest Hav]]</f>
        <v>0</v>
      </c>
      <c r="BF10" s="361" cm="1">
        <f t="array" aca="1" ref="BF10" ca="1">IF(TblConstr[[#This Row],[Hour]:[Hour]]&gt;12,OFFSET(TblConstr[[#This Row],[OM]],-12,0),0)+OFFSET(TblConstr[[#This Row],[Tot OM]],-1,0)-TblConstr[[#This Row],[Dest OM]]</f>
        <v>0</v>
      </c>
      <c r="BG10" s="361" cm="1">
        <f t="array" aca="1" ref="BG10" ca="1">IF(TblConstr[[#This Row],[Hour]:[Hour]]&gt;12,OFFSET(TblConstr[[#This Row],[GN]],-12,0),0)+OFFSET(TblConstr[[#This Row],[Tot GN]],-1,0)-TblConstr[[#This Row],[Dest GN]]</f>
        <v>0</v>
      </c>
      <c r="BH10" s="365" cm="1">
        <f t="array" aca="1" ref="BH10" ca="1">IF(TblConstr[[#This Row],[Hour]:[Hour]]&gt;12,OFFSET(TblConstr[[#This Row],[Fac]],-12,0),0)+OFFSET(TblConstr[[#This Row],[Tot Fac]],-1,0)-TblConstr[[#This Row],[Dest Fac]]</f>
        <v>0</v>
      </c>
      <c r="BI10" s="365" cm="1">
        <f t="array" aca="1" ref="BI10" ca="1">IF(TblConstr[[#This Row],[Hour]:[Hour]]&gt;12,OFFSET(TblConstr[[#This Row],[GT]],-12,0),0)+OFFSET(TblConstr[[#This Row],[Tot GT]],-1,0)-TblConstr[[#This Row],[Dest GT]]</f>
        <v>0</v>
      </c>
      <c r="BJ10" s="365" cm="1">
        <f t="array" aca="1" ref="BJ10" ca="1">IF(TblConstr[[#This Row],[Hour]:[Hour]]&gt;12,OFFSET(TblConstr[[#This Row],[Bar]],-12,0),0)+OFFSET(TblConstr[[#This Row],[Tot Bar]],-1,0)-TblConstr[[#This Row],[Dest Bar]]</f>
        <v>0</v>
      </c>
      <c r="BK10" s="365" cm="1">
        <f t="array" aca="1" ref="BK10" ca="1">IF(TblConstr[[#This Row],[Hour]:[Hour]]&gt;12,OFFSET(TblConstr[[#This Row],[Shr]],-12,0),0)+OFFSET(TblConstr[[#This Row],[Tot Shr]],-1,0)-TblConstr[[#This Row],[Dest Shr]]</f>
        <v>0</v>
      </c>
      <c r="BL10" s="369" cm="1">
        <f t="array" aca="1" ref="BL10" ca="1">IF(TblConstr[[#This Row],[Hour]:[Hour]]&gt;12,OFFSET(TblConstr[[#This Row],[Tow]],-12,0),0)+OFFSET(TblConstr[[#This Row],[Tot Tow]],-1,0)-TblConstr[[#This Row],[Dest Tow]]</f>
        <v>0</v>
      </c>
      <c r="BM10" s="369" cm="1">
        <f t="array" aca="1" ref="BM10" ca="1">IF(TblConstr[[#This Row],[Hour]:[Hour]]&gt;12,OFFSET(TblConstr[[#This Row],[Tem]],-12,0),0)+OFFSET(TblConstr[[#This Row],[Tot Tem]],-1,0)-TblConstr[[#This Row],[Dest Tem]]</f>
        <v>0</v>
      </c>
      <c r="BN10" s="369" cm="1">
        <f t="array" aca="1" ref="BN10" ca="1">IF(TblConstr[[#This Row],[Hour]:[Hour]]&gt;12,OFFSET(TblConstr[[#This Row],[WG]],-12,0),0)+OFFSET(TblConstr[[#This Row],[Tot WG]],-1,0)-TblConstr[[#This Row],[Dest WG]]</f>
        <v>0</v>
      </c>
      <c r="BO10" s="191" cm="1">
        <f t="array" aca="1" ref="BO10" ca="1">IF(TblConstr[[#This Row],[Hour]:[Hour]]&gt;12,OFFSET(TblConstr[[#This Row],[DM]],-12,0),0)+OFFSET(TblConstr[[#This Row],[Tot DM]],-1,0)-TblConstr[[#This Row],[Dest DM]]</f>
        <v>0</v>
      </c>
      <c r="BP10" s="191" cm="1">
        <f t="array" aca="1" ref="BP10" ca="1">IF(TblConstr[[#This Row],[Hour]:[Hour]]&gt;12,OFFSET(TblConstr[[#This Row],[Sch]],-12,0),0)+OFFSET(TblConstr[[#This Row],[Tot Sch]],-1,0)-TblConstr[[#This Row],[Dest Sch]]</f>
        <v>0</v>
      </c>
      <c r="BQ10" s="192" cm="1">
        <f t="array" aca="1" ref="BQ10" ca="1">IF(TblConstr[[#This Row],[Hour]:[Hour]]&gt;12,OFFSET(TblConstr[[#This Row],[Doc]],-12,0),0)+OFFSET(TblConstr[[#This Row],[Tot Doc]],-1,0)-TblConstr[[#This Row],[Dest Doc]]</f>
        <v>0</v>
      </c>
      <c r="BR10" s="142"/>
      <c r="BS10" s="154"/>
      <c r="BT10" s="94">
        <f ca="1">TblConstr[[#This Row],[Land]]</f>
        <v>50</v>
      </c>
      <c r="BU10" s="159">
        <f ca="1">TblImps[[#This Row],[Time]]</f>
        <v>46320.249999999985</v>
      </c>
      <c r="BV10" s="142"/>
      <c r="BW10" s="179"/>
      <c r="BX10" s="179"/>
      <c r="BY10" s="179"/>
      <c r="BZ10" s="179"/>
      <c r="CA10" s="179"/>
      <c r="CB10" s="179"/>
      <c r="CC10" s="179"/>
      <c r="CD10" s="179"/>
      <c r="CE10" s="179"/>
      <c r="CF10" s="179"/>
      <c r="CG10" s="179"/>
      <c r="CH10" s="179"/>
      <c r="CI10" s="179"/>
      <c r="CJ10" s="179"/>
      <c r="CK10" s="179"/>
      <c r="CL10" s="179"/>
      <c r="CM10" s="179"/>
      <c r="CN10" s="179"/>
      <c r="CO10" s="179"/>
      <c r="CP10" s="142"/>
      <c r="CQ10" s="181">
        <f ca="1">-SUM(TblConstr[[#This Row],[Alc]:[Mas]])+SUM(TblConstr[[#This Row],[Dest Alc]:[Dest Mas]])+Rezone!L10+IF("Ch_"&amp; home_land=TblConstr[[#Headers],[Ch_Plain]],TblConstr[[#This Row],[Home Land]])+IF(TblConstr[[#This Row],[Hour]:[Hour]]&gt;12,OFFSET(TblExplore[[#This Row],[Plains Explore]],-12,0),0)</f>
        <v>0</v>
      </c>
      <c r="CR10" s="182">
        <f ca="1">-SUM(TblConstr[[#This Row],[Ly]:[Hav]])+SUM(TblConstr[[#This Row],[Dest Ly]:[Dest Hav]]) +Rezone!M10 + IF("Ch_"&amp; home_land=TblConstr[[#Headers],[Ch_Forest]],TblConstr[[#This Row],[Home Land]])+IF(TblConstr[[#This Row],[Hour]:[Hour]]&gt;12,OFFSET(TblExplore[[#This Row],[Forest Explore]],-12,0),0)</f>
        <v>0</v>
      </c>
      <c r="CS10" s="359">
        <f ca="1">-SUM(TblConstr[[#This Row],[OM]:[GN]])+SUM(TblConstr[[#This Row],[Dest OM]:[Dest GN]]) +Rezone!N10 + IF("Ch_"&amp; home_land=TblConstr[[#Headers],[Ch_Mountain]],TblConstr[[#This Row],[Home Land]])+IF(TblConstr[[#This Row],[Hour]:[Hour]]&gt;12,OFFSET(TblExplore[[#This Row],[Mountain Explore]],-12,0),0)</f>
        <v>0</v>
      </c>
      <c r="CT10" s="183">
        <f ca="1">-SUM(TblConstr[[#This Row],[Fac]:[Shr]])+SUM(TblConstr[[#This Row],[Dest Fac]:[Dest Shr]]) +Rezone!O10 + IF("Ch_" &amp; home_land=TblConstr[[#Headers],[Ch_Hill]],TblConstr[[#This Row],[Home Land]])+IF(TblConstr[[#This Row],[Hour]:[Hour]]&gt;12,OFFSET(TblExplore[[#This Row],[Hill Explore]],-12,0),0)</f>
        <v>0</v>
      </c>
      <c r="CU10" s="184">
        <f ca="1">-SUM(TblConstr[[#This Row],[Tow]:[WG]])+SUM(TblConstr[[#This Row],[Dest Tow]:[Dest WG]]) +Rezone!P10 + IF("Ch_" &amp; home_land=TblConstr[[#Headers],[Ch_Swamp]],TblConstr[[#This Row],[Home Land]])+IF(TblConstr[[#This Row],[Hour]:[Hour]]&gt;12,OFFSET(TblExplore[[#This Row],[Swamp Explore]],-12,0),0)</f>
        <v>0</v>
      </c>
      <c r="CV10" s="185">
        <f ca="1" xml:space="preserve"> - SUM(TblConstr[[#This Row],[DM]:[Sch]])+SUM(TblConstr[[#This Row],[Dest DM]:[Dest Sch]]) +Rezone!Q10 + IF("Ch_" &amp; home_land=TblConstr[[#Headers],[Ch_Cavern]],TblConstr[[#This Row],[Home Land]])+IF(TblConstr[[#This Row],[Hour]:[Hour]]&gt;12,OFFSET(TblExplore[[#This Row],[Cavern Explore]],-12,0),0)</f>
        <v>0</v>
      </c>
      <c r="CW10" s="186">
        <f ca="1">-TblConstr[[#This Row],[Doc]]+TblConstr[[#This Row],[Dest Doc]] +Rezone!R10 + IF("Ch_" &amp; home_land=TblConstr[[#Headers],[Ch_Water]],TblConstr[[#This Row],[Home Land]])+IF(TblConstr[[#This Row],[Hour]:[Hour]]&gt;12,OFFSET(TblExplore[[#This Row],[Water Explore]],-12,0),0)</f>
        <v>0</v>
      </c>
      <c r="CX10" s="45">
        <f>IF(Explore!S10=1,20) - TblConstr[[#This Row],[Hom]] + TblConstr[[#This Row],[Dest Hom]]</f>
        <v>0</v>
      </c>
      <c r="CY10" s="142"/>
      <c r="CZ10" s="94">
        <f ca="1">G10+SUM(P$4:S10)+SUM(AZ10:BC10)</f>
        <v>30</v>
      </c>
      <c r="DA10" s="94">
        <f ca="1">H10+SUM(T$4:U10)+SUM(BD10:BE10)</f>
        <v>20</v>
      </c>
      <c r="DB10" s="45">
        <f ca="1">I10+SUM(V$4:W10)+SUM(BF10:BG10)</f>
        <v>0</v>
      </c>
      <c r="DC10" s="94">
        <f ca="1">J10+SUM(X$4:Y10)+SUM(BH10:BI10)</f>
        <v>0</v>
      </c>
      <c r="DD10" s="94">
        <f ca="1">K10+SUM(AB$4:AD10)+SUM(BL10:BN10)</f>
        <v>0</v>
      </c>
      <c r="DE10" s="45">
        <f ca="1">L10+SUM(AE$4:AE10)+BO10</f>
        <v>0</v>
      </c>
      <c r="DF10" s="94">
        <f ca="1">M10+SUM(AG$4:AG10)+BQ10</f>
        <v>0</v>
      </c>
      <c r="DG10" s="94" cm="1">
        <f t="array" aca="1" ref="DG10" ca="1">INDEX(TblConstr[[Total Plain]:[Total Water]],ROW()-ROW(TblConstr[#Headers]),MATCH("Total "&amp;home_land,TblConstr[[#Headers],[Total Plain]:[Total Water]],0))+TblConstr[[#This Row],[Homes]]</f>
        <v>30</v>
      </c>
      <c r="DH10" s="45">
        <f ca="1">SUM(O$4:O10)+AY10</f>
        <v>0</v>
      </c>
      <c r="DI10" s="45">
        <f t="shared" ca="1" si="0"/>
        <v>0</v>
      </c>
      <c r="DJ10" s="45">
        <f t="shared" ca="1" si="1"/>
        <v>0</v>
      </c>
    </row>
    <row r="11" spans="1:114" x14ac:dyDescent="0.2">
      <c r="A11" s="175">
        <f>TblRezone[[#This Row],[Hour]]</f>
        <v>8</v>
      </c>
      <c r="B11" s="176">
        <f ca="1">SUM(TblConstr[[#This Row],[Plain]:[Water]])</f>
        <v>0</v>
      </c>
      <c r="C11" s="177">
        <f ca="1">SUM(TblConstr[[#This Row],[Tot Hom]:[Tot Doc]])</f>
        <v>50</v>
      </c>
      <c r="D11" s="177">
        <f>SUM(O$4:AG11)</f>
        <v>0</v>
      </c>
      <c r="E11" s="178"/>
      <c r="F11" s="61">
        <f ca="1">TblConstr[[#This Row],[Barren]]+TblConstr[[#This Row],[Buildings]]+TblConstr[[#This Row],[Incoming]]</f>
        <v>50</v>
      </c>
      <c r="G11" s="187">
        <f ca="1">OFFSET(TblConstr[[#This Row],[Plain]],-1,0)+TblConstr[[#This Row],[Ch_Plain]]</f>
        <v>0</v>
      </c>
      <c r="H11" s="182">
        <f ca="1">OFFSET(TblConstr[[#This Row],[Forest]],-1,0)+TblConstr[[#This Row],[Ch_Forest]]</f>
        <v>0</v>
      </c>
      <c r="I11" s="359">
        <f ca="1">OFFSET(TblConstr[[#This Row],[Mountain]],-1,0)+TblConstr[[#This Row],[Ch_Mountain]]</f>
        <v>0</v>
      </c>
      <c r="J11" s="363">
        <f ca="1">OFFSET(TblConstr[[#This Row],[Hill]],-1,0)+TblConstr[[#This Row],[Ch_Hill]]</f>
        <v>0</v>
      </c>
      <c r="K11" s="367">
        <f ca="1">OFFSET(TblConstr[[#This Row],[Swamp]],-1,0)+TblConstr[[#This Row],[Ch_Swamp]]</f>
        <v>0</v>
      </c>
      <c r="L11" s="185">
        <f ca="1">OFFSET(TblConstr[[#This Row],[Cavern]],-1,0)+TblConstr[[#This Row],[Ch_Cavern]]</f>
        <v>0</v>
      </c>
      <c r="M11" s="186">
        <f ca="1">OFFSET(TblConstr[[#This Row],[Water]],-1,0)+TblConstr[[#This Row],[Ch_Water]]</f>
        <v>0</v>
      </c>
      <c r="N11" s="357">
        <f>TblRezone[[#This Row],[Hour]]</f>
        <v>8</v>
      </c>
      <c r="O11" s="179"/>
      <c r="P11" s="179"/>
      <c r="Q11" s="179"/>
      <c r="R11" s="179"/>
      <c r="S11" s="179"/>
      <c r="T11" s="179"/>
      <c r="U11" s="179"/>
      <c r="V11" s="179"/>
      <c r="W11" s="179"/>
      <c r="X11" s="179"/>
      <c r="Y11" s="179"/>
      <c r="Z11" s="179"/>
      <c r="AA11" s="179"/>
      <c r="AB11" s="179"/>
      <c r="AC11" s="179"/>
      <c r="AD11" s="179"/>
      <c r="AE11" s="179"/>
      <c r="AF11" s="179"/>
      <c r="AG11" s="179"/>
      <c r="AH11" s="53">
        <f ca="1">TblImps[[#This Row],[Time]]</f>
        <v>46320.29166666665</v>
      </c>
      <c r="AI11" s="180">
        <f ca="1">MIN(25%,(TblConstr[[#This Row],[Tot Fac]]+TblConstr[[#This Row],[Dest Fac]])/(TblConstr[[#This Row],[Land]]-TblExplore[[#This Row],[Land Bonus]]*20))</f>
        <v>0</v>
      </c>
      <c r="AJ11" s="180">
        <f ca="1">MIN(25%,(TblConstr[[#This Row],[Tot Fac]]+TblConstr[[#This Row],[Dest Fac]])/TblConstr[[#This Row],[Land]])</f>
        <v>0</v>
      </c>
      <c r="AK11" s="94">
        <f ca="1">TblProd[[#This Row],[Platinum]]</f>
        <v>128585</v>
      </c>
      <c r="AL11" s="94">
        <f ca="1">TblProd[[#This Row],[Lumber]]</f>
        <v>20775</v>
      </c>
      <c r="AM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 s="94">
        <f ca="1">ROUNDDOWN( MAX(1 - MIN(facs_constr_factor*TblConstr[[#This Row],[Facs -DB]],facs_constr_max) + tech_1_11*TblTech[[#This Row],[11-1]] + tech_6_3_2*TblTech[[#This Row],[6-3]] + tech_5_2_3*TblTech[[#This Row],[5-2]], 1-global_constr_cap) * TblConstr[[#This Row],[RCPA Lumber]],0)</f>
        <v>31</v>
      </c>
      <c r="AO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 s="94">
        <f ca="1">ROUNDDOWN( MAX(1 - MIN(facs_constr_factor*TblConstr[[#This Row],[Facs DB]],facs_constr_max) + tech_1_11*TblTech[[#This Row],[1-11]] + tech_6_3_2*TblTech[[#This Row],[6-3]] + tech_5_2_3*TblTech[[#This Row],[5-2]], 1-global_constr_cap) * ROUND((TblConstr[[#This Row],[Land]]-250)*0.285 + 87.5 + 0/4.25,0),0)</f>
        <v>31</v>
      </c>
      <c r="AQ11" s="45">
        <f ca="1">TblConstr[[#This Row],[build -db]]*TblConstr[[#This Row],[CPA Platinum -DB]] + TblConstr[[#This Row],[build db]]*TblConstr[[#This Row],[CPA Platinum DB]]</f>
        <v>0</v>
      </c>
      <c r="AR11" s="45">
        <f ca="1">TblConstr[[#This Row],[build -db]]*TblConstr[[#This Row],[CPA Lumber -DB]] + TblConstr[[#This Row],[build db]]*TblConstr[[#This Row],[CPA Lumber DB]]</f>
        <v>0</v>
      </c>
      <c r="AS11" s="94">
        <f ca="1">MIN(SUM(OFFSET(TblConstr[[#This Row],[Plain]:[Water]],-1,0))+SUM(TblConstr[[#This Row],[Dest Hom]:[Dest Doc]])+IF(TblConstr[[#This Row],[Hour]]&gt;12,SUM(OFFSET(TblExplore[[#This Row],[Plains Explore]:[Water Explore]],-12,0)),0),SUM(TblConstr[[#This Row],[Hom]:[Doc]]))</f>
        <v>0</v>
      </c>
      <c r="AT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42"/>
      <c r="AV11" s="94">
        <f ca="1">ROUND((TblConstr[[#This Row],[Land]]-250 - IF(TblExplore[[#This Row],[Land Bonus]]&lt;&gt;0,20,0))*1.25 + 850 + 0,0)</f>
        <v>600</v>
      </c>
      <c r="AW11" s="94">
        <f ca="1">ROUND((TblConstr[[#This Row],[Land]]-250 - IF(TblExplore[[#This Row],[Land Bonus]]&lt;&gt;0,20,0))*0.285 + 87.5 + 0/4.25,0)</f>
        <v>31</v>
      </c>
      <c r="AX11" s="154"/>
      <c r="AY11" s="188" cm="1">
        <f t="array" aca="1" ref="AY11" ca="1">IF(TblConstr[[#This Row],[Hour]:[Hour]]&gt;12,OFFSET(TblConstr[[#This Row],[Hom]],-12,0),0)+OFFSET(TblConstr[[#This Row],[Tot Hom]],-1,0)-TblConstr[[#This Row],[Dest Hom]]</f>
        <v>0</v>
      </c>
      <c r="AZ11" s="189" cm="1">
        <f t="array" aca="1" ref="AZ11" ca="1">IF(TblConstr[[#This Row],[Hour]:[Hour]]&gt;12,OFFSET(TblConstr[[#This Row],[Alc]],-12,0),0)+OFFSET(TblConstr[[#This Row],[Tot Alc]],-1,0)-TblConstr[[#This Row],[Dest Alc]]</f>
        <v>0</v>
      </c>
      <c r="BA11" s="189" cm="1">
        <f t="array" aca="1" ref="BA11" ca="1">IF(TblConstr[[#This Row],[Hour]:[Hour]]&gt;12,OFFSET(TblConstr[[#This Row],[Far]],-12,0),0)+OFFSET(TblConstr[[#This Row],[Tot Farm]],-1,0)-TblConstr[[#This Row],[Dest Farm]]</f>
        <v>30</v>
      </c>
      <c r="BB11" s="189" cm="1">
        <f t="array" aca="1" ref="BB11" ca="1">IF(TblConstr[[#This Row],[Hour]:[Hour]]&gt;12,OFFSET(TblConstr[[#This Row],[Smi]],-12,0),0)+OFFSET(TblConstr[[#This Row],[Tot Smi]],-1,0)-TblConstr[[#This Row],[Dest Smi]]</f>
        <v>0</v>
      </c>
      <c r="BC11" s="189" cm="1">
        <f t="array" aca="1" ref="BC11" ca="1">IF(TblConstr[[#This Row],[Hour]:[Hour]]&gt;12,OFFSET(TblConstr[[#This Row],[Mas]],-12,0),0)+OFFSET(TblConstr[[#This Row],[Tot Mas]],-1,0)-TblConstr[[#This Row],[Dest Mas]]</f>
        <v>0</v>
      </c>
      <c r="BD11" s="190" cm="1">
        <f t="array" aca="1" ref="BD11" ca="1">IF(TblConstr[[#This Row],[Hour]:[Hour]]&gt;12,OFFSET(TblConstr[[#This Row],[Ly]],-12,0),0)+OFFSET(TblConstr[[#This Row],[Tot Ly]],-1,0)-TblConstr[[#This Row],[Dest Ly]]</f>
        <v>20</v>
      </c>
      <c r="BE11" s="190" cm="1">
        <f t="array" aca="1" ref="BE11" ca="1">IF(TblConstr[[#This Row],[Hour]:[Hour]]&gt;12,OFFSET(TblConstr[[#This Row],[Hav]],-12,0),0)+OFFSET(TblConstr[[#This Row],[Tot Hav]],-1,0)-TblConstr[[#This Row],[Dest Hav]]</f>
        <v>0</v>
      </c>
      <c r="BF11" s="361" cm="1">
        <f t="array" aca="1" ref="BF11" ca="1">IF(TblConstr[[#This Row],[Hour]:[Hour]]&gt;12,OFFSET(TblConstr[[#This Row],[OM]],-12,0),0)+OFFSET(TblConstr[[#This Row],[Tot OM]],-1,0)-TblConstr[[#This Row],[Dest OM]]</f>
        <v>0</v>
      </c>
      <c r="BG11" s="361" cm="1">
        <f t="array" aca="1" ref="BG11" ca="1">IF(TblConstr[[#This Row],[Hour]:[Hour]]&gt;12,OFFSET(TblConstr[[#This Row],[GN]],-12,0),0)+OFFSET(TblConstr[[#This Row],[Tot GN]],-1,0)-TblConstr[[#This Row],[Dest GN]]</f>
        <v>0</v>
      </c>
      <c r="BH11" s="365" cm="1">
        <f t="array" aca="1" ref="BH11" ca="1">IF(TblConstr[[#This Row],[Hour]:[Hour]]&gt;12,OFFSET(TblConstr[[#This Row],[Fac]],-12,0),0)+OFFSET(TblConstr[[#This Row],[Tot Fac]],-1,0)-TblConstr[[#This Row],[Dest Fac]]</f>
        <v>0</v>
      </c>
      <c r="BI11" s="365" cm="1">
        <f t="array" aca="1" ref="BI11" ca="1">IF(TblConstr[[#This Row],[Hour]:[Hour]]&gt;12,OFFSET(TblConstr[[#This Row],[GT]],-12,0),0)+OFFSET(TblConstr[[#This Row],[Tot GT]],-1,0)-TblConstr[[#This Row],[Dest GT]]</f>
        <v>0</v>
      </c>
      <c r="BJ11" s="365" cm="1">
        <f t="array" aca="1" ref="BJ11" ca="1">IF(TblConstr[[#This Row],[Hour]:[Hour]]&gt;12,OFFSET(TblConstr[[#This Row],[Bar]],-12,0),0)+OFFSET(TblConstr[[#This Row],[Tot Bar]],-1,0)-TblConstr[[#This Row],[Dest Bar]]</f>
        <v>0</v>
      </c>
      <c r="BK11" s="365" cm="1">
        <f t="array" aca="1" ref="BK11" ca="1">IF(TblConstr[[#This Row],[Hour]:[Hour]]&gt;12,OFFSET(TblConstr[[#This Row],[Shr]],-12,0),0)+OFFSET(TblConstr[[#This Row],[Tot Shr]],-1,0)-TblConstr[[#This Row],[Dest Shr]]</f>
        <v>0</v>
      </c>
      <c r="BL11" s="369" cm="1">
        <f t="array" aca="1" ref="BL11" ca="1">IF(TblConstr[[#This Row],[Hour]:[Hour]]&gt;12,OFFSET(TblConstr[[#This Row],[Tow]],-12,0),0)+OFFSET(TblConstr[[#This Row],[Tot Tow]],-1,0)-TblConstr[[#This Row],[Dest Tow]]</f>
        <v>0</v>
      </c>
      <c r="BM11" s="369" cm="1">
        <f t="array" aca="1" ref="BM11" ca="1">IF(TblConstr[[#This Row],[Hour]:[Hour]]&gt;12,OFFSET(TblConstr[[#This Row],[Tem]],-12,0),0)+OFFSET(TblConstr[[#This Row],[Tot Tem]],-1,0)-TblConstr[[#This Row],[Dest Tem]]</f>
        <v>0</v>
      </c>
      <c r="BN11" s="369" cm="1">
        <f t="array" aca="1" ref="BN11" ca="1">IF(TblConstr[[#This Row],[Hour]:[Hour]]&gt;12,OFFSET(TblConstr[[#This Row],[WG]],-12,0),0)+OFFSET(TblConstr[[#This Row],[Tot WG]],-1,0)-TblConstr[[#This Row],[Dest WG]]</f>
        <v>0</v>
      </c>
      <c r="BO11" s="191" cm="1">
        <f t="array" aca="1" ref="BO11" ca="1">IF(TblConstr[[#This Row],[Hour]:[Hour]]&gt;12,OFFSET(TblConstr[[#This Row],[DM]],-12,0),0)+OFFSET(TblConstr[[#This Row],[Tot DM]],-1,0)-TblConstr[[#This Row],[Dest DM]]</f>
        <v>0</v>
      </c>
      <c r="BP11" s="191" cm="1">
        <f t="array" aca="1" ref="BP11" ca="1">IF(TblConstr[[#This Row],[Hour]:[Hour]]&gt;12,OFFSET(TblConstr[[#This Row],[Sch]],-12,0),0)+OFFSET(TblConstr[[#This Row],[Tot Sch]],-1,0)-TblConstr[[#This Row],[Dest Sch]]</f>
        <v>0</v>
      </c>
      <c r="BQ11" s="192" cm="1">
        <f t="array" aca="1" ref="BQ11" ca="1">IF(TblConstr[[#This Row],[Hour]:[Hour]]&gt;12,OFFSET(TblConstr[[#This Row],[Doc]],-12,0),0)+OFFSET(TblConstr[[#This Row],[Tot Doc]],-1,0)-TblConstr[[#This Row],[Dest Doc]]</f>
        <v>0</v>
      </c>
      <c r="BR11" s="142"/>
      <c r="BS11" s="154"/>
      <c r="BT11" s="94">
        <f ca="1">TblConstr[[#This Row],[Land]]</f>
        <v>50</v>
      </c>
      <c r="BU11" s="159">
        <f ca="1">TblImps[[#This Row],[Time]]</f>
        <v>46320.29166666665</v>
      </c>
      <c r="BV11" s="142"/>
      <c r="BW11" s="179"/>
      <c r="BX11" s="179"/>
      <c r="BY11" s="179"/>
      <c r="BZ11" s="179"/>
      <c r="CA11" s="179"/>
      <c r="CB11" s="179"/>
      <c r="CC11" s="179"/>
      <c r="CD11" s="179"/>
      <c r="CE11" s="179"/>
      <c r="CF11" s="179"/>
      <c r="CG11" s="179"/>
      <c r="CH11" s="179"/>
      <c r="CI11" s="179"/>
      <c r="CJ11" s="179"/>
      <c r="CK11" s="179"/>
      <c r="CL11" s="179"/>
      <c r="CM11" s="179"/>
      <c r="CN11" s="179"/>
      <c r="CO11" s="179"/>
      <c r="CP11" s="142"/>
      <c r="CQ11" s="181">
        <f ca="1">-SUM(TblConstr[[#This Row],[Alc]:[Mas]])+SUM(TblConstr[[#This Row],[Dest Alc]:[Dest Mas]])+Rezone!L11+IF("Ch_"&amp; home_land=TblConstr[[#Headers],[Ch_Plain]],TblConstr[[#This Row],[Home Land]])+IF(TblConstr[[#This Row],[Hour]:[Hour]]&gt;12,OFFSET(TblExplore[[#This Row],[Plains Explore]],-12,0),0)</f>
        <v>0</v>
      </c>
      <c r="CR11" s="182">
        <f ca="1">-SUM(TblConstr[[#This Row],[Ly]:[Hav]])+SUM(TblConstr[[#This Row],[Dest Ly]:[Dest Hav]]) +Rezone!M11 + IF("Ch_"&amp; home_land=TblConstr[[#Headers],[Ch_Forest]],TblConstr[[#This Row],[Home Land]])+IF(TblConstr[[#This Row],[Hour]:[Hour]]&gt;12,OFFSET(TblExplore[[#This Row],[Forest Explore]],-12,0),0)</f>
        <v>0</v>
      </c>
      <c r="CS11" s="359">
        <f ca="1">-SUM(TblConstr[[#This Row],[OM]:[GN]])+SUM(TblConstr[[#This Row],[Dest OM]:[Dest GN]]) +Rezone!N11 + IF("Ch_"&amp; home_land=TblConstr[[#Headers],[Ch_Mountain]],TblConstr[[#This Row],[Home Land]])+IF(TblConstr[[#This Row],[Hour]:[Hour]]&gt;12,OFFSET(TblExplore[[#This Row],[Mountain Explore]],-12,0),0)</f>
        <v>0</v>
      </c>
      <c r="CT11" s="183">
        <f ca="1">-SUM(TblConstr[[#This Row],[Fac]:[Shr]])+SUM(TblConstr[[#This Row],[Dest Fac]:[Dest Shr]]) +Rezone!O11 + IF("Ch_" &amp; home_land=TblConstr[[#Headers],[Ch_Hill]],TblConstr[[#This Row],[Home Land]])+IF(TblConstr[[#This Row],[Hour]:[Hour]]&gt;12,OFFSET(TblExplore[[#This Row],[Hill Explore]],-12,0),0)</f>
        <v>0</v>
      </c>
      <c r="CU11" s="184">
        <f ca="1">-SUM(TblConstr[[#This Row],[Tow]:[WG]])+SUM(TblConstr[[#This Row],[Dest Tow]:[Dest WG]]) +Rezone!P11 + IF("Ch_" &amp; home_land=TblConstr[[#Headers],[Ch_Swamp]],TblConstr[[#This Row],[Home Land]])+IF(TblConstr[[#This Row],[Hour]:[Hour]]&gt;12,OFFSET(TblExplore[[#This Row],[Swamp Explore]],-12,0),0)</f>
        <v>0</v>
      </c>
      <c r="CV11" s="185">
        <f ca="1" xml:space="preserve"> - SUM(TblConstr[[#This Row],[DM]:[Sch]])+SUM(TblConstr[[#This Row],[Dest DM]:[Dest Sch]]) +Rezone!Q11 + IF("Ch_" &amp; home_land=TblConstr[[#Headers],[Ch_Cavern]],TblConstr[[#This Row],[Home Land]])+IF(TblConstr[[#This Row],[Hour]:[Hour]]&gt;12,OFFSET(TblExplore[[#This Row],[Cavern Explore]],-12,0),0)</f>
        <v>0</v>
      </c>
      <c r="CW11" s="186">
        <f ca="1">-TblConstr[[#This Row],[Doc]]+TblConstr[[#This Row],[Dest Doc]] +Rezone!R11 + IF("Ch_" &amp; home_land=TblConstr[[#Headers],[Ch_Water]],TblConstr[[#This Row],[Home Land]])+IF(TblConstr[[#This Row],[Hour]:[Hour]]&gt;12,OFFSET(TblExplore[[#This Row],[Water Explore]],-12,0),0)</f>
        <v>0</v>
      </c>
      <c r="CX11" s="45">
        <f>IF(Explore!S11=1,20) - TblConstr[[#This Row],[Hom]] + TblConstr[[#This Row],[Dest Hom]]</f>
        <v>0</v>
      </c>
      <c r="CY11" s="142"/>
      <c r="CZ11" s="94">
        <f ca="1">G11+SUM(P$4:S11)+SUM(AZ11:BC11)</f>
        <v>30</v>
      </c>
      <c r="DA11" s="94">
        <f ca="1">H11+SUM(T$4:U11)+SUM(BD11:BE11)</f>
        <v>20</v>
      </c>
      <c r="DB11" s="45">
        <f ca="1">I11+SUM(V$4:W11)+SUM(BF11:BG11)</f>
        <v>0</v>
      </c>
      <c r="DC11" s="94">
        <f ca="1">J11+SUM(X$4:Y11)+SUM(BH11:BI11)</f>
        <v>0</v>
      </c>
      <c r="DD11" s="94">
        <f ca="1">K11+SUM(AB$4:AD11)+SUM(BL11:BN11)</f>
        <v>0</v>
      </c>
      <c r="DE11" s="45">
        <f ca="1">L11+SUM(AE$4:AE11)+BO11</f>
        <v>0</v>
      </c>
      <c r="DF11" s="94">
        <f ca="1">M11+SUM(AG$4:AG11)+BQ11</f>
        <v>0</v>
      </c>
      <c r="DG11" s="94" cm="1">
        <f t="array" aca="1" ref="DG11" ca="1">INDEX(TblConstr[[Total Plain]:[Total Water]],ROW()-ROW(TblConstr[#Headers]),MATCH("Total "&amp;home_land,TblConstr[[#Headers],[Total Plain]:[Total Water]],0))+TblConstr[[#This Row],[Homes]]</f>
        <v>30</v>
      </c>
      <c r="DH11" s="45">
        <f ca="1">SUM(O$4:O11)+AY11</f>
        <v>0</v>
      </c>
      <c r="DI11" s="45">
        <f t="shared" ca="1" si="0"/>
        <v>0</v>
      </c>
      <c r="DJ11" s="45">
        <f t="shared" ca="1" si="1"/>
        <v>0</v>
      </c>
    </row>
    <row r="12" spans="1:114" x14ac:dyDescent="0.2">
      <c r="A12" s="175">
        <f>TblRezone[[#This Row],[Hour]]</f>
        <v>9</v>
      </c>
      <c r="B12" s="176">
        <f ca="1">SUM(TblConstr[[#This Row],[Plain]:[Water]])</f>
        <v>0</v>
      </c>
      <c r="C12" s="177">
        <f ca="1">SUM(TblConstr[[#This Row],[Tot Hom]:[Tot Doc]])</f>
        <v>50</v>
      </c>
      <c r="D12" s="177">
        <f>SUM(O$4:AG12)</f>
        <v>0</v>
      </c>
      <c r="E12" s="178"/>
      <c r="F12" s="61">
        <f ca="1">TblConstr[[#This Row],[Barren]]+TblConstr[[#This Row],[Buildings]]+TblConstr[[#This Row],[Incoming]]</f>
        <v>50</v>
      </c>
      <c r="G12" s="187">
        <f ca="1">OFFSET(TblConstr[[#This Row],[Plain]],-1,0)+TblConstr[[#This Row],[Ch_Plain]]</f>
        <v>0</v>
      </c>
      <c r="H12" s="182">
        <f ca="1">OFFSET(TblConstr[[#This Row],[Forest]],-1,0)+TblConstr[[#This Row],[Ch_Forest]]</f>
        <v>0</v>
      </c>
      <c r="I12" s="359">
        <f ca="1">OFFSET(TblConstr[[#This Row],[Mountain]],-1,0)+TblConstr[[#This Row],[Ch_Mountain]]</f>
        <v>0</v>
      </c>
      <c r="J12" s="363">
        <f ca="1">OFFSET(TblConstr[[#This Row],[Hill]],-1,0)+TblConstr[[#This Row],[Ch_Hill]]</f>
        <v>0</v>
      </c>
      <c r="K12" s="367">
        <f ca="1">OFFSET(TblConstr[[#This Row],[Swamp]],-1,0)+TblConstr[[#This Row],[Ch_Swamp]]</f>
        <v>0</v>
      </c>
      <c r="L12" s="185">
        <f ca="1">OFFSET(TblConstr[[#This Row],[Cavern]],-1,0)+TblConstr[[#This Row],[Ch_Cavern]]</f>
        <v>0</v>
      </c>
      <c r="M12" s="186">
        <f ca="1">OFFSET(TblConstr[[#This Row],[Water]],-1,0)+TblConstr[[#This Row],[Ch_Water]]</f>
        <v>0</v>
      </c>
      <c r="N12" s="357">
        <f>TblRezone[[#This Row],[Hour]]</f>
        <v>9</v>
      </c>
      <c r="O12" s="179"/>
      <c r="P12" s="179"/>
      <c r="Q12" s="179"/>
      <c r="R12" s="158"/>
      <c r="S12" s="179"/>
      <c r="T12" s="179"/>
      <c r="U12" s="179"/>
      <c r="V12" s="179"/>
      <c r="W12" s="179"/>
      <c r="X12" s="179"/>
      <c r="Y12" s="179"/>
      <c r="Z12" s="179"/>
      <c r="AA12" s="179"/>
      <c r="AB12" s="179"/>
      <c r="AC12" s="179"/>
      <c r="AD12" s="179"/>
      <c r="AE12" s="179"/>
      <c r="AF12" s="179"/>
      <c r="AG12" s="179"/>
      <c r="AH12" s="53">
        <f ca="1">TblImps[[#This Row],[Time]]</f>
        <v>46320.333333333314</v>
      </c>
      <c r="AI12" s="180">
        <f ca="1">MIN(25%,(TblConstr[[#This Row],[Tot Fac]]+TblConstr[[#This Row],[Dest Fac]])/(TblConstr[[#This Row],[Land]]-TblExplore[[#This Row],[Land Bonus]]*20))</f>
        <v>0</v>
      </c>
      <c r="AJ12" s="180">
        <f ca="1">MIN(25%,(TblConstr[[#This Row],[Tot Fac]]+TblConstr[[#This Row],[Dest Fac]])/TblConstr[[#This Row],[Land]])</f>
        <v>0</v>
      </c>
      <c r="AK12" s="94">
        <f ca="1">TblProd[[#This Row],[Platinum]]</f>
        <v>129764</v>
      </c>
      <c r="AL12" s="94">
        <f ca="1">TblProd[[#This Row],[Lumber]]</f>
        <v>21567</v>
      </c>
      <c r="AM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 s="94">
        <f ca="1">ROUNDDOWN( MAX(1 - MIN(facs_constr_factor*TblConstr[[#This Row],[Facs -DB]],facs_constr_max) + tech_1_11*TblTech[[#This Row],[11-1]] + tech_6_3_2*TblTech[[#This Row],[6-3]] + tech_5_2_3*TblTech[[#This Row],[5-2]], 1-global_constr_cap) * TblConstr[[#This Row],[RCPA Lumber]],0)</f>
        <v>31</v>
      </c>
      <c r="AO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 s="94">
        <f ca="1">ROUNDDOWN( MAX(1 - MIN(facs_constr_factor*TblConstr[[#This Row],[Facs DB]],facs_constr_max) + tech_1_11*TblTech[[#This Row],[1-11]] + tech_6_3_2*TblTech[[#This Row],[6-3]] + tech_5_2_3*TblTech[[#This Row],[5-2]], 1-global_constr_cap) * ROUND((TblConstr[[#This Row],[Land]]-250)*0.285 + 87.5 + 0/4.25,0),0)</f>
        <v>31</v>
      </c>
      <c r="AQ12" s="45">
        <f ca="1">TblConstr[[#This Row],[build -db]]*TblConstr[[#This Row],[CPA Platinum -DB]] + TblConstr[[#This Row],[build db]]*TblConstr[[#This Row],[CPA Platinum DB]]</f>
        <v>0</v>
      </c>
      <c r="AR12" s="45">
        <f ca="1">TblConstr[[#This Row],[build -db]]*TblConstr[[#This Row],[CPA Lumber -DB]] + TblConstr[[#This Row],[build db]]*TblConstr[[#This Row],[CPA Lumber DB]]</f>
        <v>0</v>
      </c>
      <c r="AS12" s="94">
        <f ca="1">MIN(SUM(OFFSET(TblConstr[[#This Row],[Plain]:[Water]],-1,0))+SUM(TblConstr[[#This Row],[Dest Hom]:[Dest Doc]])+IF(TblConstr[[#This Row],[Hour]]&gt;12,SUM(OFFSET(TblExplore[[#This Row],[Plains Explore]:[Water Explore]],-12,0)),0),SUM(TblConstr[[#This Row],[Hom]:[Doc]]))</f>
        <v>0</v>
      </c>
      <c r="AT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42"/>
      <c r="AV12" s="94">
        <f ca="1">ROUND((TblConstr[[#This Row],[Land]]-250 - IF(TblExplore[[#This Row],[Land Bonus]]&lt;&gt;0,20,0))*1.25 + 850 + 0,0)</f>
        <v>600</v>
      </c>
      <c r="AW12" s="94">
        <f ca="1">ROUND((TblConstr[[#This Row],[Land]]-250 - IF(TblExplore[[#This Row],[Land Bonus]]&lt;&gt;0,20,0))*0.285 + 87.5 + 0/4.25,0)</f>
        <v>31</v>
      </c>
      <c r="AX12" s="154"/>
      <c r="AY12" s="188" cm="1">
        <f t="array" aca="1" ref="AY12" ca="1">IF(TblConstr[[#This Row],[Hour]:[Hour]]&gt;12,OFFSET(TblConstr[[#This Row],[Hom]],-12,0),0)+OFFSET(TblConstr[[#This Row],[Tot Hom]],-1,0)-TblConstr[[#This Row],[Dest Hom]]</f>
        <v>0</v>
      </c>
      <c r="AZ12" s="189" cm="1">
        <f t="array" aca="1" ref="AZ12" ca="1">IF(TblConstr[[#This Row],[Hour]:[Hour]]&gt;12,OFFSET(TblConstr[[#This Row],[Alc]],-12,0),0)+OFFSET(TblConstr[[#This Row],[Tot Alc]],-1,0)-TblConstr[[#This Row],[Dest Alc]]</f>
        <v>0</v>
      </c>
      <c r="BA12" s="189" cm="1">
        <f t="array" aca="1" ref="BA12" ca="1">IF(TblConstr[[#This Row],[Hour]:[Hour]]&gt;12,OFFSET(TblConstr[[#This Row],[Far]],-12,0),0)+OFFSET(TblConstr[[#This Row],[Tot Farm]],-1,0)-TblConstr[[#This Row],[Dest Farm]]</f>
        <v>30</v>
      </c>
      <c r="BB12" s="189" cm="1">
        <f t="array" aca="1" ref="BB12" ca="1">IF(TblConstr[[#This Row],[Hour]:[Hour]]&gt;12,OFFSET(TblConstr[[#This Row],[Smi]],-12,0),0)+OFFSET(TblConstr[[#This Row],[Tot Smi]],-1,0)-TblConstr[[#This Row],[Dest Smi]]</f>
        <v>0</v>
      </c>
      <c r="BC12" s="189" cm="1">
        <f t="array" aca="1" ref="BC12" ca="1">IF(TblConstr[[#This Row],[Hour]:[Hour]]&gt;12,OFFSET(TblConstr[[#This Row],[Mas]],-12,0),0)+OFFSET(TblConstr[[#This Row],[Tot Mas]],-1,0)-TblConstr[[#This Row],[Dest Mas]]</f>
        <v>0</v>
      </c>
      <c r="BD12" s="190" cm="1">
        <f t="array" aca="1" ref="BD12" ca="1">IF(TblConstr[[#This Row],[Hour]:[Hour]]&gt;12,OFFSET(TblConstr[[#This Row],[Ly]],-12,0),0)+OFFSET(TblConstr[[#This Row],[Tot Ly]],-1,0)-TblConstr[[#This Row],[Dest Ly]]</f>
        <v>20</v>
      </c>
      <c r="BE12" s="190" cm="1">
        <f t="array" aca="1" ref="BE12" ca="1">IF(TblConstr[[#This Row],[Hour]:[Hour]]&gt;12,OFFSET(TblConstr[[#This Row],[Hav]],-12,0),0)+OFFSET(TblConstr[[#This Row],[Tot Hav]],-1,0)-TblConstr[[#This Row],[Dest Hav]]</f>
        <v>0</v>
      </c>
      <c r="BF12" s="361" cm="1">
        <f t="array" aca="1" ref="BF12" ca="1">IF(TblConstr[[#This Row],[Hour]:[Hour]]&gt;12,OFFSET(TblConstr[[#This Row],[OM]],-12,0),0)+OFFSET(TblConstr[[#This Row],[Tot OM]],-1,0)-TblConstr[[#This Row],[Dest OM]]</f>
        <v>0</v>
      </c>
      <c r="BG12" s="361" cm="1">
        <f t="array" aca="1" ref="BG12" ca="1">IF(TblConstr[[#This Row],[Hour]:[Hour]]&gt;12,OFFSET(TblConstr[[#This Row],[GN]],-12,0),0)+OFFSET(TblConstr[[#This Row],[Tot GN]],-1,0)-TblConstr[[#This Row],[Dest GN]]</f>
        <v>0</v>
      </c>
      <c r="BH12" s="365" cm="1">
        <f t="array" aca="1" ref="BH12" ca="1">IF(TblConstr[[#This Row],[Hour]:[Hour]]&gt;12,OFFSET(TblConstr[[#This Row],[Fac]],-12,0),0)+OFFSET(TblConstr[[#This Row],[Tot Fac]],-1,0)-TblConstr[[#This Row],[Dest Fac]]</f>
        <v>0</v>
      </c>
      <c r="BI12" s="365" cm="1">
        <f t="array" aca="1" ref="BI12" ca="1">IF(TblConstr[[#This Row],[Hour]:[Hour]]&gt;12,OFFSET(TblConstr[[#This Row],[GT]],-12,0),0)+OFFSET(TblConstr[[#This Row],[Tot GT]],-1,0)-TblConstr[[#This Row],[Dest GT]]</f>
        <v>0</v>
      </c>
      <c r="BJ12" s="365" cm="1">
        <f t="array" aca="1" ref="BJ12" ca="1">IF(TblConstr[[#This Row],[Hour]:[Hour]]&gt;12,OFFSET(TblConstr[[#This Row],[Bar]],-12,0),0)+OFFSET(TblConstr[[#This Row],[Tot Bar]],-1,0)-TblConstr[[#This Row],[Dest Bar]]</f>
        <v>0</v>
      </c>
      <c r="BK12" s="365" cm="1">
        <f t="array" aca="1" ref="BK12" ca="1">IF(TblConstr[[#This Row],[Hour]:[Hour]]&gt;12,OFFSET(TblConstr[[#This Row],[Shr]],-12,0),0)+OFFSET(TblConstr[[#This Row],[Tot Shr]],-1,0)-TblConstr[[#This Row],[Dest Shr]]</f>
        <v>0</v>
      </c>
      <c r="BL12" s="369" cm="1">
        <f t="array" aca="1" ref="BL12" ca="1">IF(TblConstr[[#This Row],[Hour]:[Hour]]&gt;12,OFFSET(TblConstr[[#This Row],[Tow]],-12,0),0)+OFFSET(TblConstr[[#This Row],[Tot Tow]],-1,0)-TblConstr[[#This Row],[Dest Tow]]</f>
        <v>0</v>
      </c>
      <c r="BM12" s="369" cm="1">
        <f t="array" aca="1" ref="BM12" ca="1">IF(TblConstr[[#This Row],[Hour]:[Hour]]&gt;12,OFFSET(TblConstr[[#This Row],[Tem]],-12,0),0)+OFFSET(TblConstr[[#This Row],[Tot Tem]],-1,0)-TblConstr[[#This Row],[Dest Tem]]</f>
        <v>0</v>
      </c>
      <c r="BN12" s="369" cm="1">
        <f t="array" aca="1" ref="BN12" ca="1">IF(TblConstr[[#This Row],[Hour]:[Hour]]&gt;12,OFFSET(TblConstr[[#This Row],[WG]],-12,0),0)+OFFSET(TblConstr[[#This Row],[Tot WG]],-1,0)-TblConstr[[#This Row],[Dest WG]]</f>
        <v>0</v>
      </c>
      <c r="BO12" s="191" cm="1">
        <f t="array" aca="1" ref="BO12" ca="1">IF(TblConstr[[#This Row],[Hour]:[Hour]]&gt;12,OFFSET(TblConstr[[#This Row],[DM]],-12,0),0)+OFFSET(TblConstr[[#This Row],[Tot DM]],-1,0)-TblConstr[[#This Row],[Dest DM]]</f>
        <v>0</v>
      </c>
      <c r="BP12" s="191" cm="1">
        <f t="array" aca="1" ref="BP12" ca="1">IF(TblConstr[[#This Row],[Hour]:[Hour]]&gt;12,OFFSET(TblConstr[[#This Row],[Sch]],-12,0),0)+OFFSET(TblConstr[[#This Row],[Tot Sch]],-1,0)-TblConstr[[#This Row],[Dest Sch]]</f>
        <v>0</v>
      </c>
      <c r="BQ12" s="192" cm="1">
        <f t="array" aca="1" ref="BQ12" ca="1">IF(TblConstr[[#This Row],[Hour]:[Hour]]&gt;12,OFFSET(TblConstr[[#This Row],[Doc]],-12,0),0)+OFFSET(TblConstr[[#This Row],[Tot Doc]],-1,0)-TblConstr[[#This Row],[Dest Doc]]</f>
        <v>0</v>
      </c>
      <c r="BR12" s="142"/>
      <c r="BS12" s="154"/>
      <c r="BT12" s="94">
        <f ca="1">TblConstr[[#This Row],[Land]]</f>
        <v>50</v>
      </c>
      <c r="BU12" s="159">
        <f ca="1">TblImps[[#This Row],[Time]]</f>
        <v>46320.333333333314</v>
      </c>
      <c r="BV12" s="142"/>
      <c r="BW12" s="179"/>
      <c r="BX12" s="179"/>
      <c r="BY12" s="179"/>
      <c r="BZ12" s="179"/>
      <c r="CA12" s="179"/>
      <c r="CB12" s="179"/>
      <c r="CC12" s="179"/>
      <c r="CD12" s="179"/>
      <c r="CE12" s="179"/>
      <c r="CF12" s="179"/>
      <c r="CG12" s="179"/>
      <c r="CH12" s="179"/>
      <c r="CI12" s="179"/>
      <c r="CJ12" s="179"/>
      <c r="CK12" s="179"/>
      <c r="CL12" s="179"/>
      <c r="CM12" s="179"/>
      <c r="CN12" s="179"/>
      <c r="CO12" s="179"/>
      <c r="CP12" s="142"/>
      <c r="CQ12" s="181">
        <f ca="1">-SUM(TblConstr[[#This Row],[Alc]:[Mas]])+SUM(TblConstr[[#This Row],[Dest Alc]:[Dest Mas]])+Rezone!L12+IF("Ch_"&amp; home_land=TblConstr[[#Headers],[Ch_Plain]],TblConstr[[#This Row],[Home Land]])+IF(TblConstr[[#This Row],[Hour]:[Hour]]&gt;12,OFFSET(TblExplore[[#This Row],[Plains Explore]],-12,0),0)</f>
        <v>0</v>
      </c>
      <c r="CR12" s="182">
        <f ca="1">-SUM(TblConstr[[#This Row],[Ly]:[Hav]])+SUM(TblConstr[[#This Row],[Dest Ly]:[Dest Hav]]) +Rezone!M12 + IF("Ch_"&amp; home_land=TblConstr[[#Headers],[Ch_Forest]],TblConstr[[#This Row],[Home Land]])+IF(TblConstr[[#This Row],[Hour]:[Hour]]&gt;12,OFFSET(TblExplore[[#This Row],[Forest Explore]],-12,0),0)</f>
        <v>0</v>
      </c>
      <c r="CS12" s="359">
        <f ca="1">-SUM(TblConstr[[#This Row],[OM]:[GN]])+SUM(TblConstr[[#This Row],[Dest OM]:[Dest GN]]) +Rezone!N12 + IF("Ch_"&amp; home_land=TblConstr[[#Headers],[Ch_Mountain]],TblConstr[[#This Row],[Home Land]])+IF(TblConstr[[#This Row],[Hour]:[Hour]]&gt;12,OFFSET(TblExplore[[#This Row],[Mountain Explore]],-12,0),0)</f>
        <v>0</v>
      </c>
      <c r="CT12" s="183">
        <f ca="1">-SUM(TblConstr[[#This Row],[Fac]:[Shr]])+SUM(TblConstr[[#This Row],[Dest Fac]:[Dest Shr]]) +Rezone!O12 + IF("Ch_" &amp; home_land=TblConstr[[#Headers],[Ch_Hill]],TblConstr[[#This Row],[Home Land]])+IF(TblConstr[[#This Row],[Hour]:[Hour]]&gt;12,OFFSET(TblExplore[[#This Row],[Hill Explore]],-12,0),0)</f>
        <v>0</v>
      </c>
      <c r="CU12" s="184">
        <f ca="1">-SUM(TblConstr[[#This Row],[Tow]:[WG]])+SUM(TblConstr[[#This Row],[Dest Tow]:[Dest WG]]) +Rezone!P12 + IF("Ch_" &amp; home_land=TblConstr[[#Headers],[Ch_Swamp]],TblConstr[[#This Row],[Home Land]])+IF(TblConstr[[#This Row],[Hour]:[Hour]]&gt;12,OFFSET(TblExplore[[#This Row],[Swamp Explore]],-12,0),0)</f>
        <v>0</v>
      </c>
      <c r="CV12" s="185">
        <f ca="1" xml:space="preserve"> - SUM(TblConstr[[#This Row],[DM]:[Sch]])+SUM(TblConstr[[#This Row],[Dest DM]:[Dest Sch]]) +Rezone!Q12 + IF("Ch_" &amp; home_land=TblConstr[[#Headers],[Ch_Cavern]],TblConstr[[#This Row],[Home Land]])+IF(TblConstr[[#This Row],[Hour]:[Hour]]&gt;12,OFFSET(TblExplore[[#This Row],[Cavern Explore]],-12,0),0)</f>
        <v>0</v>
      </c>
      <c r="CW12" s="186">
        <f ca="1">-TblConstr[[#This Row],[Doc]]+TblConstr[[#This Row],[Dest Doc]] +Rezone!R12 + IF("Ch_" &amp; home_land=TblConstr[[#Headers],[Ch_Water]],TblConstr[[#This Row],[Home Land]])+IF(TblConstr[[#This Row],[Hour]:[Hour]]&gt;12,OFFSET(TblExplore[[#This Row],[Water Explore]],-12,0),0)</f>
        <v>0</v>
      </c>
      <c r="CX12" s="45">
        <f>IF(Explore!S12=1,20) - TblConstr[[#This Row],[Hom]] + TblConstr[[#This Row],[Dest Hom]]</f>
        <v>0</v>
      </c>
      <c r="CY12" s="142"/>
      <c r="CZ12" s="94">
        <f ca="1">G12+SUM(P$4:S12)+SUM(AZ12:BC12)</f>
        <v>30</v>
      </c>
      <c r="DA12" s="94">
        <f ca="1">H12+SUM(T$4:U12)+SUM(BD12:BE12)</f>
        <v>20</v>
      </c>
      <c r="DB12" s="45">
        <f ca="1">I12+SUM(V$4:W12)+SUM(BF12:BG12)</f>
        <v>0</v>
      </c>
      <c r="DC12" s="94">
        <f ca="1">J12+SUM(X$4:Y12)+SUM(BH12:BI12)</f>
        <v>0</v>
      </c>
      <c r="DD12" s="94">
        <f ca="1">K12+SUM(AB$4:AD12)+SUM(BL12:BN12)</f>
        <v>0</v>
      </c>
      <c r="DE12" s="45">
        <f ca="1">L12+SUM(AE$4:AE12)+BO12</f>
        <v>0</v>
      </c>
      <c r="DF12" s="94">
        <f ca="1">M12+SUM(AG$4:AG12)+BQ12</f>
        <v>0</v>
      </c>
      <c r="DG12" s="94" cm="1">
        <f t="array" aca="1" ref="DG12" ca="1">INDEX(TblConstr[[Total Plain]:[Total Water]],ROW()-ROW(TblConstr[#Headers]),MATCH("Total "&amp;home_land,TblConstr[[#Headers],[Total Plain]:[Total Water]],0))+TblConstr[[#This Row],[Homes]]</f>
        <v>30</v>
      </c>
      <c r="DH12" s="45">
        <f ca="1">SUM(O$4:O12)+AY12</f>
        <v>0</v>
      </c>
      <c r="DI12" s="45">
        <f t="shared" ca="1" si="0"/>
        <v>0</v>
      </c>
      <c r="DJ12" s="45">
        <f t="shared" ca="1" si="1"/>
        <v>0</v>
      </c>
    </row>
    <row r="13" spans="1:114" x14ac:dyDescent="0.2">
      <c r="A13" s="175">
        <f>TblRezone[[#This Row],[Hour]]</f>
        <v>10</v>
      </c>
      <c r="B13" s="176">
        <f ca="1">SUM(TblConstr[[#This Row],[Plain]:[Water]])</f>
        <v>0</v>
      </c>
      <c r="C13" s="177">
        <f ca="1">SUM(TblConstr[[#This Row],[Tot Hom]:[Tot Doc]])</f>
        <v>50</v>
      </c>
      <c r="D13" s="177">
        <f>SUM(O$4:AG13)</f>
        <v>0</v>
      </c>
      <c r="E13" s="178"/>
      <c r="F13" s="61">
        <f ca="1">TblConstr[[#This Row],[Barren]]+TblConstr[[#This Row],[Buildings]]+TblConstr[[#This Row],[Incoming]]</f>
        <v>50</v>
      </c>
      <c r="G13" s="187">
        <f ca="1">OFFSET(TblConstr[[#This Row],[Plain]],-1,0)+TblConstr[[#This Row],[Ch_Plain]]</f>
        <v>0</v>
      </c>
      <c r="H13" s="182">
        <f ca="1">OFFSET(TblConstr[[#This Row],[Forest]],-1,0)+TblConstr[[#This Row],[Ch_Forest]]</f>
        <v>0</v>
      </c>
      <c r="I13" s="359">
        <f ca="1">OFFSET(TblConstr[[#This Row],[Mountain]],-1,0)+TblConstr[[#This Row],[Ch_Mountain]]</f>
        <v>0</v>
      </c>
      <c r="J13" s="363">
        <f ca="1">OFFSET(TblConstr[[#This Row],[Hill]],-1,0)+TblConstr[[#This Row],[Ch_Hill]]</f>
        <v>0</v>
      </c>
      <c r="K13" s="367">
        <f ca="1">OFFSET(TblConstr[[#This Row],[Swamp]],-1,0)+TblConstr[[#This Row],[Ch_Swamp]]</f>
        <v>0</v>
      </c>
      <c r="L13" s="185">
        <f ca="1">OFFSET(TblConstr[[#This Row],[Cavern]],-1,0)+TblConstr[[#This Row],[Ch_Cavern]]</f>
        <v>0</v>
      </c>
      <c r="M13" s="186">
        <f ca="1">OFFSET(TblConstr[[#This Row],[Water]],-1,0)+TblConstr[[#This Row],[Ch_Water]]</f>
        <v>0</v>
      </c>
      <c r="N13" s="357">
        <f>TblRezone[[#This Row],[Hour]]</f>
        <v>10</v>
      </c>
      <c r="O13" s="179"/>
      <c r="P13" s="179"/>
      <c r="Q13" s="179"/>
      <c r="R13" s="158"/>
      <c r="S13" s="179"/>
      <c r="T13" s="179"/>
      <c r="U13" s="179"/>
      <c r="V13" s="179"/>
      <c r="W13" s="179"/>
      <c r="X13" s="179"/>
      <c r="Y13" s="179"/>
      <c r="Z13" s="179"/>
      <c r="AA13" s="179"/>
      <c r="AB13" s="179"/>
      <c r="AC13" s="179"/>
      <c r="AD13" s="179"/>
      <c r="AE13" s="179"/>
      <c r="AF13" s="179"/>
      <c r="AG13" s="179"/>
      <c r="AH13" s="53">
        <f ca="1">TblImps[[#This Row],[Time]]</f>
        <v>46320.374999999978</v>
      </c>
      <c r="AI13" s="180">
        <f ca="1">MIN(25%,(TblConstr[[#This Row],[Tot Fac]]+TblConstr[[#This Row],[Dest Fac]])/(TblConstr[[#This Row],[Land]]-TblExplore[[#This Row],[Land Bonus]]*20))</f>
        <v>0</v>
      </c>
      <c r="AJ13" s="180">
        <f ca="1">MIN(25%,(TblConstr[[#This Row],[Tot Fac]]+TblConstr[[#This Row],[Dest Fac]])/TblConstr[[#This Row],[Land]])</f>
        <v>0</v>
      </c>
      <c r="AK13" s="94">
        <f ca="1">TblProd[[#This Row],[Platinum]]</f>
        <v>130933</v>
      </c>
      <c r="AL13" s="94">
        <f ca="1">TblProd[[#This Row],[Lumber]]</f>
        <v>22351</v>
      </c>
      <c r="AM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 s="94">
        <f ca="1">ROUNDDOWN( MAX(1 - MIN(facs_constr_factor*TblConstr[[#This Row],[Facs -DB]],facs_constr_max) + tech_1_11*TblTech[[#This Row],[11-1]] + tech_6_3_2*TblTech[[#This Row],[6-3]] + tech_5_2_3*TblTech[[#This Row],[5-2]], 1-global_constr_cap) * TblConstr[[#This Row],[RCPA Lumber]],0)</f>
        <v>31</v>
      </c>
      <c r="AO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 s="94">
        <f ca="1">ROUNDDOWN( MAX(1 - MIN(facs_constr_factor*TblConstr[[#This Row],[Facs DB]],facs_constr_max) + tech_1_11*TblTech[[#This Row],[1-11]] + tech_6_3_2*TblTech[[#This Row],[6-3]] + tech_5_2_3*TblTech[[#This Row],[5-2]], 1-global_constr_cap) * ROUND((TblConstr[[#This Row],[Land]]-250)*0.285 + 87.5 + 0/4.25,0),0)</f>
        <v>31</v>
      </c>
      <c r="AQ13" s="45">
        <f ca="1">TblConstr[[#This Row],[build -db]]*TblConstr[[#This Row],[CPA Platinum -DB]] + TblConstr[[#This Row],[build db]]*TblConstr[[#This Row],[CPA Platinum DB]]</f>
        <v>0</v>
      </c>
      <c r="AR13" s="45">
        <f ca="1">TblConstr[[#This Row],[build -db]]*TblConstr[[#This Row],[CPA Lumber -DB]] + TblConstr[[#This Row],[build db]]*TblConstr[[#This Row],[CPA Lumber DB]]</f>
        <v>0</v>
      </c>
      <c r="AS13" s="94">
        <f ca="1">MIN(SUM(OFFSET(TblConstr[[#This Row],[Plain]:[Water]],-1,0))+SUM(TblConstr[[#This Row],[Dest Hom]:[Dest Doc]])+IF(TblConstr[[#This Row],[Hour]]&gt;12,SUM(OFFSET(TblExplore[[#This Row],[Plains Explore]:[Water Explore]],-12,0)),0),SUM(TblConstr[[#This Row],[Hom]:[Doc]]))</f>
        <v>0</v>
      </c>
      <c r="AT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42"/>
      <c r="AV13" s="94">
        <f ca="1">ROUND((TblConstr[[#This Row],[Land]]-250 - IF(TblExplore[[#This Row],[Land Bonus]]&lt;&gt;0,20,0))*1.25 + 850 + 0,0)</f>
        <v>600</v>
      </c>
      <c r="AW13" s="94">
        <f ca="1">ROUND((TblConstr[[#This Row],[Land]]-250 - IF(TblExplore[[#This Row],[Land Bonus]]&lt;&gt;0,20,0))*0.285 + 87.5 + 0/4.25,0)</f>
        <v>31</v>
      </c>
      <c r="AX13" s="154"/>
      <c r="AY13" s="188" cm="1">
        <f t="array" aca="1" ref="AY13" ca="1">IF(TblConstr[[#This Row],[Hour]:[Hour]]&gt;12,OFFSET(TblConstr[[#This Row],[Hom]],-12,0),0)+OFFSET(TblConstr[[#This Row],[Tot Hom]],-1,0)-TblConstr[[#This Row],[Dest Hom]]</f>
        <v>0</v>
      </c>
      <c r="AZ13" s="189" cm="1">
        <f t="array" aca="1" ref="AZ13" ca="1">IF(TblConstr[[#This Row],[Hour]:[Hour]]&gt;12,OFFSET(TblConstr[[#This Row],[Alc]],-12,0),0)+OFFSET(TblConstr[[#This Row],[Tot Alc]],-1,0)-TblConstr[[#This Row],[Dest Alc]]</f>
        <v>0</v>
      </c>
      <c r="BA13" s="189" cm="1">
        <f t="array" aca="1" ref="BA13" ca="1">IF(TblConstr[[#This Row],[Hour]:[Hour]]&gt;12,OFFSET(TblConstr[[#This Row],[Far]],-12,0),0)+OFFSET(TblConstr[[#This Row],[Tot Farm]],-1,0)-TblConstr[[#This Row],[Dest Farm]]</f>
        <v>30</v>
      </c>
      <c r="BB13" s="189" cm="1">
        <f t="array" aca="1" ref="BB13" ca="1">IF(TblConstr[[#This Row],[Hour]:[Hour]]&gt;12,OFFSET(TblConstr[[#This Row],[Smi]],-12,0),0)+OFFSET(TblConstr[[#This Row],[Tot Smi]],-1,0)-TblConstr[[#This Row],[Dest Smi]]</f>
        <v>0</v>
      </c>
      <c r="BC13" s="189" cm="1">
        <f t="array" aca="1" ref="BC13" ca="1">IF(TblConstr[[#This Row],[Hour]:[Hour]]&gt;12,OFFSET(TblConstr[[#This Row],[Mas]],-12,0),0)+OFFSET(TblConstr[[#This Row],[Tot Mas]],-1,0)-TblConstr[[#This Row],[Dest Mas]]</f>
        <v>0</v>
      </c>
      <c r="BD13" s="190" cm="1">
        <f t="array" aca="1" ref="BD13" ca="1">IF(TblConstr[[#This Row],[Hour]:[Hour]]&gt;12,OFFSET(TblConstr[[#This Row],[Ly]],-12,0),0)+OFFSET(TblConstr[[#This Row],[Tot Ly]],-1,0)-TblConstr[[#This Row],[Dest Ly]]</f>
        <v>20</v>
      </c>
      <c r="BE13" s="190" cm="1">
        <f t="array" aca="1" ref="BE13" ca="1">IF(TblConstr[[#This Row],[Hour]:[Hour]]&gt;12,OFFSET(TblConstr[[#This Row],[Hav]],-12,0),0)+OFFSET(TblConstr[[#This Row],[Tot Hav]],-1,0)-TblConstr[[#This Row],[Dest Hav]]</f>
        <v>0</v>
      </c>
      <c r="BF13" s="361" cm="1">
        <f t="array" aca="1" ref="BF13" ca="1">IF(TblConstr[[#This Row],[Hour]:[Hour]]&gt;12,OFFSET(TblConstr[[#This Row],[OM]],-12,0),0)+OFFSET(TblConstr[[#This Row],[Tot OM]],-1,0)-TblConstr[[#This Row],[Dest OM]]</f>
        <v>0</v>
      </c>
      <c r="BG13" s="361" cm="1">
        <f t="array" aca="1" ref="BG13" ca="1">IF(TblConstr[[#This Row],[Hour]:[Hour]]&gt;12,OFFSET(TblConstr[[#This Row],[GN]],-12,0),0)+OFFSET(TblConstr[[#This Row],[Tot GN]],-1,0)-TblConstr[[#This Row],[Dest GN]]</f>
        <v>0</v>
      </c>
      <c r="BH13" s="365" cm="1">
        <f t="array" aca="1" ref="BH13" ca="1">IF(TblConstr[[#This Row],[Hour]:[Hour]]&gt;12,OFFSET(TblConstr[[#This Row],[Fac]],-12,0),0)+OFFSET(TblConstr[[#This Row],[Tot Fac]],-1,0)-TblConstr[[#This Row],[Dest Fac]]</f>
        <v>0</v>
      </c>
      <c r="BI13" s="365" cm="1">
        <f t="array" aca="1" ref="BI13" ca="1">IF(TblConstr[[#This Row],[Hour]:[Hour]]&gt;12,OFFSET(TblConstr[[#This Row],[GT]],-12,0),0)+OFFSET(TblConstr[[#This Row],[Tot GT]],-1,0)-TblConstr[[#This Row],[Dest GT]]</f>
        <v>0</v>
      </c>
      <c r="BJ13" s="365" cm="1">
        <f t="array" aca="1" ref="BJ13" ca="1">IF(TblConstr[[#This Row],[Hour]:[Hour]]&gt;12,OFFSET(TblConstr[[#This Row],[Bar]],-12,0),0)+OFFSET(TblConstr[[#This Row],[Tot Bar]],-1,0)-TblConstr[[#This Row],[Dest Bar]]</f>
        <v>0</v>
      </c>
      <c r="BK13" s="365" cm="1">
        <f t="array" aca="1" ref="BK13" ca="1">IF(TblConstr[[#This Row],[Hour]:[Hour]]&gt;12,OFFSET(TblConstr[[#This Row],[Shr]],-12,0),0)+OFFSET(TblConstr[[#This Row],[Tot Shr]],-1,0)-TblConstr[[#This Row],[Dest Shr]]</f>
        <v>0</v>
      </c>
      <c r="BL13" s="369" cm="1">
        <f t="array" aca="1" ref="BL13" ca="1">IF(TblConstr[[#This Row],[Hour]:[Hour]]&gt;12,OFFSET(TblConstr[[#This Row],[Tow]],-12,0),0)+OFFSET(TblConstr[[#This Row],[Tot Tow]],-1,0)-TblConstr[[#This Row],[Dest Tow]]</f>
        <v>0</v>
      </c>
      <c r="BM13" s="369" cm="1">
        <f t="array" aca="1" ref="BM13" ca="1">IF(TblConstr[[#This Row],[Hour]:[Hour]]&gt;12,OFFSET(TblConstr[[#This Row],[Tem]],-12,0),0)+OFFSET(TblConstr[[#This Row],[Tot Tem]],-1,0)-TblConstr[[#This Row],[Dest Tem]]</f>
        <v>0</v>
      </c>
      <c r="BN13" s="369" cm="1">
        <f t="array" aca="1" ref="BN13" ca="1">IF(TblConstr[[#This Row],[Hour]:[Hour]]&gt;12,OFFSET(TblConstr[[#This Row],[WG]],-12,0),0)+OFFSET(TblConstr[[#This Row],[Tot WG]],-1,0)-TblConstr[[#This Row],[Dest WG]]</f>
        <v>0</v>
      </c>
      <c r="BO13" s="191" cm="1">
        <f t="array" aca="1" ref="BO13" ca="1">IF(TblConstr[[#This Row],[Hour]:[Hour]]&gt;12,OFFSET(TblConstr[[#This Row],[DM]],-12,0),0)+OFFSET(TblConstr[[#This Row],[Tot DM]],-1,0)-TblConstr[[#This Row],[Dest DM]]</f>
        <v>0</v>
      </c>
      <c r="BP13" s="191" cm="1">
        <f t="array" aca="1" ref="BP13" ca="1">IF(TblConstr[[#This Row],[Hour]:[Hour]]&gt;12,OFFSET(TblConstr[[#This Row],[Sch]],-12,0),0)+OFFSET(TblConstr[[#This Row],[Tot Sch]],-1,0)-TblConstr[[#This Row],[Dest Sch]]</f>
        <v>0</v>
      </c>
      <c r="BQ13" s="192" cm="1">
        <f t="array" aca="1" ref="BQ13" ca="1">IF(TblConstr[[#This Row],[Hour]:[Hour]]&gt;12,OFFSET(TblConstr[[#This Row],[Doc]],-12,0),0)+OFFSET(TblConstr[[#This Row],[Tot Doc]],-1,0)-TblConstr[[#This Row],[Dest Doc]]</f>
        <v>0</v>
      </c>
      <c r="BR13" s="142"/>
      <c r="BS13" s="154"/>
      <c r="BT13" s="94">
        <f ca="1">TblConstr[[#This Row],[Land]]</f>
        <v>50</v>
      </c>
      <c r="BU13" s="159">
        <f ca="1">TblImps[[#This Row],[Time]]</f>
        <v>46320.374999999978</v>
      </c>
      <c r="BV13" s="142"/>
      <c r="BW13" s="179"/>
      <c r="BX13" s="179"/>
      <c r="BY13" s="179"/>
      <c r="BZ13" s="179"/>
      <c r="CA13" s="179"/>
      <c r="CB13" s="179"/>
      <c r="CC13" s="179"/>
      <c r="CD13" s="179"/>
      <c r="CE13" s="179"/>
      <c r="CF13" s="179"/>
      <c r="CG13" s="179"/>
      <c r="CH13" s="179"/>
      <c r="CI13" s="179"/>
      <c r="CJ13" s="179"/>
      <c r="CK13" s="179"/>
      <c r="CL13" s="179"/>
      <c r="CM13" s="179"/>
      <c r="CN13" s="179"/>
      <c r="CO13" s="179"/>
      <c r="CP13" s="142"/>
      <c r="CQ13" s="181">
        <f ca="1">-SUM(TblConstr[[#This Row],[Alc]:[Mas]])+SUM(TblConstr[[#This Row],[Dest Alc]:[Dest Mas]])+Rezone!L13+IF("Ch_"&amp; home_land=TblConstr[[#Headers],[Ch_Plain]],TblConstr[[#This Row],[Home Land]])+IF(TblConstr[[#This Row],[Hour]:[Hour]]&gt;12,OFFSET(TblExplore[[#This Row],[Plains Explore]],-12,0),0)</f>
        <v>0</v>
      </c>
      <c r="CR13" s="182">
        <f ca="1">-SUM(TblConstr[[#This Row],[Ly]:[Hav]])+SUM(TblConstr[[#This Row],[Dest Ly]:[Dest Hav]]) +Rezone!M13 + IF("Ch_"&amp; home_land=TblConstr[[#Headers],[Ch_Forest]],TblConstr[[#This Row],[Home Land]])+IF(TblConstr[[#This Row],[Hour]:[Hour]]&gt;12,OFFSET(TblExplore[[#This Row],[Forest Explore]],-12,0),0)</f>
        <v>0</v>
      </c>
      <c r="CS13" s="359">
        <f ca="1">-SUM(TblConstr[[#This Row],[OM]:[GN]])+SUM(TblConstr[[#This Row],[Dest OM]:[Dest GN]]) +Rezone!N13 + IF("Ch_"&amp; home_land=TblConstr[[#Headers],[Ch_Mountain]],TblConstr[[#This Row],[Home Land]])+IF(TblConstr[[#This Row],[Hour]:[Hour]]&gt;12,OFFSET(TblExplore[[#This Row],[Mountain Explore]],-12,0),0)</f>
        <v>0</v>
      </c>
      <c r="CT13" s="183">
        <f ca="1">-SUM(TblConstr[[#This Row],[Fac]:[Shr]])+SUM(TblConstr[[#This Row],[Dest Fac]:[Dest Shr]]) +Rezone!O13 + IF("Ch_" &amp; home_land=TblConstr[[#Headers],[Ch_Hill]],TblConstr[[#This Row],[Home Land]])+IF(TblConstr[[#This Row],[Hour]:[Hour]]&gt;12,OFFSET(TblExplore[[#This Row],[Hill Explore]],-12,0),0)</f>
        <v>0</v>
      </c>
      <c r="CU13" s="184">
        <f ca="1">-SUM(TblConstr[[#This Row],[Tow]:[WG]])+SUM(TblConstr[[#This Row],[Dest Tow]:[Dest WG]]) +Rezone!P13 + IF("Ch_" &amp; home_land=TblConstr[[#Headers],[Ch_Swamp]],TblConstr[[#This Row],[Home Land]])+IF(TblConstr[[#This Row],[Hour]:[Hour]]&gt;12,OFFSET(TblExplore[[#This Row],[Swamp Explore]],-12,0),0)</f>
        <v>0</v>
      </c>
      <c r="CV13" s="185">
        <f ca="1" xml:space="preserve"> - SUM(TblConstr[[#This Row],[DM]:[Sch]])+SUM(TblConstr[[#This Row],[Dest DM]:[Dest Sch]]) +Rezone!Q13 + IF("Ch_" &amp; home_land=TblConstr[[#Headers],[Ch_Cavern]],TblConstr[[#This Row],[Home Land]])+IF(TblConstr[[#This Row],[Hour]:[Hour]]&gt;12,OFFSET(TblExplore[[#This Row],[Cavern Explore]],-12,0),0)</f>
        <v>0</v>
      </c>
      <c r="CW13" s="186">
        <f ca="1">-TblConstr[[#This Row],[Doc]]+TblConstr[[#This Row],[Dest Doc]] +Rezone!R13 + IF("Ch_" &amp; home_land=TblConstr[[#Headers],[Ch_Water]],TblConstr[[#This Row],[Home Land]])+IF(TblConstr[[#This Row],[Hour]:[Hour]]&gt;12,OFFSET(TblExplore[[#This Row],[Water Explore]],-12,0),0)</f>
        <v>0</v>
      </c>
      <c r="CX13" s="45">
        <f>IF(Explore!S13=1,20) - TblConstr[[#This Row],[Hom]] + TblConstr[[#This Row],[Dest Hom]]</f>
        <v>0</v>
      </c>
      <c r="CY13" s="142"/>
      <c r="CZ13" s="94">
        <f ca="1">G13+SUM(P$4:S13)+SUM(AZ13:BC13)</f>
        <v>30</v>
      </c>
      <c r="DA13" s="94">
        <f ca="1">H13+SUM(T$4:U13)+SUM(BD13:BE13)</f>
        <v>20</v>
      </c>
      <c r="DB13" s="45">
        <f ca="1">I13+SUM(V$4:W13)+SUM(BF13:BG13)</f>
        <v>0</v>
      </c>
      <c r="DC13" s="94">
        <f ca="1">J13+SUM(X$4:Y13)+SUM(BH13:BI13)</f>
        <v>0</v>
      </c>
      <c r="DD13" s="94">
        <f ca="1">K13+SUM(AB$4:AD13)+SUM(BL13:BN13)</f>
        <v>0</v>
      </c>
      <c r="DE13" s="45">
        <f ca="1">L13+SUM(AE$4:AE13)+BO13</f>
        <v>0</v>
      </c>
      <c r="DF13" s="94">
        <f ca="1">M13+SUM(AG$4:AG13)+BQ13</f>
        <v>0</v>
      </c>
      <c r="DG13" s="94" cm="1">
        <f t="array" aca="1" ref="DG13" ca="1">INDEX(TblConstr[[Total Plain]:[Total Water]],ROW()-ROW(TblConstr[#Headers]),MATCH("Total "&amp;home_land,TblConstr[[#Headers],[Total Plain]:[Total Water]],0))+TblConstr[[#This Row],[Homes]]</f>
        <v>30</v>
      </c>
      <c r="DH13" s="45">
        <f ca="1">SUM(O$4:O13)+AY13</f>
        <v>0</v>
      </c>
      <c r="DI13" s="45">
        <f t="shared" ca="1" si="0"/>
        <v>0</v>
      </c>
      <c r="DJ13" s="45">
        <f t="shared" ca="1" si="1"/>
        <v>0</v>
      </c>
    </row>
    <row r="14" spans="1:114" x14ac:dyDescent="0.2">
      <c r="A14" s="175">
        <f>TblRezone[[#This Row],[Hour]]</f>
        <v>11</v>
      </c>
      <c r="B14" s="176">
        <f ca="1">SUM(TblConstr[[#This Row],[Plain]:[Water]])</f>
        <v>0</v>
      </c>
      <c r="C14" s="177">
        <f ca="1">SUM(TblConstr[[#This Row],[Tot Hom]:[Tot Doc]])</f>
        <v>50</v>
      </c>
      <c r="D14" s="177">
        <f>SUM(O$4:AG14)</f>
        <v>0</v>
      </c>
      <c r="E14" s="178"/>
      <c r="F14" s="61">
        <f ca="1">TblConstr[[#This Row],[Barren]]+TblConstr[[#This Row],[Buildings]]+TblConstr[[#This Row],[Incoming]]</f>
        <v>50</v>
      </c>
      <c r="G14" s="187">
        <f ca="1">OFFSET(TblConstr[[#This Row],[Plain]],-1,0)+TblConstr[[#This Row],[Ch_Plain]]</f>
        <v>0</v>
      </c>
      <c r="H14" s="182">
        <f ca="1">OFFSET(TblConstr[[#This Row],[Forest]],-1,0)+TblConstr[[#This Row],[Ch_Forest]]</f>
        <v>0</v>
      </c>
      <c r="I14" s="359">
        <f ca="1">OFFSET(TblConstr[[#This Row],[Mountain]],-1,0)+TblConstr[[#This Row],[Ch_Mountain]]</f>
        <v>0</v>
      </c>
      <c r="J14" s="363">
        <f ca="1">OFFSET(TblConstr[[#This Row],[Hill]],-1,0)+TblConstr[[#This Row],[Ch_Hill]]</f>
        <v>0</v>
      </c>
      <c r="K14" s="367">
        <f ca="1">OFFSET(TblConstr[[#This Row],[Swamp]],-1,0)+TblConstr[[#This Row],[Ch_Swamp]]</f>
        <v>0</v>
      </c>
      <c r="L14" s="185">
        <f ca="1">OFFSET(TblConstr[[#This Row],[Cavern]],-1,0)+TblConstr[[#This Row],[Ch_Cavern]]</f>
        <v>0</v>
      </c>
      <c r="M14" s="186">
        <f ca="1">OFFSET(TblConstr[[#This Row],[Water]],-1,0)+TblConstr[[#This Row],[Ch_Water]]</f>
        <v>0</v>
      </c>
      <c r="N14" s="357">
        <f>TblRezone[[#This Row],[Hour]]</f>
        <v>11</v>
      </c>
      <c r="O14" s="179"/>
      <c r="P14" s="179"/>
      <c r="Q14" s="179"/>
      <c r="R14" s="158"/>
      <c r="S14" s="179"/>
      <c r="T14" s="179"/>
      <c r="U14" s="179"/>
      <c r="V14" s="179"/>
      <c r="W14" s="179"/>
      <c r="X14" s="179"/>
      <c r="Y14" s="179"/>
      <c r="Z14" s="179"/>
      <c r="AA14" s="179"/>
      <c r="AB14" s="179"/>
      <c r="AC14" s="179"/>
      <c r="AD14" s="179"/>
      <c r="AE14" s="179"/>
      <c r="AF14" s="179"/>
      <c r="AG14" s="179"/>
      <c r="AH14" s="53">
        <f ca="1">TblImps[[#This Row],[Time]]</f>
        <v>46320.416666666642</v>
      </c>
      <c r="AI14" s="180">
        <f ca="1">MIN(25%,(TblConstr[[#This Row],[Tot Fac]]+TblConstr[[#This Row],[Dest Fac]])/(TblConstr[[#This Row],[Land]]-TblExplore[[#This Row],[Land Bonus]]*20))</f>
        <v>0</v>
      </c>
      <c r="AJ14" s="180">
        <f ca="1">MIN(25%,(TblConstr[[#This Row],[Tot Fac]]+TblConstr[[#This Row],[Dest Fac]])/TblConstr[[#This Row],[Land]])</f>
        <v>0</v>
      </c>
      <c r="AK14" s="94">
        <f ca="1">TblProd[[#This Row],[Platinum]]</f>
        <v>132091</v>
      </c>
      <c r="AL14" s="94">
        <f ca="1">TblProd[[#This Row],[Lumber]]</f>
        <v>23127</v>
      </c>
      <c r="AM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4" s="94">
        <f ca="1">ROUNDDOWN( MAX(1 - MIN(facs_constr_factor*TblConstr[[#This Row],[Facs -DB]],facs_constr_max) + tech_1_11*TblTech[[#This Row],[11-1]] + tech_6_3_2*TblTech[[#This Row],[6-3]] + tech_5_2_3*TblTech[[#This Row],[5-2]], 1-global_constr_cap) * TblConstr[[#This Row],[RCPA Lumber]],0)</f>
        <v>31</v>
      </c>
      <c r="AO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4" s="94">
        <f ca="1">ROUNDDOWN( MAX(1 - MIN(facs_constr_factor*TblConstr[[#This Row],[Facs DB]],facs_constr_max) + tech_1_11*TblTech[[#This Row],[1-11]] + tech_6_3_2*TblTech[[#This Row],[6-3]] + tech_5_2_3*TblTech[[#This Row],[5-2]], 1-global_constr_cap) * ROUND((TblConstr[[#This Row],[Land]]-250)*0.285 + 87.5 + 0/4.25,0),0)</f>
        <v>31</v>
      </c>
      <c r="AQ14" s="45">
        <f ca="1">TblConstr[[#This Row],[build -db]]*TblConstr[[#This Row],[CPA Platinum -DB]] + TblConstr[[#This Row],[build db]]*TblConstr[[#This Row],[CPA Platinum DB]]</f>
        <v>0</v>
      </c>
      <c r="AR14" s="45">
        <f ca="1">TblConstr[[#This Row],[build -db]]*TblConstr[[#This Row],[CPA Lumber -DB]] + TblConstr[[#This Row],[build db]]*TblConstr[[#This Row],[CPA Lumber DB]]</f>
        <v>0</v>
      </c>
      <c r="AS14" s="94">
        <f ca="1">MIN(SUM(OFFSET(TblConstr[[#This Row],[Plain]:[Water]],-1,0))+SUM(TblConstr[[#This Row],[Dest Hom]:[Dest Doc]])+IF(TblConstr[[#This Row],[Hour]]&gt;12,SUM(OFFSET(TblExplore[[#This Row],[Plains Explore]:[Water Explore]],-12,0)),0),SUM(TblConstr[[#This Row],[Hom]:[Doc]]))</f>
        <v>0</v>
      </c>
      <c r="AT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42"/>
      <c r="AV14" s="94">
        <f ca="1">ROUND((TblConstr[[#This Row],[Land]]-250 - IF(TblExplore[[#This Row],[Land Bonus]]&lt;&gt;0,20,0))*1.25 + 850 + 0,0)</f>
        <v>600</v>
      </c>
      <c r="AW14" s="94">
        <f ca="1">ROUND((TblConstr[[#This Row],[Land]]-250 - IF(TblExplore[[#This Row],[Land Bonus]]&lt;&gt;0,20,0))*0.285 + 87.5 + 0/4.25,0)</f>
        <v>31</v>
      </c>
      <c r="AX14" s="154"/>
      <c r="AY14" s="188" cm="1">
        <f t="array" aca="1" ref="AY14" ca="1">IF(TblConstr[[#This Row],[Hour]:[Hour]]&gt;12,OFFSET(TblConstr[[#This Row],[Hom]],-12,0),0)+OFFSET(TblConstr[[#This Row],[Tot Hom]],-1,0)-TblConstr[[#This Row],[Dest Hom]]</f>
        <v>0</v>
      </c>
      <c r="AZ14" s="189" cm="1">
        <f t="array" aca="1" ref="AZ14" ca="1">IF(TblConstr[[#This Row],[Hour]:[Hour]]&gt;12,OFFSET(TblConstr[[#This Row],[Alc]],-12,0),0)+OFFSET(TblConstr[[#This Row],[Tot Alc]],-1,0)-TblConstr[[#This Row],[Dest Alc]]</f>
        <v>0</v>
      </c>
      <c r="BA14" s="189" cm="1">
        <f t="array" aca="1" ref="BA14" ca="1">IF(TblConstr[[#This Row],[Hour]:[Hour]]&gt;12,OFFSET(TblConstr[[#This Row],[Far]],-12,0),0)+OFFSET(TblConstr[[#This Row],[Tot Farm]],-1,0)-TblConstr[[#This Row],[Dest Farm]]</f>
        <v>30</v>
      </c>
      <c r="BB14" s="189" cm="1">
        <f t="array" aca="1" ref="BB14" ca="1">IF(TblConstr[[#This Row],[Hour]:[Hour]]&gt;12,OFFSET(TblConstr[[#This Row],[Smi]],-12,0),0)+OFFSET(TblConstr[[#This Row],[Tot Smi]],-1,0)-TblConstr[[#This Row],[Dest Smi]]</f>
        <v>0</v>
      </c>
      <c r="BC14" s="189" cm="1">
        <f t="array" aca="1" ref="BC14" ca="1">IF(TblConstr[[#This Row],[Hour]:[Hour]]&gt;12,OFFSET(TblConstr[[#This Row],[Mas]],-12,0),0)+OFFSET(TblConstr[[#This Row],[Tot Mas]],-1,0)-TblConstr[[#This Row],[Dest Mas]]</f>
        <v>0</v>
      </c>
      <c r="BD14" s="190" cm="1">
        <f t="array" aca="1" ref="BD14" ca="1">IF(TblConstr[[#This Row],[Hour]:[Hour]]&gt;12,OFFSET(TblConstr[[#This Row],[Ly]],-12,0),0)+OFFSET(TblConstr[[#This Row],[Tot Ly]],-1,0)-TblConstr[[#This Row],[Dest Ly]]</f>
        <v>20</v>
      </c>
      <c r="BE14" s="190" cm="1">
        <f t="array" aca="1" ref="BE14" ca="1">IF(TblConstr[[#This Row],[Hour]:[Hour]]&gt;12,OFFSET(TblConstr[[#This Row],[Hav]],-12,0),0)+OFFSET(TblConstr[[#This Row],[Tot Hav]],-1,0)-TblConstr[[#This Row],[Dest Hav]]</f>
        <v>0</v>
      </c>
      <c r="BF14" s="361" cm="1">
        <f t="array" aca="1" ref="BF14" ca="1">IF(TblConstr[[#This Row],[Hour]:[Hour]]&gt;12,OFFSET(TblConstr[[#This Row],[OM]],-12,0),0)+OFFSET(TblConstr[[#This Row],[Tot OM]],-1,0)-TblConstr[[#This Row],[Dest OM]]</f>
        <v>0</v>
      </c>
      <c r="BG14" s="361" cm="1">
        <f t="array" aca="1" ref="BG14" ca="1">IF(TblConstr[[#This Row],[Hour]:[Hour]]&gt;12,OFFSET(TblConstr[[#This Row],[GN]],-12,0),0)+OFFSET(TblConstr[[#This Row],[Tot GN]],-1,0)-TblConstr[[#This Row],[Dest GN]]</f>
        <v>0</v>
      </c>
      <c r="BH14" s="365" cm="1">
        <f t="array" aca="1" ref="BH14" ca="1">IF(TblConstr[[#This Row],[Hour]:[Hour]]&gt;12,OFFSET(TblConstr[[#This Row],[Fac]],-12,0),0)+OFFSET(TblConstr[[#This Row],[Tot Fac]],-1,0)-TblConstr[[#This Row],[Dest Fac]]</f>
        <v>0</v>
      </c>
      <c r="BI14" s="365" cm="1">
        <f t="array" aca="1" ref="BI14" ca="1">IF(TblConstr[[#This Row],[Hour]:[Hour]]&gt;12,OFFSET(TblConstr[[#This Row],[GT]],-12,0),0)+OFFSET(TblConstr[[#This Row],[Tot GT]],-1,0)-TblConstr[[#This Row],[Dest GT]]</f>
        <v>0</v>
      </c>
      <c r="BJ14" s="365" cm="1">
        <f t="array" aca="1" ref="BJ14" ca="1">IF(TblConstr[[#This Row],[Hour]:[Hour]]&gt;12,OFFSET(TblConstr[[#This Row],[Bar]],-12,0),0)+OFFSET(TblConstr[[#This Row],[Tot Bar]],-1,0)-TblConstr[[#This Row],[Dest Bar]]</f>
        <v>0</v>
      </c>
      <c r="BK14" s="365" cm="1">
        <f t="array" aca="1" ref="BK14" ca="1">IF(TblConstr[[#This Row],[Hour]:[Hour]]&gt;12,OFFSET(TblConstr[[#This Row],[Shr]],-12,0),0)+OFFSET(TblConstr[[#This Row],[Tot Shr]],-1,0)-TblConstr[[#This Row],[Dest Shr]]</f>
        <v>0</v>
      </c>
      <c r="BL14" s="369" cm="1">
        <f t="array" aca="1" ref="BL14" ca="1">IF(TblConstr[[#This Row],[Hour]:[Hour]]&gt;12,OFFSET(TblConstr[[#This Row],[Tow]],-12,0),0)+OFFSET(TblConstr[[#This Row],[Tot Tow]],-1,0)-TblConstr[[#This Row],[Dest Tow]]</f>
        <v>0</v>
      </c>
      <c r="BM14" s="369" cm="1">
        <f t="array" aca="1" ref="BM14" ca="1">IF(TblConstr[[#This Row],[Hour]:[Hour]]&gt;12,OFFSET(TblConstr[[#This Row],[Tem]],-12,0),0)+OFFSET(TblConstr[[#This Row],[Tot Tem]],-1,0)-TblConstr[[#This Row],[Dest Tem]]</f>
        <v>0</v>
      </c>
      <c r="BN14" s="369" cm="1">
        <f t="array" aca="1" ref="BN14" ca="1">IF(TblConstr[[#This Row],[Hour]:[Hour]]&gt;12,OFFSET(TblConstr[[#This Row],[WG]],-12,0),0)+OFFSET(TblConstr[[#This Row],[Tot WG]],-1,0)-TblConstr[[#This Row],[Dest WG]]</f>
        <v>0</v>
      </c>
      <c r="BO14" s="191" cm="1">
        <f t="array" aca="1" ref="BO14" ca="1">IF(TblConstr[[#This Row],[Hour]:[Hour]]&gt;12,OFFSET(TblConstr[[#This Row],[DM]],-12,0),0)+OFFSET(TblConstr[[#This Row],[Tot DM]],-1,0)-TblConstr[[#This Row],[Dest DM]]</f>
        <v>0</v>
      </c>
      <c r="BP14" s="191" cm="1">
        <f t="array" aca="1" ref="BP14" ca="1">IF(TblConstr[[#This Row],[Hour]:[Hour]]&gt;12,OFFSET(TblConstr[[#This Row],[Sch]],-12,0),0)+OFFSET(TblConstr[[#This Row],[Tot Sch]],-1,0)-TblConstr[[#This Row],[Dest Sch]]</f>
        <v>0</v>
      </c>
      <c r="BQ14" s="192" cm="1">
        <f t="array" aca="1" ref="BQ14" ca="1">IF(TblConstr[[#This Row],[Hour]:[Hour]]&gt;12,OFFSET(TblConstr[[#This Row],[Doc]],-12,0),0)+OFFSET(TblConstr[[#This Row],[Tot Doc]],-1,0)-TblConstr[[#This Row],[Dest Doc]]</f>
        <v>0</v>
      </c>
      <c r="BR14" s="142"/>
      <c r="BS14" s="154"/>
      <c r="BT14" s="94">
        <f ca="1">TblConstr[[#This Row],[Land]]</f>
        <v>50</v>
      </c>
      <c r="BU14" s="159">
        <f ca="1">TblImps[[#This Row],[Time]]</f>
        <v>46320.416666666642</v>
      </c>
      <c r="BV14" s="142"/>
      <c r="BW14" s="179"/>
      <c r="BX14" s="179"/>
      <c r="BY14" s="179"/>
      <c r="BZ14" s="179"/>
      <c r="CA14" s="179"/>
      <c r="CB14" s="179"/>
      <c r="CC14" s="179"/>
      <c r="CD14" s="179"/>
      <c r="CE14" s="179"/>
      <c r="CF14" s="179"/>
      <c r="CG14" s="179"/>
      <c r="CH14" s="179"/>
      <c r="CI14" s="179"/>
      <c r="CJ14" s="179"/>
      <c r="CK14" s="179"/>
      <c r="CL14" s="179"/>
      <c r="CM14" s="179"/>
      <c r="CN14" s="179"/>
      <c r="CO14" s="179"/>
      <c r="CP14" s="142"/>
      <c r="CQ14" s="181">
        <f ca="1">-SUM(TblConstr[[#This Row],[Alc]:[Mas]])+SUM(TblConstr[[#This Row],[Dest Alc]:[Dest Mas]])+Rezone!L14+IF("Ch_"&amp; home_land=TblConstr[[#Headers],[Ch_Plain]],TblConstr[[#This Row],[Home Land]])+IF(TblConstr[[#This Row],[Hour]:[Hour]]&gt;12,OFFSET(TblExplore[[#This Row],[Plains Explore]],-12,0),0)</f>
        <v>0</v>
      </c>
      <c r="CR14" s="182">
        <f ca="1">-SUM(TblConstr[[#This Row],[Ly]:[Hav]])+SUM(TblConstr[[#This Row],[Dest Ly]:[Dest Hav]]) +Rezone!M14 + IF("Ch_"&amp; home_land=TblConstr[[#Headers],[Ch_Forest]],TblConstr[[#This Row],[Home Land]])+IF(TblConstr[[#This Row],[Hour]:[Hour]]&gt;12,OFFSET(TblExplore[[#This Row],[Forest Explore]],-12,0),0)</f>
        <v>0</v>
      </c>
      <c r="CS14" s="359">
        <f ca="1">-SUM(TblConstr[[#This Row],[OM]:[GN]])+SUM(TblConstr[[#This Row],[Dest OM]:[Dest GN]]) +Rezone!N14 + IF("Ch_"&amp; home_land=TblConstr[[#Headers],[Ch_Mountain]],TblConstr[[#This Row],[Home Land]])+IF(TblConstr[[#This Row],[Hour]:[Hour]]&gt;12,OFFSET(TblExplore[[#This Row],[Mountain Explore]],-12,0),0)</f>
        <v>0</v>
      </c>
      <c r="CT14" s="183">
        <f ca="1">-SUM(TblConstr[[#This Row],[Fac]:[Shr]])+SUM(TblConstr[[#This Row],[Dest Fac]:[Dest Shr]]) +Rezone!O14 + IF("Ch_" &amp; home_land=TblConstr[[#Headers],[Ch_Hill]],TblConstr[[#This Row],[Home Land]])+IF(TblConstr[[#This Row],[Hour]:[Hour]]&gt;12,OFFSET(TblExplore[[#This Row],[Hill Explore]],-12,0),0)</f>
        <v>0</v>
      </c>
      <c r="CU14" s="184">
        <f ca="1">-SUM(TblConstr[[#This Row],[Tow]:[WG]])+SUM(TblConstr[[#This Row],[Dest Tow]:[Dest WG]]) +Rezone!P14 + IF("Ch_" &amp; home_land=TblConstr[[#Headers],[Ch_Swamp]],TblConstr[[#This Row],[Home Land]])+IF(TblConstr[[#This Row],[Hour]:[Hour]]&gt;12,OFFSET(TblExplore[[#This Row],[Swamp Explore]],-12,0),0)</f>
        <v>0</v>
      </c>
      <c r="CV14" s="185">
        <f ca="1" xml:space="preserve"> - SUM(TblConstr[[#This Row],[DM]:[Sch]])+SUM(TblConstr[[#This Row],[Dest DM]:[Dest Sch]]) +Rezone!Q14 + IF("Ch_" &amp; home_land=TblConstr[[#Headers],[Ch_Cavern]],TblConstr[[#This Row],[Home Land]])+IF(TblConstr[[#This Row],[Hour]:[Hour]]&gt;12,OFFSET(TblExplore[[#This Row],[Cavern Explore]],-12,0),0)</f>
        <v>0</v>
      </c>
      <c r="CW14" s="186">
        <f ca="1">-TblConstr[[#This Row],[Doc]]+TblConstr[[#This Row],[Dest Doc]] +Rezone!R14 + IF("Ch_" &amp; home_land=TblConstr[[#Headers],[Ch_Water]],TblConstr[[#This Row],[Home Land]])+IF(TblConstr[[#This Row],[Hour]:[Hour]]&gt;12,OFFSET(TblExplore[[#This Row],[Water Explore]],-12,0),0)</f>
        <v>0</v>
      </c>
      <c r="CX14" s="45">
        <f>IF(Explore!S14=1,20) - TblConstr[[#This Row],[Hom]] + TblConstr[[#This Row],[Dest Hom]]</f>
        <v>0</v>
      </c>
      <c r="CY14" s="142"/>
      <c r="CZ14" s="94">
        <f ca="1">G14+SUM(P$4:S14)+SUM(AZ14:BC14)</f>
        <v>30</v>
      </c>
      <c r="DA14" s="94">
        <f ca="1">H14+SUM(T$4:U14)+SUM(BD14:BE14)</f>
        <v>20</v>
      </c>
      <c r="DB14" s="45">
        <f ca="1">I14+SUM(V$4:W14)+SUM(BF14:BG14)</f>
        <v>0</v>
      </c>
      <c r="DC14" s="94">
        <f ca="1">J14+SUM(X$4:Y14)+SUM(BH14:BI14)</f>
        <v>0</v>
      </c>
      <c r="DD14" s="94">
        <f ca="1">K14+SUM(AB$4:AD14)+SUM(BL14:BN14)</f>
        <v>0</v>
      </c>
      <c r="DE14" s="45">
        <f ca="1">L14+SUM(AE$4:AE14)+BO14</f>
        <v>0</v>
      </c>
      <c r="DF14" s="94">
        <f ca="1">M14+SUM(AG$4:AG14)+BQ14</f>
        <v>0</v>
      </c>
      <c r="DG14" s="94" cm="1">
        <f t="array" aca="1" ref="DG14" ca="1">INDEX(TblConstr[[Total Plain]:[Total Water]],ROW()-ROW(TblConstr[#Headers]),MATCH("Total "&amp;home_land,TblConstr[[#Headers],[Total Plain]:[Total Water]],0))+TblConstr[[#This Row],[Homes]]</f>
        <v>30</v>
      </c>
      <c r="DH14" s="45">
        <f ca="1">SUM(O$4:O14)+AY14</f>
        <v>0</v>
      </c>
      <c r="DI14" s="45">
        <f t="shared" ca="1" si="0"/>
        <v>0</v>
      </c>
      <c r="DJ14" s="45">
        <f t="shared" ca="1" si="1"/>
        <v>0</v>
      </c>
    </row>
    <row r="15" spans="1:114" x14ac:dyDescent="0.2">
      <c r="A15" s="175">
        <f>TblRezone[[#This Row],[Hour]]</f>
        <v>12</v>
      </c>
      <c r="B15" s="176">
        <f ca="1">SUM(TblConstr[[#This Row],[Plain]:[Water]])</f>
        <v>0</v>
      </c>
      <c r="C15" s="177">
        <f ca="1">SUM(TblConstr[[#This Row],[Tot Hom]:[Tot Doc]])</f>
        <v>50</v>
      </c>
      <c r="D15" s="177">
        <f>SUM(O$4:AG15)</f>
        <v>0</v>
      </c>
      <c r="E15" s="178"/>
      <c r="F15" s="61">
        <f ca="1">TblConstr[[#This Row],[Barren]]+TblConstr[[#This Row],[Buildings]]+TblConstr[[#This Row],[Incoming]]</f>
        <v>50</v>
      </c>
      <c r="G15" s="187">
        <f ca="1">OFFSET(TblConstr[[#This Row],[Plain]],-1,0)+TblConstr[[#This Row],[Ch_Plain]]</f>
        <v>0</v>
      </c>
      <c r="H15" s="182">
        <f ca="1">OFFSET(TblConstr[[#This Row],[Forest]],-1,0)+TblConstr[[#This Row],[Ch_Forest]]</f>
        <v>0</v>
      </c>
      <c r="I15" s="359">
        <f ca="1">OFFSET(TblConstr[[#This Row],[Mountain]],-1,0)+TblConstr[[#This Row],[Ch_Mountain]]</f>
        <v>0</v>
      </c>
      <c r="J15" s="363">
        <f ca="1">OFFSET(TblConstr[[#This Row],[Hill]],-1,0)+TblConstr[[#This Row],[Ch_Hill]]</f>
        <v>0</v>
      </c>
      <c r="K15" s="367">
        <f ca="1">OFFSET(TblConstr[[#This Row],[Swamp]],-1,0)+TblConstr[[#This Row],[Ch_Swamp]]</f>
        <v>0</v>
      </c>
      <c r="L15" s="185">
        <f ca="1">OFFSET(TblConstr[[#This Row],[Cavern]],-1,0)+TblConstr[[#This Row],[Ch_Cavern]]</f>
        <v>0</v>
      </c>
      <c r="M15" s="186">
        <f ca="1">OFFSET(TblConstr[[#This Row],[Water]],-1,0)+TblConstr[[#This Row],[Ch_Water]]</f>
        <v>0</v>
      </c>
      <c r="N15" s="357">
        <f>TblRezone[[#This Row],[Hour]]</f>
        <v>12</v>
      </c>
      <c r="O15" s="179"/>
      <c r="P15" s="179"/>
      <c r="Q15" s="179"/>
      <c r="R15" s="179"/>
      <c r="S15" s="179"/>
      <c r="T15" s="179"/>
      <c r="U15" s="179"/>
      <c r="V15" s="179"/>
      <c r="W15" s="179"/>
      <c r="X15" s="179"/>
      <c r="Y15" s="179"/>
      <c r="Z15" s="179"/>
      <c r="AA15" s="179"/>
      <c r="AB15" s="179"/>
      <c r="AC15" s="179"/>
      <c r="AD15" s="179"/>
      <c r="AE15" s="179"/>
      <c r="AF15" s="179"/>
      <c r="AG15" s="179"/>
      <c r="AH15" s="53">
        <f ca="1">TblImps[[#This Row],[Time]]</f>
        <v>46320.458333333307</v>
      </c>
      <c r="AI15" s="180">
        <f ca="1">MIN(25%,(TblConstr[[#This Row],[Tot Fac]]+TblConstr[[#This Row],[Dest Fac]])/(TblConstr[[#This Row],[Land]]-TblExplore[[#This Row],[Land Bonus]]*20))</f>
        <v>0</v>
      </c>
      <c r="AJ15" s="180">
        <f ca="1">MIN(25%,(TblConstr[[#This Row],[Tot Fac]]+TblConstr[[#This Row],[Dest Fac]])/TblConstr[[#This Row],[Land]])</f>
        <v>0</v>
      </c>
      <c r="AK15" s="94">
        <f ca="1">TblProd[[#This Row],[Platinum]]</f>
        <v>133238</v>
      </c>
      <c r="AL15" s="94">
        <f ca="1">TblProd[[#This Row],[Lumber]]</f>
        <v>23896</v>
      </c>
      <c r="AM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5" s="94">
        <f ca="1">ROUNDDOWN( MAX(1 - MIN(facs_constr_factor*TblConstr[[#This Row],[Facs -DB]],facs_constr_max) + tech_1_11*TblTech[[#This Row],[11-1]] + tech_6_3_2*TblTech[[#This Row],[6-3]] + tech_5_2_3*TblTech[[#This Row],[5-2]], 1-global_constr_cap) * TblConstr[[#This Row],[RCPA Lumber]],0)</f>
        <v>31</v>
      </c>
      <c r="AO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5" s="94">
        <f ca="1">ROUNDDOWN( MAX(1 - MIN(facs_constr_factor*TblConstr[[#This Row],[Facs DB]],facs_constr_max) + tech_1_11*TblTech[[#This Row],[1-11]] + tech_6_3_2*TblTech[[#This Row],[6-3]] + tech_5_2_3*TblTech[[#This Row],[5-2]], 1-global_constr_cap) * ROUND((TblConstr[[#This Row],[Land]]-250)*0.285 + 87.5 + 0/4.25,0),0)</f>
        <v>31</v>
      </c>
      <c r="AQ15" s="45">
        <f ca="1">TblConstr[[#This Row],[build -db]]*TblConstr[[#This Row],[CPA Platinum -DB]] + TblConstr[[#This Row],[build db]]*TblConstr[[#This Row],[CPA Platinum DB]]</f>
        <v>0</v>
      </c>
      <c r="AR15" s="45">
        <f ca="1">TblConstr[[#This Row],[build -db]]*TblConstr[[#This Row],[CPA Lumber -DB]] + TblConstr[[#This Row],[build db]]*TblConstr[[#This Row],[CPA Lumber DB]]</f>
        <v>0</v>
      </c>
      <c r="AS15" s="94">
        <f ca="1">MIN(SUM(OFFSET(TblConstr[[#This Row],[Plain]:[Water]],-1,0))+SUM(TblConstr[[#This Row],[Dest Hom]:[Dest Doc]])+IF(TblConstr[[#This Row],[Hour]]&gt;12,SUM(OFFSET(TblExplore[[#This Row],[Plains Explore]:[Water Explore]],-12,0)),0),SUM(TblConstr[[#This Row],[Hom]:[Doc]]))</f>
        <v>0</v>
      </c>
      <c r="AT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42"/>
      <c r="AV15" s="94">
        <f ca="1">ROUND((TblConstr[[#This Row],[Land]]-250 - IF(TblExplore[[#This Row],[Land Bonus]]&lt;&gt;0,20,0))*1.25 + 850 + 0,0)</f>
        <v>600</v>
      </c>
      <c r="AW15" s="94">
        <f ca="1">ROUND((TblConstr[[#This Row],[Land]]-250 - IF(TblExplore[[#This Row],[Land Bonus]]&lt;&gt;0,20,0))*0.285 + 87.5 + 0/4.25,0)</f>
        <v>31</v>
      </c>
      <c r="AX15" s="154"/>
      <c r="AY15" s="188" cm="1">
        <f t="array" aca="1" ref="AY15" ca="1">IF(TblConstr[[#This Row],[Hour]:[Hour]]&gt;12,OFFSET(TblConstr[[#This Row],[Hom]],-12,0),0)+OFFSET(TblConstr[[#This Row],[Tot Hom]],-1,0)-TblConstr[[#This Row],[Dest Hom]]</f>
        <v>0</v>
      </c>
      <c r="AZ15" s="189" cm="1">
        <f t="array" aca="1" ref="AZ15" ca="1">IF(TblConstr[[#This Row],[Hour]:[Hour]]&gt;12,OFFSET(TblConstr[[#This Row],[Alc]],-12,0),0)+OFFSET(TblConstr[[#This Row],[Tot Alc]],-1,0)-TblConstr[[#This Row],[Dest Alc]]</f>
        <v>0</v>
      </c>
      <c r="BA15" s="189" cm="1">
        <f t="array" aca="1" ref="BA15" ca="1">IF(TblConstr[[#This Row],[Hour]:[Hour]]&gt;12,OFFSET(TblConstr[[#This Row],[Far]],-12,0),0)+OFFSET(TblConstr[[#This Row],[Tot Farm]],-1,0)-TblConstr[[#This Row],[Dest Farm]]</f>
        <v>30</v>
      </c>
      <c r="BB15" s="189" cm="1">
        <f t="array" aca="1" ref="BB15" ca="1">IF(TblConstr[[#This Row],[Hour]:[Hour]]&gt;12,OFFSET(TblConstr[[#This Row],[Smi]],-12,0),0)+OFFSET(TblConstr[[#This Row],[Tot Smi]],-1,0)-TblConstr[[#This Row],[Dest Smi]]</f>
        <v>0</v>
      </c>
      <c r="BC15" s="189" cm="1">
        <f t="array" aca="1" ref="BC15" ca="1">IF(TblConstr[[#This Row],[Hour]:[Hour]]&gt;12,OFFSET(TblConstr[[#This Row],[Mas]],-12,0),0)+OFFSET(TblConstr[[#This Row],[Tot Mas]],-1,0)-TblConstr[[#This Row],[Dest Mas]]</f>
        <v>0</v>
      </c>
      <c r="BD15" s="190" cm="1">
        <f t="array" aca="1" ref="BD15" ca="1">IF(TblConstr[[#This Row],[Hour]:[Hour]]&gt;12,OFFSET(TblConstr[[#This Row],[Ly]],-12,0),0)+OFFSET(TblConstr[[#This Row],[Tot Ly]],-1,0)-TblConstr[[#This Row],[Dest Ly]]</f>
        <v>20</v>
      </c>
      <c r="BE15" s="190" cm="1">
        <f t="array" aca="1" ref="BE15" ca="1">IF(TblConstr[[#This Row],[Hour]:[Hour]]&gt;12,OFFSET(TblConstr[[#This Row],[Hav]],-12,0),0)+OFFSET(TblConstr[[#This Row],[Tot Hav]],-1,0)-TblConstr[[#This Row],[Dest Hav]]</f>
        <v>0</v>
      </c>
      <c r="BF15" s="361" cm="1">
        <f t="array" aca="1" ref="BF15" ca="1">IF(TblConstr[[#This Row],[Hour]:[Hour]]&gt;12,OFFSET(TblConstr[[#This Row],[OM]],-12,0),0)+OFFSET(TblConstr[[#This Row],[Tot OM]],-1,0)-TblConstr[[#This Row],[Dest OM]]</f>
        <v>0</v>
      </c>
      <c r="BG15" s="361" cm="1">
        <f t="array" aca="1" ref="BG15" ca="1">IF(TblConstr[[#This Row],[Hour]:[Hour]]&gt;12,OFFSET(TblConstr[[#This Row],[GN]],-12,0),0)+OFFSET(TblConstr[[#This Row],[Tot GN]],-1,0)-TblConstr[[#This Row],[Dest GN]]</f>
        <v>0</v>
      </c>
      <c r="BH15" s="365" cm="1">
        <f t="array" aca="1" ref="BH15" ca="1">IF(TblConstr[[#This Row],[Hour]:[Hour]]&gt;12,OFFSET(TblConstr[[#This Row],[Fac]],-12,0),0)+OFFSET(TblConstr[[#This Row],[Tot Fac]],-1,0)-TblConstr[[#This Row],[Dest Fac]]</f>
        <v>0</v>
      </c>
      <c r="BI15" s="365" cm="1">
        <f t="array" aca="1" ref="BI15" ca="1">IF(TblConstr[[#This Row],[Hour]:[Hour]]&gt;12,OFFSET(TblConstr[[#This Row],[GT]],-12,0),0)+OFFSET(TblConstr[[#This Row],[Tot GT]],-1,0)-TblConstr[[#This Row],[Dest GT]]</f>
        <v>0</v>
      </c>
      <c r="BJ15" s="365" cm="1">
        <f t="array" aca="1" ref="BJ15" ca="1">IF(TblConstr[[#This Row],[Hour]:[Hour]]&gt;12,OFFSET(TblConstr[[#This Row],[Bar]],-12,0),0)+OFFSET(TblConstr[[#This Row],[Tot Bar]],-1,0)-TblConstr[[#This Row],[Dest Bar]]</f>
        <v>0</v>
      </c>
      <c r="BK15" s="365" cm="1">
        <f t="array" aca="1" ref="BK15" ca="1">IF(TblConstr[[#This Row],[Hour]:[Hour]]&gt;12,OFFSET(TblConstr[[#This Row],[Shr]],-12,0),0)+OFFSET(TblConstr[[#This Row],[Tot Shr]],-1,0)-TblConstr[[#This Row],[Dest Shr]]</f>
        <v>0</v>
      </c>
      <c r="BL15" s="369" cm="1">
        <f t="array" aca="1" ref="BL15" ca="1">IF(TblConstr[[#This Row],[Hour]:[Hour]]&gt;12,OFFSET(TblConstr[[#This Row],[Tow]],-12,0),0)+OFFSET(TblConstr[[#This Row],[Tot Tow]],-1,0)-TblConstr[[#This Row],[Dest Tow]]</f>
        <v>0</v>
      </c>
      <c r="BM15" s="369" cm="1">
        <f t="array" aca="1" ref="BM15" ca="1">IF(TblConstr[[#This Row],[Hour]:[Hour]]&gt;12,OFFSET(TblConstr[[#This Row],[Tem]],-12,0),0)+OFFSET(TblConstr[[#This Row],[Tot Tem]],-1,0)-TblConstr[[#This Row],[Dest Tem]]</f>
        <v>0</v>
      </c>
      <c r="BN15" s="369" cm="1">
        <f t="array" aca="1" ref="BN15" ca="1">IF(TblConstr[[#This Row],[Hour]:[Hour]]&gt;12,OFFSET(TblConstr[[#This Row],[WG]],-12,0),0)+OFFSET(TblConstr[[#This Row],[Tot WG]],-1,0)-TblConstr[[#This Row],[Dest WG]]</f>
        <v>0</v>
      </c>
      <c r="BO15" s="191" cm="1">
        <f t="array" aca="1" ref="BO15" ca="1">IF(TblConstr[[#This Row],[Hour]:[Hour]]&gt;12,OFFSET(TblConstr[[#This Row],[DM]],-12,0),0)+OFFSET(TblConstr[[#This Row],[Tot DM]],-1,0)-TblConstr[[#This Row],[Dest DM]]</f>
        <v>0</v>
      </c>
      <c r="BP15" s="191" cm="1">
        <f t="array" aca="1" ref="BP15" ca="1">IF(TblConstr[[#This Row],[Hour]:[Hour]]&gt;12,OFFSET(TblConstr[[#This Row],[Sch]],-12,0),0)+OFFSET(TblConstr[[#This Row],[Tot Sch]],-1,0)-TblConstr[[#This Row],[Dest Sch]]</f>
        <v>0</v>
      </c>
      <c r="BQ15" s="192" cm="1">
        <f t="array" aca="1" ref="BQ15" ca="1">IF(TblConstr[[#This Row],[Hour]:[Hour]]&gt;12,OFFSET(TblConstr[[#This Row],[Doc]],-12,0),0)+OFFSET(TblConstr[[#This Row],[Tot Doc]],-1,0)-TblConstr[[#This Row],[Dest Doc]]</f>
        <v>0</v>
      </c>
      <c r="BR15" s="142"/>
      <c r="BS15" s="154"/>
      <c r="BT15" s="94">
        <f ca="1">TblConstr[[#This Row],[Land]]</f>
        <v>50</v>
      </c>
      <c r="BU15" s="159">
        <f ca="1">TblImps[[#This Row],[Time]]</f>
        <v>46320.458333333307</v>
      </c>
      <c r="BV15" s="142"/>
      <c r="BW15" s="179"/>
      <c r="BX15" s="179"/>
      <c r="BY15" s="179"/>
      <c r="BZ15" s="179"/>
      <c r="CA15" s="179"/>
      <c r="CB15" s="179"/>
      <c r="CC15" s="179"/>
      <c r="CD15" s="179"/>
      <c r="CE15" s="179"/>
      <c r="CF15" s="179"/>
      <c r="CG15" s="179"/>
      <c r="CH15" s="179"/>
      <c r="CI15" s="179"/>
      <c r="CJ15" s="179"/>
      <c r="CK15" s="179"/>
      <c r="CL15" s="179"/>
      <c r="CM15" s="179"/>
      <c r="CN15" s="179"/>
      <c r="CO15" s="179"/>
      <c r="CP15" s="142"/>
      <c r="CQ15" s="181">
        <f ca="1">-SUM(TblConstr[[#This Row],[Alc]:[Mas]])+SUM(TblConstr[[#This Row],[Dest Alc]:[Dest Mas]])+Rezone!L15+IF("Ch_"&amp; home_land=TblConstr[[#Headers],[Ch_Plain]],TblConstr[[#This Row],[Home Land]])+IF(TblConstr[[#This Row],[Hour]:[Hour]]&gt;12,OFFSET(TblExplore[[#This Row],[Plains Explore]],-12,0),0)</f>
        <v>0</v>
      </c>
      <c r="CR15" s="182">
        <f ca="1">-SUM(TblConstr[[#This Row],[Ly]:[Hav]])+SUM(TblConstr[[#This Row],[Dest Ly]:[Dest Hav]]) +Rezone!M15 + IF("Ch_"&amp; home_land=TblConstr[[#Headers],[Ch_Forest]],TblConstr[[#This Row],[Home Land]])+IF(TblConstr[[#This Row],[Hour]:[Hour]]&gt;12,OFFSET(TblExplore[[#This Row],[Forest Explore]],-12,0),0)</f>
        <v>0</v>
      </c>
      <c r="CS15" s="359">
        <f ca="1">-SUM(TblConstr[[#This Row],[OM]:[GN]])+SUM(TblConstr[[#This Row],[Dest OM]:[Dest GN]]) +Rezone!N15 + IF("Ch_"&amp; home_land=TblConstr[[#Headers],[Ch_Mountain]],TblConstr[[#This Row],[Home Land]])+IF(TblConstr[[#This Row],[Hour]:[Hour]]&gt;12,OFFSET(TblExplore[[#This Row],[Mountain Explore]],-12,0),0)</f>
        <v>0</v>
      </c>
      <c r="CT15" s="183">
        <f ca="1">-SUM(TblConstr[[#This Row],[Fac]:[Shr]])+SUM(TblConstr[[#This Row],[Dest Fac]:[Dest Shr]]) +Rezone!O15 + IF("Ch_" &amp; home_land=TblConstr[[#Headers],[Ch_Hill]],TblConstr[[#This Row],[Home Land]])+IF(TblConstr[[#This Row],[Hour]:[Hour]]&gt;12,OFFSET(TblExplore[[#This Row],[Hill Explore]],-12,0),0)</f>
        <v>0</v>
      </c>
      <c r="CU15" s="184">
        <f ca="1">-SUM(TblConstr[[#This Row],[Tow]:[WG]])+SUM(TblConstr[[#This Row],[Dest Tow]:[Dest WG]]) +Rezone!P15 + IF("Ch_" &amp; home_land=TblConstr[[#Headers],[Ch_Swamp]],TblConstr[[#This Row],[Home Land]])+IF(TblConstr[[#This Row],[Hour]:[Hour]]&gt;12,OFFSET(TblExplore[[#This Row],[Swamp Explore]],-12,0),0)</f>
        <v>0</v>
      </c>
      <c r="CV15" s="185">
        <f ca="1" xml:space="preserve"> - SUM(TblConstr[[#This Row],[DM]:[Sch]])+SUM(TblConstr[[#This Row],[Dest DM]:[Dest Sch]]) +Rezone!Q15 + IF("Ch_" &amp; home_land=TblConstr[[#Headers],[Ch_Cavern]],TblConstr[[#This Row],[Home Land]])+IF(TblConstr[[#This Row],[Hour]:[Hour]]&gt;12,OFFSET(TblExplore[[#This Row],[Cavern Explore]],-12,0),0)</f>
        <v>0</v>
      </c>
      <c r="CW15" s="186">
        <f ca="1">-TblConstr[[#This Row],[Doc]]+TblConstr[[#This Row],[Dest Doc]] +Rezone!R15 + IF("Ch_" &amp; home_land=TblConstr[[#Headers],[Ch_Water]],TblConstr[[#This Row],[Home Land]])+IF(TblConstr[[#This Row],[Hour]:[Hour]]&gt;12,OFFSET(TblExplore[[#This Row],[Water Explore]],-12,0),0)</f>
        <v>0</v>
      </c>
      <c r="CX15" s="45">
        <f>IF(Explore!S15=1,20) - TblConstr[[#This Row],[Hom]] + TblConstr[[#This Row],[Dest Hom]]</f>
        <v>0</v>
      </c>
      <c r="CY15" s="142"/>
      <c r="CZ15" s="94">
        <f ca="1">G15+SUM(P$4:S15)+SUM(AZ15:BC15)</f>
        <v>30</v>
      </c>
      <c r="DA15" s="94">
        <f ca="1">H15+SUM(T$4:U15)+SUM(BD15:BE15)</f>
        <v>20</v>
      </c>
      <c r="DB15" s="45">
        <f ca="1">I15+SUM(V$4:W15)+SUM(BF15:BG15)</f>
        <v>0</v>
      </c>
      <c r="DC15" s="94">
        <f ca="1">J15+SUM(X$4:Y15)+SUM(BH15:BI15)</f>
        <v>0</v>
      </c>
      <c r="DD15" s="94">
        <f ca="1">K15+SUM(AB$4:AD15)+SUM(BL15:BN15)</f>
        <v>0</v>
      </c>
      <c r="DE15" s="45">
        <f ca="1">L15+SUM(AE$4:AE15)+BO15</f>
        <v>0</v>
      </c>
      <c r="DF15" s="94">
        <f ca="1">M15+SUM(AG$4:AG15)+BQ15</f>
        <v>0</v>
      </c>
      <c r="DG15" s="94" cm="1">
        <f t="array" aca="1" ref="DG15" ca="1">INDEX(TblConstr[[Total Plain]:[Total Water]],ROW()-ROW(TblConstr[#Headers]),MATCH("Total "&amp;home_land,TblConstr[[#Headers],[Total Plain]:[Total Water]],0))+TblConstr[[#This Row],[Homes]]</f>
        <v>30</v>
      </c>
      <c r="DH15" s="45">
        <f ca="1">SUM(O$4:O15)+AY15</f>
        <v>0</v>
      </c>
      <c r="DI15" s="45">
        <f t="shared" ca="1" si="0"/>
        <v>0</v>
      </c>
      <c r="DJ15" s="45">
        <f t="shared" ca="1" si="1"/>
        <v>0</v>
      </c>
    </row>
    <row r="16" spans="1:114" x14ac:dyDescent="0.2">
      <c r="A16" s="175">
        <f>TblRezone[[#This Row],[Hour]]</f>
        <v>13</v>
      </c>
      <c r="B16" s="176">
        <f ca="1">SUM(TblConstr[[#This Row],[Plain]:[Water]])</f>
        <v>0</v>
      </c>
      <c r="C16" s="177">
        <f ca="1">SUM(TblConstr[[#This Row],[Tot Hom]:[Tot Doc]])</f>
        <v>50</v>
      </c>
      <c r="D16" s="177">
        <f t="shared" ref="D16:D46" si="2">SUM(O5:AG16)</f>
        <v>0</v>
      </c>
      <c r="E16" s="178"/>
      <c r="F16" s="61">
        <f ca="1">TblConstr[[#This Row],[Barren]]+TblConstr[[#This Row],[Buildings]]+TblConstr[[#This Row],[Incoming]]</f>
        <v>50</v>
      </c>
      <c r="G16" s="187">
        <f ca="1">OFFSET(TblConstr[[#This Row],[Plain]],-1,0)+TblConstr[[#This Row],[Ch_Plain]]</f>
        <v>0</v>
      </c>
      <c r="H16" s="182">
        <f ca="1">OFFSET(TblConstr[[#This Row],[Forest]],-1,0)+TblConstr[[#This Row],[Ch_Forest]]</f>
        <v>0</v>
      </c>
      <c r="I16" s="359">
        <f ca="1">OFFSET(TblConstr[[#This Row],[Mountain]],-1,0)+TblConstr[[#This Row],[Ch_Mountain]]</f>
        <v>0</v>
      </c>
      <c r="J16" s="363">
        <f ca="1">OFFSET(TblConstr[[#This Row],[Hill]],-1,0)+TblConstr[[#This Row],[Ch_Hill]]</f>
        <v>0</v>
      </c>
      <c r="K16" s="367">
        <f ca="1">OFFSET(TblConstr[[#This Row],[Swamp]],-1,0)+TblConstr[[#This Row],[Ch_Swamp]]</f>
        <v>0</v>
      </c>
      <c r="L16" s="185">
        <f ca="1">OFFSET(TblConstr[[#This Row],[Cavern]],-1,0)+TblConstr[[#This Row],[Ch_Cavern]]</f>
        <v>0</v>
      </c>
      <c r="M16" s="186">
        <f ca="1">OFFSET(TblConstr[[#This Row],[Water]],-1,0)+TblConstr[[#This Row],[Ch_Water]]</f>
        <v>0</v>
      </c>
      <c r="N16" s="357">
        <f>TblRezone[[#This Row],[Hour]]</f>
        <v>13</v>
      </c>
      <c r="O16" s="179"/>
      <c r="P16" s="158"/>
      <c r="Q16" s="179"/>
      <c r="R16" s="179"/>
      <c r="S16" s="179"/>
      <c r="T16" s="179"/>
      <c r="U16" s="179"/>
      <c r="V16" s="158"/>
      <c r="W16" s="179"/>
      <c r="X16" s="158"/>
      <c r="Y16" s="179"/>
      <c r="Z16" s="179"/>
      <c r="AA16" s="179"/>
      <c r="AB16" s="179"/>
      <c r="AC16" s="179"/>
      <c r="AD16" s="179"/>
      <c r="AE16" s="179"/>
      <c r="AF16" s="179"/>
      <c r="AG16" s="158"/>
      <c r="AH16" s="53">
        <f ca="1">TblImps[[#This Row],[Time]]</f>
        <v>46320.499999999971</v>
      </c>
      <c r="AI16" s="180">
        <f ca="1">MIN(25%,(TblConstr[[#This Row],[Tot Fac]]+TblConstr[[#This Row],[Dest Fac]])/(TblConstr[[#This Row],[Land]]-TblExplore[[#This Row],[Land Bonus]]*20))</f>
        <v>0</v>
      </c>
      <c r="AJ16" s="180">
        <f ca="1">MIN(25%,(TblConstr[[#This Row],[Tot Fac]]+TblConstr[[#This Row],[Dest Fac]])/TblConstr[[#This Row],[Land]])</f>
        <v>0</v>
      </c>
      <c r="AK16" s="94">
        <f ca="1">TblProd[[#This Row],[Platinum]]</f>
        <v>134374</v>
      </c>
      <c r="AL16" s="94">
        <f ca="1">TblProd[[#This Row],[Lumber]]</f>
        <v>24657</v>
      </c>
      <c r="AM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6" s="94">
        <f ca="1">ROUNDDOWN( MAX(1 - MIN(facs_constr_factor*TblConstr[[#This Row],[Facs -DB]],facs_constr_max) + tech_1_11*TblTech[[#This Row],[11-1]] + tech_6_3_2*TblTech[[#This Row],[6-3]] + tech_5_2_3*TblTech[[#This Row],[5-2]], 1-global_constr_cap) * TblConstr[[#This Row],[RCPA Lumber]],0)</f>
        <v>31</v>
      </c>
      <c r="AO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6" s="94">
        <f ca="1">ROUNDDOWN( MAX(1 - MIN(facs_constr_factor*TblConstr[[#This Row],[Facs DB]],facs_constr_max) + tech_1_11*TblTech[[#This Row],[1-11]] + tech_6_3_2*TblTech[[#This Row],[6-3]] + tech_5_2_3*TblTech[[#This Row],[5-2]], 1-global_constr_cap) * ROUND((TblConstr[[#This Row],[Land]]-250)*0.285 + 87.5 + 0/4.25,0),0)</f>
        <v>31</v>
      </c>
      <c r="AQ16" s="45">
        <f ca="1">TblConstr[[#This Row],[build -db]]*TblConstr[[#This Row],[CPA Platinum -DB]] + TblConstr[[#This Row],[build db]]*TblConstr[[#This Row],[CPA Platinum DB]]</f>
        <v>0</v>
      </c>
      <c r="AR16" s="45">
        <f ca="1">TblConstr[[#This Row],[build -db]]*TblConstr[[#This Row],[CPA Lumber -DB]] + TblConstr[[#This Row],[build db]]*TblConstr[[#This Row],[CPA Lumber DB]]</f>
        <v>0</v>
      </c>
      <c r="AS16" s="94">
        <f ca="1">MIN(SUM(OFFSET(TblConstr[[#This Row],[Plain]:[Water]],-1,0))+SUM(TblConstr[[#This Row],[Dest Hom]:[Dest Doc]])+IF(TblConstr[[#This Row],[Hour]]&gt;12,SUM(OFFSET(TblExplore[[#This Row],[Plains Explore]:[Water Explore]],-12,0)),0),SUM(TblConstr[[#This Row],[Hom]:[Doc]]))</f>
        <v>0</v>
      </c>
      <c r="AT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42"/>
      <c r="AV16" s="94">
        <f ca="1">ROUND((TblConstr[[#This Row],[Land]]-250 - IF(TblExplore[[#This Row],[Land Bonus]]&lt;&gt;0,20,0))*1.25 + 850 + 0,0)</f>
        <v>600</v>
      </c>
      <c r="AW16" s="94">
        <f ca="1">ROUND((TblConstr[[#This Row],[Land]]-250 - IF(TblExplore[[#This Row],[Land Bonus]]&lt;&gt;0,20,0))*0.285 + 87.5 + 0/4.25,0)</f>
        <v>31</v>
      </c>
      <c r="AX16" s="154"/>
      <c r="AY16" s="188" cm="1">
        <f t="array" aca="1" ref="AY16" ca="1">IF(TblConstr[[#This Row],[Hour]:[Hour]]&gt;12,OFFSET(TblConstr[[#This Row],[Hom]],-12,0),0)+OFFSET(TblConstr[[#This Row],[Tot Hom]],-1,0)-TblConstr[[#This Row],[Dest Hom]]</f>
        <v>0</v>
      </c>
      <c r="AZ16" s="189" cm="1">
        <f t="array" aca="1" ref="AZ16" ca="1">IF(TblConstr[[#This Row],[Hour]:[Hour]]&gt;12,OFFSET(TblConstr[[#This Row],[Alc]],-12,0),0)+OFFSET(TblConstr[[#This Row],[Tot Alc]],-1,0)-TblConstr[[#This Row],[Dest Alc]]</f>
        <v>0</v>
      </c>
      <c r="BA16" s="189" cm="1">
        <f t="array" aca="1" ref="BA16" ca="1">IF(TblConstr[[#This Row],[Hour]:[Hour]]&gt;12,OFFSET(TblConstr[[#This Row],[Far]],-12,0),0)+OFFSET(TblConstr[[#This Row],[Tot Farm]],-1,0)-TblConstr[[#This Row],[Dest Farm]]</f>
        <v>30</v>
      </c>
      <c r="BB16" s="189" cm="1">
        <f t="array" aca="1" ref="BB16" ca="1">IF(TblConstr[[#This Row],[Hour]:[Hour]]&gt;12,OFFSET(TblConstr[[#This Row],[Smi]],-12,0),0)+OFFSET(TblConstr[[#This Row],[Tot Smi]],-1,0)-TblConstr[[#This Row],[Dest Smi]]</f>
        <v>0</v>
      </c>
      <c r="BC16" s="189" cm="1">
        <f t="array" aca="1" ref="BC16" ca="1">IF(TblConstr[[#This Row],[Hour]:[Hour]]&gt;12,OFFSET(TblConstr[[#This Row],[Mas]],-12,0),0)+OFFSET(TblConstr[[#This Row],[Tot Mas]],-1,0)-TblConstr[[#This Row],[Dest Mas]]</f>
        <v>0</v>
      </c>
      <c r="BD16" s="190" cm="1">
        <f t="array" aca="1" ref="BD16" ca="1">IF(TblConstr[[#This Row],[Hour]:[Hour]]&gt;12,OFFSET(TblConstr[[#This Row],[Ly]],-12,0),0)+OFFSET(TblConstr[[#This Row],[Tot Ly]],-1,0)-TblConstr[[#This Row],[Dest Ly]]</f>
        <v>20</v>
      </c>
      <c r="BE16" s="190" cm="1">
        <f t="array" aca="1" ref="BE16" ca="1">IF(TblConstr[[#This Row],[Hour]:[Hour]]&gt;12,OFFSET(TblConstr[[#This Row],[Hav]],-12,0),0)+OFFSET(TblConstr[[#This Row],[Tot Hav]],-1,0)-TblConstr[[#This Row],[Dest Hav]]</f>
        <v>0</v>
      </c>
      <c r="BF16" s="361" cm="1">
        <f t="array" aca="1" ref="BF16" ca="1">IF(TblConstr[[#This Row],[Hour]:[Hour]]&gt;12,OFFSET(TblConstr[[#This Row],[OM]],-12,0),0)+OFFSET(TblConstr[[#This Row],[Tot OM]],-1,0)-TblConstr[[#This Row],[Dest OM]]</f>
        <v>0</v>
      </c>
      <c r="BG16" s="361" cm="1">
        <f t="array" aca="1" ref="BG16" ca="1">IF(TblConstr[[#This Row],[Hour]:[Hour]]&gt;12,OFFSET(TblConstr[[#This Row],[GN]],-12,0),0)+OFFSET(TblConstr[[#This Row],[Tot GN]],-1,0)-TblConstr[[#This Row],[Dest GN]]</f>
        <v>0</v>
      </c>
      <c r="BH16" s="365" cm="1">
        <f t="array" aca="1" ref="BH16" ca="1">IF(TblConstr[[#This Row],[Hour]:[Hour]]&gt;12,OFFSET(TblConstr[[#This Row],[Fac]],-12,0),0)+OFFSET(TblConstr[[#This Row],[Tot Fac]],-1,0)-TblConstr[[#This Row],[Dest Fac]]</f>
        <v>0</v>
      </c>
      <c r="BI16" s="365" cm="1">
        <f t="array" aca="1" ref="BI16" ca="1">IF(TblConstr[[#This Row],[Hour]:[Hour]]&gt;12,OFFSET(TblConstr[[#This Row],[GT]],-12,0),0)+OFFSET(TblConstr[[#This Row],[Tot GT]],-1,0)-TblConstr[[#This Row],[Dest GT]]</f>
        <v>0</v>
      </c>
      <c r="BJ16" s="365" cm="1">
        <f t="array" aca="1" ref="BJ16" ca="1">IF(TblConstr[[#This Row],[Hour]:[Hour]]&gt;12,OFFSET(TblConstr[[#This Row],[Bar]],-12,0),0)+OFFSET(TblConstr[[#This Row],[Tot Bar]],-1,0)-TblConstr[[#This Row],[Dest Bar]]</f>
        <v>0</v>
      </c>
      <c r="BK16" s="365" cm="1">
        <f t="array" aca="1" ref="BK16" ca="1">IF(TblConstr[[#This Row],[Hour]:[Hour]]&gt;12,OFFSET(TblConstr[[#This Row],[Shr]],-12,0),0)+OFFSET(TblConstr[[#This Row],[Tot Shr]],-1,0)-TblConstr[[#This Row],[Dest Shr]]</f>
        <v>0</v>
      </c>
      <c r="BL16" s="369" cm="1">
        <f t="array" aca="1" ref="BL16" ca="1">IF(TblConstr[[#This Row],[Hour]:[Hour]]&gt;12,OFFSET(TblConstr[[#This Row],[Tow]],-12,0),0)+OFFSET(TblConstr[[#This Row],[Tot Tow]],-1,0)-TblConstr[[#This Row],[Dest Tow]]</f>
        <v>0</v>
      </c>
      <c r="BM16" s="369" cm="1">
        <f t="array" aca="1" ref="BM16" ca="1">IF(TblConstr[[#This Row],[Hour]:[Hour]]&gt;12,OFFSET(TblConstr[[#This Row],[Tem]],-12,0),0)+OFFSET(TblConstr[[#This Row],[Tot Tem]],-1,0)-TblConstr[[#This Row],[Dest Tem]]</f>
        <v>0</v>
      </c>
      <c r="BN16" s="369" cm="1">
        <f t="array" aca="1" ref="BN16" ca="1">IF(TblConstr[[#This Row],[Hour]:[Hour]]&gt;12,OFFSET(TblConstr[[#This Row],[WG]],-12,0),0)+OFFSET(TblConstr[[#This Row],[Tot WG]],-1,0)-TblConstr[[#This Row],[Dest WG]]</f>
        <v>0</v>
      </c>
      <c r="BO16" s="191" cm="1">
        <f t="array" aca="1" ref="BO16" ca="1">IF(TblConstr[[#This Row],[Hour]:[Hour]]&gt;12,OFFSET(TblConstr[[#This Row],[DM]],-12,0),0)+OFFSET(TblConstr[[#This Row],[Tot DM]],-1,0)-TblConstr[[#This Row],[Dest DM]]</f>
        <v>0</v>
      </c>
      <c r="BP16" s="191" cm="1">
        <f t="array" aca="1" ref="BP16" ca="1">IF(TblConstr[[#This Row],[Hour]:[Hour]]&gt;12,OFFSET(TblConstr[[#This Row],[Sch]],-12,0),0)+OFFSET(TblConstr[[#This Row],[Tot Sch]],-1,0)-TblConstr[[#This Row],[Dest Sch]]</f>
        <v>0</v>
      </c>
      <c r="BQ16" s="192" cm="1">
        <f t="array" aca="1" ref="BQ16" ca="1">IF(TblConstr[[#This Row],[Hour]:[Hour]]&gt;12,OFFSET(TblConstr[[#This Row],[Doc]],-12,0),0)+OFFSET(TblConstr[[#This Row],[Tot Doc]],-1,0)-TblConstr[[#This Row],[Dest Doc]]</f>
        <v>0</v>
      </c>
      <c r="BR16" s="142"/>
      <c r="BS16" s="154"/>
      <c r="BT16" s="94">
        <f ca="1">TblConstr[[#This Row],[Land]]</f>
        <v>50</v>
      </c>
      <c r="BU16" s="159">
        <f ca="1">TblImps[[#This Row],[Time]]</f>
        <v>46320.499999999971</v>
      </c>
      <c r="BV16" s="142"/>
      <c r="BW16" s="179"/>
      <c r="BX16" s="179"/>
      <c r="BY16" s="158"/>
      <c r="BZ16" s="179"/>
      <c r="CA16" s="179"/>
      <c r="CB16" s="179"/>
      <c r="CC16" s="179"/>
      <c r="CD16" s="179"/>
      <c r="CE16" s="179"/>
      <c r="CF16" s="179"/>
      <c r="CG16" s="179"/>
      <c r="CH16" s="179"/>
      <c r="CI16" s="179"/>
      <c r="CJ16" s="179"/>
      <c r="CK16" s="179"/>
      <c r="CL16" s="179"/>
      <c r="CM16" s="179"/>
      <c r="CN16" s="179"/>
      <c r="CO16" s="179"/>
      <c r="CP16" s="142"/>
      <c r="CQ16" s="181">
        <f ca="1">-SUM(TblConstr[[#This Row],[Alc]:[Mas]])+SUM(TblConstr[[#This Row],[Dest Alc]:[Dest Mas]])+Rezone!L16+IF("Ch_"&amp; home_land=TblConstr[[#Headers],[Ch_Plain]],TblConstr[[#This Row],[Home Land]])+IF(TblConstr[[#This Row],[Hour]:[Hour]]&gt;12,OFFSET(TblExplore[[#This Row],[Plains Explore]],-12,0),0)</f>
        <v>0</v>
      </c>
      <c r="CR16" s="182">
        <f ca="1">-SUM(TblConstr[[#This Row],[Ly]:[Hav]])+SUM(TblConstr[[#This Row],[Dest Ly]:[Dest Hav]]) +Rezone!M16 + IF("Ch_"&amp; home_land=TblConstr[[#Headers],[Ch_Forest]],TblConstr[[#This Row],[Home Land]])+IF(TblConstr[[#This Row],[Hour]:[Hour]]&gt;12,OFFSET(TblExplore[[#This Row],[Forest Explore]],-12,0),0)</f>
        <v>0</v>
      </c>
      <c r="CS16" s="359">
        <f ca="1">-SUM(TblConstr[[#This Row],[OM]:[GN]])+SUM(TblConstr[[#This Row],[Dest OM]:[Dest GN]]) +Rezone!N16 + IF("Ch_"&amp; home_land=TblConstr[[#Headers],[Ch_Mountain]],TblConstr[[#This Row],[Home Land]])+IF(TblConstr[[#This Row],[Hour]:[Hour]]&gt;12,OFFSET(TblExplore[[#This Row],[Mountain Explore]],-12,0),0)</f>
        <v>0</v>
      </c>
      <c r="CT16" s="183">
        <f ca="1">-SUM(TblConstr[[#This Row],[Fac]:[Shr]])+SUM(TblConstr[[#This Row],[Dest Fac]:[Dest Shr]]) +Rezone!O16 + IF("Ch_" &amp; home_land=TblConstr[[#Headers],[Ch_Hill]],TblConstr[[#This Row],[Home Land]])+IF(TblConstr[[#This Row],[Hour]:[Hour]]&gt;12,OFFSET(TblExplore[[#This Row],[Hill Explore]],-12,0),0)</f>
        <v>0</v>
      </c>
      <c r="CU16" s="184">
        <f ca="1">-SUM(TblConstr[[#This Row],[Tow]:[WG]])+SUM(TblConstr[[#This Row],[Dest Tow]:[Dest WG]]) +Rezone!P16 + IF("Ch_" &amp; home_land=TblConstr[[#Headers],[Ch_Swamp]],TblConstr[[#This Row],[Home Land]])+IF(TblConstr[[#This Row],[Hour]:[Hour]]&gt;12,OFFSET(TblExplore[[#This Row],[Swamp Explore]],-12,0),0)</f>
        <v>0</v>
      </c>
      <c r="CV16" s="185">
        <f ca="1" xml:space="preserve"> - SUM(TblConstr[[#This Row],[DM]:[Sch]])+SUM(TblConstr[[#This Row],[Dest DM]:[Dest Sch]]) +Rezone!Q16 + IF("Ch_" &amp; home_land=TblConstr[[#Headers],[Ch_Cavern]],TblConstr[[#This Row],[Home Land]])+IF(TblConstr[[#This Row],[Hour]:[Hour]]&gt;12,OFFSET(TblExplore[[#This Row],[Cavern Explore]],-12,0),0)</f>
        <v>0</v>
      </c>
      <c r="CW16" s="186">
        <f ca="1">-TblConstr[[#This Row],[Doc]]+TblConstr[[#This Row],[Dest Doc]] +Rezone!R16 + IF("Ch_" &amp; home_land=TblConstr[[#Headers],[Ch_Water]],TblConstr[[#This Row],[Home Land]])+IF(TblConstr[[#This Row],[Hour]:[Hour]]&gt;12,OFFSET(TblExplore[[#This Row],[Water Explore]],-12,0),0)</f>
        <v>0</v>
      </c>
      <c r="CX16" s="45">
        <f>IF(Explore!S16=1,20) - TblConstr[[#This Row],[Hom]] + TblConstr[[#This Row],[Dest Hom]]</f>
        <v>0</v>
      </c>
      <c r="CY16" s="142"/>
      <c r="CZ16" s="94">
        <f t="shared" ref="CZ16:CZ47" ca="1" si="3">G16+SUM(P5:S16)+SUM(AZ16:BC16)</f>
        <v>30</v>
      </c>
      <c r="DA16" s="94">
        <f t="shared" ref="DA16:DA47" ca="1" si="4">H16+SUM(T5:U16)+SUM(BD16:BE16)</f>
        <v>20</v>
      </c>
      <c r="DB16" s="45">
        <f t="shared" ref="DB16:DB47" ca="1" si="5">I16+SUM(V5:W16)+SUM(BF16:BG16)</f>
        <v>0</v>
      </c>
      <c r="DC16" s="94">
        <f t="shared" ref="DC16:DC47" ca="1" si="6">J16+SUM(X5:Y16)+SUM(BH16:BI16)</f>
        <v>0</v>
      </c>
      <c r="DD16" s="94">
        <f t="shared" ref="DD16:DD47" ca="1" si="7">K16+SUM(AB5:AD16)+SUM(BL16:BN16)</f>
        <v>0</v>
      </c>
      <c r="DE16" s="45">
        <f t="shared" ref="DE16:DE47" ca="1" si="8">L16+SUM(AE5:AE16)+BO16</f>
        <v>0</v>
      </c>
      <c r="DF16" s="94">
        <f t="shared" ref="DF16:DF47" ca="1" si="9">M16+SUM(AG5:AG16)+BQ16</f>
        <v>0</v>
      </c>
      <c r="DG16" s="94" cm="1">
        <f t="array" aca="1" ref="DG16" ca="1">INDEX(TblConstr[[Total Plain]:[Total Water]],ROW()-ROW(TblConstr[#Headers]),MATCH("Total "&amp;home_land,TblConstr[[#Headers],[Total Plain]:[Total Water]],0))+TblConstr[[#This Row],[Homes]]</f>
        <v>30</v>
      </c>
      <c r="DH16" s="45">
        <f ca="1">SUM(O5:O16)+AY16</f>
        <v>0</v>
      </c>
      <c r="DI16" s="45">
        <f t="shared" ca="1" si="0"/>
        <v>0</v>
      </c>
      <c r="DJ16" s="45">
        <f t="shared" ca="1" si="1"/>
        <v>0</v>
      </c>
    </row>
    <row r="17" spans="1:114" x14ac:dyDescent="0.2">
      <c r="A17" s="175">
        <f>TblRezone[[#This Row],[Hour]]</f>
        <v>14</v>
      </c>
      <c r="B17" s="176">
        <f ca="1">SUM(TblConstr[[#This Row],[Plain]:[Water]])</f>
        <v>0</v>
      </c>
      <c r="C17" s="177">
        <f ca="1">SUM(TblConstr[[#This Row],[Tot Hom]:[Tot Doc]])</f>
        <v>50</v>
      </c>
      <c r="D17" s="177">
        <f t="shared" si="2"/>
        <v>0</v>
      </c>
      <c r="E17" s="178"/>
      <c r="F17" s="61">
        <f ca="1">TblConstr[[#This Row],[Barren]]+TblConstr[[#This Row],[Buildings]]+TblConstr[[#This Row],[Incoming]]</f>
        <v>50</v>
      </c>
      <c r="G17" s="187">
        <f ca="1">OFFSET(TblConstr[[#This Row],[Plain]],-1,0)+TblConstr[[#This Row],[Ch_Plain]]</f>
        <v>0</v>
      </c>
      <c r="H17" s="182">
        <f ca="1">OFFSET(TblConstr[[#This Row],[Forest]],-1,0)+TblConstr[[#This Row],[Ch_Forest]]</f>
        <v>0</v>
      </c>
      <c r="I17" s="359">
        <f ca="1">OFFSET(TblConstr[[#This Row],[Mountain]],-1,0)+TblConstr[[#This Row],[Ch_Mountain]]</f>
        <v>0</v>
      </c>
      <c r="J17" s="363">
        <f ca="1">OFFSET(TblConstr[[#This Row],[Hill]],-1,0)+TblConstr[[#This Row],[Ch_Hill]]</f>
        <v>0</v>
      </c>
      <c r="K17" s="367">
        <f ca="1">OFFSET(TblConstr[[#This Row],[Swamp]],-1,0)+TblConstr[[#This Row],[Ch_Swamp]]</f>
        <v>0</v>
      </c>
      <c r="L17" s="185">
        <f ca="1">OFFSET(TblConstr[[#This Row],[Cavern]],-1,0)+TblConstr[[#This Row],[Ch_Cavern]]</f>
        <v>0</v>
      </c>
      <c r="M17" s="186">
        <f ca="1">OFFSET(TblConstr[[#This Row],[Water]],-1,0)+TblConstr[[#This Row],[Ch_Water]]</f>
        <v>0</v>
      </c>
      <c r="N17" s="357">
        <f>TblRezone[[#This Row],[Hour]]</f>
        <v>14</v>
      </c>
      <c r="O17" s="179"/>
      <c r="P17" s="179"/>
      <c r="Q17" s="179"/>
      <c r="R17" s="179"/>
      <c r="S17" s="179"/>
      <c r="T17" s="179"/>
      <c r="U17" s="179"/>
      <c r="V17" s="179"/>
      <c r="W17" s="179"/>
      <c r="X17" s="158"/>
      <c r="Y17" s="179"/>
      <c r="Z17" s="179"/>
      <c r="AA17" s="179"/>
      <c r="AB17" s="179"/>
      <c r="AC17" s="179"/>
      <c r="AD17" s="179"/>
      <c r="AE17" s="179"/>
      <c r="AF17" s="179"/>
      <c r="AG17" s="179"/>
      <c r="AH17" s="53">
        <f ca="1">TblImps[[#This Row],[Time]]</f>
        <v>46320.541666666635</v>
      </c>
      <c r="AI17" s="180">
        <f ca="1">MIN(25%,(TblConstr[[#This Row],[Tot Fac]]+TblConstr[[#This Row],[Dest Fac]])/(TblConstr[[#This Row],[Land]]-TblExplore[[#This Row],[Land Bonus]]*20))</f>
        <v>0</v>
      </c>
      <c r="AJ17" s="180">
        <f ca="1">MIN(25%,(TblConstr[[#This Row],[Tot Fac]]+TblConstr[[#This Row],[Dest Fac]])/TblConstr[[#This Row],[Land]])</f>
        <v>0</v>
      </c>
      <c r="AK17" s="94">
        <f ca="1">TblProd[[#This Row],[Platinum]]</f>
        <v>135499</v>
      </c>
      <c r="AL17" s="94">
        <f ca="1">TblProd[[#This Row],[Lumber]]</f>
        <v>25410</v>
      </c>
      <c r="AM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7" s="94">
        <f ca="1">ROUNDDOWN( MAX(1 - MIN(facs_constr_factor*TblConstr[[#This Row],[Facs -DB]],facs_constr_max) + tech_1_11*TblTech[[#This Row],[11-1]] + tech_6_3_2*TblTech[[#This Row],[6-3]] + tech_5_2_3*TblTech[[#This Row],[5-2]], 1-global_constr_cap) * TblConstr[[#This Row],[RCPA Lumber]],0)</f>
        <v>31</v>
      </c>
      <c r="AO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7" s="94">
        <f ca="1">ROUNDDOWN( MAX(1 - MIN(facs_constr_factor*TblConstr[[#This Row],[Facs DB]],facs_constr_max) + tech_1_11*TblTech[[#This Row],[1-11]] + tech_6_3_2*TblTech[[#This Row],[6-3]] + tech_5_2_3*TblTech[[#This Row],[5-2]], 1-global_constr_cap) * ROUND((TblConstr[[#This Row],[Land]]-250)*0.285 + 87.5 + 0/4.25,0),0)</f>
        <v>31</v>
      </c>
      <c r="AQ17" s="45">
        <f ca="1">TblConstr[[#This Row],[build -db]]*TblConstr[[#This Row],[CPA Platinum -DB]] + TblConstr[[#This Row],[build db]]*TblConstr[[#This Row],[CPA Platinum DB]]</f>
        <v>0</v>
      </c>
      <c r="AR17" s="45">
        <f ca="1">TblConstr[[#This Row],[build -db]]*TblConstr[[#This Row],[CPA Lumber -DB]] + TblConstr[[#This Row],[build db]]*TblConstr[[#This Row],[CPA Lumber DB]]</f>
        <v>0</v>
      </c>
      <c r="AS17" s="94">
        <f ca="1">MIN(SUM(OFFSET(TblConstr[[#This Row],[Plain]:[Water]],-1,0))+SUM(TblConstr[[#This Row],[Dest Hom]:[Dest Doc]])+IF(TblConstr[[#This Row],[Hour]]&gt;12,SUM(OFFSET(TblExplore[[#This Row],[Plains Explore]:[Water Explore]],-12,0)),0),SUM(TblConstr[[#This Row],[Hom]:[Doc]]))</f>
        <v>0</v>
      </c>
      <c r="AT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154"/>
      <c r="AV17" s="94">
        <f ca="1">ROUND((TblConstr[[#This Row],[Land]]-250 - IF(TblExplore[[#This Row],[Land Bonus]]&lt;&gt;0,20,0))*1.25 + 850 + 0,0)</f>
        <v>600</v>
      </c>
      <c r="AW17" s="94">
        <f ca="1">ROUND((TblConstr[[#This Row],[Land]]-250 - IF(TblExplore[[#This Row],[Land Bonus]]&lt;&gt;0,20,0))*0.285 + 87.5 + 0/4.25,0)</f>
        <v>31</v>
      </c>
      <c r="AX17" s="154"/>
      <c r="AY17" s="188" cm="1">
        <f t="array" aca="1" ref="AY17" ca="1">IF(TblConstr[[#This Row],[Hour]:[Hour]]&gt;12,OFFSET(TblConstr[[#This Row],[Hom]],-12,0),0)+OFFSET(TblConstr[[#This Row],[Tot Hom]],-1,0)-TblConstr[[#This Row],[Dest Hom]]</f>
        <v>0</v>
      </c>
      <c r="AZ17" s="189" cm="1">
        <f t="array" aca="1" ref="AZ17" ca="1">IF(TblConstr[[#This Row],[Hour]:[Hour]]&gt;12,OFFSET(TblConstr[[#This Row],[Alc]],-12,0),0)+OFFSET(TblConstr[[#This Row],[Tot Alc]],-1,0)-TblConstr[[#This Row],[Dest Alc]]</f>
        <v>0</v>
      </c>
      <c r="BA17" s="189" cm="1">
        <f t="array" aca="1" ref="BA17" ca="1">IF(TblConstr[[#This Row],[Hour]:[Hour]]&gt;12,OFFSET(TblConstr[[#This Row],[Far]],-12,0),0)+OFFSET(TblConstr[[#This Row],[Tot Farm]],-1,0)-TblConstr[[#This Row],[Dest Farm]]</f>
        <v>30</v>
      </c>
      <c r="BB17" s="189" cm="1">
        <f t="array" aca="1" ref="BB17" ca="1">IF(TblConstr[[#This Row],[Hour]:[Hour]]&gt;12,OFFSET(TblConstr[[#This Row],[Smi]],-12,0),0)+OFFSET(TblConstr[[#This Row],[Tot Smi]],-1,0)-TblConstr[[#This Row],[Dest Smi]]</f>
        <v>0</v>
      </c>
      <c r="BC17" s="189" cm="1">
        <f t="array" aca="1" ref="BC17" ca="1">IF(TblConstr[[#This Row],[Hour]:[Hour]]&gt;12,OFFSET(TblConstr[[#This Row],[Mas]],-12,0),0)+OFFSET(TblConstr[[#This Row],[Tot Mas]],-1,0)-TblConstr[[#This Row],[Dest Mas]]</f>
        <v>0</v>
      </c>
      <c r="BD17" s="190" cm="1">
        <f t="array" aca="1" ref="BD17" ca="1">IF(TblConstr[[#This Row],[Hour]:[Hour]]&gt;12,OFFSET(TblConstr[[#This Row],[Ly]],-12,0),0)+OFFSET(TblConstr[[#This Row],[Tot Ly]],-1,0)-TblConstr[[#This Row],[Dest Ly]]</f>
        <v>20</v>
      </c>
      <c r="BE17" s="190" cm="1">
        <f t="array" aca="1" ref="BE17" ca="1">IF(TblConstr[[#This Row],[Hour]:[Hour]]&gt;12,OFFSET(TblConstr[[#This Row],[Hav]],-12,0),0)+OFFSET(TblConstr[[#This Row],[Tot Hav]],-1,0)-TblConstr[[#This Row],[Dest Hav]]</f>
        <v>0</v>
      </c>
      <c r="BF17" s="361" cm="1">
        <f t="array" aca="1" ref="BF17" ca="1">IF(TblConstr[[#This Row],[Hour]:[Hour]]&gt;12,OFFSET(TblConstr[[#This Row],[OM]],-12,0),0)+OFFSET(TblConstr[[#This Row],[Tot OM]],-1,0)-TblConstr[[#This Row],[Dest OM]]</f>
        <v>0</v>
      </c>
      <c r="BG17" s="361" cm="1">
        <f t="array" aca="1" ref="BG17" ca="1">IF(TblConstr[[#This Row],[Hour]:[Hour]]&gt;12,OFFSET(TblConstr[[#This Row],[GN]],-12,0),0)+OFFSET(TblConstr[[#This Row],[Tot GN]],-1,0)-TblConstr[[#This Row],[Dest GN]]</f>
        <v>0</v>
      </c>
      <c r="BH17" s="365" cm="1">
        <f t="array" aca="1" ref="BH17" ca="1">IF(TblConstr[[#This Row],[Hour]:[Hour]]&gt;12,OFFSET(TblConstr[[#This Row],[Fac]],-12,0),0)+OFFSET(TblConstr[[#This Row],[Tot Fac]],-1,0)-TblConstr[[#This Row],[Dest Fac]]</f>
        <v>0</v>
      </c>
      <c r="BI17" s="365" cm="1">
        <f t="array" aca="1" ref="BI17" ca="1">IF(TblConstr[[#This Row],[Hour]:[Hour]]&gt;12,OFFSET(TblConstr[[#This Row],[GT]],-12,0),0)+OFFSET(TblConstr[[#This Row],[Tot GT]],-1,0)-TblConstr[[#This Row],[Dest GT]]</f>
        <v>0</v>
      </c>
      <c r="BJ17" s="365" cm="1">
        <f t="array" aca="1" ref="BJ17" ca="1">IF(TblConstr[[#This Row],[Hour]:[Hour]]&gt;12,OFFSET(TblConstr[[#This Row],[Bar]],-12,0),0)+OFFSET(TblConstr[[#This Row],[Tot Bar]],-1,0)-TblConstr[[#This Row],[Dest Bar]]</f>
        <v>0</v>
      </c>
      <c r="BK17" s="365" cm="1">
        <f t="array" aca="1" ref="BK17" ca="1">IF(TblConstr[[#This Row],[Hour]:[Hour]]&gt;12,OFFSET(TblConstr[[#This Row],[Shr]],-12,0),0)+OFFSET(TblConstr[[#This Row],[Tot Shr]],-1,0)-TblConstr[[#This Row],[Dest Shr]]</f>
        <v>0</v>
      </c>
      <c r="BL17" s="369" cm="1">
        <f t="array" aca="1" ref="BL17" ca="1">IF(TblConstr[[#This Row],[Hour]:[Hour]]&gt;12,OFFSET(TblConstr[[#This Row],[Tow]],-12,0),0)+OFFSET(TblConstr[[#This Row],[Tot Tow]],-1,0)-TblConstr[[#This Row],[Dest Tow]]</f>
        <v>0</v>
      </c>
      <c r="BM17" s="369" cm="1">
        <f t="array" aca="1" ref="BM17" ca="1">IF(TblConstr[[#This Row],[Hour]:[Hour]]&gt;12,OFFSET(TblConstr[[#This Row],[Tem]],-12,0),0)+OFFSET(TblConstr[[#This Row],[Tot Tem]],-1,0)-TblConstr[[#This Row],[Dest Tem]]</f>
        <v>0</v>
      </c>
      <c r="BN17" s="369" cm="1">
        <f t="array" aca="1" ref="BN17" ca="1">IF(TblConstr[[#This Row],[Hour]:[Hour]]&gt;12,OFFSET(TblConstr[[#This Row],[WG]],-12,0),0)+OFFSET(TblConstr[[#This Row],[Tot WG]],-1,0)-TblConstr[[#This Row],[Dest WG]]</f>
        <v>0</v>
      </c>
      <c r="BO17" s="191" cm="1">
        <f t="array" aca="1" ref="BO17" ca="1">IF(TblConstr[[#This Row],[Hour]:[Hour]]&gt;12,OFFSET(TblConstr[[#This Row],[DM]],-12,0),0)+OFFSET(TblConstr[[#This Row],[Tot DM]],-1,0)-TblConstr[[#This Row],[Dest DM]]</f>
        <v>0</v>
      </c>
      <c r="BP17" s="191" cm="1">
        <f t="array" aca="1" ref="BP17" ca="1">IF(TblConstr[[#This Row],[Hour]:[Hour]]&gt;12,OFFSET(TblConstr[[#This Row],[Sch]],-12,0),0)+OFFSET(TblConstr[[#This Row],[Tot Sch]],-1,0)-TblConstr[[#This Row],[Dest Sch]]</f>
        <v>0</v>
      </c>
      <c r="BQ17" s="192" cm="1">
        <f t="array" aca="1" ref="BQ17" ca="1">IF(TblConstr[[#This Row],[Hour]:[Hour]]&gt;12,OFFSET(TblConstr[[#This Row],[Doc]],-12,0),0)+OFFSET(TblConstr[[#This Row],[Tot Doc]],-1,0)-TblConstr[[#This Row],[Dest Doc]]</f>
        <v>0</v>
      </c>
      <c r="BR17" s="142"/>
      <c r="BS17" s="154"/>
      <c r="BT17" s="94">
        <f ca="1">TblConstr[[#This Row],[Land]]</f>
        <v>50</v>
      </c>
      <c r="BU17" s="159">
        <f ca="1">TblImps[[#This Row],[Time]]</f>
        <v>46320.541666666635</v>
      </c>
      <c r="BV17" s="142"/>
      <c r="BW17" s="179"/>
      <c r="BX17" s="179"/>
      <c r="BY17" s="179"/>
      <c r="BZ17" s="179"/>
      <c r="CA17" s="179"/>
      <c r="CB17" s="179"/>
      <c r="CC17" s="179"/>
      <c r="CD17" s="179"/>
      <c r="CE17" s="179"/>
      <c r="CF17" s="179"/>
      <c r="CG17" s="179"/>
      <c r="CH17" s="179"/>
      <c r="CI17" s="179"/>
      <c r="CJ17" s="179"/>
      <c r="CK17" s="179"/>
      <c r="CL17" s="179"/>
      <c r="CM17" s="179"/>
      <c r="CN17" s="179"/>
      <c r="CO17" s="179"/>
      <c r="CP17" s="142"/>
      <c r="CQ17" s="181">
        <f ca="1">-SUM(TblConstr[[#This Row],[Alc]:[Mas]])+SUM(TblConstr[[#This Row],[Dest Alc]:[Dest Mas]])+Rezone!L17+IF("Ch_"&amp; home_land=TblConstr[[#Headers],[Ch_Plain]],TblConstr[[#This Row],[Home Land]])+IF(TblConstr[[#This Row],[Hour]:[Hour]]&gt;12,OFFSET(TblExplore[[#This Row],[Plains Explore]],-12,0),0)</f>
        <v>0</v>
      </c>
      <c r="CR17" s="182">
        <f ca="1">-SUM(TblConstr[[#This Row],[Ly]:[Hav]])+SUM(TblConstr[[#This Row],[Dest Ly]:[Dest Hav]]) +Rezone!M17 + IF("Ch_"&amp; home_land=TblConstr[[#Headers],[Ch_Forest]],TblConstr[[#This Row],[Home Land]])+IF(TblConstr[[#This Row],[Hour]:[Hour]]&gt;12,OFFSET(TblExplore[[#This Row],[Forest Explore]],-12,0),0)</f>
        <v>0</v>
      </c>
      <c r="CS17" s="359">
        <f ca="1">-SUM(TblConstr[[#This Row],[OM]:[GN]])+SUM(TblConstr[[#This Row],[Dest OM]:[Dest GN]]) +Rezone!N17 + IF("Ch_"&amp; home_land=TblConstr[[#Headers],[Ch_Mountain]],TblConstr[[#This Row],[Home Land]])+IF(TblConstr[[#This Row],[Hour]:[Hour]]&gt;12,OFFSET(TblExplore[[#This Row],[Mountain Explore]],-12,0),0)</f>
        <v>0</v>
      </c>
      <c r="CT17" s="183">
        <f ca="1">-SUM(TblConstr[[#This Row],[Fac]:[Shr]])+SUM(TblConstr[[#This Row],[Dest Fac]:[Dest Shr]]) +Rezone!O17 + IF("Ch_" &amp; home_land=TblConstr[[#Headers],[Ch_Hill]],TblConstr[[#This Row],[Home Land]])+IF(TblConstr[[#This Row],[Hour]:[Hour]]&gt;12,OFFSET(TblExplore[[#This Row],[Hill Explore]],-12,0),0)</f>
        <v>0</v>
      </c>
      <c r="CU17" s="184">
        <f ca="1">-SUM(TblConstr[[#This Row],[Tow]:[WG]])+SUM(TblConstr[[#This Row],[Dest Tow]:[Dest WG]]) +Rezone!P17 + IF("Ch_" &amp; home_land=TblConstr[[#Headers],[Ch_Swamp]],TblConstr[[#This Row],[Home Land]])+IF(TblConstr[[#This Row],[Hour]:[Hour]]&gt;12,OFFSET(TblExplore[[#This Row],[Swamp Explore]],-12,0),0)</f>
        <v>0</v>
      </c>
      <c r="CV17" s="185">
        <f ca="1" xml:space="preserve"> - SUM(TblConstr[[#This Row],[DM]:[Sch]])+SUM(TblConstr[[#This Row],[Dest DM]:[Dest Sch]]) +Rezone!Q17 + IF("Ch_" &amp; home_land=TblConstr[[#Headers],[Ch_Cavern]],TblConstr[[#This Row],[Home Land]])+IF(TblConstr[[#This Row],[Hour]:[Hour]]&gt;12,OFFSET(TblExplore[[#This Row],[Cavern Explore]],-12,0),0)</f>
        <v>0</v>
      </c>
      <c r="CW17" s="186">
        <f ca="1">-TblConstr[[#This Row],[Doc]]+TblConstr[[#This Row],[Dest Doc]] +Rezone!R17 + IF("Ch_" &amp; home_land=TblConstr[[#Headers],[Ch_Water]],TblConstr[[#This Row],[Home Land]])+IF(TblConstr[[#This Row],[Hour]:[Hour]]&gt;12,OFFSET(TblExplore[[#This Row],[Water Explore]],-12,0),0)</f>
        <v>0</v>
      </c>
      <c r="CX17" s="45">
        <f>IF(Explore!S17=1,20) - TblConstr[[#This Row],[Hom]] + TblConstr[[#This Row],[Dest Hom]]</f>
        <v>0</v>
      </c>
      <c r="CY17" s="142"/>
      <c r="CZ17" s="94">
        <f t="shared" ca="1" si="3"/>
        <v>30</v>
      </c>
      <c r="DA17" s="94">
        <f t="shared" ca="1" si="4"/>
        <v>20</v>
      </c>
      <c r="DB17" s="45">
        <f t="shared" ca="1" si="5"/>
        <v>0</v>
      </c>
      <c r="DC17" s="94">
        <f t="shared" ca="1" si="6"/>
        <v>0</v>
      </c>
      <c r="DD17" s="94">
        <f t="shared" ca="1" si="7"/>
        <v>0</v>
      </c>
      <c r="DE17" s="45">
        <f t="shared" ca="1" si="8"/>
        <v>0</v>
      </c>
      <c r="DF17" s="94">
        <f t="shared" ca="1" si="9"/>
        <v>0</v>
      </c>
      <c r="DG17" s="94" cm="1">
        <f t="array" aca="1" ref="DG17" ca="1">INDEX(TblConstr[[Total Plain]:[Total Water]],ROW()-ROW(TblConstr[#Headers]),MATCH("Total "&amp;home_land,TblConstr[[#Headers],[Total Plain]:[Total Water]],0))+TblConstr[[#This Row],[Homes]]</f>
        <v>30</v>
      </c>
      <c r="DH17" s="45">
        <f t="shared" ref="DH17:DH75" ca="1" si="10">SUM(O6:O17)+AY17</f>
        <v>0</v>
      </c>
      <c r="DI17" s="45">
        <f t="shared" ca="1" si="0"/>
        <v>0</v>
      </c>
      <c r="DJ17" s="45">
        <f t="shared" ca="1" si="1"/>
        <v>0</v>
      </c>
    </row>
    <row r="18" spans="1:114" x14ac:dyDescent="0.2">
      <c r="A18" s="175">
        <f>TblRezone[[#This Row],[Hour]]</f>
        <v>15</v>
      </c>
      <c r="B18" s="176">
        <f ca="1">SUM(TblConstr[[#This Row],[Plain]:[Water]])</f>
        <v>0</v>
      </c>
      <c r="C18" s="177">
        <f ca="1">SUM(TblConstr[[#This Row],[Tot Hom]:[Tot Doc]])</f>
        <v>50</v>
      </c>
      <c r="D18" s="177">
        <f t="shared" si="2"/>
        <v>0</v>
      </c>
      <c r="E18" s="178"/>
      <c r="F18" s="61">
        <f ca="1">TblConstr[[#This Row],[Barren]]+TblConstr[[#This Row],[Buildings]]+TblConstr[[#This Row],[Incoming]]</f>
        <v>50</v>
      </c>
      <c r="G18" s="187">
        <f ca="1">OFFSET(TblConstr[[#This Row],[Plain]],-1,0)+TblConstr[[#This Row],[Ch_Plain]]</f>
        <v>0</v>
      </c>
      <c r="H18" s="182">
        <f ca="1">OFFSET(TblConstr[[#This Row],[Forest]],-1,0)+TblConstr[[#This Row],[Ch_Forest]]</f>
        <v>0</v>
      </c>
      <c r="I18" s="359">
        <f ca="1">OFFSET(TblConstr[[#This Row],[Mountain]],-1,0)+TblConstr[[#This Row],[Ch_Mountain]]</f>
        <v>0</v>
      </c>
      <c r="J18" s="363">
        <f ca="1">OFFSET(TblConstr[[#This Row],[Hill]],-1,0)+TblConstr[[#This Row],[Ch_Hill]]</f>
        <v>0</v>
      </c>
      <c r="K18" s="367">
        <f ca="1">OFFSET(TblConstr[[#This Row],[Swamp]],-1,0)+TblConstr[[#This Row],[Ch_Swamp]]</f>
        <v>0</v>
      </c>
      <c r="L18" s="185">
        <f ca="1">OFFSET(TblConstr[[#This Row],[Cavern]],-1,0)+TblConstr[[#This Row],[Ch_Cavern]]</f>
        <v>0</v>
      </c>
      <c r="M18" s="186">
        <f ca="1">OFFSET(TblConstr[[#This Row],[Water]],-1,0)+TblConstr[[#This Row],[Ch_Water]]</f>
        <v>0</v>
      </c>
      <c r="N18" s="357">
        <f>TblRezone[[#This Row],[Hour]]</f>
        <v>15</v>
      </c>
      <c r="O18" s="179"/>
      <c r="P18" s="179"/>
      <c r="Q18" s="179"/>
      <c r="R18" s="179"/>
      <c r="S18" s="179"/>
      <c r="T18" s="179"/>
      <c r="U18" s="179"/>
      <c r="V18" s="179"/>
      <c r="W18" s="179"/>
      <c r="X18" s="179"/>
      <c r="Y18" s="179"/>
      <c r="Z18" s="179"/>
      <c r="AA18" s="179"/>
      <c r="AB18" s="179"/>
      <c r="AC18" s="179"/>
      <c r="AD18" s="179"/>
      <c r="AE18" s="179"/>
      <c r="AF18" s="179"/>
      <c r="AG18" s="179"/>
      <c r="AH18" s="53">
        <f ca="1">TblImps[[#This Row],[Time]]</f>
        <v>46320.583333333299</v>
      </c>
      <c r="AI18" s="180">
        <f ca="1">MIN(25%,(TblConstr[[#This Row],[Tot Fac]]+TblConstr[[#This Row],[Dest Fac]])/(TblConstr[[#This Row],[Land]]-TblExplore[[#This Row],[Land Bonus]]*20))</f>
        <v>0</v>
      </c>
      <c r="AJ18" s="180">
        <f ca="1">MIN(25%,(TblConstr[[#This Row],[Tot Fac]]+TblConstr[[#This Row],[Dest Fac]])/TblConstr[[#This Row],[Land]])</f>
        <v>0</v>
      </c>
      <c r="AK18" s="94">
        <f ca="1">TblProd[[#This Row],[Platinum]]</f>
        <v>136614</v>
      </c>
      <c r="AL18" s="94">
        <f ca="1">TblProd[[#This Row],[Lumber]]</f>
        <v>26156</v>
      </c>
      <c r="AM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8" s="94">
        <f ca="1">ROUNDDOWN( MAX(1 - MIN(facs_constr_factor*TblConstr[[#This Row],[Facs -DB]],facs_constr_max) + tech_1_11*TblTech[[#This Row],[11-1]] + tech_6_3_2*TblTech[[#This Row],[6-3]] + tech_5_2_3*TblTech[[#This Row],[5-2]], 1-global_constr_cap) * TblConstr[[#This Row],[RCPA Lumber]],0)</f>
        <v>31</v>
      </c>
      <c r="AO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8" s="94">
        <f ca="1">ROUNDDOWN( MAX(1 - MIN(facs_constr_factor*TblConstr[[#This Row],[Facs DB]],facs_constr_max) + tech_1_11*TblTech[[#This Row],[1-11]] + tech_6_3_2*TblTech[[#This Row],[6-3]] + tech_5_2_3*TblTech[[#This Row],[5-2]], 1-global_constr_cap) * ROUND((TblConstr[[#This Row],[Land]]-250)*0.285 + 87.5 + 0/4.25,0),0)</f>
        <v>31</v>
      </c>
      <c r="AQ18" s="45">
        <f ca="1">TblConstr[[#This Row],[build -db]]*TblConstr[[#This Row],[CPA Platinum -DB]] + TblConstr[[#This Row],[build db]]*TblConstr[[#This Row],[CPA Platinum DB]]</f>
        <v>0</v>
      </c>
      <c r="AR18" s="45">
        <f ca="1">TblConstr[[#This Row],[build -db]]*TblConstr[[#This Row],[CPA Lumber -DB]] + TblConstr[[#This Row],[build db]]*TblConstr[[#This Row],[CPA Lumber DB]]</f>
        <v>0</v>
      </c>
      <c r="AS18" s="94">
        <f ca="1">MIN(SUM(OFFSET(TblConstr[[#This Row],[Plain]:[Water]],-1,0))+SUM(TblConstr[[#This Row],[Dest Hom]:[Dest Doc]])+IF(TblConstr[[#This Row],[Hour]]&gt;12,SUM(OFFSET(TblExplore[[#This Row],[Plains Explore]:[Water Explore]],-12,0)),0),SUM(TblConstr[[#This Row],[Hom]:[Doc]]))</f>
        <v>0</v>
      </c>
      <c r="AT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42"/>
      <c r="AV18" s="94">
        <f ca="1">ROUND((TblConstr[[#This Row],[Land]]-250 - IF(TblExplore[[#This Row],[Land Bonus]]&lt;&gt;0,20,0))*1.25 + 850 + 0,0)</f>
        <v>600</v>
      </c>
      <c r="AW18" s="94">
        <f ca="1">ROUND((TblConstr[[#This Row],[Land]]-250 - IF(TblExplore[[#This Row],[Land Bonus]]&lt;&gt;0,20,0))*0.285 + 87.5 + 0/4.25,0)</f>
        <v>31</v>
      </c>
      <c r="AX18" s="154"/>
      <c r="AY18" s="188" cm="1">
        <f t="array" aca="1" ref="AY18" ca="1">IF(TblConstr[[#This Row],[Hour]:[Hour]]&gt;12,OFFSET(TblConstr[[#This Row],[Hom]],-12,0),0)+OFFSET(TblConstr[[#This Row],[Tot Hom]],-1,0)-TblConstr[[#This Row],[Dest Hom]]</f>
        <v>0</v>
      </c>
      <c r="AZ18" s="189" cm="1">
        <f t="array" aca="1" ref="AZ18" ca="1">IF(TblConstr[[#This Row],[Hour]:[Hour]]&gt;12,OFFSET(TblConstr[[#This Row],[Alc]],-12,0),0)+OFFSET(TblConstr[[#This Row],[Tot Alc]],-1,0)-TblConstr[[#This Row],[Dest Alc]]</f>
        <v>0</v>
      </c>
      <c r="BA18" s="189" cm="1">
        <f t="array" aca="1" ref="BA18" ca="1">IF(TblConstr[[#This Row],[Hour]:[Hour]]&gt;12,OFFSET(TblConstr[[#This Row],[Far]],-12,0),0)+OFFSET(TblConstr[[#This Row],[Tot Farm]],-1,0)-TblConstr[[#This Row],[Dest Farm]]</f>
        <v>30</v>
      </c>
      <c r="BB18" s="189" cm="1">
        <f t="array" aca="1" ref="BB18" ca="1">IF(TblConstr[[#This Row],[Hour]:[Hour]]&gt;12,OFFSET(TblConstr[[#This Row],[Smi]],-12,0),0)+OFFSET(TblConstr[[#This Row],[Tot Smi]],-1,0)-TblConstr[[#This Row],[Dest Smi]]</f>
        <v>0</v>
      </c>
      <c r="BC18" s="189" cm="1">
        <f t="array" aca="1" ref="BC18" ca="1">IF(TblConstr[[#This Row],[Hour]:[Hour]]&gt;12,OFFSET(TblConstr[[#This Row],[Mas]],-12,0),0)+OFFSET(TblConstr[[#This Row],[Tot Mas]],-1,0)-TblConstr[[#This Row],[Dest Mas]]</f>
        <v>0</v>
      </c>
      <c r="BD18" s="190" cm="1">
        <f t="array" aca="1" ref="BD18" ca="1">IF(TblConstr[[#This Row],[Hour]:[Hour]]&gt;12,OFFSET(TblConstr[[#This Row],[Ly]],-12,0),0)+OFFSET(TblConstr[[#This Row],[Tot Ly]],-1,0)-TblConstr[[#This Row],[Dest Ly]]</f>
        <v>20</v>
      </c>
      <c r="BE18" s="190" cm="1">
        <f t="array" aca="1" ref="BE18" ca="1">IF(TblConstr[[#This Row],[Hour]:[Hour]]&gt;12,OFFSET(TblConstr[[#This Row],[Hav]],-12,0),0)+OFFSET(TblConstr[[#This Row],[Tot Hav]],-1,0)-TblConstr[[#This Row],[Dest Hav]]</f>
        <v>0</v>
      </c>
      <c r="BF18" s="361" cm="1">
        <f t="array" aca="1" ref="BF18" ca="1">IF(TblConstr[[#This Row],[Hour]:[Hour]]&gt;12,OFFSET(TblConstr[[#This Row],[OM]],-12,0),0)+OFFSET(TblConstr[[#This Row],[Tot OM]],-1,0)-TblConstr[[#This Row],[Dest OM]]</f>
        <v>0</v>
      </c>
      <c r="BG18" s="361" cm="1">
        <f t="array" aca="1" ref="BG18" ca="1">IF(TblConstr[[#This Row],[Hour]:[Hour]]&gt;12,OFFSET(TblConstr[[#This Row],[GN]],-12,0),0)+OFFSET(TblConstr[[#This Row],[Tot GN]],-1,0)-TblConstr[[#This Row],[Dest GN]]</f>
        <v>0</v>
      </c>
      <c r="BH18" s="365" cm="1">
        <f t="array" aca="1" ref="BH18" ca="1">IF(TblConstr[[#This Row],[Hour]:[Hour]]&gt;12,OFFSET(TblConstr[[#This Row],[Fac]],-12,0),0)+OFFSET(TblConstr[[#This Row],[Tot Fac]],-1,0)-TblConstr[[#This Row],[Dest Fac]]</f>
        <v>0</v>
      </c>
      <c r="BI18" s="365" cm="1">
        <f t="array" aca="1" ref="BI18" ca="1">IF(TblConstr[[#This Row],[Hour]:[Hour]]&gt;12,OFFSET(TblConstr[[#This Row],[GT]],-12,0),0)+OFFSET(TblConstr[[#This Row],[Tot GT]],-1,0)-TblConstr[[#This Row],[Dest GT]]</f>
        <v>0</v>
      </c>
      <c r="BJ18" s="365" cm="1">
        <f t="array" aca="1" ref="BJ18" ca="1">IF(TblConstr[[#This Row],[Hour]:[Hour]]&gt;12,OFFSET(TblConstr[[#This Row],[Bar]],-12,0),0)+OFFSET(TblConstr[[#This Row],[Tot Bar]],-1,0)-TblConstr[[#This Row],[Dest Bar]]</f>
        <v>0</v>
      </c>
      <c r="BK18" s="365" cm="1">
        <f t="array" aca="1" ref="BK18" ca="1">IF(TblConstr[[#This Row],[Hour]:[Hour]]&gt;12,OFFSET(TblConstr[[#This Row],[Shr]],-12,0),0)+OFFSET(TblConstr[[#This Row],[Tot Shr]],-1,0)-TblConstr[[#This Row],[Dest Shr]]</f>
        <v>0</v>
      </c>
      <c r="BL18" s="369" cm="1">
        <f t="array" aca="1" ref="BL18" ca="1">IF(TblConstr[[#This Row],[Hour]:[Hour]]&gt;12,OFFSET(TblConstr[[#This Row],[Tow]],-12,0),0)+OFFSET(TblConstr[[#This Row],[Tot Tow]],-1,0)-TblConstr[[#This Row],[Dest Tow]]</f>
        <v>0</v>
      </c>
      <c r="BM18" s="369" cm="1">
        <f t="array" aca="1" ref="BM18" ca="1">IF(TblConstr[[#This Row],[Hour]:[Hour]]&gt;12,OFFSET(TblConstr[[#This Row],[Tem]],-12,0),0)+OFFSET(TblConstr[[#This Row],[Tot Tem]],-1,0)-TblConstr[[#This Row],[Dest Tem]]</f>
        <v>0</v>
      </c>
      <c r="BN18" s="369" cm="1">
        <f t="array" aca="1" ref="BN18" ca="1">IF(TblConstr[[#This Row],[Hour]:[Hour]]&gt;12,OFFSET(TblConstr[[#This Row],[WG]],-12,0),0)+OFFSET(TblConstr[[#This Row],[Tot WG]],-1,0)-TblConstr[[#This Row],[Dest WG]]</f>
        <v>0</v>
      </c>
      <c r="BO18" s="191" cm="1">
        <f t="array" aca="1" ref="BO18" ca="1">IF(TblConstr[[#This Row],[Hour]:[Hour]]&gt;12,OFFSET(TblConstr[[#This Row],[DM]],-12,0),0)+OFFSET(TblConstr[[#This Row],[Tot DM]],-1,0)-TblConstr[[#This Row],[Dest DM]]</f>
        <v>0</v>
      </c>
      <c r="BP18" s="191" cm="1">
        <f t="array" aca="1" ref="BP18" ca="1">IF(TblConstr[[#This Row],[Hour]:[Hour]]&gt;12,OFFSET(TblConstr[[#This Row],[Sch]],-12,0),0)+OFFSET(TblConstr[[#This Row],[Tot Sch]],-1,0)-TblConstr[[#This Row],[Dest Sch]]</f>
        <v>0</v>
      </c>
      <c r="BQ18" s="192" cm="1">
        <f t="array" aca="1" ref="BQ18" ca="1">IF(TblConstr[[#This Row],[Hour]:[Hour]]&gt;12,OFFSET(TblConstr[[#This Row],[Doc]],-12,0),0)+OFFSET(TblConstr[[#This Row],[Tot Doc]],-1,0)-TblConstr[[#This Row],[Dest Doc]]</f>
        <v>0</v>
      </c>
      <c r="BR18" s="142"/>
      <c r="BS18" s="154"/>
      <c r="BT18" s="94">
        <f ca="1">TblConstr[[#This Row],[Land]]</f>
        <v>50</v>
      </c>
      <c r="BU18" s="159">
        <f ca="1">TblImps[[#This Row],[Time]]</f>
        <v>46320.583333333299</v>
      </c>
      <c r="BV18" s="142"/>
      <c r="BW18" s="179"/>
      <c r="BX18" s="179"/>
      <c r="BY18" s="179"/>
      <c r="BZ18" s="179"/>
      <c r="CA18" s="179"/>
      <c r="CB18" s="179"/>
      <c r="CC18" s="179"/>
      <c r="CD18" s="179"/>
      <c r="CE18" s="179"/>
      <c r="CF18" s="179"/>
      <c r="CG18" s="179"/>
      <c r="CH18" s="179"/>
      <c r="CI18" s="179"/>
      <c r="CJ18" s="179"/>
      <c r="CK18" s="179"/>
      <c r="CL18" s="179"/>
      <c r="CM18" s="179"/>
      <c r="CN18" s="179"/>
      <c r="CO18" s="179"/>
      <c r="CP18" s="142"/>
      <c r="CQ18" s="181">
        <f ca="1">-SUM(TblConstr[[#This Row],[Alc]:[Mas]])+SUM(TblConstr[[#This Row],[Dest Alc]:[Dest Mas]])+Rezone!L18+IF("Ch_"&amp; home_land=TblConstr[[#Headers],[Ch_Plain]],TblConstr[[#This Row],[Home Land]])+IF(TblConstr[[#This Row],[Hour]:[Hour]]&gt;12,OFFSET(TblExplore[[#This Row],[Plains Explore]],-12,0),0)</f>
        <v>0</v>
      </c>
      <c r="CR18" s="182">
        <f ca="1">-SUM(TblConstr[[#This Row],[Ly]:[Hav]])+SUM(TblConstr[[#This Row],[Dest Ly]:[Dest Hav]]) +Rezone!M18 + IF("Ch_"&amp; home_land=TblConstr[[#Headers],[Ch_Forest]],TblConstr[[#This Row],[Home Land]])+IF(TblConstr[[#This Row],[Hour]:[Hour]]&gt;12,OFFSET(TblExplore[[#This Row],[Forest Explore]],-12,0),0)</f>
        <v>0</v>
      </c>
      <c r="CS18" s="359">
        <f ca="1">-SUM(TblConstr[[#This Row],[OM]:[GN]])+SUM(TblConstr[[#This Row],[Dest OM]:[Dest GN]]) +Rezone!N18 + IF("Ch_"&amp; home_land=TblConstr[[#Headers],[Ch_Mountain]],TblConstr[[#This Row],[Home Land]])+IF(TblConstr[[#This Row],[Hour]:[Hour]]&gt;12,OFFSET(TblExplore[[#This Row],[Mountain Explore]],-12,0),0)</f>
        <v>0</v>
      </c>
      <c r="CT18" s="183">
        <f ca="1">-SUM(TblConstr[[#This Row],[Fac]:[Shr]])+SUM(TblConstr[[#This Row],[Dest Fac]:[Dest Shr]]) +Rezone!O18 + IF("Ch_" &amp; home_land=TblConstr[[#Headers],[Ch_Hill]],TblConstr[[#This Row],[Home Land]])+IF(TblConstr[[#This Row],[Hour]:[Hour]]&gt;12,OFFSET(TblExplore[[#This Row],[Hill Explore]],-12,0),0)</f>
        <v>0</v>
      </c>
      <c r="CU18" s="184">
        <f ca="1">-SUM(TblConstr[[#This Row],[Tow]:[WG]])+SUM(TblConstr[[#This Row],[Dest Tow]:[Dest WG]]) +Rezone!P18 + IF("Ch_" &amp; home_land=TblConstr[[#Headers],[Ch_Swamp]],TblConstr[[#This Row],[Home Land]])+IF(TblConstr[[#This Row],[Hour]:[Hour]]&gt;12,OFFSET(TblExplore[[#This Row],[Swamp Explore]],-12,0),0)</f>
        <v>0</v>
      </c>
      <c r="CV18" s="185">
        <f ca="1" xml:space="preserve"> - SUM(TblConstr[[#This Row],[DM]:[Sch]])+SUM(TblConstr[[#This Row],[Dest DM]:[Dest Sch]]) +Rezone!Q18 + IF("Ch_" &amp; home_land=TblConstr[[#Headers],[Ch_Cavern]],TblConstr[[#This Row],[Home Land]])+IF(TblConstr[[#This Row],[Hour]:[Hour]]&gt;12,OFFSET(TblExplore[[#This Row],[Cavern Explore]],-12,0),0)</f>
        <v>0</v>
      </c>
      <c r="CW18" s="186">
        <f ca="1">-TblConstr[[#This Row],[Doc]]+TblConstr[[#This Row],[Dest Doc]] +Rezone!R18 + IF("Ch_" &amp; home_land=TblConstr[[#Headers],[Ch_Water]],TblConstr[[#This Row],[Home Land]])+IF(TblConstr[[#This Row],[Hour]:[Hour]]&gt;12,OFFSET(TblExplore[[#This Row],[Water Explore]],-12,0),0)</f>
        <v>0</v>
      </c>
      <c r="CX18" s="45">
        <f>IF(Explore!S18=1,20) - TblConstr[[#This Row],[Hom]] + TblConstr[[#This Row],[Dest Hom]]</f>
        <v>0</v>
      </c>
      <c r="CY18" s="142"/>
      <c r="CZ18" s="94">
        <f t="shared" ca="1" si="3"/>
        <v>30</v>
      </c>
      <c r="DA18" s="94">
        <f t="shared" ca="1" si="4"/>
        <v>20</v>
      </c>
      <c r="DB18" s="45">
        <f t="shared" ca="1" si="5"/>
        <v>0</v>
      </c>
      <c r="DC18" s="94">
        <f t="shared" ca="1" si="6"/>
        <v>0</v>
      </c>
      <c r="DD18" s="94">
        <f t="shared" ca="1" si="7"/>
        <v>0</v>
      </c>
      <c r="DE18" s="45">
        <f t="shared" ca="1" si="8"/>
        <v>0</v>
      </c>
      <c r="DF18" s="94">
        <f t="shared" ca="1" si="9"/>
        <v>0</v>
      </c>
      <c r="DG18" s="94" cm="1">
        <f t="array" aca="1" ref="DG18" ca="1">INDEX(TblConstr[[Total Plain]:[Total Water]],ROW()-ROW(TblConstr[#Headers]),MATCH("Total "&amp;home_land,TblConstr[[#Headers],[Total Plain]:[Total Water]],0))+TblConstr[[#This Row],[Homes]]</f>
        <v>30</v>
      </c>
      <c r="DH18" s="45">
        <f t="shared" ca="1" si="10"/>
        <v>0</v>
      </c>
      <c r="DI18" s="45">
        <f t="shared" ca="1" si="0"/>
        <v>0</v>
      </c>
      <c r="DJ18" s="45">
        <f t="shared" ca="1" si="1"/>
        <v>0</v>
      </c>
    </row>
    <row r="19" spans="1:114" x14ac:dyDescent="0.2">
      <c r="A19" s="175">
        <f>TblRezone[[#This Row],[Hour]]</f>
        <v>16</v>
      </c>
      <c r="B19" s="176">
        <f ca="1">SUM(TblConstr[[#This Row],[Plain]:[Water]])</f>
        <v>0</v>
      </c>
      <c r="C19" s="177">
        <f ca="1">SUM(TblConstr[[#This Row],[Tot Hom]:[Tot Doc]])</f>
        <v>50</v>
      </c>
      <c r="D19" s="177">
        <f t="shared" si="2"/>
        <v>0</v>
      </c>
      <c r="E19" s="178"/>
      <c r="F19" s="61">
        <f ca="1">TblConstr[[#This Row],[Barren]]+TblConstr[[#This Row],[Buildings]]+TblConstr[[#This Row],[Incoming]]</f>
        <v>50</v>
      </c>
      <c r="G19" s="187">
        <f ca="1">OFFSET(TblConstr[[#This Row],[Plain]],-1,0)+TblConstr[[#This Row],[Ch_Plain]]</f>
        <v>0</v>
      </c>
      <c r="H19" s="182">
        <f ca="1">OFFSET(TblConstr[[#This Row],[Forest]],-1,0)+TblConstr[[#This Row],[Ch_Forest]]</f>
        <v>0</v>
      </c>
      <c r="I19" s="359">
        <f ca="1">OFFSET(TblConstr[[#This Row],[Mountain]],-1,0)+TblConstr[[#This Row],[Ch_Mountain]]</f>
        <v>0</v>
      </c>
      <c r="J19" s="363">
        <f ca="1">OFFSET(TblConstr[[#This Row],[Hill]],-1,0)+TblConstr[[#This Row],[Ch_Hill]]</f>
        <v>0</v>
      </c>
      <c r="K19" s="367">
        <f ca="1">OFFSET(TblConstr[[#This Row],[Swamp]],-1,0)+TblConstr[[#This Row],[Ch_Swamp]]</f>
        <v>0</v>
      </c>
      <c r="L19" s="185">
        <f ca="1">OFFSET(TblConstr[[#This Row],[Cavern]],-1,0)+TblConstr[[#This Row],[Ch_Cavern]]</f>
        <v>0</v>
      </c>
      <c r="M19" s="186">
        <f ca="1">OFFSET(TblConstr[[#This Row],[Water]],-1,0)+TblConstr[[#This Row],[Ch_Water]]</f>
        <v>0</v>
      </c>
      <c r="N19" s="357">
        <f>TblRezone[[#This Row],[Hour]]</f>
        <v>16</v>
      </c>
      <c r="O19" s="179"/>
      <c r="P19" s="179"/>
      <c r="Q19" s="179"/>
      <c r="R19" s="179"/>
      <c r="S19" s="179"/>
      <c r="T19" s="179"/>
      <c r="U19" s="179"/>
      <c r="V19" s="179"/>
      <c r="W19" s="179"/>
      <c r="X19" s="179"/>
      <c r="Y19" s="179"/>
      <c r="Z19" s="179"/>
      <c r="AA19" s="179"/>
      <c r="AB19" s="179"/>
      <c r="AC19" s="179"/>
      <c r="AD19" s="179"/>
      <c r="AE19" s="179"/>
      <c r="AF19" s="179"/>
      <c r="AG19" s="179"/>
      <c r="AH19" s="53">
        <f ca="1">TblImps[[#This Row],[Time]]</f>
        <v>46320.624999999964</v>
      </c>
      <c r="AI19" s="180">
        <f ca="1">MIN(25%,(TblConstr[[#This Row],[Tot Fac]]+TblConstr[[#This Row],[Dest Fac]])/(TblConstr[[#This Row],[Land]]-TblExplore[[#This Row],[Land Bonus]]*20))</f>
        <v>0</v>
      </c>
      <c r="AJ19" s="180">
        <f ca="1">MIN(25%,(TblConstr[[#This Row],[Tot Fac]]+TblConstr[[#This Row],[Dest Fac]])/TblConstr[[#This Row],[Land]])</f>
        <v>0</v>
      </c>
      <c r="AK19" s="94">
        <f ca="1">TblProd[[#This Row],[Platinum]]</f>
        <v>137718</v>
      </c>
      <c r="AL19" s="94">
        <f ca="1">TblProd[[#This Row],[Lumber]]</f>
        <v>26894</v>
      </c>
      <c r="AM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9" s="94">
        <f ca="1">ROUNDDOWN( MAX(1 - MIN(facs_constr_factor*TblConstr[[#This Row],[Facs -DB]],facs_constr_max) + tech_1_11*TblTech[[#This Row],[11-1]] + tech_6_3_2*TblTech[[#This Row],[6-3]] + tech_5_2_3*TblTech[[#This Row],[5-2]], 1-global_constr_cap) * TblConstr[[#This Row],[RCPA Lumber]],0)</f>
        <v>31</v>
      </c>
      <c r="AO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9" s="94">
        <f ca="1">ROUNDDOWN( MAX(1 - MIN(facs_constr_factor*TblConstr[[#This Row],[Facs DB]],facs_constr_max) + tech_1_11*TblTech[[#This Row],[1-11]] + tech_6_3_2*TblTech[[#This Row],[6-3]] + tech_5_2_3*TblTech[[#This Row],[5-2]], 1-global_constr_cap) * ROUND((TblConstr[[#This Row],[Land]]-250)*0.285 + 87.5 + 0/4.25,0),0)</f>
        <v>31</v>
      </c>
      <c r="AQ19" s="45">
        <f ca="1">TblConstr[[#This Row],[build -db]]*TblConstr[[#This Row],[CPA Platinum -DB]] + TblConstr[[#This Row],[build db]]*TblConstr[[#This Row],[CPA Platinum DB]]</f>
        <v>0</v>
      </c>
      <c r="AR19" s="45">
        <f ca="1">TblConstr[[#This Row],[build -db]]*TblConstr[[#This Row],[CPA Lumber -DB]] + TblConstr[[#This Row],[build db]]*TblConstr[[#This Row],[CPA Lumber DB]]</f>
        <v>0</v>
      </c>
      <c r="AS19" s="94">
        <f ca="1">MIN(SUM(OFFSET(TblConstr[[#This Row],[Plain]:[Water]],-1,0))+SUM(TblConstr[[#This Row],[Dest Hom]:[Dest Doc]])+IF(TblConstr[[#This Row],[Hour]]&gt;12,SUM(OFFSET(TblExplore[[#This Row],[Plains Explore]:[Water Explore]],-12,0)),0),SUM(TblConstr[[#This Row],[Hom]:[Doc]]))</f>
        <v>0</v>
      </c>
      <c r="AT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42"/>
      <c r="AV19" s="94">
        <f ca="1">ROUND((TblConstr[[#This Row],[Land]]-250 - IF(TblExplore[[#This Row],[Land Bonus]]&lt;&gt;0,20,0))*1.25 + 850 + 0,0)</f>
        <v>600</v>
      </c>
      <c r="AW19" s="94">
        <f ca="1">ROUND((TblConstr[[#This Row],[Land]]-250 - IF(TblExplore[[#This Row],[Land Bonus]]&lt;&gt;0,20,0))*0.285 + 87.5 + 0/4.25,0)</f>
        <v>31</v>
      </c>
      <c r="AX19" s="154"/>
      <c r="AY19" s="188" cm="1">
        <f t="array" aca="1" ref="AY19" ca="1">IF(TblConstr[[#This Row],[Hour]:[Hour]]&gt;12,OFFSET(TblConstr[[#This Row],[Hom]],-12,0),0)+OFFSET(TblConstr[[#This Row],[Tot Hom]],-1,0)-TblConstr[[#This Row],[Dest Hom]]</f>
        <v>0</v>
      </c>
      <c r="AZ19" s="189" cm="1">
        <f t="array" aca="1" ref="AZ19" ca="1">IF(TblConstr[[#This Row],[Hour]:[Hour]]&gt;12,OFFSET(TblConstr[[#This Row],[Alc]],-12,0),0)+OFFSET(TblConstr[[#This Row],[Tot Alc]],-1,0)-TblConstr[[#This Row],[Dest Alc]]</f>
        <v>0</v>
      </c>
      <c r="BA19" s="189" cm="1">
        <f t="array" aca="1" ref="BA19" ca="1">IF(TblConstr[[#This Row],[Hour]:[Hour]]&gt;12,OFFSET(TblConstr[[#This Row],[Far]],-12,0),0)+OFFSET(TblConstr[[#This Row],[Tot Farm]],-1,0)-TblConstr[[#This Row],[Dest Farm]]</f>
        <v>30</v>
      </c>
      <c r="BB19" s="189" cm="1">
        <f t="array" aca="1" ref="BB19" ca="1">IF(TblConstr[[#This Row],[Hour]:[Hour]]&gt;12,OFFSET(TblConstr[[#This Row],[Smi]],-12,0),0)+OFFSET(TblConstr[[#This Row],[Tot Smi]],-1,0)-TblConstr[[#This Row],[Dest Smi]]</f>
        <v>0</v>
      </c>
      <c r="BC19" s="189" cm="1">
        <f t="array" aca="1" ref="BC19" ca="1">IF(TblConstr[[#This Row],[Hour]:[Hour]]&gt;12,OFFSET(TblConstr[[#This Row],[Mas]],-12,0),0)+OFFSET(TblConstr[[#This Row],[Tot Mas]],-1,0)-TblConstr[[#This Row],[Dest Mas]]</f>
        <v>0</v>
      </c>
      <c r="BD19" s="190" cm="1">
        <f t="array" aca="1" ref="BD19" ca="1">IF(TblConstr[[#This Row],[Hour]:[Hour]]&gt;12,OFFSET(TblConstr[[#This Row],[Ly]],-12,0),0)+OFFSET(TblConstr[[#This Row],[Tot Ly]],-1,0)-TblConstr[[#This Row],[Dest Ly]]</f>
        <v>20</v>
      </c>
      <c r="BE19" s="190" cm="1">
        <f t="array" aca="1" ref="BE19" ca="1">IF(TblConstr[[#This Row],[Hour]:[Hour]]&gt;12,OFFSET(TblConstr[[#This Row],[Hav]],-12,0),0)+OFFSET(TblConstr[[#This Row],[Tot Hav]],-1,0)-TblConstr[[#This Row],[Dest Hav]]</f>
        <v>0</v>
      </c>
      <c r="BF19" s="361" cm="1">
        <f t="array" aca="1" ref="BF19" ca="1">IF(TblConstr[[#This Row],[Hour]:[Hour]]&gt;12,OFFSET(TblConstr[[#This Row],[OM]],-12,0),0)+OFFSET(TblConstr[[#This Row],[Tot OM]],-1,0)-TblConstr[[#This Row],[Dest OM]]</f>
        <v>0</v>
      </c>
      <c r="BG19" s="361" cm="1">
        <f t="array" aca="1" ref="BG19" ca="1">IF(TblConstr[[#This Row],[Hour]:[Hour]]&gt;12,OFFSET(TblConstr[[#This Row],[GN]],-12,0),0)+OFFSET(TblConstr[[#This Row],[Tot GN]],-1,0)-TblConstr[[#This Row],[Dest GN]]</f>
        <v>0</v>
      </c>
      <c r="BH19" s="365" cm="1">
        <f t="array" aca="1" ref="BH19" ca="1">IF(TblConstr[[#This Row],[Hour]:[Hour]]&gt;12,OFFSET(TblConstr[[#This Row],[Fac]],-12,0),0)+OFFSET(TblConstr[[#This Row],[Tot Fac]],-1,0)-TblConstr[[#This Row],[Dest Fac]]</f>
        <v>0</v>
      </c>
      <c r="BI19" s="365" cm="1">
        <f t="array" aca="1" ref="BI19" ca="1">IF(TblConstr[[#This Row],[Hour]:[Hour]]&gt;12,OFFSET(TblConstr[[#This Row],[GT]],-12,0),0)+OFFSET(TblConstr[[#This Row],[Tot GT]],-1,0)-TblConstr[[#This Row],[Dest GT]]</f>
        <v>0</v>
      </c>
      <c r="BJ19" s="365" cm="1">
        <f t="array" aca="1" ref="BJ19" ca="1">IF(TblConstr[[#This Row],[Hour]:[Hour]]&gt;12,OFFSET(TblConstr[[#This Row],[Bar]],-12,0),0)+OFFSET(TblConstr[[#This Row],[Tot Bar]],-1,0)-TblConstr[[#This Row],[Dest Bar]]</f>
        <v>0</v>
      </c>
      <c r="BK19" s="365" cm="1">
        <f t="array" aca="1" ref="BK19" ca="1">IF(TblConstr[[#This Row],[Hour]:[Hour]]&gt;12,OFFSET(TblConstr[[#This Row],[Shr]],-12,0),0)+OFFSET(TblConstr[[#This Row],[Tot Shr]],-1,0)-TblConstr[[#This Row],[Dest Shr]]</f>
        <v>0</v>
      </c>
      <c r="BL19" s="369" cm="1">
        <f t="array" aca="1" ref="BL19" ca="1">IF(TblConstr[[#This Row],[Hour]:[Hour]]&gt;12,OFFSET(TblConstr[[#This Row],[Tow]],-12,0),0)+OFFSET(TblConstr[[#This Row],[Tot Tow]],-1,0)-TblConstr[[#This Row],[Dest Tow]]</f>
        <v>0</v>
      </c>
      <c r="BM19" s="369" cm="1">
        <f t="array" aca="1" ref="BM19" ca="1">IF(TblConstr[[#This Row],[Hour]:[Hour]]&gt;12,OFFSET(TblConstr[[#This Row],[Tem]],-12,0),0)+OFFSET(TblConstr[[#This Row],[Tot Tem]],-1,0)-TblConstr[[#This Row],[Dest Tem]]</f>
        <v>0</v>
      </c>
      <c r="BN19" s="369" cm="1">
        <f t="array" aca="1" ref="BN19" ca="1">IF(TblConstr[[#This Row],[Hour]:[Hour]]&gt;12,OFFSET(TblConstr[[#This Row],[WG]],-12,0),0)+OFFSET(TblConstr[[#This Row],[Tot WG]],-1,0)-TblConstr[[#This Row],[Dest WG]]</f>
        <v>0</v>
      </c>
      <c r="BO19" s="191" cm="1">
        <f t="array" aca="1" ref="BO19" ca="1">IF(TblConstr[[#This Row],[Hour]:[Hour]]&gt;12,OFFSET(TblConstr[[#This Row],[DM]],-12,0),0)+OFFSET(TblConstr[[#This Row],[Tot DM]],-1,0)-TblConstr[[#This Row],[Dest DM]]</f>
        <v>0</v>
      </c>
      <c r="BP19" s="191" cm="1">
        <f t="array" aca="1" ref="BP19" ca="1">IF(TblConstr[[#This Row],[Hour]:[Hour]]&gt;12,OFFSET(TblConstr[[#This Row],[Sch]],-12,0),0)+OFFSET(TblConstr[[#This Row],[Tot Sch]],-1,0)-TblConstr[[#This Row],[Dest Sch]]</f>
        <v>0</v>
      </c>
      <c r="BQ19" s="192" cm="1">
        <f t="array" aca="1" ref="BQ19" ca="1">IF(TblConstr[[#This Row],[Hour]:[Hour]]&gt;12,OFFSET(TblConstr[[#This Row],[Doc]],-12,0),0)+OFFSET(TblConstr[[#This Row],[Tot Doc]],-1,0)-TblConstr[[#This Row],[Dest Doc]]</f>
        <v>0</v>
      </c>
      <c r="BR19" s="142"/>
      <c r="BS19" s="154"/>
      <c r="BT19" s="94">
        <f ca="1">TblConstr[[#This Row],[Land]]</f>
        <v>50</v>
      </c>
      <c r="BU19" s="159">
        <f ca="1">TblImps[[#This Row],[Time]]</f>
        <v>46320.624999999964</v>
      </c>
      <c r="BV19" s="142"/>
      <c r="BW19" s="179"/>
      <c r="BX19" s="179"/>
      <c r="BY19" s="179"/>
      <c r="BZ19" s="179"/>
      <c r="CA19" s="179"/>
      <c r="CB19" s="179"/>
      <c r="CC19" s="179"/>
      <c r="CD19" s="179"/>
      <c r="CE19" s="179"/>
      <c r="CF19" s="179"/>
      <c r="CG19" s="179"/>
      <c r="CH19" s="179"/>
      <c r="CI19" s="179"/>
      <c r="CJ19" s="179"/>
      <c r="CK19" s="179"/>
      <c r="CL19" s="179"/>
      <c r="CM19" s="179"/>
      <c r="CN19" s="179"/>
      <c r="CO19" s="179"/>
      <c r="CP19" s="142"/>
      <c r="CQ19" s="181">
        <f ca="1">-SUM(TblConstr[[#This Row],[Alc]:[Mas]])+SUM(TblConstr[[#This Row],[Dest Alc]:[Dest Mas]])+Rezone!L19+IF("Ch_"&amp; home_land=TblConstr[[#Headers],[Ch_Plain]],TblConstr[[#This Row],[Home Land]])+IF(TblConstr[[#This Row],[Hour]:[Hour]]&gt;12,OFFSET(TblExplore[[#This Row],[Plains Explore]],-12,0),0)</f>
        <v>0</v>
      </c>
      <c r="CR19" s="182">
        <f ca="1">-SUM(TblConstr[[#This Row],[Ly]:[Hav]])+SUM(TblConstr[[#This Row],[Dest Ly]:[Dest Hav]]) +Rezone!M19 + IF("Ch_"&amp; home_land=TblConstr[[#Headers],[Ch_Forest]],TblConstr[[#This Row],[Home Land]])+IF(TblConstr[[#This Row],[Hour]:[Hour]]&gt;12,OFFSET(TblExplore[[#This Row],[Forest Explore]],-12,0),0)</f>
        <v>0</v>
      </c>
      <c r="CS19" s="359">
        <f ca="1">-SUM(TblConstr[[#This Row],[OM]:[GN]])+SUM(TblConstr[[#This Row],[Dest OM]:[Dest GN]]) +Rezone!N19 + IF("Ch_"&amp; home_land=TblConstr[[#Headers],[Ch_Mountain]],TblConstr[[#This Row],[Home Land]])+IF(TblConstr[[#This Row],[Hour]:[Hour]]&gt;12,OFFSET(TblExplore[[#This Row],[Mountain Explore]],-12,0),0)</f>
        <v>0</v>
      </c>
      <c r="CT19" s="183">
        <f ca="1">-SUM(TblConstr[[#This Row],[Fac]:[Shr]])+SUM(TblConstr[[#This Row],[Dest Fac]:[Dest Shr]]) +Rezone!O19 + IF("Ch_" &amp; home_land=TblConstr[[#Headers],[Ch_Hill]],TblConstr[[#This Row],[Home Land]])+IF(TblConstr[[#This Row],[Hour]:[Hour]]&gt;12,OFFSET(TblExplore[[#This Row],[Hill Explore]],-12,0),0)</f>
        <v>0</v>
      </c>
      <c r="CU19" s="184">
        <f ca="1">-SUM(TblConstr[[#This Row],[Tow]:[WG]])+SUM(TblConstr[[#This Row],[Dest Tow]:[Dest WG]]) +Rezone!P19 + IF("Ch_" &amp; home_land=TblConstr[[#Headers],[Ch_Swamp]],TblConstr[[#This Row],[Home Land]])+IF(TblConstr[[#This Row],[Hour]:[Hour]]&gt;12,OFFSET(TblExplore[[#This Row],[Swamp Explore]],-12,0),0)</f>
        <v>0</v>
      </c>
      <c r="CV19" s="185">
        <f ca="1" xml:space="preserve"> - SUM(TblConstr[[#This Row],[DM]:[Sch]])+SUM(TblConstr[[#This Row],[Dest DM]:[Dest Sch]]) +Rezone!Q19 + IF("Ch_" &amp; home_land=TblConstr[[#Headers],[Ch_Cavern]],TblConstr[[#This Row],[Home Land]])+IF(TblConstr[[#This Row],[Hour]:[Hour]]&gt;12,OFFSET(TblExplore[[#This Row],[Cavern Explore]],-12,0),0)</f>
        <v>0</v>
      </c>
      <c r="CW19" s="186">
        <f ca="1">-TblConstr[[#This Row],[Doc]]+TblConstr[[#This Row],[Dest Doc]] +Rezone!R19 + IF("Ch_" &amp; home_land=TblConstr[[#Headers],[Ch_Water]],TblConstr[[#This Row],[Home Land]])+IF(TblConstr[[#This Row],[Hour]:[Hour]]&gt;12,OFFSET(TblExplore[[#This Row],[Water Explore]],-12,0),0)</f>
        <v>0</v>
      </c>
      <c r="CX19" s="45">
        <f>IF(Explore!S19=1,20) - TblConstr[[#This Row],[Hom]] + TblConstr[[#This Row],[Dest Hom]]</f>
        <v>0</v>
      </c>
      <c r="CY19" s="142"/>
      <c r="CZ19" s="94">
        <f t="shared" ca="1" si="3"/>
        <v>30</v>
      </c>
      <c r="DA19" s="94">
        <f t="shared" ca="1" si="4"/>
        <v>20</v>
      </c>
      <c r="DB19" s="45">
        <f t="shared" ca="1" si="5"/>
        <v>0</v>
      </c>
      <c r="DC19" s="94">
        <f t="shared" ca="1" si="6"/>
        <v>0</v>
      </c>
      <c r="DD19" s="94">
        <f t="shared" ca="1" si="7"/>
        <v>0</v>
      </c>
      <c r="DE19" s="45">
        <f t="shared" ca="1" si="8"/>
        <v>0</v>
      </c>
      <c r="DF19" s="94">
        <f t="shared" ca="1" si="9"/>
        <v>0</v>
      </c>
      <c r="DG19" s="94" cm="1">
        <f t="array" aca="1" ref="DG19" ca="1">INDEX(TblConstr[[Total Plain]:[Total Water]],ROW()-ROW(TblConstr[#Headers]),MATCH("Total "&amp;home_land,TblConstr[[#Headers],[Total Plain]:[Total Water]],0))+TblConstr[[#This Row],[Homes]]</f>
        <v>30</v>
      </c>
      <c r="DH19" s="45">
        <f t="shared" ca="1" si="10"/>
        <v>0</v>
      </c>
      <c r="DI19" s="45">
        <f t="shared" ca="1" si="0"/>
        <v>0</v>
      </c>
      <c r="DJ19" s="45">
        <f t="shared" ca="1" si="1"/>
        <v>0</v>
      </c>
    </row>
    <row r="20" spans="1:114" x14ac:dyDescent="0.2">
      <c r="A20" s="175">
        <f>TblRezone[[#This Row],[Hour]]</f>
        <v>17</v>
      </c>
      <c r="B20" s="176">
        <f ca="1">SUM(TblConstr[[#This Row],[Plain]:[Water]])</f>
        <v>0</v>
      </c>
      <c r="C20" s="177">
        <f ca="1">SUM(TblConstr[[#This Row],[Tot Hom]:[Tot Doc]])</f>
        <v>50</v>
      </c>
      <c r="D20" s="177">
        <f t="shared" si="2"/>
        <v>0</v>
      </c>
      <c r="E20" s="178"/>
      <c r="F20" s="61">
        <f ca="1">TblConstr[[#This Row],[Barren]]+TblConstr[[#This Row],[Buildings]]+TblConstr[[#This Row],[Incoming]]</f>
        <v>50</v>
      </c>
      <c r="G20" s="187">
        <f ca="1">OFFSET(TblConstr[[#This Row],[Plain]],-1,0)+TblConstr[[#This Row],[Ch_Plain]]</f>
        <v>0</v>
      </c>
      <c r="H20" s="182">
        <f ca="1">OFFSET(TblConstr[[#This Row],[Forest]],-1,0)+TblConstr[[#This Row],[Ch_Forest]]</f>
        <v>0</v>
      </c>
      <c r="I20" s="359">
        <f ca="1">OFFSET(TblConstr[[#This Row],[Mountain]],-1,0)+TblConstr[[#This Row],[Ch_Mountain]]</f>
        <v>0</v>
      </c>
      <c r="J20" s="363">
        <f ca="1">OFFSET(TblConstr[[#This Row],[Hill]],-1,0)+TblConstr[[#This Row],[Ch_Hill]]</f>
        <v>0</v>
      </c>
      <c r="K20" s="367">
        <f ca="1">OFFSET(TblConstr[[#This Row],[Swamp]],-1,0)+TblConstr[[#This Row],[Ch_Swamp]]</f>
        <v>0</v>
      </c>
      <c r="L20" s="185">
        <f ca="1">OFFSET(TblConstr[[#This Row],[Cavern]],-1,0)+TblConstr[[#This Row],[Ch_Cavern]]</f>
        <v>0</v>
      </c>
      <c r="M20" s="186">
        <f ca="1">OFFSET(TblConstr[[#This Row],[Water]],-1,0)+TblConstr[[#This Row],[Ch_Water]]</f>
        <v>0</v>
      </c>
      <c r="N20" s="357">
        <f>TblRezone[[#This Row],[Hour]]</f>
        <v>17</v>
      </c>
      <c r="O20" s="179"/>
      <c r="P20" s="179"/>
      <c r="Q20" s="179"/>
      <c r="R20" s="179"/>
      <c r="S20" s="179"/>
      <c r="T20" s="179"/>
      <c r="U20" s="179"/>
      <c r="V20" s="179"/>
      <c r="W20" s="179"/>
      <c r="X20" s="179"/>
      <c r="Y20" s="179"/>
      <c r="Z20" s="179"/>
      <c r="AA20" s="179"/>
      <c r="AB20" s="179"/>
      <c r="AC20" s="179"/>
      <c r="AD20" s="179"/>
      <c r="AE20" s="179"/>
      <c r="AF20" s="179"/>
      <c r="AG20" s="179"/>
      <c r="AH20" s="53">
        <f ca="1">TblImps[[#This Row],[Time]]</f>
        <v>46320.666666666628</v>
      </c>
      <c r="AI20" s="180">
        <f ca="1">MIN(25%,(TblConstr[[#This Row],[Tot Fac]]+TblConstr[[#This Row],[Dest Fac]])/(TblConstr[[#This Row],[Land]]-TblExplore[[#This Row],[Land Bonus]]*20))</f>
        <v>0</v>
      </c>
      <c r="AJ20" s="180">
        <f ca="1">MIN(25%,(TblConstr[[#This Row],[Tot Fac]]+TblConstr[[#This Row],[Dest Fac]])/TblConstr[[#This Row],[Land]])</f>
        <v>0</v>
      </c>
      <c r="AK20" s="94">
        <f ca="1">TblProd[[#This Row],[Platinum]]</f>
        <v>138811</v>
      </c>
      <c r="AL20" s="94">
        <f ca="1">TblProd[[#This Row],[Lumber]]</f>
        <v>27625</v>
      </c>
      <c r="AM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0" s="94">
        <f ca="1">ROUNDDOWN( MAX(1 - MIN(facs_constr_factor*TblConstr[[#This Row],[Facs -DB]],facs_constr_max) + tech_1_11*TblTech[[#This Row],[11-1]] + tech_6_3_2*TblTech[[#This Row],[6-3]] + tech_5_2_3*TblTech[[#This Row],[5-2]], 1-global_constr_cap) * TblConstr[[#This Row],[RCPA Lumber]],0)</f>
        <v>31</v>
      </c>
      <c r="AO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0" s="94">
        <f ca="1">ROUNDDOWN( MAX(1 - MIN(facs_constr_factor*TblConstr[[#This Row],[Facs DB]],facs_constr_max) + tech_1_11*TblTech[[#This Row],[1-11]] + tech_6_3_2*TblTech[[#This Row],[6-3]] + tech_5_2_3*TblTech[[#This Row],[5-2]], 1-global_constr_cap) * ROUND((TblConstr[[#This Row],[Land]]-250)*0.285 + 87.5 + 0/4.25,0),0)</f>
        <v>31</v>
      </c>
      <c r="AQ20" s="45">
        <f ca="1">TblConstr[[#This Row],[build -db]]*TblConstr[[#This Row],[CPA Platinum -DB]] + TblConstr[[#This Row],[build db]]*TblConstr[[#This Row],[CPA Platinum DB]]</f>
        <v>0</v>
      </c>
      <c r="AR20" s="45">
        <f ca="1">TblConstr[[#This Row],[build -db]]*TblConstr[[#This Row],[CPA Lumber -DB]] + TblConstr[[#This Row],[build db]]*TblConstr[[#This Row],[CPA Lumber DB]]</f>
        <v>0</v>
      </c>
      <c r="AS20" s="94">
        <f ca="1">MIN(SUM(OFFSET(TblConstr[[#This Row],[Plain]:[Water]],-1,0))+SUM(TblConstr[[#This Row],[Dest Hom]:[Dest Doc]])+IF(TblConstr[[#This Row],[Hour]]&gt;12,SUM(OFFSET(TblExplore[[#This Row],[Plains Explore]:[Water Explore]],-12,0)),0),SUM(TblConstr[[#This Row],[Hom]:[Doc]]))</f>
        <v>0</v>
      </c>
      <c r="AT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42"/>
      <c r="AV20" s="94">
        <f ca="1">ROUND((TblConstr[[#This Row],[Land]]-250 - IF(TblExplore[[#This Row],[Land Bonus]]&lt;&gt;0,20,0))*1.25 + 850 + 0,0)</f>
        <v>600</v>
      </c>
      <c r="AW20" s="94">
        <f ca="1">ROUND((TblConstr[[#This Row],[Land]]-250 - IF(TblExplore[[#This Row],[Land Bonus]]&lt;&gt;0,20,0))*0.285 + 87.5 + 0/4.25,0)</f>
        <v>31</v>
      </c>
      <c r="AX20" s="154"/>
      <c r="AY20" s="188" cm="1">
        <f t="array" aca="1" ref="AY20" ca="1">IF(TblConstr[[#This Row],[Hour]:[Hour]]&gt;12,OFFSET(TblConstr[[#This Row],[Hom]],-12,0),0)+OFFSET(TblConstr[[#This Row],[Tot Hom]],-1,0)-TblConstr[[#This Row],[Dest Hom]]</f>
        <v>0</v>
      </c>
      <c r="AZ20" s="189" cm="1">
        <f t="array" aca="1" ref="AZ20" ca="1">IF(TblConstr[[#This Row],[Hour]:[Hour]]&gt;12,OFFSET(TblConstr[[#This Row],[Alc]],-12,0),0)+OFFSET(TblConstr[[#This Row],[Tot Alc]],-1,0)-TblConstr[[#This Row],[Dest Alc]]</f>
        <v>0</v>
      </c>
      <c r="BA20" s="189" cm="1">
        <f t="array" aca="1" ref="BA20" ca="1">IF(TblConstr[[#This Row],[Hour]:[Hour]]&gt;12,OFFSET(TblConstr[[#This Row],[Far]],-12,0),0)+OFFSET(TblConstr[[#This Row],[Tot Farm]],-1,0)-TblConstr[[#This Row],[Dest Farm]]</f>
        <v>30</v>
      </c>
      <c r="BB20" s="189" cm="1">
        <f t="array" aca="1" ref="BB20" ca="1">IF(TblConstr[[#This Row],[Hour]:[Hour]]&gt;12,OFFSET(TblConstr[[#This Row],[Smi]],-12,0),0)+OFFSET(TblConstr[[#This Row],[Tot Smi]],-1,0)-TblConstr[[#This Row],[Dest Smi]]</f>
        <v>0</v>
      </c>
      <c r="BC20" s="189" cm="1">
        <f t="array" aca="1" ref="BC20" ca="1">IF(TblConstr[[#This Row],[Hour]:[Hour]]&gt;12,OFFSET(TblConstr[[#This Row],[Mas]],-12,0),0)+OFFSET(TblConstr[[#This Row],[Tot Mas]],-1,0)-TblConstr[[#This Row],[Dest Mas]]</f>
        <v>0</v>
      </c>
      <c r="BD20" s="190" cm="1">
        <f t="array" aca="1" ref="BD20" ca="1">IF(TblConstr[[#This Row],[Hour]:[Hour]]&gt;12,OFFSET(TblConstr[[#This Row],[Ly]],-12,0),0)+OFFSET(TblConstr[[#This Row],[Tot Ly]],-1,0)-TblConstr[[#This Row],[Dest Ly]]</f>
        <v>20</v>
      </c>
      <c r="BE20" s="190" cm="1">
        <f t="array" aca="1" ref="BE20" ca="1">IF(TblConstr[[#This Row],[Hour]:[Hour]]&gt;12,OFFSET(TblConstr[[#This Row],[Hav]],-12,0),0)+OFFSET(TblConstr[[#This Row],[Tot Hav]],-1,0)-TblConstr[[#This Row],[Dest Hav]]</f>
        <v>0</v>
      </c>
      <c r="BF20" s="361" cm="1">
        <f t="array" aca="1" ref="BF20" ca="1">IF(TblConstr[[#This Row],[Hour]:[Hour]]&gt;12,OFFSET(TblConstr[[#This Row],[OM]],-12,0),0)+OFFSET(TblConstr[[#This Row],[Tot OM]],-1,0)-TblConstr[[#This Row],[Dest OM]]</f>
        <v>0</v>
      </c>
      <c r="BG20" s="361" cm="1">
        <f t="array" aca="1" ref="BG20" ca="1">IF(TblConstr[[#This Row],[Hour]:[Hour]]&gt;12,OFFSET(TblConstr[[#This Row],[GN]],-12,0),0)+OFFSET(TblConstr[[#This Row],[Tot GN]],-1,0)-TblConstr[[#This Row],[Dest GN]]</f>
        <v>0</v>
      </c>
      <c r="BH20" s="365" cm="1">
        <f t="array" aca="1" ref="BH20" ca="1">IF(TblConstr[[#This Row],[Hour]:[Hour]]&gt;12,OFFSET(TblConstr[[#This Row],[Fac]],-12,0),0)+OFFSET(TblConstr[[#This Row],[Tot Fac]],-1,0)-TblConstr[[#This Row],[Dest Fac]]</f>
        <v>0</v>
      </c>
      <c r="BI20" s="365" cm="1">
        <f t="array" aca="1" ref="BI20" ca="1">IF(TblConstr[[#This Row],[Hour]:[Hour]]&gt;12,OFFSET(TblConstr[[#This Row],[GT]],-12,0),0)+OFFSET(TblConstr[[#This Row],[Tot GT]],-1,0)-TblConstr[[#This Row],[Dest GT]]</f>
        <v>0</v>
      </c>
      <c r="BJ20" s="365" cm="1">
        <f t="array" aca="1" ref="BJ20" ca="1">IF(TblConstr[[#This Row],[Hour]:[Hour]]&gt;12,OFFSET(TblConstr[[#This Row],[Bar]],-12,0),0)+OFFSET(TblConstr[[#This Row],[Tot Bar]],-1,0)-TblConstr[[#This Row],[Dest Bar]]</f>
        <v>0</v>
      </c>
      <c r="BK20" s="365" cm="1">
        <f t="array" aca="1" ref="BK20" ca="1">IF(TblConstr[[#This Row],[Hour]:[Hour]]&gt;12,OFFSET(TblConstr[[#This Row],[Shr]],-12,0),0)+OFFSET(TblConstr[[#This Row],[Tot Shr]],-1,0)-TblConstr[[#This Row],[Dest Shr]]</f>
        <v>0</v>
      </c>
      <c r="BL20" s="369" cm="1">
        <f t="array" aca="1" ref="BL20" ca="1">IF(TblConstr[[#This Row],[Hour]:[Hour]]&gt;12,OFFSET(TblConstr[[#This Row],[Tow]],-12,0),0)+OFFSET(TblConstr[[#This Row],[Tot Tow]],-1,0)-TblConstr[[#This Row],[Dest Tow]]</f>
        <v>0</v>
      </c>
      <c r="BM20" s="369" cm="1">
        <f t="array" aca="1" ref="BM20" ca="1">IF(TblConstr[[#This Row],[Hour]:[Hour]]&gt;12,OFFSET(TblConstr[[#This Row],[Tem]],-12,0),0)+OFFSET(TblConstr[[#This Row],[Tot Tem]],-1,0)-TblConstr[[#This Row],[Dest Tem]]</f>
        <v>0</v>
      </c>
      <c r="BN20" s="369" cm="1">
        <f t="array" aca="1" ref="BN20" ca="1">IF(TblConstr[[#This Row],[Hour]:[Hour]]&gt;12,OFFSET(TblConstr[[#This Row],[WG]],-12,0),0)+OFFSET(TblConstr[[#This Row],[Tot WG]],-1,0)-TblConstr[[#This Row],[Dest WG]]</f>
        <v>0</v>
      </c>
      <c r="BO20" s="191" cm="1">
        <f t="array" aca="1" ref="BO20" ca="1">IF(TblConstr[[#This Row],[Hour]:[Hour]]&gt;12,OFFSET(TblConstr[[#This Row],[DM]],-12,0),0)+OFFSET(TblConstr[[#This Row],[Tot DM]],-1,0)-TblConstr[[#This Row],[Dest DM]]</f>
        <v>0</v>
      </c>
      <c r="BP20" s="191" cm="1">
        <f t="array" aca="1" ref="BP20" ca="1">IF(TblConstr[[#This Row],[Hour]:[Hour]]&gt;12,OFFSET(TblConstr[[#This Row],[Sch]],-12,0),0)+OFFSET(TblConstr[[#This Row],[Tot Sch]],-1,0)-TblConstr[[#This Row],[Dest Sch]]</f>
        <v>0</v>
      </c>
      <c r="BQ20" s="192" cm="1">
        <f t="array" aca="1" ref="BQ20" ca="1">IF(TblConstr[[#This Row],[Hour]:[Hour]]&gt;12,OFFSET(TblConstr[[#This Row],[Doc]],-12,0),0)+OFFSET(TblConstr[[#This Row],[Tot Doc]],-1,0)-TblConstr[[#This Row],[Dest Doc]]</f>
        <v>0</v>
      </c>
      <c r="BR20" s="142"/>
      <c r="BS20" s="154"/>
      <c r="BT20" s="94">
        <f ca="1">TblConstr[[#This Row],[Land]]</f>
        <v>50</v>
      </c>
      <c r="BU20" s="159">
        <f ca="1">TblImps[[#This Row],[Time]]</f>
        <v>46320.666666666628</v>
      </c>
      <c r="BV20" s="142"/>
      <c r="BW20" s="179"/>
      <c r="BX20" s="179"/>
      <c r="BY20" s="179"/>
      <c r="BZ20" s="179"/>
      <c r="CA20" s="179"/>
      <c r="CB20" s="179"/>
      <c r="CC20" s="179"/>
      <c r="CD20" s="179"/>
      <c r="CE20" s="179"/>
      <c r="CF20" s="179"/>
      <c r="CG20" s="179"/>
      <c r="CH20" s="179"/>
      <c r="CI20" s="179"/>
      <c r="CJ20" s="179"/>
      <c r="CK20" s="179"/>
      <c r="CL20" s="179"/>
      <c r="CM20" s="179"/>
      <c r="CN20" s="179"/>
      <c r="CO20" s="179"/>
      <c r="CP20" s="142"/>
      <c r="CQ20" s="181">
        <f ca="1">-SUM(TblConstr[[#This Row],[Alc]:[Mas]])+SUM(TblConstr[[#This Row],[Dest Alc]:[Dest Mas]])+Rezone!L20+IF("Ch_"&amp; home_land=TblConstr[[#Headers],[Ch_Plain]],TblConstr[[#This Row],[Home Land]])+IF(TblConstr[[#This Row],[Hour]:[Hour]]&gt;12,OFFSET(TblExplore[[#This Row],[Plains Explore]],-12,0),0)</f>
        <v>0</v>
      </c>
      <c r="CR20" s="182">
        <f ca="1">-SUM(TblConstr[[#This Row],[Ly]:[Hav]])+SUM(TblConstr[[#This Row],[Dest Ly]:[Dest Hav]]) +Rezone!M20 + IF("Ch_"&amp; home_land=TblConstr[[#Headers],[Ch_Forest]],TblConstr[[#This Row],[Home Land]])+IF(TblConstr[[#This Row],[Hour]:[Hour]]&gt;12,OFFSET(TblExplore[[#This Row],[Forest Explore]],-12,0),0)</f>
        <v>0</v>
      </c>
      <c r="CS20" s="359">
        <f ca="1">-SUM(TblConstr[[#This Row],[OM]:[GN]])+SUM(TblConstr[[#This Row],[Dest OM]:[Dest GN]]) +Rezone!N20 + IF("Ch_"&amp; home_land=TblConstr[[#Headers],[Ch_Mountain]],TblConstr[[#This Row],[Home Land]])+IF(TblConstr[[#This Row],[Hour]:[Hour]]&gt;12,OFFSET(TblExplore[[#This Row],[Mountain Explore]],-12,0),0)</f>
        <v>0</v>
      </c>
      <c r="CT20" s="183">
        <f ca="1">-SUM(TblConstr[[#This Row],[Fac]:[Shr]])+SUM(TblConstr[[#This Row],[Dest Fac]:[Dest Shr]]) +Rezone!O20 + IF("Ch_" &amp; home_land=TblConstr[[#Headers],[Ch_Hill]],TblConstr[[#This Row],[Home Land]])+IF(TblConstr[[#This Row],[Hour]:[Hour]]&gt;12,OFFSET(TblExplore[[#This Row],[Hill Explore]],-12,0),0)</f>
        <v>0</v>
      </c>
      <c r="CU20" s="184">
        <f ca="1">-SUM(TblConstr[[#This Row],[Tow]:[WG]])+SUM(TblConstr[[#This Row],[Dest Tow]:[Dest WG]]) +Rezone!P20 + IF("Ch_" &amp; home_land=TblConstr[[#Headers],[Ch_Swamp]],TblConstr[[#This Row],[Home Land]])+IF(TblConstr[[#This Row],[Hour]:[Hour]]&gt;12,OFFSET(TblExplore[[#This Row],[Swamp Explore]],-12,0),0)</f>
        <v>0</v>
      </c>
      <c r="CV20" s="185">
        <f ca="1" xml:space="preserve"> - SUM(TblConstr[[#This Row],[DM]:[Sch]])+SUM(TblConstr[[#This Row],[Dest DM]:[Dest Sch]]) +Rezone!Q20 + IF("Ch_" &amp; home_land=TblConstr[[#Headers],[Ch_Cavern]],TblConstr[[#This Row],[Home Land]])+IF(TblConstr[[#This Row],[Hour]:[Hour]]&gt;12,OFFSET(TblExplore[[#This Row],[Cavern Explore]],-12,0),0)</f>
        <v>0</v>
      </c>
      <c r="CW20" s="186">
        <f ca="1">-TblConstr[[#This Row],[Doc]]+TblConstr[[#This Row],[Dest Doc]] +Rezone!R20 + IF("Ch_" &amp; home_land=TblConstr[[#Headers],[Ch_Water]],TblConstr[[#This Row],[Home Land]])+IF(TblConstr[[#This Row],[Hour]:[Hour]]&gt;12,OFFSET(TblExplore[[#This Row],[Water Explore]],-12,0),0)</f>
        <v>0</v>
      </c>
      <c r="CX20" s="45">
        <f>IF(Explore!S20=1,20) - TblConstr[[#This Row],[Hom]] + TblConstr[[#This Row],[Dest Hom]]</f>
        <v>0</v>
      </c>
      <c r="CY20" s="142"/>
      <c r="CZ20" s="94">
        <f t="shared" ca="1" si="3"/>
        <v>30</v>
      </c>
      <c r="DA20" s="94">
        <f t="shared" ca="1" si="4"/>
        <v>20</v>
      </c>
      <c r="DB20" s="45">
        <f t="shared" ca="1" si="5"/>
        <v>0</v>
      </c>
      <c r="DC20" s="94">
        <f t="shared" ca="1" si="6"/>
        <v>0</v>
      </c>
      <c r="DD20" s="94">
        <f t="shared" ca="1" si="7"/>
        <v>0</v>
      </c>
      <c r="DE20" s="45">
        <f t="shared" ca="1" si="8"/>
        <v>0</v>
      </c>
      <c r="DF20" s="94">
        <f t="shared" ca="1" si="9"/>
        <v>0</v>
      </c>
      <c r="DG20" s="94" cm="1">
        <f t="array" aca="1" ref="DG20" ca="1">INDEX(TblConstr[[Total Plain]:[Total Water]],ROW()-ROW(TblConstr[#Headers]),MATCH("Total "&amp;home_land,TblConstr[[#Headers],[Total Plain]:[Total Water]],0))+TblConstr[[#This Row],[Homes]]</f>
        <v>30</v>
      </c>
      <c r="DH20" s="45">
        <f t="shared" ca="1" si="10"/>
        <v>0</v>
      </c>
      <c r="DI20" s="45">
        <f t="shared" ca="1" si="0"/>
        <v>0</v>
      </c>
      <c r="DJ20" s="45">
        <f t="shared" ca="1" si="1"/>
        <v>0</v>
      </c>
    </row>
    <row r="21" spans="1:114" x14ac:dyDescent="0.2">
      <c r="A21" s="175">
        <f>TblRezone[[#This Row],[Hour]]</f>
        <v>18</v>
      </c>
      <c r="B21" s="176">
        <f ca="1">SUM(TblConstr[[#This Row],[Plain]:[Water]])</f>
        <v>0</v>
      </c>
      <c r="C21" s="177">
        <f ca="1">SUM(TblConstr[[#This Row],[Tot Hom]:[Tot Doc]])</f>
        <v>50</v>
      </c>
      <c r="D21" s="177">
        <f t="shared" si="2"/>
        <v>0</v>
      </c>
      <c r="E21" s="178"/>
      <c r="F21" s="61">
        <f ca="1">TblConstr[[#This Row],[Barren]]+TblConstr[[#This Row],[Buildings]]+TblConstr[[#This Row],[Incoming]]</f>
        <v>50</v>
      </c>
      <c r="G21" s="187">
        <f ca="1">OFFSET(TblConstr[[#This Row],[Plain]],-1,0)+TblConstr[[#This Row],[Ch_Plain]]</f>
        <v>0</v>
      </c>
      <c r="H21" s="182">
        <f ca="1">OFFSET(TblConstr[[#This Row],[Forest]],-1,0)+TblConstr[[#This Row],[Ch_Forest]]</f>
        <v>0</v>
      </c>
      <c r="I21" s="359">
        <f ca="1">OFFSET(TblConstr[[#This Row],[Mountain]],-1,0)+TblConstr[[#This Row],[Ch_Mountain]]</f>
        <v>0</v>
      </c>
      <c r="J21" s="363">
        <f ca="1">OFFSET(TblConstr[[#This Row],[Hill]],-1,0)+TblConstr[[#This Row],[Ch_Hill]]</f>
        <v>0</v>
      </c>
      <c r="K21" s="367">
        <f ca="1">OFFSET(TblConstr[[#This Row],[Swamp]],-1,0)+TblConstr[[#This Row],[Ch_Swamp]]</f>
        <v>0</v>
      </c>
      <c r="L21" s="185">
        <f ca="1">OFFSET(TblConstr[[#This Row],[Cavern]],-1,0)+TblConstr[[#This Row],[Ch_Cavern]]</f>
        <v>0</v>
      </c>
      <c r="M21" s="186">
        <f ca="1">OFFSET(TblConstr[[#This Row],[Water]],-1,0)+TblConstr[[#This Row],[Ch_Water]]</f>
        <v>0</v>
      </c>
      <c r="N21" s="357">
        <f>TblRezone[[#This Row],[Hour]]</f>
        <v>18</v>
      </c>
      <c r="O21" s="179"/>
      <c r="P21" s="179"/>
      <c r="Q21" s="179"/>
      <c r="R21" s="179"/>
      <c r="S21" s="179"/>
      <c r="T21" s="179"/>
      <c r="U21" s="179"/>
      <c r="V21" s="179"/>
      <c r="W21" s="179"/>
      <c r="X21" s="179"/>
      <c r="Y21" s="179"/>
      <c r="Z21" s="179"/>
      <c r="AA21" s="179"/>
      <c r="AB21" s="179"/>
      <c r="AC21" s="179"/>
      <c r="AD21" s="179"/>
      <c r="AE21" s="179"/>
      <c r="AF21" s="179"/>
      <c r="AG21" s="179"/>
      <c r="AH21" s="53">
        <f ca="1">TblImps[[#This Row],[Time]]</f>
        <v>46320.708333333292</v>
      </c>
      <c r="AI21" s="180">
        <f ca="1">MIN(25%,(TblConstr[[#This Row],[Tot Fac]]+TblConstr[[#This Row],[Dest Fac]])/(TblConstr[[#This Row],[Land]]-TblExplore[[#This Row],[Land Bonus]]*20))</f>
        <v>0</v>
      </c>
      <c r="AJ21" s="180">
        <f ca="1">MIN(25%,(TblConstr[[#This Row],[Tot Fac]]+TblConstr[[#This Row],[Dest Fac]])/TblConstr[[#This Row],[Land]])</f>
        <v>0</v>
      </c>
      <c r="AK21" s="94">
        <f ca="1">TblProd[[#This Row],[Platinum]]</f>
        <v>139893</v>
      </c>
      <c r="AL21" s="94">
        <f ca="1">TblProd[[#This Row],[Lumber]]</f>
        <v>28349</v>
      </c>
      <c r="AM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1" s="94">
        <f ca="1">ROUNDDOWN( MAX(1 - MIN(facs_constr_factor*TblConstr[[#This Row],[Facs -DB]],facs_constr_max) + tech_1_11*TblTech[[#This Row],[11-1]] + tech_6_3_2*TblTech[[#This Row],[6-3]] + tech_5_2_3*TblTech[[#This Row],[5-2]], 1-global_constr_cap) * TblConstr[[#This Row],[RCPA Lumber]],0)</f>
        <v>31</v>
      </c>
      <c r="AO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1" s="94">
        <f ca="1">ROUNDDOWN( MAX(1 - MIN(facs_constr_factor*TblConstr[[#This Row],[Facs DB]],facs_constr_max) + tech_1_11*TblTech[[#This Row],[1-11]] + tech_6_3_2*TblTech[[#This Row],[6-3]] + tech_5_2_3*TblTech[[#This Row],[5-2]], 1-global_constr_cap) * ROUND((TblConstr[[#This Row],[Land]]-250)*0.285 + 87.5 + 0/4.25,0),0)</f>
        <v>31</v>
      </c>
      <c r="AQ21" s="45">
        <f ca="1">TblConstr[[#This Row],[build -db]]*TblConstr[[#This Row],[CPA Platinum -DB]] + TblConstr[[#This Row],[build db]]*TblConstr[[#This Row],[CPA Platinum DB]]</f>
        <v>0</v>
      </c>
      <c r="AR21" s="45">
        <f ca="1">TblConstr[[#This Row],[build -db]]*TblConstr[[#This Row],[CPA Lumber -DB]] + TblConstr[[#This Row],[build db]]*TblConstr[[#This Row],[CPA Lumber DB]]</f>
        <v>0</v>
      </c>
      <c r="AS21" s="94">
        <f ca="1">MIN(SUM(OFFSET(TblConstr[[#This Row],[Plain]:[Water]],-1,0))+SUM(TblConstr[[#This Row],[Dest Hom]:[Dest Doc]])+IF(TblConstr[[#This Row],[Hour]]&gt;12,SUM(OFFSET(TblExplore[[#This Row],[Plains Explore]:[Water Explore]],-12,0)),0),SUM(TblConstr[[#This Row],[Hom]:[Doc]]))</f>
        <v>0</v>
      </c>
      <c r="AT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42"/>
      <c r="AV21" s="94">
        <f ca="1">ROUND((TblConstr[[#This Row],[Land]]-250 - IF(TblExplore[[#This Row],[Land Bonus]]&lt;&gt;0,20,0))*1.25 + 850 + 0,0)</f>
        <v>600</v>
      </c>
      <c r="AW21" s="94">
        <f ca="1">ROUND((TblConstr[[#This Row],[Land]]-250 - IF(TblExplore[[#This Row],[Land Bonus]]&lt;&gt;0,20,0))*0.285 + 87.5 + 0/4.25,0)</f>
        <v>31</v>
      </c>
      <c r="AX21" s="154"/>
      <c r="AY21" s="188" cm="1">
        <f t="array" aca="1" ref="AY21" ca="1">IF(TblConstr[[#This Row],[Hour]:[Hour]]&gt;12,OFFSET(TblConstr[[#This Row],[Hom]],-12,0),0)+OFFSET(TblConstr[[#This Row],[Tot Hom]],-1,0)-TblConstr[[#This Row],[Dest Hom]]</f>
        <v>0</v>
      </c>
      <c r="AZ21" s="189" cm="1">
        <f t="array" aca="1" ref="AZ21" ca="1">IF(TblConstr[[#This Row],[Hour]:[Hour]]&gt;12,OFFSET(TblConstr[[#This Row],[Alc]],-12,0),0)+OFFSET(TblConstr[[#This Row],[Tot Alc]],-1,0)-TblConstr[[#This Row],[Dest Alc]]</f>
        <v>0</v>
      </c>
      <c r="BA21" s="189" cm="1">
        <f t="array" aca="1" ref="BA21" ca="1">IF(TblConstr[[#This Row],[Hour]:[Hour]]&gt;12,OFFSET(TblConstr[[#This Row],[Far]],-12,0),0)+OFFSET(TblConstr[[#This Row],[Tot Farm]],-1,0)-TblConstr[[#This Row],[Dest Farm]]</f>
        <v>30</v>
      </c>
      <c r="BB21" s="189" cm="1">
        <f t="array" aca="1" ref="BB21" ca="1">IF(TblConstr[[#This Row],[Hour]:[Hour]]&gt;12,OFFSET(TblConstr[[#This Row],[Smi]],-12,0),0)+OFFSET(TblConstr[[#This Row],[Tot Smi]],-1,0)-TblConstr[[#This Row],[Dest Smi]]</f>
        <v>0</v>
      </c>
      <c r="BC21" s="189" cm="1">
        <f t="array" aca="1" ref="BC21" ca="1">IF(TblConstr[[#This Row],[Hour]:[Hour]]&gt;12,OFFSET(TblConstr[[#This Row],[Mas]],-12,0),0)+OFFSET(TblConstr[[#This Row],[Tot Mas]],-1,0)-TblConstr[[#This Row],[Dest Mas]]</f>
        <v>0</v>
      </c>
      <c r="BD21" s="190" cm="1">
        <f t="array" aca="1" ref="BD21" ca="1">IF(TblConstr[[#This Row],[Hour]:[Hour]]&gt;12,OFFSET(TblConstr[[#This Row],[Ly]],-12,0),0)+OFFSET(TblConstr[[#This Row],[Tot Ly]],-1,0)-TblConstr[[#This Row],[Dest Ly]]</f>
        <v>20</v>
      </c>
      <c r="BE21" s="190" cm="1">
        <f t="array" aca="1" ref="BE21" ca="1">IF(TblConstr[[#This Row],[Hour]:[Hour]]&gt;12,OFFSET(TblConstr[[#This Row],[Hav]],-12,0),0)+OFFSET(TblConstr[[#This Row],[Tot Hav]],-1,0)-TblConstr[[#This Row],[Dest Hav]]</f>
        <v>0</v>
      </c>
      <c r="BF21" s="361" cm="1">
        <f t="array" aca="1" ref="BF21" ca="1">IF(TblConstr[[#This Row],[Hour]:[Hour]]&gt;12,OFFSET(TblConstr[[#This Row],[OM]],-12,0),0)+OFFSET(TblConstr[[#This Row],[Tot OM]],-1,0)-TblConstr[[#This Row],[Dest OM]]</f>
        <v>0</v>
      </c>
      <c r="BG21" s="361" cm="1">
        <f t="array" aca="1" ref="BG21" ca="1">IF(TblConstr[[#This Row],[Hour]:[Hour]]&gt;12,OFFSET(TblConstr[[#This Row],[GN]],-12,0),0)+OFFSET(TblConstr[[#This Row],[Tot GN]],-1,0)-TblConstr[[#This Row],[Dest GN]]</f>
        <v>0</v>
      </c>
      <c r="BH21" s="365" cm="1">
        <f t="array" aca="1" ref="BH21" ca="1">IF(TblConstr[[#This Row],[Hour]:[Hour]]&gt;12,OFFSET(TblConstr[[#This Row],[Fac]],-12,0),0)+OFFSET(TblConstr[[#This Row],[Tot Fac]],-1,0)-TblConstr[[#This Row],[Dest Fac]]</f>
        <v>0</v>
      </c>
      <c r="BI21" s="365" cm="1">
        <f t="array" aca="1" ref="BI21" ca="1">IF(TblConstr[[#This Row],[Hour]:[Hour]]&gt;12,OFFSET(TblConstr[[#This Row],[GT]],-12,0),0)+OFFSET(TblConstr[[#This Row],[Tot GT]],-1,0)-TblConstr[[#This Row],[Dest GT]]</f>
        <v>0</v>
      </c>
      <c r="BJ21" s="365" cm="1">
        <f t="array" aca="1" ref="BJ21" ca="1">IF(TblConstr[[#This Row],[Hour]:[Hour]]&gt;12,OFFSET(TblConstr[[#This Row],[Bar]],-12,0),0)+OFFSET(TblConstr[[#This Row],[Tot Bar]],-1,0)-TblConstr[[#This Row],[Dest Bar]]</f>
        <v>0</v>
      </c>
      <c r="BK21" s="365" cm="1">
        <f t="array" aca="1" ref="BK21" ca="1">IF(TblConstr[[#This Row],[Hour]:[Hour]]&gt;12,OFFSET(TblConstr[[#This Row],[Shr]],-12,0),0)+OFFSET(TblConstr[[#This Row],[Tot Shr]],-1,0)-TblConstr[[#This Row],[Dest Shr]]</f>
        <v>0</v>
      </c>
      <c r="BL21" s="369" cm="1">
        <f t="array" aca="1" ref="BL21" ca="1">IF(TblConstr[[#This Row],[Hour]:[Hour]]&gt;12,OFFSET(TblConstr[[#This Row],[Tow]],-12,0),0)+OFFSET(TblConstr[[#This Row],[Tot Tow]],-1,0)-TblConstr[[#This Row],[Dest Tow]]</f>
        <v>0</v>
      </c>
      <c r="BM21" s="369" cm="1">
        <f t="array" aca="1" ref="BM21" ca="1">IF(TblConstr[[#This Row],[Hour]:[Hour]]&gt;12,OFFSET(TblConstr[[#This Row],[Tem]],-12,0),0)+OFFSET(TblConstr[[#This Row],[Tot Tem]],-1,0)-TblConstr[[#This Row],[Dest Tem]]</f>
        <v>0</v>
      </c>
      <c r="BN21" s="369" cm="1">
        <f t="array" aca="1" ref="BN21" ca="1">IF(TblConstr[[#This Row],[Hour]:[Hour]]&gt;12,OFFSET(TblConstr[[#This Row],[WG]],-12,0),0)+OFFSET(TblConstr[[#This Row],[Tot WG]],-1,0)-TblConstr[[#This Row],[Dest WG]]</f>
        <v>0</v>
      </c>
      <c r="BO21" s="191" cm="1">
        <f t="array" aca="1" ref="BO21" ca="1">IF(TblConstr[[#This Row],[Hour]:[Hour]]&gt;12,OFFSET(TblConstr[[#This Row],[DM]],-12,0),0)+OFFSET(TblConstr[[#This Row],[Tot DM]],-1,0)-TblConstr[[#This Row],[Dest DM]]</f>
        <v>0</v>
      </c>
      <c r="BP21" s="191" cm="1">
        <f t="array" aca="1" ref="BP21" ca="1">IF(TblConstr[[#This Row],[Hour]:[Hour]]&gt;12,OFFSET(TblConstr[[#This Row],[Sch]],-12,0),0)+OFFSET(TblConstr[[#This Row],[Tot Sch]],-1,0)-TblConstr[[#This Row],[Dest Sch]]</f>
        <v>0</v>
      </c>
      <c r="BQ21" s="192" cm="1">
        <f t="array" aca="1" ref="BQ21" ca="1">IF(TblConstr[[#This Row],[Hour]:[Hour]]&gt;12,OFFSET(TblConstr[[#This Row],[Doc]],-12,0),0)+OFFSET(TblConstr[[#This Row],[Tot Doc]],-1,0)-TblConstr[[#This Row],[Dest Doc]]</f>
        <v>0</v>
      </c>
      <c r="BR21" s="142"/>
      <c r="BS21" s="154"/>
      <c r="BT21" s="94">
        <f ca="1">TblConstr[[#This Row],[Land]]</f>
        <v>50</v>
      </c>
      <c r="BU21" s="159">
        <f ca="1">TblImps[[#This Row],[Time]]</f>
        <v>46320.708333333292</v>
      </c>
      <c r="BV21" s="142"/>
      <c r="BW21" s="179"/>
      <c r="BX21" s="179"/>
      <c r="BY21" s="179"/>
      <c r="BZ21" s="179"/>
      <c r="CA21" s="179"/>
      <c r="CB21" s="179"/>
      <c r="CC21" s="179"/>
      <c r="CD21" s="179"/>
      <c r="CE21" s="179"/>
      <c r="CF21" s="179"/>
      <c r="CG21" s="179"/>
      <c r="CH21" s="179"/>
      <c r="CI21" s="179"/>
      <c r="CJ21" s="179"/>
      <c r="CK21" s="179"/>
      <c r="CL21" s="179"/>
      <c r="CM21" s="179"/>
      <c r="CN21" s="179"/>
      <c r="CO21" s="179"/>
      <c r="CP21" s="142"/>
      <c r="CQ21" s="181">
        <f ca="1">-SUM(TblConstr[[#This Row],[Alc]:[Mas]])+SUM(TblConstr[[#This Row],[Dest Alc]:[Dest Mas]])+Rezone!L21+IF("Ch_"&amp; home_land=TblConstr[[#Headers],[Ch_Plain]],TblConstr[[#This Row],[Home Land]])+IF(TblConstr[[#This Row],[Hour]:[Hour]]&gt;12,OFFSET(TblExplore[[#This Row],[Plains Explore]],-12,0),0)</f>
        <v>0</v>
      </c>
      <c r="CR21" s="182">
        <f ca="1">-SUM(TblConstr[[#This Row],[Ly]:[Hav]])+SUM(TblConstr[[#This Row],[Dest Ly]:[Dest Hav]]) +Rezone!M21 + IF("Ch_"&amp; home_land=TblConstr[[#Headers],[Ch_Forest]],TblConstr[[#This Row],[Home Land]])+IF(TblConstr[[#This Row],[Hour]:[Hour]]&gt;12,OFFSET(TblExplore[[#This Row],[Forest Explore]],-12,0),0)</f>
        <v>0</v>
      </c>
      <c r="CS21" s="359">
        <f ca="1">-SUM(TblConstr[[#This Row],[OM]:[GN]])+SUM(TblConstr[[#This Row],[Dest OM]:[Dest GN]]) +Rezone!N21 + IF("Ch_"&amp; home_land=TblConstr[[#Headers],[Ch_Mountain]],TblConstr[[#This Row],[Home Land]])+IF(TblConstr[[#This Row],[Hour]:[Hour]]&gt;12,OFFSET(TblExplore[[#This Row],[Mountain Explore]],-12,0),0)</f>
        <v>0</v>
      </c>
      <c r="CT21" s="183">
        <f ca="1">-SUM(TblConstr[[#This Row],[Fac]:[Shr]])+SUM(TblConstr[[#This Row],[Dest Fac]:[Dest Shr]]) +Rezone!O21 + IF("Ch_" &amp; home_land=TblConstr[[#Headers],[Ch_Hill]],TblConstr[[#This Row],[Home Land]])+IF(TblConstr[[#This Row],[Hour]:[Hour]]&gt;12,OFFSET(TblExplore[[#This Row],[Hill Explore]],-12,0),0)</f>
        <v>0</v>
      </c>
      <c r="CU21" s="184">
        <f ca="1">-SUM(TblConstr[[#This Row],[Tow]:[WG]])+SUM(TblConstr[[#This Row],[Dest Tow]:[Dest WG]]) +Rezone!P21 + IF("Ch_" &amp; home_land=TblConstr[[#Headers],[Ch_Swamp]],TblConstr[[#This Row],[Home Land]])+IF(TblConstr[[#This Row],[Hour]:[Hour]]&gt;12,OFFSET(TblExplore[[#This Row],[Swamp Explore]],-12,0),0)</f>
        <v>0</v>
      </c>
      <c r="CV21" s="185">
        <f ca="1" xml:space="preserve"> - SUM(TblConstr[[#This Row],[DM]:[Sch]])+SUM(TblConstr[[#This Row],[Dest DM]:[Dest Sch]]) +Rezone!Q21 + IF("Ch_" &amp; home_land=TblConstr[[#Headers],[Ch_Cavern]],TblConstr[[#This Row],[Home Land]])+IF(TblConstr[[#This Row],[Hour]:[Hour]]&gt;12,OFFSET(TblExplore[[#This Row],[Cavern Explore]],-12,0),0)</f>
        <v>0</v>
      </c>
      <c r="CW21" s="186">
        <f ca="1">-TblConstr[[#This Row],[Doc]]+TblConstr[[#This Row],[Dest Doc]] +Rezone!R21 + IF("Ch_" &amp; home_land=TblConstr[[#Headers],[Ch_Water]],TblConstr[[#This Row],[Home Land]])+IF(TblConstr[[#This Row],[Hour]:[Hour]]&gt;12,OFFSET(TblExplore[[#This Row],[Water Explore]],-12,0),0)</f>
        <v>0</v>
      </c>
      <c r="CX21" s="45">
        <f>IF(Explore!S21=1,20) - TblConstr[[#This Row],[Hom]] + TblConstr[[#This Row],[Dest Hom]]</f>
        <v>0</v>
      </c>
      <c r="CY21" s="142"/>
      <c r="CZ21" s="94">
        <f t="shared" ca="1" si="3"/>
        <v>30</v>
      </c>
      <c r="DA21" s="94">
        <f t="shared" ca="1" si="4"/>
        <v>20</v>
      </c>
      <c r="DB21" s="45">
        <f t="shared" ca="1" si="5"/>
        <v>0</v>
      </c>
      <c r="DC21" s="94">
        <f t="shared" ca="1" si="6"/>
        <v>0</v>
      </c>
      <c r="DD21" s="94">
        <f t="shared" ca="1" si="7"/>
        <v>0</v>
      </c>
      <c r="DE21" s="45">
        <f t="shared" ca="1" si="8"/>
        <v>0</v>
      </c>
      <c r="DF21" s="94">
        <f t="shared" ca="1" si="9"/>
        <v>0</v>
      </c>
      <c r="DG21" s="94" cm="1">
        <f t="array" aca="1" ref="DG21" ca="1">INDEX(TblConstr[[Total Plain]:[Total Water]],ROW()-ROW(TblConstr[#Headers]),MATCH("Total "&amp;home_land,TblConstr[[#Headers],[Total Plain]:[Total Water]],0))+TblConstr[[#This Row],[Homes]]</f>
        <v>30</v>
      </c>
      <c r="DH21" s="45">
        <f t="shared" ca="1" si="10"/>
        <v>0</v>
      </c>
      <c r="DI21" s="45">
        <f t="shared" ca="1" si="0"/>
        <v>0</v>
      </c>
      <c r="DJ21" s="45">
        <f t="shared" ca="1" si="1"/>
        <v>0</v>
      </c>
    </row>
    <row r="22" spans="1:114" x14ac:dyDescent="0.2">
      <c r="A22" s="175">
        <f>TblRezone[[#This Row],[Hour]]</f>
        <v>19</v>
      </c>
      <c r="B22" s="176">
        <f ca="1">SUM(TblConstr[[#This Row],[Plain]:[Water]])</f>
        <v>0</v>
      </c>
      <c r="C22" s="177">
        <f ca="1">SUM(TblConstr[[#This Row],[Tot Hom]:[Tot Doc]])</f>
        <v>50</v>
      </c>
      <c r="D22" s="177">
        <f t="shared" si="2"/>
        <v>0</v>
      </c>
      <c r="E22" s="178"/>
      <c r="F22" s="61">
        <f ca="1">TblConstr[[#This Row],[Barren]]+TblConstr[[#This Row],[Buildings]]+TblConstr[[#This Row],[Incoming]]</f>
        <v>50</v>
      </c>
      <c r="G22" s="187">
        <f ca="1">OFFSET(TblConstr[[#This Row],[Plain]],-1,0)+TblConstr[[#This Row],[Ch_Plain]]</f>
        <v>0</v>
      </c>
      <c r="H22" s="182">
        <f ca="1">OFFSET(TblConstr[[#This Row],[Forest]],-1,0)+TblConstr[[#This Row],[Ch_Forest]]</f>
        <v>0</v>
      </c>
      <c r="I22" s="359">
        <f ca="1">OFFSET(TblConstr[[#This Row],[Mountain]],-1,0)+TblConstr[[#This Row],[Ch_Mountain]]</f>
        <v>0</v>
      </c>
      <c r="J22" s="363">
        <f ca="1">OFFSET(TblConstr[[#This Row],[Hill]],-1,0)+TblConstr[[#This Row],[Ch_Hill]]</f>
        <v>0</v>
      </c>
      <c r="K22" s="367">
        <f ca="1">OFFSET(TblConstr[[#This Row],[Swamp]],-1,0)+TblConstr[[#This Row],[Ch_Swamp]]</f>
        <v>0</v>
      </c>
      <c r="L22" s="185">
        <f ca="1">OFFSET(TblConstr[[#This Row],[Cavern]],-1,0)+TblConstr[[#This Row],[Ch_Cavern]]</f>
        <v>0</v>
      </c>
      <c r="M22" s="186">
        <f ca="1">OFFSET(TblConstr[[#This Row],[Water]],-1,0)+TblConstr[[#This Row],[Ch_Water]]</f>
        <v>0</v>
      </c>
      <c r="N22" s="357">
        <f>TblRezone[[#This Row],[Hour]]</f>
        <v>19</v>
      </c>
      <c r="O22" s="179"/>
      <c r="P22" s="179"/>
      <c r="Q22" s="179"/>
      <c r="R22" s="179"/>
      <c r="S22" s="179"/>
      <c r="T22" s="179"/>
      <c r="U22" s="179"/>
      <c r="V22" s="179"/>
      <c r="W22" s="179"/>
      <c r="X22" s="179"/>
      <c r="Y22" s="179"/>
      <c r="Z22" s="179"/>
      <c r="AA22" s="179"/>
      <c r="AB22" s="179"/>
      <c r="AC22" s="179"/>
      <c r="AD22" s="179"/>
      <c r="AE22" s="179"/>
      <c r="AF22" s="179"/>
      <c r="AG22" s="179"/>
      <c r="AH22" s="53">
        <f ca="1">TblImps[[#This Row],[Time]]</f>
        <v>46320.749999999956</v>
      </c>
      <c r="AI22" s="180">
        <f ca="1">MIN(25%,(TblConstr[[#This Row],[Tot Fac]]+TblConstr[[#This Row],[Dest Fac]])/(TblConstr[[#This Row],[Land]]-TblExplore[[#This Row],[Land Bonus]]*20))</f>
        <v>0</v>
      </c>
      <c r="AJ22" s="180">
        <f ca="1">MIN(25%,(TblConstr[[#This Row],[Tot Fac]]+TblConstr[[#This Row],[Dest Fac]])/TblConstr[[#This Row],[Land]])</f>
        <v>0</v>
      </c>
      <c r="AK22" s="94">
        <f ca="1">TblProd[[#This Row],[Platinum]]</f>
        <v>140964</v>
      </c>
      <c r="AL22" s="94">
        <f ca="1">TblProd[[#This Row],[Lumber]]</f>
        <v>29066</v>
      </c>
      <c r="AM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2" s="94">
        <f ca="1">ROUNDDOWN( MAX(1 - MIN(facs_constr_factor*TblConstr[[#This Row],[Facs -DB]],facs_constr_max) + tech_1_11*TblTech[[#This Row],[11-1]] + tech_6_3_2*TblTech[[#This Row],[6-3]] + tech_5_2_3*TblTech[[#This Row],[5-2]], 1-global_constr_cap) * TblConstr[[#This Row],[RCPA Lumber]],0)</f>
        <v>31</v>
      </c>
      <c r="AO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2" s="94">
        <f ca="1">ROUNDDOWN( MAX(1 - MIN(facs_constr_factor*TblConstr[[#This Row],[Facs DB]],facs_constr_max) + tech_1_11*TblTech[[#This Row],[1-11]] + tech_6_3_2*TblTech[[#This Row],[6-3]] + tech_5_2_3*TblTech[[#This Row],[5-2]], 1-global_constr_cap) * ROUND((TblConstr[[#This Row],[Land]]-250)*0.285 + 87.5 + 0/4.25,0),0)</f>
        <v>31</v>
      </c>
      <c r="AQ22" s="45">
        <f ca="1">TblConstr[[#This Row],[build -db]]*TblConstr[[#This Row],[CPA Platinum -DB]] + TblConstr[[#This Row],[build db]]*TblConstr[[#This Row],[CPA Platinum DB]]</f>
        <v>0</v>
      </c>
      <c r="AR22" s="45">
        <f ca="1">TblConstr[[#This Row],[build -db]]*TblConstr[[#This Row],[CPA Lumber -DB]] + TblConstr[[#This Row],[build db]]*TblConstr[[#This Row],[CPA Lumber DB]]</f>
        <v>0</v>
      </c>
      <c r="AS22" s="94">
        <f ca="1">MIN(SUM(OFFSET(TblConstr[[#This Row],[Plain]:[Water]],-1,0))+SUM(TblConstr[[#This Row],[Dest Hom]:[Dest Doc]])+IF(TblConstr[[#This Row],[Hour]]&gt;12,SUM(OFFSET(TblExplore[[#This Row],[Plains Explore]:[Water Explore]],-12,0)),0),SUM(TblConstr[[#This Row],[Hom]:[Doc]]))</f>
        <v>0</v>
      </c>
      <c r="AT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42"/>
      <c r="AV22" s="94">
        <f ca="1">ROUND((TblConstr[[#This Row],[Land]]-250 - IF(TblExplore[[#This Row],[Land Bonus]]&lt;&gt;0,20,0))*1.25 + 850 + 0,0)</f>
        <v>600</v>
      </c>
      <c r="AW22" s="94">
        <f ca="1">ROUND((TblConstr[[#This Row],[Land]]-250 - IF(TblExplore[[#This Row],[Land Bonus]]&lt;&gt;0,20,0))*0.285 + 87.5 + 0/4.25,0)</f>
        <v>31</v>
      </c>
      <c r="AX22" s="154"/>
      <c r="AY22" s="188" cm="1">
        <f t="array" aca="1" ref="AY22" ca="1">IF(TblConstr[[#This Row],[Hour]:[Hour]]&gt;12,OFFSET(TblConstr[[#This Row],[Hom]],-12,0),0)+OFFSET(TblConstr[[#This Row],[Tot Hom]],-1,0)-TblConstr[[#This Row],[Dest Hom]]</f>
        <v>0</v>
      </c>
      <c r="AZ22" s="189" cm="1">
        <f t="array" aca="1" ref="AZ22" ca="1">IF(TblConstr[[#This Row],[Hour]:[Hour]]&gt;12,OFFSET(TblConstr[[#This Row],[Alc]],-12,0),0)+OFFSET(TblConstr[[#This Row],[Tot Alc]],-1,0)-TblConstr[[#This Row],[Dest Alc]]</f>
        <v>0</v>
      </c>
      <c r="BA22" s="189" cm="1">
        <f t="array" aca="1" ref="BA22" ca="1">IF(TblConstr[[#This Row],[Hour]:[Hour]]&gt;12,OFFSET(TblConstr[[#This Row],[Far]],-12,0),0)+OFFSET(TblConstr[[#This Row],[Tot Farm]],-1,0)-TblConstr[[#This Row],[Dest Farm]]</f>
        <v>30</v>
      </c>
      <c r="BB22" s="189" cm="1">
        <f t="array" aca="1" ref="BB22" ca="1">IF(TblConstr[[#This Row],[Hour]:[Hour]]&gt;12,OFFSET(TblConstr[[#This Row],[Smi]],-12,0),0)+OFFSET(TblConstr[[#This Row],[Tot Smi]],-1,0)-TblConstr[[#This Row],[Dest Smi]]</f>
        <v>0</v>
      </c>
      <c r="BC22" s="189" cm="1">
        <f t="array" aca="1" ref="BC22" ca="1">IF(TblConstr[[#This Row],[Hour]:[Hour]]&gt;12,OFFSET(TblConstr[[#This Row],[Mas]],-12,0),0)+OFFSET(TblConstr[[#This Row],[Tot Mas]],-1,0)-TblConstr[[#This Row],[Dest Mas]]</f>
        <v>0</v>
      </c>
      <c r="BD22" s="190" cm="1">
        <f t="array" aca="1" ref="BD22" ca="1">IF(TblConstr[[#This Row],[Hour]:[Hour]]&gt;12,OFFSET(TblConstr[[#This Row],[Ly]],-12,0),0)+OFFSET(TblConstr[[#This Row],[Tot Ly]],-1,0)-TblConstr[[#This Row],[Dest Ly]]</f>
        <v>20</v>
      </c>
      <c r="BE22" s="190" cm="1">
        <f t="array" aca="1" ref="BE22" ca="1">IF(TblConstr[[#This Row],[Hour]:[Hour]]&gt;12,OFFSET(TblConstr[[#This Row],[Hav]],-12,0),0)+OFFSET(TblConstr[[#This Row],[Tot Hav]],-1,0)-TblConstr[[#This Row],[Dest Hav]]</f>
        <v>0</v>
      </c>
      <c r="BF22" s="361" cm="1">
        <f t="array" aca="1" ref="BF22" ca="1">IF(TblConstr[[#This Row],[Hour]:[Hour]]&gt;12,OFFSET(TblConstr[[#This Row],[OM]],-12,0),0)+OFFSET(TblConstr[[#This Row],[Tot OM]],-1,0)-TblConstr[[#This Row],[Dest OM]]</f>
        <v>0</v>
      </c>
      <c r="BG22" s="361" cm="1">
        <f t="array" aca="1" ref="BG22" ca="1">IF(TblConstr[[#This Row],[Hour]:[Hour]]&gt;12,OFFSET(TblConstr[[#This Row],[GN]],-12,0),0)+OFFSET(TblConstr[[#This Row],[Tot GN]],-1,0)-TblConstr[[#This Row],[Dest GN]]</f>
        <v>0</v>
      </c>
      <c r="BH22" s="365" cm="1">
        <f t="array" aca="1" ref="BH22" ca="1">IF(TblConstr[[#This Row],[Hour]:[Hour]]&gt;12,OFFSET(TblConstr[[#This Row],[Fac]],-12,0),0)+OFFSET(TblConstr[[#This Row],[Tot Fac]],-1,0)-TblConstr[[#This Row],[Dest Fac]]</f>
        <v>0</v>
      </c>
      <c r="BI22" s="365" cm="1">
        <f t="array" aca="1" ref="BI22" ca="1">IF(TblConstr[[#This Row],[Hour]:[Hour]]&gt;12,OFFSET(TblConstr[[#This Row],[GT]],-12,0),0)+OFFSET(TblConstr[[#This Row],[Tot GT]],-1,0)-TblConstr[[#This Row],[Dest GT]]</f>
        <v>0</v>
      </c>
      <c r="BJ22" s="365" cm="1">
        <f t="array" aca="1" ref="BJ22" ca="1">IF(TblConstr[[#This Row],[Hour]:[Hour]]&gt;12,OFFSET(TblConstr[[#This Row],[Bar]],-12,0),0)+OFFSET(TblConstr[[#This Row],[Tot Bar]],-1,0)-TblConstr[[#This Row],[Dest Bar]]</f>
        <v>0</v>
      </c>
      <c r="BK22" s="365" cm="1">
        <f t="array" aca="1" ref="BK22" ca="1">IF(TblConstr[[#This Row],[Hour]:[Hour]]&gt;12,OFFSET(TblConstr[[#This Row],[Shr]],-12,0),0)+OFFSET(TblConstr[[#This Row],[Tot Shr]],-1,0)-TblConstr[[#This Row],[Dest Shr]]</f>
        <v>0</v>
      </c>
      <c r="BL22" s="369" cm="1">
        <f t="array" aca="1" ref="BL22" ca="1">IF(TblConstr[[#This Row],[Hour]:[Hour]]&gt;12,OFFSET(TblConstr[[#This Row],[Tow]],-12,0),0)+OFFSET(TblConstr[[#This Row],[Tot Tow]],-1,0)-TblConstr[[#This Row],[Dest Tow]]</f>
        <v>0</v>
      </c>
      <c r="BM22" s="369" cm="1">
        <f t="array" aca="1" ref="BM22" ca="1">IF(TblConstr[[#This Row],[Hour]:[Hour]]&gt;12,OFFSET(TblConstr[[#This Row],[Tem]],-12,0),0)+OFFSET(TblConstr[[#This Row],[Tot Tem]],-1,0)-TblConstr[[#This Row],[Dest Tem]]</f>
        <v>0</v>
      </c>
      <c r="BN22" s="369" cm="1">
        <f t="array" aca="1" ref="BN22" ca="1">IF(TblConstr[[#This Row],[Hour]:[Hour]]&gt;12,OFFSET(TblConstr[[#This Row],[WG]],-12,0),0)+OFFSET(TblConstr[[#This Row],[Tot WG]],-1,0)-TblConstr[[#This Row],[Dest WG]]</f>
        <v>0</v>
      </c>
      <c r="BO22" s="191" cm="1">
        <f t="array" aca="1" ref="BO22" ca="1">IF(TblConstr[[#This Row],[Hour]:[Hour]]&gt;12,OFFSET(TblConstr[[#This Row],[DM]],-12,0),0)+OFFSET(TblConstr[[#This Row],[Tot DM]],-1,0)-TblConstr[[#This Row],[Dest DM]]</f>
        <v>0</v>
      </c>
      <c r="BP22" s="191" cm="1">
        <f t="array" aca="1" ref="BP22" ca="1">IF(TblConstr[[#This Row],[Hour]:[Hour]]&gt;12,OFFSET(TblConstr[[#This Row],[Sch]],-12,0),0)+OFFSET(TblConstr[[#This Row],[Tot Sch]],-1,0)-TblConstr[[#This Row],[Dest Sch]]</f>
        <v>0</v>
      </c>
      <c r="BQ22" s="192" cm="1">
        <f t="array" aca="1" ref="BQ22" ca="1">IF(TblConstr[[#This Row],[Hour]:[Hour]]&gt;12,OFFSET(TblConstr[[#This Row],[Doc]],-12,0),0)+OFFSET(TblConstr[[#This Row],[Tot Doc]],-1,0)-TblConstr[[#This Row],[Dest Doc]]</f>
        <v>0</v>
      </c>
      <c r="BR22" s="142"/>
      <c r="BS22" s="154"/>
      <c r="BT22" s="94">
        <f ca="1">TblConstr[[#This Row],[Land]]</f>
        <v>50</v>
      </c>
      <c r="BU22" s="159">
        <f ca="1">TblImps[[#This Row],[Time]]</f>
        <v>46320.749999999956</v>
      </c>
      <c r="BV22" s="142"/>
      <c r="BW22" s="179"/>
      <c r="BX22" s="179"/>
      <c r="BY22" s="179"/>
      <c r="BZ22" s="179"/>
      <c r="CA22" s="179"/>
      <c r="CB22" s="179"/>
      <c r="CC22" s="179"/>
      <c r="CD22" s="179"/>
      <c r="CE22" s="179"/>
      <c r="CF22" s="179"/>
      <c r="CG22" s="179"/>
      <c r="CH22" s="179"/>
      <c r="CI22" s="179"/>
      <c r="CJ22" s="179"/>
      <c r="CK22" s="179"/>
      <c r="CL22" s="179"/>
      <c r="CM22" s="179"/>
      <c r="CN22" s="179"/>
      <c r="CO22" s="179"/>
      <c r="CP22" s="142"/>
      <c r="CQ22" s="181">
        <f ca="1">-SUM(TblConstr[[#This Row],[Alc]:[Mas]])+SUM(TblConstr[[#This Row],[Dest Alc]:[Dest Mas]])+Rezone!L22+IF("Ch_"&amp; home_land=TblConstr[[#Headers],[Ch_Plain]],TblConstr[[#This Row],[Home Land]])+IF(TblConstr[[#This Row],[Hour]:[Hour]]&gt;12,OFFSET(TblExplore[[#This Row],[Plains Explore]],-12,0),0)</f>
        <v>0</v>
      </c>
      <c r="CR22" s="182">
        <f ca="1">-SUM(TblConstr[[#This Row],[Ly]:[Hav]])+SUM(TblConstr[[#This Row],[Dest Ly]:[Dest Hav]]) +Rezone!M22 + IF("Ch_"&amp; home_land=TblConstr[[#Headers],[Ch_Forest]],TblConstr[[#This Row],[Home Land]])+IF(TblConstr[[#This Row],[Hour]:[Hour]]&gt;12,OFFSET(TblExplore[[#This Row],[Forest Explore]],-12,0),0)</f>
        <v>0</v>
      </c>
      <c r="CS22" s="359">
        <f ca="1">-SUM(TblConstr[[#This Row],[OM]:[GN]])+SUM(TblConstr[[#This Row],[Dest OM]:[Dest GN]]) +Rezone!N22 + IF("Ch_"&amp; home_land=TblConstr[[#Headers],[Ch_Mountain]],TblConstr[[#This Row],[Home Land]])+IF(TblConstr[[#This Row],[Hour]:[Hour]]&gt;12,OFFSET(TblExplore[[#This Row],[Mountain Explore]],-12,0),0)</f>
        <v>0</v>
      </c>
      <c r="CT22" s="183">
        <f ca="1">-SUM(TblConstr[[#This Row],[Fac]:[Shr]])+SUM(TblConstr[[#This Row],[Dest Fac]:[Dest Shr]]) +Rezone!O22 + IF("Ch_" &amp; home_land=TblConstr[[#Headers],[Ch_Hill]],TblConstr[[#This Row],[Home Land]])+IF(TblConstr[[#This Row],[Hour]:[Hour]]&gt;12,OFFSET(TblExplore[[#This Row],[Hill Explore]],-12,0),0)</f>
        <v>0</v>
      </c>
      <c r="CU22" s="184">
        <f ca="1">-SUM(TblConstr[[#This Row],[Tow]:[WG]])+SUM(TblConstr[[#This Row],[Dest Tow]:[Dest WG]]) +Rezone!P22 + IF("Ch_" &amp; home_land=TblConstr[[#Headers],[Ch_Swamp]],TblConstr[[#This Row],[Home Land]])+IF(TblConstr[[#This Row],[Hour]:[Hour]]&gt;12,OFFSET(TblExplore[[#This Row],[Swamp Explore]],-12,0),0)</f>
        <v>0</v>
      </c>
      <c r="CV22" s="185">
        <f ca="1" xml:space="preserve"> - SUM(TblConstr[[#This Row],[DM]:[Sch]])+SUM(TblConstr[[#This Row],[Dest DM]:[Dest Sch]]) +Rezone!Q22 + IF("Ch_" &amp; home_land=TblConstr[[#Headers],[Ch_Cavern]],TblConstr[[#This Row],[Home Land]])+IF(TblConstr[[#This Row],[Hour]:[Hour]]&gt;12,OFFSET(TblExplore[[#This Row],[Cavern Explore]],-12,0),0)</f>
        <v>0</v>
      </c>
      <c r="CW22" s="186">
        <f ca="1">-TblConstr[[#This Row],[Doc]]+TblConstr[[#This Row],[Dest Doc]] +Rezone!R22 + IF("Ch_" &amp; home_land=TblConstr[[#Headers],[Ch_Water]],TblConstr[[#This Row],[Home Land]])+IF(TblConstr[[#This Row],[Hour]:[Hour]]&gt;12,OFFSET(TblExplore[[#This Row],[Water Explore]],-12,0),0)</f>
        <v>0</v>
      </c>
      <c r="CX22" s="45">
        <f>IF(Explore!S22=1,20) - TblConstr[[#This Row],[Hom]] + TblConstr[[#This Row],[Dest Hom]]</f>
        <v>0</v>
      </c>
      <c r="CY22" s="142"/>
      <c r="CZ22" s="94">
        <f t="shared" ca="1" si="3"/>
        <v>30</v>
      </c>
      <c r="DA22" s="94">
        <f t="shared" ca="1" si="4"/>
        <v>20</v>
      </c>
      <c r="DB22" s="45">
        <f t="shared" ca="1" si="5"/>
        <v>0</v>
      </c>
      <c r="DC22" s="94">
        <f t="shared" ca="1" si="6"/>
        <v>0</v>
      </c>
      <c r="DD22" s="94">
        <f t="shared" ca="1" si="7"/>
        <v>0</v>
      </c>
      <c r="DE22" s="45">
        <f t="shared" ca="1" si="8"/>
        <v>0</v>
      </c>
      <c r="DF22" s="94">
        <f t="shared" ca="1" si="9"/>
        <v>0</v>
      </c>
      <c r="DG22" s="94" cm="1">
        <f t="array" aca="1" ref="DG22" ca="1">INDEX(TblConstr[[Total Plain]:[Total Water]],ROW()-ROW(TblConstr[#Headers]),MATCH("Total "&amp;home_land,TblConstr[[#Headers],[Total Plain]:[Total Water]],0))+TblConstr[[#This Row],[Homes]]</f>
        <v>30</v>
      </c>
      <c r="DH22" s="45">
        <f t="shared" ca="1" si="10"/>
        <v>0</v>
      </c>
      <c r="DI22" s="45">
        <f t="shared" ca="1" si="0"/>
        <v>0</v>
      </c>
      <c r="DJ22" s="45">
        <f t="shared" ca="1" si="1"/>
        <v>0</v>
      </c>
    </row>
    <row r="23" spans="1:114" x14ac:dyDescent="0.2">
      <c r="A23" s="175">
        <f>TblRezone[[#This Row],[Hour]]</f>
        <v>20</v>
      </c>
      <c r="B23" s="176">
        <f ca="1">SUM(TblConstr[[#This Row],[Plain]:[Water]])</f>
        <v>0</v>
      </c>
      <c r="C23" s="177">
        <f ca="1">SUM(TblConstr[[#This Row],[Tot Hom]:[Tot Doc]])</f>
        <v>50</v>
      </c>
      <c r="D23" s="177">
        <f t="shared" si="2"/>
        <v>0</v>
      </c>
      <c r="E23" s="178"/>
      <c r="F23" s="61">
        <f ca="1">TblConstr[[#This Row],[Barren]]+TblConstr[[#This Row],[Buildings]]+TblConstr[[#This Row],[Incoming]]</f>
        <v>50</v>
      </c>
      <c r="G23" s="187">
        <f ca="1">OFFSET(TblConstr[[#This Row],[Plain]],-1,0)+TblConstr[[#This Row],[Ch_Plain]]</f>
        <v>0</v>
      </c>
      <c r="H23" s="182">
        <f ca="1">OFFSET(TblConstr[[#This Row],[Forest]],-1,0)+TblConstr[[#This Row],[Ch_Forest]]</f>
        <v>0</v>
      </c>
      <c r="I23" s="359">
        <f ca="1">OFFSET(TblConstr[[#This Row],[Mountain]],-1,0)+TblConstr[[#This Row],[Ch_Mountain]]</f>
        <v>0</v>
      </c>
      <c r="J23" s="363">
        <f ca="1">OFFSET(TblConstr[[#This Row],[Hill]],-1,0)+TblConstr[[#This Row],[Ch_Hill]]</f>
        <v>0</v>
      </c>
      <c r="K23" s="367">
        <f ca="1">OFFSET(TblConstr[[#This Row],[Swamp]],-1,0)+TblConstr[[#This Row],[Ch_Swamp]]</f>
        <v>0</v>
      </c>
      <c r="L23" s="185">
        <f ca="1">OFFSET(TblConstr[[#This Row],[Cavern]],-1,0)+TblConstr[[#This Row],[Ch_Cavern]]</f>
        <v>0</v>
      </c>
      <c r="M23" s="186">
        <f ca="1">OFFSET(TblConstr[[#This Row],[Water]],-1,0)+TblConstr[[#This Row],[Ch_Water]]</f>
        <v>0</v>
      </c>
      <c r="N23" s="357">
        <f>TblRezone[[#This Row],[Hour]]</f>
        <v>20</v>
      </c>
      <c r="O23" s="179"/>
      <c r="P23" s="179"/>
      <c r="Q23" s="179"/>
      <c r="R23" s="179"/>
      <c r="S23" s="179"/>
      <c r="T23" s="179"/>
      <c r="U23" s="179"/>
      <c r="V23" s="179"/>
      <c r="W23" s="179"/>
      <c r="X23" s="179"/>
      <c r="Y23" s="179"/>
      <c r="Z23" s="179"/>
      <c r="AA23" s="179"/>
      <c r="AB23" s="179"/>
      <c r="AC23" s="179"/>
      <c r="AD23" s="179"/>
      <c r="AE23" s="179"/>
      <c r="AF23" s="179"/>
      <c r="AG23" s="179"/>
      <c r="AH23" s="53">
        <f ca="1">TblImps[[#This Row],[Time]]</f>
        <v>46320.791666666621</v>
      </c>
      <c r="AI23" s="180">
        <f ca="1">MIN(25%,(TblConstr[[#This Row],[Tot Fac]]+TblConstr[[#This Row],[Dest Fac]])/(TblConstr[[#This Row],[Land]]-TblExplore[[#This Row],[Land Bonus]]*20))</f>
        <v>0</v>
      </c>
      <c r="AJ23" s="180">
        <f ca="1">MIN(25%,(TblConstr[[#This Row],[Tot Fac]]+TblConstr[[#This Row],[Dest Fac]])/TblConstr[[#This Row],[Land]])</f>
        <v>0</v>
      </c>
      <c r="AK23" s="94">
        <f ca="1">TblProd[[#This Row],[Platinum]]</f>
        <v>142025</v>
      </c>
      <c r="AL23" s="94">
        <f ca="1">TblProd[[#This Row],[Lumber]]</f>
        <v>29775</v>
      </c>
      <c r="AM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3" s="94">
        <f ca="1">ROUNDDOWN( MAX(1 - MIN(facs_constr_factor*TblConstr[[#This Row],[Facs -DB]],facs_constr_max) + tech_1_11*TblTech[[#This Row],[11-1]] + tech_6_3_2*TblTech[[#This Row],[6-3]] + tech_5_2_3*TblTech[[#This Row],[5-2]], 1-global_constr_cap) * TblConstr[[#This Row],[RCPA Lumber]],0)</f>
        <v>31</v>
      </c>
      <c r="AO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3" s="94">
        <f ca="1">ROUNDDOWN( MAX(1 - MIN(facs_constr_factor*TblConstr[[#This Row],[Facs DB]],facs_constr_max) + tech_1_11*TblTech[[#This Row],[1-11]] + tech_6_3_2*TblTech[[#This Row],[6-3]] + tech_5_2_3*TblTech[[#This Row],[5-2]], 1-global_constr_cap) * ROUND((TblConstr[[#This Row],[Land]]-250)*0.285 + 87.5 + 0/4.25,0),0)</f>
        <v>31</v>
      </c>
      <c r="AQ23" s="45">
        <f ca="1">TblConstr[[#This Row],[build -db]]*TblConstr[[#This Row],[CPA Platinum -DB]] + TblConstr[[#This Row],[build db]]*TblConstr[[#This Row],[CPA Platinum DB]]</f>
        <v>0</v>
      </c>
      <c r="AR23" s="45">
        <f ca="1">TblConstr[[#This Row],[build -db]]*TblConstr[[#This Row],[CPA Lumber -DB]] + TblConstr[[#This Row],[build db]]*TblConstr[[#This Row],[CPA Lumber DB]]</f>
        <v>0</v>
      </c>
      <c r="AS23" s="94">
        <f ca="1">MIN(SUM(OFFSET(TblConstr[[#This Row],[Plain]:[Water]],-1,0))+SUM(TblConstr[[#This Row],[Dest Hom]:[Dest Doc]])+IF(TblConstr[[#This Row],[Hour]]&gt;12,SUM(OFFSET(TblExplore[[#This Row],[Plains Explore]:[Water Explore]],-12,0)),0),SUM(TblConstr[[#This Row],[Hom]:[Doc]]))</f>
        <v>0</v>
      </c>
      <c r="AT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42"/>
      <c r="AV23" s="94">
        <f ca="1">ROUND((TblConstr[[#This Row],[Land]]-250 - IF(TblExplore[[#This Row],[Land Bonus]]&lt;&gt;0,20,0))*1.25 + 850 + 0,0)</f>
        <v>600</v>
      </c>
      <c r="AW23" s="94">
        <f ca="1">ROUND((TblConstr[[#This Row],[Land]]-250 - IF(TblExplore[[#This Row],[Land Bonus]]&lt;&gt;0,20,0))*0.285 + 87.5 + 0/4.25,0)</f>
        <v>31</v>
      </c>
      <c r="AX23" s="154"/>
      <c r="AY23" s="188" cm="1">
        <f t="array" aca="1" ref="AY23" ca="1">IF(TblConstr[[#This Row],[Hour]:[Hour]]&gt;12,OFFSET(TblConstr[[#This Row],[Hom]],-12,0),0)+OFFSET(TblConstr[[#This Row],[Tot Hom]],-1,0)-TblConstr[[#This Row],[Dest Hom]]</f>
        <v>0</v>
      </c>
      <c r="AZ23" s="189" cm="1">
        <f t="array" aca="1" ref="AZ23" ca="1">IF(TblConstr[[#This Row],[Hour]:[Hour]]&gt;12,OFFSET(TblConstr[[#This Row],[Alc]],-12,0),0)+OFFSET(TblConstr[[#This Row],[Tot Alc]],-1,0)-TblConstr[[#This Row],[Dest Alc]]</f>
        <v>0</v>
      </c>
      <c r="BA23" s="189" cm="1">
        <f t="array" aca="1" ref="BA23" ca="1">IF(TblConstr[[#This Row],[Hour]:[Hour]]&gt;12,OFFSET(TblConstr[[#This Row],[Far]],-12,0),0)+OFFSET(TblConstr[[#This Row],[Tot Farm]],-1,0)-TblConstr[[#This Row],[Dest Farm]]</f>
        <v>30</v>
      </c>
      <c r="BB23" s="189" cm="1">
        <f t="array" aca="1" ref="BB23" ca="1">IF(TblConstr[[#This Row],[Hour]:[Hour]]&gt;12,OFFSET(TblConstr[[#This Row],[Smi]],-12,0),0)+OFFSET(TblConstr[[#This Row],[Tot Smi]],-1,0)-TblConstr[[#This Row],[Dest Smi]]</f>
        <v>0</v>
      </c>
      <c r="BC23" s="189" cm="1">
        <f t="array" aca="1" ref="BC23" ca="1">IF(TblConstr[[#This Row],[Hour]:[Hour]]&gt;12,OFFSET(TblConstr[[#This Row],[Mas]],-12,0),0)+OFFSET(TblConstr[[#This Row],[Tot Mas]],-1,0)-TblConstr[[#This Row],[Dest Mas]]</f>
        <v>0</v>
      </c>
      <c r="BD23" s="190" cm="1">
        <f t="array" aca="1" ref="BD23" ca="1">IF(TblConstr[[#This Row],[Hour]:[Hour]]&gt;12,OFFSET(TblConstr[[#This Row],[Ly]],-12,0),0)+OFFSET(TblConstr[[#This Row],[Tot Ly]],-1,0)-TblConstr[[#This Row],[Dest Ly]]</f>
        <v>20</v>
      </c>
      <c r="BE23" s="190" cm="1">
        <f t="array" aca="1" ref="BE23" ca="1">IF(TblConstr[[#This Row],[Hour]:[Hour]]&gt;12,OFFSET(TblConstr[[#This Row],[Hav]],-12,0),0)+OFFSET(TblConstr[[#This Row],[Tot Hav]],-1,0)-TblConstr[[#This Row],[Dest Hav]]</f>
        <v>0</v>
      </c>
      <c r="BF23" s="361" cm="1">
        <f t="array" aca="1" ref="BF23" ca="1">IF(TblConstr[[#This Row],[Hour]:[Hour]]&gt;12,OFFSET(TblConstr[[#This Row],[OM]],-12,0),0)+OFFSET(TblConstr[[#This Row],[Tot OM]],-1,0)-TblConstr[[#This Row],[Dest OM]]</f>
        <v>0</v>
      </c>
      <c r="BG23" s="361" cm="1">
        <f t="array" aca="1" ref="BG23" ca="1">IF(TblConstr[[#This Row],[Hour]:[Hour]]&gt;12,OFFSET(TblConstr[[#This Row],[GN]],-12,0),0)+OFFSET(TblConstr[[#This Row],[Tot GN]],-1,0)-TblConstr[[#This Row],[Dest GN]]</f>
        <v>0</v>
      </c>
      <c r="BH23" s="365" cm="1">
        <f t="array" aca="1" ref="BH23" ca="1">IF(TblConstr[[#This Row],[Hour]:[Hour]]&gt;12,OFFSET(TblConstr[[#This Row],[Fac]],-12,0),0)+OFFSET(TblConstr[[#This Row],[Tot Fac]],-1,0)-TblConstr[[#This Row],[Dest Fac]]</f>
        <v>0</v>
      </c>
      <c r="BI23" s="365" cm="1">
        <f t="array" aca="1" ref="BI23" ca="1">IF(TblConstr[[#This Row],[Hour]:[Hour]]&gt;12,OFFSET(TblConstr[[#This Row],[GT]],-12,0),0)+OFFSET(TblConstr[[#This Row],[Tot GT]],-1,0)-TblConstr[[#This Row],[Dest GT]]</f>
        <v>0</v>
      </c>
      <c r="BJ23" s="365" cm="1">
        <f t="array" aca="1" ref="BJ23" ca="1">IF(TblConstr[[#This Row],[Hour]:[Hour]]&gt;12,OFFSET(TblConstr[[#This Row],[Bar]],-12,0),0)+OFFSET(TblConstr[[#This Row],[Tot Bar]],-1,0)-TblConstr[[#This Row],[Dest Bar]]</f>
        <v>0</v>
      </c>
      <c r="BK23" s="365" cm="1">
        <f t="array" aca="1" ref="BK23" ca="1">IF(TblConstr[[#This Row],[Hour]:[Hour]]&gt;12,OFFSET(TblConstr[[#This Row],[Shr]],-12,0),0)+OFFSET(TblConstr[[#This Row],[Tot Shr]],-1,0)-TblConstr[[#This Row],[Dest Shr]]</f>
        <v>0</v>
      </c>
      <c r="BL23" s="369" cm="1">
        <f t="array" aca="1" ref="BL23" ca="1">IF(TblConstr[[#This Row],[Hour]:[Hour]]&gt;12,OFFSET(TblConstr[[#This Row],[Tow]],-12,0),0)+OFFSET(TblConstr[[#This Row],[Tot Tow]],-1,0)-TblConstr[[#This Row],[Dest Tow]]</f>
        <v>0</v>
      </c>
      <c r="BM23" s="369" cm="1">
        <f t="array" aca="1" ref="BM23" ca="1">IF(TblConstr[[#This Row],[Hour]:[Hour]]&gt;12,OFFSET(TblConstr[[#This Row],[Tem]],-12,0),0)+OFFSET(TblConstr[[#This Row],[Tot Tem]],-1,0)-TblConstr[[#This Row],[Dest Tem]]</f>
        <v>0</v>
      </c>
      <c r="BN23" s="369" cm="1">
        <f t="array" aca="1" ref="BN23" ca="1">IF(TblConstr[[#This Row],[Hour]:[Hour]]&gt;12,OFFSET(TblConstr[[#This Row],[WG]],-12,0),0)+OFFSET(TblConstr[[#This Row],[Tot WG]],-1,0)-TblConstr[[#This Row],[Dest WG]]</f>
        <v>0</v>
      </c>
      <c r="BO23" s="191" cm="1">
        <f t="array" aca="1" ref="BO23" ca="1">IF(TblConstr[[#This Row],[Hour]:[Hour]]&gt;12,OFFSET(TblConstr[[#This Row],[DM]],-12,0),0)+OFFSET(TblConstr[[#This Row],[Tot DM]],-1,0)-TblConstr[[#This Row],[Dest DM]]</f>
        <v>0</v>
      </c>
      <c r="BP23" s="191" cm="1">
        <f t="array" aca="1" ref="BP23" ca="1">IF(TblConstr[[#This Row],[Hour]:[Hour]]&gt;12,OFFSET(TblConstr[[#This Row],[Sch]],-12,0),0)+OFFSET(TblConstr[[#This Row],[Tot Sch]],-1,0)-TblConstr[[#This Row],[Dest Sch]]</f>
        <v>0</v>
      </c>
      <c r="BQ23" s="192" cm="1">
        <f t="array" aca="1" ref="BQ23" ca="1">IF(TblConstr[[#This Row],[Hour]:[Hour]]&gt;12,OFFSET(TblConstr[[#This Row],[Doc]],-12,0),0)+OFFSET(TblConstr[[#This Row],[Tot Doc]],-1,0)-TblConstr[[#This Row],[Dest Doc]]</f>
        <v>0</v>
      </c>
      <c r="BR23" s="142"/>
      <c r="BS23" s="154"/>
      <c r="BT23" s="94">
        <f ca="1">TblConstr[[#This Row],[Land]]</f>
        <v>50</v>
      </c>
      <c r="BU23" s="159">
        <f ca="1">TblImps[[#This Row],[Time]]</f>
        <v>46320.791666666621</v>
      </c>
      <c r="BV23" s="142"/>
      <c r="BW23" s="179"/>
      <c r="BX23" s="179"/>
      <c r="BY23" s="179"/>
      <c r="BZ23" s="179"/>
      <c r="CA23" s="179"/>
      <c r="CB23" s="179"/>
      <c r="CC23" s="179"/>
      <c r="CD23" s="179"/>
      <c r="CE23" s="179"/>
      <c r="CF23" s="179"/>
      <c r="CG23" s="179"/>
      <c r="CH23" s="179"/>
      <c r="CI23" s="179"/>
      <c r="CJ23" s="179"/>
      <c r="CK23" s="179"/>
      <c r="CL23" s="179"/>
      <c r="CM23" s="179"/>
      <c r="CN23" s="179"/>
      <c r="CO23" s="179"/>
      <c r="CP23" s="142"/>
      <c r="CQ23" s="181">
        <f ca="1">-SUM(TblConstr[[#This Row],[Alc]:[Mas]])+SUM(TblConstr[[#This Row],[Dest Alc]:[Dest Mas]])+Rezone!L23+IF("Ch_"&amp; home_land=TblConstr[[#Headers],[Ch_Plain]],TblConstr[[#This Row],[Home Land]])+IF(TblConstr[[#This Row],[Hour]:[Hour]]&gt;12,OFFSET(TblExplore[[#This Row],[Plains Explore]],-12,0),0)</f>
        <v>0</v>
      </c>
      <c r="CR23" s="182">
        <f ca="1">-SUM(TblConstr[[#This Row],[Ly]:[Hav]])+SUM(TblConstr[[#This Row],[Dest Ly]:[Dest Hav]]) +Rezone!M23 + IF("Ch_"&amp; home_land=TblConstr[[#Headers],[Ch_Forest]],TblConstr[[#This Row],[Home Land]])+IF(TblConstr[[#This Row],[Hour]:[Hour]]&gt;12,OFFSET(TblExplore[[#This Row],[Forest Explore]],-12,0),0)</f>
        <v>0</v>
      </c>
      <c r="CS23" s="359">
        <f ca="1">-SUM(TblConstr[[#This Row],[OM]:[GN]])+SUM(TblConstr[[#This Row],[Dest OM]:[Dest GN]]) +Rezone!N23 + IF("Ch_"&amp; home_land=TblConstr[[#Headers],[Ch_Mountain]],TblConstr[[#This Row],[Home Land]])+IF(TblConstr[[#This Row],[Hour]:[Hour]]&gt;12,OFFSET(TblExplore[[#This Row],[Mountain Explore]],-12,0),0)</f>
        <v>0</v>
      </c>
      <c r="CT23" s="183">
        <f ca="1">-SUM(TblConstr[[#This Row],[Fac]:[Shr]])+SUM(TblConstr[[#This Row],[Dest Fac]:[Dest Shr]]) +Rezone!O23 + IF("Ch_" &amp; home_land=TblConstr[[#Headers],[Ch_Hill]],TblConstr[[#This Row],[Home Land]])+IF(TblConstr[[#This Row],[Hour]:[Hour]]&gt;12,OFFSET(TblExplore[[#This Row],[Hill Explore]],-12,0),0)</f>
        <v>0</v>
      </c>
      <c r="CU23" s="184">
        <f ca="1">-SUM(TblConstr[[#This Row],[Tow]:[WG]])+SUM(TblConstr[[#This Row],[Dest Tow]:[Dest WG]]) +Rezone!P23 + IF("Ch_" &amp; home_land=TblConstr[[#Headers],[Ch_Swamp]],TblConstr[[#This Row],[Home Land]])+IF(TblConstr[[#This Row],[Hour]:[Hour]]&gt;12,OFFSET(TblExplore[[#This Row],[Swamp Explore]],-12,0),0)</f>
        <v>0</v>
      </c>
      <c r="CV23" s="185">
        <f ca="1" xml:space="preserve"> - SUM(TblConstr[[#This Row],[DM]:[Sch]])+SUM(TblConstr[[#This Row],[Dest DM]:[Dest Sch]]) +Rezone!Q23 + IF("Ch_" &amp; home_land=TblConstr[[#Headers],[Ch_Cavern]],TblConstr[[#This Row],[Home Land]])+IF(TblConstr[[#This Row],[Hour]:[Hour]]&gt;12,OFFSET(TblExplore[[#This Row],[Cavern Explore]],-12,0),0)</f>
        <v>0</v>
      </c>
      <c r="CW23" s="186">
        <f ca="1">-TblConstr[[#This Row],[Doc]]+TblConstr[[#This Row],[Dest Doc]] +Rezone!R23 + IF("Ch_" &amp; home_land=TblConstr[[#Headers],[Ch_Water]],TblConstr[[#This Row],[Home Land]])+IF(TblConstr[[#This Row],[Hour]:[Hour]]&gt;12,OFFSET(TblExplore[[#This Row],[Water Explore]],-12,0),0)</f>
        <v>0</v>
      </c>
      <c r="CX23" s="45">
        <f>IF(Explore!S23=1,20) - TblConstr[[#This Row],[Hom]] + TblConstr[[#This Row],[Dest Hom]]</f>
        <v>0</v>
      </c>
      <c r="CY23" s="142"/>
      <c r="CZ23" s="94">
        <f t="shared" ca="1" si="3"/>
        <v>30</v>
      </c>
      <c r="DA23" s="94">
        <f t="shared" ca="1" si="4"/>
        <v>20</v>
      </c>
      <c r="DB23" s="45">
        <f t="shared" ca="1" si="5"/>
        <v>0</v>
      </c>
      <c r="DC23" s="94">
        <f t="shared" ca="1" si="6"/>
        <v>0</v>
      </c>
      <c r="DD23" s="94">
        <f t="shared" ca="1" si="7"/>
        <v>0</v>
      </c>
      <c r="DE23" s="45">
        <f t="shared" ca="1" si="8"/>
        <v>0</v>
      </c>
      <c r="DF23" s="94">
        <f t="shared" ca="1" si="9"/>
        <v>0</v>
      </c>
      <c r="DG23" s="94" cm="1">
        <f t="array" aca="1" ref="DG23" ca="1">INDEX(TblConstr[[Total Plain]:[Total Water]],ROW()-ROW(TblConstr[#Headers]),MATCH("Total "&amp;home_land,TblConstr[[#Headers],[Total Plain]:[Total Water]],0))+TblConstr[[#This Row],[Homes]]</f>
        <v>30</v>
      </c>
      <c r="DH23" s="45">
        <f t="shared" ca="1" si="10"/>
        <v>0</v>
      </c>
      <c r="DI23" s="45">
        <f t="shared" ca="1" si="0"/>
        <v>0</v>
      </c>
      <c r="DJ23" s="45">
        <f t="shared" ca="1" si="1"/>
        <v>0</v>
      </c>
    </row>
    <row r="24" spans="1:114" x14ac:dyDescent="0.2">
      <c r="A24" s="175">
        <f>TblRezone[[#This Row],[Hour]]</f>
        <v>21</v>
      </c>
      <c r="B24" s="176">
        <f ca="1">SUM(TblConstr[[#This Row],[Plain]:[Water]])</f>
        <v>0</v>
      </c>
      <c r="C24" s="177">
        <f ca="1">SUM(TblConstr[[#This Row],[Tot Hom]:[Tot Doc]])</f>
        <v>50</v>
      </c>
      <c r="D24" s="177">
        <f t="shared" si="2"/>
        <v>0</v>
      </c>
      <c r="E24" s="178"/>
      <c r="F24" s="61">
        <f ca="1">TblConstr[[#This Row],[Barren]]+TblConstr[[#This Row],[Buildings]]+TblConstr[[#This Row],[Incoming]]</f>
        <v>50</v>
      </c>
      <c r="G24" s="187">
        <f ca="1">OFFSET(TblConstr[[#This Row],[Plain]],-1,0)+TblConstr[[#This Row],[Ch_Plain]]</f>
        <v>0</v>
      </c>
      <c r="H24" s="182">
        <f ca="1">OFFSET(TblConstr[[#This Row],[Forest]],-1,0)+TblConstr[[#This Row],[Ch_Forest]]</f>
        <v>0</v>
      </c>
      <c r="I24" s="359">
        <f ca="1">OFFSET(TblConstr[[#This Row],[Mountain]],-1,0)+TblConstr[[#This Row],[Ch_Mountain]]</f>
        <v>0</v>
      </c>
      <c r="J24" s="363">
        <f ca="1">OFFSET(TblConstr[[#This Row],[Hill]],-1,0)+TblConstr[[#This Row],[Ch_Hill]]</f>
        <v>0</v>
      </c>
      <c r="K24" s="367">
        <f ca="1">OFFSET(TblConstr[[#This Row],[Swamp]],-1,0)+TblConstr[[#This Row],[Ch_Swamp]]</f>
        <v>0</v>
      </c>
      <c r="L24" s="185">
        <f ca="1">OFFSET(TblConstr[[#This Row],[Cavern]],-1,0)+TblConstr[[#This Row],[Ch_Cavern]]</f>
        <v>0</v>
      </c>
      <c r="M24" s="186">
        <f ca="1">OFFSET(TblConstr[[#This Row],[Water]],-1,0)+TblConstr[[#This Row],[Ch_Water]]</f>
        <v>0</v>
      </c>
      <c r="N24" s="357">
        <f>TblRezone[[#This Row],[Hour]]</f>
        <v>21</v>
      </c>
      <c r="O24" s="179"/>
      <c r="P24" s="179"/>
      <c r="Q24" s="179"/>
      <c r="R24" s="158"/>
      <c r="S24" s="179"/>
      <c r="T24" s="179"/>
      <c r="U24" s="179"/>
      <c r="V24" s="179"/>
      <c r="W24" s="179"/>
      <c r="X24" s="179"/>
      <c r="Y24" s="179"/>
      <c r="Z24" s="179"/>
      <c r="AA24" s="179"/>
      <c r="AB24" s="179"/>
      <c r="AC24" s="179"/>
      <c r="AD24" s="179"/>
      <c r="AE24" s="179"/>
      <c r="AF24" s="179"/>
      <c r="AG24" s="179"/>
      <c r="AH24" s="53">
        <f ca="1">TblImps[[#This Row],[Time]]</f>
        <v>46320.833333333285</v>
      </c>
      <c r="AI24" s="180">
        <f ca="1">MIN(25%,(TblConstr[[#This Row],[Tot Fac]]+TblConstr[[#This Row],[Dest Fac]])/(TblConstr[[#This Row],[Land]]-TblExplore[[#This Row],[Land Bonus]]*20))</f>
        <v>0</v>
      </c>
      <c r="AJ24" s="180">
        <f ca="1">MIN(25%,(TblConstr[[#This Row],[Tot Fac]]+TblConstr[[#This Row],[Dest Fac]])/TblConstr[[#This Row],[Land]])</f>
        <v>0</v>
      </c>
      <c r="AK24" s="94">
        <f ca="1">TblProd[[#This Row],[Platinum]]</f>
        <v>143075</v>
      </c>
      <c r="AL24" s="94">
        <f ca="1">TblProd[[#This Row],[Lumber]]</f>
        <v>30477</v>
      </c>
      <c r="AM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4" s="94">
        <f ca="1">ROUNDDOWN( MAX(1 - MIN(facs_constr_factor*TblConstr[[#This Row],[Facs -DB]],facs_constr_max) + tech_1_11*TblTech[[#This Row],[11-1]] + tech_6_3_2*TblTech[[#This Row],[6-3]] + tech_5_2_3*TblTech[[#This Row],[5-2]], 1-global_constr_cap) * TblConstr[[#This Row],[RCPA Lumber]],0)</f>
        <v>31</v>
      </c>
      <c r="AO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4" s="94">
        <f ca="1">ROUNDDOWN( MAX(1 - MIN(facs_constr_factor*TblConstr[[#This Row],[Facs DB]],facs_constr_max) + tech_1_11*TblTech[[#This Row],[1-11]] + tech_6_3_2*TblTech[[#This Row],[6-3]] + tech_5_2_3*TblTech[[#This Row],[5-2]], 1-global_constr_cap) * ROUND((TblConstr[[#This Row],[Land]]-250)*0.285 + 87.5 + 0/4.25,0),0)</f>
        <v>31</v>
      </c>
      <c r="AQ24" s="45">
        <f ca="1">TblConstr[[#This Row],[build -db]]*TblConstr[[#This Row],[CPA Platinum -DB]] + TblConstr[[#This Row],[build db]]*TblConstr[[#This Row],[CPA Platinum DB]]</f>
        <v>0</v>
      </c>
      <c r="AR24" s="45">
        <f ca="1">TblConstr[[#This Row],[build -db]]*TblConstr[[#This Row],[CPA Lumber -DB]] + TblConstr[[#This Row],[build db]]*TblConstr[[#This Row],[CPA Lumber DB]]</f>
        <v>0</v>
      </c>
      <c r="AS24" s="94">
        <f ca="1">MIN(SUM(OFFSET(TblConstr[[#This Row],[Plain]:[Water]],-1,0))+SUM(TblConstr[[#This Row],[Dest Hom]:[Dest Doc]])+IF(TblConstr[[#This Row],[Hour]]&gt;12,SUM(OFFSET(TblExplore[[#This Row],[Plains Explore]:[Water Explore]],-12,0)),0),SUM(TblConstr[[#This Row],[Hom]:[Doc]]))</f>
        <v>0</v>
      </c>
      <c r="AT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42"/>
      <c r="AV24" s="94">
        <f ca="1">ROUND((TblConstr[[#This Row],[Land]]-250 - IF(TblExplore[[#This Row],[Land Bonus]]&lt;&gt;0,20,0))*1.25 + 850 + 0,0)</f>
        <v>600</v>
      </c>
      <c r="AW24" s="94">
        <f ca="1">ROUND((TblConstr[[#This Row],[Land]]-250 - IF(TblExplore[[#This Row],[Land Bonus]]&lt;&gt;0,20,0))*0.285 + 87.5 + 0/4.25,0)</f>
        <v>31</v>
      </c>
      <c r="AX24" s="154"/>
      <c r="AY24" s="188" cm="1">
        <f t="array" aca="1" ref="AY24" ca="1">IF(TblConstr[[#This Row],[Hour]:[Hour]]&gt;12,OFFSET(TblConstr[[#This Row],[Hom]],-12,0),0)+OFFSET(TblConstr[[#This Row],[Tot Hom]],-1,0)-TblConstr[[#This Row],[Dest Hom]]</f>
        <v>0</v>
      </c>
      <c r="AZ24" s="189" cm="1">
        <f t="array" aca="1" ref="AZ24" ca="1">IF(TblConstr[[#This Row],[Hour]:[Hour]]&gt;12,OFFSET(TblConstr[[#This Row],[Alc]],-12,0),0)+OFFSET(TblConstr[[#This Row],[Tot Alc]],-1,0)-TblConstr[[#This Row],[Dest Alc]]</f>
        <v>0</v>
      </c>
      <c r="BA24" s="189" cm="1">
        <f t="array" aca="1" ref="BA24" ca="1">IF(TblConstr[[#This Row],[Hour]:[Hour]]&gt;12,OFFSET(TblConstr[[#This Row],[Far]],-12,0),0)+OFFSET(TblConstr[[#This Row],[Tot Farm]],-1,0)-TblConstr[[#This Row],[Dest Farm]]</f>
        <v>30</v>
      </c>
      <c r="BB24" s="189" cm="1">
        <f t="array" aca="1" ref="BB24" ca="1">IF(TblConstr[[#This Row],[Hour]:[Hour]]&gt;12,OFFSET(TblConstr[[#This Row],[Smi]],-12,0),0)+OFFSET(TblConstr[[#This Row],[Tot Smi]],-1,0)-TblConstr[[#This Row],[Dest Smi]]</f>
        <v>0</v>
      </c>
      <c r="BC24" s="189" cm="1">
        <f t="array" aca="1" ref="BC24" ca="1">IF(TblConstr[[#This Row],[Hour]:[Hour]]&gt;12,OFFSET(TblConstr[[#This Row],[Mas]],-12,0),0)+OFFSET(TblConstr[[#This Row],[Tot Mas]],-1,0)-TblConstr[[#This Row],[Dest Mas]]</f>
        <v>0</v>
      </c>
      <c r="BD24" s="190" cm="1">
        <f t="array" aca="1" ref="BD24" ca="1">IF(TblConstr[[#This Row],[Hour]:[Hour]]&gt;12,OFFSET(TblConstr[[#This Row],[Ly]],-12,0),0)+OFFSET(TblConstr[[#This Row],[Tot Ly]],-1,0)-TblConstr[[#This Row],[Dest Ly]]</f>
        <v>20</v>
      </c>
      <c r="BE24" s="190" cm="1">
        <f t="array" aca="1" ref="BE24" ca="1">IF(TblConstr[[#This Row],[Hour]:[Hour]]&gt;12,OFFSET(TblConstr[[#This Row],[Hav]],-12,0),0)+OFFSET(TblConstr[[#This Row],[Tot Hav]],-1,0)-TblConstr[[#This Row],[Dest Hav]]</f>
        <v>0</v>
      </c>
      <c r="BF24" s="361" cm="1">
        <f t="array" aca="1" ref="BF24" ca="1">IF(TblConstr[[#This Row],[Hour]:[Hour]]&gt;12,OFFSET(TblConstr[[#This Row],[OM]],-12,0),0)+OFFSET(TblConstr[[#This Row],[Tot OM]],-1,0)-TblConstr[[#This Row],[Dest OM]]</f>
        <v>0</v>
      </c>
      <c r="BG24" s="361" cm="1">
        <f t="array" aca="1" ref="BG24" ca="1">IF(TblConstr[[#This Row],[Hour]:[Hour]]&gt;12,OFFSET(TblConstr[[#This Row],[GN]],-12,0),0)+OFFSET(TblConstr[[#This Row],[Tot GN]],-1,0)-TblConstr[[#This Row],[Dest GN]]</f>
        <v>0</v>
      </c>
      <c r="BH24" s="365" cm="1">
        <f t="array" aca="1" ref="BH24" ca="1">IF(TblConstr[[#This Row],[Hour]:[Hour]]&gt;12,OFFSET(TblConstr[[#This Row],[Fac]],-12,0),0)+OFFSET(TblConstr[[#This Row],[Tot Fac]],-1,0)-TblConstr[[#This Row],[Dest Fac]]</f>
        <v>0</v>
      </c>
      <c r="BI24" s="365" cm="1">
        <f t="array" aca="1" ref="BI24" ca="1">IF(TblConstr[[#This Row],[Hour]:[Hour]]&gt;12,OFFSET(TblConstr[[#This Row],[GT]],-12,0),0)+OFFSET(TblConstr[[#This Row],[Tot GT]],-1,0)-TblConstr[[#This Row],[Dest GT]]</f>
        <v>0</v>
      </c>
      <c r="BJ24" s="365" cm="1">
        <f t="array" aca="1" ref="BJ24" ca="1">IF(TblConstr[[#This Row],[Hour]:[Hour]]&gt;12,OFFSET(TblConstr[[#This Row],[Bar]],-12,0),0)+OFFSET(TblConstr[[#This Row],[Tot Bar]],-1,0)-TblConstr[[#This Row],[Dest Bar]]</f>
        <v>0</v>
      </c>
      <c r="BK24" s="365" cm="1">
        <f t="array" aca="1" ref="BK24" ca="1">IF(TblConstr[[#This Row],[Hour]:[Hour]]&gt;12,OFFSET(TblConstr[[#This Row],[Shr]],-12,0),0)+OFFSET(TblConstr[[#This Row],[Tot Shr]],-1,0)-TblConstr[[#This Row],[Dest Shr]]</f>
        <v>0</v>
      </c>
      <c r="BL24" s="369" cm="1">
        <f t="array" aca="1" ref="BL24" ca="1">IF(TblConstr[[#This Row],[Hour]:[Hour]]&gt;12,OFFSET(TblConstr[[#This Row],[Tow]],-12,0),0)+OFFSET(TblConstr[[#This Row],[Tot Tow]],-1,0)-TblConstr[[#This Row],[Dest Tow]]</f>
        <v>0</v>
      </c>
      <c r="BM24" s="369" cm="1">
        <f t="array" aca="1" ref="BM24" ca="1">IF(TblConstr[[#This Row],[Hour]:[Hour]]&gt;12,OFFSET(TblConstr[[#This Row],[Tem]],-12,0),0)+OFFSET(TblConstr[[#This Row],[Tot Tem]],-1,0)-TblConstr[[#This Row],[Dest Tem]]</f>
        <v>0</v>
      </c>
      <c r="BN24" s="369" cm="1">
        <f t="array" aca="1" ref="BN24" ca="1">IF(TblConstr[[#This Row],[Hour]:[Hour]]&gt;12,OFFSET(TblConstr[[#This Row],[WG]],-12,0),0)+OFFSET(TblConstr[[#This Row],[Tot WG]],-1,0)-TblConstr[[#This Row],[Dest WG]]</f>
        <v>0</v>
      </c>
      <c r="BO24" s="191" cm="1">
        <f t="array" aca="1" ref="BO24" ca="1">IF(TblConstr[[#This Row],[Hour]:[Hour]]&gt;12,OFFSET(TblConstr[[#This Row],[DM]],-12,0),0)+OFFSET(TblConstr[[#This Row],[Tot DM]],-1,0)-TblConstr[[#This Row],[Dest DM]]</f>
        <v>0</v>
      </c>
      <c r="BP24" s="191" cm="1">
        <f t="array" aca="1" ref="BP24" ca="1">IF(TblConstr[[#This Row],[Hour]:[Hour]]&gt;12,OFFSET(TblConstr[[#This Row],[Sch]],-12,0),0)+OFFSET(TblConstr[[#This Row],[Tot Sch]],-1,0)-TblConstr[[#This Row],[Dest Sch]]</f>
        <v>0</v>
      </c>
      <c r="BQ24" s="192" cm="1">
        <f t="array" aca="1" ref="BQ24" ca="1">IF(TblConstr[[#This Row],[Hour]:[Hour]]&gt;12,OFFSET(TblConstr[[#This Row],[Doc]],-12,0),0)+OFFSET(TblConstr[[#This Row],[Tot Doc]],-1,0)-TblConstr[[#This Row],[Dest Doc]]</f>
        <v>0</v>
      </c>
      <c r="BR24" s="142"/>
      <c r="BS24" s="154"/>
      <c r="BT24" s="94">
        <f ca="1">TblConstr[[#This Row],[Land]]</f>
        <v>50</v>
      </c>
      <c r="BU24" s="159">
        <f ca="1">TblImps[[#This Row],[Time]]</f>
        <v>46320.833333333285</v>
      </c>
      <c r="BV24" s="142"/>
      <c r="BW24" s="179"/>
      <c r="BX24" s="179"/>
      <c r="BY24" s="179"/>
      <c r="BZ24" s="179"/>
      <c r="CA24" s="179"/>
      <c r="CB24" s="179"/>
      <c r="CC24" s="179"/>
      <c r="CD24" s="179"/>
      <c r="CE24" s="179"/>
      <c r="CF24" s="179"/>
      <c r="CG24" s="179"/>
      <c r="CH24" s="179"/>
      <c r="CI24" s="179"/>
      <c r="CJ24" s="179"/>
      <c r="CK24" s="179"/>
      <c r="CL24" s="179"/>
      <c r="CM24" s="179"/>
      <c r="CN24" s="179"/>
      <c r="CO24" s="179"/>
      <c r="CP24" s="142"/>
      <c r="CQ24" s="181">
        <f ca="1">-SUM(TblConstr[[#This Row],[Alc]:[Mas]])+SUM(TblConstr[[#This Row],[Dest Alc]:[Dest Mas]])+Rezone!L24+IF("Ch_"&amp; home_land=TblConstr[[#Headers],[Ch_Plain]],TblConstr[[#This Row],[Home Land]])+IF(TblConstr[[#This Row],[Hour]:[Hour]]&gt;12,OFFSET(TblExplore[[#This Row],[Plains Explore]],-12,0),0)</f>
        <v>0</v>
      </c>
      <c r="CR24" s="182">
        <f ca="1">-SUM(TblConstr[[#This Row],[Ly]:[Hav]])+SUM(TblConstr[[#This Row],[Dest Ly]:[Dest Hav]]) +Rezone!M24 + IF("Ch_"&amp; home_land=TblConstr[[#Headers],[Ch_Forest]],TblConstr[[#This Row],[Home Land]])+IF(TblConstr[[#This Row],[Hour]:[Hour]]&gt;12,OFFSET(TblExplore[[#This Row],[Forest Explore]],-12,0),0)</f>
        <v>0</v>
      </c>
      <c r="CS24" s="359">
        <f ca="1">-SUM(TblConstr[[#This Row],[OM]:[GN]])+SUM(TblConstr[[#This Row],[Dest OM]:[Dest GN]]) +Rezone!N24 + IF("Ch_"&amp; home_land=TblConstr[[#Headers],[Ch_Mountain]],TblConstr[[#This Row],[Home Land]])+IF(TblConstr[[#This Row],[Hour]:[Hour]]&gt;12,OFFSET(TblExplore[[#This Row],[Mountain Explore]],-12,0),0)</f>
        <v>0</v>
      </c>
      <c r="CT24" s="183">
        <f ca="1">-SUM(TblConstr[[#This Row],[Fac]:[Shr]])+SUM(TblConstr[[#This Row],[Dest Fac]:[Dest Shr]]) +Rezone!O24 + IF("Ch_" &amp; home_land=TblConstr[[#Headers],[Ch_Hill]],TblConstr[[#This Row],[Home Land]])+IF(TblConstr[[#This Row],[Hour]:[Hour]]&gt;12,OFFSET(TblExplore[[#This Row],[Hill Explore]],-12,0),0)</f>
        <v>0</v>
      </c>
      <c r="CU24" s="184">
        <f ca="1">-SUM(TblConstr[[#This Row],[Tow]:[WG]])+SUM(TblConstr[[#This Row],[Dest Tow]:[Dest WG]]) +Rezone!P24 + IF("Ch_" &amp; home_land=TblConstr[[#Headers],[Ch_Swamp]],TblConstr[[#This Row],[Home Land]])+IF(TblConstr[[#This Row],[Hour]:[Hour]]&gt;12,OFFSET(TblExplore[[#This Row],[Swamp Explore]],-12,0),0)</f>
        <v>0</v>
      </c>
      <c r="CV24" s="185">
        <f ca="1" xml:space="preserve"> - SUM(TblConstr[[#This Row],[DM]:[Sch]])+SUM(TblConstr[[#This Row],[Dest DM]:[Dest Sch]]) +Rezone!Q24 + IF("Ch_" &amp; home_land=TblConstr[[#Headers],[Ch_Cavern]],TblConstr[[#This Row],[Home Land]])+IF(TblConstr[[#This Row],[Hour]:[Hour]]&gt;12,OFFSET(TblExplore[[#This Row],[Cavern Explore]],-12,0),0)</f>
        <v>0</v>
      </c>
      <c r="CW24" s="186">
        <f ca="1">-TblConstr[[#This Row],[Doc]]+TblConstr[[#This Row],[Dest Doc]] +Rezone!R24 + IF("Ch_" &amp; home_land=TblConstr[[#Headers],[Ch_Water]],TblConstr[[#This Row],[Home Land]])+IF(TblConstr[[#This Row],[Hour]:[Hour]]&gt;12,OFFSET(TblExplore[[#This Row],[Water Explore]],-12,0),0)</f>
        <v>0</v>
      </c>
      <c r="CX24" s="45">
        <f>IF(Explore!S24=1,20) - TblConstr[[#This Row],[Hom]] + TblConstr[[#This Row],[Dest Hom]]</f>
        <v>0</v>
      </c>
      <c r="CY24" s="142"/>
      <c r="CZ24" s="94">
        <f t="shared" ca="1" si="3"/>
        <v>30</v>
      </c>
      <c r="DA24" s="94">
        <f t="shared" ca="1" si="4"/>
        <v>20</v>
      </c>
      <c r="DB24" s="45">
        <f t="shared" ca="1" si="5"/>
        <v>0</v>
      </c>
      <c r="DC24" s="94">
        <f t="shared" ca="1" si="6"/>
        <v>0</v>
      </c>
      <c r="DD24" s="94">
        <f t="shared" ca="1" si="7"/>
        <v>0</v>
      </c>
      <c r="DE24" s="45">
        <f t="shared" ca="1" si="8"/>
        <v>0</v>
      </c>
      <c r="DF24" s="94">
        <f t="shared" ca="1" si="9"/>
        <v>0</v>
      </c>
      <c r="DG24" s="94" cm="1">
        <f t="array" aca="1" ref="DG24" ca="1">INDEX(TblConstr[[Total Plain]:[Total Water]],ROW()-ROW(TblConstr[#Headers]),MATCH("Total "&amp;home_land,TblConstr[[#Headers],[Total Plain]:[Total Water]],0))+TblConstr[[#This Row],[Homes]]</f>
        <v>30</v>
      </c>
      <c r="DH24" s="45">
        <f t="shared" ca="1" si="10"/>
        <v>0</v>
      </c>
      <c r="DI24" s="45">
        <f t="shared" ca="1" si="0"/>
        <v>0</v>
      </c>
      <c r="DJ24" s="45">
        <f t="shared" ca="1" si="1"/>
        <v>0</v>
      </c>
    </row>
    <row r="25" spans="1:114" x14ac:dyDescent="0.2">
      <c r="A25" s="175">
        <f>TblRezone[[#This Row],[Hour]]</f>
        <v>22</v>
      </c>
      <c r="B25" s="176">
        <f ca="1">SUM(TblConstr[[#This Row],[Plain]:[Water]])</f>
        <v>0</v>
      </c>
      <c r="C25" s="177">
        <f ca="1">SUM(TblConstr[[#This Row],[Tot Hom]:[Tot Doc]])</f>
        <v>50</v>
      </c>
      <c r="D25" s="177">
        <f t="shared" si="2"/>
        <v>0</v>
      </c>
      <c r="E25" s="178"/>
      <c r="F25" s="61">
        <f ca="1">TblConstr[[#This Row],[Barren]]+TblConstr[[#This Row],[Buildings]]+TblConstr[[#This Row],[Incoming]]</f>
        <v>50</v>
      </c>
      <c r="G25" s="187">
        <f ca="1">OFFSET(TblConstr[[#This Row],[Plain]],-1,0)+TblConstr[[#This Row],[Ch_Plain]]</f>
        <v>0</v>
      </c>
      <c r="H25" s="182">
        <f ca="1">OFFSET(TblConstr[[#This Row],[Forest]],-1,0)+TblConstr[[#This Row],[Ch_Forest]]</f>
        <v>0</v>
      </c>
      <c r="I25" s="359">
        <f ca="1">OFFSET(TblConstr[[#This Row],[Mountain]],-1,0)+TblConstr[[#This Row],[Ch_Mountain]]</f>
        <v>0</v>
      </c>
      <c r="J25" s="363">
        <f ca="1">OFFSET(TblConstr[[#This Row],[Hill]],-1,0)+TblConstr[[#This Row],[Ch_Hill]]</f>
        <v>0</v>
      </c>
      <c r="K25" s="367">
        <f ca="1">OFFSET(TblConstr[[#This Row],[Swamp]],-1,0)+TblConstr[[#This Row],[Ch_Swamp]]</f>
        <v>0</v>
      </c>
      <c r="L25" s="185">
        <f ca="1">OFFSET(TblConstr[[#This Row],[Cavern]],-1,0)+TblConstr[[#This Row],[Ch_Cavern]]</f>
        <v>0</v>
      </c>
      <c r="M25" s="186">
        <f ca="1">OFFSET(TblConstr[[#This Row],[Water]],-1,0)+TblConstr[[#This Row],[Ch_Water]]</f>
        <v>0</v>
      </c>
      <c r="N25" s="357">
        <f>TblRezone[[#This Row],[Hour]]</f>
        <v>22</v>
      </c>
      <c r="O25" s="179"/>
      <c r="P25" s="179"/>
      <c r="Q25" s="179"/>
      <c r="R25" s="158"/>
      <c r="S25" s="179"/>
      <c r="T25" s="179"/>
      <c r="U25" s="179"/>
      <c r="V25" s="179"/>
      <c r="W25" s="179"/>
      <c r="X25" s="179"/>
      <c r="Y25" s="179"/>
      <c r="Z25" s="179"/>
      <c r="AA25" s="179"/>
      <c r="AB25" s="179"/>
      <c r="AC25" s="179"/>
      <c r="AD25" s="179"/>
      <c r="AE25" s="179"/>
      <c r="AF25" s="179"/>
      <c r="AG25" s="179"/>
      <c r="AH25" s="53">
        <f ca="1">TblImps[[#This Row],[Time]]</f>
        <v>46320.874999999949</v>
      </c>
      <c r="AI25" s="180">
        <f ca="1">MIN(25%,(TblConstr[[#This Row],[Tot Fac]]+TblConstr[[#This Row],[Dest Fac]])/(TblConstr[[#This Row],[Land]]-TblExplore[[#This Row],[Land Bonus]]*20))</f>
        <v>0</v>
      </c>
      <c r="AJ25" s="180">
        <f ca="1">MIN(25%,(TblConstr[[#This Row],[Tot Fac]]+TblConstr[[#This Row],[Dest Fac]])/TblConstr[[#This Row],[Land]])</f>
        <v>0</v>
      </c>
      <c r="AK25" s="94">
        <f ca="1">TblProd[[#This Row],[Platinum]]</f>
        <v>144114</v>
      </c>
      <c r="AL25" s="94">
        <f ca="1">TblProd[[#This Row],[Lumber]]</f>
        <v>31172</v>
      </c>
      <c r="AM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5" s="94">
        <f ca="1">ROUNDDOWN( MAX(1 - MIN(facs_constr_factor*TblConstr[[#This Row],[Facs -DB]],facs_constr_max) + tech_1_11*TblTech[[#This Row],[11-1]] + tech_6_3_2*TblTech[[#This Row],[6-3]] + tech_5_2_3*TblTech[[#This Row],[5-2]], 1-global_constr_cap) * TblConstr[[#This Row],[RCPA Lumber]],0)</f>
        <v>31</v>
      </c>
      <c r="AO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5" s="94">
        <f ca="1">ROUNDDOWN( MAX(1 - MIN(facs_constr_factor*TblConstr[[#This Row],[Facs DB]],facs_constr_max) + tech_1_11*TblTech[[#This Row],[1-11]] + tech_6_3_2*TblTech[[#This Row],[6-3]] + tech_5_2_3*TblTech[[#This Row],[5-2]], 1-global_constr_cap) * ROUND((TblConstr[[#This Row],[Land]]-250)*0.285 + 87.5 + 0/4.25,0),0)</f>
        <v>31</v>
      </c>
      <c r="AQ25" s="45">
        <f ca="1">TblConstr[[#This Row],[build -db]]*TblConstr[[#This Row],[CPA Platinum -DB]] + TblConstr[[#This Row],[build db]]*TblConstr[[#This Row],[CPA Platinum DB]]</f>
        <v>0</v>
      </c>
      <c r="AR25" s="45">
        <f ca="1">TblConstr[[#This Row],[build -db]]*TblConstr[[#This Row],[CPA Lumber -DB]] + TblConstr[[#This Row],[build db]]*TblConstr[[#This Row],[CPA Lumber DB]]</f>
        <v>0</v>
      </c>
      <c r="AS25" s="94">
        <f ca="1">MIN(SUM(OFFSET(TblConstr[[#This Row],[Plain]:[Water]],-1,0))+SUM(TblConstr[[#This Row],[Dest Hom]:[Dest Doc]])+IF(TblConstr[[#This Row],[Hour]]&gt;12,SUM(OFFSET(TblExplore[[#This Row],[Plains Explore]:[Water Explore]],-12,0)),0),SUM(TblConstr[[#This Row],[Hom]:[Doc]]))</f>
        <v>0</v>
      </c>
      <c r="AT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42"/>
      <c r="AV25" s="94">
        <f ca="1">ROUND((TblConstr[[#This Row],[Land]]-250 - IF(TblExplore[[#This Row],[Land Bonus]]&lt;&gt;0,20,0))*1.25 + 850 + 0,0)</f>
        <v>600</v>
      </c>
      <c r="AW25" s="94">
        <f ca="1">ROUND((TblConstr[[#This Row],[Land]]-250 - IF(TblExplore[[#This Row],[Land Bonus]]&lt;&gt;0,20,0))*0.285 + 87.5 + 0/4.25,0)</f>
        <v>31</v>
      </c>
      <c r="AX25" s="154"/>
      <c r="AY25" s="188" cm="1">
        <f t="array" aca="1" ref="AY25" ca="1">IF(TblConstr[[#This Row],[Hour]:[Hour]]&gt;12,OFFSET(TblConstr[[#This Row],[Hom]],-12,0),0)+OFFSET(TblConstr[[#This Row],[Tot Hom]],-1,0)-TblConstr[[#This Row],[Dest Hom]]</f>
        <v>0</v>
      </c>
      <c r="AZ25" s="189" cm="1">
        <f t="array" aca="1" ref="AZ25" ca="1">IF(TblConstr[[#This Row],[Hour]:[Hour]]&gt;12,OFFSET(TblConstr[[#This Row],[Alc]],-12,0),0)+OFFSET(TblConstr[[#This Row],[Tot Alc]],-1,0)-TblConstr[[#This Row],[Dest Alc]]</f>
        <v>0</v>
      </c>
      <c r="BA25" s="189" cm="1">
        <f t="array" aca="1" ref="BA25" ca="1">IF(TblConstr[[#This Row],[Hour]:[Hour]]&gt;12,OFFSET(TblConstr[[#This Row],[Far]],-12,0),0)+OFFSET(TblConstr[[#This Row],[Tot Farm]],-1,0)-TblConstr[[#This Row],[Dest Farm]]</f>
        <v>30</v>
      </c>
      <c r="BB25" s="189" cm="1">
        <f t="array" aca="1" ref="BB25" ca="1">IF(TblConstr[[#This Row],[Hour]:[Hour]]&gt;12,OFFSET(TblConstr[[#This Row],[Smi]],-12,0),0)+OFFSET(TblConstr[[#This Row],[Tot Smi]],-1,0)-TblConstr[[#This Row],[Dest Smi]]</f>
        <v>0</v>
      </c>
      <c r="BC25" s="189" cm="1">
        <f t="array" aca="1" ref="BC25" ca="1">IF(TblConstr[[#This Row],[Hour]:[Hour]]&gt;12,OFFSET(TblConstr[[#This Row],[Mas]],-12,0),0)+OFFSET(TblConstr[[#This Row],[Tot Mas]],-1,0)-TblConstr[[#This Row],[Dest Mas]]</f>
        <v>0</v>
      </c>
      <c r="BD25" s="190" cm="1">
        <f t="array" aca="1" ref="BD25" ca="1">IF(TblConstr[[#This Row],[Hour]:[Hour]]&gt;12,OFFSET(TblConstr[[#This Row],[Ly]],-12,0),0)+OFFSET(TblConstr[[#This Row],[Tot Ly]],-1,0)-TblConstr[[#This Row],[Dest Ly]]</f>
        <v>20</v>
      </c>
      <c r="BE25" s="190" cm="1">
        <f t="array" aca="1" ref="BE25" ca="1">IF(TblConstr[[#This Row],[Hour]:[Hour]]&gt;12,OFFSET(TblConstr[[#This Row],[Hav]],-12,0),0)+OFFSET(TblConstr[[#This Row],[Tot Hav]],-1,0)-TblConstr[[#This Row],[Dest Hav]]</f>
        <v>0</v>
      </c>
      <c r="BF25" s="361" cm="1">
        <f t="array" aca="1" ref="BF25" ca="1">IF(TblConstr[[#This Row],[Hour]:[Hour]]&gt;12,OFFSET(TblConstr[[#This Row],[OM]],-12,0),0)+OFFSET(TblConstr[[#This Row],[Tot OM]],-1,0)-TblConstr[[#This Row],[Dest OM]]</f>
        <v>0</v>
      </c>
      <c r="BG25" s="361" cm="1">
        <f t="array" aca="1" ref="BG25" ca="1">IF(TblConstr[[#This Row],[Hour]:[Hour]]&gt;12,OFFSET(TblConstr[[#This Row],[GN]],-12,0),0)+OFFSET(TblConstr[[#This Row],[Tot GN]],-1,0)-TblConstr[[#This Row],[Dest GN]]</f>
        <v>0</v>
      </c>
      <c r="BH25" s="365" cm="1">
        <f t="array" aca="1" ref="BH25" ca="1">IF(TblConstr[[#This Row],[Hour]:[Hour]]&gt;12,OFFSET(TblConstr[[#This Row],[Fac]],-12,0),0)+OFFSET(TblConstr[[#This Row],[Tot Fac]],-1,0)-TblConstr[[#This Row],[Dest Fac]]</f>
        <v>0</v>
      </c>
      <c r="BI25" s="365" cm="1">
        <f t="array" aca="1" ref="BI25" ca="1">IF(TblConstr[[#This Row],[Hour]:[Hour]]&gt;12,OFFSET(TblConstr[[#This Row],[GT]],-12,0),0)+OFFSET(TblConstr[[#This Row],[Tot GT]],-1,0)-TblConstr[[#This Row],[Dest GT]]</f>
        <v>0</v>
      </c>
      <c r="BJ25" s="365" cm="1">
        <f t="array" aca="1" ref="BJ25" ca="1">IF(TblConstr[[#This Row],[Hour]:[Hour]]&gt;12,OFFSET(TblConstr[[#This Row],[Bar]],-12,0),0)+OFFSET(TblConstr[[#This Row],[Tot Bar]],-1,0)-TblConstr[[#This Row],[Dest Bar]]</f>
        <v>0</v>
      </c>
      <c r="BK25" s="365" cm="1">
        <f t="array" aca="1" ref="BK25" ca="1">IF(TblConstr[[#This Row],[Hour]:[Hour]]&gt;12,OFFSET(TblConstr[[#This Row],[Shr]],-12,0),0)+OFFSET(TblConstr[[#This Row],[Tot Shr]],-1,0)-TblConstr[[#This Row],[Dest Shr]]</f>
        <v>0</v>
      </c>
      <c r="BL25" s="369" cm="1">
        <f t="array" aca="1" ref="BL25" ca="1">IF(TblConstr[[#This Row],[Hour]:[Hour]]&gt;12,OFFSET(TblConstr[[#This Row],[Tow]],-12,0),0)+OFFSET(TblConstr[[#This Row],[Tot Tow]],-1,0)-TblConstr[[#This Row],[Dest Tow]]</f>
        <v>0</v>
      </c>
      <c r="BM25" s="369" cm="1">
        <f t="array" aca="1" ref="BM25" ca="1">IF(TblConstr[[#This Row],[Hour]:[Hour]]&gt;12,OFFSET(TblConstr[[#This Row],[Tem]],-12,0),0)+OFFSET(TblConstr[[#This Row],[Tot Tem]],-1,0)-TblConstr[[#This Row],[Dest Tem]]</f>
        <v>0</v>
      </c>
      <c r="BN25" s="369" cm="1">
        <f t="array" aca="1" ref="BN25" ca="1">IF(TblConstr[[#This Row],[Hour]:[Hour]]&gt;12,OFFSET(TblConstr[[#This Row],[WG]],-12,0),0)+OFFSET(TblConstr[[#This Row],[Tot WG]],-1,0)-TblConstr[[#This Row],[Dest WG]]</f>
        <v>0</v>
      </c>
      <c r="BO25" s="191" cm="1">
        <f t="array" aca="1" ref="BO25" ca="1">IF(TblConstr[[#This Row],[Hour]:[Hour]]&gt;12,OFFSET(TblConstr[[#This Row],[DM]],-12,0),0)+OFFSET(TblConstr[[#This Row],[Tot DM]],-1,0)-TblConstr[[#This Row],[Dest DM]]</f>
        <v>0</v>
      </c>
      <c r="BP25" s="191" cm="1">
        <f t="array" aca="1" ref="BP25" ca="1">IF(TblConstr[[#This Row],[Hour]:[Hour]]&gt;12,OFFSET(TblConstr[[#This Row],[Sch]],-12,0),0)+OFFSET(TblConstr[[#This Row],[Tot Sch]],-1,0)-TblConstr[[#This Row],[Dest Sch]]</f>
        <v>0</v>
      </c>
      <c r="BQ25" s="192" cm="1">
        <f t="array" aca="1" ref="BQ25" ca="1">IF(TblConstr[[#This Row],[Hour]:[Hour]]&gt;12,OFFSET(TblConstr[[#This Row],[Doc]],-12,0),0)+OFFSET(TblConstr[[#This Row],[Tot Doc]],-1,0)-TblConstr[[#This Row],[Dest Doc]]</f>
        <v>0</v>
      </c>
      <c r="BR25" s="142"/>
      <c r="BS25" s="154"/>
      <c r="BT25" s="94">
        <f ca="1">TblConstr[[#This Row],[Land]]</f>
        <v>50</v>
      </c>
      <c r="BU25" s="159">
        <f ca="1">TblImps[[#This Row],[Time]]</f>
        <v>46320.874999999949</v>
      </c>
      <c r="BV25" s="142"/>
      <c r="BW25" s="179"/>
      <c r="BX25" s="179"/>
      <c r="BY25" s="179"/>
      <c r="BZ25" s="179"/>
      <c r="CA25" s="179"/>
      <c r="CB25" s="179"/>
      <c r="CC25" s="179"/>
      <c r="CD25" s="179"/>
      <c r="CE25" s="179"/>
      <c r="CF25" s="179"/>
      <c r="CG25" s="179"/>
      <c r="CH25" s="179"/>
      <c r="CI25" s="179"/>
      <c r="CJ25" s="179"/>
      <c r="CK25" s="179"/>
      <c r="CL25" s="179"/>
      <c r="CM25" s="179"/>
      <c r="CN25" s="179"/>
      <c r="CO25" s="179"/>
      <c r="CP25" s="142"/>
      <c r="CQ25" s="181">
        <f ca="1">-SUM(TblConstr[[#This Row],[Alc]:[Mas]])+SUM(TblConstr[[#This Row],[Dest Alc]:[Dest Mas]])+Rezone!L25+IF("Ch_"&amp; home_land=TblConstr[[#Headers],[Ch_Plain]],TblConstr[[#This Row],[Home Land]])+IF(TblConstr[[#This Row],[Hour]:[Hour]]&gt;12,OFFSET(TblExplore[[#This Row],[Plains Explore]],-12,0),0)</f>
        <v>0</v>
      </c>
      <c r="CR25" s="182">
        <f ca="1">-SUM(TblConstr[[#This Row],[Ly]:[Hav]])+SUM(TblConstr[[#This Row],[Dest Ly]:[Dest Hav]]) +Rezone!M25 + IF("Ch_"&amp; home_land=TblConstr[[#Headers],[Ch_Forest]],TblConstr[[#This Row],[Home Land]])+IF(TblConstr[[#This Row],[Hour]:[Hour]]&gt;12,OFFSET(TblExplore[[#This Row],[Forest Explore]],-12,0),0)</f>
        <v>0</v>
      </c>
      <c r="CS25" s="359">
        <f ca="1">-SUM(TblConstr[[#This Row],[OM]:[GN]])+SUM(TblConstr[[#This Row],[Dest OM]:[Dest GN]]) +Rezone!N25 + IF("Ch_"&amp; home_land=TblConstr[[#Headers],[Ch_Mountain]],TblConstr[[#This Row],[Home Land]])+IF(TblConstr[[#This Row],[Hour]:[Hour]]&gt;12,OFFSET(TblExplore[[#This Row],[Mountain Explore]],-12,0),0)</f>
        <v>0</v>
      </c>
      <c r="CT25" s="183">
        <f ca="1">-SUM(TblConstr[[#This Row],[Fac]:[Shr]])+SUM(TblConstr[[#This Row],[Dest Fac]:[Dest Shr]]) +Rezone!O25 + IF("Ch_" &amp; home_land=TblConstr[[#Headers],[Ch_Hill]],TblConstr[[#This Row],[Home Land]])+IF(TblConstr[[#This Row],[Hour]:[Hour]]&gt;12,OFFSET(TblExplore[[#This Row],[Hill Explore]],-12,0),0)</f>
        <v>0</v>
      </c>
      <c r="CU25" s="184">
        <f ca="1">-SUM(TblConstr[[#This Row],[Tow]:[WG]])+SUM(TblConstr[[#This Row],[Dest Tow]:[Dest WG]]) +Rezone!P25 + IF("Ch_" &amp; home_land=TblConstr[[#Headers],[Ch_Swamp]],TblConstr[[#This Row],[Home Land]])+IF(TblConstr[[#This Row],[Hour]:[Hour]]&gt;12,OFFSET(TblExplore[[#This Row],[Swamp Explore]],-12,0),0)</f>
        <v>0</v>
      </c>
      <c r="CV25" s="185">
        <f ca="1" xml:space="preserve"> - SUM(TblConstr[[#This Row],[DM]:[Sch]])+SUM(TblConstr[[#This Row],[Dest DM]:[Dest Sch]]) +Rezone!Q25 + IF("Ch_" &amp; home_land=TblConstr[[#Headers],[Ch_Cavern]],TblConstr[[#This Row],[Home Land]])+IF(TblConstr[[#This Row],[Hour]:[Hour]]&gt;12,OFFSET(TblExplore[[#This Row],[Cavern Explore]],-12,0),0)</f>
        <v>0</v>
      </c>
      <c r="CW25" s="186">
        <f ca="1">-TblConstr[[#This Row],[Doc]]+TblConstr[[#This Row],[Dest Doc]] +Rezone!R25 + IF("Ch_" &amp; home_land=TblConstr[[#Headers],[Ch_Water]],TblConstr[[#This Row],[Home Land]])+IF(TblConstr[[#This Row],[Hour]:[Hour]]&gt;12,OFFSET(TblExplore[[#This Row],[Water Explore]],-12,0),0)</f>
        <v>0</v>
      </c>
      <c r="CX25" s="45">
        <f>IF(Explore!S25=1,20) - TblConstr[[#This Row],[Hom]] + TblConstr[[#This Row],[Dest Hom]]</f>
        <v>0</v>
      </c>
      <c r="CY25" s="142"/>
      <c r="CZ25" s="94">
        <f t="shared" ca="1" si="3"/>
        <v>30</v>
      </c>
      <c r="DA25" s="94">
        <f t="shared" ca="1" si="4"/>
        <v>20</v>
      </c>
      <c r="DB25" s="45">
        <f t="shared" ca="1" si="5"/>
        <v>0</v>
      </c>
      <c r="DC25" s="94">
        <f t="shared" ca="1" si="6"/>
        <v>0</v>
      </c>
      <c r="DD25" s="94">
        <f t="shared" ca="1" si="7"/>
        <v>0</v>
      </c>
      <c r="DE25" s="45">
        <f t="shared" ca="1" si="8"/>
        <v>0</v>
      </c>
      <c r="DF25" s="94">
        <f t="shared" ca="1" si="9"/>
        <v>0</v>
      </c>
      <c r="DG25" s="94" cm="1">
        <f t="array" aca="1" ref="DG25" ca="1">INDEX(TblConstr[[Total Plain]:[Total Water]],ROW()-ROW(TblConstr[#Headers]),MATCH("Total "&amp;home_land,TblConstr[[#Headers],[Total Plain]:[Total Water]],0))+TblConstr[[#This Row],[Homes]]</f>
        <v>30</v>
      </c>
      <c r="DH25" s="45">
        <f t="shared" ca="1" si="10"/>
        <v>0</v>
      </c>
      <c r="DI25" s="45">
        <f t="shared" ca="1" si="0"/>
        <v>0</v>
      </c>
      <c r="DJ25" s="45">
        <f t="shared" ca="1" si="1"/>
        <v>0</v>
      </c>
    </row>
    <row r="26" spans="1:114" x14ac:dyDescent="0.2">
      <c r="A26" s="175">
        <f>TblRezone[[#This Row],[Hour]]</f>
        <v>23</v>
      </c>
      <c r="B26" s="176">
        <f ca="1">SUM(TblConstr[[#This Row],[Plain]:[Water]])</f>
        <v>0</v>
      </c>
      <c r="C26" s="177">
        <f ca="1">SUM(TblConstr[[#This Row],[Tot Hom]:[Tot Doc]])</f>
        <v>50</v>
      </c>
      <c r="D26" s="177">
        <f>SUM(O15:AG26)</f>
        <v>0</v>
      </c>
      <c r="E26" s="178"/>
      <c r="F26" s="61">
        <f ca="1">TblConstr[[#This Row],[Barren]]+TblConstr[[#This Row],[Buildings]]+TblConstr[[#This Row],[Incoming]]</f>
        <v>50</v>
      </c>
      <c r="G26" s="187">
        <f ca="1">OFFSET(TblConstr[[#This Row],[Plain]],-1,0)+TblConstr[[#This Row],[Ch_Plain]]</f>
        <v>0</v>
      </c>
      <c r="H26" s="182">
        <f ca="1">OFFSET(TblConstr[[#This Row],[Forest]],-1,0)+TblConstr[[#This Row],[Ch_Forest]]</f>
        <v>0</v>
      </c>
      <c r="I26" s="359">
        <f ca="1">OFFSET(TblConstr[[#This Row],[Mountain]],-1,0)+TblConstr[[#This Row],[Ch_Mountain]]</f>
        <v>0</v>
      </c>
      <c r="J26" s="363">
        <f ca="1">OFFSET(TblConstr[[#This Row],[Hill]],-1,0)+TblConstr[[#This Row],[Ch_Hill]]</f>
        <v>0</v>
      </c>
      <c r="K26" s="367">
        <f ca="1">OFFSET(TblConstr[[#This Row],[Swamp]],-1,0)+TblConstr[[#This Row],[Ch_Swamp]]</f>
        <v>0</v>
      </c>
      <c r="L26" s="185">
        <f ca="1">OFFSET(TblConstr[[#This Row],[Cavern]],-1,0)+TblConstr[[#This Row],[Ch_Cavern]]</f>
        <v>0</v>
      </c>
      <c r="M26" s="186">
        <f ca="1">OFFSET(TblConstr[[#This Row],[Water]],-1,0)+TblConstr[[#This Row],[Ch_Water]]</f>
        <v>0</v>
      </c>
      <c r="N26" s="357">
        <f>TblRezone[[#This Row],[Hour]]</f>
        <v>23</v>
      </c>
      <c r="O26" s="179"/>
      <c r="P26" s="179"/>
      <c r="Q26" s="179"/>
      <c r="R26" s="158"/>
      <c r="S26" s="179"/>
      <c r="T26" s="179"/>
      <c r="U26" s="179"/>
      <c r="V26" s="179"/>
      <c r="W26" s="179"/>
      <c r="X26" s="179"/>
      <c r="Y26" s="179"/>
      <c r="Z26" s="179"/>
      <c r="AA26" s="179"/>
      <c r="AB26" s="179"/>
      <c r="AC26" s="179"/>
      <c r="AD26" s="179"/>
      <c r="AE26" s="179"/>
      <c r="AF26" s="179"/>
      <c r="AG26" s="179"/>
      <c r="AH26" s="53">
        <f ca="1">TblImps[[#This Row],[Time]]</f>
        <v>46320.916666666613</v>
      </c>
      <c r="AI26" s="180">
        <f ca="1">MIN(25%,(TblConstr[[#This Row],[Tot Fac]]+TblConstr[[#This Row],[Dest Fac]])/(TblConstr[[#This Row],[Land]]-TblExplore[[#This Row],[Land Bonus]]*20))</f>
        <v>0</v>
      </c>
      <c r="AJ26" s="180">
        <f ca="1">MIN(25%,(TblConstr[[#This Row],[Tot Fac]]+TblConstr[[#This Row],[Dest Fac]])/TblConstr[[#This Row],[Land]])</f>
        <v>0</v>
      </c>
      <c r="AK26" s="94">
        <f ca="1">TblProd[[#This Row],[Platinum]]</f>
        <v>145142</v>
      </c>
      <c r="AL26" s="94">
        <f ca="1">TblProd[[#This Row],[Lumber]]</f>
        <v>31860</v>
      </c>
      <c r="AM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6" s="94">
        <f ca="1">ROUNDDOWN( MAX(1 - MIN(facs_constr_factor*TblConstr[[#This Row],[Facs -DB]],facs_constr_max) + tech_1_11*TblTech[[#This Row],[11-1]] + tech_6_3_2*TblTech[[#This Row],[6-3]] + tech_5_2_3*TblTech[[#This Row],[5-2]], 1-global_constr_cap) * TblConstr[[#This Row],[RCPA Lumber]],0)</f>
        <v>31</v>
      </c>
      <c r="AO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6" s="94">
        <f ca="1">ROUNDDOWN( MAX(1 - MIN(facs_constr_factor*TblConstr[[#This Row],[Facs DB]],facs_constr_max) + tech_1_11*TblTech[[#This Row],[1-11]] + tech_6_3_2*TblTech[[#This Row],[6-3]] + tech_5_2_3*TblTech[[#This Row],[5-2]], 1-global_constr_cap) * ROUND((TblConstr[[#This Row],[Land]]-250)*0.285 + 87.5 + 0/4.25,0),0)</f>
        <v>31</v>
      </c>
      <c r="AQ26" s="45">
        <f ca="1">TblConstr[[#This Row],[build -db]]*TblConstr[[#This Row],[CPA Platinum -DB]] + TblConstr[[#This Row],[build db]]*TblConstr[[#This Row],[CPA Platinum DB]]</f>
        <v>0</v>
      </c>
      <c r="AR26" s="45">
        <f ca="1">TblConstr[[#This Row],[build -db]]*TblConstr[[#This Row],[CPA Lumber -DB]] + TblConstr[[#This Row],[build db]]*TblConstr[[#This Row],[CPA Lumber DB]]</f>
        <v>0</v>
      </c>
      <c r="AS26" s="94">
        <f ca="1">MIN(SUM(OFFSET(TblConstr[[#This Row],[Plain]:[Water]],-1,0))+SUM(TblConstr[[#This Row],[Dest Hom]:[Dest Doc]])+IF(TblConstr[[#This Row],[Hour]]&gt;12,SUM(OFFSET(TblExplore[[#This Row],[Plains Explore]:[Water Explore]],-12,0)),0),SUM(TblConstr[[#This Row],[Hom]:[Doc]]))</f>
        <v>0</v>
      </c>
      <c r="AT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42"/>
      <c r="AV26" s="94">
        <f ca="1">ROUND((TblConstr[[#This Row],[Land]]-250 - IF(TblExplore[[#This Row],[Land Bonus]]&lt;&gt;0,20,0))*1.25 + 850 + 0,0)</f>
        <v>600</v>
      </c>
      <c r="AW26" s="94">
        <f ca="1">ROUND((TblConstr[[#This Row],[Land]]-250 - IF(TblExplore[[#This Row],[Land Bonus]]&lt;&gt;0,20,0))*0.285 + 87.5 + 0/4.25,0)</f>
        <v>31</v>
      </c>
      <c r="AX26" s="154"/>
      <c r="AY26" s="188" cm="1">
        <f t="array" aca="1" ref="AY26" ca="1">IF(TblConstr[[#This Row],[Hour]:[Hour]]&gt;12,OFFSET(TblConstr[[#This Row],[Hom]],-12,0),0)+OFFSET(TblConstr[[#This Row],[Tot Hom]],-1,0)-TblConstr[[#This Row],[Dest Hom]]</f>
        <v>0</v>
      </c>
      <c r="AZ26" s="189" cm="1">
        <f t="array" aca="1" ref="AZ26" ca="1">IF(TblConstr[[#This Row],[Hour]:[Hour]]&gt;12,OFFSET(TblConstr[[#This Row],[Alc]],-12,0),0)+OFFSET(TblConstr[[#This Row],[Tot Alc]],-1,0)-TblConstr[[#This Row],[Dest Alc]]</f>
        <v>0</v>
      </c>
      <c r="BA26" s="189" cm="1">
        <f t="array" aca="1" ref="BA26" ca="1">IF(TblConstr[[#This Row],[Hour]:[Hour]]&gt;12,OFFSET(TblConstr[[#This Row],[Far]],-12,0),0)+OFFSET(TblConstr[[#This Row],[Tot Farm]],-1,0)-TblConstr[[#This Row],[Dest Farm]]</f>
        <v>30</v>
      </c>
      <c r="BB26" s="189" cm="1">
        <f t="array" aca="1" ref="BB26" ca="1">IF(TblConstr[[#This Row],[Hour]:[Hour]]&gt;12,OFFSET(TblConstr[[#This Row],[Smi]],-12,0),0)+OFFSET(TblConstr[[#This Row],[Tot Smi]],-1,0)-TblConstr[[#This Row],[Dest Smi]]</f>
        <v>0</v>
      </c>
      <c r="BC26" s="189" cm="1">
        <f t="array" aca="1" ref="BC26" ca="1">IF(TblConstr[[#This Row],[Hour]:[Hour]]&gt;12,OFFSET(TblConstr[[#This Row],[Mas]],-12,0),0)+OFFSET(TblConstr[[#This Row],[Tot Mas]],-1,0)-TblConstr[[#This Row],[Dest Mas]]</f>
        <v>0</v>
      </c>
      <c r="BD26" s="190" cm="1">
        <f t="array" aca="1" ref="BD26" ca="1">IF(TblConstr[[#This Row],[Hour]:[Hour]]&gt;12,OFFSET(TblConstr[[#This Row],[Ly]],-12,0),0)+OFFSET(TblConstr[[#This Row],[Tot Ly]],-1,0)-TblConstr[[#This Row],[Dest Ly]]</f>
        <v>20</v>
      </c>
      <c r="BE26" s="190" cm="1">
        <f t="array" aca="1" ref="BE26" ca="1">IF(TblConstr[[#This Row],[Hour]:[Hour]]&gt;12,OFFSET(TblConstr[[#This Row],[Hav]],-12,0),0)+OFFSET(TblConstr[[#This Row],[Tot Hav]],-1,0)-TblConstr[[#This Row],[Dest Hav]]</f>
        <v>0</v>
      </c>
      <c r="BF26" s="361" cm="1">
        <f t="array" aca="1" ref="BF26" ca="1">IF(TblConstr[[#This Row],[Hour]:[Hour]]&gt;12,OFFSET(TblConstr[[#This Row],[OM]],-12,0),0)+OFFSET(TblConstr[[#This Row],[Tot OM]],-1,0)-TblConstr[[#This Row],[Dest OM]]</f>
        <v>0</v>
      </c>
      <c r="BG26" s="361" cm="1">
        <f t="array" aca="1" ref="BG26" ca="1">IF(TblConstr[[#This Row],[Hour]:[Hour]]&gt;12,OFFSET(TblConstr[[#This Row],[GN]],-12,0),0)+OFFSET(TblConstr[[#This Row],[Tot GN]],-1,0)-TblConstr[[#This Row],[Dest GN]]</f>
        <v>0</v>
      </c>
      <c r="BH26" s="365" cm="1">
        <f t="array" aca="1" ref="BH26" ca="1">IF(TblConstr[[#This Row],[Hour]:[Hour]]&gt;12,OFFSET(TblConstr[[#This Row],[Fac]],-12,0),0)+OFFSET(TblConstr[[#This Row],[Tot Fac]],-1,0)-TblConstr[[#This Row],[Dest Fac]]</f>
        <v>0</v>
      </c>
      <c r="BI26" s="365" cm="1">
        <f t="array" aca="1" ref="BI26" ca="1">IF(TblConstr[[#This Row],[Hour]:[Hour]]&gt;12,OFFSET(TblConstr[[#This Row],[GT]],-12,0),0)+OFFSET(TblConstr[[#This Row],[Tot GT]],-1,0)-TblConstr[[#This Row],[Dest GT]]</f>
        <v>0</v>
      </c>
      <c r="BJ26" s="365" cm="1">
        <f t="array" aca="1" ref="BJ26" ca="1">IF(TblConstr[[#This Row],[Hour]:[Hour]]&gt;12,OFFSET(TblConstr[[#This Row],[Bar]],-12,0),0)+OFFSET(TblConstr[[#This Row],[Tot Bar]],-1,0)-TblConstr[[#This Row],[Dest Bar]]</f>
        <v>0</v>
      </c>
      <c r="BK26" s="365" cm="1">
        <f t="array" aca="1" ref="BK26" ca="1">IF(TblConstr[[#This Row],[Hour]:[Hour]]&gt;12,OFFSET(TblConstr[[#This Row],[Shr]],-12,0),0)+OFFSET(TblConstr[[#This Row],[Tot Shr]],-1,0)-TblConstr[[#This Row],[Dest Shr]]</f>
        <v>0</v>
      </c>
      <c r="BL26" s="369" cm="1">
        <f t="array" aca="1" ref="BL26" ca="1">IF(TblConstr[[#This Row],[Hour]:[Hour]]&gt;12,OFFSET(TblConstr[[#This Row],[Tow]],-12,0),0)+OFFSET(TblConstr[[#This Row],[Tot Tow]],-1,0)-TblConstr[[#This Row],[Dest Tow]]</f>
        <v>0</v>
      </c>
      <c r="BM26" s="369" cm="1">
        <f t="array" aca="1" ref="BM26" ca="1">IF(TblConstr[[#This Row],[Hour]:[Hour]]&gt;12,OFFSET(TblConstr[[#This Row],[Tem]],-12,0),0)+OFFSET(TblConstr[[#This Row],[Tot Tem]],-1,0)-TblConstr[[#This Row],[Dest Tem]]</f>
        <v>0</v>
      </c>
      <c r="BN26" s="369" cm="1">
        <f t="array" aca="1" ref="BN26" ca="1">IF(TblConstr[[#This Row],[Hour]:[Hour]]&gt;12,OFFSET(TblConstr[[#This Row],[WG]],-12,0),0)+OFFSET(TblConstr[[#This Row],[Tot WG]],-1,0)-TblConstr[[#This Row],[Dest WG]]</f>
        <v>0</v>
      </c>
      <c r="BO26" s="191" cm="1">
        <f t="array" aca="1" ref="BO26" ca="1">IF(TblConstr[[#This Row],[Hour]:[Hour]]&gt;12,OFFSET(TblConstr[[#This Row],[DM]],-12,0),0)+OFFSET(TblConstr[[#This Row],[Tot DM]],-1,0)-TblConstr[[#This Row],[Dest DM]]</f>
        <v>0</v>
      </c>
      <c r="BP26" s="191" cm="1">
        <f t="array" aca="1" ref="BP26" ca="1">IF(TblConstr[[#This Row],[Hour]:[Hour]]&gt;12,OFFSET(TblConstr[[#This Row],[Sch]],-12,0),0)+OFFSET(TblConstr[[#This Row],[Tot Sch]],-1,0)-TblConstr[[#This Row],[Dest Sch]]</f>
        <v>0</v>
      </c>
      <c r="BQ26" s="192" cm="1">
        <f t="array" aca="1" ref="BQ26" ca="1">IF(TblConstr[[#This Row],[Hour]:[Hour]]&gt;12,OFFSET(TblConstr[[#This Row],[Doc]],-12,0),0)+OFFSET(TblConstr[[#This Row],[Tot Doc]],-1,0)-TblConstr[[#This Row],[Dest Doc]]</f>
        <v>0</v>
      </c>
      <c r="BR26" s="142"/>
      <c r="BS26" s="154"/>
      <c r="BT26" s="94">
        <f ca="1">TblConstr[[#This Row],[Land]]</f>
        <v>50</v>
      </c>
      <c r="BU26" s="159">
        <f ca="1">TblImps[[#This Row],[Time]]</f>
        <v>46320.916666666613</v>
      </c>
      <c r="BV26" s="142"/>
      <c r="BW26" s="179"/>
      <c r="BX26" s="179"/>
      <c r="BY26" s="179"/>
      <c r="BZ26" s="179"/>
      <c r="CA26" s="179"/>
      <c r="CB26" s="179"/>
      <c r="CC26" s="179"/>
      <c r="CD26" s="179"/>
      <c r="CE26" s="179"/>
      <c r="CF26" s="179"/>
      <c r="CG26" s="179"/>
      <c r="CH26" s="179"/>
      <c r="CI26" s="179"/>
      <c r="CJ26" s="179"/>
      <c r="CK26" s="179"/>
      <c r="CL26" s="179"/>
      <c r="CM26" s="179"/>
      <c r="CN26" s="179"/>
      <c r="CO26" s="179"/>
      <c r="CP26" s="142"/>
      <c r="CQ26" s="181">
        <f ca="1">-SUM(TblConstr[[#This Row],[Alc]:[Mas]])+SUM(TblConstr[[#This Row],[Dest Alc]:[Dest Mas]])+Rezone!L26+IF("Ch_"&amp; home_land=TblConstr[[#Headers],[Ch_Plain]],TblConstr[[#This Row],[Home Land]])+IF(TblConstr[[#This Row],[Hour]:[Hour]]&gt;12,OFFSET(TblExplore[[#This Row],[Plains Explore]],-12,0),0)</f>
        <v>0</v>
      </c>
      <c r="CR26" s="182">
        <f ca="1">-SUM(TblConstr[[#This Row],[Ly]:[Hav]])+SUM(TblConstr[[#This Row],[Dest Ly]:[Dest Hav]]) +Rezone!M26 + IF("Ch_"&amp; home_land=TblConstr[[#Headers],[Ch_Forest]],TblConstr[[#This Row],[Home Land]])+IF(TblConstr[[#This Row],[Hour]:[Hour]]&gt;12,OFFSET(TblExplore[[#This Row],[Forest Explore]],-12,0),0)</f>
        <v>0</v>
      </c>
      <c r="CS26" s="359">
        <f ca="1">-SUM(TblConstr[[#This Row],[OM]:[GN]])+SUM(TblConstr[[#This Row],[Dest OM]:[Dest GN]]) +Rezone!N26 + IF("Ch_"&amp; home_land=TblConstr[[#Headers],[Ch_Mountain]],TblConstr[[#This Row],[Home Land]])+IF(TblConstr[[#This Row],[Hour]:[Hour]]&gt;12,OFFSET(TblExplore[[#This Row],[Mountain Explore]],-12,0),0)</f>
        <v>0</v>
      </c>
      <c r="CT26" s="183">
        <f ca="1">-SUM(TblConstr[[#This Row],[Fac]:[Shr]])+SUM(TblConstr[[#This Row],[Dest Fac]:[Dest Shr]]) +Rezone!O26 + IF("Ch_" &amp; home_land=TblConstr[[#Headers],[Ch_Hill]],TblConstr[[#This Row],[Home Land]])+IF(TblConstr[[#This Row],[Hour]:[Hour]]&gt;12,OFFSET(TblExplore[[#This Row],[Hill Explore]],-12,0),0)</f>
        <v>0</v>
      </c>
      <c r="CU26" s="184">
        <f ca="1">-SUM(TblConstr[[#This Row],[Tow]:[WG]])+SUM(TblConstr[[#This Row],[Dest Tow]:[Dest WG]]) +Rezone!P26 + IF("Ch_" &amp; home_land=TblConstr[[#Headers],[Ch_Swamp]],TblConstr[[#This Row],[Home Land]])+IF(TblConstr[[#This Row],[Hour]:[Hour]]&gt;12,OFFSET(TblExplore[[#This Row],[Swamp Explore]],-12,0),0)</f>
        <v>0</v>
      </c>
      <c r="CV26" s="185">
        <f ca="1" xml:space="preserve"> - SUM(TblConstr[[#This Row],[DM]:[Sch]])+SUM(TblConstr[[#This Row],[Dest DM]:[Dest Sch]]) +Rezone!Q26 + IF("Ch_" &amp; home_land=TblConstr[[#Headers],[Ch_Cavern]],TblConstr[[#This Row],[Home Land]])+IF(TblConstr[[#This Row],[Hour]:[Hour]]&gt;12,OFFSET(TblExplore[[#This Row],[Cavern Explore]],-12,0),0)</f>
        <v>0</v>
      </c>
      <c r="CW26" s="186">
        <f ca="1">-TblConstr[[#This Row],[Doc]]+TblConstr[[#This Row],[Dest Doc]] +Rezone!R26 + IF("Ch_" &amp; home_land=TblConstr[[#Headers],[Ch_Water]],TblConstr[[#This Row],[Home Land]])+IF(TblConstr[[#This Row],[Hour]:[Hour]]&gt;12,OFFSET(TblExplore[[#This Row],[Water Explore]],-12,0),0)</f>
        <v>0</v>
      </c>
      <c r="CX26" s="45">
        <f>IF(Explore!S26=1,20) - TblConstr[[#This Row],[Hom]] + TblConstr[[#This Row],[Dest Hom]]</f>
        <v>0</v>
      </c>
      <c r="CY26" s="142"/>
      <c r="CZ26" s="94">
        <f t="shared" ca="1" si="3"/>
        <v>30</v>
      </c>
      <c r="DA26" s="94">
        <f t="shared" ca="1" si="4"/>
        <v>20</v>
      </c>
      <c r="DB26" s="45">
        <f t="shared" ca="1" si="5"/>
        <v>0</v>
      </c>
      <c r="DC26" s="94">
        <f t="shared" ca="1" si="6"/>
        <v>0</v>
      </c>
      <c r="DD26" s="94">
        <f t="shared" ca="1" si="7"/>
        <v>0</v>
      </c>
      <c r="DE26" s="45">
        <f t="shared" ca="1" si="8"/>
        <v>0</v>
      </c>
      <c r="DF26" s="94">
        <f t="shared" ca="1" si="9"/>
        <v>0</v>
      </c>
      <c r="DG26" s="94" cm="1">
        <f t="array" aca="1" ref="DG26" ca="1">INDEX(TblConstr[[Total Plain]:[Total Water]],ROW()-ROW(TblConstr[#Headers]),MATCH("Total "&amp;home_land,TblConstr[[#Headers],[Total Plain]:[Total Water]],0))+TblConstr[[#This Row],[Homes]]</f>
        <v>30</v>
      </c>
      <c r="DH26" s="45">
        <f t="shared" ca="1" si="10"/>
        <v>0</v>
      </c>
      <c r="DI26" s="45">
        <f t="shared" ca="1" si="0"/>
        <v>0</v>
      </c>
      <c r="DJ26" s="45">
        <f t="shared" ca="1" si="1"/>
        <v>0</v>
      </c>
    </row>
    <row r="27" spans="1:114" x14ac:dyDescent="0.2">
      <c r="A27" s="175">
        <f>TblRezone[[#This Row],[Hour]]</f>
        <v>24</v>
      </c>
      <c r="B27" s="176">
        <f ca="1">SUM(TblConstr[[#This Row],[Plain]:[Water]])</f>
        <v>0</v>
      </c>
      <c r="C27" s="177">
        <f ca="1">SUM(TblConstr[[#This Row],[Tot Hom]:[Tot Doc]])</f>
        <v>50</v>
      </c>
      <c r="D27" s="177">
        <f t="shared" si="2"/>
        <v>0</v>
      </c>
      <c r="E27" s="178"/>
      <c r="F27" s="61">
        <f ca="1">TblConstr[[#This Row],[Barren]]+TblConstr[[#This Row],[Buildings]]+TblConstr[[#This Row],[Incoming]]</f>
        <v>50</v>
      </c>
      <c r="G27" s="187">
        <f ca="1">OFFSET(TblConstr[[#This Row],[Plain]],-1,0)+TblConstr[[#This Row],[Ch_Plain]]</f>
        <v>0</v>
      </c>
      <c r="H27" s="182">
        <f ca="1">OFFSET(TblConstr[[#This Row],[Forest]],-1,0)+TblConstr[[#This Row],[Ch_Forest]]</f>
        <v>0</v>
      </c>
      <c r="I27" s="359">
        <f ca="1">OFFSET(TblConstr[[#This Row],[Mountain]],-1,0)+TblConstr[[#This Row],[Ch_Mountain]]</f>
        <v>0</v>
      </c>
      <c r="J27" s="363">
        <f ca="1">OFFSET(TblConstr[[#This Row],[Hill]],-1,0)+TblConstr[[#This Row],[Ch_Hill]]</f>
        <v>0</v>
      </c>
      <c r="K27" s="367">
        <f ca="1">OFFSET(TblConstr[[#This Row],[Swamp]],-1,0)+TblConstr[[#This Row],[Ch_Swamp]]</f>
        <v>0</v>
      </c>
      <c r="L27" s="185">
        <f ca="1">OFFSET(TblConstr[[#This Row],[Cavern]],-1,0)+TblConstr[[#This Row],[Ch_Cavern]]</f>
        <v>0</v>
      </c>
      <c r="M27" s="186">
        <f ca="1">OFFSET(TblConstr[[#This Row],[Water]],-1,0)+TblConstr[[#This Row],[Ch_Water]]</f>
        <v>0</v>
      </c>
      <c r="N27" s="357">
        <f>TblRezone[[#This Row],[Hour]]</f>
        <v>24</v>
      </c>
      <c r="O27" s="179"/>
      <c r="P27" s="158"/>
      <c r="Q27" s="179"/>
      <c r="R27" s="179"/>
      <c r="S27" s="179"/>
      <c r="T27" s="179"/>
      <c r="U27" s="179"/>
      <c r="V27" s="179"/>
      <c r="W27" s="179"/>
      <c r="X27" s="179"/>
      <c r="Y27" s="179"/>
      <c r="Z27" s="179"/>
      <c r="AA27" s="179"/>
      <c r="AB27" s="179"/>
      <c r="AC27" s="179"/>
      <c r="AD27" s="179"/>
      <c r="AE27" s="179"/>
      <c r="AF27" s="179"/>
      <c r="AG27" s="179"/>
      <c r="AH27" s="53">
        <f ca="1">TblImps[[#This Row],[Time]]</f>
        <v>46320.958333333278</v>
      </c>
      <c r="AI27" s="180">
        <f ca="1">MIN(25%,(TblConstr[[#This Row],[Tot Fac]]+TblConstr[[#This Row],[Dest Fac]])/(TblConstr[[#This Row],[Land]]-TblExplore[[#This Row],[Land Bonus]]*20))</f>
        <v>0</v>
      </c>
      <c r="AJ27" s="180">
        <f ca="1">MIN(25%,(TblConstr[[#This Row],[Tot Fac]]+TblConstr[[#This Row],[Dest Fac]])/TblConstr[[#This Row],[Land]])</f>
        <v>0</v>
      </c>
      <c r="AK27" s="94">
        <f ca="1">TblProd[[#This Row],[Platinum]]</f>
        <v>146159</v>
      </c>
      <c r="AL27" s="94">
        <f ca="1">TblProd[[#This Row],[Lumber]]</f>
        <v>32541</v>
      </c>
      <c r="AM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7" s="94">
        <f ca="1">ROUNDDOWN( MAX(1 - MIN(facs_constr_factor*TblConstr[[#This Row],[Facs -DB]],facs_constr_max) + tech_1_11*TblTech[[#This Row],[11-1]] + tech_6_3_2*TblTech[[#This Row],[6-3]] + tech_5_2_3*TblTech[[#This Row],[5-2]], 1-global_constr_cap) * TblConstr[[#This Row],[RCPA Lumber]],0)</f>
        <v>31</v>
      </c>
      <c r="AO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7" s="94">
        <f ca="1">ROUNDDOWN( MAX(1 - MIN(facs_constr_factor*TblConstr[[#This Row],[Facs DB]],facs_constr_max) + tech_1_11*TblTech[[#This Row],[1-11]] + tech_6_3_2*TblTech[[#This Row],[6-3]] + tech_5_2_3*TblTech[[#This Row],[5-2]], 1-global_constr_cap) * ROUND((TblConstr[[#This Row],[Land]]-250)*0.285 + 87.5 + 0/4.25,0),0)</f>
        <v>31</v>
      </c>
      <c r="AQ27" s="45">
        <f ca="1">TblConstr[[#This Row],[build -db]]*TblConstr[[#This Row],[CPA Platinum -DB]] + TblConstr[[#This Row],[build db]]*TblConstr[[#This Row],[CPA Platinum DB]]</f>
        <v>0</v>
      </c>
      <c r="AR27" s="45">
        <f ca="1">TblConstr[[#This Row],[build -db]]*TblConstr[[#This Row],[CPA Lumber -DB]] + TblConstr[[#This Row],[build db]]*TblConstr[[#This Row],[CPA Lumber DB]]</f>
        <v>0</v>
      </c>
      <c r="AS27" s="94">
        <f ca="1">MIN(SUM(OFFSET(TblConstr[[#This Row],[Plain]:[Water]],-1,0))+SUM(TblConstr[[#This Row],[Dest Hom]:[Dest Doc]])+IF(TblConstr[[#This Row],[Hour]]&gt;12,SUM(OFFSET(TblExplore[[#This Row],[Plains Explore]:[Water Explore]],-12,0)),0),SUM(TblConstr[[#This Row],[Hom]:[Doc]]))</f>
        <v>0</v>
      </c>
      <c r="AT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42"/>
      <c r="AV27" s="94">
        <f ca="1">ROUND((TblConstr[[#This Row],[Land]]-250 - IF(TblExplore[[#This Row],[Land Bonus]]&lt;&gt;0,20,0))*1.25 + 850 + 0,0)</f>
        <v>600</v>
      </c>
      <c r="AW27" s="94">
        <f ca="1">ROUND((TblConstr[[#This Row],[Land]]-250 - IF(TblExplore[[#This Row],[Land Bonus]]&lt;&gt;0,20,0))*0.285 + 87.5 + 0/4.25,0)</f>
        <v>31</v>
      </c>
      <c r="AX27" s="154"/>
      <c r="AY27" s="188" cm="1">
        <f t="array" aca="1" ref="AY27" ca="1">IF(TblConstr[[#This Row],[Hour]:[Hour]]&gt;12,OFFSET(TblConstr[[#This Row],[Hom]],-12,0),0)+OFFSET(TblConstr[[#This Row],[Tot Hom]],-1,0)-TblConstr[[#This Row],[Dest Hom]]</f>
        <v>0</v>
      </c>
      <c r="AZ27" s="189" cm="1">
        <f t="array" aca="1" ref="AZ27" ca="1">IF(TblConstr[[#This Row],[Hour]:[Hour]]&gt;12,OFFSET(TblConstr[[#This Row],[Alc]],-12,0),0)+OFFSET(TblConstr[[#This Row],[Tot Alc]],-1,0)-TblConstr[[#This Row],[Dest Alc]]</f>
        <v>0</v>
      </c>
      <c r="BA27" s="189" cm="1">
        <f t="array" aca="1" ref="BA27" ca="1">IF(TblConstr[[#This Row],[Hour]:[Hour]]&gt;12,OFFSET(TblConstr[[#This Row],[Far]],-12,0),0)+OFFSET(TblConstr[[#This Row],[Tot Farm]],-1,0)-TblConstr[[#This Row],[Dest Farm]]</f>
        <v>30</v>
      </c>
      <c r="BB27" s="189" cm="1">
        <f t="array" aca="1" ref="BB27" ca="1">IF(TblConstr[[#This Row],[Hour]:[Hour]]&gt;12,OFFSET(TblConstr[[#This Row],[Smi]],-12,0),0)+OFFSET(TblConstr[[#This Row],[Tot Smi]],-1,0)-TblConstr[[#This Row],[Dest Smi]]</f>
        <v>0</v>
      </c>
      <c r="BC27" s="189" cm="1">
        <f t="array" aca="1" ref="BC27" ca="1">IF(TblConstr[[#This Row],[Hour]:[Hour]]&gt;12,OFFSET(TblConstr[[#This Row],[Mas]],-12,0),0)+OFFSET(TblConstr[[#This Row],[Tot Mas]],-1,0)-TblConstr[[#This Row],[Dest Mas]]</f>
        <v>0</v>
      </c>
      <c r="BD27" s="190" cm="1">
        <f t="array" aca="1" ref="BD27" ca="1">IF(TblConstr[[#This Row],[Hour]:[Hour]]&gt;12,OFFSET(TblConstr[[#This Row],[Ly]],-12,0),0)+OFFSET(TblConstr[[#This Row],[Tot Ly]],-1,0)-TblConstr[[#This Row],[Dest Ly]]</f>
        <v>20</v>
      </c>
      <c r="BE27" s="190" cm="1">
        <f t="array" aca="1" ref="BE27" ca="1">IF(TblConstr[[#This Row],[Hour]:[Hour]]&gt;12,OFFSET(TblConstr[[#This Row],[Hav]],-12,0),0)+OFFSET(TblConstr[[#This Row],[Tot Hav]],-1,0)-TblConstr[[#This Row],[Dest Hav]]</f>
        <v>0</v>
      </c>
      <c r="BF27" s="361" cm="1">
        <f t="array" aca="1" ref="BF27" ca="1">IF(TblConstr[[#This Row],[Hour]:[Hour]]&gt;12,OFFSET(TblConstr[[#This Row],[OM]],-12,0),0)+OFFSET(TblConstr[[#This Row],[Tot OM]],-1,0)-TblConstr[[#This Row],[Dest OM]]</f>
        <v>0</v>
      </c>
      <c r="BG27" s="361" cm="1">
        <f t="array" aca="1" ref="BG27" ca="1">IF(TblConstr[[#This Row],[Hour]:[Hour]]&gt;12,OFFSET(TblConstr[[#This Row],[GN]],-12,0),0)+OFFSET(TblConstr[[#This Row],[Tot GN]],-1,0)-TblConstr[[#This Row],[Dest GN]]</f>
        <v>0</v>
      </c>
      <c r="BH27" s="365" cm="1">
        <f t="array" aca="1" ref="BH27" ca="1">IF(TblConstr[[#This Row],[Hour]:[Hour]]&gt;12,OFFSET(TblConstr[[#This Row],[Fac]],-12,0),0)+OFFSET(TblConstr[[#This Row],[Tot Fac]],-1,0)-TblConstr[[#This Row],[Dest Fac]]</f>
        <v>0</v>
      </c>
      <c r="BI27" s="365" cm="1">
        <f t="array" aca="1" ref="BI27" ca="1">IF(TblConstr[[#This Row],[Hour]:[Hour]]&gt;12,OFFSET(TblConstr[[#This Row],[GT]],-12,0),0)+OFFSET(TblConstr[[#This Row],[Tot GT]],-1,0)-TblConstr[[#This Row],[Dest GT]]</f>
        <v>0</v>
      </c>
      <c r="BJ27" s="365" cm="1">
        <f t="array" aca="1" ref="BJ27" ca="1">IF(TblConstr[[#This Row],[Hour]:[Hour]]&gt;12,OFFSET(TblConstr[[#This Row],[Bar]],-12,0),0)+OFFSET(TblConstr[[#This Row],[Tot Bar]],-1,0)-TblConstr[[#This Row],[Dest Bar]]</f>
        <v>0</v>
      </c>
      <c r="BK27" s="365" cm="1">
        <f t="array" aca="1" ref="BK27" ca="1">IF(TblConstr[[#This Row],[Hour]:[Hour]]&gt;12,OFFSET(TblConstr[[#This Row],[Shr]],-12,0),0)+OFFSET(TblConstr[[#This Row],[Tot Shr]],-1,0)-TblConstr[[#This Row],[Dest Shr]]</f>
        <v>0</v>
      </c>
      <c r="BL27" s="369" cm="1">
        <f t="array" aca="1" ref="BL27" ca="1">IF(TblConstr[[#This Row],[Hour]:[Hour]]&gt;12,OFFSET(TblConstr[[#This Row],[Tow]],-12,0),0)+OFFSET(TblConstr[[#This Row],[Tot Tow]],-1,0)-TblConstr[[#This Row],[Dest Tow]]</f>
        <v>0</v>
      </c>
      <c r="BM27" s="369" cm="1">
        <f t="array" aca="1" ref="BM27" ca="1">IF(TblConstr[[#This Row],[Hour]:[Hour]]&gt;12,OFFSET(TblConstr[[#This Row],[Tem]],-12,0),0)+OFFSET(TblConstr[[#This Row],[Tot Tem]],-1,0)-TblConstr[[#This Row],[Dest Tem]]</f>
        <v>0</v>
      </c>
      <c r="BN27" s="369" cm="1">
        <f t="array" aca="1" ref="BN27" ca="1">IF(TblConstr[[#This Row],[Hour]:[Hour]]&gt;12,OFFSET(TblConstr[[#This Row],[WG]],-12,0),0)+OFFSET(TblConstr[[#This Row],[Tot WG]],-1,0)-TblConstr[[#This Row],[Dest WG]]</f>
        <v>0</v>
      </c>
      <c r="BO27" s="191" cm="1">
        <f t="array" aca="1" ref="BO27" ca="1">IF(TblConstr[[#This Row],[Hour]:[Hour]]&gt;12,OFFSET(TblConstr[[#This Row],[DM]],-12,0),0)+OFFSET(TblConstr[[#This Row],[Tot DM]],-1,0)-TblConstr[[#This Row],[Dest DM]]</f>
        <v>0</v>
      </c>
      <c r="BP27" s="191" cm="1">
        <f t="array" aca="1" ref="BP27" ca="1">IF(TblConstr[[#This Row],[Hour]:[Hour]]&gt;12,OFFSET(TblConstr[[#This Row],[Sch]],-12,0),0)+OFFSET(TblConstr[[#This Row],[Tot Sch]],-1,0)-TblConstr[[#This Row],[Dest Sch]]</f>
        <v>0</v>
      </c>
      <c r="BQ27" s="192" cm="1">
        <f t="array" aca="1" ref="BQ27" ca="1">IF(TblConstr[[#This Row],[Hour]:[Hour]]&gt;12,OFFSET(TblConstr[[#This Row],[Doc]],-12,0),0)+OFFSET(TblConstr[[#This Row],[Tot Doc]],-1,0)-TblConstr[[#This Row],[Dest Doc]]</f>
        <v>0</v>
      </c>
      <c r="BR27" s="142"/>
      <c r="BS27" s="154"/>
      <c r="BT27" s="94">
        <f ca="1">TblConstr[[#This Row],[Land]]</f>
        <v>50</v>
      </c>
      <c r="BU27" s="159">
        <f ca="1">TblImps[[#This Row],[Time]]</f>
        <v>46320.958333333278</v>
      </c>
      <c r="BV27" s="142"/>
      <c r="BW27" s="179"/>
      <c r="BX27" s="179"/>
      <c r="BY27" s="179"/>
      <c r="BZ27" s="179"/>
      <c r="CA27" s="179"/>
      <c r="CB27" s="179"/>
      <c r="CC27" s="179"/>
      <c r="CD27" s="179"/>
      <c r="CE27" s="179"/>
      <c r="CF27" s="179"/>
      <c r="CG27" s="179"/>
      <c r="CH27" s="179"/>
      <c r="CI27" s="179"/>
      <c r="CJ27" s="179"/>
      <c r="CK27" s="179"/>
      <c r="CL27" s="179"/>
      <c r="CM27" s="179"/>
      <c r="CN27" s="179"/>
      <c r="CO27" s="179"/>
      <c r="CP27" s="142"/>
      <c r="CQ27" s="181">
        <f ca="1">-SUM(TblConstr[[#This Row],[Alc]:[Mas]])+SUM(TblConstr[[#This Row],[Dest Alc]:[Dest Mas]])+Rezone!L27+IF("Ch_"&amp; home_land=TblConstr[[#Headers],[Ch_Plain]],TblConstr[[#This Row],[Home Land]])+IF(TblConstr[[#This Row],[Hour]:[Hour]]&gt;12,OFFSET(TblExplore[[#This Row],[Plains Explore]],-12,0),0)</f>
        <v>0</v>
      </c>
      <c r="CR27" s="182">
        <f ca="1">-SUM(TblConstr[[#This Row],[Ly]:[Hav]])+SUM(TblConstr[[#This Row],[Dest Ly]:[Dest Hav]]) +Rezone!M27 + IF("Ch_"&amp; home_land=TblConstr[[#Headers],[Ch_Forest]],TblConstr[[#This Row],[Home Land]])+IF(TblConstr[[#This Row],[Hour]:[Hour]]&gt;12,OFFSET(TblExplore[[#This Row],[Forest Explore]],-12,0),0)</f>
        <v>0</v>
      </c>
      <c r="CS27" s="359">
        <f ca="1">-SUM(TblConstr[[#This Row],[OM]:[GN]])+SUM(TblConstr[[#This Row],[Dest OM]:[Dest GN]]) +Rezone!N27 + IF("Ch_"&amp; home_land=TblConstr[[#Headers],[Ch_Mountain]],TblConstr[[#This Row],[Home Land]])+IF(TblConstr[[#This Row],[Hour]:[Hour]]&gt;12,OFFSET(TblExplore[[#This Row],[Mountain Explore]],-12,0),0)</f>
        <v>0</v>
      </c>
      <c r="CT27" s="183">
        <f ca="1">-SUM(TblConstr[[#This Row],[Fac]:[Shr]])+SUM(TblConstr[[#This Row],[Dest Fac]:[Dest Shr]]) +Rezone!O27 + IF("Ch_" &amp; home_land=TblConstr[[#Headers],[Ch_Hill]],TblConstr[[#This Row],[Home Land]])+IF(TblConstr[[#This Row],[Hour]:[Hour]]&gt;12,OFFSET(TblExplore[[#This Row],[Hill Explore]],-12,0),0)</f>
        <v>0</v>
      </c>
      <c r="CU27" s="184">
        <f ca="1">-SUM(TblConstr[[#This Row],[Tow]:[WG]])+SUM(TblConstr[[#This Row],[Dest Tow]:[Dest WG]]) +Rezone!P27 + IF("Ch_" &amp; home_land=TblConstr[[#Headers],[Ch_Swamp]],TblConstr[[#This Row],[Home Land]])+IF(TblConstr[[#This Row],[Hour]:[Hour]]&gt;12,OFFSET(TblExplore[[#This Row],[Swamp Explore]],-12,0),0)</f>
        <v>0</v>
      </c>
      <c r="CV27" s="185">
        <f ca="1" xml:space="preserve"> - SUM(TblConstr[[#This Row],[DM]:[Sch]])+SUM(TblConstr[[#This Row],[Dest DM]:[Dest Sch]]) +Rezone!Q27 + IF("Ch_" &amp; home_land=TblConstr[[#Headers],[Ch_Cavern]],TblConstr[[#This Row],[Home Land]])+IF(TblConstr[[#This Row],[Hour]:[Hour]]&gt;12,OFFSET(TblExplore[[#This Row],[Cavern Explore]],-12,0),0)</f>
        <v>0</v>
      </c>
      <c r="CW27" s="186">
        <f ca="1">-TblConstr[[#This Row],[Doc]]+TblConstr[[#This Row],[Dest Doc]] +Rezone!R27 + IF("Ch_" &amp; home_land=TblConstr[[#Headers],[Ch_Water]],TblConstr[[#This Row],[Home Land]])+IF(TblConstr[[#This Row],[Hour]:[Hour]]&gt;12,OFFSET(TblExplore[[#This Row],[Water Explore]],-12,0),0)</f>
        <v>0</v>
      </c>
      <c r="CX27" s="45">
        <f>IF(Explore!S27=1,20) - TblConstr[[#This Row],[Hom]] + TblConstr[[#This Row],[Dest Hom]]</f>
        <v>0</v>
      </c>
      <c r="CY27" s="142"/>
      <c r="CZ27" s="94">
        <f t="shared" ca="1" si="3"/>
        <v>30</v>
      </c>
      <c r="DA27" s="94">
        <f t="shared" ca="1" si="4"/>
        <v>20</v>
      </c>
      <c r="DB27" s="45">
        <f t="shared" ca="1" si="5"/>
        <v>0</v>
      </c>
      <c r="DC27" s="94">
        <f t="shared" ca="1" si="6"/>
        <v>0</v>
      </c>
      <c r="DD27" s="94">
        <f t="shared" ca="1" si="7"/>
        <v>0</v>
      </c>
      <c r="DE27" s="45">
        <f t="shared" ca="1" si="8"/>
        <v>0</v>
      </c>
      <c r="DF27" s="94">
        <f t="shared" ca="1" si="9"/>
        <v>0</v>
      </c>
      <c r="DG27" s="94" cm="1">
        <f t="array" aca="1" ref="DG27" ca="1">INDEX(TblConstr[[Total Plain]:[Total Water]],ROW()-ROW(TblConstr[#Headers]),MATCH("Total "&amp;home_land,TblConstr[[#Headers],[Total Plain]:[Total Water]],0))+TblConstr[[#This Row],[Homes]]</f>
        <v>30</v>
      </c>
      <c r="DH27" s="45">
        <f t="shared" ca="1" si="10"/>
        <v>0</v>
      </c>
      <c r="DI27" s="45">
        <f t="shared" ca="1" si="0"/>
        <v>0</v>
      </c>
      <c r="DJ27" s="45">
        <f t="shared" ca="1" si="1"/>
        <v>0</v>
      </c>
    </row>
    <row r="28" spans="1:114" x14ac:dyDescent="0.2">
      <c r="A28" s="175">
        <f>TblRezone[[#This Row],[Hour]]</f>
        <v>25</v>
      </c>
      <c r="B28" s="176">
        <f ca="1">SUM(TblConstr[[#This Row],[Plain]:[Water]])</f>
        <v>0</v>
      </c>
      <c r="C28" s="177">
        <f ca="1">SUM(TblConstr[[#This Row],[Tot Hom]:[Tot Doc]])</f>
        <v>50</v>
      </c>
      <c r="D28" s="177">
        <f t="shared" si="2"/>
        <v>0</v>
      </c>
      <c r="E28" s="178"/>
      <c r="F28" s="61">
        <f ca="1">TblConstr[[#This Row],[Barren]]+TblConstr[[#This Row],[Buildings]]+TblConstr[[#This Row],[Incoming]]</f>
        <v>50</v>
      </c>
      <c r="G28" s="187">
        <f ca="1">OFFSET(TblConstr[[#This Row],[Plain]],-1,0)+TblConstr[[#This Row],[Ch_Plain]]</f>
        <v>0</v>
      </c>
      <c r="H28" s="182">
        <f ca="1">OFFSET(TblConstr[[#This Row],[Forest]],-1,0)+TblConstr[[#This Row],[Ch_Forest]]</f>
        <v>0</v>
      </c>
      <c r="I28" s="359">
        <f ca="1">OFFSET(TblConstr[[#This Row],[Mountain]],-1,0)+TblConstr[[#This Row],[Ch_Mountain]]</f>
        <v>0</v>
      </c>
      <c r="J28" s="363">
        <f ca="1">OFFSET(TblConstr[[#This Row],[Hill]],-1,0)+TblConstr[[#This Row],[Ch_Hill]]</f>
        <v>0</v>
      </c>
      <c r="K28" s="367">
        <f ca="1">OFFSET(TblConstr[[#This Row],[Swamp]],-1,0)+TblConstr[[#This Row],[Ch_Swamp]]</f>
        <v>0</v>
      </c>
      <c r="L28" s="185">
        <f ca="1">OFFSET(TblConstr[[#This Row],[Cavern]],-1,0)+TblConstr[[#This Row],[Ch_Cavern]]</f>
        <v>0</v>
      </c>
      <c r="M28" s="186">
        <f ca="1">OFFSET(TblConstr[[#This Row],[Water]],-1,0)+TblConstr[[#This Row],[Ch_Water]]</f>
        <v>0</v>
      </c>
      <c r="N28" s="357">
        <f>TblRezone[[#This Row],[Hour]]</f>
        <v>25</v>
      </c>
      <c r="O28" s="179"/>
      <c r="P28" s="179"/>
      <c r="Q28" s="179"/>
      <c r="R28" s="179"/>
      <c r="S28" s="179"/>
      <c r="T28" s="179"/>
      <c r="U28" s="179"/>
      <c r="V28" s="179"/>
      <c r="W28" s="179"/>
      <c r="X28" s="179"/>
      <c r="Y28" s="179"/>
      <c r="Z28" s="179"/>
      <c r="AA28" s="179"/>
      <c r="AB28" s="179"/>
      <c r="AC28" s="179"/>
      <c r="AD28" s="179"/>
      <c r="AE28" s="179"/>
      <c r="AF28" s="179"/>
      <c r="AG28" s="179"/>
      <c r="AH28" s="53">
        <f ca="1">TblImps[[#This Row],[Time]]</f>
        <v>46320.999999999942</v>
      </c>
      <c r="AI28" s="180">
        <f ca="1">MIN(25%,(TblConstr[[#This Row],[Tot Fac]]+TblConstr[[#This Row],[Dest Fac]])/(TblConstr[[#This Row],[Land]]-TblExplore[[#This Row],[Land Bonus]]*20))</f>
        <v>0</v>
      </c>
      <c r="AJ28" s="180">
        <f ca="1">MIN(25%,(TblConstr[[#This Row],[Tot Fac]]+TblConstr[[#This Row],[Dest Fac]])/TblConstr[[#This Row],[Land]])</f>
        <v>0</v>
      </c>
      <c r="AK28" s="94">
        <f ca="1">TblProd[[#This Row],[Platinum]]</f>
        <v>147166</v>
      </c>
      <c r="AL28" s="94">
        <f ca="1">TblProd[[#This Row],[Lumber]]</f>
        <v>33216</v>
      </c>
      <c r="AM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8" s="94">
        <f ca="1">ROUNDDOWN( MAX(1 - MIN(facs_constr_factor*TblConstr[[#This Row],[Facs -DB]],facs_constr_max) + tech_1_11*TblTech[[#This Row],[11-1]] + tech_6_3_2*TblTech[[#This Row],[6-3]] + tech_5_2_3*TblTech[[#This Row],[5-2]], 1-global_constr_cap) * TblConstr[[#This Row],[RCPA Lumber]],0)</f>
        <v>31</v>
      </c>
      <c r="AO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8" s="94">
        <f ca="1">ROUNDDOWN( MAX(1 - MIN(facs_constr_factor*TblConstr[[#This Row],[Facs DB]],facs_constr_max) + tech_1_11*TblTech[[#This Row],[1-11]] + tech_6_3_2*TblTech[[#This Row],[6-3]] + tech_5_2_3*TblTech[[#This Row],[5-2]], 1-global_constr_cap) * ROUND((TblConstr[[#This Row],[Land]]-250)*0.285 + 87.5 + 0/4.25,0),0)</f>
        <v>31</v>
      </c>
      <c r="AQ28" s="45">
        <f ca="1">TblConstr[[#This Row],[build -db]]*TblConstr[[#This Row],[CPA Platinum -DB]] + TblConstr[[#This Row],[build db]]*TblConstr[[#This Row],[CPA Platinum DB]]</f>
        <v>0</v>
      </c>
      <c r="AR28" s="45">
        <f ca="1">TblConstr[[#This Row],[build -db]]*TblConstr[[#This Row],[CPA Lumber -DB]] + TblConstr[[#This Row],[build db]]*TblConstr[[#This Row],[CPA Lumber DB]]</f>
        <v>0</v>
      </c>
      <c r="AS28" s="94">
        <f ca="1">MIN(SUM(OFFSET(TblConstr[[#This Row],[Plain]:[Water]],-1,0))+SUM(TblConstr[[#This Row],[Dest Hom]:[Dest Doc]])+IF(TblConstr[[#This Row],[Hour]]&gt;12,SUM(OFFSET(TblExplore[[#This Row],[Plains Explore]:[Water Explore]],-12,0)),0),SUM(TblConstr[[#This Row],[Hom]:[Doc]]))</f>
        <v>0</v>
      </c>
      <c r="AT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42"/>
      <c r="AV28" s="94">
        <f ca="1">ROUND((TblConstr[[#This Row],[Land]]-250 - IF(TblExplore[[#This Row],[Land Bonus]]&lt;&gt;0,20,0))*1.25 + 850 + 0,0)</f>
        <v>600</v>
      </c>
      <c r="AW28" s="94">
        <f ca="1">ROUND((TblConstr[[#This Row],[Land]]-250 - IF(TblExplore[[#This Row],[Land Bonus]]&lt;&gt;0,20,0))*0.285 + 87.5 + 0/4.25,0)</f>
        <v>31</v>
      </c>
      <c r="AX28" s="154"/>
      <c r="AY28" s="188" cm="1">
        <f t="array" aca="1" ref="AY28" ca="1">IF(TblConstr[[#This Row],[Hour]:[Hour]]&gt;12,OFFSET(TblConstr[[#This Row],[Hom]],-12,0),0)+OFFSET(TblConstr[[#This Row],[Tot Hom]],-1,0)-TblConstr[[#This Row],[Dest Hom]]</f>
        <v>0</v>
      </c>
      <c r="AZ28" s="189" cm="1">
        <f t="array" aca="1" ref="AZ28" ca="1">IF(TblConstr[[#This Row],[Hour]:[Hour]]&gt;12,OFFSET(TblConstr[[#This Row],[Alc]],-12,0),0)+OFFSET(TblConstr[[#This Row],[Tot Alc]],-1,0)-TblConstr[[#This Row],[Dest Alc]]</f>
        <v>0</v>
      </c>
      <c r="BA28" s="189" cm="1">
        <f t="array" aca="1" ref="BA28" ca="1">IF(TblConstr[[#This Row],[Hour]:[Hour]]&gt;12,OFFSET(TblConstr[[#This Row],[Far]],-12,0),0)+OFFSET(TblConstr[[#This Row],[Tot Farm]],-1,0)-TblConstr[[#This Row],[Dest Farm]]</f>
        <v>30</v>
      </c>
      <c r="BB28" s="189" cm="1">
        <f t="array" aca="1" ref="BB28" ca="1">IF(TblConstr[[#This Row],[Hour]:[Hour]]&gt;12,OFFSET(TblConstr[[#This Row],[Smi]],-12,0),0)+OFFSET(TblConstr[[#This Row],[Tot Smi]],-1,0)-TblConstr[[#This Row],[Dest Smi]]</f>
        <v>0</v>
      </c>
      <c r="BC28" s="189" cm="1">
        <f t="array" aca="1" ref="BC28" ca="1">IF(TblConstr[[#This Row],[Hour]:[Hour]]&gt;12,OFFSET(TblConstr[[#This Row],[Mas]],-12,0),0)+OFFSET(TblConstr[[#This Row],[Tot Mas]],-1,0)-TblConstr[[#This Row],[Dest Mas]]</f>
        <v>0</v>
      </c>
      <c r="BD28" s="190" cm="1">
        <f t="array" aca="1" ref="BD28" ca="1">IF(TblConstr[[#This Row],[Hour]:[Hour]]&gt;12,OFFSET(TblConstr[[#This Row],[Ly]],-12,0),0)+OFFSET(TblConstr[[#This Row],[Tot Ly]],-1,0)-TblConstr[[#This Row],[Dest Ly]]</f>
        <v>20</v>
      </c>
      <c r="BE28" s="190" cm="1">
        <f t="array" aca="1" ref="BE28" ca="1">IF(TblConstr[[#This Row],[Hour]:[Hour]]&gt;12,OFFSET(TblConstr[[#This Row],[Hav]],-12,0),0)+OFFSET(TblConstr[[#This Row],[Tot Hav]],-1,0)-TblConstr[[#This Row],[Dest Hav]]</f>
        <v>0</v>
      </c>
      <c r="BF28" s="361" cm="1">
        <f t="array" aca="1" ref="BF28" ca="1">IF(TblConstr[[#This Row],[Hour]:[Hour]]&gt;12,OFFSET(TblConstr[[#This Row],[OM]],-12,0),0)+OFFSET(TblConstr[[#This Row],[Tot OM]],-1,0)-TblConstr[[#This Row],[Dest OM]]</f>
        <v>0</v>
      </c>
      <c r="BG28" s="361" cm="1">
        <f t="array" aca="1" ref="BG28" ca="1">IF(TblConstr[[#This Row],[Hour]:[Hour]]&gt;12,OFFSET(TblConstr[[#This Row],[GN]],-12,0),0)+OFFSET(TblConstr[[#This Row],[Tot GN]],-1,0)-TblConstr[[#This Row],[Dest GN]]</f>
        <v>0</v>
      </c>
      <c r="BH28" s="365" cm="1">
        <f t="array" aca="1" ref="BH28" ca="1">IF(TblConstr[[#This Row],[Hour]:[Hour]]&gt;12,OFFSET(TblConstr[[#This Row],[Fac]],-12,0),0)+OFFSET(TblConstr[[#This Row],[Tot Fac]],-1,0)-TblConstr[[#This Row],[Dest Fac]]</f>
        <v>0</v>
      </c>
      <c r="BI28" s="365" cm="1">
        <f t="array" aca="1" ref="BI28" ca="1">IF(TblConstr[[#This Row],[Hour]:[Hour]]&gt;12,OFFSET(TblConstr[[#This Row],[GT]],-12,0),0)+OFFSET(TblConstr[[#This Row],[Tot GT]],-1,0)-TblConstr[[#This Row],[Dest GT]]</f>
        <v>0</v>
      </c>
      <c r="BJ28" s="365" cm="1">
        <f t="array" aca="1" ref="BJ28" ca="1">IF(TblConstr[[#This Row],[Hour]:[Hour]]&gt;12,OFFSET(TblConstr[[#This Row],[Bar]],-12,0),0)+OFFSET(TblConstr[[#This Row],[Tot Bar]],-1,0)-TblConstr[[#This Row],[Dest Bar]]</f>
        <v>0</v>
      </c>
      <c r="BK28" s="365" cm="1">
        <f t="array" aca="1" ref="BK28" ca="1">IF(TblConstr[[#This Row],[Hour]:[Hour]]&gt;12,OFFSET(TblConstr[[#This Row],[Shr]],-12,0),0)+OFFSET(TblConstr[[#This Row],[Tot Shr]],-1,0)-TblConstr[[#This Row],[Dest Shr]]</f>
        <v>0</v>
      </c>
      <c r="BL28" s="369" cm="1">
        <f t="array" aca="1" ref="BL28" ca="1">IF(TblConstr[[#This Row],[Hour]:[Hour]]&gt;12,OFFSET(TblConstr[[#This Row],[Tow]],-12,0),0)+OFFSET(TblConstr[[#This Row],[Tot Tow]],-1,0)-TblConstr[[#This Row],[Dest Tow]]</f>
        <v>0</v>
      </c>
      <c r="BM28" s="369" cm="1">
        <f t="array" aca="1" ref="BM28" ca="1">IF(TblConstr[[#This Row],[Hour]:[Hour]]&gt;12,OFFSET(TblConstr[[#This Row],[Tem]],-12,0),0)+OFFSET(TblConstr[[#This Row],[Tot Tem]],-1,0)-TblConstr[[#This Row],[Dest Tem]]</f>
        <v>0</v>
      </c>
      <c r="BN28" s="369" cm="1">
        <f t="array" aca="1" ref="BN28" ca="1">IF(TblConstr[[#This Row],[Hour]:[Hour]]&gt;12,OFFSET(TblConstr[[#This Row],[WG]],-12,0),0)+OFFSET(TblConstr[[#This Row],[Tot WG]],-1,0)-TblConstr[[#This Row],[Dest WG]]</f>
        <v>0</v>
      </c>
      <c r="BO28" s="191" cm="1">
        <f t="array" aca="1" ref="BO28" ca="1">IF(TblConstr[[#This Row],[Hour]:[Hour]]&gt;12,OFFSET(TblConstr[[#This Row],[DM]],-12,0),0)+OFFSET(TblConstr[[#This Row],[Tot DM]],-1,0)-TblConstr[[#This Row],[Dest DM]]</f>
        <v>0</v>
      </c>
      <c r="BP28" s="191" cm="1">
        <f t="array" aca="1" ref="BP28" ca="1">IF(TblConstr[[#This Row],[Hour]:[Hour]]&gt;12,OFFSET(TblConstr[[#This Row],[Sch]],-12,0),0)+OFFSET(TblConstr[[#This Row],[Tot Sch]],-1,0)-TblConstr[[#This Row],[Dest Sch]]</f>
        <v>0</v>
      </c>
      <c r="BQ28" s="192" cm="1">
        <f t="array" aca="1" ref="BQ28" ca="1">IF(TblConstr[[#This Row],[Hour]:[Hour]]&gt;12,OFFSET(TblConstr[[#This Row],[Doc]],-12,0),0)+OFFSET(TblConstr[[#This Row],[Tot Doc]],-1,0)-TblConstr[[#This Row],[Dest Doc]]</f>
        <v>0</v>
      </c>
      <c r="BR28" s="142"/>
      <c r="BS28" s="154"/>
      <c r="BT28" s="94">
        <f ca="1">TblConstr[[#This Row],[Land]]</f>
        <v>50</v>
      </c>
      <c r="BU28" s="159">
        <f ca="1">TblImps[[#This Row],[Time]]</f>
        <v>46320.999999999942</v>
      </c>
      <c r="BV28" s="142"/>
      <c r="BW28" s="179"/>
      <c r="BX28" s="179"/>
      <c r="BY28" s="179"/>
      <c r="BZ28" s="179"/>
      <c r="CA28" s="179"/>
      <c r="CB28" s="179"/>
      <c r="CC28" s="179"/>
      <c r="CD28" s="179"/>
      <c r="CE28" s="179"/>
      <c r="CF28" s="179"/>
      <c r="CG28" s="179"/>
      <c r="CH28" s="179"/>
      <c r="CI28" s="179"/>
      <c r="CJ28" s="179"/>
      <c r="CK28" s="179"/>
      <c r="CL28" s="179"/>
      <c r="CM28" s="179"/>
      <c r="CN28" s="179"/>
      <c r="CO28" s="179"/>
      <c r="CP28" s="142"/>
      <c r="CQ28" s="181">
        <f ca="1">-SUM(TblConstr[[#This Row],[Alc]:[Mas]])+SUM(TblConstr[[#This Row],[Dest Alc]:[Dest Mas]])+Rezone!L28+IF("Ch_"&amp; home_land=TblConstr[[#Headers],[Ch_Plain]],TblConstr[[#This Row],[Home Land]])+IF(TblConstr[[#This Row],[Hour]:[Hour]]&gt;12,OFFSET(TblExplore[[#This Row],[Plains Explore]],-12,0),0)</f>
        <v>0</v>
      </c>
      <c r="CR28" s="182">
        <f ca="1">-SUM(TblConstr[[#This Row],[Ly]:[Hav]])+SUM(TblConstr[[#This Row],[Dest Ly]:[Dest Hav]]) +Rezone!M28 + IF("Ch_"&amp; home_land=TblConstr[[#Headers],[Ch_Forest]],TblConstr[[#This Row],[Home Land]])+IF(TblConstr[[#This Row],[Hour]:[Hour]]&gt;12,OFFSET(TblExplore[[#This Row],[Forest Explore]],-12,0),0)</f>
        <v>0</v>
      </c>
      <c r="CS28" s="359">
        <f ca="1">-SUM(TblConstr[[#This Row],[OM]:[GN]])+SUM(TblConstr[[#This Row],[Dest OM]:[Dest GN]]) +Rezone!N28 + IF("Ch_"&amp; home_land=TblConstr[[#Headers],[Ch_Mountain]],TblConstr[[#This Row],[Home Land]])+IF(TblConstr[[#This Row],[Hour]:[Hour]]&gt;12,OFFSET(TblExplore[[#This Row],[Mountain Explore]],-12,0),0)</f>
        <v>0</v>
      </c>
      <c r="CT28" s="183">
        <f ca="1">-SUM(TblConstr[[#This Row],[Fac]:[Shr]])+SUM(TblConstr[[#This Row],[Dest Fac]:[Dest Shr]]) +Rezone!O28 + IF("Ch_" &amp; home_land=TblConstr[[#Headers],[Ch_Hill]],TblConstr[[#This Row],[Home Land]])+IF(TblConstr[[#This Row],[Hour]:[Hour]]&gt;12,OFFSET(TblExplore[[#This Row],[Hill Explore]],-12,0),0)</f>
        <v>0</v>
      </c>
      <c r="CU28" s="184">
        <f ca="1">-SUM(TblConstr[[#This Row],[Tow]:[WG]])+SUM(TblConstr[[#This Row],[Dest Tow]:[Dest WG]]) +Rezone!P28 + IF("Ch_" &amp; home_land=TblConstr[[#Headers],[Ch_Swamp]],TblConstr[[#This Row],[Home Land]])+IF(TblConstr[[#This Row],[Hour]:[Hour]]&gt;12,OFFSET(TblExplore[[#This Row],[Swamp Explore]],-12,0),0)</f>
        <v>0</v>
      </c>
      <c r="CV28" s="185">
        <f ca="1" xml:space="preserve"> - SUM(TblConstr[[#This Row],[DM]:[Sch]])+SUM(TblConstr[[#This Row],[Dest DM]:[Dest Sch]]) +Rezone!Q28 + IF("Ch_" &amp; home_land=TblConstr[[#Headers],[Ch_Cavern]],TblConstr[[#This Row],[Home Land]])+IF(TblConstr[[#This Row],[Hour]:[Hour]]&gt;12,OFFSET(TblExplore[[#This Row],[Cavern Explore]],-12,0),0)</f>
        <v>0</v>
      </c>
      <c r="CW28" s="186">
        <f ca="1">-TblConstr[[#This Row],[Doc]]+TblConstr[[#This Row],[Dest Doc]] +Rezone!R28 + IF("Ch_" &amp; home_land=TblConstr[[#Headers],[Ch_Water]],TblConstr[[#This Row],[Home Land]])+IF(TblConstr[[#This Row],[Hour]:[Hour]]&gt;12,OFFSET(TblExplore[[#This Row],[Water Explore]],-12,0),0)</f>
        <v>0</v>
      </c>
      <c r="CX28" s="45">
        <f>IF(Explore!S28=1,20) - TblConstr[[#This Row],[Hom]] + TblConstr[[#This Row],[Dest Hom]]</f>
        <v>0</v>
      </c>
      <c r="CY28" s="142"/>
      <c r="CZ28" s="94">
        <f t="shared" ca="1" si="3"/>
        <v>30</v>
      </c>
      <c r="DA28" s="94">
        <f t="shared" ca="1" si="4"/>
        <v>20</v>
      </c>
      <c r="DB28" s="45">
        <f t="shared" ca="1" si="5"/>
        <v>0</v>
      </c>
      <c r="DC28" s="94">
        <f t="shared" ca="1" si="6"/>
        <v>0</v>
      </c>
      <c r="DD28" s="94">
        <f t="shared" ca="1" si="7"/>
        <v>0</v>
      </c>
      <c r="DE28" s="45">
        <f t="shared" ca="1" si="8"/>
        <v>0</v>
      </c>
      <c r="DF28" s="94">
        <f t="shared" ca="1" si="9"/>
        <v>0</v>
      </c>
      <c r="DG28" s="94" cm="1">
        <f t="array" aca="1" ref="DG28" ca="1">INDEX(TblConstr[[Total Plain]:[Total Water]],ROW()-ROW(TblConstr[#Headers]),MATCH("Total "&amp;home_land,TblConstr[[#Headers],[Total Plain]:[Total Water]],0))+TblConstr[[#This Row],[Homes]]</f>
        <v>30</v>
      </c>
      <c r="DH28" s="45">
        <f t="shared" ca="1" si="10"/>
        <v>0</v>
      </c>
      <c r="DI28" s="45">
        <f t="shared" ca="1" si="0"/>
        <v>0</v>
      </c>
      <c r="DJ28" s="45">
        <f t="shared" ca="1" si="1"/>
        <v>0</v>
      </c>
    </row>
    <row r="29" spans="1:114" x14ac:dyDescent="0.2">
      <c r="A29" s="175">
        <f>TblRezone[[#This Row],[Hour]]</f>
        <v>26</v>
      </c>
      <c r="B29" s="176">
        <f ca="1">SUM(TblConstr[[#This Row],[Plain]:[Water]])</f>
        <v>0</v>
      </c>
      <c r="C29" s="177">
        <f ca="1">SUM(TblConstr[[#This Row],[Tot Hom]:[Tot Doc]])</f>
        <v>50</v>
      </c>
      <c r="D29" s="177">
        <f t="shared" si="2"/>
        <v>0</v>
      </c>
      <c r="E29" s="178"/>
      <c r="F29" s="61">
        <f ca="1">TblConstr[[#This Row],[Barren]]+TblConstr[[#This Row],[Buildings]]+TblConstr[[#This Row],[Incoming]]</f>
        <v>50</v>
      </c>
      <c r="G29" s="187">
        <f ca="1">OFFSET(TblConstr[[#This Row],[Plain]],-1,0)+TblConstr[[#This Row],[Ch_Plain]]</f>
        <v>0</v>
      </c>
      <c r="H29" s="182">
        <f ca="1">OFFSET(TblConstr[[#This Row],[Forest]],-1,0)+TblConstr[[#This Row],[Ch_Forest]]</f>
        <v>0</v>
      </c>
      <c r="I29" s="359">
        <f ca="1">OFFSET(TblConstr[[#This Row],[Mountain]],-1,0)+TblConstr[[#This Row],[Ch_Mountain]]</f>
        <v>0</v>
      </c>
      <c r="J29" s="363">
        <f ca="1">OFFSET(TblConstr[[#This Row],[Hill]],-1,0)+TblConstr[[#This Row],[Ch_Hill]]</f>
        <v>0</v>
      </c>
      <c r="K29" s="367">
        <f ca="1">OFFSET(TblConstr[[#This Row],[Swamp]],-1,0)+TblConstr[[#This Row],[Ch_Swamp]]</f>
        <v>0</v>
      </c>
      <c r="L29" s="185">
        <f ca="1">OFFSET(TblConstr[[#This Row],[Cavern]],-1,0)+TblConstr[[#This Row],[Ch_Cavern]]</f>
        <v>0</v>
      </c>
      <c r="M29" s="186">
        <f ca="1">OFFSET(TblConstr[[#This Row],[Water]],-1,0)+TblConstr[[#This Row],[Ch_Water]]</f>
        <v>0</v>
      </c>
      <c r="N29" s="357">
        <f>TblRezone[[#This Row],[Hour]]</f>
        <v>26</v>
      </c>
      <c r="O29" s="179"/>
      <c r="P29" s="179"/>
      <c r="Q29" s="179"/>
      <c r="R29" s="179"/>
      <c r="S29" s="179"/>
      <c r="T29" s="179"/>
      <c r="U29" s="179"/>
      <c r="V29" s="179"/>
      <c r="W29" s="179"/>
      <c r="X29" s="179"/>
      <c r="Y29" s="179"/>
      <c r="Z29" s="179"/>
      <c r="AA29" s="179"/>
      <c r="AB29" s="179"/>
      <c r="AC29" s="179"/>
      <c r="AD29" s="179"/>
      <c r="AE29" s="179"/>
      <c r="AF29" s="179"/>
      <c r="AG29" s="179"/>
      <c r="AH29" s="53">
        <f ca="1">TblImps[[#This Row],[Time]]</f>
        <v>46321.041666666606</v>
      </c>
      <c r="AI29" s="180">
        <f ca="1">MIN(25%,(TblConstr[[#This Row],[Tot Fac]]+TblConstr[[#This Row],[Dest Fac]])/(TblConstr[[#This Row],[Land]]-TblExplore[[#This Row],[Land Bonus]]*20))</f>
        <v>0</v>
      </c>
      <c r="AJ29" s="180">
        <f ca="1">MIN(25%,(TblConstr[[#This Row],[Tot Fac]]+TblConstr[[#This Row],[Dest Fac]])/TblConstr[[#This Row],[Land]])</f>
        <v>0</v>
      </c>
      <c r="AK29" s="94">
        <f ca="1">TblProd[[#This Row],[Platinum]]</f>
        <v>148162</v>
      </c>
      <c r="AL29" s="94">
        <f ca="1">TblProd[[#This Row],[Lumber]]</f>
        <v>33884</v>
      </c>
      <c r="AM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9" s="94">
        <f ca="1">ROUNDDOWN( MAX(1 - MIN(facs_constr_factor*TblConstr[[#This Row],[Facs -DB]],facs_constr_max) + tech_1_11*TblTech[[#This Row],[11-1]] + tech_6_3_2*TblTech[[#This Row],[6-3]] + tech_5_2_3*TblTech[[#This Row],[5-2]], 1-global_constr_cap) * TblConstr[[#This Row],[RCPA Lumber]],0)</f>
        <v>31</v>
      </c>
      <c r="AO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9" s="94">
        <f ca="1">ROUNDDOWN( MAX(1 - MIN(facs_constr_factor*TblConstr[[#This Row],[Facs DB]],facs_constr_max) + tech_1_11*TblTech[[#This Row],[1-11]] + tech_6_3_2*TblTech[[#This Row],[6-3]] + tech_5_2_3*TblTech[[#This Row],[5-2]], 1-global_constr_cap) * ROUND((TblConstr[[#This Row],[Land]]-250)*0.285 + 87.5 + 0/4.25,0),0)</f>
        <v>31</v>
      </c>
      <c r="AQ29" s="45">
        <f ca="1">TblConstr[[#This Row],[build -db]]*TblConstr[[#This Row],[CPA Platinum -DB]] + TblConstr[[#This Row],[build db]]*TblConstr[[#This Row],[CPA Platinum DB]]</f>
        <v>0</v>
      </c>
      <c r="AR29" s="45">
        <f ca="1">TblConstr[[#This Row],[build -db]]*TblConstr[[#This Row],[CPA Lumber -DB]] + TblConstr[[#This Row],[build db]]*TblConstr[[#This Row],[CPA Lumber DB]]</f>
        <v>0</v>
      </c>
      <c r="AS29" s="94">
        <f ca="1">MIN(SUM(OFFSET(TblConstr[[#This Row],[Plain]:[Water]],-1,0))+SUM(TblConstr[[#This Row],[Dest Hom]:[Dest Doc]])+IF(TblConstr[[#This Row],[Hour]]&gt;12,SUM(OFFSET(TblExplore[[#This Row],[Plains Explore]:[Water Explore]],-12,0)),0),SUM(TblConstr[[#This Row],[Hom]:[Doc]]))</f>
        <v>0</v>
      </c>
      <c r="AT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42"/>
      <c r="AV29" s="94">
        <f ca="1">ROUND((TblConstr[[#This Row],[Land]]-250 - IF(TblExplore[[#This Row],[Land Bonus]]&lt;&gt;0,20,0))*1.25 + 850 + 0,0)</f>
        <v>600</v>
      </c>
      <c r="AW29" s="94">
        <f ca="1">ROUND((TblConstr[[#This Row],[Land]]-250 - IF(TblExplore[[#This Row],[Land Bonus]]&lt;&gt;0,20,0))*0.285 + 87.5 + 0/4.25,0)</f>
        <v>31</v>
      </c>
      <c r="AX29" s="154"/>
      <c r="AY29" s="188" cm="1">
        <f t="array" aca="1" ref="AY29" ca="1">IF(TblConstr[[#This Row],[Hour]:[Hour]]&gt;12,OFFSET(TblConstr[[#This Row],[Hom]],-12,0),0)+OFFSET(TblConstr[[#This Row],[Tot Hom]],-1,0)-TblConstr[[#This Row],[Dest Hom]]</f>
        <v>0</v>
      </c>
      <c r="AZ29" s="189" cm="1">
        <f t="array" aca="1" ref="AZ29" ca="1">IF(TblConstr[[#This Row],[Hour]:[Hour]]&gt;12,OFFSET(TblConstr[[#This Row],[Alc]],-12,0),0)+OFFSET(TblConstr[[#This Row],[Tot Alc]],-1,0)-TblConstr[[#This Row],[Dest Alc]]</f>
        <v>0</v>
      </c>
      <c r="BA29" s="189" cm="1">
        <f t="array" aca="1" ref="BA29" ca="1">IF(TblConstr[[#This Row],[Hour]:[Hour]]&gt;12,OFFSET(TblConstr[[#This Row],[Far]],-12,0),0)+OFFSET(TblConstr[[#This Row],[Tot Farm]],-1,0)-TblConstr[[#This Row],[Dest Farm]]</f>
        <v>30</v>
      </c>
      <c r="BB29" s="189" cm="1">
        <f t="array" aca="1" ref="BB29" ca="1">IF(TblConstr[[#This Row],[Hour]:[Hour]]&gt;12,OFFSET(TblConstr[[#This Row],[Smi]],-12,0),0)+OFFSET(TblConstr[[#This Row],[Tot Smi]],-1,0)-TblConstr[[#This Row],[Dest Smi]]</f>
        <v>0</v>
      </c>
      <c r="BC29" s="189" cm="1">
        <f t="array" aca="1" ref="BC29" ca="1">IF(TblConstr[[#This Row],[Hour]:[Hour]]&gt;12,OFFSET(TblConstr[[#This Row],[Mas]],-12,0),0)+OFFSET(TblConstr[[#This Row],[Tot Mas]],-1,0)-TblConstr[[#This Row],[Dest Mas]]</f>
        <v>0</v>
      </c>
      <c r="BD29" s="190" cm="1">
        <f t="array" aca="1" ref="BD29" ca="1">IF(TblConstr[[#This Row],[Hour]:[Hour]]&gt;12,OFFSET(TblConstr[[#This Row],[Ly]],-12,0),0)+OFFSET(TblConstr[[#This Row],[Tot Ly]],-1,0)-TblConstr[[#This Row],[Dest Ly]]</f>
        <v>20</v>
      </c>
      <c r="BE29" s="190" cm="1">
        <f t="array" aca="1" ref="BE29" ca="1">IF(TblConstr[[#This Row],[Hour]:[Hour]]&gt;12,OFFSET(TblConstr[[#This Row],[Hav]],-12,0),0)+OFFSET(TblConstr[[#This Row],[Tot Hav]],-1,0)-TblConstr[[#This Row],[Dest Hav]]</f>
        <v>0</v>
      </c>
      <c r="BF29" s="361" cm="1">
        <f t="array" aca="1" ref="BF29" ca="1">IF(TblConstr[[#This Row],[Hour]:[Hour]]&gt;12,OFFSET(TblConstr[[#This Row],[OM]],-12,0),0)+OFFSET(TblConstr[[#This Row],[Tot OM]],-1,0)-TblConstr[[#This Row],[Dest OM]]</f>
        <v>0</v>
      </c>
      <c r="BG29" s="361" cm="1">
        <f t="array" aca="1" ref="BG29" ca="1">IF(TblConstr[[#This Row],[Hour]:[Hour]]&gt;12,OFFSET(TblConstr[[#This Row],[GN]],-12,0),0)+OFFSET(TblConstr[[#This Row],[Tot GN]],-1,0)-TblConstr[[#This Row],[Dest GN]]</f>
        <v>0</v>
      </c>
      <c r="BH29" s="365" cm="1">
        <f t="array" aca="1" ref="BH29" ca="1">IF(TblConstr[[#This Row],[Hour]:[Hour]]&gt;12,OFFSET(TblConstr[[#This Row],[Fac]],-12,0),0)+OFFSET(TblConstr[[#This Row],[Tot Fac]],-1,0)-TblConstr[[#This Row],[Dest Fac]]</f>
        <v>0</v>
      </c>
      <c r="BI29" s="365" cm="1">
        <f t="array" aca="1" ref="BI29" ca="1">IF(TblConstr[[#This Row],[Hour]:[Hour]]&gt;12,OFFSET(TblConstr[[#This Row],[GT]],-12,0),0)+OFFSET(TblConstr[[#This Row],[Tot GT]],-1,0)-TblConstr[[#This Row],[Dest GT]]</f>
        <v>0</v>
      </c>
      <c r="BJ29" s="365" cm="1">
        <f t="array" aca="1" ref="BJ29" ca="1">IF(TblConstr[[#This Row],[Hour]:[Hour]]&gt;12,OFFSET(TblConstr[[#This Row],[Bar]],-12,0),0)+OFFSET(TblConstr[[#This Row],[Tot Bar]],-1,0)-TblConstr[[#This Row],[Dest Bar]]</f>
        <v>0</v>
      </c>
      <c r="BK29" s="365" cm="1">
        <f t="array" aca="1" ref="BK29" ca="1">IF(TblConstr[[#This Row],[Hour]:[Hour]]&gt;12,OFFSET(TblConstr[[#This Row],[Shr]],-12,0),0)+OFFSET(TblConstr[[#This Row],[Tot Shr]],-1,0)-TblConstr[[#This Row],[Dest Shr]]</f>
        <v>0</v>
      </c>
      <c r="BL29" s="369" cm="1">
        <f t="array" aca="1" ref="BL29" ca="1">IF(TblConstr[[#This Row],[Hour]:[Hour]]&gt;12,OFFSET(TblConstr[[#This Row],[Tow]],-12,0),0)+OFFSET(TblConstr[[#This Row],[Tot Tow]],-1,0)-TblConstr[[#This Row],[Dest Tow]]</f>
        <v>0</v>
      </c>
      <c r="BM29" s="369" cm="1">
        <f t="array" aca="1" ref="BM29" ca="1">IF(TblConstr[[#This Row],[Hour]:[Hour]]&gt;12,OFFSET(TblConstr[[#This Row],[Tem]],-12,0),0)+OFFSET(TblConstr[[#This Row],[Tot Tem]],-1,0)-TblConstr[[#This Row],[Dest Tem]]</f>
        <v>0</v>
      </c>
      <c r="BN29" s="369" cm="1">
        <f t="array" aca="1" ref="BN29" ca="1">IF(TblConstr[[#This Row],[Hour]:[Hour]]&gt;12,OFFSET(TblConstr[[#This Row],[WG]],-12,0),0)+OFFSET(TblConstr[[#This Row],[Tot WG]],-1,0)-TblConstr[[#This Row],[Dest WG]]</f>
        <v>0</v>
      </c>
      <c r="BO29" s="191" cm="1">
        <f t="array" aca="1" ref="BO29" ca="1">IF(TblConstr[[#This Row],[Hour]:[Hour]]&gt;12,OFFSET(TblConstr[[#This Row],[DM]],-12,0),0)+OFFSET(TblConstr[[#This Row],[Tot DM]],-1,0)-TblConstr[[#This Row],[Dest DM]]</f>
        <v>0</v>
      </c>
      <c r="BP29" s="191" cm="1">
        <f t="array" aca="1" ref="BP29" ca="1">IF(TblConstr[[#This Row],[Hour]:[Hour]]&gt;12,OFFSET(TblConstr[[#This Row],[Sch]],-12,0),0)+OFFSET(TblConstr[[#This Row],[Tot Sch]],-1,0)-TblConstr[[#This Row],[Dest Sch]]</f>
        <v>0</v>
      </c>
      <c r="BQ29" s="192" cm="1">
        <f t="array" aca="1" ref="BQ29" ca="1">IF(TblConstr[[#This Row],[Hour]:[Hour]]&gt;12,OFFSET(TblConstr[[#This Row],[Doc]],-12,0),0)+OFFSET(TblConstr[[#This Row],[Tot Doc]],-1,0)-TblConstr[[#This Row],[Dest Doc]]</f>
        <v>0</v>
      </c>
      <c r="BR29" s="142"/>
      <c r="BS29" s="154"/>
      <c r="BT29" s="94">
        <f ca="1">TblConstr[[#This Row],[Land]]</f>
        <v>50</v>
      </c>
      <c r="BU29" s="159">
        <f ca="1">TblImps[[#This Row],[Time]]</f>
        <v>46321.041666666606</v>
      </c>
      <c r="BV29" s="142"/>
      <c r="BW29" s="179"/>
      <c r="BX29" s="179"/>
      <c r="BY29" s="179"/>
      <c r="BZ29" s="179"/>
      <c r="CA29" s="179"/>
      <c r="CB29" s="179"/>
      <c r="CC29" s="179"/>
      <c r="CD29" s="179"/>
      <c r="CE29" s="179"/>
      <c r="CF29" s="179"/>
      <c r="CG29" s="179"/>
      <c r="CH29" s="179"/>
      <c r="CI29" s="179"/>
      <c r="CJ29" s="179"/>
      <c r="CK29" s="179"/>
      <c r="CL29" s="179"/>
      <c r="CM29" s="179"/>
      <c r="CN29" s="179"/>
      <c r="CO29" s="179"/>
      <c r="CP29" s="142"/>
      <c r="CQ29" s="181">
        <f ca="1">-SUM(TblConstr[[#This Row],[Alc]:[Mas]])+SUM(TblConstr[[#This Row],[Dest Alc]:[Dest Mas]])+Rezone!L29+IF("Ch_"&amp; home_land=TblConstr[[#Headers],[Ch_Plain]],TblConstr[[#This Row],[Home Land]])+IF(TblConstr[[#This Row],[Hour]:[Hour]]&gt;12,OFFSET(TblExplore[[#This Row],[Plains Explore]],-12,0),0)</f>
        <v>0</v>
      </c>
      <c r="CR29" s="182">
        <f ca="1">-SUM(TblConstr[[#This Row],[Ly]:[Hav]])+SUM(TblConstr[[#This Row],[Dest Ly]:[Dest Hav]]) +Rezone!M29 + IF("Ch_"&amp; home_land=TblConstr[[#Headers],[Ch_Forest]],TblConstr[[#This Row],[Home Land]])+IF(TblConstr[[#This Row],[Hour]:[Hour]]&gt;12,OFFSET(TblExplore[[#This Row],[Forest Explore]],-12,0),0)</f>
        <v>0</v>
      </c>
      <c r="CS29" s="359">
        <f ca="1">-SUM(TblConstr[[#This Row],[OM]:[GN]])+SUM(TblConstr[[#This Row],[Dest OM]:[Dest GN]]) +Rezone!N29 + IF("Ch_"&amp; home_land=TblConstr[[#Headers],[Ch_Mountain]],TblConstr[[#This Row],[Home Land]])+IF(TblConstr[[#This Row],[Hour]:[Hour]]&gt;12,OFFSET(TblExplore[[#This Row],[Mountain Explore]],-12,0),0)</f>
        <v>0</v>
      </c>
      <c r="CT29" s="183">
        <f ca="1">-SUM(TblConstr[[#This Row],[Fac]:[Shr]])+SUM(TblConstr[[#This Row],[Dest Fac]:[Dest Shr]]) +Rezone!O29 + IF("Ch_" &amp; home_land=TblConstr[[#Headers],[Ch_Hill]],TblConstr[[#This Row],[Home Land]])+IF(TblConstr[[#This Row],[Hour]:[Hour]]&gt;12,OFFSET(TblExplore[[#This Row],[Hill Explore]],-12,0),0)</f>
        <v>0</v>
      </c>
      <c r="CU29" s="184">
        <f ca="1">-SUM(TblConstr[[#This Row],[Tow]:[WG]])+SUM(TblConstr[[#This Row],[Dest Tow]:[Dest WG]]) +Rezone!P29 + IF("Ch_" &amp; home_land=TblConstr[[#Headers],[Ch_Swamp]],TblConstr[[#This Row],[Home Land]])+IF(TblConstr[[#This Row],[Hour]:[Hour]]&gt;12,OFFSET(TblExplore[[#This Row],[Swamp Explore]],-12,0),0)</f>
        <v>0</v>
      </c>
      <c r="CV29" s="185">
        <f ca="1" xml:space="preserve"> - SUM(TblConstr[[#This Row],[DM]:[Sch]])+SUM(TblConstr[[#This Row],[Dest DM]:[Dest Sch]]) +Rezone!Q29 + IF("Ch_" &amp; home_land=TblConstr[[#Headers],[Ch_Cavern]],TblConstr[[#This Row],[Home Land]])+IF(TblConstr[[#This Row],[Hour]:[Hour]]&gt;12,OFFSET(TblExplore[[#This Row],[Cavern Explore]],-12,0),0)</f>
        <v>0</v>
      </c>
      <c r="CW29" s="186">
        <f ca="1">-TblConstr[[#This Row],[Doc]]+TblConstr[[#This Row],[Dest Doc]] +Rezone!R29 + IF("Ch_" &amp; home_land=TblConstr[[#Headers],[Ch_Water]],TblConstr[[#This Row],[Home Land]])+IF(TblConstr[[#This Row],[Hour]:[Hour]]&gt;12,OFFSET(TblExplore[[#This Row],[Water Explore]],-12,0),0)</f>
        <v>0</v>
      </c>
      <c r="CX29" s="45">
        <f>IF(Explore!S29=1,20) - TblConstr[[#This Row],[Hom]] + TblConstr[[#This Row],[Dest Hom]]</f>
        <v>0</v>
      </c>
      <c r="CY29" s="142"/>
      <c r="CZ29" s="94">
        <f t="shared" ca="1" si="3"/>
        <v>30</v>
      </c>
      <c r="DA29" s="94">
        <f t="shared" ca="1" si="4"/>
        <v>20</v>
      </c>
      <c r="DB29" s="45">
        <f t="shared" ca="1" si="5"/>
        <v>0</v>
      </c>
      <c r="DC29" s="94">
        <f t="shared" ca="1" si="6"/>
        <v>0</v>
      </c>
      <c r="DD29" s="94">
        <f t="shared" ca="1" si="7"/>
        <v>0</v>
      </c>
      <c r="DE29" s="45">
        <f t="shared" ca="1" si="8"/>
        <v>0</v>
      </c>
      <c r="DF29" s="94">
        <f t="shared" ca="1" si="9"/>
        <v>0</v>
      </c>
      <c r="DG29" s="94" cm="1">
        <f t="array" aca="1" ref="DG29" ca="1">INDEX(TblConstr[[Total Plain]:[Total Water]],ROW()-ROW(TblConstr[#Headers]),MATCH("Total "&amp;home_land,TblConstr[[#Headers],[Total Plain]:[Total Water]],0))+TblConstr[[#This Row],[Homes]]</f>
        <v>30</v>
      </c>
      <c r="DH29" s="45">
        <f t="shared" ca="1" si="10"/>
        <v>0</v>
      </c>
      <c r="DI29" s="45">
        <f t="shared" ca="1" si="0"/>
        <v>0</v>
      </c>
      <c r="DJ29" s="45">
        <f t="shared" ca="1" si="1"/>
        <v>0</v>
      </c>
    </row>
    <row r="30" spans="1:114" x14ac:dyDescent="0.2">
      <c r="A30" s="175">
        <f>TblRezone[[#This Row],[Hour]]</f>
        <v>27</v>
      </c>
      <c r="B30" s="176">
        <f ca="1">SUM(TblConstr[[#This Row],[Plain]:[Water]])</f>
        <v>0</v>
      </c>
      <c r="C30" s="177">
        <f ca="1">SUM(TblConstr[[#This Row],[Tot Hom]:[Tot Doc]])</f>
        <v>50</v>
      </c>
      <c r="D30" s="177">
        <f t="shared" si="2"/>
        <v>0</v>
      </c>
      <c r="E30" s="178"/>
      <c r="F30" s="61">
        <f ca="1">TblConstr[[#This Row],[Barren]]+TblConstr[[#This Row],[Buildings]]+TblConstr[[#This Row],[Incoming]]</f>
        <v>50</v>
      </c>
      <c r="G30" s="187">
        <f ca="1">OFFSET(TblConstr[[#This Row],[Plain]],-1,0)+TblConstr[[#This Row],[Ch_Plain]]</f>
        <v>0</v>
      </c>
      <c r="H30" s="182">
        <f ca="1">OFFSET(TblConstr[[#This Row],[Forest]],-1,0)+TblConstr[[#This Row],[Ch_Forest]]</f>
        <v>0</v>
      </c>
      <c r="I30" s="359">
        <f ca="1">OFFSET(TblConstr[[#This Row],[Mountain]],-1,0)+TblConstr[[#This Row],[Ch_Mountain]]</f>
        <v>0</v>
      </c>
      <c r="J30" s="363">
        <f ca="1">OFFSET(TblConstr[[#This Row],[Hill]],-1,0)+TblConstr[[#This Row],[Ch_Hill]]</f>
        <v>0</v>
      </c>
      <c r="K30" s="367">
        <f ca="1">OFFSET(TblConstr[[#This Row],[Swamp]],-1,0)+TblConstr[[#This Row],[Ch_Swamp]]</f>
        <v>0</v>
      </c>
      <c r="L30" s="185">
        <f ca="1">OFFSET(TblConstr[[#This Row],[Cavern]],-1,0)+TblConstr[[#This Row],[Ch_Cavern]]</f>
        <v>0</v>
      </c>
      <c r="M30" s="186">
        <f ca="1">OFFSET(TblConstr[[#This Row],[Water]],-1,0)+TblConstr[[#This Row],[Ch_Water]]</f>
        <v>0</v>
      </c>
      <c r="N30" s="357">
        <f>TblRezone[[#This Row],[Hour]]</f>
        <v>27</v>
      </c>
      <c r="O30" s="179"/>
      <c r="P30" s="179"/>
      <c r="Q30" s="179"/>
      <c r="R30" s="179"/>
      <c r="S30" s="179"/>
      <c r="T30" s="179"/>
      <c r="U30" s="179"/>
      <c r="V30" s="179"/>
      <c r="W30" s="179"/>
      <c r="X30" s="179"/>
      <c r="Y30" s="179"/>
      <c r="Z30" s="179"/>
      <c r="AA30" s="179"/>
      <c r="AB30" s="179"/>
      <c r="AC30" s="179"/>
      <c r="AD30" s="179"/>
      <c r="AE30" s="179"/>
      <c r="AF30" s="179"/>
      <c r="AG30" s="179"/>
      <c r="AH30" s="53">
        <f ca="1">TblImps[[#This Row],[Time]]</f>
        <v>46321.08333333327</v>
      </c>
      <c r="AI30" s="180">
        <f ca="1">MIN(25%,(TblConstr[[#This Row],[Tot Fac]]+TblConstr[[#This Row],[Dest Fac]])/(TblConstr[[#This Row],[Land]]-TblExplore[[#This Row],[Land Bonus]]*20))</f>
        <v>0</v>
      </c>
      <c r="AJ30" s="180">
        <f ca="1">MIN(25%,(TblConstr[[#This Row],[Tot Fac]]+TblConstr[[#This Row],[Dest Fac]])/TblConstr[[#This Row],[Land]])</f>
        <v>0</v>
      </c>
      <c r="AK30" s="94">
        <f ca="1">TblProd[[#This Row],[Platinum]]</f>
        <v>149147</v>
      </c>
      <c r="AL30" s="94">
        <f ca="1">TblProd[[#This Row],[Lumber]]</f>
        <v>34545</v>
      </c>
      <c r="AM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0" s="94">
        <f ca="1">ROUNDDOWN( MAX(1 - MIN(facs_constr_factor*TblConstr[[#This Row],[Facs -DB]],facs_constr_max) + tech_1_11*TblTech[[#This Row],[11-1]] + tech_6_3_2*TblTech[[#This Row],[6-3]] + tech_5_2_3*TblTech[[#This Row],[5-2]], 1-global_constr_cap) * TblConstr[[#This Row],[RCPA Lumber]],0)</f>
        <v>31</v>
      </c>
      <c r="AO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0" s="94">
        <f ca="1">ROUNDDOWN( MAX(1 - MIN(facs_constr_factor*TblConstr[[#This Row],[Facs DB]],facs_constr_max) + tech_1_11*TblTech[[#This Row],[1-11]] + tech_6_3_2*TblTech[[#This Row],[6-3]] + tech_5_2_3*TblTech[[#This Row],[5-2]], 1-global_constr_cap) * ROUND((TblConstr[[#This Row],[Land]]-250)*0.285 + 87.5 + 0/4.25,0),0)</f>
        <v>31</v>
      </c>
      <c r="AQ30" s="45">
        <f ca="1">TblConstr[[#This Row],[build -db]]*TblConstr[[#This Row],[CPA Platinum -DB]] + TblConstr[[#This Row],[build db]]*TblConstr[[#This Row],[CPA Platinum DB]]</f>
        <v>0</v>
      </c>
      <c r="AR30" s="45">
        <f ca="1">TblConstr[[#This Row],[build -db]]*TblConstr[[#This Row],[CPA Lumber -DB]] + TblConstr[[#This Row],[build db]]*TblConstr[[#This Row],[CPA Lumber DB]]</f>
        <v>0</v>
      </c>
      <c r="AS30" s="94">
        <f ca="1">MIN(SUM(OFFSET(TblConstr[[#This Row],[Plain]:[Water]],-1,0))+SUM(TblConstr[[#This Row],[Dest Hom]:[Dest Doc]])+IF(TblConstr[[#This Row],[Hour]]&gt;12,SUM(OFFSET(TblExplore[[#This Row],[Plains Explore]:[Water Explore]],-12,0)),0),SUM(TblConstr[[#This Row],[Hom]:[Doc]]))</f>
        <v>0</v>
      </c>
      <c r="AT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42"/>
      <c r="AV30" s="94">
        <f ca="1">ROUND((TblConstr[[#This Row],[Land]]-250 - IF(TblExplore[[#This Row],[Land Bonus]]&lt;&gt;0,20,0))*1.25 + 850 + 0,0)</f>
        <v>600</v>
      </c>
      <c r="AW30" s="94">
        <f ca="1">ROUND((TblConstr[[#This Row],[Land]]-250 - IF(TblExplore[[#This Row],[Land Bonus]]&lt;&gt;0,20,0))*0.285 + 87.5 + 0/4.25,0)</f>
        <v>31</v>
      </c>
      <c r="AX30" s="154"/>
      <c r="AY30" s="188" cm="1">
        <f t="array" aca="1" ref="AY30" ca="1">IF(TblConstr[[#This Row],[Hour]:[Hour]]&gt;12,OFFSET(TblConstr[[#This Row],[Hom]],-12,0),0)+OFFSET(TblConstr[[#This Row],[Tot Hom]],-1,0)-TblConstr[[#This Row],[Dest Hom]]</f>
        <v>0</v>
      </c>
      <c r="AZ30" s="189" cm="1">
        <f t="array" aca="1" ref="AZ30" ca="1">IF(TblConstr[[#This Row],[Hour]:[Hour]]&gt;12,OFFSET(TblConstr[[#This Row],[Alc]],-12,0),0)+OFFSET(TblConstr[[#This Row],[Tot Alc]],-1,0)-TblConstr[[#This Row],[Dest Alc]]</f>
        <v>0</v>
      </c>
      <c r="BA30" s="189" cm="1">
        <f t="array" aca="1" ref="BA30" ca="1">IF(TblConstr[[#This Row],[Hour]:[Hour]]&gt;12,OFFSET(TblConstr[[#This Row],[Far]],-12,0),0)+OFFSET(TblConstr[[#This Row],[Tot Farm]],-1,0)-TblConstr[[#This Row],[Dest Farm]]</f>
        <v>30</v>
      </c>
      <c r="BB30" s="189" cm="1">
        <f t="array" aca="1" ref="BB30" ca="1">IF(TblConstr[[#This Row],[Hour]:[Hour]]&gt;12,OFFSET(TblConstr[[#This Row],[Smi]],-12,0),0)+OFFSET(TblConstr[[#This Row],[Tot Smi]],-1,0)-TblConstr[[#This Row],[Dest Smi]]</f>
        <v>0</v>
      </c>
      <c r="BC30" s="189" cm="1">
        <f t="array" aca="1" ref="BC30" ca="1">IF(TblConstr[[#This Row],[Hour]:[Hour]]&gt;12,OFFSET(TblConstr[[#This Row],[Mas]],-12,0),0)+OFFSET(TblConstr[[#This Row],[Tot Mas]],-1,0)-TblConstr[[#This Row],[Dest Mas]]</f>
        <v>0</v>
      </c>
      <c r="BD30" s="190" cm="1">
        <f t="array" aca="1" ref="BD30" ca="1">IF(TblConstr[[#This Row],[Hour]:[Hour]]&gt;12,OFFSET(TblConstr[[#This Row],[Ly]],-12,0),0)+OFFSET(TblConstr[[#This Row],[Tot Ly]],-1,0)-TblConstr[[#This Row],[Dest Ly]]</f>
        <v>20</v>
      </c>
      <c r="BE30" s="190" cm="1">
        <f t="array" aca="1" ref="BE30" ca="1">IF(TblConstr[[#This Row],[Hour]:[Hour]]&gt;12,OFFSET(TblConstr[[#This Row],[Hav]],-12,0),0)+OFFSET(TblConstr[[#This Row],[Tot Hav]],-1,0)-TblConstr[[#This Row],[Dest Hav]]</f>
        <v>0</v>
      </c>
      <c r="BF30" s="361" cm="1">
        <f t="array" aca="1" ref="BF30" ca="1">IF(TblConstr[[#This Row],[Hour]:[Hour]]&gt;12,OFFSET(TblConstr[[#This Row],[OM]],-12,0),0)+OFFSET(TblConstr[[#This Row],[Tot OM]],-1,0)-TblConstr[[#This Row],[Dest OM]]</f>
        <v>0</v>
      </c>
      <c r="BG30" s="361" cm="1">
        <f t="array" aca="1" ref="BG30" ca="1">IF(TblConstr[[#This Row],[Hour]:[Hour]]&gt;12,OFFSET(TblConstr[[#This Row],[GN]],-12,0),0)+OFFSET(TblConstr[[#This Row],[Tot GN]],-1,0)-TblConstr[[#This Row],[Dest GN]]</f>
        <v>0</v>
      </c>
      <c r="BH30" s="365" cm="1">
        <f t="array" aca="1" ref="BH30" ca="1">IF(TblConstr[[#This Row],[Hour]:[Hour]]&gt;12,OFFSET(TblConstr[[#This Row],[Fac]],-12,0),0)+OFFSET(TblConstr[[#This Row],[Tot Fac]],-1,0)-TblConstr[[#This Row],[Dest Fac]]</f>
        <v>0</v>
      </c>
      <c r="BI30" s="365" cm="1">
        <f t="array" aca="1" ref="BI30" ca="1">IF(TblConstr[[#This Row],[Hour]:[Hour]]&gt;12,OFFSET(TblConstr[[#This Row],[GT]],-12,0),0)+OFFSET(TblConstr[[#This Row],[Tot GT]],-1,0)-TblConstr[[#This Row],[Dest GT]]</f>
        <v>0</v>
      </c>
      <c r="BJ30" s="365" cm="1">
        <f t="array" aca="1" ref="BJ30" ca="1">IF(TblConstr[[#This Row],[Hour]:[Hour]]&gt;12,OFFSET(TblConstr[[#This Row],[Bar]],-12,0),0)+OFFSET(TblConstr[[#This Row],[Tot Bar]],-1,0)-TblConstr[[#This Row],[Dest Bar]]</f>
        <v>0</v>
      </c>
      <c r="BK30" s="365" cm="1">
        <f t="array" aca="1" ref="BK30" ca="1">IF(TblConstr[[#This Row],[Hour]:[Hour]]&gt;12,OFFSET(TblConstr[[#This Row],[Shr]],-12,0),0)+OFFSET(TblConstr[[#This Row],[Tot Shr]],-1,0)-TblConstr[[#This Row],[Dest Shr]]</f>
        <v>0</v>
      </c>
      <c r="BL30" s="369" cm="1">
        <f t="array" aca="1" ref="BL30" ca="1">IF(TblConstr[[#This Row],[Hour]:[Hour]]&gt;12,OFFSET(TblConstr[[#This Row],[Tow]],-12,0),0)+OFFSET(TblConstr[[#This Row],[Tot Tow]],-1,0)-TblConstr[[#This Row],[Dest Tow]]</f>
        <v>0</v>
      </c>
      <c r="BM30" s="369" cm="1">
        <f t="array" aca="1" ref="BM30" ca="1">IF(TblConstr[[#This Row],[Hour]:[Hour]]&gt;12,OFFSET(TblConstr[[#This Row],[Tem]],-12,0),0)+OFFSET(TblConstr[[#This Row],[Tot Tem]],-1,0)-TblConstr[[#This Row],[Dest Tem]]</f>
        <v>0</v>
      </c>
      <c r="BN30" s="369" cm="1">
        <f t="array" aca="1" ref="BN30" ca="1">IF(TblConstr[[#This Row],[Hour]:[Hour]]&gt;12,OFFSET(TblConstr[[#This Row],[WG]],-12,0),0)+OFFSET(TblConstr[[#This Row],[Tot WG]],-1,0)-TblConstr[[#This Row],[Dest WG]]</f>
        <v>0</v>
      </c>
      <c r="BO30" s="191" cm="1">
        <f t="array" aca="1" ref="BO30" ca="1">IF(TblConstr[[#This Row],[Hour]:[Hour]]&gt;12,OFFSET(TblConstr[[#This Row],[DM]],-12,0),0)+OFFSET(TblConstr[[#This Row],[Tot DM]],-1,0)-TblConstr[[#This Row],[Dest DM]]</f>
        <v>0</v>
      </c>
      <c r="BP30" s="191" cm="1">
        <f t="array" aca="1" ref="BP30" ca="1">IF(TblConstr[[#This Row],[Hour]:[Hour]]&gt;12,OFFSET(TblConstr[[#This Row],[Sch]],-12,0),0)+OFFSET(TblConstr[[#This Row],[Tot Sch]],-1,0)-TblConstr[[#This Row],[Dest Sch]]</f>
        <v>0</v>
      </c>
      <c r="BQ30" s="192" cm="1">
        <f t="array" aca="1" ref="BQ30" ca="1">IF(TblConstr[[#This Row],[Hour]:[Hour]]&gt;12,OFFSET(TblConstr[[#This Row],[Doc]],-12,0),0)+OFFSET(TblConstr[[#This Row],[Tot Doc]],-1,0)-TblConstr[[#This Row],[Dest Doc]]</f>
        <v>0</v>
      </c>
      <c r="BR30" s="142"/>
      <c r="BS30" s="154"/>
      <c r="BT30" s="94">
        <f ca="1">TblConstr[[#This Row],[Land]]</f>
        <v>50</v>
      </c>
      <c r="BU30" s="159">
        <f ca="1">TblImps[[#This Row],[Time]]</f>
        <v>46321.08333333327</v>
      </c>
      <c r="BV30" s="142"/>
      <c r="BW30" s="179"/>
      <c r="BX30" s="179"/>
      <c r="BY30" s="179"/>
      <c r="BZ30" s="179"/>
      <c r="CA30" s="179"/>
      <c r="CB30" s="179"/>
      <c r="CC30" s="179"/>
      <c r="CD30" s="179"/>
      <c r="CE30" s="179"/>
      <c r="CF30" s="179"/>
      <c r="CG30" s="179"/>
      <c r="CH30" s="179"/>
      <c r="CI30" s="179"/>
      <c r="CJ30" s="179"/>
      <c r="CK30" s="179"/>
      <c r="CL30" s="179"/>
      <c r="CM30" s="179"/>
      <c r="CN30" s="179"/>
      <c r="CO30" s="179"/>
      <c r="CP30" s="142"/>
      <c r="CQ30" s="181">
        <f ca="1">-SUM(TblConstr[[#This Row],[Alc]:[Mas]])+SUM(TblConstr[[#This Row],[Dest Alc]:[Dest Mas]])+Rezone!L30+IF("Ch_"&amp; home_land=TblConstr[[#Headers],[Ch_Plain]],TblConstr[[#This Row],[Home Land]])+IF(TblConstr[[#This Row],[Hour]:[Hour]]&gt;12,OFFSET(TblExplore[[#This Row],[Plains Explore]],-12,0),0)</f>
        <v>0</v>
      </c>
      <c r="CR30" s="182">
        <f ca="1">-SUM(TblConstr[[#This Row],[Ly]:[Hav]])+SUM(TblConstr[[#This Row],[Dest Ly]:[Dest Hav]]) +Rezone!M30 + IF("Ch_"&amp; home_land=TblConstr[[#Headers],[Ch_Forest]],TblConstr[[#This Row],[Home Land]])+IF(TblConstr[[#This Row],[Hour]:[Hour]]&gt;12,OFFSET(TblExplore[[#This Row],[Forest Explore]],-12,0),0)</f>
        <v>0</v>
      </c>
      <c r="CS30" s="359">
        <f ca="1">-SUM(TblConstr[[#This Row],[OM]:[GN]])+SUM(TblConstr[[#This Row],[Dest OM]:[Dest GN]]) +Rezone!N30 + IF("Ch_"&amp; home_land=TblConstr[[#Headers],[Ch_Mountain]],TblConstr[[#This Row],[Home Land]])+IF(TblConstr[[#This Row],[Hour]:[Hour]]&gt;12,OFFSET(TblExplore[[#This Row],[Mountain Explore]],-12,0),0)</f>
        <v>0</v>
      </c>
      <c r="CT30" s="183">
        <f ca="1">-SUM(TblConstr[[#This Row],[Fac]:[Shr]])+SUM(TblConstr[[#This Row],[Dest Fac]:[Dest Shr]]) +Rezone!O30 + IF("Ch_" &amp; home_land=TblConstr[[#Headers],[Ch_Hill]],TblConstr[[#This Row],[Home Land]])+IF(TblConstr[[#This Row],[Hour]:[Hour]]&gt;12,OFFSET(TblExplore[[#This Row],[Hill Explore]],-12,0),0)</f>
        <v>0</v>
      </c>
      <c r="CU30" s="184">
        <f ca="1">-SUM(TblConstr[[#This Row],[Tow]:[WG]])+SUM(TblConstr[[#This Row],[Dest Tow]:[Dest WG]]) +Rezone!P30 + IF("Ch_" &amp; home_land=TblConstr[[#Headers],[Ch_Swamp]],TblConstr[[#This Row],[Home Land]])+IF(TblConstr[[#This Row],[Hour]:[Hour]]&gt;12,OFFSET(TblExplore[[#This Row],[Swamp Explore]],-12,0),0)</f>
        <v>0</v>
      </c>
      <c r="CV30" s="185">
        <f ca="1" xml:space="preserve"> - SUM(TblConstr[[#This Row],[DM]:[Sch]])+SUM(TblConstr[[#This Row],[Dest DM]:[Dest Sch]]) +Rezone!Q30 + IF("Ch_" &amp; home_land=TblConstr[[#Headers],[Ch_Cavern]],TblConstr[[#This Row],[Home Land]])+IF(TblConstr[[#This Row],[Hour]:[Hour]]&gt;12,OFFSET(TblExplore[[#This Row],[Cavern Explore]],-12,0),0)</f>
        <v>0</v>
      </c>
      <c r="CW30" s="186">
        <f ca="1">-TblConstr[[#This Row],[Doc]]+TblConstr[[#This Row],[Dest Doc]] +Rezone!R30 + IF("Ch_" &amp; home_land=TblConstr[[#Headers],[Ch_Water]],TblConstr[[#This Row],[Home Land]])+IF(TblConstr[[#This Row],[Hour]:[Hour]]&gt;12,OFFSET(TblExplore[[#This Row],[Water Explore]],-12,0),0)</f>
        <v>0</v>
      </c>
      <c r="CX30" s="45">
        <f>IF(Explore!S30=1,20) - TblConstr[[#This Row],[Hom]] + TblConstr[[#This Row],[Dest Hom]]</f>
        <v>0</v>
      </c>
      <c r="CY30" s="142"/>
      <c r="CZ30" s="94">
        <f t="shared" ca="1" si="3"/>
        <v>30</v>
      </c>
      <c r="DA30" s="94">
        <f t="shared" ca="1" si="4"/>
        <v>20</v>
      </c>
      <c r="DB30" s="45">
        <f t="shared" ca="1" si="5"/>
        <v>0</v>
      </c>
      <c r="DC30" s="94">
        <f t="shared" ca="1" si="6"/>
        <v>0</v>
      </c>
      <c r="DD30" s="94">
        <f t="shared" ca="1" si="7"/>
        <v>0</v>
      </c>
      <c r="DE30" s="45">
        <f t="shared" ca="1" si="8"/>
        <v>0</v>
      </c>
      <c r="DF30" s="94">
        <f t="shared" ca="1" si="9"/>
        <v>0</v>
      </c>
      <c r="DG30" s="94" cm="1">
        <f t="array" aca="1" ref="DG30" ca="1">INDEX(TblConstr[[Total Plain]:[Total Water]],ROW()-ROW(TblConstr[#Headers]),MATCH("Total "&amp;home_land,TblConstr[[#Headers],[Total Plain]:[Total Water]],0))+TblConstr[[#This Row],[Homes]]</f>
        <v>30</v>
      </c>
      <c r="DH30" s="45">
        <f t="shared" ca="1" si="10"/>
        <v>0</v>
      </c>
      <c r="DI30" s="45">
        <f t="shared" ca="1" si="0"/>
        <v>0</v>
      </c>
      <c r="DJ30" s="45">
        <f t="shared" ca="1" si="1"/>
        <v>0</v>
      </c>
    </row>
    <row r="31" spans="1:114" x14ac:dyDescent="0.2">
      <c r="A31" s="175">
        <f>TblRezone[[#This Row],[Hour]]</f>
        <v>28</v>
      </c>
      <c r="B31" s="176">
        <f ca="1">SUM(TblConstr[[#This Row],[Plain]:[Water]])</f>
        <v>0</v>
      </c>
      <c r="C31" s="177">
        <f ca="1">SUM(TblConstr[[#This Row],[Tot Hom]:[Tot Doc]])</f>
        <v>50</v>
      </c>
      <c r="D31" s="177">
        <f t="shared" si="2"/>
        <v>0</v>
      </c>
      <c r="E31" s="178"/>
      <c r="F31" s="61">
        <f ca="1">TblConstr[[#This Row],[Barren]]+TblConstr[[#This Row],[Buildings]]+TblConstr[[#This Row],[Incoming]]</f>
        <v>50</v>
      </c>
      <c r="G31" s="187">
        <f ca="1">OFFSET(TblConstr[[#This Row],[Plain]],-1,0)+TblConstr[[#This Row],[Ch_Plain]]</f>
        <v>0</v>
      </c>
      <c r="H31" s="182">
        <f ca="1">OFFSET(TblConstr[[#This Row],[Forest]],-1,0)+TblConstr[[#This Row],[Ch_Forest]]</f>
        <v>0</v>
      </c>
      <c r="I31" s="359">
        <f ca="1">OFFSET(TblConstr[[#This Row],[Mountain]],-1,0)+TblConstr[[#This Row],[Ch_Mountain]]</f>
        <v>0</v>
      </c>
      <c r="J31" s="363">
        <f ca="1">OFFSET(TblConstr[[#This Row],[Hill]],-1,0)+TblConstr[[#This Row],[Ch_Hill]]</f>
        <v>0</v>
      </c>
      <c r="K31" s="367">
        <f ca="1">OFFSET(TblConstr[[#This Row],[Swamp]],-1,0)+TblConstr[[#This Row],[Ch_Swamp]]</f>
        <v>0</v>
      </c>
      <c r="L31" s="185">
        <f ca="1">OFFSET(TblConstr[[#This Row],[Cavern]],-1,0)+TblConstr[[#This Row],[Ch_Cavern]]</f>
        <v>0</v>
      </c>
      <c r="M31" s="186">
        <f ca="1">OFFSET(TblConstr[[#This Row],[Water]],-1,0)+TblConstr[[#This Row],[Ch_Water]]</f>
        <v>0</v>
      </c>
      <c r="N31" s="357">
        <f>TblRezone[[#This Row],[Hour]]</f>
        <v>28</v>
      </c>
      <c r="O31" s="179"/>
      <c r="P31" s="158"/>
      <c r="Q31" s="179"/>
      <c r="R31" s="179"/>
      <c r="S31" s="179"/>
      <c r="T31" s="179"/>
      <c r="U31" s="179"/>
      <c r="V31" s="179"/>
      <c r="W31" s="179"/>
      <c r="X31" s="179"/>
      <c r="Y31" s="179"/>
      <c r="Z31" s="179"/>
      <c r="AA31" s="179"/>
      <c r="AB31" s="179"/>
      <c r="AC31" s="179"/>
      <c r="AD31" s="179"/>
      <c r="AE31" s="179"/>
      <c r="AF31" s="179"/>
      <c r="AG31" s="179"/>
      <c r="AH31" s="53">
        <f ca="1">TblImps[[#This Row],[Time]]</f>
        <v>46321.124999999935</v>
      </c>
      <c r="AI31" s="180">
        <f ca="1">MIN(25%,(TblConstr[[#This Row],[Tot Fac]]+TblConstr[[#This Row],[Dest Fac]])/(TblConstr[[#This Row],[Land]]-TblExplore[[#This Row],[Land Bonus]]*20))</f>
        <v>0</v>
      </c>
      <c r="AJ31" s="180">
        <f ca="1">MIN(25%,(TblConstr[[#This Row],[Tot Fac]]+TblConstr[[#This Row],[Dest Fac]])/TblConstr[[#This Row],[Land]])</f>
        <v>0</v>
      </c>
      <c r="AK31" s="94">
        <f ca="1">TblProd[[#This Row],[Platinum]]</f>
        <v>150121</v>
      </c>
      <c r="AL31" s="94">
        <f ca="1">TblProd[[#This Row],[Lumber]]</f>
        <v>35200</v>
      </c>
      <c r="AM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1" s="94">
        <f ca="1">ROUNDDOWN( MAX(1 - MIN(facs_constr_factor*TblConstr[[#This Row],[Facs -DB]],facs_constr_max) + tech_1_11*TblTech[[#This Row],[11-1]] + tech_6_3_2*TblTech[[#This Row],[6-3]] + tech_5_2_3*TblTech[[#This Row],[5-2]], 1-global_constr_cap) * TblConstr[[#This Row],[RCPA Lumber]],0)</f>
        <v>31</v>
      </c>
      <c r="AO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1" s="94">
        <f ca="1">ROUNDDOWN( MAX(1 - MIN(facs_constr_factor*TblConstr[[#This Row],[Facs DB]],facs_constr_max) + tech_1_11*TblTech[[#This Row],[1-11]] + tech_6_3_2*TblTech[[#This Row],[6-3]] + tech_5_2_3*TblTech[[#This Row],[5-2]], 1-global_constr_cap) * ROUND((TblConstr[[#This Row],[Land]]-250)*0.285 + 87.5 + 0/4.25,0),0)</f>
        <v>31</v>
      </c>
      <c r="AQ31" s="45">
        <f ca="1">TblConstr[[#This Row],[build -db]]*TblConstr[[#This Row],[CPA Platinum -DB]] + TblConstr[[#This Row],[build db]]*TblConstr[[#This Row],[CPA Platinum DB]]</f>
        <v>0</v>
      </c>
      <c r="AR31" s="45">
        <f ca="1">TblConstr[[#This Row],[build -db]]*TblConstr[[#This Row],[CPA Lumber -DB]] + TblConstr[[#This Row],[build db]]*TblConstr[[#This Row],[CPA Lumber DB]]</f>
        <v>0</v>
      </c>
      <c r="AS31" s="94">
        <f ca="1">MIN(SUM(OFFSET(TblConstr[[#This Row],[Plain]:[Water]],-1,0))+SUM(TblConstr[[#This Row],[Dest Hom]:[Dest Doc]])+IF(TblConstr[[#This Row],[Hour]]&gt;12,SUM(OFFSET(TblExplore[[#This Row],[Plains Explore]:[Water Explore]],-12,0)),0),SUM(TblConstr[[#This Row],[Hom]:[Doc]]))</f>
        <v>0</v>
      </c>
      <c r="AT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42"/>
      <c r="AV31" s="94">
        <f ca="1">ROUND((TblConstr[[#This Row],[Land]]-250 - IF(TblExplore[[#This Row],[Land Bonus]]&lt;&gt;0,20,0))*1.25 + 850 + 0,0)</f>
        <v>600</v>
      </c>
      <c r="AW31" s="94">
        <f ca="1">ROUND((TblConstr[[#This Row],[Land]]-250 - IF(TblExplore[[#This Row],[Land Bonus]]&lt;&gt;0,20,0))*0.285 + 87.5 + 0/4.25,0)</f>
        <v>31</v>
      </c>
      <c r="AX31" s="154"/>
      <c r="AY31" s="188" cm="1">
        <f t="array" aca="1" ref="AY31" ca="1">IF(TblConstr[[#This Row],[Hour]:[Hour]]&gt;12,OFFSET(TblConstr[[#This Row],[Hom]],-12,0),0)+OFFSET(TblConstr[[#This Row],[Tot Hom]],-1,0)-TblConstr[[#This Row],[Dest Hom]]</f>
        <v>0</v>
      </c>
      <c r="AZ31" s="189" cm="1">
        <f t="array" aca="1" ref="AZ31" ca="1">IF(TblConstr[[#This Row],[Hour]:[Hour]]&gt;12,OFFSET(TblConstr[[#This Row],[Alc]],-12,0),0)+OFFSET(TblConstr[[#This Row],[Tot Alc]],-1,0)-TblConstr[[#This Row],[Dest Alc]]</f>
        <v>0</v>
      </c>
      <c r="BA31" s="189" cm="1">
        <f t="array" aca="1" ref="BA31" ca="1">IF(TblConstr[[#This Row],[Hour]:[Hour]]&gt;12,OFFSET(TblConstr[[#This Row],[Far]],-12,0),0)+OFFSET(TblConstr[[#This Row],[Tot Farm]],-1,0)-TblConstr[[#This Row],[Dest Farm]]</f>
        <v>30</v>
      </c>
      <c r="BB31" s="189" cm="1">
        <f t="array" aca="1" ref="BB31" ca="1">IF(TblConstr[[#This Row],[Hour]:[Hour]]&gt;12,OFFSET(TblConstr[[#This Row],[Smi]],-12,0),0)+OFFSET(TblConstr[[#This Row],[Tot Smi]],-1,0)-TblConstr[[#This Row],[Dest Smi]]</f>
        <v>0</v>
      </c>
      <c r="BC31" s="189" cm="1">
        <f t="array" aca="1" ref="BC31" ca="1">IF(TblConstr[[#This Row],[Hour]:[Hour]]&gt;12,OFFSET(TblConstr[[#This Row],[Mas]],-12,0),0)+OFFSET(TblConstr[[#This Row],[Tot Mas]],-1,0)-TblConstr[[#This Row],[Dest Mas]]</f>
        <v>0</v>
      </c>
      <c r="BD31" s="190" cm="1">
        <f t="array" aca="1" ref="BD31" ca="1">IF(TblConstr[[#This Row],[Hour]:[Hour]]&gt;12,OFFSET(TblConstr[[#This Row],[Ly]],-12,0),0)+OFFSET(TblConstr[[#This Row],[Tot Ly]],-1,0)-TblConstr[[#This Row],[Dest Ly]]</f>
        <v>20</v>
      </c>
      <c r="BE31" s="190" cm="1">
        <f t="array" aca="1" ref="BE31" ca="1">IF(TblConstr[[#This Row],[Hour]:[Hour]]&gt;12,OFFSET(TblConstr[[#This Row],[Hav]],-12,0),0)+OFFSET(TblConstr[[#This Row],[Tot Hav]],-1,0)-TblConstr[[#This Row],[Dest Hav]]</f>
        <v>0</v>
      </c>
      <c r="BF31" s="361" cm="1">
        <f t="array" aca="1" ref="BF31" ca="1">IF(TblConstr[[#This Row],[Hour]:[Hour]]&gt;12,OFFSET(TblConstr[[#This Row],[OM]],-12,0),0)+OFFSET(TblConstr[[#This Row],[Tot OM]],-1,0)-TblConstr[[#This Row],[Dest OM]]</f>
        <v>0</v>
      </c>
      <c r="BG31" s="361" cm="1">
        <f t="array" aca="1" ref="BG31" ca="1">IF(TblConstr[[#This Row],[Hour]:[Hour]]&gt;12,OFFSET(TblConstr[[#This Row],[GN]],-12,0),0)+OFFSET(TblConstr[[#This Row],[Tot GN]],-1,0)-TblConstr[[#This Row],[Dest GN]]</f>
        <v>0</v>
      </c>
      <c r="BH31" s="365" cm="1">
        <f t="array" aca="1" ref="BH31" ca="1">IF(TblConstr[[#This Row],[Hour]:[Hour]]&gt;12,OFFSET(TblConstr[[#This Row],[Fac]],-12,0),0)+OFFSET(TblConstr[[#This Row],[Tot Fac]],-1,0)-TblConstr[[#This Row],[Dest Fac]]</f>
        <v>0</v>
      </c>
      <c r="BI31" s="365" cm="1">
        <f t="array" aca="1" ref="BI31" ca="1">IF(TblConstr[[#This Row],[Hour]:[Hour]]&gt;12,OFFSET(TblConstr[[#This Row],[GT]],-12,0),0)+OFFSET(TblConstr[[#This Row],[Tot GT]],-1,0)-TblConstr[[#This Row],[Dest GT]]</f>
        <v>0</v>
      </c>
      <c r="BJ31" s="365" cm="1">
        <f t="array" aca="1" ref="BJ31" ca="1">IF(TblConstr[[#This Row],[Hour]:[Hour]]&gt;12,OFFSET(TblConstr[[#This Row],[Bar]],-12,0),0)+OFFSET(TblConstr[[#This Row],[Tot Bar]],-1,0)-TblConstr[[#This Row],[Dest Bar]]</f>
        <v>0</v>
      </c>
      <c r="BK31" s="365" cm="1">
        <f t="array" aca="1" ref="BK31" ca="1">IF(TblConstr[[#This Row],[Hour]:[Hour]]&gt;12,OFFSET(TblConstr[[#This Row],[Shr]],-12,0),0)+OFFSET(TblConstr[[#This Row],[Tot Shr]],-1,0)-TblConstr[[#This Row],[Dest Shr]]</f>
        <v>0</v>
      </c>
      <c r="BL31" s="369" cm="1">
        <f t="array" aca="1" ref="BL31" ca="1">IF(TblConstr[[#This Row],[Hour]:[Hour]]&gt;12,OFFSET(TblConstr[[#This Row],[Tow]],-12,0),0)+OFFSET(TblConstr[[#This Row],[Tot Tow]],-1,0)-TblConstr[[#This Row],[Dest Tow]]</f>
        <v>0</v>
      </c>
      <c r="BM31" s="369" cm="1">
        <f t="array" aca="1" ref="BM31" ca="1">IF(TblConstr[[#This Row],[Hour]:[Hour]]&gt;12,OFFSET(TblConstr[[#This Row],[Tem]],-12,0),0)+OFFSET(TblConstr[[#This Row],[Tot Tem]],-1,0)-TblConstr[[#This Row],[Dest Tem]]</f>
        <v>0</v>
      </c>
      <c r="BN31" s="369" cm="1">
        <f t="array" aca="1" ref="BN31" ca="1">IF(TblConstr[[#This Row],[Hour]:[Hour]]&gt;12,OFFSET(TblConstr[[#This Row],[WG]],-12,0),0)+OFFSET(TblConstr[[#This Row],[Tot WG]],-1,0)-TblConstr[[#This Row],[Dest WG]]</f>
        <v>0</v>
      </c>
      <c r="BO31" s="191" cm="1">
        <f t="array" aca="1" ref="BO31" ca="1">IF(TblConstr[[#This Row],[Hour]:[Hour]]&gt;12,OFFSET(TblConstr[[#This Row],[DM]],-12,0),0)+OFFSET(TblConstr[[#This Row],[Tot DM]],-1,0)-TblConstr[[#This Row],[Dest DM]]</f>
        <v>0</v>
      </c>
      <c r="BP31" s="191" cm="1">
        <f t="array" aca="1" ref="BP31" ca="1">IF(TblConstr[[#This Row],[Hour]:[Hour]]&gt;12,OFFSET(TblConstr[[#This Row],[Sch]],-12,0),0)+OFFSET(TblConstr[[#This Row],[Tot Sch]],-1,0)-TblConstr[[#This Row],[Dest Sch]]</f>
        <v>0</v>
      </c>
      <c r="BQ31" s="192" cm="1">
        <f t="array" aca="1" ref="BQ31" ca="1">IF(TblConstr[[#This Row],[Hour]:[Hour]]&gt;12,OFFSET(TblConstr[[#This Row],[Doc]],-12,0),0)+OFFSET(TblConstr[[#This Row],[Tot Doc]],-1,0)-TblConstr[[#This Row],[Dest Doc]]</f>
        <v>0</v>
      </c>
      <c r="BR31" s="142"/>
      <c r="BS31" s="154"/>
      <c r="BT31" s="94">
        <f ca="1">TblConstr[[#This Row],[Land]]</f>
        <v>50</v>
      </c>
      <c r="BU31" s="159">
        <f ca="1">TblImps[[#This Row],[Time]]</f>
        <v>46321.124999999935</v>
      </c>
      <c r="BV31" s="142"/>
      <c r="BW31" s="179"/>
      <c r="BX31" s="179"/>
      <c r="BY31" s="179"/>
      <c r="BZ31" s="179"/>
      <c r="CA31" s="179"/>
      <c r="CB31" s="179"/>
      <c r="CC31" s="179"/>
      <c r="CD31" s="179"/>
      <c r="CE31" s="179"/>
      <c r="CF31" s="179"/>
      <c r="CG31" s="179"/>
      <c r="CH31" s="179"/>
      <c r="CI31" s="179"/>
      <c r="CJ31" s="179"/>
      <c r="CK31" s="179"/>
      <c r="CL31" s="179"/>
      <c r="CM31" s="179"/>
      <c r="CN31" s="179"/>
      <c r="CO31" s="179"/>
      <c r="CP31" s="142"/>
      <c r="CQ31" s="181">
        <f ca="1">-SUM(TblConstr[[#This Row],[Alc]:[Mas]])+SUM(TblConstr[[#This Row],[Dest Alc]:[Dest Mas]])+Rezone!L31+IF("Ch_"&amp; home_land=TblConstr[[#Headers],[Ch_Plain]],TblConstr[[#This Row],[Home Land]])+IF(TblConstr[[#This Row],[Hour]:[Hour]]&gt;12,OFFSET(TblExplore[[#This Row],[Plains Explore]],-12,0),0)</f>
        <v>0</v>
      </c>
      <c r="CR31" s="182">
        <f ca="1">-SUM(TblConstr[[#This Row],[Ly]:[Hav]])+SUM(TblConstr[[#This Row],[Dest Ly]:[Dest Hav]]) +Rezone!M31 + IF("Ch_"&amp; home_land=TblConstr[[#Headers],[Ch_Forest]],TblConstr[[#This Row],[Home Land]])+IF(TblConstr[[#This Row],[Hour]:[Hour]]&gt;12,OFFSET(TblExplore[[#This Row],[Forest Explore]],-12,0),0)</f>
        <v>0</v>
      </c>
      <c r="CS31" s="359">
        <f ca="1">-SUM(TblConstr[[#This Row],[OM]:[GN]])+SUM(TblConstr[[#This Row],[Dest OM]:[Dest GN]]) +Rezone!N31 + IF("Ch_"&amp; home_land=TblConstr[[#Headers],[Ch_Mountain]],TblConstr[[#This Row],[Home Land]])+IF(TblConstr[[#This Row],[Hour]:[Hour]]&gt;12,OFFSET(TblExplore[[#This Row],[Mountain Explore]],-12,0),0)</f>
        <v>0</v>
      </c>
      <c r="CT31" s="183">
        <f ca="1">-SUM(TblConstr[[#This Row],[Fac]:[Shr]])+SUM(TblConstr[[#This Row],[Dest Fac]:[Dest Shr]]) +Rezone!O31 + IF("Ch_" &amp; home_land=TblConstr[[#Headers],[Ch_Hill]],TblConstr[[#This Row],[Home Land]])+IF(TblConstr[[#This Row],[Hour]:[Hour]]&gt;12,OFFSET(TblExplore[[#This Row],[Hill Explore]],-12,0),0)</f>
        <v>0</v>
      </c>
      <c r="CU31" s="184">
        <f ca="1">-SUM(TblConstr[[#This Row],[Tow]:[WG]])+SUM(TblConstr[[#This Row],[Dest Tow]:[Dest WG]]) +Rezone!P31 + IF("Ch_" &amp; home_land=TblConstr[[#Headers],[Ch_Swamp]],TblConstr[[#This Row],[Home Land]])+IF(TblConstr[[#This Row],[Hour]:[Hour]]&gt;12,OFFSET(TblExplore[[#This Row],[Swamp Explore]],-12,0),0)</f>
        <v>0</v>
      </c>
      <c r="CV31" s="185">
        <f ca="1" xml:space="preserve"> - SUM(TblConstr[[#This Row],[DM]:[Sch]])+SUM(TblConstr[[#This Row],[Dest DM]:[Dest Sch]]) +Rezone!Q31 + IF("Ch_" &amp; home_land=TblConstr[[#Headers],[Ch_Cavern]],TblConstr[[#This Row],[Home Land]])+IF(TblConstr[[#This Row],[Hour]:[Hour]]&gt;12,OFFSET(TblExplore[[#This Row],[Cavern Explore]],-12,0),0)</f>
        <v>0</v>
      </c>
      <c r="CW31" s="186">
        <f ca="1">-TblConstr[[#This Row],[Doc]]+TblConstr[[#This Row],[Dest Doc]] +Rezone!R31 + IF("Ch_" &amp; home_land=TblConstr[[#Headers],[Ch_Water]],TblConstr[[#This Row],[Home Land]])+IF(TblConstr[[#This Row],[Hour]:[Hour]]&gt;12,OFFSET(TblExplore[[#This Row],[Water Explore]],-12,0),0)</f>
        <v>0</v>
      </c>
      <c r="CX31" s="45">
        <f>IF(Explore!S31=1,20) - TblConstr[[#This Row],[Hom]] + TblConstr[[#This Row],[Dest Hom]]</f>
        <v>0</v>
      </c>
      <c r="CY31" s="142"/>
      <c r="CZ31" s="94">
        <f t="shared" ca="1" si="3"/>
        <v>30</v>
      </c>
      <c r="DA31" s="94">
        <f t="shared" ca="1" si="4"/>
        <v>20</v>
      </c>
      <c r="DB31" s="45">
        <f t="shared" ca="1" si="5"/>
        <v>0</v>
      </c>
      <c r="DC31" s="94">
        <f t="shared" ca="1" si="6"/>
        <v>0</v>
      </c>
      <c r="DD31" s="94">
        <f t="shared" ca="1" si="7"/>
        <v>0</v>
      </c>
      <c r="DE31" s="45">
        <f t="shared" ca="1" si="8"/>
        <v>0</v>
      </c>
      <c r="DF31" s="94">
        <f t="shared" ca="1" si="9"/>
        <v>0</v>
      </c>
      <c r="DG31" s="94" cm="1">
        <f t="array" aca="1" ref="DG31" ca="1">INDEX(TblConstr[[Total Plain]:[Total Water]],ROW()-ROW(TblConstr[#Headers]),MATCH("Total "&amp;home_land,TblConstr[[#Headers],[Total Plain]:[Total Water]],0))+TblConstr[[#This Row],[Homes]]</f>
        <v>30</v>
      </c>
      <c r="DH31" s="45">
        <f t="shared" ca="1" si="10"/>
        <v>0</v>
      </c>
      <c r="DI31" s="45">
        <f t="shared" ca="1" si="0"/>
        <v>0</v>
      </c>
      <c r="DJ31" s="45">
        <f t="shared" ca="1" si="1"/>
        <v>0</v>
      </c>
    </row>
    <row r="32" spans="1:114" x14ac:dyDescent="0.2">
      <c r="A32" s="175">
        <f>TblRezone[[#This Row],[Hour]]</f>
        <v>29</v>
      </c>
      <c r="B32" s="176">
        <f ca="1">SUM(TblConstr[[#This Row],[Plain]:[Water]])</f>
        <v>0</v>
      </c>
      <c r="C32" s="177">
        <f ca="1">SUM(TblConstr[[#This Row],[Tot Hom]:[Tot Doc]])</f>
        <v>50</v>
      </c>
      <c r="D32" s="177">
        <f t="shared" si="2"/>
        <v>0</v>
      </c>
      <c r="E32" s="178"/>
      <c r="F32" s="61">
        <f ca="1">TblConstr[[#This Row],[Barren]]+TblConstr[[#This Row],[Buildings]]+TblConstr[[#This Row],[Incoming]]</f>
        <v>50</v>
      </c>
      <c r="G32" s="187">
        <f ca="1">OFFSET(TblConstr[[#This Row],[Plain]],-1,0)+TblConstr[[#This Row],[Ch_Plain]]</f>
        <v>0</v>
      </c>
      <c r="H32" s="182">
        <f ca="1">OFFSET(TblConstr[[#This Row],[Forest]],-1,0)+TblConstr[[#This Row],[Ch_Forest]]</f>
        <v>0</v>
      </c>
      <c r="I32" s="359">
        <f ca="1">OFFSET(TblConstr[[#This Row],[Mountain]],-1,0)+TblConstr[[#This Row],[Ch_Mountain]]</f>
        <v>0</v>
      </c>
      <c r="J32" s="363">
        <f ca="1">OFFSET(TblConstr[[#This Row],[Hill]],-1,0)+TblConstr[[#This Row],[Ch_Hill]]</f>
        <v>0</v>
      </c>
      <c r="K32" s="367">
        <f ca="1">OFFSET(TblConstr[[#This Row],[Swamp]],-1,0)+TblConstr[[#This Row],[Ch_Swamp]]</f>
        <v>0</v>
      </c>
      <c r="L32" s="185">
        <f ca="1">OFFSET(TblConstr[[#This Row],[Cavern]],-1,0)+TblConstr[[#This Row],[Ch_Cavern]]</f>
        <v>0</v>
      </c>
      <c r="M32" s="186">
        <f ca="1">OFFSET(TblConstr[[#This Row],[Water]],-1,0)+TblConstr[[#This Row],[Ch_Water]]</f>
        <v>0</v>
      </c>
      <c r="N32" s="357">
        <f>TblRezone[[#This Row],[Hour]]</f>
        <v>29</v>
      </c>
      <c r="O32" s="179"/>
      <c r="P32" s="158"/>
      <c r="Q32" s="179"/>
      <c r="R32" s="179"/>
      <c r="S32" s="179"/>
      <c r="T32" s="179"/>
      <c r="U32" s="179"/>
      <c r="V32" s="179"/>
      <c r="W32" s="179"/>
      <c r="X32" s="179"/>
      <c r="Y32" s="179"/>
      <c r="Z32" s="179"/>
      <c r="AA32" s="179"/>
      <c r="AB32" s="179"/>
      <c r="AC32" s="179"/>
      <c r="AD32" s="179"/>
      <c r="AE32" s="179"/>
      <c r="AF32" s="179"/>
      <c r="AG32" s="179"/>
      <c r="AH32" s="53">
        <f ca="1">TblImps[[#This Row],[Time]]</f>
        <v>46321.166666666599</v>
      </c>
      <c r="AI32" s="180">
        <f ca="1">MIN(25%,(TblConstr[[#This Row],[Tot Fac]]+TblConstr[[#This Row],[Dest Fac]])/(TblConstr[[#This Row],[Land]]-TblExplore[[#This Row],[Land Bonus]]*20))</f>
        <v>0</v>
      </c>
      <c r="AJ32" s="180">
        <f ca="1">MIN(25%,(TblConstr[[#This Row],[Tot Fac]]+TblConstr[[#This Row],[Dest Fac]])/TblConstr[[#This Row],[Land]])</f>
        <v>0</v>
      </c>
      <c r="AK32" s="94">
        <f ca="1">TblProd[[#This Row],[Platinum]]</f>
        <v>151084</v>
      </c>
      <c r="AL32" s="94">
        <f ca="1">TblProd[[#This Row],[Lumber]]</f>
        <v>35848</v>
      </c>
      <c r="AM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2" s="94">
        <f ca="1">ROUNDDOWN( MAX(1 - MIN(facs_constr_factor*TblConstr[[#This Row],[Facs -DB]],facs_constr_max) + tech_1_11*TblTech[[#This Row],[11-1]] + tech_6_3_2*TblTech[[#This Row],[6-3]] + tech_5_2_3*TblTech[[#This Row],[5-2]], 1-global_constr_cap) * TblConstr[[#This Row],[RCPA Lumber]],0)</f>
        <v>31</v>
      </c>
      <c r="AO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2" s="94">
        <f ca="1">ROUNDDOWN( MAX(1 - MIN(facs_constr_factor*TblConstr[[#This Row],[Facs DB]],facs_constr_max) + tech_1_11*TblTech[[#This Row],[1-11]] + tech_6_3_2*TblTech[[#This Row],[6-3]] + tech_5_2_3*TblTech[[#This Row],[5-2]], 1-global_constr_cap) * ROUND((TblConstr[[#This Row],[Land]]-250)*0.285 + 87.5 + 0/4.25,0),0)</f>
        <v>31</v>
      </c>
      <c r="AQ32" s="45">
        <f ca="1">TblConstr[[#This Row],[build -db]]*TblConstr[[#This Row],[CPA Platinum -DB]] + TblConstr[[#This Row],[build db]]*TblConstr[[#This Row],[CPA Platinum DB]]</f>
        <v>0</v>
      </c>
      <c r="AR32" s="45">
        <f ca="1">TblConstr[[#This Row],[build -db]]*TblConstr[[#This Row],[CPA Lumber -DB]] + TblConstr[[#This Row],[build db]]*TblConstr[[#This Row],[CPA Lumber DB]]</f>
        <v>0</v>
      </c>
      <c r="AS32" s="94">
        <f ca="1">MIN(SUM(OFFSET(TblConstr[[#This Row],[Plain]:[Water]],-1,0))+SUM(TblConstr[[#This Row],[Dest Hom]:[Dest Doc]])+IF(TblConstr[[#This Row],[Hour]]&gt;12,SUM(OFFSET(TblExplore[[#This Row],[Plains Explore]:[Water Explore]],-12,0)),0),SUM(TblConstr[[#This Row],[Hom]:[Doc]]))</f>
        <v>0</v>
      </c>
      <c r="AT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42"/>
      <c r="AV32" s="94">
        <f ca="1">ROUND((TblConstr[[#This Row],[Land]]-250 - IF(TblExplore[[#This Row],[Land Bonus]]&lt;&gt;0,20,0))*1.25 + 850 + 0,0)</f>
        <v>600</v>
      </c>
      <c r="AW32" s="94">
        <f ca="1">ROUND((TblConstr[[#This Row],[Land]]-250 - IF(TblExplore[[#This Row],[Land Bonus]]&lt;&gt;0,20,0))*0.285 + 87.5 + 0/4.25,0)</f>
        <v>31</v>
      </c>
      <c r="AX32" s="154"/>
      <c r="AY32" s="188" cm="1">
        <f t="array" aca="1" ref="AY32" ca="1">IF(TblConstr[[#This Row],[Hour]:[Hour]]&gt;12,OFFSET(TblConstr[[#This Row],[Hom]],-12,0),0)+OFFSET(TblConstr[[#This Row],[Tot Hom]],-1,0)-TblConstr[[#This Row],[Dest Hom]]</f>
        <v>0</v>
      </c>
      <c r="AZ32" s="189" cm="1">
        <f t="array" aca="1" ref="AZ32" ca="1">IF(TblConstr[[#This Row],[Hour]:[Hour]]&gt;12,OFFSET(TblConstr[[#This Row],[Alc]],-12,0),0)+OFFSET(TblConstr[[#This Row],[Tot Alc]],-1,0)-TblConstr[[#This Row],[Dest Alc]]</f>
        <v>0</v>
      </c>
      <c r="BA32" s="189" cm="1">
        <f t="array" aca="1" ref="BA32" ca="1">IF(TblConstr[[#This Row],[Hour]:[Hour]]&gt;12,OFFSET(TblConstr[[#This Row],[Far]],-12,0),0)+OFFSET(TblConstr[[#This Row],[Tot Farm]],-1,0)-TblConstr[[#This Row],[Dest Farm]]</f>
        <v>30</v>
      </c>
      <c r="BB32" s="189" cm="1">
        <f t="array" aca="1" ref="BB32" ca="1">IF(TblConstr[[#This Row],[Hour]:[Hour]]&gt;12,OFFSET(TblConstr[[#This Row],[Smi]],-12,0),0)+OFFSET(TblConstr[[#This Row],[Tot Smi]],-1,0)-TblConstr[[#This Row],[Dest Smi]]</f>
        <v>0</v>
      </c>
      <c r="BC32" s="189" cm="1">
        <f t="array" aca="1" ref="BC32" ca="1">IF(TblConstr[[#This Row],[Hour]:[Hour]]&gt;12,OFFSET(TblConstr[[#This Row],[Mas]],-12,0),0)+OFFSET(TblConstr[[#This Row],[Tot Mas]],-1,0)-TblConstr[[#This Row],[Dest Mas]]</f>
        <v>0</v>
      </c>
      <c r="BD32" s="190" cm="1">
        <f t="array" aca="1" ref="BD32" ca="1">IF(TblConstr[[#This Row],[Hour]:[Hour]]&gt;12,OFFSET(TblConstr[[#This Row],[Ly]],-12,0),0)+OFFSET(TblConstr[[#This Row],[Tot Ly]],-1,0)-TblConstr[[#This Row],[Dest Ly]]</f>
        <v>20</v>
      </c>
      <c r="BE32" s="190" cm="1">
        <f t="array" aca="1" ref="BE32" ca="1">IF(TblConstr[[#This Row],[Hour]:[Hour]]&gt;12,OFFSET(TblConstr[[#This Row],[Hav]],-12,0),0)+OFFSET(TblConstr[[#This Row],[Tot Hav]],-1,0)-TblConstr[[#This Row],[Dest Hav]]</f>
        <v>0</v>
      </c>
      <c r="BF32" s="361" cm="1">
        <f t="array" aca="1" ref="BF32" ca="1">IF(TblConstr[[#This Row],[Hour]:[Hour]]&gt;12,OFFSET(TblConstr[[#This Row],[OM]],-12,0),0)+OFFSET(TblConstr[[#This Row],[Tot OM]],-1,0)-TblConstr[[#This Row],[Dest OM]]</f>
        <v>0</v>
      </c>
      <c r="BG32" s="361" cm="1">
        <f t="array" aca="1" ref="BG32" ca="1">IF(TblConstr[[#This Row],[Hour]:[Hour]]&gt;12,OFFSET(TblConstr[[#This Row],[GN]],-12,0),0)+OFFSET(TblConstr[[#This Row],[Tot GN]],-1,0)-TblConstr[[#This Row],[Dest GN]]</f>
        <v>0</v>
      </c>
      <c r="BH32" s="365" cm="1">
        <f t="array" aca="1" ref="BH32" ca="1">IF(TblConstr[[#This Row],[Hour]:[Hour]]&gt;12,OFFSET(TblConstr[[#This Row],[Fac]],-12,0),0)+OFFSET(TblConstr[[#This Row],[Tot Fac]],-1,0)-TblConstr[[#This Row],[Dest Fac]]</f>
        <v>0</v>
      </c>
      <c r="BI32" s="365" cm="1">
        <f t="array" aca="1" ref="BI32" ca="1">IF(TblConstr[[#This Row],[Hour]:[Hour]]&gt;12,OFFSET(TblConstr[[#This Row],[GT]],-12,0),0)+OFFSET(TblConstr[[#This Row],[Tot GT]],-1,0)-TblConstr[[#This Row],[Dest GT]]</f>
        <v>0</v>
      </c>
      <c r="BJ32" s="365" cm="1">
        <f t="array" aca="1" ref="BJ32" ca="1">IF(TblConstr[[#This Row],[Hour]:[Hour]]&gt;12,OFFSET(TblConstr[[#This Row],[Bar]],-12,0),0)+OFFSET(TblConstr[[#This Row],[Tot Bar]],-1,0)-TblConstr[[#This Row],[Dest Bar]]</f>
        <v>0</v>
      </c>
      <c r="BK32" s="365" cm="1">
        <f t="array" aca="1" ref="BK32" ca="1">IF(TblConstr[[#This Row],[Hour]:[Hour]]&gt;12,OFFSET(TblConstr[[#This Row],[Shr]],-12,0),0)+OFFSET(TblConstr[[#This Row],[Tot Shr]],-1,0)-TblConstr[[#This Row],[Dest Shr]]</f>
        <v>0</v>
      </c>
      <c r="BL32" s="369" cm="1">
        <f t="array" aca="1" ref="BL32" ca="1">IF(TblConstr[[#This Row],[Hour]:[Hour]]&gt;12,OFFSET(TblConstr[[#This Row],[Tow]],-12,0),0)+OFFSET(TblConstr[[#This Row],[Tot Tow]],-1,0)-TblConstr[[#This Row],[Dest Tow]]</f>
        <v>0</v>
      </c>
      <c r="BM32" s="369" cm="1">
        <f t="array" aca="1" ref="BM32" ca="1">IF(TblConstr[[#This Row],[Hour]:[Hour]]&gt;12,OFFSET(TblConstr[[#This Row],[Tem]],-12,0),0)+OFFSET(TblConstr[[#This Row],[Tot Tem]],-1,0)-TblConstr[[#This Row],[Dest Tem]]</f>
        <v>0</v>
      </c>
      <c r="BN32" s="369" cm="1">
        <f t="array" aca="1" ref="BN32" ca="1">IF(TblConstr[[#This Row],[Hour]:[Hour]]&gt;12,OFFSET(TblConstr[[#This Row],[WG]],-12,0),0)+OFFSET(TblConstr[[#This Row],[Tot WG]],-1,0)-TblConstr[[#This Row],[Dest WG]]</f>
        <v>0</v>
      </c>
      <c r="BO32" s="191" cm="1">
        <f t="array" aca="1" ref="BO32" ca="1">IF(TblConstr[[#This Row],[Hour]:[Hour]]&gt;12,OFFSET(TblConstr[[#This Row],[DM]],-12,0),0)+OFFSET(TblConstr[[#This Row],[Tot DM]],-1,0)-TblConstr[[#This Row],[Dest DM]]</f>
        <v>0</v>
      </c>
      <c r="BP32" s="191" cm="1">
        <f t="array" aca="1" ref="BP32" ca="1">IF(TblConstr[[#This Row],[Hour]:[Hour]]&gt;12,OFFSET(TblConstr[[#This Row],[Sch]],-12,0),0)+OFFSET(TblConstr[[#This Row],[Tot Sch]],-1,0)-TblConstr[[#This Row],[Dest Sch]]</f>
        <v>0</v>
      </c>
      <c r="BQ32" s="192" cm="1">
        <f t="array" aca="1" ref="BQ32" ca="1">IF(TblConstr[[#This Row],[Hour]:[Hour]]&gt;12,OFFSET(TblConstr[[#This Row],[Doc]],-12,0),0)+OFFSET(TblConstr[[#This Row],[Tot Doc]],-1,0)-TblConstr[[#This Row],[Dest Doc]]</f>
        <v>0</v>
      </c>
      <c r="BR32" s="142"/>
      <c r="BS32" s="154"/>
      <c r="BT32" s="94">
        <f ca="1">TblConstr[[#This Row],[Land]]</f>
        <v>50</v>
      </c>
      <c r="BU32" s="159">
        <f ca="1">TblImps[[#This Row],[Time]]</f>
        <v>46321.166666666599</v>
      </c>
      <c r="BV32" s="142"/>
      <c r="BW32" s="179"/>
      <c r="BX32" s="179"/>
      <c r="BY32" s="179"/>
      <c r="BZ32" s="179"/>
      <c r="CA32" s="179"/>
      <c r="CB32" s="179"/>
      <c r="CC32" s="179"/>
      <c r="CD32" s="179"/>
      <c r="CE32" s="179"/>
      <c r="CF32" s="179"/>
      <c r="CG32" s="179"/>
      <c r="CH32" s="179"/>
      <c r="CI32" s="179"/>
      <c r="CJ32" s="179"/>
      <c r="CK32" s="179"/>
      <c r="CL32" s="179"/>
      <c r="CM32" s="179"/>
      <c r="CN32" s="179"/>
      <c r="CO32" s="179"/>
      <c r="CP32" s="142"/>
      <c r="CQ32" s="181">
        <f ca="1">-SUM(TblConstr[[#This Row],[Alc]:[Mas]])+SUM(TblConstr[[#This Row],[Dest Alc]:[Dest Mas]])+Rezone!L32+IF("Ch_"&amp; home_land=TblConstr[[#Headers],[Ch_Plain]],TblConstr[[#This Row],[Home Land]])+IF(TblConstr[[#This Row],[Hour]:[Hour]]&gt;12,OFFSET(TblExplore[[#This Row],[Plains Explore]],-12,0),0)</f>
        <v>0</v>
      </c>
      <c r="CR32" s="182">
        <f ca="1">-SUM(TblConstr[[#This Row],[Ly]:[Hav]])+SUM(TblConstr[[#This Row],[Dest Ly]:[Dest Hav]]) +Rezone!M32 + IF("Ch_"&amp; home_land=TblConstr[[#Headers],[Ch_Forest]],TblConstr[[#This Row],[Home Land]])+IF(TblConstr[[#This Row],[Hour]:[Hour]]&gt;12,OFFSET(TblExplore[[#This Row],[Forest Explore]],-12,0),0)</f>
        <v>0</v>
      </c>
      <c r="CS32" s="359">
        <f ca="1">-SUM(TblConstr[[#This Row],[OM]:[GN]])+SUM(TblConstr[[#This Row],[Dest OM]:[Dest GN]]) +Rezone!N32 + IF("Ch_"&amp; home_land=TblConstr[[#Headers],[Ch_Mountain]],TblConstr[[#This Row],[Home Land]])+IF(TblConstr[[#This Row],[Hour]:[Hour]]&gt;12,OFFSET(TblExplore[[#This Row],[Mountain Explore]],-12,0),0)</f>
        <v>0</v>
      </c>
      <c r="CT32" s="183">
        <f ca="1">-SUM(TblConstr[[#This Row],[Fac]:[Shr]])+SUM(TblConstr[[#This Row],[Dest Fac]:[Dest Shr]]) +Rezone!O32 + IF("Ch_" &amp; home_land=TblConstr[[#Headers],[Ch_Hill]],TblConstr[[#This Row],[Home Land]])+IF(TblConstr[[#This Row],[Hour]:[Hour]]&gt;12,OFFSET(TblExplore[[#This Row],[Hill Explore]],-12,0),0)</f>
        <v>0</v>
      </c>
      <c r="CU32" s="184">
        <f ca="1">-SUM(TblConstr[[#This Row],[Tow]:[WG]])+SUM(TblConstr[[#This Row],[Dest Tow]:[Dest WG]]) +Rezone!P32 + IF("Ch_" &amp; home_land=TblConstr[[#Headers],[Ch_Swamp]],TblConstr[[#This Row],[Home Land]])+IF(TblConstr[[#This Row],[Hour]:[Hour]]&gt;12,OFFSET(TblExplore[[#This Row],[Swamp Explore]],-12,0),0)</f>
        <v>0</v>
      </c>
      <c r="CV32" s="185">
        <f ca="1" xml:space="preserve"> - SUM(TblConstr[[#This Row],[DM]:[Sch]])+SUM(TblConstr[[#This Row],[Dest DM]:[Dest Sch]]) +Rezone!Q32 + IF("Ch_" &amp; home_land=TblConstr[[#Headers],[Ch_Cavern]],TblConstr[[#This Row],[Home Land]])+IF(TblConstr[[#This Row],[Hour]:[Hour]]&gt;12,OFFSET(TblExplore[[#This Row],[Cavern Explore]],-12,0),0)</f>
        <v>0</v>
      </c>
      <c r="CW32" s="186">
        <f ca="1">-TblConstr[[#This Row],[Doc]]+TblConstr[[#This Row],[Dest Doc]] +Rezone!R32 + IF("Ch_" &amp; home_land=TblConstr[[#Headers],[Ch_Water]],TblConstr[[#This Row],[Home Land]])+IF(TblConstr[[#This Row],[Hour]:[Hour]]&gt;12,OFFSET(TblExplore[[#This Row],[Water Explore]],-12,0),0)</f>
        <v>0</v>
      </c>
      <c r="CX32" s="45">
        <f>IF(Explore!S32=1,20) - TblConstr[[#This Row],[Hom]] + TblConstr[[#This Row],[Dest Hom]]</f>
        <v>0</v>
      </c>
      <c r="CY32" s="142"/>
      <c r="CZ32" s="94">
        <f t="shared" ca="1" si="3"/>
        <v>30</v>
      </c>
      <c r="DA32" s="94">
        <f t="shared" ca="1" si="4"/>
        <v>20</v>
      </c>
      <c r="DB32" s="45">
        <f t="shared" ca="1" si="5"/>
        <v>0</v>
      </c>
      <c r="DC32" s="94">
        <f t="shared" ca="1" si="6"/>
        <v>0</v>
      </c>
      <c r="DD32" s="94">
        <f t="shared" ca="1" si="7"/>
        <v>0</v>
      </c>
      <c r="DE32" s="45">
        <f t="shared" ca="1" si="8"/>
        <v>0</v>
      </c>
      <c r="DF32" s="94">
        <f t="shared" ca="1" si="9"/>
        <v>0</v>
      </c>
      <c r="DG32" s="94" cm="1">
        <f t="array" aca="1" ref="DG32" ca="1">INDEX(TblConstr[[Total Plain]:[Total Water]],ROW()-ROW(TblConstr[#Headers]),MATCH("Total "&amp;home_land,TblConstr[[#Headers],[Total Plain]:[Total Water]],0))+TblConstr[[#This Row],[Homes]]</f>
        <v>30</v>
      </c>
      <c r="DH32" s="45">
        <f t="shared" ca="1" si="10"/>
        <v>0</v>
      </c>
      <c r="DI32" s="45">
        <f t="shared" ca="1" si="0"/>
        <v>0</v>
      </c>
      <c r="DJ32" s="45">
        <f t="shared" ca="1" si="1"/>
        <v>0</v>
      </c>
    </row>
    <row r="33" spans="1:114" x14ac:dyDescent="0.2">
      <c r="A33" s="175">
        <f>TblRezone[[#This Row],[Hour]]</f>
        <v>30</v>
      </c>
      <c r="B33" s="176">
        <f ca="1">SUM(TblConstr[[#This Row],[Plain]:[Water]])</f>
        <v>0</v>
      </c>
      <c r="C33" s="177">
        <f ca="1">SUM(TblConstr[[#This Row],[Tot Hom]:[Tot Doc]])</f>
        <v>50</v>
      </c>
      <c r="D33" s="177">
        <f t="shared" si="2"/>
        <v>0</v>
      </c>
      <c r="E33" s="178"/>
      <c r="F33" s="61">
        <f ca="1">TblConstr[[#This Row],[Barren]]+TblConstr[[#This Row],[Buildings]]+TblConstr[[#This Row],[Incoming]]</f>
        <v>50</v>
      </c>
      <c r="G33" s="187">
        <f ca="1">OFFSET(TblConstr[[#This Row],[Plain]],-1,0)+TblConstr[[#This Row],[Ch_Plain]]</f>
        <v>0</v>
      </c>
      <c r="H33" s="182">
        <f ca="1">OFFSET(TblConstr[[#This Row],[Forest]],-1,0)+TblConstr[[#This Row],[Ch_Forest]]</f>
        <v>0</v>
      </c>
      <c r="I33" s="359">
        <f ca="1">OFFSET(TblConstr[[#This Row],[Mountain]],-1,0)+TblConstr[[#This Row],[Ch_Mountain]]</f>
        <v>0</v>
      </c>
      <c r="J33" s="363">
        <f ca="1">OFFSET(TblConstr[[#This Row],[Hill]],-1,0)+TblConstr[[#This Row],[Ch_Hill]]</f>
        <v>0</v>
      </c>
      <c r="K33" s="367">
        <f ca="1">OFFSET(TblConstr[[#This Row],[Swamp]],-1,0)+TblConstr[[#This Row],[Ch_Swamp]]</f>
        <v>0</v>
      </c>
      <c r="L33" s="185">
        <f ca="1">OFFSET(TblConstr[[#This Row],[Cavern]],-1,0)+TblConstr[[#This Row],[Ch_Cavern]]</f>
        <v>0</v>
      </c>
      <c r="M33" s="186">
        <f ca="1">OFFSET(TblConstr[[#This Row],[Water]],-1,0)+TblConstr[[#This Row],[Ch_Water]]</f>
        <v>0</v>
      </c>
      <c r="N33" s="357">
        <f>TblRezone[[#This Row],[Hour]]</f>
        <v>30</v>
      </c>
      <c r="O33" s="179"/>
      <c r="P33" s="158"/>
      <c r="Q33" s="179"/>
      <c r="R33" s="179"/>
      <c r="S33" s="179"/>
      <c r="T33" s="179"/>
      <c r="U33" s="179"/>
      <c r="V33" s="179"/>
      <c r="W33" s="179"/>
      <c r="X33" s="179"/>
      <c r="Y33" s="179"/>
      <c r="Z33" s="179"/>
      <c r="AA33" s="179"/>
      <c r="AB33" s="179"/>
      <c r="AC33" s="179"/>
      <c r="AD33" s="179"/>
      <c r="AE33" s="179"/>
      <c r="AF33" s="179"/>
      <c r="AG33" s="179"/>
      <c r="AH33" s="53">
        <f ca="1">TblImps[[#This Row],[Time]]</f>
        <v>46321.208333333263</v>
      </c>
      <c r="AI33" s="180">
        <f ca="1">MIN(25%,(TblConstr[[#This Row],[Tot Fac]]+TblConstr[[#This Row],[Dest Fac]])/(TblConstr[[#This Row],[Land]]-TblExplore[[#This Row],[Land Bonus]]*20))</f>
        <v>0</v>
      </c>
      <c r="AJ33" s="180">
        <f ca="1">MIN(25%,(TblConstr[[#This Row],[Tot Fac]]+TblConstr[[#This Row],[Dest Fac]])/TblConstr[[#This Row],[Land]])</f>
        <v>0</v>
      </c>
      <c r="AK33" s="94">
        <f ca="1">TblProd[[#This Row],[Platinum]]</f>
        <v>152037</v>
      </c>
      <c r="AL33" s="94">
        <f ca="1">TblProd[[#This Row],[Lumber]]</f>
        <v>36490</v>
      </c>
      <c r="AM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3" s="94">
        <f ca="1">ROUNDDOWN( MAX(1 - MIN(facs_constr_factor*TblConstr[[#This Row],[Facs -DB]],facs_constr_max) + tech_1_11*TblTech[[#This Row],[11-1]] + tech_6_3_2*TblTech[[#This Row],[6-3]] + tech_5_2_3*TblTech[[#This Row],[5-2]], 1-global_constr_cap) * TblConstr[[#This Row],[RCPA Lumber]],0)</f>
        <v>31</v>
      </c>
      <c r="AO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3" s="94">
        <f ca="1">ROUNDDOWN( MAX(1 - MIN(facs_constr_factor*TblConstr[[#This Row],[Facs DB]],facs_constr_max) + tech_1_11*TblTech[[#This Row],[1-11]] + tech_6_3_2*TblTech[[#This Row],[6-3]] + tech_5_2_3*TblTech[[#This Row],[5-2]], 1-global_constr_cap) * ROUND((TblConstr[[#This Row],[Land]]-250)*0.285 + 87.5 + 0/4.25,0),0)</f>
        <v>31</v>
      </c>
      <c r="AQ33" s="45">
        <f ca="1">TblConstr[[#This Row],[build -db]]*TblConstr[[#This Row],[CPA Platinum -DB]] + TblConstr[[#This Row],[build db]]*TblConstr[[#This Row],[CPA Platinum DB]]</f>
        <v>0</v>
      </c>
      <c r="AR33" s="45">
        <f ca="1">TblConstr[[#This Row],[build -db]]*TblConstr[[#This Row],[CPA Lumber -DB]] + TblConstr[[#This Row],[build db]]*TblConstr[[#This Row],[CPA Lumber DB]]</f>
        <v>0</v>
      </c>
      <c r="AS33" s="94">
        <f ca="1">MIN(SUM(OFFSET(TblConstr[[#This Row],[Plain]:[Water]],-1,0))+SUM(TblConstr[[#This Row],[Dest Hom]:[Dest Doc]])+IF(TblConstr[[#This Row],[Hour]]&gt;12,SUM(OFFSET(TblExplore[[#This Row],[Plains Explore]:[Water Explore]],-12,0)),0),SUM(TblConstr[[#This Row],[Hom]:[Doc]]))</f>
        <v>0</v>
      </c>
      <c r="AT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42"/>
      <c r="AV33" s="94">
        <f ca="1">ROUND((TblConstr[[#This Row],[Land]]-250 - IF(TblExplore[[#This Row],[Land Bonus]]&lt;&gt;0,20,0))*1.25 + 850 + 0,0)</f>
        <v>600</v>
      </c>
      <c r="AW33" s="94">
        <f ca="1">ROUND((TblConstr[[#This Row],[Land]]-250 - IF(TblExplore[[#This Row],[Land Bonus]]&lt;&gt;0,20,0))*0.285 + 87.5 + 0/4.25,0)</f>
        <v>31</v>
      </c>
      <c r="AX33" s="154"/>
      <c r="AY33" s="188" cm="1">
        <f t="array" aca="1" ref="AY33" ca="1">IF(TblConstr[[#This Row],[Hour]:[Hour]]&gt;12,OFFSET(TblConstr[[#This Row],[Hom]],-12,0),0)+OFFSET(TblConstr[[#This Row],[Tot Hom]],-1,0)-TblConstr[[#This Row],[Dest Hom]]</f>
        <v>0</v>
      </c>
      <c r="AZ33" s="189" cm="1">
        <f t="array" aca="1" ref="AZ33" ca="1">IF(TblConstr[[#This Row],[Hour]:[Hour]]&gt;12,OFFSET(TblConstr[[#This Row],[Alc]],-12,0),0)+OFFSET(TblConstr[[#This Row],[Tot Alc]],-1,0)-TblConstr[[#This Row],[Dest Alc]]</f>
        <v>0</v>
      </c>
      <c r="BA33" s="189" cm="1">
        <f t="array" aca="1" ref="BA33" ca="1">IF(TblConstr[[#This Row],[Hour]:[Hour]]&gt;12,OFFSET(TblConstr[[#This Row],[Far]],-12,0),0)+OFFSET(TblConstr[[#This Row],[Tot Farm]],-1,0)-TblConstr[[#This Row],[Dest Farm]]</f>
        <v>30</v>
      </c>
      <c r="BB33" s="189" cm="1">
        <f t="array" aca="1" ref="BB33" ca="1">IF(TblConstr[[#This Row],[Hour]:[Hour]]&gt;12,OFFSET(TblConstr[[#This Row],[Smi]],-12,0),0)+OFFSET(TblConstr[[#This Row],[Tot Smi]],-1,0)-TblConstr[[#This Row],[Dest Smi]]</f>
        <v>0</v>
      </c>
      <c r="BC33" s="189" cm="1">
        <f t="array" aca="1" ref="BC33" ca="1">IF(TblConstr[[#This Row],[Hour]:[Hour]]&gt;12,OFFSET(TblConstr[[#This Row],[Mas]],-12,0),0)+OFFSET(TblConstr[[#This Row],[Tot Mas]],-1,0)-TblConstr[[#This Row],[Dest Mas]]</f>
        <v>0</v>
      </c>
      <c r="BD33" s="190" cm="1">
        <f t="array" aca="1" ref="BD33" ca="1">IF(TblConstr[[#This Row],[Hour]:[Hour]]&gt;12,OFFSET(TblConstr[[#This Row],[Ly]],-12,0),0)+OFFSET(TblConstr[[#This Row],[Tot Ly]],-1,0)-TblConstr[[#This Row],[Dest Ly]]</f>
        <v>20</v>
      </c>
      <c r="BE33" s="190" cm="1">
        <f t="array" aca="1" ref="BE33" ca="1">IF(TblConstr[[#This Row],[Hour]:[Hour]]&gt;12,OFFSET(TblConstr[[#This Row],[Hav]],-12,0),0)+OFFSET(TblConstr[[#This Row],[Tot Hav]],-1,0)-TblConstr[[#This Row],[Dest Hav]]</f>
        <v>0</v>
      </c>
      <c r="BF33" s="361" cm="1">
        <f t="array" aca="1" ref="BF33" ca="1">IF(TblConstr[[#This Row],[Hour]:[Hour]]&gt;12,OFFSET(TblConstr[[#This Row],[OM]],-12,0),0)+OFFSET(TblConstr[[#This Row],[Tot OM]],-1,0)-TblConstr[[#This Row],[Dest OM]]</f>
        <v>0</v>
      </c>
      <c r="BG33" s="361" cm="1">
        <f t="array" aca="1" ref="BG33" ca="1">IF(TblConstr[[#This Row],[Hour]:[Hour]]&gt;12,OFFSET(TblConstr[[#This Row],[GN]],-12,0),0)+OFFSET(TblConstr[[#This Row],[Tot GN]],-1,0)-TblConstr[[#This Row],[Dest GN]]</f>
        <v>0</v>
      </c>
      <c r="BH33" s="365" cm="1">
        <f t="array" aca="1" ref="BH33" ca="1">IF(TblConstr[[#This Row],[Hour]:[Hour]]&gt;12,OFFSET(TblConstr[[#This Row],[Fac]],-12,0),0)+OFFSET(TblConstr[[#This Row],[Tot Fac]],-1,0)-TblConstr[[#This Row],[Dest Fac]]</f>
        <v>0</v>
      </c>
      <c r="BI33" s="365" cm="1">
        <f t="array" aca="1" ref="BI33" ca="1">IF(TblConstr[[#This Row],[Hour]:[Hour]]&gt;12,OFFSET(TblConstr[[#This Row],[GT]],-12,0),0)+OFFSET(TblConstr[[#This Row],[Tot GT]],-1,0)-TblConstr[[#This Row],[Dest GT]]</f>
        <v>0</v>
      </c>
      <c r="BJ33" s="365" cm="1">
        <f t="array" aca="1" ref="BJ33" ca="1">IF(TblConstr[[#This Row],[Hour]:[Hour]]&gt;12,OFFSET(TblConstr[[#This Row],[Bar]],-12,0),0)+OFFSET(TblConstr[[#This Row],[Tot Bar]],-1,0)-TblConstr[[#This Row],[Dest Bar]]</f>
        <v>0</v>
      </c>
      <c r="BK33" s="365" cm="1">
        <f t="array" aca="1" ref="BK33" ca="1">IF(TblConstr[[#This Row],[Hour]:[Hour]]&gt;12,OFFSET(TblConstr[[#This Row],[Shr]],-12,0),0)+OFFSET(TblConstr[[#This Row],[Tot Shr]],-1,0)-TblConstr[[#This Row],[Dest Shr]]</f>
        <v>0</v>
      </c>
      <c r="BL33" s="369" cm="1">
        <f t="array" aca="1" ref="BL33" ca="1">IF(TblConstr[[#This Row],[Hour]:[Hour]]&gt;12,OFFSET(TblConstr[[#This Row],[Tow]],-12,0),0)+OFFSET(TblConstr[[#This Row],[Tot Tow]],-1,0)-TblConstr[[#This Row],[Dest Tow]]</f>
        <v>0</v>
      </c>
      <c r="BM33" s="369" cm="1">
        <f t="array" aca="1" ref="BM33" ca="1">IF(TblConstr[[#This Row],[Hour]:[Hour]]&gt;12,OFFSET(TblConstr[[#This Row],[Tem]],-12,0),0)+OFFSET(TblConstr[[#This Row],[Tot Tem]],-1,0)-TblConstr[[#This Row],[Dest Tem]]</f>
        <v>0</v>
      </c>
      <c r="BN33" s="369" cm="1">
        <f t="array" aca="1" ref="BN33" ca="1">IF(TblConstr[[#This Row],[Hour]:[Hour]]&gt;12,OFFSET(TblConstr[[#This Row],[WG]],-12,0),0)+OFFSET(TblConstr[[#This Row],[Tot WG]],-1,0)-TblConstr[[#This Row],[Dest WG]]</f>
        <v>0</v>
      </c>
      <c r="BO33" s="191" cm="1">
        <f t="array" aca="1" ref="BO33" ca="1">IF(TblConstr[[#This Row],[Hour]:[Hour]]&gt;12,OFFSET(TblConstr[[#This Row],[DM]],-12,0),0)+OFFSET(TblConstr[[#This Row],[Tot DM]],-1,0)-TblConstr[[#This Row],[Dest DM]]</f>
        <v>0</v>
      </c>
      <c r="BP33" s="191" cm="1">
        <f t="array" aca="1" ref="BP33" ca="1">IF(TblConstr[[#This Row],[Hour]:[Hour]]&gt;12,OFFSET(TblConstr[[#This Row],[Sch]],-12,0),0)+OFFSET(TblConstr[[#This Row],[Tot Sch]],-1,0)-TblConstr[[#This Row],[Dest Sch]]</f>
        <v>0</v>
      </c>
      <c r="BQ33" s="192" cm="1">
        <f t="array" aca="1" ref="BQ33" ca="1">IF(TblConstr[[#This Row],[Hour]:[Hour]]&gt;12,OFFSET(TblConstr[[#This Row],[Doc]],-12,0),0)+OFFSET(TblConstr[[#This Row],[Tot Doc]],-1,0)-TblConstr[[#This Row],[Dest Doc]]</f>
        <v>0</v>
      </c>
      <c r="BR33" s="142"/>
      <c r="BS33" s="154"/>
      <c r="BT33" s="94">
        <f ca="1">TblConstr[[#This Row],[Land]]</f>
        <v>50</v>
      </c>
      <c r="BU33" s="159">
        <f ca="1">TblImps[[#This Row],[Time]]</f>
        <v>46321.208333333263</v>
      </c>
      <c r="BV33" s="142"/>
      <c r="BW33" s="179"/>
      <c r="BX33" s="179"/>
      <c r="BY33" s="179"/>
      <c r="BZ33" s="179"/>
      <c r="CA33" s="179"/>
      <c r="CB33" s="179"/>
      <c r="CC33" s="179"/>
      <c r="CD33" s="179"/>
      <c r="CE33" s="179"/>
      <c r="CF33" s="179"/>
      <c r="CG33" s="179"/>
      <c r="CH33" s="179"/>
      <c r="CI33" s="179"/>
      <c r="CJ33" s="179"/>
      <c r="CK33" s="179"/>
      <c r="CL33" s="179"/>
      <c r="CM33" s="179"/>
      <c r="CN33" s="179"/>
      <c r="CO33" s="179"/>
      <c r="CP33" s="142"/>
      <c r="CQ33" s="181">
        <f ca="1">-SUM(TblConstr[[#This Row],[Alc]:[Mas]])+SUM(TblConstr[[#This Row],[Dest Alc]:[Dest Mas]])+Rezone!L33+IF("Ch_"&amp; home_land=TblConstr[[#Headers],[Ch_Plain]],TblConstr[[#This Row],[Home Land]])+IF(TblConstr[[#This Row],[Hour]:[Hour]]&gt;12,OFFSET(TblExplore[[#This Row],[Plains Explore]],-12,0),0)</f>
        <v>0</v>
      </c>
      <c r="CR33" s="182">
        <f ca="1">-SUM(TblConstr[[#This Row],[Ly]:[Hav]])+SUM(TblConstr[[#This Row],[Dest Ly]:[Dest Hav]]) +Rezone!M33 + IF("Ch_"&amp; home_land=TblConstr[[#Headers],[Ch_Forest]],TblConstr[[#This Row],[Home Land]])+IF(TblConstr[[#This Row],[Hour]:[Hour]]&gt;12,OFFSET(TblExplore[[#This Row],[Forest Explore]],-12,0),0)</f>
        <v>0</v>
      </c>
      <c r="CS33" s="359">
        <f ca="1">-SUM(TblConstr[[#This Row],[OM]:[GN]])+SUM(TblConstr[[#This Row],[Dest OM]:[Dest GN]]) +Rezone!N33 + IF("Ch_"&amp; home_land=TblConstr[[#Headers],[Ch_Mountain]],TblConstr[[#This Row],[Home Land]])+IF(TblConstr[[#This Row],[Hour]:[Hour]]&gt;12,OFFSET(TblExplore[[#This Row],[Mountain Explore]],-12,0),0)</f>
        <v>0</v>
      </c>
      <c r="CT33" s="183">
        <f ca="1">-SUM(TblConstr[[#This Row],[Fac]:[Shr]])+SUM(TblConstr[[#This Row],[Dest Fac]:[Dest Shr]]) +Rezone!O33 + IF("Ch_" &amp; home_land=TblConstr[[#Headers],[Ch_Hill]],TblConstr[[#This Row],[Home Land]])+IF(TblConstr[[#This Row],[Hour]:[Hour]]&gt;12,OFFSET(TblExplore[[#This Row],[Hill Explore]],-12,0),0)</f>
        <v>0</v>
      </c>
      <c r="CU33" s="184">
        <f ca="1">-SUM(TblConstr[[#This Row],[Tow]:[WG]])+SUM(TblConstr[[#This Row],[Dest Tow]:[Dest WG]]) +Rezone!P33 + IF("Ch_" &amp; home_land=TblConstr[[#Headers],[Ch_Swamp]],TblConstr[[#This Row],[Home Land]])+IF(TblConstr[[#This Row],[Hour]:[Hour]]&gt;12,OFFSET(TblExplore[[#This Row],[Swamp Explore]],-12,0),0)</f>
        <v>0</v>
      </c>
      <c r="CV33" s="185">
        <f ca="1" xml:space="preserve"> - SUM(TblConstr[[#This Row],[DM]:[Sch]])+SUM(TblConstr[[#This Row],[Dest DM]:[Dest Sch]]) +Rezone!Q33 + IF("Ch_" &amp; home_land=TblConstr[[#Headers],[Ch_Cavern]],TblConstr[[#This Row],[Home Land]])+IF(TblConstr[[#This Row],[Hour]:[Hour]]&gt;12,OFFSET(TblExplore[[#This Row],[Cavern Explore]],-12,0),0)</f>
        <v>0</v>
      </c>
      <c r="CW33" s="186">
        <f ca="1">-TblConstr[[#This Row],[Doc]]+TblConstr[[#This Row],[Dest Doc]] +Rezone!R33 + IF("Ch_" &amp; home_land=TblConstr[[#Headers],[Ch_Water]],TblConstr[[#This Row],[Home Land]])+IF(TblConstr[[#This Row],[Hour]:[Hour]]&gt;12,OFFSET(TblExplore[[#This Row],[Water Explore]],-12,0),0)</f>
        <v>0</v>
      </c>
      <c r="CX33" s="45">
        <f>IF(Explore!S33=1,20) - TblConstr[[#This Row],[Hom]] + TblConstr[[#This Row],[Dest Hom]]</f>
        <v>0</v>
      </c>
      <c r="CY33" s="142"/>
      <c r="CZ33" s="94">
        <f t="shared" ca="1" si="3"/>
        <v>30</v>
      </c>
      <c r="DA33" s="94">
        <f t="shared" ca="1" si="4"/>
        <v>20</v>
      </c>
      <c r="DB33" s="45">
        <f t="shared" ca="1" si="5"/>
        <v>0</v>
      </c>
      <c r="DC33" s="94">
        <f t="shared" ca="1" si="6"/>
        <v>0</v>
      </c>
      <c r="DD33" s="94">
        <f t="shared" ca="1" si="7"/>
        <v>0</v>
      </c>
      <c r="DE33" s="45">
        <f t="shared" ca="1" si="8"/>
        <v>0</v>
      </c>
      <c r="DF33" s="94">
        <f t="shared" ca="1" si="9"/>
        <v>0</v>
      </c>
      <c r="DG33" s="94" cm="1">
        <f t="array" aca="1" ref="DG33" ca="1">INDEX(TblConstr[[Total Plain]:[Total Water]],ROW()-ROW(TblConstr[#Headers]),MATCH("Total "&amp;home_land,TblConstr[[#Headers],[Total Plain]:[Total Water]],0))+TblConstr[[#This Row],[Homes]]</f>
        <v>30</v>
      </c>
      <c r="DH33" s="45">
        <f t="shared" ca="1" si="10"/>
        <v>0</v>
      </c>
      <c r="DI33" s="45">
        <f t="shared" ca="1" si="0"/>
        <v>0</v>
      </c>
      <c r="DJ33" s="45">
        <f t="shared" ca="1" si="1"/>
        <v>0</v>
      </c>
    </row>
    <row r="34" spans="1:114" x14ac:dyDescent="0.2">
      <c r="A34" s="175">
        <f>TblRezone[[#This Row],[Hour]]</f>
        <v>31</v>
      </c>
      <c r="B34" s="176">
        <f ca="1">SUM(TblConstr[[#This Row],[Plain]:[Water]])</f>
        <v>0</v>
      </c>
      <c r="C34" s="177">
        <f ca="1">SUM(TblConstr[[#This Row],[Tot Hom]:[Tot Doc]])</f>
        <v>50</v>
      </c>
      <c r="D34" s="177">
        <f t="shared" si="2"/>
        <v>0</v>
      </c>
      <c r="E34" s="178"/>
      <c r="F34" s="61">
        <f ca="1">TblConstr[[#This Row],[Barren]]+TblConstr[[#This Row],[Buildings]]+TblConstr[[#This Row],[Incoming]]</f>
        <v>50</v>
      </c>
      <c r="G34" s="187">
        <f ca="1">OFFSET(TblConstr[[#This Row],[Plain]],-1,0)+TblConstr[[#This Row],[Ch_Plain]]</f>
        <v>0</v>
      </c>
      <c r="H34" s="182">
        <f ca="1">OFFSET(TblConstr[[#This Row],[Forest]],-1,0)+TblConstr[[#This Row],[Ch_Forest]]</f>
        <v>0</v>
      </c>
      <c r="I34" s="359">
        <f ca="1">OFFSET(TblConstr[[#This Row],[Mountain]],-1,0)+TblConstr[[#This Row],[Ch_Mountain]]</f>
        <v>0</v>
      </c>
      <c r="J34" s="363">
        <f ca="1">OFFSET(TblConstr[[#This Row],[Hill]],-1,0)+TblConstr[[#This Row],[Ch_Hill]]</f>
        <v>0</v>
      </c>
      <c r="K34" s="367">
        <f ca="1">OFFSET(TblConstr[[#This Row],[Swamp]],-1,0)+TblConstr[[#This Row],[Ch_Swamp]]</f>
        <v>0</v>
      </c>
      <c r="L34" s="185">
        <f ca="1">OFFSET(TblConstr[[#This Row],[Cavern]],-1,0)+TblConstr[[#This Row],[Ch_Cavern]]</f>
        <v>0</v>
      </c>
      <c r="M34" s="186">
        <f ca="1">OFFSET(TblConstr[[#This Row],[Water]],-1,0)+TblConstr[[#This Row],[Ch_Water]]</f>
        <v>0</v>
      </c>
      <c r="N34" s="357">
        <f>TblRezone[[#This Row],[Hour]]</f>
        <v>31</v>
      </c>
      <c r="O34" s="179"/>
      <c r="P34" s="158"/>
      <c r="Q34" s="179"/>
      <c r="R34" s="179"/>
      <c r="S34" s="179"/>
      <c r="T34" s="179"/>
      <c r="U34" s="179"/>
      <c r="V34" s="179"/>
      <c r="W34" s="179"/>
      <c r="X34" s="179"/>
      <c r="Y34" s="179"/>
      <c r="Z34" s="179"/>
      <c r="AA34" s="179"/>
      <c r="AB34" s="179"/>
      <c r="AC34" s="179"/>
      <c r="AD34" s="179"/>
      <c r="AE34" s="179"/>
      <c r="AF34" s="179"/>
      <c r="AG34" s="179"/>
      <c r="AH34" s="53">
        <f ca="1">TblImps[[#This Row],[Time]]</f>
        <v>46321.249999999927</v>
      </c>
      <c r="AI34" s="180">
        <f ca="1">MIN(25%,(TblConstr[[#This Row],[Tot Fac]]+TblConstr[[#This Row],[Dest Fac]])/(TblConstr[[#This Row],[Land]]-TblExplore[[#This Row],[Land Bonus]]*20))</f>
        <v>0</v>
      </c>
      <c r="AJ34" s="180">
        <f ca="1">MIN(25%,(TblConstr[[#This Row],[Tot Fac]]+TblConstr[[#This Row],[Dest Fac]])/TblConstr[[#This Row],[Land]])</f>
        <v>0</v>
      </c>
      <c r="AK34" s="94">
        <f ca="1">TblProd[[#This Row],[Platinum]]</f>
        <v>152979</v>
      </c>
      <c r="AL34" s="94">
        <f ca="1">TblProd[[#This Row],[Lumber]]</f>
        <v>37125</v>
      </c>
      <c r="AM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4" s="94">
        <f ca="1">ROUNDDOWN( MAX(1 - MIN(facs_constr_factor*TblConstr[[#This Row],[Facs -DB]],facs_constr_max) + tech_1_11*TblTech[[#This Row],[11-1]] + tech_6_3_2*TblTech[[#This Row],[6-3]] + tech_5_2_3*TblTech[[#This Row],[5-2]], 1-global_constr_cap) * TblConstr[[#This Row],[RCPA Lumber]],0)</f>
        <v>31</v>
      </c>
      <c r="AO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4" s="94">
        <f ca="1">ROUNDDOWN( MAX(1 - MIN(facs_constr_factor*TblConstr[[#This Row],[Facs DB]],facs_constr_max) + tech_1_11*TblTech[[#This Row],[1-11]] + tech_6_3_2*TblTech[[#This Row],[6-3]] + tech_5_2_3*TblTech[[#This Row],[5-2]], 1-global_constr_cap) * ROUND((TblConstr[[#This Row],[Land]]-250)*0.285 + 87.5 + 0/4.25,0),0)</f>
        <v>31</v>
      </c>
      <c r="AQ34" s="45">
        <f ca="1">TblConstr[[#This Row],[build -db]]*TblConstr[[#This Row],[CPA Platinum -DB]] + TblConstr[[#This Row],[build db]]*TblConstr[[#This Row],[CPA Platinum DB]]</f>
        <v>0</v>
      </c>
      <c r="AR34" s="45">
        <f ca="1">TblConstr[[#This Row],[build -db]]*TblConstr[[#This Row],[CPA Lumber -DB]] + TblConstr[[#This Row],[build db]]*TblConstr[[#This Row],[CPA Lumber DB]]</f>
        <v>0</v>
      </c>
      <c r="AS34" s="94">
        <f ca="1">MIN(SUM(OFFSET(TblConstr[[#This Row],[Plain]:[Water]],-1,0))+SUM(TblConstr[[#This Row],[Dest Hom]:[Dest Doc]])+IF(TblConstr[[#This Row],[Hour]]&gt;12,SUM(OFFSET(TblExplore[[#This Row],[Plains Explore]:[Water Explore]],-12,0)),0),SUM(TblConstr[[#This Row],[Hom]:[Doc]]))</f>
        <v>0</v>
      </c>
      <c r="AT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42"/>
      <c r="AV34" s="94">
        <f ca="1">ROUND((TblConstr[[#This Row],[Land]]-250 - IF(TblExplore[[#This Row],[Land Bonus]]&lt;&gt;0,20,0))*1.25 + 850 + 0,0)</f>
        <v>600</v>
      </c>
      <c r="AW34" s="94">
        <f ca="1">ROUND((TblConstr[[#This Row],[Land]]-250 - IF(TblExplore[[#This Row],[Land Bonus]]&lt;&gt;0,20,0))*0.285 + 87.5 + 0/4.25,0)</f>
        <v>31</v>
      </c>
      <c r="AX34" s="154"/>
      <c r="AY34" s="188" cm="1">
        <f t="array" aca="1" ref="AY34" ca="1">IF(TblConstr[[#This Row],[Hour]:[Hour]]&gt;12,OFFSET(TblConstr[[#This Row],[Hom]],-12,0),0)+OFFSET(TblConstr[[#This Row],[Tot Hom]],-1,0)-TblConstr[[#This Row],[Dest Hom]]</f>
        <v>0</v>
      </c>
      <c r="AZ34" s="189" cm="1">
        <f t="array" aca="1" ref="AZ34" ca="1">IF(TblConstr[[#This Row],[Hour]:[Hour]]&gt;12,OFFSET(TblConstr[[#This Row],[Alc]],-12,0),0)+OFFSET(TblConstr[[#This Row],[Tot Alc]],-1,0)-TblConstr[[#This Row],[Dest Alc]]</f>
        <v>0</v>
      </c>
      <c r="BA34" s="189" cm="1">
        <f t="array" aca="1" ref="BA34" ca="1">IF(TblConstr[[#This Row],[Hour]:[Hour]]&gt;12,OFFSET(TblConstr[[#This Row],[Far]],-12,0),0)+OFFSET(TblConstr[[#This Row],[Tot Farm]],-1,0)-TblConstr[[#This Row],[Dest Farm]]</f>
        <v>30</v>
      </c>
      <c r="BB34" s="189" cm="1">
        <f t="array" aca="1" ref="BB34" ca="1">IF(TblConstr[[#This Row],[Hour]:[Hour]]&gt;12,OFFSET(TblConstr[[#This Row],[Smi]],-12,0),0)+OFFSET(TblConstr[[#This Row],[Tot Smi]],-1,0)-TblConstr[[#This Row],[Dest Smi]]</f>
        <v>0</v>
      </c>
      <c r="BC34" s="189" cm="1">
        <f t="array" aca="1" ref="BC34" ca="1">IF(TblConstr[[#This Row],[Hour]:[Hour]]&gt;12,OFFSET(TblConstr[[#This Row],[Mas]],-12,0),0)+OFFSET(TblConstr[[#This Row],[Tot Mas]],-1,0)-TblConstr[[#This Row],[Dest Mas]]</f>
        <v>0</v>
      </c>
      <c r="BD34" s="190" cm="1">
        <f t="array" aca="1" ref="BD34" ca="1">IF(TblConstr[[#This Row],[Hour]:[Hour]]&gt;12,OFFSET(TblConstr[[#This Row],[Ly]],-12,0),0)+OFFSET(TblConstr[[#This Row],[Tot Ly]],-1,0)-TblConstr[[#This Row],[Dest Ly]]</f>
        <v>20</v>
      </c>
      <c r="BE34" s="190" cm="1">
        <f t="array" aca="1" ref="BE34" ca="1">IF(TblConstr[[#This Row],[Hour]:[Hour]]&gt;12,OFFSET(TblConstr[[#This Row],[Hav]],-12,0),0)+OFFSET(TblConstr[[#This Row],[Tot Hav]],-1,0)-TblConstr[[#This Row],[Dest Hav]]</f>
        <v>0</v>
      </c>
      <c r="BF34" s="361" cm="1">
        <f t="array" aca="1" ref="BF34" ca="1">IF(TblConstr[[#This Row],[Hour]:[Hour]]&gt;12,OFFSET(TblConstr[[#This Row],[OM]],-12,0),0)+OFFSET(TblConstr[[#This Row],[Tot OM]],-1,0)-TblConstr[[#This Row],[Dest OM]]</f>
        <v>0</v>
      </c>
      <c r="BG34" s="361" cm="1">
        <f t="array" aca="1" ref="BG34" ca="1">IF(TblConstr[[#This Row],[Hour]:[Hour]]&gt;12,OFFSET(TblConstr[[#This Row],[GN]],-12,0),0)+OFFSET(TblConstr[[#This Row],[Tot GN]],-1,0)-TblConstr[[#This Row],[Dest GN]]</f>
        <v>0</v>
      </c>
      <c r="BH34" s="365" cm="1">
        <f t="array" aca="1" ref="BH34" ca="1">IF(TblConstr[[#This Row],[Hour]:[Hour]]&gt;12,OFFSET(TblConstr[[#This Row],[Fac]],-12,0),0)+OFFSET(TblConstr[[#This Row],[Tot Fac]],-1,0)-TblConstr[[#This Row],[Dest Fac]]</f>
        <v>0</v>
      </c>
      <c r="BI34" s="365" cm="1">
        <f t="array" aca="1" ref="BI34" ca="1">IF(TblConstr[[#This Row],[Hour]:[Hour]]&gt;12,OFFSET(TblConstr[[#This Row],[GT]],-12,0),0)+OFFSET(TblConstr[[#This Row],[Tot GT]],-1,0)-TblConstr[[#This Row],[Dest GT]]</f>
        <v>0</v>
      </c>
      <c r="BJ34" s="365" cm="1">
        <f t="array" aca="1" ref="BJ34" ca="1">IF(TblConstr[[#This Row],[Hour]:[Hour]]&gt;12,OFFSET(TblConstr[[#This Row],[Bar]],-12,0),0)+OFFSET(TblConstr[[#This Row],[Tot Bar]],-1,0)-TblConstr[[#This Row],[Dest Bar]]</f>
        <v>0</v>
      </c>
      <c r="BK34" s="365" cm="1">
        <f t="array" aca="1" ref="BK34" ca="1">IF(TblConstr[[#This Row],[Hour]:[Hour]]&gt;12,OFFSET(TblConstr[[#This Row],[Shr]],-12,0),0)+OFFSET(TblConstr[[#This Row],[Tot Shr]],-1,0)-TblConstr[[#This Row],[Dest Shr]]</f>
        <v>0</v>
      </c>
      <c r="BL34" s="369" cm="1">
        <f t="array" aca="1" ref="BL34" ca="1">IF(TblConstr[[#This Row],[Hour]:[Hour]]&gt;12,OFFSET(TblConstr[[#This Row],[Tow]],-12,0),0)+OFFSET(TblConstr[[#This Row],[Tot Tow]],-1,0)-TblConstr[[#This Row],[Dest Tow]]</f>
        <v>0</v>
      </c>
      <c r="BM34" s="369" cm="1">
        <f t="array" aca="1" ref="BM34" ca="1">IF(TblConstr[[#This Row],[Hour]:[Hour]]&gt;12,OFFSET(TblConstr[[#This Row],[Tem]],-12,0),0)+OFFSET(TblConstr[[#This Row],[Tot Tem]],-1,0)-TblConstr[[#This Row],[Dest Tem]]</f>
        <v>0</v>
      </c>
      <c r="BN34" s="369" cm="1">
        <f t="array" aca="1" ref="BN34" ca="1">IF(TblConstr[[#This Row],[Hour]:[Hour]]&gt;12,OFFSET(TblConstr[[#This Row],[WG]],-12,0),0)+OFFSET(TblConstr[[#This Row],[Tot WG]],-1,0)-TblConstr[[#This Row],[Dest WG]]</f>
        <v>0</v>
      </c>
      <c r="BO34" s="191" cm="1">
        <f t="array" aca="1" ref="BO34" ca="1">IF(TblConstr[[#This Row],[Hour]:[Hour]]&gt;12,OFFSET(TblConstr[[#This Row],[DM]],-12,0),0)+OFFSET(TblConstr[[#This Row],[Tot DM]],-1,0)-TblConstr[[#This Row],[Dest DM]]</f>
        <v>0</v>
      </c>
      <c r="BP34" s="191" cm="1">
        <f t="array" aca="1" ref="BP34" ca="1">IF(TblConstr[[#This Row],[Hour]:[Hour]]&gt;12,OFFSET(TblConstr[[#This Row],[Sch]],-12,0),0)+OFFSET(TblConstr[[#This Row],[Tot Sch]],-1,0)-TblConstr[[#This Row],[Dest Sch]]</f>
        <v>0</v>
      </c>
      <c r="BQ34" s="192" cm="1">
        <f t="array" aca="1" ref="BQ34" ca="1">IF(TblConstr[[#This Row],[Hour]:[Hour]]&gt;12,OFFSET(TblConstr[[#This Row],[Doc]],-12,0),0)+OFFSET(TblConstr[[#This Row],[Tot Doc]],-1,0)-TblConstr[[#This Row],[Dest Doc]]</f>
        <v>0</v>
      </c>
      <c r="BR34" s="142"/>
      <c r="BS34" s="154"/>
      <c r="BT34" s="94">
        <f ca="1">TblConstr[[#This Row],[Land]]</f>
        <v>50</v>
      </c>
      <c r="BU34" s="159">
        <f ca="1">TblImps[[#This Row],[Time]]</f>
        <v>46321.249999999927</v>
      </c>
      <c r="BV34" s="142"/>
      <c r="BW34" s="179"/>
      <c r="BX34" s="179"/>
      <c r="BY34" s="179"/>
      <c r="BZ34" s="179"/>
      <c r="CA34" s="179"/>
      <c r="CB34" s="179"/>
      <c r="CC34" s="179"/>
      <c r="CD34" s="179"/>
      <c r="CE34" s="179"/>
      <c r="CF34" s="179"/>
      <c r="CG34" s="179"/>
      <c r="CH34" s="179"/>
      <c r="CI34" s="179"/>
      <c r="CJ34" s="179"/>
      <c r="CK34" s="179"/>
      <c r="CL34" s="179"/>
      <c r="CM34" s="179"/>
      <c r="CN34" s="179"/>
      <c r="CO34" s="179"/>
      <c r="CP34" s="142"/>
      <c r="CQ34" s="181">
        <f ca="1">-SUM(TblConstr[[#This Row],[Alc]:[Mas]])+SUM(TblConstr[[#This Row],[Dest Alc]:[Dest Mas]])+Rezone!L34+IF("Ch_"&amp; home_land=TblConstr[[#Headers],[Ch_Plain]],TblConstr[[#This Row],[Home Land]])+IF(TblConstr[[#This Row],[Hour]:[Hour]]&gt;12,OFFSET(TblExplore[[#This Row],[Plains Explore]],-12,0),0)</f>
        <v>0</v>
      </c>
      <c r="CR34" s="182">
        <f ca="1">-SUM(TblConstr[[#This Row],[Ly]:[Hav]])+SUM(TblConstr[[#This Row],[Dest Ly]:[Dest Hav]]) +Rezone!M34 + IF("Ch_"&amp; home_land=TblConstr[[#Headers],[Ch_Forest]],TblConstr[[#This Row],[Home Land]])+IF(TblConstr[[#This Row],[Hour]:[Hour]]&gt;12,OFFSET(TblExplore[[#This Row],[Forest Explore]],-12,0),0)</f>
        <v>0</v>
      </c>
      <c r="CS34" s="359">
        <f ca="1">-SUM(TblConstr[[#This Row],[OM]:[GN]])+SUM(TblConstr[[#This Row],[Dest OM]:[Dest GN]]) +Rezone!N34 + IF("Ch_"&amp; home_land=TblConstr[[#Headers],[Ch_Mountain]],TblConstr[[#This Row],[Home Land]])+IF(TblConstr[[#This Row],[Hour]:[Hour]]&gt;12,OFFSET(TblExplore[[#This Row],[Mountain Explore]],-12,0),0)</f>
        <v>0</v>
      </c>
      <c r="CT34" s="183">
        <f ca="1">-SUM(TblConstr[[#This Row],[Fac]:[Shr]])+SUM(TblConstr[[#This Row],[Dest Fac]:[Dest Shr]]) +Rezone!O34 + IF("Ch_" &amp; home_land=TblConstr[[#Headers],[Ch_Hill]],TblConstr[[#This Row],[Home Land]])+IF(TblConstr[[#This Row],[Hour]:[Hour]]&gt;12,OFFSET(TblExplore[[#This Row],[Hill Explore]],-12,0),0)</f>
        <v>0</v>
      </c>
      <c r="CU34" s="184">
        <f ca="1">-SUM(TblConstr[[#This Row],[Tow]:[WG]])+SUM(TblConstr[[#This Row],[Dest Tow]:[Dest WG]]) +Rezone!P34 + IF("Ch_" &amp; home_land=TblConstr[[#Headers],[Ch_Swamp]],TblConstr[[#This Row],[Home Land]])+IF(TblConstr[[#This Row],[Hour]:[Hour]]&gt;12,OFFSET(TblExplore[[#This Row],[Swamp Explore]],-12,0),0)</f>
        <v>0</v>
      </c>
      <c r="CV34" s="185">
        <f ca="1" xml:space="preserve"> - SUM(TblConstr[[#This Row],[DM]:[Sch]])+SUM(TblConstr[[#This Row],[Dest DM]:[Dest Sch]]) +Rezone!Q34 + IF("Ch_" &amp; home_land=TblConstr[[#Headers],[Ch_Cavern]],TblConstr[[#This Row],[Home Land]])+IF(TblConstr[[#This Row],[Hour]:[Hour]]&gt;12,OFFSET(TblExplore[[#This Row],[Cavern Explore]],-12,0),0)</f>
        <v>0</v>
      </c>
      <c r="CW34" s="186">
        <f ca="1">-TblConstr[[#This Row],[Doc]]+TblConstr[[#This Row],[Dest Doc]] +Rezone!R34 + IF("Ch_" &amp; home_land=TblConstr[[#Headers],[Ch_Water]],TblConstr[[#This Row],[Home Land]])+IF(TblConstr[[#This Row],[Hour]:[Hour]]&gt;12,OFFSET(TblExplore[[#This Row],[Water Explore]],-12,0),0)</f>
        <v>0</v>
      </c>
      <c r="CX34" s="45">
        <f>IF(Explore!S34=1,20) - TblConstr[[#This Row],[Hom]] + TblConstr[[#This Row],[Dest Hom]]</f>
        <v>0</v>
      </c>
      <c r="CY34" s="142"/>
      <c r="CZ34" s="94">
        <f t="shared" ca="1" si="3"/>
        <v>30</v>
      </c>
      <c r="DA34" s="94">
        <f t="shared" ca="1" si="4"/>
        <v>20</v>
      </c>
      <c r="DB34" s="45">
        <f t="shared" ca="1" si="5"/>
        <v>0</v>
      </c>
      <c r="DC34" s="94">
        <f t="shared" ca="1" si="6"/>
        <v>0</v>
      </c>
      <c r="DD34" s="94">
        <f t="shared" ca="1" si="7"/>
        <v>0</v>
      </c>
      <c r="DE34" s="45">
        <f t="shared" ca="1" si="8"/>
        <v>0</v>
      </c>
      <c r="DF34" s="94">
        <f t="shared" ca="1" si="9"/>
        <v>0</v>
      </c>
      <c r="DG34" s="94" cm="1">
        <f t="array" aca="1" ref="DG34" ca="1">INDEX(TblConstr[[Total Plain]:[Total Water]],ROW()-ROW(TblConstr[#Headers]),MATCH("Total "&amp;home_land,TblConstr[[#Headers],[Total Plain]:[Total Water]],0))+TblConstr[[#This Row],[Homes]]</f>
        <v>30</v>
      </c>
      <c r="DH34" s="45">
        <f t="shared" ca="1" si="10"/>
        <v>0</v>
      </c>
      <c r="DI34" s="45">
        <f t="shared" ca="1" si="0"/>
        <v>0</v>
      </c>
      <c r="DJ34" s="45">
        <f t="shared" ca="1" si="1"/>
        <v>0</v>
      </c>
    </row>
    <row r="35" spans="1:114" x14ac:dyDescent="0.2">
      <c r="A35" s="175">
        <f>TblRezone[[#This Row],[Hour]]</f>
        <v>32</v>
      </c>
      <c r="B35" s="176">
        <f ca="1">SUM(TblConstr[[#This Row],[Plain]:[Water]])</f>
        <v>0</v>
      </c>
      <c r="C35" s="177">
        <f ca="1">SUM(TblConstr[[#This Row],[Tot Hom]:[Tot Doc]])</f>
        <v>50</v>
      </c>
      <c r="D35" s="177">
        <f t="shared" si="2"/>
        <v>0</v>
      </c>
      <c r="E35" s="178"/>
      <c r="F35" s="61">
        <f ca="1">TblConstr[[#This Row],[Barren]]+TblConstr[[#This Row],[Buildings]]+TblConstr[[#This Row],[Incoming]]</f>
        <v>50</v>
      </c>
      <c r="G35" s="187">
        <f ca="1">OFFSET(TblConstr[[#This Row],[Plain]],-1,0)+TblConstr[[#This Row],[Ch_Plain]]</f>
        <v>0</v>
      </c>
      <c r="H35" s="182">
        <f ca="1">OFFSET(TblConstr[[#This Row],[Forest]],-1,0)+TblConstr[[#This Row],[Ch_Forest]]</f>
        <v>0</v>
      </c>
      <c r="I35" s="359">
        <f ca="1">OFFSET(TblConstr[[#This Row],[Mountain]],-1,0)+TblConstr[[#This Row],[Ch_Mountain]]</f>
        <v>0</v>
      </c>
      <c r="J35" s="363">
        <f ca="1">OFFSET(TblConstr[[#This Row],[Hill]],-1,0)+TblConstr[[#This Row],[Ch_Hill]]</f>
        <v>0</v>
      </c>
      <c r="K35" s="367">
        <f ca="1">OFFSET(TblConstr[[#This Row],[Swamp]],-1,0)+TblConstr[[#This Row],[Ch_Swamp]]</f>
        <v>0</v>
      </c>
      <c r="L35" s="185">
        <f ca="1">OFFSET(TblConstr[[#This Row],[Cavern]],-1,0)+TblConstr[[#This Row],[Ch_Cavern]]</f>
        <v>0</v>
      </c>
      <c r="M35" s="186">
        <f ca="1">OFFSET(TblConstr[[#This Row],[Water]],-1,0)+TblConstr[[#This Row],[Ch_Water]]</f>
        <v>0</v>
      </c>
      <c r="N35" s="357">
        <f>TblRezone[[#This Row],[Hour]]</f>
        <v>32</v>
      </c>
      <c r="O35" s="179"/>
      <c r="P35" s="158"/>
      <c r="Q35" s="179"/>
      <c r="R35" s="179"/>
      <c r="S35" s="179"/>
      <c r="T35" s="179"/>
      <c r="U35" s="179"/>
      <c r="V35" s="179"/>
      <c r="W35" s="179"/>
      <c r="X35" s="158"/>
      <c r="Y35" s="179"/>
      <c r="Z35" s="179"/>
      <c r="AA35" s="179"/>
      <c r="AB35" s="179"/>
      <c r="AC35" s="179"/>
      <c r="AD35" s="179"/>
      <c r="AE35" s="179"/>
      <c r="AF35" s="179"/>
      <c r="AG35" s="179"/>
      <c r="AH35" s="53">
        <f ca="1">TblImps[[#This Row],[Time]]</f>
        <v>46321.291666666591</v>
      </c>
      <c r="AI35" s="180">
        <f ca="1">MIN(25%,(TblConstr[[#This Row],[Tot Fac]]+TblConstr[[#This Row],[Dest Fac]])/(TblConstr[[#This Row],[Land]]-TblExplore[[#This Row],[Land Bonus]]*20))</f>
        <v>0</v>
      </c>
      <c r="AJ35" s="180">
        <f ca="1">MIN(25%,(TblConstr[[#This Row],[Tot Fac]]+TblConstr[[#This Row],[Dest Fac]])/TblConstr[[#This Row],[Land]])</f>
        <v>0</v>
      </c>
      <c r="AK35" s="94">
        <f ca="1">TblProd[[#This Row],[Platinum]]</f>
        <v>153913</v>
      </c>
      <c r="AL35" s="94">
        <f ca="1">TblProd[[#This Row],[Lumber]]</f>
        <v>37754</v>
      </c>
      <c r="AM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5" s="94">
        <f ca="1">ROUNDDOWN( MAX(1 - MIN(facs_constr_factor*TblConstr[[#This Row],[Facs -DB]],facs_constr_max) + tech_1_11*TblTech[[#This Row],[11-1]] + tech_6_3_2*TblTech[[#This Row],[6-3]] + tech_5_2_3*TblTech[[#This Row],[5-2]], 1-global_constr_cap) * TblConstr[[#This Row],[RCPA Lumber]],0)</f>
        <v>31</v>
      </c>
      <c r="AO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5" s="94">
        <f ca="1">ROUNDDOWN( MAX(1 - MIN(facs_constr_factor*TblConstr[[#This Row],[Facs DB]],facs_constr_max) + tech_1_11*TblTech[[#This Row],[1-11]] + tech_6_3_2*TblTech[[#This Row],[6-3]] + tech_5_2_3*TblTech[[#This Row],[5-2]], 1-global_constr_cap) * ROUND((TblConstr[[#This Row],[Land]]-250)*0.285 + 87.5 + 0/4.25,0),0)</f>
        <v>31</v>
      </c>
      <c r="AQ35" s="45">
        <f ca="1">TblConstr[[#This Row],[build -db]]*TblConstr[[#This Row],[CPA Platinum -DB]] + TblConstr[[#This Row],[build db]]*TblConstr[[#This Row],[CPA Platinum DB]]</f>
        <v>0</v>
      </c>
      <c r="AR35" s="45">
        <f ca="1">TblConstr[[#This Row],[build -db]]*TblConstr[[#This Row],[CPA Lumber -DB]] + TblConstr[[#This Row],[build db]]*TblConstr[[#This Row],[CPA Lumber DB]]</f>
        <v>0</v>
      </c>
      <c r="AS35" s="94">
        <f ca="1">MIN(SUM(OFFSET(TblConstr[[#This Row],[Plain]:[Water]],-1,0))+SUM(TblConstr[[#This Row],[Dest Hom]:[Dest Doc]])+IF(TblConstr[[#This Row],[Hour]]&gt;12,SUM(OFFSET(TblExplore[[#This Row],[Plains Explore]:[Water Explore]],-12,0)),0),SUM(TblConstr[[#This Row],[Hom]:[Doc]]))</f>
        <v>0</v>
      </c>
      <c r="AT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42"/>
      <c r="AV35" s="94">
        <f ca="1">ROUND((TblConstr[[#This Row],[Land]]-250 - IF(TblExplore[[#This Row],[Land Bonus]]&lt;&gt;0,20,0))*1.25 + 850 + 0,0)</f>
        <v>600</v>
      </c>
      <c r="AW35" s="94">
        <f ca="1">ROUND((TblConstr[[#This Row],[Land]]-250 - IF(TblExplore[[#This Row],[Land Bonus]]&lt;&gt;0,20,0))*0.285 + 87.5 + 0/4.25,0)</f>
        <v>31</v>
      </c>
      <c r="AX35" s="154"/>
      <c r="AY35" s="188" cm="1">
        <f t="array" aca="1" ref="AY35" ca="1">IF(TblConstr[[#This Row],[Hour]:[Hour]]&gt;12,OFFSET(TblConstr[[#This Row],[Hom]],-12,0),0)+OFFSET(TblConstr[[#This Row],[Tot Hom]],-1,0)-TblConstr[[#This Row],[Dest Hom]]</f>
        <v>0</v>
      </c>
      <c r="AZ35" s="189" cm="1">
        <f t="array" aca="1" ref="AZ35" ca="1">IF(TblConstr[[#This Row],[Hour]:[Hour]]&gt;12,OFFSET(TblConstr[[#This Row],[Alc]],-12,0),0)+OFFSET(TblConstr[[#This Row],[Tot Alc]],-1,0)-TblConstr[[#This Row],[Dest Alc]]</f>
        <v>0</v>
      </c>
      <c r="BA35" s="189" cm="1">
        <f t="array" aca="1" ref="BA35" ca="1">IF(TblConstr[[#This Row],[Hour]:[Hour]]&gt;12,OFFSET(TblConstr[[#This Row],[Far]],-12,0),0)+OFFSET(TblConstr[[#This Row],[Tot Farm]],-1,0)-TblConstr[[#This Row],[Dest Farm]]</f>
        <v>30</v>
      </c>
      <c r="BB35" s="189" cm="1">
        <f t="array" aca="1" ref="BB35" ca="1">IF(TblConstr[[#This Row],[Hour]:[Hour]]&gt;12,OFFSET(TblConstr[[#This Row],[Smi]],-12,0),0)+OFFSET(TblConstr[[#This Row],[Tot Smi]],-1,0)-TblConstr[[#This Row],[Dest Smi]]</f>
        <v>0</v>
      </c>
      <c r="BC35" s="189" cm="1">
        <f t="array" aca="1" ref="BC35" ca="1">IF(TblConstr[[#This Row],[Hour]:[Hour]]&gt;12,OFFSET(TblConstr[[#This Row],[Mas]],-12,0),0)+OFFSET(TblConstr[[#This Row],[Tot Mas]],-1,0)-TblConstr[[#This Row],[Dest Mas]]</f>
        <v>0</v>
      </c>
      <c r="BD35" s="190" cm="1">
        <f t="array" aca="1" ref="BD35" ca="1">IF(TblConstr[[#This Row],[Hour]:[Hour]]&gt;12,OFFSET(TblConstr[[#This Row],[Ly]],-12,0),0)+OFFSET(TblConstr[[#This Row],[Tot Ly]],-1,0)-TblConstr[[#This Row],[Dest Ly]]</f>
        <v>20</v>
      </c>
      <c r="BE35" s="190" cm="1">
        <f t="array" aca="1" ref="BE35" ca="1">IF(TblConstr[[#This Row],[Hour]:[Hour]]&gt;12,OFFSET(TblConstr[[#This Row],[Hav]],-12,0),0)+OFFSET(TblConstr[[#This Row],[Tot Hav]],-1,0)-TblConstr[[#This Row],[Dest Hav]]</f>
        <v>0</v>
      </c>
      <c r="BF35" s="361" cm="1">
        <f t="array" aca="1" ref="BF35" ca="1">IF(TblConstr[[#This Row],[Hour]:[Hour]]&gt;12,OFFSET(TblConstr[[#This Row],[OM]],-12,0),0)+OFFSET(TblConstr[[#This Row],[Tot OM]],-1,0)-TblConstr[[#This Row],[Dest OM]]</f>
        <v>0</v>
      </c>
      <c r="BG35" s="361" cm="1">
        <f t="array" aca="1" ref="BG35" ca="1">IF(TblConstr[[#This Row],[Hour]:[Hour]]&gt;12,OFFSET(TblConstr[[#This Row],[GN]],-12,0),0)+OFFSET(TblConstr[[#This Row],[Tot GN]],-1,0)-TblConstr[[#This Row],[Dest GN]]</f>
        <v>0</v>
      </c>
      <c r="BH35" s="365" cm="1">
        <f t="array" aca="1" ref="BH35" ca="1">IF(TblConstr[[#This Row],[Hour]:[Hour]]&gt;12,OFFSET(TblConstr[[#This Row],[Fac]],-12,0),0)+OFFSET(TblConstr[[#This Row],[Tot Fac]],-1,0)-TblConstr[[#This Row],[Dest Fac]]</f>
        <v>0</v>
      </c>
      <c r="BI35" s="365" cm="1">
        <f t="array" aca="1" ref="BI35" ca="1">IF(TblConstr[[#This Row],[Hour]:[Hour]]&gt;12,OFFSET(TblConstr[[#This Row],[GT]],-12,0),0)+OFFSET(TblConstr[[#This Row],[Tot GT]],-1,0)-TblConstr[[#This Row],[Dest GT]]</f>
        <v>0</v>
      </c>
      <c r="BJ35" s="365" cm="1">
        <f t="array" aca="1" ref="BJ35" ca="1">IF(TblConstr[[#This Row],[Hour]:[Hour]]&gt;12,OFFSET(TblConstr[[#This Row],[Bar]],-12,0),0)+OFFSET(TblConstr[[#This Row],[Tot Bar]],-1,0)-TblConstr[[#This Row],[Dest Bar]]</f>
        <v>0</v>
      </c>
      <c r="BK35" s="365" cm="1">
        <f t="array" aca="1" ref="BK35" ca="1">IF(TblConstr[[#This Row],[Hour]:[Hour]]&gt;12,OFFSET(TblConstr[[#This Row],[Shr]],-12,0),0)+OFFSET(TblConstr[[#This Row],[Tot Shr]],-1,0)-TblConstr[[#This Row],[Dest Shr]]</f>
        <v>0</v>
      </c>
      <c r="BL35" s="369" cm="1">
        <f t="array" aca="1" ref="BL35" ca="1">IF(TblConstr[[#This Row],[Hour]:[Hour]]&gt;12,OFFSET(TblConstr[[#This Row],[Tow]],-12,0),0)+OFFSET(TblConstr[[#This Row],[Tot Tow]],-1,0)-TblConstr[[#This Row],[Dest Tow]]</f>
        <v>0</v>
      </c>
      <c r="BM35" s="369" cm="1">
        <f t="array" aca="1" ref="BM35" ca="1">IF(TblConstr[[#This Row],[Hour]:[Hour]]&gt;12,OFFSET(TblConstr[[#This Row],[Tem]],-12,0),0)+OFFSET(TblConstr[[#This Row],[Tot Tem]],-1,0)-TblConstr[[#This Row],[Dest Tem]]</f>
        <v>0</v>
      </c>
      <c r="BN35" s="369" cm="1">
        <f t="array" aca="1" ref="BN35" ca="1">IF(TblConstr[[#This Row],[Hour]:[Hour]]&gt;12,OFFSET(TblConstr[[#This Row],[WG]],-12,0),0)+OFFSET(TblConstr[[#This Row],[Tot WG]],-1,0)-TblConstr[[#This Row],[Dest WG]]</f>
        <v>0</v>
      </c>
      <c r="BO35" s="191" cm="1">
        <f t="array" aca="1" ref="BO35" ca="1">IF(TblConstr[[#This Row],[Hour]:[Hour]]&gt;12,OFFSET(TblConstr[[#This Row],[DM]],-12,0),0)+OFFSET(TblConstr[[#This Row],[Tot DM]],-1,0)-TblConstr[[#This Row],[Dest DM]]</f>
        <v>0</v>
      </c>
      <c r="BP35" s="191" cm="1">
        <f t="array" aca="1" ref="BP35" ca="1">IF(TblConstr[[#This Row],[Hour]:[Hour]]&gt;12,OFFSET(TblConstr[[#This Row],[Sch]],-12,0),0)+OFFSET(TblConstr[[#This Row],[Tot Sch]],-1,0)-TblConstr[[#This Row],[Dest Sch]]</f>
        <v>0</v>
      </c>
      <c r="BQ35" s="192" cm="1">
        <f t="array" aca="1" ref="BQ35" ca="1">IF(TblConstr[[#This Row],[Hour]:[Hour]]&gt;12,OFFSET(TblConstr[[#This Row],[Doc]],-12,0),0)+OFFSET(TblConstr[[#This Row],[Tot Doc]],-1,0)-TblConstr[[#This Row],[Dest Doc]]</f>
        <v>0</v>
      </c>
      <c r="BR35" s="142"/>
      <c r="BS35" s="154"/>
      <c r="BT35" s="94">
        <f ca="1">TblConstr[[#This Row],[Land]]</f>
        <v>50</v>
      </c>
      <c r="BU35" s="159">
        <f ca="1">TblImps[[#This Row],[Time]]</f>
        <v>46321.291666666591</v>
      </c>
      <c r="BV35" s="142"/>
      <c r="BW35" s="179"/>
      <c r="BX35" s="179"/>
      <c r="BY35" s="179"/>
      <c r="BZ35" s="179"/>
      <c r="CA35" s="179"/>
      <c r="CB35" s="179"/>
      <c r="CC35" s="179"/>
      <c r="CD35" s="179"/>
      <c r="CE35" s="179"/>
      <c r="CF35" s="179"/>
      <c r="CG35" s="179"/>
      <c r="CH35" s="179"/>
      <c r="CI35" s="179"/>
      <c r="CJ35" s="179"/>
      <c r="CK35" s="179"/>
      <c r="CL35" s="179"/>
      <c r="CM35" s="179"/>
      <c r="CN35" s="179"/>
      <c r="CO35" s="179"/>
      <c r="CP35" s="142"/>
      <c r="CQ35" s="181">
        <f ca="1">-SUM(TblConstr[[#This Row],[Alc]:[Mas]])+SUM(TblConstr[[#This Row],[Dest Alc]:[Dest Mas]])+Rezone!L35+IF("Ch_"&amp; home_land=TblConstr[[#Headers],[Ch_Plain]],TblConstr[[#This Row],[Home Land]])+IF(TblConstr[[#This Row],[Hour]:[Hour]]&gt;12,OFFSET(TblExplore[[#This Row],[Plains Explore]],-12,0),0)</f>
        <v>0</v>
      </c>
      <c r="CR35" s="182">
        <f ca="1">-SUM(TblConstr[[#This Row],[Ly]:[Hav]])+SUM(TblConstr[[#This Row],[Dest Ly]:[Dest Hav]]) +Rezone!M35 + IF("Ch_"&amp; home_land=TblConstr[[#Headers],[Ch_Forest]],TblConstr[[#This Row],[Home Land]])+IF(TblConstr[[#This Row],[Hour]:[Hour]]&gt;12,OFFSET(TblExplore[[#This Row],[Forest Explore]],-12,0),0)</f>
        <v>0</v>
      </c>
      <c r="CS35" s="359">
        <f ca="1">-SUM(TblConstr[[#This Row],[OM]:[GN]])+SUM(TblConstr[[#This Row],[Dest OM]:[Dest GN]]) +Rezone!N35 + IF("Ch_"&amp; home_land=TblConstr[[#Headers],[Ch_Mountain]],TblConstr[[#This Row],[Home Land]])+IF(TblConstr[[#This Row],[Hour]:[Hour]]&gt;12,OFFSET(TblExplore[[#This Row],[Mountain Explore]],-12,0),0)</f>
        <v>0</v>
      </c>
      <c r="CT35" s="183">
        <f ca="1">-SUM(TblConstr[[#This Row],[Fac]:[Shr]])+SUM(TblConstr[[#This Row],[Dest Fac]:[Dest Shr]]) +Rezone!O35 + IF("Ch_" &amp; home_land=TblConstr[[#Headers],[Ch_Hill]],TblConstr[[#This Row],[Home Land]])+IF(TblConstr[[#This Row],[Hour]:[Hour]]&gt;12,OFFSET(TblExplore[[#This Row],[Hill Explore]],-12,0),0)</f>
        <v>0</v>
      </c>
      <c r="CU35" s="184">
        <f ca="1">-SUM(TblConstr[[#This Row],[Tow]:[WG]])+SUM(TblConstr[[#This Row],[Dest Tow]:[Dest WG]]) +Rezone!P35 + IF("Ch_" &amp; home_land=TblConstr[[#Headers],[Ch_Swamp]],TblConstr[[#This Row],[Home Land]])+IF(TblConstr[[#This Row],[Hour]:[Hour]]&gt;12,OFFSET(TblExplore[[#This Row],[Swamp Explore]],-12,0),0)</f>
        <v>0</v>
      </c>
      <c r="CV35" s="185">
        <f ca="1" xml:space="preserve"> - SUM(TblConstr[[#This Row],[DM]:[Sch]])+SUM(TblConstr[[#This Row],[Dest DM]:[Dest Sch]]) +Rezone!Q35 + IF("Ch_" &amp; home_land=TblConstr[[#Headers],[Ch_Cavern]],TblConstr[[#This Row],[Home Land]])+IF(TblConstr[[#This Row],[Hour]:[Hour]]&gt;12,OFFSET(TblExplore[[#This Row],[Cavern Explore]],-12,0),0)</f>
        <v>0</v>
      </c>
      <c r="CW35" s="186">
        <f ca="1">-TblConstr[[#This Row],[Doc]]+TblConstr[[#This Row],[Dest Doc]] +Rezone!R35 + IF("Ch_" &amp; home_land=TblConstr[[#Headers],[Ch_Water]],TblConstr[[#This Row],[Home Land]])+IF(TblConstr[[#This Row],[Hour]:[Hour]]&gt;12,OFFSET(TblExplore[[#This Row],[Water Explore]],-12,0),0)</f>
        <v>0</v>
      </c>
      <c r="CX35" s="45">
        <f>IF(Explore!S35=1,20) - TblConstr[[#This Row],[Hom]] + TblConstr[[#This Row],[Dest Hom]]</f>
        <v>0</v>
      </c>
      <c r="CY35" s="142"/>
      <c r="CZ35" s="94">
        <f t="shared" ca="1" si="3"/>
        <v>30</v>
      </c>
      <c r="DA35" s="94">
        <f t="shared" ca="1" si="4"/>
        <v>20</v>
      </c>
      <c r="DB35" s="45">
        <f t="shared" ca="1" si="5"/>
        <v>0</v>
      </c>
      <c r="DC35" s="94">
        <f t="shared" ca="1" si="6"/>
        <v>0</v>
      </c>
      <c r="DD35" s="94">
        <f t="shared" ca="1" si="7"/>
        <v>0</v>
      </c>
      <c r="DE35" s="45">
        <f t="shared" ca="1" si="8"/>
        <v>0</v>
      </c>
      <c r="DF35" s="94">
        <f t="shared" ca="1" si="9"/>
        <v>0</v>
      </c>
      <c r="DG35" s="94" cm="1">
        <f t="array" aca="1" ref="DG35" ca="1">INDEX(TblConstr[[Total Plain]:[Total Water]],ROW()-ROW(TblConstr[#Headers]),MATCH("Total "&amp;home_land,TblConstr[[#Headers],[Total Plain]:[Total Water]],0))+TblConstr[[#This Row],[Homes]]</f>
        <v>30</v>
      </c>
      <c r="DH35" s="45">
        <f t="shared" ca="1" si="10"/>
        <v>0</v>
      </c>
      <c r="DI35" s="45">
        <f t="shared" ca="1" si="0"/>
        <v>0</v>
      </c>
      <c r="DJ35" s="45">
        <f t="shared" ca="1" si="1"/>
        <v>0</v>
      </c>
    </row>
    <row r="36" spans="1:114" x14ac:dyDescent="0.2">
      <c r="A36" s="175">
        <f>TblRezone[[#This Row],[Hour]]</f>
        <v>33</v>
      </c>
      <c r="B36" s="176">
        <f ca="1">SUM(TblConstr[[#This Row],[Plain]:[Water]])</f>
        <v>0</v>
      </c>
      <c r="C36" s="177">
        <f ca="1">SUM(TblConstr[[#This Row],[Tot Hom]:[Tot Doc]])</f>
        <v>50</v>
      </c>
      <c r="D36" s="177">
        <f t="shared" si="2"/>
        <v>0</v>
      </c>
      <c r="E36" s="178"/>
      <c r="F36" s="61">
        <f ca="1">TblConstr[[#This Row],[Barren]]+TblConstr[[#This Row],[Buildings]]+TblConstr[[#This Row],[Incoming]]</f>
        <v>50</v>
      </c>
      <c r="G36" s="187">
        <f ca="1">OFFSET(TblConstr[[#This Row],[Plain]],-1,0)+TblConstr[[#This Row],[Ch_Plain]]</f>
        <v>0</v>
      </c>
      <c r="H36" s="182">
        <f ca="1">OFFSET(TblConstr[[#This Row],[Forest]],-1,0)+TblConstr[[#This Row],[Ch_Forest]]</f>
        <v>0</v>
      </c>
      <c r="I36" s="359">
        <f ca="1">OFFSET(TblConstr[[#This Row],[Mountain]],-1,0)+TblConstr[[#This Row],[Ch_Mountain]]</f>
        <v>0</v>
      </c>
      <c r="J36" s="363">
        <f ca="1">OFFSET(TblConstr[[#This Row],[Hill]],-1,0)+TblConstr[[#This Row],[Ch_Hill]]</f>
        <v>0</v>
      </c>
      <c r="K36" s="367">
        <f ca="1">OFFSET(TblConstr[[#This Row],[Swamp]],-1,0)+TblConstr[[#This Row],[Ch_Swamp]]</f>
        <v>0</v>
      </c>
      <c r="L36" s="185">
        <f ca="1">OFFSET(TblConstr[[#This Row],[Cavern]],-1,0)+TblConstr[[#This Row],[Ch_Cavern]]</f>
        <v>0</v>
      </c>
      <c r="M36" s="186">
        <f ca="1">OFFSET(TblConstr[[#This Row],[Water]],-1,0)+TblConstr[[#This Row],[Ch_Water]]</f>
        <v>0</v>
      </c>
      <c r="N36" s="357">
        <f>TblRezone[[#This Row],[Hour]]</f>
        <v>33</v>
      </c>
      <c r="O36" s="179"/>
      <c r="P36" s="179"/>
      <c r="Q36" s="179"/>
      <c r="R36" s="179"/>
      <c r="S36" s="179"/>
      <c r="T36" s="179"/>
      <c r="U36" s="179"/>
      <c r="V36" s="179"/>
      <c r="W36" s="179"/>
      <c r="X36" s="179"/>
      <c r="Y36" s="179"/>
      <c r="Z36" s="179"/>
      <c r="AA36" s="179"/>
      <c r="AB36" s="179"/>
      <c r="AC36" s="179"/>
      <c r="AD36" s="179"/>
      <c r="AE36" s="179"/>
      <c r="AF36" s="179"/>
      <c r="AG36" s="179"/>
      <c r="AH36" s="53">
        <f ca="1">TblImps[[#This Row],[Time]]</f>
        <v>46321.333333333256</v>
      </c>
      <c r="AI36" s="180">
        <f ca="1">MIN(25%,(TblConstr[[#This Row],[Tot Fac]]+TblConstr[[#This Row],[Dest Fac]])/(TblConstr[[#This Row],[Land]]-TblExplore[[#This Row],[Land Bonus]]*20))</f>
        <v>0</v>
      </c>
      <c r="AJ36" s="180">
        <f ca="1">MIN(25%,(TblConstr[[#This Row],[Tot Fac]]+TblConstr[[#This Row],[Dest Fac]])/TblConstr[[#This Row],[Land]])</f>
        <v>0</v>
      </c>
      <c r="AK36" s="94">
        <f ca="1">TblProd[[#This Row],[Platinum]]</f>
        <v>154839</v>
      </c>
      <c r="AL36" s="94">
        <f ca="1">TblProd[[#This Row],[Lumber]]</f>
        <v>38376</v>
      </c>
      <c r="AM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6" s="94">
        <f ca="1">ROUNDDOWN( MAX(1 - MIN(facs_constr_factor*TblConstr[[#This Row],[Facs -DB]],facs_constr_max) + tech_1_11*TblTech[[#This Row],[11-1]] + tech_6_3_2*TblTech[[#This Row],[6-3]] + tech_5_2_3*TblTech[[#This Row],[5-2]], 1-global_constr_cap) * TblConstr[[#This Row],[RCPA Lumber]],0)</f>
        <v>31</v>
      </c>
      <c r="AO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6" s="94">
        <f ca="1">ROUNDDOWN( MAX(1 - MIN(facs_constr_factor*TblConstr[[#This Row],[Facs DB]],facs_constr_max) + tech_1_11*TblTech[[#This Row],[1-11]] + tech_6_3_2*TblTech[[#This Row],[6-3]] + tech_5_2_3*TblTech[[#This Row],[5-2]], 1-global_constr_cap) * ROUND((TblConstr[[#This Row],[Land]]-250)*0.285 + 87.5 + 0/4.25,0),0)</f>
        <v>31</v>
      </c>
      <c r="AQ36" s="45">
        <f ca="1">TblConstr[[#This Row],[build -db]]*TblConstr[[#This Row],[CPA Platinum -DB]] + TblConstr[[#This Row],[build db]]*TblConstr[[#This Row],[CPA Platinum DB]]</f>
        <v>0</v>
      </c>
      <c r="AR36" s="45">
        <f ca="1">TblConstr[[#This Row],[build -db]]*TblConstr[[#This Row],[CPA Lumber -DB]] + TblConstr[[#This Row],[build db]]*TblConstr[[#This Row],[CPA Lumber DB]]</f>
        <v>0</v>
      </c>
      <c r="AS36" s="94">
        <f ca="1">MIN(SUM(OFFSET(TblConstr[[#This Row],[Plain]:[Water]],-1,0))+SUM(TblConstr[[#This Row],[Dest Hom]:[Dest Doc]])+IF(TblConstr[[#This Row],[Hour]]&gt;12,SUM(OFFSET(TblExplore[[#This Row],[Plains Explore]:[Water Explore]],-12,0)),0),SUM(TblConstr[[#This Row],[Hom]:[Doc]]))</f>
        <v>0</v>
      </c>
      <c r="AT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42"/>
      <c r="AV36" s="94">
        <f ca="1">ROUND((TblConstr[[#This Row],[Land]]-250 - IF(TblExplore[[#This Row],[Land Bonus]]&lt;&gt;0,20,0))*1.25 + 850 + 0,0)</f>
        <v>600</v>
      </c>
      <c r="AW36" s="94">
        <f ca="1">ROUND((TblConstr[[#This Row],[Land]]-250 - IF(TblExplore[[#This Row],[Land Bonus]]&lt;&gt;0,20,0))*0.285 + 87.5 + 0/4.25,0)</f>
        <v>31</v>
      </c>
      <c r="AX36" s="154"/>
      <c r="AY36" s="188" cm="1">
        <f t="array" aca="1" ref="AY36" ca="1">IF(TblConstr[[#This Row],[Hour]:[Hour]]&gt;12,OFFSET(TblConstr[[#This Row],[Hom]],-12,0),0)+OFFSET(TblConstr[[#This Row],[Tot Hom]],-1,0)-TblConstr[[#This Row],[Dest Hom]]</f>
        <v>0</v>
      </c>
      <c r="AZ36" s="189" cm="1">
        <f t="array" aca="1" ref="AZ36" ca="1">IF(TblConstr[[#This Row],[Hour]:[Hour]]&gt;12,OFFSET(TblConstr[[#This Row],[Alc]],-12,0),0)+OFFSET(TblConstr[[#This Row],[Tot Alc]],-1,0)-TblConstr[[#This Row],[Dest Alc]]</f>
        <v>0</v>
      </c>
      <c r="BA36" s="189" cm="1">
        <f t="array" aca="1" ref="BA36" ca="1">IF(TblConstr[[#This Row],[Hour]:[Hour]]&gt;12,OFFSET(TblConstr[[#This Row],[Far]],-12,0),0)+OFFSET(TblConstr[[#This Row],[Tot Farm]],-1,0)-TblConstr[[#This Row],[Dest Farm]]</f>
        <v>30</v>
      </c>
      <c r="BB36" s="189" cm="1">
        <f t="array" aca="1" ref="BB36" ca="1">IF(TblConstr[[#This Row],[Hour]:[Hour]]&gt;12,OFFSET(TblConstr[[#This Row],[Smi]],-12,0),0)+OFFSET(TblConstr[[#This Row],[Tot Smi]],-1,0)-TblConstr[[#This Row],[Dest Smi]]</f>
        <v>0</v>
      </c>
      <c r="BC36" s="189" cm="1">
        <f t="array" aca="1" ref="BC36" ca="1">IF(TblConstr[[#This Row],[Hour]:[Hour]]&gt;12,OFFSET(TblConstr[[#This Row],[Mas]],-12,0),0)+OFFSET(TblConstr[[#This Row],[Tot Mas]],-1,0)-TblConstr[[#This Row],[Dest Mas]]</f>
        <v>0</v>
      </c>
      <c r="BD36" s="190" cm="1">
        <f t="array" aca="1" ref="BD36" ca="1">IF(TblConstr[[#This Row],[Hour]:[Hour]]&gt;12,OFFSET(TblConstr[[#This Row],[Ly]],-12,0),0)+OFFSET(TblConstr[[#This Row],[Tot Ly]],-1,0)-TblConstr[[#This Row],[Dest Ly]]</f>
        <v>20</v>
      </c>
      <c r="BE36" s="190" cm="1">
        <f t="array" aca="1" ref="BE36" ca="1">IF(TblConstr[[#This Row],[Hour]:[Hour]]&gt;12,OFFSET(TblConstr[[#This Row],[Hav]],-12,0),0)+OFFSET(TblConstr[[#This Row],[Tot Hav]],-1,0)-TblConstr[[#This Row],[Dest Hav]]</f>
        <v>0</v>
      </c>
      <c r="BF36" s="361" cm="1">
        <f t="array" aca="1" ref="BF36" ca="1">IF(TblConstr[[#This Row],[Hour]:[Hour]]&gt;12,OFFSET(TblConstr[[#This Row],[OM]],-12,0),0)+OFFSET(TblConstr[[#This Row],[Tot OM]],-1,0)-TblConstr[[#This Row],[Dest OM]]</f>
        <v>0</v>
      </c>
      <c r="BG36" s="361" cm="1">
        <f t="array" aca="1" ref="BG36" ca="1">IF(TblConstr[[#This Row],[Hour]:[Hour]]&gt;12,OFFSET(TblConstr[[#This Row],[GN]],-12,0),0)+OFFSET(TblConstr[[#This Row],[Tot GN]],-1,0)-TblConstr[[#This Row],[Dest GN]]</f>
        <v>0</v>
      </c>
      <c r="BH36" s="365" cm="1">
        <f t="array" aca="1" ref="BH36" ca="1">IF(TblConstr[[#This Row],[Hour]:[Hour]]&gt;12,OFFSET(TblConstr[[#This Row],[Fac]],-12,0),0)+OFFSET(TblConstr[[#This Row],[Tot Fac]],-1,0)-TblConstr[[#This Row],[Dest Fac]]</f>
        <v>0</v>
      </c>
      <c r="BI36" s="365" cm="1">
        <f t="array" aca="1" ref="BI36" ca="1">IF(TblConstr[[#This Row],[Hour]:[Hour]]&gt;12,OFFSET(TblConstr[[#This Row],[GT]],-12,0),0)+OFFSET(TblConstr[[#This Row],[Tot GT]],-1,0)-TblConstr[[#This Row],[Dest GT]]</f>
        <v>0</v>
      </c>
      <c r="BJ36" s="365" cm="1">
        <f t="array" aca="1" ref="BJ36" ca="1">IF(TblConstr[[#This Row],[Hour]:[Hour]]&gt;12,OFFSET(TblConstr[[#This Row],[Bar]],-12,0),0)+OFFSET(TblConstr[[#This Row],[Tot Bar]],-1,0)-TblConstr[[#This Row],[Dest Bar]]</f>
        <v>0</v>
      </c>
      <c r="BK36" s="365" cm="1">
        <f t="array" aca="1" ref="BK36" ca="1">IF(TblConstr[[#This Row],[Hour]:[Hour]]&gt;12,OFFSET(TblConstr[[#This Row],[Shr]],-12,0),0)+OFFSET(TblConstr[[#This Row],[Tot Shr]],-1,0)-TblConstr[[#This Row],[Dest Shr]]</f>
        <v>0</v>
      </c>
      <c r="BL36" s="369" cm="1">
        <f t="array" aca="1" ref="BL36" ca="1">IF(TblConstr[[#This Row],[Hour]:[Hour]]&gt;12,OFFSET(TblConstr[[#This Row],[Tow]],-12,0),0)+OFFSET(TblConstr[[#This Row],[Tot Tow]],-1,0)-TblConstr[[#This Row],[Dest Tow]]</f>
        <v>0</v>
      </c>
      <c r="BM36" s="369" cm="1">
        <f t="array" aca="1" ref="BM36" ca="1">IF(TblConstr[[#This Row],[Hour]:[Hour]]&gt;12,OFFSET(TblConstr[[#This Row],[Tem]],-12,0),0)+OFFSET(TblConstr[[#This Row],[Tot Tem]],-1,0)-TblConstr[[#This Row],[Dest Tem]]</f>
        <v>0</v>
      </c>
      <c r="BN36" s="369" cm="1">
        <f t="array" aca="1" ref="BN36" ca="1">IF(TblConstr[[#This Row],[Hour]:[Hour]]&gt;12,OFFSET(TblConstr[[#This Row],[WG]],-12,0),0)+OFFSET(TblConstr[[#This Row],[Tot WG]],-1,0)-TblConstr[[#This Row],[Dest WG]]</f>
        <v>0</v>
      </c>
      <c r="BO36" s="191" cm="1">
        <f t="array" aca="1" ref="BO36" ca="1">IF(TblConstr[[#This Row],[Hour]:[Hour]]&gt;12,OFFSET(TblConstr[[#This Row],[DM]],-12,0),0)+OFFSET(TblConstr[[#This Row],[Tot DM]],-1,0)-TblConstr[[#This Row],[Dest DM]]</f>
        <v>0</v>
      </c>
      <c r="BP36" s="191" cm="1">
        <f t="array" aca="1" ref="BP36" ca="1">IF(TblConstr[[#This Row],[Hour]:[Hour]]&gt;12,OFFSET(TblConstr[[#This Row],[Sch]],-12,0),0)+OFFSET(TblConstr[[#This Row],[Tot Sch]],-1,0)-TblConstr[[#This Row],[Dest Sch]]</f>
        <v>0</v>
      </c>
      <c r="BQ36" s="192" cm="1">
        <f t="array" aca="1" ref="BQ36" ca="1">IF(TblConstr[[#This Row],[Hour]:[Hour]]&gt;12,OFFSET(TblConstr[[#This Row],[Doc]],-12,0),0)+OFFSET(TblConstr[[#This Row],[Tot Doc]],-1,0)-TblConstr[[#This Row],[Dest Doc]]</f>
        <v>0</v>
      </c>
      <c r="BR36" s="142"/>
      <c r="BS36" s="154"/>
      <c r="BT36" s="94">
        <f ca="1">TblConstr[[#This Row],[Land]]</f>
        <v>50</v>
      </c>
      <c r="BU36" s="159">
        <f ca="1">TblImps[[#This Row],[Time]]</f>
        <v>46321.333333333256</v>
      </c>
      <c r="BV36" s="142"/>
      <c r="BW36" s="179"/>
      <c r="BX36" s="179"/>
      <c r="BY36" s="179"/>
      <c r="BZ36" s="179"/>
      <c r="CA36" s="179"/>
      <c r="CB36" s="179"/>
      <c r="CC36" s="179"/>
      <c r="CD36" s="179"/>
      <c r="CE36" s="179"/>
      <c r="CF36" s="179"/>
      <c r="CG36" s="179"/>
      <c r="CH36" s="179"/>
      <c r="CI36" s="179"/>
      <c r="CJ36" s="179"/>
      <c r="CK36" s="179"/>
      <c r="CL36" s="179"/>
      <c r="CM36" s="179"/>
      <c r="CN36" s="179"/>
      <c r="CO36" s="179"/>
      <c r="CP36" s="142"/>
      <c r="CQ36" s="181">
        <f ca="1">-SUM(TblConstr[[#This Row],[Alc]:[Mas]])+SUM(TblConstr[[#This Row],[Dest Alc]:[Dest Mas]])+Rezone!L36+IF("Ch_"&amp; home_land=TblConstr[[#Headers],[Ch_Plain]],TblConstr[[#This Row],[Home Land]])+IF(TblConstr[[#This Row],[Hour]:[Hour]]&gt;12,OFFSET(TblExplore[[#This Row],[Plains Explore]],-12,0),0)</f>
        <v>0</v>
      </c>
      <c r="CR36" s="182">
        <f ca="1">-SUM(TblConstr[[#This Row],[Ly]:[Hav]])+SUM(TblConstr[[#This Row],[Dest Ly]:[Dest Hav]]) +Rezone!M36 + IF("Ch_"&amp; home_land=TblConstr[[#Headers],[Ch_Forest]],TblConstr[[#This Row],[Home Land]])+IF(TblConstr[[#This Row],[Hour]:[Hour]]&gt;12,OFFSET(TblExplore[[#This Row],[Forest Explore]],-12,0),0)</f>
        <v>0</v>
      </c>
      <c r="CS36" s="359">
        <f ca="1">-SUM(TblConstr[[#This Row],[OM]:[GN]])+SUM(TblConstr[[#This Row],[Dest OM]:[Dest GN]]) +Rezone!N36 + IF("Ch_"&amp; home_land=TblConstr[[#Headers],[Ch_Mountain]],TblConstr[[#This Row],[Home Land]])+IF(TblConstr[[#This Row],[Hour]:[Hour]]&gt;12,OFFSET(TblExplore[[#This Row],[Mountain Explore]],-12,0),0)</f>
        <v>0</v>
      </c>
      <c r="CT36" s="183">
        <f ca="1">-SUM(TblConstr[[#This Row],[Fac]:[Shr]])+SUM(TblConstr[[#This Row],[Dest Fac]:[Dest Shr]]) +Rezone!O36 + IF("Ch_" &amp; home_land=TblConstr[[#Headers],[Ch_Hill]],TblConstr[[#This Row],[Home Land]])+IF(TblConstr[[#This Row],[Hour]:[Hour]]&gt;12,OFFSET(TblExplore[[#This Row],[Hill Explore]],-12,0),0)</f>
        <v>0</v>
      </c>
      <c r="CU36" s="184">
        <f ca="1">-SUM(TblConstr[[#This Row],[Tow]:[WG]])+SUM(TblConstr[[#This Row],[Dest Tow]:[Dest WG]]) +Rezone!P36 + IF("Ch_" &amp; home_land=TblConstr[[#Headers],[Ch_Swamp]],TblConstr[[#This Row],[Home Land]])+IF(TblConstr[[#This Row],[Hour]:[Hour]]&gt;12,OFFSET(TblExplore[[#This Row],[Swamp Explore]],-12,0),0)</f>
        <v>0</v>
      </c>
      <c r="CV36" s="185">
        <f ca="1" xml:space="preserve"> - SUM(TblConstr[[#This Row],[DM]:[Sch]])+SUM(TblConstr[[#This Row],[Dest DM]:[Dest Sch]]) +Rezone!Q36 + IF("Ch_" &amp; home_land=TblConstr[[#Headers],[Ch_Cavern]],TblConstr[[#This Row],[Home Land]])+IF(TblConstr[[#This Row],[Hour]:[Hour]]&gt;12,OFFSET(TblExplore[[#This Row],[Cavern Explore]],-12,0),0)</f>
        <v>0</v>
      </c>
      <c r="CW36" s="186">
        <f ca="1">-TblConstr[[#This Row],[Doc]]+TblConstr[[#This Row],[Dest Doc]] +Rezone!R36 + IF("Ch_" &amp; home_land=TblConstr[[#Headers],[Ch_Water]],TblConstr[[#This Row],[Home Land]])+IF(TblConstr[[#This Row],[Hour]:[Hour]]&gt;12,OFFSET(TblExplore[[#This Row],[Water Explore]],-12,0),0)</f>
        <v>0</v>
      </c>
      <c r="CX36" s="45">
        <f>IF(Explore!S36=1,20) - TblConstr[[#This Row],[Hom]] + TblConstr[[#This Row],[Dest Hom]]</f>
        <v>0</v>
      </c>
      <c r="CY36" s="142"/>
      <c r="CZ36" s="94">
        <f t="shared" ca="1" si="3"/>
        <v>30</v>
      </c>
      <c r="DA36" s="94">
        <f t="shared" ca="1" si="4"/>
        <v>20</v>
      </c>
      <c r="DB36" s="45">
        <f t="shared" ca="1" si="5"/>
        <v>0</v>
      </c>
      <c r="DC36" s="94">
        <f t="shared" ca="1" si="6"/>
        <v>0</v>
      </c>
      <c r="DD36" s="94">
        <f t="shared" ca="1" si="7"/>
        <v>0</v>
      </c>
      <c r="DE36" s="45">
        <f t="shared" ca="1" si="8"/>
        <v>0</v>
      </c>
      <c r="DF36" s="94">
        <f t="shared" ca="1" si="9"/>
        <v>0</v>
      </c>
      <c r="DG36" s="94" cm="1">
        <f t="array" aca="1" ref="DG36" ca="1">INDEX(TblConstr[[Total Plain]:[Total Water]],ROW()-ROW(TblConstr[#Headers]),MATCH("Total "&amp;home_land,TblConstr[[#Headers],[Total Plain]:[Total Water]],0))+TblConstr[[#This Row],[Homes]]</f>
        <v>30</v>
      </c>
      <c r="DH36" s="45">
        <f t="shared" ca="1" si="10"/>
        <v>0</v>
      </c>
      <c r="DI36" s="45">
        <f t="shared" ca="1" si="0"/>
        <v>0</v>
      </c>
      <c r="DJ36" s="45">
        <f t="shared" ca="1" si="1"/>
        <v>0</v>
      </c>
    </row>
    <row r="37" spans="1:114" x14ac:dyDescent="0.2">
      <c r="A37" s="175">
        <f>TblRezone[[#This Row],[Hour]]</f>
        <v>34</v>
      </c>
      <c r="B37" s="176">
        <f ca="1">SUM(TblConstr[[#This Row],[Plain]:[Water]])</f>
        <v>0</v>
      </c>
      <c r="C37" s="177">
        <f ca="1">SUM(TblConstr[[#This Row],[Tot Hom]:[Tot Doc]])</f>
        <v>50</v>
      </c>
      <c r="D37" s="177">
        <f t="shared" si="2"/>
        <v>0</v>
      </c>
      <c r="E37" s="178"/>
      <c r="F37" s="61">
        <f ca="1">TblConstr[[#This Row],[Barren]]+TblConstr[[#This Row],[Buildings]]+TblConstr[[#This Row],[Incoming]]</f>
        <v>50</v>
      </c>
      <c r="G37" s="187">
        <f ca="1">OFFSET(TblConstr[[#This Row],[Plain]],-1,0)+TblConstr[[#This Row],[Ch_Plain]]</f>
        <v>0</v>
      </c>
      <c r="H37" s="182">
        <f ca="1">OFFSET(TblConstr[[#This Row],[Forest]],-1,0)+TblConstr[[#This Row],[Ch_Forest]]</f>
        <v>0</v>
      </c>
      <c r="I37" s="359">
        <f ca="1">OFFSET(TblConstr[[#This Row],[Mountain]],-1,0)+TblConstr[[#This Row],[Ch_Mountain]]</f>
        <v>0</v>
      </c>
      <c r="J37" s="363">
        <f ca="1">OFFSET(TblConstr[[#This Row],[Hill]],-1,0)+TblConstr[[#This Row],[Ch_Hill]]</f>
        <v>0</v>
      </c>
      <c r="K37" s="367">
        <f ca="1">OFFSET(TblConstr[[#This Row],[Swamp]],-1,0)+TblConstr[[#This Row],[Ch_Swamp]]</f>
        <v>0</v>
      </c>
      <c r="L37" s="185">
        <f ca="1">OFFSET(TblConstr[[#This Row],[Cavern]],-1,0)+TblConstr[[#This Row],[Ch_Cavern]]</f>
        <v>0</v>
      </c>
      <c r="M37" s="186">
        <f ca="1">OFFSET(TblConstr[[#This Row],[Water]],-1,0)+TblConstr[[#This Row],[Ch_Water]]</f>
        <v>0</v>
      </c>
      <c r="N37" s="357">
        <f>TblRezone[[#This Row],[Hour]]</f>
        <v>34</v>
      </c>
      <c r="O37" s="179"/>
      <c r="P37" s="179"/>
      <c r="Q37" s="179"/>
      <c r="R37" s="179"/>
      <c r="S37" s="179"/>
      <c r="T37" s="179"/>
      <c r="U37" s="179"/>
      <c r="V37" s="179"/>
      <c r="W37" s="179"/>
      <c r="X37" s="179"/>
      <c r="Y37" s="179"/>
      <c r="Z37" s="179"/>
      <c r="AA37" s="179"/>
      <c r="AB37" s="179"/>
      <c r="AC37" s="179"/>
      <c r="AD37" s="179"/>
      <c r="AE37" s="179"/>
      <c r="AF37" s="179"/>
      <c r="AG37" s="179"/>
      <c r="AH37" s="53">
        <f ca="1">TblImps[[#This Row],[Time]]</f>
        <v>46321.37499999992</v>
      </c>
      <c r="AI37" s="180">
        <f ca="1">MIN(25%,(TblConstr[[#This Row],[Tot Fac]]+TblConstr[[#This Row],[Dest Fac]])/(TblConstr[[#This Row],[Land]]-TblExplore[[#This Row],[Land Bonus]]*20))</f>
        <v>0</v>
      </c>
      <c r="AJ37" s="180">
        <f ca="1">MIN(25%,(TblConstr[[#This Row],[Tot Fac]]+TblConstr[[#This Row],[Dest Fac]])/TblConstr[[#This Row],[Land]])</f>
        <v>0</v>
      </c>
      <c r="AK37" s="94">
        <f ca="1">TblProd[[#This Row],[Platinum]]</f>
        <v>155757</v>
      </c>
      <c r="AL37" s="94">
        <f ca="1">TblProd[[#This Row],[Lumber]]</f>
        <v>38992</v>
      </c>
      <c r="AM3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7" s="94">
        <f ca="1">ROUNDDOWN( MAX(1 - MIN(facs_constr_factor*TblConstr[[#This Row],[Facs -DB]],facs_constr_max) + tech_1_11*TblTech[[#This Row],[11-1]] + tech_6_3_2*TblTech[[#This Row],[6-3]] + tech_5_2_3*TblTech[[#This Row],[5-2]], 1-global_constr_cap) * TblConstr[[#This Row],[RCPA Lumber]],0)</f>
        <v>31</v>
      </c>
      <c r="AO3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7" s="94">
        <f ca="1">ROUNDDOWN( MAX(1 - MIN(facs_constr_factor*TblConstr[[#This Row],[Facs DB]],facs_constr_max) + tech_1_11*TblTech[[#This Row],[1-11]] + tech_6_3_2*TblTech[[#This Row],[6-3]] + tech_5_2_3*TblTech[[#This Row],[5-2]], 1-global_constr_cap) * ROUND((TblConstr[[#This Row],[Land]]-250)*0.285 + 87.5 + 0/4.25,0),0)</f>
        <v>31</v>
      </c>
      <c r="AQ37" s="45">
        <f ca="1">TblConstr[[#This Row],[build -db]]*TblConstr[[#This Row],[CPA Platinum -DB]] + TblConstr[[#This Row],[build db]]*TblConstr[[#This Row],[CPA Platinum DB]]</f>
        <v>0</v>
      </c>
      <c r="AR37" s="45">
        <f ca="1">TblConstr[[#This Row],[build -db]]*TblConstr[[#This Row],[CPA Lumber -DB]] + TblConstr[[#This Row],[build db]]*TblConstr[[#This Row],[CPA Lumber DB]]</f>
        <v>0</v>
      </c>
      <c r="AS37" s="94">
        <f ca="1">MIN(SUM(OFFSET(TblConstr[[#This Row],[Plain]:[Water]],-1,0))+SUM(TblConstr[[#This Row],[Dest Hom]:[Dest Doc]])+IF(TblConstr[[#This Row],[Hour]]&gt;12,SUM(OFFSET(TblExplore[[#This Row],[Plains Explore]:[Water Explore]],-12,0)),0),SUM(TblConstr[[#This Row],[Hom]:[Doc]]))</f>
        <v>0</v>
      </c>
      <c r="AT3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42"/>
      <c r="AV37" s="94">
        <f ca="1">ROUND((TblConstr[[#This Row],[Land]]-250 - IF(TblExplore[[#This Row],[Land Bonus]]&lt;&gt;0,20,0))*1.25 + 850 + 0,0)</f>
        <v>600</v>
      </c>
      <c r="AW37" s="94">
        <f ca="1">ROUND((TblConstr[[#This Row],[Land]]-250 - IF(TblExplore[[#This Row],[Land Bonus]]&lt;&gt;0,20,0))*0.285 + 87.5 + 0/4.25,0)</f>
        <v>31</v>
      </c>
      <c r="AX37" s="154"/>
      <c r="AY37" s="188" cm="1">
        <f t="array" aca="1" ref="AY37" ca="1">IF(TblConstr[[#This Row],[Hour]:[Hour]]&gt;12,OFFSET(TblConstr[[#This Row],[Hom]],-12,0),0)+OFFSET(TblConstr[[#This Row],[Tot Hom]],-1,0)-TblConstr[[#This Row],[Dest Hom]]</f>
        <v>0</v>
      </c>
      <c r="AZ37" s="189" cm="1">
        <f t="array" aca="1" ref="AZ37" ca="1">IF(TblConstr[[#This Row],[Hour]:[Hour]]&gt;12,OFFSET(TblConstr[[#This Row],[Alc]],-12,0),0)+OFFSET(TblConstr[[#This Row],[Tot Alc]],-1,0)-TblConstr[[#This Row],[Dest Alc]]</f>
        <v>0</v>
      </c>
      <c r="BA37" s="189" cm="1">
        <f t="array" aca="1" ref="BA37" ca="1">IF(TblConstr[[#This Row],[Hour]:[Hour]]&gt;12,OFFSET(TblConstr[[#This Row],[Far]],-12,0),0)+OFFSET(TblConstr[[#This Row],[Tot Farm]],-1,0)-TblConstr[[#This Row],[Dest Farm]]</f>
        <v>30</v>
      </c>
      <c r="BB37" s="189" cm="1">
        <f t="array" aca="1" ref="BB37" ca="1">IF(TblConstr[[#This Row],[Hour]:[Hour]]&gt;12,OFFSET(TblConstr[[#This Row],[Smi]],-12,0),0)+OFFSET(TblConstr[[#This Row],[Tot Smi]],-1,0)-TblConstr[[#This Row],[Dest Smi]]</f>
        <v>0</v>
      </c>
      <c r="BC37" s="189" cm="1">
        <f t="array" aca="1" ref="BC37" ca="1">IF(TblConstr[[#This Row],[Hour]:[Hour]]&gt;12,OFFSET(TblConstr[[#This Row],[Mas]],-12,0),0)+OFFSET(TblConstr[[#This Row],[Tot Mas]],-1,0)-TblConstr[[#This Row],[Dest Mas]]</f>
        <v>0</v>
      </c>
      <c r="BD37" s="190" cm="1">
        <f t="array" aca="1" ref="BD37" ca="1">IF(TblConstr[[#This Row],[Hour]:[Hour]]&gt;12,OFFSET(TblConstr[[#This Row],[Ly]],-12,0),0)+OFFSET(TblConstr[[#This Row],[Tot Ly]],-1,0)-TblConstr[[#This Row],[Dest Ly]]</f>
        <v>20</v>
      </c>
      <c r="BE37" s="190" cm="1">
        <f t="array" aca="1" ref="BE37" ca="1">IF(TblConstr[[#This Row],[Hour]:[Hour]]&gt;12,OFFSET(TblConstr[[#This Row],[Hav]],-12,0),0)+OFFSET(TblConstr[[#This Row],[Tot Hav]],-1,0)-TblConstr[[#This Row],[Dest Hav]]</f>
        <v>0</v>
      </c>
      <c r="BF37" s="361" cm="1">
        <f t="array" aca="1" ref="BF37" ca="1">IF(TblConstr[[#This Row],[Hour]:[Hour]]&gt;12,OFFSET(TblConstr[[#This Row],[OM]],-12,0),0)+OFFSET(TblConstr[[#This Row],[Tot OM]],-1,0)-TblConstr[[#This Row],[Dest OM]]</f>
        <v>0</v>
      </c>
      <c r="BG37" s="361" cm="1">
        <f t="array" aca="1" ref="BG37" ca="1">IF(TblConstr[[#This Row],[Hour]:[Hour]]&gt;12,OFFSET(TblConstr[[#This Row],[GN]],-12,0),0)+OFFSET(TblConstr[[#This Row],[Tot GN]],-1,0)-TblConstr[[#This Row],[Dest GN]]</f>
        <v>0</v>
      </c>
      <c r="BH37" s="365" cm="1">
        <f t="array" aca="1" ref="BH37" ca="1">IF(TblConstr[[#This Row],[Hour]:[Hour]]&gt;12,OFFSET(TblConstr[[#This Row],[Fac]],-12,0),0)+OFFSET(TblConstr[[#This Row],[Tot Fac]],-1,0)-TblConstr[[#This Row],[Dest Fac]]</f>
        <v>0</v>
      </c>
      <c r="BI37" s="365" cm="1">
        <f t="array" aca="1" ref="BI37" ca="1">IF(TblConstr[[#This Row],[Hour]:[Hour]]&gt;12,OFFSET(TblConstr[[#This Row],[GT]],-12,0),0)+OFFSET(TblConstr[[#This Row],[Tot GT]],-1,0)-TblConstr[[#This Row],[Dest GT]]</f>
        <v>0</v>
      </c>
      <c r="BJ37" s="365" cm="1">
        <f t="array" aca="1" ref="BJ37" ca="1">IF(TblConstr[[#This Row],[Hour]:[Hour]]&gt;12,OFFSET(TblConstr[[#This Row],[Bar]],-12,0),0)+OFFSET(TblConstr[[#This Row],[Tot Bar]],-1,0)-TblConstr[[#This Row],[Dest Bar]]</f>
        <v>0</v>
      </c>
      <c r="BK37" s="365" cm="1">
        <f t="array" aca="1" ref="BK37" ca="1">IF(TblConstr[[#This Row],[Hour]:[Hour]]&gt;12,OFFSET(TblConstr[[#This Row],[Shr]],-12,0),0)+OFFSET(TblConstr[[#This Row],[Tot Shr]],-1,0)-TblConstr[[#This Row],[Dest Shr]]</f>
        <v>0</v>
      </c>
      <c r="BL37" s="369" cm="1">
        <f t="array" aca="1" ref="BL37" ca="1">IF(TblConstr[[#This Row],[Hour]:[Hour]]&gt;12,OFFSET(TblConstr[[#This Row],[Tow]],-12,0),0)+OFFSET(TblConstr[[#This Row],[Tot Tow]],-1,0)-TblConstr[[#This Row],[Dest Tow]]</f>
        <v>0</v>
      </c>
      <c r="BM37" s="369" cm="1">
        <f t="array" aca="1" ref="BM37" ca="1">IF(TblConstr[[#This Row],[Hour]:[Hour]]&gt;12,OFFSET(TblConstr[[#This Row],[Tem]],-12,0),0)+OFFSET(TblConstr[[#This Row],[Tot Tem]],-1,0)-TblConstr[[#This Row],[Dest Tem]]</f>
        <v>0</v>
      </c>
      <c r="BN37" s="369" cm="1">
        <f t="array" aca="1" ref="BN37" ca="1">IF(TblConstr[[#This Row],[Hour]:[Hour]]&gt;12,OFFSET(TblConstr[[#This Row],[WG]],-12,0),0)+OFFSET(TblConstr[[#This Row],[Tot WG]],-1,0)-TblConstr[[#This Row],[Dest WG]]</f>
        <v>0</v>
      </c>
      <c r="BO37" s="191" cm="1">
        <f t="array" aca="1" ref="BO37" ca="1">IF(TblConstr[[#This Row],[Hour]:[Hour]]&gt;12,OFFSET(TblConstr[[#This Row],[DM]],-12,0),0)+OFFSET(TblConstr[[#This Row],[Tot DM]],-1,0)-TblConstr[[#This Row],[Dest DM]]</f>
        <v>0</v>
      </c>
      <c r="BP37" s="191" cm="1">
        <f t="array" aca="1" ref="BP37" ca="1">IF(TblConstr[[#This Row],[Hour]:[Hour]]&gt;12,OFFSET(TblConstr[[#This Row],[Sch]],-12,0),0)+OFFSET(TblConstr[[#This Row],[Tot Sch]],-1,0)-TblConstr[[#This Row],[Dest Sch]]</f>
        <v>0</v>
      </c>
      <c r="BQ37" s="192" cm="1">
        <f t="array" aca="1" ref="BQ37" ca="1">IF(TblConstr[[#This Row],[Hour]:[Hour]]&gt;12,OFFSET(TblConstr[[#This Row],[Doc]],-12,0),0)+OFFSET(TblConstr[[#This Row],[Tot Doc]],-1,0)-TblConstr[[#This Row],[Dest Doc]]</f>
        <v>0</v>
      </c>
      <c r="BR37" s="142"/>
      <c r="BS37" s="154"/>
      <c r="BT37" s="94">
        <f ca="1">TblConstr[[#This Row],[Land]]</f>
        <v>50</v>
      </c>
      <c r="BU37" s="159">
        <f ca="1">TblImps[[#This Row],[Time]]</f>
        <v>46321.37499999992</v>
      </c>
      <c r="BV37" s="142"/>
      <c r="BW37" s="179"/>
      <c r="BX37" s="179"/>
      <c r="BY37" s="179"/>
      <c r="BZ37" s="179"/>
      <c r="CA37" s="179"/>
      <c r="CB37" s="179"/>
      <c r="CC37" s="179"/>
      <c r="CD37" s="179"/>
      <c r="CE37" s="179"/>
      <c r="CF37" s="179"/>
      <c r="CG37" s="179"/>
      <c r="CH37" s="179"/>
      <c r="CI37" s="179"/>
      <c r="CJ37" s="179"/>
      <c r="CK37" s="179"/>
      <c r="CL37" s="179"/>
      <c r="CM37" s="179"/>
      <c r="CN37" s="179"/>
      <c r="CO37" s="179"/>
      <c r="CP37" s="142"/>
      <c r="CQ37" s="181">
        <f ca="1">-SUM(TblConstr[[#This Row],[Alc]:[Mas]])+SUM(TblConstr[[#This Row],[Dest Alc]:[Dest Mas]])+Rezone!L37+IF("Ch_"&amp; home_land=TblConstr[[#Headers],[Ch_Plain]],TblConstr[[#This Row],[Home Land]])+IF(TblConstr[[#This Row],[Hour]:[Hour]]&gt;12,OFFSET(TblExplore[[#This Row],[Plains Explore]],-12,0),0)</f>
        <v>0</v>
      </c>
      <c r="CR37" s="182">
        <f ca="1">-SUM(TblConstr[[#This Row],[Ly]:[Hav]])+SUM(TblConstr[[#This Row],[Dest Ly]:[Dest Hav]]) +Rezone!M37 + IF("Ch_"&amp; home_land=TblConstr[[#Headers],[Ch_Forest]],TblConstr[[#This Row],[Home Land]])+IF(TblConstr[[#This Row],[Hour]:[Hour]]&gt;12,OFFSET(TblExplore[[#This Row],[Forest Explore]],-12,0),0)</f>
        <v>0</v>
      </c>
      <c r="CS37" s="359">
        <f ca="1">-SUM(TblConstr[[#This Row],[OM]:[GN]])+SUM(TblConstr[[#This Row],[Dest OM]:[Dest GN]]) +Rezone!N37 + IF("Ch_"&amp; home_land=TblConstr[[#Headers],[Ch_Mountain]],TblConstr[[#This Row],[Home Land]])+IF(TblConstr[[#This Row],[Hour]:[Hour]]&gt;12,OFFSET(TblExplore[[#This Row],[Mountain Explore]],-12,0),0)</f>
        <v>0</v>
      </c>
      <c r="CT37" s="183">
        <f ca="1">-SUM(TblConstr[[#This Row],[Fac]:[Shr]])+SUM(TblConstr[[#This Row],[Dest Fac]:[Dest Shr]]) +Rezone!O37 + IF("Ch_" &amp; home_land=TblConstr[[#Headers],[Ch_Hill]],TblConstr[[#This Row],[Home Land]])+IF(TblConstr[[#This Row],[Hour]:[Hour]]&gt;12,OFFSET(TblExplore[[#This Row],[Hill Explore]],-12,0),0)</f>
        <v>0</v>
      </c>
      <c r="CU37" s="184">
        <f ca="1">-SUM(TblConstr[[#This Row],[Tow]:[WG]])+SUM(TblConstr[[#This Row],[Dest Tow]:[Dest WG]]) +Rezone!P37 + IF("Ch_" &amp; home_land=TblConstr[[#Headers],[Ch_Swamp]],TblConstr[[#This Row],[Home Land]])+IF(TblConstr[[#This Row],[Hour]:[Hour]]&gt;12,OFFSET(TblExplore[[#This Row],[Swamp Explore]],-12,0),0)</f>
        <v>0</v>
      </c>
      <c r="CV37" s="185">
        <f ca="1" xml:space="preserve"> - SUM(TblConstr[[#This Row],[DM]:[Sch]])+SUM(TblConstr[[#This Row],[Dest DM]:[Dest Sch]]) +Rezone!Q37 + IF("Ch_" &amp; home_land=TblConstr[[#Headers],[Ch_Cavern]],TblConstr[[#This Row],[Home Land]])+IF(TblConstr[[#This Row],[Hour]:[Hour]]&gt;12,OFFSET(TblExplore[[#This Row],[Cavern Explore]],-12,0),0)</f>
        <v>0</v>
      </c>
      <c r="CW37" s="186">
        <f ca="1">-TblConstr[[#This Row],[Doc]]+TblConstr[[#This Row],[Dest Doc]] +Rezone!R37 + IF("Ch_" &amp; home_land=TblConstr[[#Headers],[Ch_Water]],TblConstr[[#This Row],[Home Land]])+IF(TblConstr[[#This Row],[Hour]:[Hour]]&gt;12,OFFSET(TblExplore[[#This Row],[Water Explore]],-12,0),0)</f>
        <v>0</v>
      </c>
      <c r="CX37" s="45">
        <f>IF(Explore!S37=1,20) - TblConstr[[#This Row],[Hom]] + TblConstr[[#This Row],[Dest Hom]]</f>
        <v>0</v>
      </c>
      <c r="CY37" s="142"/>
      <c r="CZ37" s="94">
        <f t="shared" ca="1" si="3"/>
        <v>30</v>
      </c>
      <c r="DA37" s="94">
        <f t="shared" ca="1" si="4"/>
        <v>20</v>
      </c>
      <c r="DB37" s="45">
        <f t="shared" ca="1" si="5"/>
        <v>0</v>
      </c>
      <c r="DC37" s="94">
        <f t="shared" ca="1" si="6"/>
        <v>0</v>
      </c>
      <c r="DD37" s="94">
        <f t="shared" ca="1" si="7"/>
        <v>0</v>
      </c>
      <c r="DE37" s="45">
        <f t="shared" ca="1" si="8"/>
        <v>0</v>
      </c>
      <c r="DF37" s="94">
        <f t="shared" ca="1" si="9"/>
        <v>0</v>
      </c>
      <c r="DG37" s="94" cm="1">
        <f t="array" aca="1" ref="DG37" ca="1">INDEX(TblConstr[[Total Plain]:[Total Water]],ROW()-ROW(TblConstr[#Headers]),MATCH("Total "&amp;home_land,TblConstr[[#Headers],[Total Plain]:[Total Water]],0))+TblConstr[[#This Row],[Homes]]</f>
        <v>30</v>
      </c>
      <c r="DH37" s="45">
        <f t="shared" ca="1" si="10"/>
        <v>0</v>
      </c>
      <c r="DI37" s="45">
        <f t="shared" ca="1" si="0"/>
        <v>0</v>
      </c>
      <c r="DJ37" s="45">
        <f t="shared" ca="1" si="1"/>
        <v>0</v>
      </c>
    </row>
    <row r="38" spans="1:114" x14ac:dyDescent="0.2">
      <c r="A38" s="175">
        <f>TblRezone[[#This Row],[Hour]]</f>
        <v>35</v>
      </c>
      <c r="B38" s="176">
        <f ca="1">SUM(TblConstr[[#This Row],[Plain]:[Water]])</f>
        <v>0</v>
      </c>
      <c r="C38" s="177">
        <f ca="1">SUM(TblConstr[[#This Row],[Tot Hom]:[Tot Doc]])</f>
        <v>50</v>
      </c>
      <c r="D38" s="177">
        <f t="shared" si="2"/>
        <v>0</v>
      </c>
      <c r="E38" s="178"/>
      <c r="F38" s="61">
        <f ca="1">TblConstr[[#This Row],[Barren]]+TblConstr[[#This Row],[Buildings]]+TblConstr[[#This Row],[Incoming]]</f>
        <v>50</v>
      </c>
      <c r="G38" s="187">
        <f ca="1">OFFSET(TblConstr[[#This Row],[Plain]],-1,0)+TblConstr[[#This Row],[Ch_Plain]]</f>
        <v>0</v>
      </c>
      <c r="H38" s="182">
        <f ca="1">OFFSET(TblConstr[[#This Row],[Forest]],-1,0)+TblConstr[[#This Row],[Ch_Forest]]</f>
        <v>0</v>
      </c>
      <c r="I38" s="359">
        <f ca="1">OFFSET(TblConstr[[#This Row],[Mountain]],-1,0)+TblConstr[[#This Row],[Ch_Mountain]]</f>
        <v>0</v>
      </c>
      <c r="J38" s="363">
        <f ca="1">OFFSET(TblConstr[[#This Row],[Hill]],-1,0)+TblConstr[[#This Row],[Ch_Hill]]</f>
        <v>0</v>
      </c>
      <c r="K38" s="367">
        <f ca="1">OFFSET(TblConstr[[#This Row],[Swamp]],-1,0)+TblConstr[[#This Row],[Ch_Swamp]]</f>
        <v>0</v>
      </c>
      <c r="L38" s="185">
        <f ca="1">OFFSET(TblConstr[[#This Row],[Cavern]],-1,0)+TblConstr[[#This Row],[Ch_Cavern]]</f>
        <v>0</v>
      </c>
      <c r="M38" s="186">
        <f ca="1">OFFSET(TblConstr[[#This Row],[Water]],-1,0)+TblConstr[[#This Row],[Ch_Water]]</f>
        <v>0</v>
      </c>
      <c r="N38" s="357">
        <f>TblRezone[[#This Row],[Hour]]</f>
        <v>35</v>
      </c>
      <c r="O38" s="179"/>
      <c r="P38" s="179"/>
      <c r="Q38" s="179"/>
      <c r="R38" s="179"/>
      <c r="S38" s="179"/>
      <c r="T38" s="179"/>
      <c r="U38" s="179"/>
      <c r="V38" s="179"/>
      <c r="W38" s="179"/>
      <c r="X38" s="179"/>
      <c r="Y38" s="179"/>
      <c r="Z38" s="179"/>
      <c r="AA38" s="179"/>
      <c r="AB38" s="179"/>
      <c r="AC38" s="179"/>
      <c r="AD38" s="179"/>
      <c r="AE38" s="179"/>
      <c r="AF38" s="158"/>
      <c r="AG38" s="179"/>
      <c r="AH38" s="53">
        <f ca="1">TblImps[[#This Row],[Time]]</f>
        <v>46321.416666666584</v>
      </c>
      <c r="AI38" s="180">
        <f ca="1">MIN(25%,(TblConstr[[#This Row],[Tot Fac]]+TblConstr[[#This Row],[Dest Fac]])/(TblConstr[[#This Row],[Land]]-TblExplore[[#This Row],[Land Bonus]]*20))</f>
        <v>0</v>
      </c>
      <c r="AJ38" s="180">
        <f ca="1">MIN(25%,(TblConstr[[#This Row],[Tot Fac]]+TblConstr[[#This Row],[Dest Fac]])/TblConstr[[#This Row],[Land]])</f>
        <v>0</v>
      </c>
      <c r="AK38" s="94">
        <f ca="1">TblProd[[#This Row],[Platinum]]</f>
        <v>156666</v>
      </c>
      <c r="AL38" s="94">
        <f ca="1">TblProd[[#This Row],[Lumber]]</f>
        <v>39602</v>
      </c>
      <c r="AM3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8" s="94">
        <f ca="1">ROUNDDOWN( MAX(1 - MIN(facs_constr_factor*TblConstr[[#This Row],[Facs -DB]],facs_constr_max) + tech_1_11*TblTech[[#This Row],[11-1]] + tech_6_3_2*TblTech[[#This Row],[6-3]] + tech_5_2_3*TblTech[[#This Row],[5-2]], 1-global_constr_cap) * TblConstr[[#This Row],[RCPA Lumber]],0)</f>
        <v>31</v>
      </c>
      <c r="AO3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8" s="94">
        <f ca="1">ROUNDDOWN( MAX(1 - MIN(facs_constr_factor*TblConstr[[#This Row],[Facs DB]],facs_constr_max) + tech_1_11*TblTech[[#This Row],[1-11]] + tech_6_3_2*TblTech[[#This Row],[6-3]] + tech_5_2_3*TblTech[[#This Row],[5-2]], 1-global_constr_cap) * ROUND((TblConstr[[#This Row],[Land]]-250)*0.285 + 87.5 + 0/4.25,0),0)</f>
        <v>31</v>
      </c>
      <c r="AQ38" s="45">
        <f ca="1">TblConstr[[#This Row],[build -db]]*TblConstr[[#This Row],[CPA Platinum -DB]] + TblConstr[[#This Row],[build db]]*TblConstr[[#This Row],[CPA Platinum DB]]</f>
        <v>0</v>
      </c>
      <c r="AR38" s="45">
        <f ca="1">TblConstr[[#This Row],[build -db]]*TblConstr[[#This Row],[CPA Lumber -DB]] + TblConstr[[#This Row],[build db]]*TblConstr[[#This Row],[CPA Lumber DB]]</f>
        <v>0</v>
      </c>
      <c r="AS38" s="94">
        <f ca="1">MIN(SUM(OFFSET(TblConstr[[#This Row],[Plain]:[Water]],-1,0))+SUM(TblConstr[[#This Row],[Dest Hom]:[Dest Doc]])+IF(TblConstr[[#This Row],[Hour]]&gt;12,SUM(OFFSET(TblExplore[[#This Row],[Plains Explore]:[Water Explore]],-12,0)),0),SUM(TblConstr[[#This Row],[Hom]:[Doc]]))</f>
        <v>0</v>
      </c>
      <c r="AT3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42"/>
      <c r="AV38" s="94">
        <f ca="1">ROUND((TblConstr[[#This Row],[Land]]-250 - IF(TblExplore[[#This Row],[Land Bonus]]&lt;&gt;0,20,0))*1.25 + 850 + 0,0)</f>
        <v>600</v>
      </c>
      <c r="AW38" s="94">
        <f ca="1">ROUND((TblConstr[[#This Row],[Land]]-250 - IF(TblExplore[[#This Row],[Land Bonus]]&lt;&gt;0,20,0))*0.285 + 87.5 + 0/4.25,0)</f>
        <v>31</v>
      </c>
      <c r="AX38" s="154"/>
      <c r="AY38" s="188" cm="1">
        <f t="array" aca="1" ref="AY38" ca="1">IF(TblConstr[[#This Row],[Hour]:[Hour]]&gt;12,OFFSET(TblConstr[[#This Row],[Hom]],-12,0),0)+OFFSET(TblConstr[[#This Row],[Tot Hom]],-1,0)-TblConstr[[#This Row],[Dest Hom]]</f>
        <v>0</v>
      </c>
      <c r="AZ38" s="189" cm="1">
        <f t="array" aca="1" ref="AZ38" ca="1">IF(TblConstr[[#This Row],[Hour]:[Hour]]&gt;12,OFFSET(TblConstr[[#This Row],[Alc]],-12,0),0)+OFFSET(TblConstr[[#This Row],[Tot Alc]],-1,0)-TblConstr[[#This Row],[Dest Alc]]</f>
        <v>0</v>
      </c>
      <c r="BA38" s="189" cm="1">
        <f t="array" aca="1" ref="BA38" ca="1">IF(TblConstr[[#This Row],[Hour]:[Hour]]&gt;12,OFFSET(TblConstr[[#This Row],[Far]],-12,0),0)+OFFSET(TblConstr[[#This Row],[Tot Farm]],-1,0)-TblConstr[[#This Row],[Dest Farm]]</f>
        <v>30</v>
      </c>
      <c r="BB38" s="189" cm="1">
        <f t="array" aca="1" ref="BB38" ca="1">IF(TblConstr[[#This Row],[Hour]:[Hour]]&gt;12,OFFSET(TblConstr[[#This Row],[Smi]],-12,0),0)+OFFSET(TblConstr[[#This Row],[Tot Smi]],-1,0)-TblConstr[[#This Row],[Dest Smi]]</f>
        <v>0</v>
      </c>
      <c r="BC38" s="189" cm="1">
        <f t="array" aca="1" ref="BC38" ca="1">IF(TblConstr[[#This Row],[Hour]:[Hour]]&gt;12,OFFSET(TblConstr[[#This Row],[Mas]],-12,0),0)+OFFSET(TblConstr[[#This Row],[Tot Mas]],-1,0)-TblConstr[[#This Row],[Dest Mas]]</f>
        <v>0</v>
      </c>
      <c r="BD38" s="190" cm="1">
        <f t="array" aca="1" ref="BD38" ca="1">IF(TblConstr[[#This Row],[Hour]:[Hour]]&gt;12,OFFSET(TblConstr[[#This Row],[Ly]],-12,0),0)+OFFSET(TblConstr[[#This Row],[Tot Ly]],-1,0)-TblConstr[[#This Row],[Dest Ly]]</f>
        <v>20</v>
      </c>
      <c r="BE38" s="190" cm="1">
        <f t="array" aca="1" ref="BE38" ca="1">IF(TblConstr[[#This Row],[Hour]:[Hour]]&gt;12,OFFSET(TblConstr[[#This Row],[Hav]],-12,0),0)+OFFSET(TblConstr[[#This Row],[Tot Hav]],-1,0)-TblConstr[[#This Row],[Dest Hav]]</f>
        <v>0</v>
      </c>
      <c r="BF38" s="361" cm="1">
        <f t="array" aca="1" ref="BF38" ca="1">IF(TblConstr[[#This Row],[Hour]:[Hour]]&gt;12,OFFSET(TblConstr[[#This Row],[OM]],-12,0),0)+OFFSET(TblConstr[[#This Row],[Tot OM]],-1,0)-TblConstr[[#This Row],[Dest OM]]</f>
        <v>0</v>
      </c>
      <c r="BG38" s="361" cm="1">
        <f t="array" aca="1" ref="BG38" ca="1">IF(TblConstr[[#This Row],[Hour]:[Hour]]&gt;12,OFFSET(TblConstr[[#This Row],[GN]],-12,0),0)+OFFSET(TblConstr[[#This Row],[Tot GN]],-1,0)-TblConstr[[#This Row],[Dest GN]]</f>
        <v>0</v>
      </c>
      <c r="BH38" s="365" cm="1">
        <f t="array" aca="1" ref="BH38" ca="1">IF(TblConstr[[#This Row],[Hour]:[Hour]]&gt;12,OFFSET(TblConstr[[#This Row],[Fac]],-12,0),0)+OFFSET(TblConstr[[#This Row],[Tot Fac]],-1,0)-TblConstr[[#This Row],[Dest Fac]]</f>
        <v>0</v>
      </c>
      <c r="BI38" s="365" cm="1">
        <f t="array" aca="1" ref="BI38" ca="1">IF(TblConstr[[#This Row],[Hour]:[Hour]]&gt;12,OFFSET(TblConstr[[#This Row],[GT]],-12,0),0)+OFFSET(TblConstr[[#This Row],[Tot GT]],-1,0)-TblConstr[[#This Row],[Dest GT]]</f>
        <v>0</v>
      </c>
      <c r="BJ38" s="365" cm="1">
        <f t="array" aca="1" ref="BJ38" ca="1">IF(TblConstr[[#This Row],[Hour]:[Hour]]&gt;12,OFFSET(TblConstr[[#This Row],[Bar]],-12,0),0)+OFFSET(TblConstr[[#This Row],[Tot Bar]],-1,0)-TblConstr[[#This Row],[Dest Bar]]</f>
        <v>0</v>
      </c>
      <c r="BK38" s="365" cm="1">
        <f t="array" aca="1" ref="BK38" ca="1">IF(TblConstr[[#This Row],[Hour]:[Hour]]&gt;12,OFFSET(TblConstr[[#This Row],[Shr]],-12,0),0)+OFFSET(TblConstr[[#This Row],[Tot Shr]],-1,0)-TblConstr[[#This Row],[Dest Shr]]</f>
        <v>0</v>
      </c>
      <c r="BL38" s="369" cm="1">
        <f t="array" aca="1" ref="BL38" ca="1">IF(TblConstr[[#This Row],[Hour]:[Hour]]&gt;12,OFFSET(TblConstr[[#This Row],[Tow]],-12,0),0)+OFFSET(TblConstr[[#This Row],[Tot Tow]],-1,0)-TblConstr[[#This Row],[Dest Tow]]</f>
        <v>0</v>
      </c>
      <c r="BM38" s="369" cm="1">
        <f t="array" aca="1" ref="BM38" ca="1">IF(TblConstr[[#This Row],[Hour]:[Hour]]&gt;12,OFFSET(TblConstr[[#This Row],[Tem]],-12,0),0)+OFFSET(TblConstr[[#This Row],[Tot Tem]],-1,0)-TblConstr[[#This Row],[Dest Tem]]</f>
        <v>0</v>
      </c>
      <c r="BN38" s="369" cm="1">
        <f t="array" aca="1" ref="BN38" ca="1">IF(TblConstr[[#This Row],[Hour]:[Hour]]&gt;12,OFFSET(TblConstr[[#This Row],[WG]],-12,0),0)+OFFSET(TblConstr[[#This Row],[Tot WG]],-1,0)-TblConstr[[#This Row],[Dest WG]]</f>
        <v>0</v>
      </c>
      <c r="BO38" s="191" cm="1">
        <f t="array" aca="1" ref="BO38" ca="1">IF(TblConstr[[#This Row],[Hour]:[Hour]]&gt;12,OFFSET(TblConstr[[#This Row],[DM]],-12,0),0)+OFFSET(TblConstr[[#This Row],[Tot DM]],-1,0)-TblConstr[[#This Row],[Dest DM]]</f>
        <v>0</v>
      </c>
      <c r="BP38" s="191" cm="1">
        <f t="array" aca="1" ref="BP38" ca="1">IF(TblConstr[[#This Row],[Hour]:[Hour]]&gt;12,OFFSET(TblConstr[[#This Row],[Sch]],-12,0),0)+OFFSET(TblConstr[[#This Row],[Tot Sch]],-1,0)-TblConstr[[#This Row],[Dest Sch]]</f>
        <v>0</v>
      </c>
      <c r="BQ38" s="192" cm="1">
        <f t="array" aca="1" ref="BQ38" ca="1">IF(TblConstr[[#This Row],[Hour]:[Hour]]&gt;12,OFFSET(TblConstr[[#This Row],[Doc]],-12,0),0)+OFFSET(TblConstr[[#This Row],[Tot Doc]],-1,0)-TblConstr[[#This Row],[Dest Doc]]</f>
        <v>0</v>
      </c>
      <c r="BR38" s="142"/>
      <c r="BS38" s="154"/>
      <c r="BT38" s="94">
        <f ca="1">TblConstr[[#This Row],[Land]]</f>
        <v>50</v>
      </c>
      <c r="BU38" s="159">
        <f ca="1">TblImps[[#This Row],[Time]]</f>
        <v>46321.416666666584</v>
      </c>
      <c r="BV38" s="142"/>
      <c r="BW38" s="179"/>
      <c r="BX38" s="179"/>
      <c r="BY38" s="179"/>
      <c r="BZ38" s="179"/>
      <c r="CA38" s="179"/>
      <c r="CB38" s="179"/>
      <c r="CC38" s="179"/>
      <c r="CD38" s="179"/>
      <c r="CE38" s="179"/>
      <c r="CF38" s="179"/>
      <c r="CG38" s="179"/>
      <c r="CH38" s="179"/>
      <c r="CI38" s="179"/>
      <c r="CJ38" s="179"/>
      <c r="CK38" s="179"/>
      <c r="CL38" s="179"/>
      <c r="CM38" s="179"/>
      <c r="CN38" s="179"/>
      <c r="CO38" s="179"/>
      <c r="CP38" s="142"/>
      <c r="CQ38" s="181">
        <f ca="1">-SUM(TblConstr[[#This Row],[Alc]:[Mas]])+SUM(TblConstr[[#This Row],[Dest Alc]:[Dest Mas]])+Rezone!L38+IF("Ch_"&amp; home_land=TblConstr[[#Headers],[Ch_Plain]],TblConstr[[#This Row],[Home Land]])+IF(TblConstr[[#This Row],[Hour]:[Hour]]&gt;12,OFFSET(TblExplore[[#This Row],[Plains Explore]],-12,0),0)</f>
        <v>0</v>
      </c>
      <c r="CR38" s="182">
        <f ca="1">-SUM(TblConstr[[#This Row],[Ly]:[Hav]])+SUM(TblConstr[[#This Row],[Dest Ly]:[Dest Hav]]) +Rezone!M38 + IF("Ch_"&amp; home_land=TblConstr[[#Headers],[Ch_Forest]],TblConstr[[#This Row],[Home Land]])+IF(TblConstr[[#This Row],[Hour]:[Hour]]&gt;12,OFFSET(TblExplore[[#This Row],[Forest Explore]],-12,0),0)</f>
        <v>0</v>
      </c>
      <c r="CS38" s="359">
        <f ca="1">-SUM(TblConstr[[#This Row],[OM]:[GN]])+SUM(TblConstr[[#This Row],[Dest OM]:[Dest GN]]) +Rezone!N38 + IF("Ch_"&amp; home_land=TblConstr[[#Headers],[Ch_Mountain]],TblConstr[[#This Row],[Home Land]])+IF(TblConstr[[#This Row],[Hour]:[Hour]]&gt;12,OFFSET(TblExplore[[#This Row],[Mountain Explore]],-12,0),0)</f>
        <v>0</v>
      </c>
      <c r="CT38" s="183">
        <f ca="1">-SUM(TblConstr[[#This Row],[Fac]:[Shr]])+SUM(TblConstr[[#This Row],[Dest Fac]:[Dest Shr]]) +Rezone!O38 + IF("Ch_" &amp; home_land=TblConstr[[#Headers],[Ch_Hill]],TblConstr[[#This Row],[Home Land]])+IF(TblConstr[[#This Row],[Hour]:[Hour]]&gt;12,OFFSET(TblExplore[[#This Row],[Hill Explore]],-12,0),0)</f>
        <v>0</v>
      </c>
      <c r="CU38" s="184">
        <f ca="1">-SUM(TblConstr[[#This Row],[Tow]:[WG]])+SUM(TblConstr[[#This Row],[Dest Tow]:[Dest WG]]) +Rezone!P38 + IF("Ch_" &amp; home_land=TblConstr[[#Headers],[Ch_Swamp]],TblConstr[[#This Row],[Home Land]])+IF(TblConstr[[#This Row],[Hour]:[Hour]]&gt;12,OFFSET(TblExplore[[#This Row],[Swamp Explore]],-12,0),0)</f>
        <v>0</v>
      </c>
      <c r="CV38" s="185">
        <f ca="1" xml:space="preserve"> - SUM(TblConstr[[#This Row],[DM]:[Sch]])+SUM(TblConstr[[#This Row],[Dest DM]:[Dest Sch]]) +Rezone!Q38 + IF("Ch_" &amp; home_land=TblConstr[[#Headers],[Ch_Cavern]],TblConstr[[#This Row],[Home Land]])+IF(TblConstr[[#This Row],[Hour]:[Hour]]&gt;12,OFFSET(TblExplore[[#This Row],[Cavern Explore]],-12,0),0)</f>
        <v>0</v>
      </c>
      <c r="CW38" s="186">
        <f ca="1">-TblConstr[[#This Row],[Doc]]+TblConstr[[#This Row],[Dest Doc]] +Rezone!R38 + IF("Ch_" &amp; home_land=TblConstr[[#Headers],[Ch_Water]],TblConstr[[#This Row],[Home Land]])+IF(TblConstr[[#This Row],[Hour]:[Hour]]&gt;12,OFFSET(TblExplore[[#This Row],[Water Explore]],-12,0),0)</f>
        <v>0</v>
      </c>
      <c r="CX38" s="45">
        <f>IF(Explore!S38=1,20) - TblConstr[[#This Row],[Hom]] + TblConstr[[#This Row],[Dest Hom]]</f>
        <v>0</v>
      </c>
      <c r="CY38" s="142"/>
      <c r="CZ38" s="94">
        <f t="shared" ca="1" si="3"/>
        <v>30</v>
      </c>
      <c r="DA38" s="94">
        <f t="shared" ca="1" si="4"/>
        <v>20</v>
      </c>
      <c r="DB38" s="45">
        <f t="shared" ca="1" si="5"/>
        <v>0</v>
      </c>
      <c r="DC38" s="94">
        <f t="shared" ca="1" si="6"/>
        <v>0</v>
      </c>
      <c r="DD38" s="94">
        <f t="shared" ca="1" si="7"/>
        <v>0</v>
      </c>
      <c r="DE38" s="45">
        <f t="shared" ca="1" si="8"/>
        <v>0</v>
      </c>
      <c r="DF38" s="94">
        <f t="shared" ca="1" si="9"/>
        <v>0</v>
      </c>
      <c r="DG38" s="94" cm="1">
        <f t="array" aca="1" ref="DG38" ca="1">INDEX(TblConstr[[Total Plain]:[Total Water]],ROW()-ROW(TblConstr[#Headers]),MATCH("Total "&amp;home_land,TblConstr[[#Headers],[Total Plain]:[Total Water]],0))+TblConstr[[#This Row],[Homes]]</f>
        <v>30</v>
      </c>
      <c r="DH38" s="45">
        <f t="shared" ca="1" si="10"/>
        <v>0</v>
      </c>
      <c r="DI38" s="45">
        <f t="shared" ca="1" si="0"/>
        <v>0</v>
      </c>
      <c r="DJ38" s="45">
        <f t="shared" ca="1" si="1"/>
        <v>0</v>
      </c>
    </row>
    <row r="39" spans="1:114" x14ac:dyDescent="0.2">
      <c r="A39" s="175">
        <f>TblRezone[[#This Row],[Hour]]</f>
        <v>36</v>
      </c>
      <c r="B39" s="176">
        <f ca="1">SUM(TblConstr[[#This Row],[Plain]:[Water]])</f>
        <v>0</v>
      </c>
      <c r="C39" s="177">
        <f ca="1">SUM(TblConstr[[#This Row],[Tot Hom]:[Tot Doc]])</f>
        <v>50</v>
      </c>
      <c r="D39" s="177">
        <f t="shared" si="2"/>
        <v>0</v>
      </c>
      <c r="E39" s="178"/>
      <c r="F39" s="61">
        <f ca="1">TblConstr[[#This Row],[Barren]]+TblConstr[[#This Row],[Buildings]]+TblConstr[[#This Row],[Incoming]]</f>
        <v>50</v>
      </c>
      <c r="G39" s="187">
        <f ca="1">OFFSET(TblConstr[[#This Row],[Plain]],-1,0)+TblConstr[[#This Row],[Ch_Plain]]</f>
        <v>0</v>
      </c>
      <c r="H39" s="182">
        <f ca="1">OFFSET(TblConstr[[#This Row],[Forest]],-1,0)+TblConstr[[#This Row],[Ch_Forest]]</f>
        <v>0</v>
      </c>
      <c r="I39" s="359">
        <f ca="1">OFFSET(TblConstr[[#This Row],[Mountain]],-1,0)+TblConstr[[#This Row],[Ch_Mountain]]</f>
        <v>0</v>
      </c>
      <c r="J39" s="363">
        <f ca="1">OFFSET(TblConstr[[#This Row],[Hill]],-1,0)+TblConstr[[#This Row],[Ch_Hill]]</f>
        <v>0</v>
      </c>
      <c r="K39" s="367">
        <f ca="1">OFFSET(TblConstr[[#This Row],[Swamp]],-1,0)+TblConstr[[#This Row],[Ch_Swamp]]</f>
        <v>0</v>
      </c>
      <c r="L39" s="185">
        <f ca="1">OFFSET(TblConstr[[#This Row],[Cavern]],-1,0)+TblConstr[[#This Row],[Ch_Cavern]]</f>
        <v>0</v>
      </c>
      <c r="M39" s="186">
        <f ca="1">OFFSET(TblConstr[[#This Row],[Water]],-1,0)+TblConstr[[#This Row],[Ch_Water]]</f>
        <v>0</v>
      </c>
      <c r="N39" s="357">
        <f>TblRezone[[#This Row],[Hour]]</f>
        <v>36</v>
      </c>
      <c r="O39" s="179"/>
      <c r="P39" s="158"/>
      <c r="Q39" s="179"/>
      <c r="R39" s="179"/>
      <c r="S39" s="179"/>
      <c r="T39" s="179"/>
      <c r="U39" s="179"/>
      <c r="V39" s="179"/>
      <c r="W39" s="179"/>
      <c r="X39" s="179"/>
      <c r="Y39" s="179"/>
      <c r="Z39" s="179"/>
      <c r="AA39" s="179"/>
      <c r="AB39" s="179"/>
      <c r="AC39" s="179"/>
      <c r="AD39" s="179"/>
      <c r="AE39" s="179"/>
      <c r="AF39" s="179"/>
      <c r="AG39" s="179"/>
      <c r="AH39" s="53">
        <f ca="1">TblImps[[#This Row],[Time]]</f>
        <v>46321.458333333248</v>
      </c>
      <c r="AI39" s="180">
        <f ca="1">MIN(25%,(TblConstr[[#This Row],[Tot Fac]]+TblConstr[[#This Row],[Dest Fac]])/(TblConstr[[#This Row],[Land]]-TblExplore[[#This Row],[Land Bonus]]*20))</f>
        <v>0</v>
      </c>
      <c r="AJ39" s="180">
        <f ca="1">MIN(25%,(TblConstr[[#This Row],[Tot Fac]]+TblConstr[[#This Row],[Dest Fac]])/TblConstr[[#This Row],[Land]])</f>
        <v>0</v>
      </c>
      <c r="AK39" s="94">
        <f ca="1">TblProd[[#This Row],[Platinum]]</f>
        <v>157567</v>
      </c>
      <c r="AL39" s="94">
        <f ca="1">TblProd[[#This Row],[Lumber]]</f>
        <v>40206</v>
      </c>
      <c r="AM3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9" s="94">
        <f ca="1">ROUNDDOWN( MAX(1 - MIN(facs_constr_factor*TblConstr[[#This Row],[Facs -DB]],facs_constr_max) + tech_1_11*TblTech[[#This Row],[11-1]] + tech_6_3_2*TblTech[[#This Row],[6-3]] + tech_5_2_3*TblTech[[#This Row],[5-2]], 1-global_constr_cap) * TblConstr[[#This Row],[RCPA Lumber]],0)</f>
        <v>31</v>
      </c>
      <c r="AO3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9" s="94">
        <f ca="1">ROUNDDOWN( MAX(1 - MIN(facs_constr_factor*TblConstr[[#This Row],[Facs DB]],facs_constr_max) + tech_1_11*TblTech[[#This Row],[1-11]] + tech_6_3_2*TblTech[[#This Row],[6-3]] + tech_5_2_3*TblTech[[#This Row],[5-2]], 1-global_constr_cap) * ROUND((TblConstr[[#This Row],[Land]]-250)*0.285 + 87.5 + 0/4.25,0),0)</f>
        <v>31</v>
      </c>
      <c r="AQ39" s="45">
        <f ca="1">TblConstr[[#This Row],[build -db]]*TblConstr[[#This Row],[CPA Platinum -DB]] + TblConstr[[#This Row],[build db]]*TblConstr[[#This Row],[CPA Platinum DB]]</f>
        <v>0</v>
      </c>
      <c r="AR39" s="45">
        <f ca="1">TblConstr[[#This Row],[build -db]]*TblConstr[[#This Row],[CPA Lumber -DB]] + TblConstr[[#This Row],[build db]]*TblConstr[[#This Row],[CPA Lumber DB]]</f>
        <v>0</v>
      </c>
      <c r="AS39" s="94">
        <f ca="1">MIN(SUM(OFFSET(TblConstr[[#This Row],[Plain]:[Water]],-1,0))+SUM(TblConstr[[#This Row],[Dest Hom]:[Dest Doc]])+IF(TblConstr[[#This Row],[Hour]]&gt;12,SUM(OFFSET(TblExplore[[#This Row],[Plains Explore]:[Water Explore]],-12,0)),0),SUM(TblConstr[[#This Row],[Hom]:[Doc]]))</f>
        <v>0</v>
      </c>
      <c r="AT3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42"/>
      <c r="AV39" s="94">
        <f ca="1">ROUND((TblConstr[[#This Row],[Land]]-250 - IF(TblExplore[[#This Row],[Land Bonus]]&lt;&gt;0,20,0))*1.25 + 850 + 0,0)</f>
        <v>600</v>
      </c>
      <c r="AW39" s="94">
        <f ca="1">ROUND((TblConstr[[#This Row],[Land]]-250 - IF(TblExplore[[#This Row],[Land Bonus]]&lt;&gt;0,20,0))*0.285 + 87.5 + 0/4.25,0)</f>
        <v>31</v>
      </c>
      <c r="AX39" s="154"/>
      <c r="AY39" s="188" cm="1">
        <f t="array" aca="1" ref="AY39" ca="1">IF(TblConstr[[#This Row],[Hour]:[Hour]]&gt;12,OFFSET(TblConstr[[#This Row],[Hom]],-12,0),0)+OFFSET(TblConstr[[#This Row],[Tot Hom]],-1,0)-TblConstr[[#This Row],[Dest Hom]]</f>
        <v>0</v>
      </c>
      <c r="AZ39" s="189" cm="1">
        <f t="array" aca="1" ref="AZ39" ca="1">IF(TblConstr[[#This Row],[Hour]:[Hour]]&gt;12,OFFSET(TblConstr[[#This Row],[Alc]],-12,0),0)+OFFSET(TblConstr[[#This Row],[Tot Alc]],-1,0)-TblConstr[[#This Row],[Dest Alc]]</f>
        <v>0</v>
      </c>
      <c r="BA39" s="189" cm="1">
        <f t="array" aca="1" ref="BA39" ca="1">IF(TblConstr[[#This Row],[Hour]:[Hour]]&gt;12,OFFSET(TblConstr[[#This Row],[Far]],-12,0),0)+OFFSET(TblConstr[[#This Row],[Tot Farm]],-1,0)-TblConstr[[#This Row],[Dest Farm]]</f>
        <v>30</v>
      </c>
      <c r="BB39" s="189" cm="1">
        <f t="array" aca="1" ref="BB39" ca="1">IF(TblConstr[[#This Row],[Hour]:[Hour]]&gt;12,OFFSET(TblConstr[[#This Row],[Smi]],-12,0),0)+OFFSET(TblConstr[[#This Row],[Tot Smi]],-1,0)-TblConstr[[#This Row],[Dest Smi]]</f>
        <v>0</v>
      </c>
      <c r="BC39" s="189" cm="1">
        <f t="array" aca="1" ref="BC39" ca="1">IF(TblConstr[[#This Row],[Hour]:[Hour]]&gt;12,OFFSET(TblConstr[[#This Row],[Mas]],-12,0),0)+OFFSET(TblConstr[[#This Row],[Tot Mas]],-1,0)-TblConstr[[#This Row],[Dest Mas]]</f>
        <v>0</v>
      </c>
      <c r="BD39" s="190" cm="1">
        <f t="array" aca="1" ref="BD39" ca="1">IF(TblConstr[[#This Row],[Hour]:[Hour]]&gt;12,OFFSET(TblConstr[[#This Row],[Ly]],-12,0),0)+OFFSET(TblConstr[[#This Row],[Tot Ly]],-1,0)-TblConstr[[#This Row],[Dest Ly]]</f>
        <v>20</v>
      </c>
      <c r="BE39" s="190" cm="1">
        <f t="array" aca="1" ref="BE39" ca="1">IF(TblConstr[[#This Row],[Hour]:[Hour]]&gt;12,OFFSET(TblConstr[[#This Row],[Hav]],-12,0),0)+OFFSET(TblConstr[[#This Row],[Tot Hav]],-1,0)-TblConstr[[#This Row],[Dest Hav]]</f>
        <v>0</v>
      </c>
      <c r="BF39" s="361" cm="1">
        <f t="array" aca="1" ref="BF39" ca="1">IF(TblConstr[[#This Row],[Hour]:[Hour]]&gt;12,OFFSET(TblConstr[[#This Row],[OM]],-12,0),0)+OFFSET(TblConstr[[#This Row],[Tot OM]],-1,0)-TblConstr[[#This Row],[Dest OM]]</f>
        <v>0</v>
      </c>
      <c r="BG39" s="361" cm="1">
        <f t="array" aca="1" ref="BG39" ca="1">IF(TblConstr[[#This Row],[Hour]:[Hour]]&gt;12,OFFSET(TblConstr[[#This Row],[GN]],-12,0),0)+OFFSET(TblConstr[[#This Row],[Tot GN]],-1,0)-TblConstr[[#This Row],[Dest GN]]</f>
        <v>0</v>
      </c>
      <c r="BH39" s="365" cm="1">
        <f t="array" aca="1" ref="BH39" ca="1">IF(TblConstr[[#This Row],[Hour]:[Hour]]&gt;12,OFFSET(TblConstr[[#This Row],[Fac]],-12,0),0)+OFFSET(TblConstr[[#This Row],[Tot Fac]],-1,0)-TblConstr[[#This Row],[Dest Fac]]</f>
        <v>0</v>
      </c>
      <c r="BI39" s="365" cm="1">
        <f t="array" aca="1" ref="BI39" ca="1">IF(TblConstr[[#This Row],[Hour]:[Hour]]&gt;12,OFFSET(TblConstr[[#This Row],[GT]],-12,0),0)+OFFSET(TblConstr[[#This Row],[Tot GT]],-1,0)-TblConstr[[#This Row],[Dest GT]]</f>
        <v>0</v>
      </c>
      <c r="BJ39" s="365" cm="1">
        <f t="array" aca="1" ref="BJ39" ca="1">IF(TblConstr[[#This Row],[Hour]:[Hour]]&gt;12,OFFSET(TblConstr[[#This Row],[Bar]],-12,0),0)+OFFSET(TblConstr[[#This Row],[Tot Bar]],-1,0)-TblConstr[[#This Row],[Dest Bar]]</f>
        <v>0</v>
      </c>
      <c r="BK39" s="365" cm="1">
        <f t="array" aca="1" ref="BK39" ca="1">IF(TblConstr[[#This Row],[Hour]:[Hour]]&gt;12,OFFSET(TblConstr[[#This Row],[Shr]],-12,0),0)+OFFSET(TblConstr[[#This Row],[Tot Shr]],-1,0)-TblConstr[[#This Row],[Dest Shr]]</f>
        <v>0</v>
      </c>
      <c r="BL39" s="369" cm="1">
        <f t="array" aca="1" ref="BL39" ca="1">IF(TblConstr[[#This Row],[Hour]:[Hour]]&gt;12,OFFSET(TblConstr[[#This Row],[Tow]],-12,0),0)+OFFSET(TblConstr[[#This Row],[Tot Tow]],-1,0)-TblConstr[[#This Row],[Dest Tow]]</f>
        <v>0</v>
      </c>
      <c r="BM39" s="369" cm="1">
        <f t="array" aca="1" ref="BM39" ca="1">IF(TblConstr[[#This Row],[Hour]:[Hour]]&gt;12,OFFSET(TblConstr[[#This Row],[Tem]],-12,0),0)+OFFSET(TblConstr[[#This Row],[Tot Tem]],-1,0)-TblConstr[[#This Row],[Dest Tem]]</f>
        <v>0</v>
      </c>
      <c r="BN39" s="369" cm="1">
        <f t="array" aca="1" ref="BN39" ca="1">IF(TblConstr[[#This Row],[Hour]:[Hour]]&gt;12,OFFSET(TblConstr[[#This Row],[WG]],-12,0),0)+OFFSET(TblConstr[[#This Row],[Tot WG]],-1,0)-TblConstr[[#This Row],[Dest WG]]</f>
        <v>0</v>
      </c>
      <c r="BO39" s="191" cm="1">
        <f t="array" aca="1" ref="BO39" ca="1">IF(TblConstr[[#This Row],[Hour]:[Hour]]&gt;12,OFFSET(TblConstr[[#This Row],[DM]],-12,0),0)+OFFSET(TblConstr[[#This Row],[Tot DM]],-1,0)-TblConstr[[#This Row],[Dest DM]]</f>
        <v>0</v>
      </c>
      <c r="BP39" s="191" cm="1">
        <f t="array" aca="1" ref="BP39" ca="1">IF(TblConstr[[#This Row],[Hour]:[Hour]]&gt;12,OFFSET(TblConstr[[#This Row],[Sch]],-12,0),0)+OFFSET(TblConstr[[#This Row],[Tot Sch]],-1,0)-TblConstr[[#This Row],[Dest Sch]]</f>
        <v>0</v>
      </c>
      <c r="BQ39" s="192" cm="1">
        <f t="array" aca="1" ref="BQ39" ca="1">IF(TblConstr[[#This Row],[Hour]:[Hour]]&gt;12,OFFSET(TblConstr[[#This Row],[Doc]],-12,0),0)+OFFSET(TblConstr[[#This Row],[Tot Doc]],-1,0)-TblConstr[[#This Row],[Dest Doc]]</f>
        <v>0</v>
      </c>
      <c r="BR39" s="142"/>
      <c r="BS39" s="154"/>
      <c r="BT39" s="94">
        <f ca="1">TblConstr[[#This Row],[Land]]</f>
        <v>50</v>
      </c>
      <c r="BU39" s="159">
        <f ca="1">TblImps[[#This Row],[Time]]</f>
        <v>46321.458333333248</v>
      </c>
      <c r="BV39" s="142"/>
      <c r="BW39" s="179"/>
      <c r="BX39" s="179"/>
      <c r="BY39" s="179"/>
      <c r="BZ39" s="179"/>
      <c r="CA39" s="179"/>
      <c r="CB39" s="179"/>
      <c r="CC39" s="179"/>
      <c r="CD39" s="179"/>
      <c r="CE39" s="179"/>
      <c r="CF39" s="179"/>
      <c r="CG39" s="179"/>
      <c r="CH39" s="179"/>
      <c r="CI39" s="179"/>
      <c r="CJ39" s="179"/>
      <c r="CK39" s="179"/>
      <c r="CL39" s="179"/>
      <c r="CM39" s="179"/>
      <c r="CN39" s="179"/>
      <c r="CO39" s="179"/>
      <c r="CP39" s="142"/>
      <c r="CQ39" s="181">
        <f ca="1">-SUM(TblConstr[[#This Row],[Alc]:[Mas]])+SUM(TblConstr[[#This Row],[Dest Alc]:[Dest Mas]])+Rezone!L39+IF("Ch_"&amp; home_land=TblConstr[[#Headers],[Ch_Plain]],TblConstr[[#This Row],[Home Land]])+IF(TblConstr[[#This Row],[Hour]:[Hour]]&gt;12,OFFSET(TblExplore[[#This Row],[Plains Explore]],-12,0),0)</f>
        <v>0</v>
      </c>
      <c r="CR39" s="182">
        <f ca="1">-SUM(TblConstr[[#This Row],[Ly]:[Hav]])+SUM(TblConstr[[#This Row],[Dest Ly]:[Dest Hav]]) +Rezone!M39 + IF("Ch_"&amp; home_land=TblConstr[[#Headers],[Ch_Forest]],TblConstr[[#This Row],[Home Land]])+IF(TblConstr[[#This Row],[Hour]:[Hour]]&gt;12,OFFSET(TblExplore[[#This Row],[Forest Explore]],-12,0),0)</f>
        <v>0</v>
      </c>
      <c r="CS39" s="359">
        <f ca="1">-SUM(TblConstr[[#This Row],[OM]:[GN]])+SUM(TblConstr[[#This Row],[Dest OM]:[Dest GN]]) +Rezone!N39 + IF("Ch_"&amp; home_land=TblConstr[[#Headers],[Ch_Mountain]],TblConstr[[#This Row],[Home Land]])+IF(TblConstr[[#This Row],[Hour]:[Hour]]&gt;12,OFFSET(TblExplore[[#This Row],[Mountain Explore]],-12,0),0)</f>
        <v>0</v>
      </c>
      <c r="CT39" s="183">
        <f ca="1">-SUM(TblConstr[[#This Row],[Fac]:[Shr]])+SUM(TblConstr[[#This Row],[Dest Fac]:[Dest Shr]]) +Rezone!O39 + IF("Ch_" &amp; home_land=TblConstr[[#Headers],[Ch_Hill]],TblConstr[[#This Row],[Home Land]])+IF(TblConstr[[#This Row],[Hour]:[Hour]]&gt;12,OFFSET(TblExplore[[#This Row],[Hill Explore]],-12,0),0)</f>
        <v>0</v>
      </c>
      <c r="CU39" s="184">
        <f ca="1">-SUM(TblConstr[[#This Row],[Tow]:[WG]])+SUM(TblConstr[[#This Row],[Dest Tow]:[Dest WG]]) +Rezone!P39 + IF("Ch_" &amp; home_land=TblConstr[[#Headers],[Ch_Swamp]],TblConstr[[#This Row],[Home Land]])+IF(TblConstr[[#This Row],[Hour]:[Hour]]&gt;12,OFFSET(TblExplore[[#This Row],[Swamp Explore]],-12,0),0)</f>
        <v>0</v>
      </c>
      <c r="CV39" s="185">
        <f ca="1" xml:space="preserve"> - SUM(TblConstr[[#This Row],[DM]:[Sch]])+SUM(TblConstr[[#This Row],[Dest DM]:[Dest Sch]]) +Rezone!Q39 + IF("Ch_" &amp; home_land=TblConstr[[#Headers],[Ch_Cavern]],TblConstr[[#This Row],[Home Land]])+IF(TblConstr[[#This Row],[Hour]:[Hour]]&gt;12,OFFSET(TblExplore[[#This Row],[Cavern Explore]],-12,0),0)</f>
        <v>0</v>
      </c>
      <c r="CW39" s="186">
        <f ca="1">-TblConstr[[#This Row],[Doc]]+TblConstr[[#This Row],[Dest Doc]] +Rezone!R39 + IF("Ch_" &amp; home_land=TblConstr[[#Headers],[Ch_Water]],TblConstr[[#This Row],[Home Land]])+IF(TblConstr[[#This Row],[Hour]:[Hour]]&gt;12,OFFSET(TblExplore[[#This Row],[Water Explore]],-12,0),0)</f>
        <v>0</v>
      </c>
      <c r="CX39" s="45">
        <f>IF(Explore!S39=1,20) - TblConstr[[#This Row],[Hom]] + TblConstr[[#This Row],[Dest Hom]]</f>
        <v>0</v>
      </c>
      <c r="CY39" s="142"/>
      <c r="CZ39" s="94">
        <f t="shared" ca="1" si="3"/>
        <v>30</v>
      </c>
      <c r="DA39" s="94">
        <f t="shared" ca="1" si="4"/>
        <v>20</v>
      </c>
      <c r="DB39" s="45">
        <f t="shared" ca="1" si="5"/>
        <v>0</v>
      </c>
      <c r="DC39" s="94">
        <f t="shared" ca="1" si="6"/>
        <v>0</v>
      </c>
      <c r="DD39" s="94">
        <f t="shared" ca="1" si="7"/>
        <v>0</v>
      </c>
      <c r="DE39" s="45">
        <f t="shared" ca="1" si="8"/>
        <v>0</v>
      </c>
      <c r="DF39" s="94">
        <f t="shared" ca="1" si="9"/>
        <v>0</v>
      </c>
      <c r="DG39" s="94" cm="1">
        <f t="array" aca="1" ref="DG39" ca="1">INDEX(TblConstr[[Total Plain]:[Total Water]],ROW()-ROW(TblConstr[#Headers]),MATCH("Total "&amp;home_land,TblConstr[[#Headers],[Total Plain]:[Total Water]],0))+TblConstr[[#This Row],[Homes]]</f>
        <v>30</v>
      </c>
      <c r="DH39" s="45">
        <f t="shared" ca="1" si="10"/>
        <v>0</v>
      </c>
      <c r="DI39" s="45">
        <f t="shared" ca="1" si="0"/>
        <v>0</v>
      </c>
      <c r="DJ39" s="45">
        <f t="shared" ca="1" si="1"/>
        <v>0</v>
      </c>
    </row>
    <row r="40" spans="1:114" x14ac:dyDescent="0.2">
      <c r="A40" s="175">
        <f>TblRezone[[#This Row],[Hour]]</f>
        <v>37</v>
      </c>
      <c r="B40" s="176">
        <f ca="1">SUM(TblConstr[[#This Row],[Plain]:[Water]])</f>
        <v>0</v>
      </c>
      <c r="C40" s="177">
        <f ca="1">SUM(TblConstr[[#This Row],[Tot Hom]:[Tot Doc]])</f>
        <v>50</v>
      </c>
      <c r="D40" s="177">
        <f t="shared" si="2"/>
        <v>0</v>
      </c>
      <c r="E40" s="178"/>
      <c r="F40" s="61">
        <f ca="1">TblConstr[[#This Row],[Barren]]+TblConstr[[#This Row],[Buildings]]+TblConstr[[#This Row],[Incoming]]</f>
        <v>50</v>
      </c>
      <c r="G40" s="187">
        <f ca="1">OFFSET(TblConstr[[#This Row],[Plain]],-1,0)+TblConstr[[#This Row],[Ch_Plain]]</f>
        <v>0</v>
      </c>
      <c r="H40" s="182">
        <f ca="1">OFFSET(TblConstr[[#This Row],[Forest]],-1,0)+TblConstr[[#This Row],[Ch_Forest]]</f>
        <v>0</v>
      </c>
      <c r="I40" s="359">
        <f ca="1">OFFSET(TblConstr[[#This Row],[Mountain]],-1,0)+TblConstr[[#This Row],[Ch_Mountain]]</f>
        <v>0</v>
      </c>
      <c r="J40" s="363">
        <f ca="1">OFFSET(TblConstr[[#This Row],[Hill]],-1,0)+TblConstr[[#This Row],[Ch_Hill]]</f>
        <v>0</v>
      </c>
      <c r="K40" s="367">
        <f ca="1">OFFSET(TblConstr[[#This Row],[Swamp]],-1,0)+TblConstr[[#This Row],[Ch_Swamp]]</f>
        <v>0</v>
      </c>
      <c r="L40" s="185">
        <f ca="1">OFFSET(TblConstr[[#This Row],[Cavern]],-1,0)+TblConstr[[#This Row],[Ch_Cavern]]</f>
        <v>0</v>
      </c>
      <c r="M40" s="186">
        <f ca="1">OFFSET(TblConstr[[#This Row],[Water]],-1,0)+TblConstr[[#This Row],[Ch_Water]]</f>
        <v>0</v>
      </c>
      <c r="N40" s="357">
        <f>TblRezone[[#This Row],[Hour]]</f>
        <v>37</v>
      </c>
      <c r="O40" s="179"/>
      <c r="P40" s="179"/>
      <c r="Q40" s="179"/>
      <c r="R40" s="179"/>
      <c r="S40" s="179"/>
      <c r="T40" s="179"/>
      <c r="U40" s="179"/>
      <c r="V40" s="179"/>
      <c r="W40" s="179"/>
      <c r="X40" s="179"/>
      <c r="Y40" s="179"/>
      <c r="Z40" s="179"/>
      <c r="AA40" s="179"/>
      <c r="AB40" s="179"/>
      <c r="AC40" s="179"/>
      <c r="AD40" s="179"/>
      <c r="AE40" s="179"/>
      <c r="AF40" s="179"/>
      <c r="AG40" s="179"/>
      <c r="AH40" s="53">
        <f ca="1">TblImps[[#This Row],[Time]]</f>
        <v>46321.499999999913</v>
      </c>
      <c r="AI40" s="180">
        <f ca="1">MIN(25%,(TblConstr[[#This Row],[Tot Fac]]+TblConstr[[#This Row],[Dest Fac]])/(TblConstr[[#This Row],[Land]]-TblExplore[[#This Row],[Land Bonus]]*20))</f>
        <v>0</v>
      </c>
      <c r="AJ40" s="180">
        <f ca="1">MIN(25%,(TblConstr[[#This Row],[Tot Fac]]+TblConstr[[#This Row],[Dest Fac]])/TblConstr[[#This Row],[Land]])</f>
        <v>0</v>
      </c>
      <c r="AK40" s="94">
        <f ca="1">TblProd[[#This Row],[Platinum]]</f>
        <v>158460</v>
      </c>
      <c r="AL40" s="94">
        <f ca="1">TblProd[[#This Row],[Lumber]]</f>
        <v>40804</v>
      </c>
      <c r="AM4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0" s="94">
        <f ca="1">ROUNDDOWN( MAX(1 - MIN(facs_constr_factor*TblConstr[[#This Row],[Facs -DB]],facs_constr_max) + tech_1_11*TblTech[[#This Row],[11-1]] + tech_6_3_2*TblTech[[#This Row],[6-3]] + tech_5_2_3*TblTech[[#This Row],[5-2]], 1-global_constr_cap) * TblConstr[[#This Row],[RCPA Lumber]],0)</f>
        <v>31</v>
      </c>
      <c r="AO4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0" s="94">
        <f ca="1">ROUNDDOWN( MAX(1 - MIN(facs_constr_factor*TblConstr[[#This Row],[Facs DB]],facs_constr_max) + tech_1_11*TblTech[[#This Row],[1-11]] + tech_6_3_2*TblTech[[#This Row],[6-3]] + tech_5_2_3*TblTech[[#This Row],[5-2]], 1-global_constr_cap) * ROUND((TblConstr[[#This Row],[Land]]-250)*0.285 + 87.5 + 0/4.25,0),0)</f>
        <v>31</v>
      </c>
      <c r="AQ40" s="45">
        <f ca="1">TblConstr[[#This Row],[build -db]]*TblConstr[[#This Row],[CPA Platinum -DB]] + TblConstr[[#This Row],[build db]]*TblConstr[[#This Row],[CPA Platinum DB]]</f>
        <v>0</v>
      </c>
      <c r="AR40" s="45">
        <f ca="1">TblConstr[[#This Row],[build -db]]*TblConstr[[#This Row],[CPA Lumber -DB]] + TblConstr[[#This Row],[build db]]*TblConstr[[#This Row],[CPA Lumber DB]]</f>
        <v>0</v>
      </c>
      <c r="AS40" s="94">
        <f ca="1">MIN(SUM(OFFSET(TblConstr[[#This Row],[Plain]:[Water]],-1,0))+SUM(TblConstr[[#This Row],[Dest Hom]:[Dest Doc]])+IF(TblConstr[[#This Row],[Hour]]&gt;12,SUM(OFFSET(TblExplore[[#This Row],[Plains Explore]:[Water Explore]],-12,0)),0),SUM(TblConstr[[#This Row],[Hom]:[Doc]]))</f>
        <v>0</v>
      </c>
      <c r="AT4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42"/>
      <c r="AV40" s="94">
        <f ca="1">ROUND((TblConstr[[#This Row],[Land]]-250 - IF(TblExplore[[#This Row],[Land Bonus]]&lt;&gt;0,20,0))*1.25 + 850 + 0,0)</f>
        <v>600</v>
      </c>
      <c r="AW40" s="94">
        <f ca="1">ROUND((TblConstr[[#This Row],[Land]]-250 - IF(TblExplore[[#This Row],[Land Bonus]]&lt;&gt;0,20,0))*0.285 + 87.5 + 0/4.25,0)</f>
        <v>31</v>
      </c>
      <c r="AX40" s="154"/>
      <c r="AY40" s="188" cm="1">
        <f t="array" aca="1" ref="AY40" ca="1">IF(TblConstr[[#This Row],[Hour]:[Hour]]&gt;12,OFFSET(TblConstr[[#This Row],[Hom]],-12,0),0)+OFFSET(TblConstr[[#This Row],[Tot Hom]],-1,0)-TblConstr[[#This Row],[Dest Hom]]</f>
        <v>0</v>
      </c>
      <c r="AZ40" s="189" cm="1">
        <f t="array" aca="1" ref="AZ40" ca="1">IF(TblConstr[[#This Row],[Hour]:[Hour]]&gt;12,OFFSET(TblConstr[[#This Row],[Alc]],-12,0),0)+OFFSET(TblConstr[[#This Row],[Tot Alc]],-1,0)-TblConstr[[#This Row],[Dest Alc]]</f>
        <v>0</v>
      </c>
      <c r="BA40" s="189" cm="1">
        <f t="array" aca="1" ref="BA40" ca="1">IF(TblConstr[[#This Row],[Hour]:[Hour]]&gt;12,OFFSET(TblConstr[[#This Row],[Far]],-12,0),0)+OFFSET(TblConstr[[#This Row],[Tot Farm]],-1,0)-TblConstr[[#This Row],[Dest Farm]]</f>
        <v>30</v>
      </c>
      <c r="BB40" s="189" cm="1">
        <f t="array" aca="1" ref="BB40" ca="1">IF(TblConstr[[#This Row],[Hour]:[Hour]]&gt;12,OFFSET(TblConstr[[#This Row],[Smi]],-12,0),0)+OFFSET(TblConstr[[#This Row],[Tot Smi]],-1,0)-TblConstr[[#This Row],[Dest Smi]]</f>
        <v>0</v>
      </c>
      <c r="BC40" s="189" cm="1">
        <f t="array" aca="1" ref="BC40" ca="1">IF(TblConstr[[#This Row],[Hour]:[Hour]]&gt;12,OFFSET(TblConstr[[#This Row],[Mas]],-12,0),0)+OFFSET(TblConstr[[#This Row],[Tot Mas]],-1,0)-TblConstr[[#This Row],[Dest Mas]]</f>
        <v>0</v>
      </c>
      <c r="BD40" s="190" cm="1">
        <f t="array" aca="1" ref="BD40" ca="1">IF(TblConstr[[#This Row],[Hour]:[Hour]]&gt;12,OFFSET(TblConstr[[#This Row],[Ly]],-12,0),0)+OFFSET(TblConstr[[#This Row],[Tot Ly]],-1,0)-TblConstr[[#This Row],[Dest Ly]]</f>
        <v>20</v>
      </c>
      <c r="BE40" s="190" cm="1">
        <f t="array" aca="1" ref="BE40" ca="1">IF(TblConstr[[#This Row],[Hour]:[Hour]]&gt;12,OFFSET(TblConstr[[#This Row],[Hav]],-12,0),0)+OFFSET(TblConstr[[#This Row],[Tot Hav]],-1,0)-TblConstr[[#This Row],[Dest Hav]]</f>
        <v>0</v>
      </c>
      <c r="BF40" s="361" cm="1">
        <f t="array" aca="1" ref="BF40" ca="1">IF(TblConstr[[#This Row],[Hour]:[Hour]]&gt;12,OFFSET(TblConstr[[#This Row],[OM]],-12,0),0)+OFFSET(TblConstr[[#This Row],[Tot OM]],-1,0)-TblConstr[[#This Row],[Dest OM]]</f>
        <v>0</v>
      </c>
      <c r="BG40" s="361" cm="1">
        <f t="array" aca="1" ref="BG40" ca="1">IF(TblConstr[[#This Row],[Hour]:[Hour]]&gt;12,OFFSET(TblConstr[[#This Row],[GN]],-12,0),0)+OFFSET(TblConstr[[#This Row],[Tot GN]],-1,0)-TblConstr[[#This Row],[Dest GN]]</f>
        <v>0</v>
      </c>
      <c r="BH40" s="365" cm="1">
        <f t="array" aca="1" ref="BH40" ca="1">IF(TblConstr[[#This Row],[Hour]:[Hour]]&gt;12,OFFSET(TblConstr[[#This Row],[Fac]],-12,0),0)+OFFSET(TblConstr[[#This Row],[Tot Fac]],-1,0)-TblConstr[[#This Row],[Dest Fac]]</f>
        <v>0</v>
      </c>
      <c r="BI40" s="365" cm="1">
        <f t="array" aca="1" ref="BI40" ca="1">IF(TblConstr[[#This Row],[Hour]:[Hour]]&gt;12,OFFSET(TblConstr[[#This Row],[GT]],-12,0),0)+OFFSET(TblConstr[[#This Row],[Tot GT]],-1,0)-TblConstr[[#This Row],[Dest GT]]</f>
        <v>0</v>
      </c>
      <c r="BJ40" s="365" cm="1">
        <f t="array" aca="1" ref="BJ40" ca="1">IF(TblConstr[[#This Row],[Hour]:[Hour]]&gt;12,OFFSET(TblConstr[[#This Row],[Bar]],-12,0),0)+OFFSET(TblConstr[[#This Row],[Tot Bar]],-1,0)-TblConstr[[#This Row],[Dest Bar]]</f>
        <v>0</v>
      </c>
      <c r="BK40" s="365" cm="1">
        <f t="array" aca="1" ref="BK40" ca="1">IF(TblConstr[[#This Row],[Hour]:[Hour]]&gt;12,OFFSET(TblConstr[[#This Row],[Shr]],-12,0),0)+OFFSET(TblConstr[[#This Row],[Tot Shr]],-1,0)-TblConstr[[#This Row],[Dest Shr]]</f>
        <v>0</v>
      </c>
      <c r="BL40" s="369" cm="1">
        <f t="array" aca="1" ref="BL40" ca="1">IF(TblConstr[[#This Row],[Hour]:[Hour]]&gt;12,OFFSET(TblConstr[[#This Row],[Tow]],-12,0),0)+OFFSET(TblConstr[[#This Row],[Tot Tow]],-1,0)-TblConstr[[#This Row],[Dest Tow]]</f>
        <v>0</v>
      </c>
      <c r="BM40" s="369" cm="1">
        <f t="array" aca="1" ref="BM40" ca="1">IF(TblConstr[[#This Row],[Hour]:[Hour]]&gt;12,OFFSET(TblConstr[[#This Row],[Tem]],-12,0),0)+OFFSET(TblConstr[[#This Row],[Tot Tem]],-1,0)-TblConstr[[#This Row],[Dest Tem]]</f>
        <v>0</v>
      </c>
      <c r="BN40" s="369" cm="1">
        <f t="array" aca="1" ref="BN40" ca="1">IF(TblConstr[[#This Row],[Hour]:[Hour]]&gt;12,OFFSET(TblConstr[[#This Row],[WG]],-12,0),0)+OFFSET(TblConstr[[#This Row],[Tot WG]],-1,0)-TblConstr[[#This Row],[Dest WG]]</f>
        <v>0</v>
      </c>
      <c r="BO40" s="191" cm="1">
        <f t="array" aca="1" ref="BO40" ca="1">IF(TblConstr[[#This Row],[Hour]:[Hour]]&gt;12,OFFSET(TblConstr[[#This Row],[DM]],-12,0),0)+OFFSET(TblConstr[[#This Row],[Tot DM]],-1,0)-TblConstr[[#This Row],[Dest DM]]</f>
        <v>0</v>
      </c>
      <c r="BP40" s="191" cm="1">
        <f t="array" aca="1" ref="BP40" ca="1">IF(TblConstr[[#This Row],[Hour]:[Hour]]&gt;12,OFFSET(TblConstr[[#This Row],[Sch]],-12,0),0)+OFFSET(TblConstr[[#This Row],[Tot Sch]],-1,0)-TblConstr[[#This Row],[Dest Sch]]</f>
        <v>0</v>
      </c>
      <c r="BQ40" s="192" cm="1">
        <f t="array" aca="1" ref="BQ40" ca="1">IF(TblConstr[[#This Row],[Hour]:[Hour]]&gt;12,OFFSET(TblConstr[[#This Row],[Doc]],-12,0),0)+OFFSET(TblConstr[[#This Row],[Tot Doc]],-1,0)-TblConstr[[#This Row],[Dest Doc]]</f>
        <v>0</v>
      </c>
      <c r="BR40" s="142"/>
      <c r="BS40" s="154"/>
      <c r="BT40" s="94">
        <f ca="1">TblConstr[[#This Row],[Land]]</f>
        <v>50</v>
      </c>
      <c r="BU40" s="159">
        <f ca="1">TblImps[[#This Row],[Time]]</f>
        <v>46321.499999999913</v>
      </c>
      <c r="BV40" s="142"/>
      <c r="BW40" s="179"/>
      <c r="BX40" s="179"/>
      <c r="BY40" s="179"/>
      <c r="BZ40" s="179"/>
      <c r="CA40" s="179"/>
      <c r="CB40" s="179"/>
      <c r="CC40" s="179"/>
      <c r="CD40" s="179"/>
      <c r="CE40" s="179"/>
      <c r="CF40" s="179"/>
      <c r="CG40" s="179"/>
      <c r="CH40" s="179"/>
      <c r="CI40" s="179"/>
      <c r="CJ40" s="179"/>
      <c r="CK40" s="179"/>
      <c r="CL40" s="179"/>
      <c r="CM40" s="179"/>
      <c r="CN40" s="179"/>
      <c r="CO40" s="179"/>
      <c r="CP40" s="142"/>
      <c r="CQ40" s="181">
        <f ca="1">-SUM(TblConstr[[#This Row],[Alc]:[Mas]])+SUM(TblConstr[[#This Row],[Dest Alc]:[Dest Mas]])+Rezone!L40+IF("Ch_"&amp; home_land=TblConstr[[#Headers],[Ch_Plain]],TblConstr[[#This Row],[Home Land]])+IF(TblConstr[[#This Row],[Hour]:[Hour]]&gt;12,OFFSET(TblExplore[[#This Row],[Plains Explore]],-12,0),0)</f>
        <v>0</v>
      </c>
      <c r="CR40" s="182">
        <f ca="1">-SUM(TblConstr[[#This Row],[Ly]:[Hav]])+SUM(TblConstr[[#This Row],[Dest Ly]:[Dest Hav]]) +Rezone!M40 + IF("Ch_"&amp; home_land=TblConstr[[#Headers],[Ch_Forest]],TblConstr[[#This Row],[Home Land]])+IF(TblConstr[[#This Row],[Hour]:[Hour]]&gt;12,OFFSET(TblExplore[[#This Row],[Forest Explore]],-12,0),0)</f>
        <v>0</v>
      </c>
      <c r="CS40" s="359">
        <f ca="1">-SUM(TblConstr[[#This Row],[OM]:[GN]])+SUM(TblConstr[[#This Row],[Dest OM]:[Dest GN]]) +Rezone!N40 + IF("Ch_"&amp; home_land=TblConstr[[#Headers],[Ch_Mountain]],TblConstr[[#This Row],[Home Land]])+IF(TblConstr[[#This Row],[Hour]:[Hour]]&gt;12,OFFSET(TblExplore[[#This Row],[Mountain Explore]],-12,0),0)</f>
        <v>0</v>
      </c>
      <c r="CT40" s="183">
        <f ca="1">-SUM(TblConstr[[#This Row],[Fac]:[Shr]])+SUM(TblConstr[[#This Row],[Dest Fac]:[Dest Shr]]) +Rezone!O40 + IF("Ch_" &amp; home_land=TblConstr[[#Headers],[Ch_Hill]],TblConstr[[#This Row],[Home Land]])+IF(TblConstr[[#This Row],[Hour]:[Hour]]&gt;12,OFFSET(TblExplore[[#This Row],[Hill Explore]],-12,0),0)</f>
        <v>0</v>
      </c>
      <c r="CU40" s="184">
        <f ca="1">-SUM(TblConstr[[#This Row],[Tow]:[WG]])+SUM(TblConstr[[#This Row],[Dest Tow]:[Dest WG]]) +Rezone!P40 + IF("Ch_" &amp; home_land=TblConstr[[#Headers],[Ch_Swamp]],TblConstr[[#This Row],[Home Land]])+IF(TblConstr[[#This Row],[Hour]:[Hour]]&gt;12,OFFSET(TblExplore[[#This Row],[Swamp Explore]],-12,0),0)</f>
        <v>0</v>
      </c>
      <c r="CV40" s="185">
        <f ca="1" xml:space="preserve"> - SUM(TblConstr[[#This Row],[DM]:[Sch]])+SUM(TblConstr[[#This Row],[Dest DM]:[Dest Sch]]) +Rezone!Q40 + IF("Ch_" &amp; home_land=TblConstr[[#Headers],[Ch_Cavern]],TblConstr[[#This Row],[Home Land]])+IF(TblConstr[[#This Row],[Hour]:[Hour]]&gt;12,OFFSET(TblExplore[[#This Row],[Cavern Explore]],-12,0),0)</f>
        <v>0</v>
      </c>
      <c r="CW40" s="186">
        <f ca="1">-TblConstr[[#This Row],[Doc]]+TblConstr[[#This Row],[Dest Doc]] +Rezone!R40 + IF("Ch_" &amp; home_land=TblConstr[[#Headers],[Ch_Water]],TblConstr[[#This Row],[Home Land]])+IF(TblConstr[[#This Row],[Hour]:[Hour]]&gt;12,OFFSET(TblExplore[[#This Row],[Water Explore]],-12,0),0)</f>
        <v>0</v>
      </c>
      <c r="CX40" s="45">
        <f>IF(Explore!S40=1,20) - TblConstr[[#This Row],[Hom]] + TblConstr[[#This Row],[Dest Hom]]</f>
        <v>0</v>
      </c>
      <c r="CY40" s="142"/>
      <c r="CZ40" s="94">
        <f t="shared" ca="1" si="3"/>
        <v>30</v>
      </c>
      <c r="DA40" s="94">
        <f t="shared" ca="1" si="4"/>
        <v>20</v>
      </c>
      <c r="DB40" s="45">
        <f t="shared" ca="1" si="5"/>
        <v>0</v>
      </c>
      <c r="DC40" s="94">
        <f t="shared" ca="1" si="6"/>
        <v>0</v>
      </c>
      <c r="DD40" s="94">
        <f t="shared" ca="1" si="7"/>
        <v>0</v>
      </c>
      <c r="DE40" s="45">
        <f t="shared" ca="1" si="8"/>
        <v>0</v>
      </c>
      <c r="DF40" s="94">
        <f t="shared" ca="1" si="9"/>
        <v>0</v>
      </c>
      <c r="DG40" s="94" cm="1">
        <f t="array" aca="1" ref="DG40" ca="1">INDEX(TblConstr[[Total Plain]:[Total Water]],ROW()-ROW(TblConstr[#Headers]),MATCH("Total "&amp;home_land,TblConstr[[#Headers],[Total Plain]:[Total Water]],0))+TblConstr[[#This Row],[Homes]]</f>
        <v>30</v>
      </c>
      <c r="DH40" s="45">
        <f t="shared" ca="1" si="10"/>
        <v>0</v>
      </c>
      <c r="DI40" s="45">
        <f t="shared" ca="1" si="0"/>
        <v>0</v>
      </c>
      <c r="DJ40" s="45">
        <f t="shared" ca="1" si="1"/>
        <v>0</v>
      </c>
    </row>
    <row r="41" spans="1:114" x14ac:dyDescent="0.2">
      <c r="A41" s="175">
        <f>TblRezone[[#This Row],[Hour]]</f>
        <v>38</v>
      </c>
      <c r="B41" s="176">
        <f ca="1">SUM(TblConstr[[#This Row],[Plain]:[Water]])</f>
        <v>0</v>
      </c>
      <c r="C41" s="177">
        <f ca="1">SUM(TblConstr[[#This Row],[Tot Hom]:[Tot Doc]])</f>
        <v>50</v>
      </c>
      <c r="D41" s="177">
        <f t="shared" si="2"/>
        <v>0</v>
      </c>
      <c r="E41" s="178"/>
      <c r="F41" s="61">
        <f ca="1">TblConstr[[#This Row],[Barren]]+TblConstr[[#This Row],[Buildings]]+TblConstr[[#This Row],[Incoming]]</f>
        <v>50</v>
      </c>
      <c r="G41" s="187">
        <f ca="1">OFFSET(TblConstr[[#This Row],[Plain]],-1,0)+TblConstr[[#This Row],[Ch_Plain]]</f>
        <v>0</v>
      </c>
      <c r="H41" s="182">
        <f ca="1">OFFSET(TblConstr[[#This Row],[Forest]],-1,0)+TblConstr[[#This Row],[Ch_Forest]]</f>
        <v>0</v>
      </c>
      <c r="I41" s="359">
        <f ca="1">OFFSET(TblConstr[[#This Row],[Mountain]],-1,0)+TblConstr[[#This Row],[Ch_Mountain]]</f>
        <v>0</v>
      </c>
      <c r="J41" s="363">
        <f ca="1">OFFSET(TblConstr[[#This Row],[Hill]],-1,0)+TblConstr[[#This Row],[Ch_Hill]]</f>
        <v>0</v>
      </c>
      <c r="K41" s="367">
        <f ca="1">OFFSET(TblConstr[[#This Row],[Swamp]],-1,0)+TblConstr[[#This Row],[Ch_Swamp]]</f>
        <v>0</v>
      </c>
      <c r="L41" s="185">
        <f ca="1">OFFSET(TblConstr[[#This Row],[Cavern]],-1,0)+TblConstr[[#This Row],[Ch_Cavern]]</f>
        <v>0</v>
      </c>
      <c r="M41" s="186">
        <f ca="1">OFFSET(TblConstr[[#This Row],[Water]],-1,0)+TblConstr[[#This Row],[Ch_Water]]</f>
        <v>0</v>
      </c>
      <c r="N41" s="357">
        <f>TblRezone[[#This Row],[Hour]]</f>
        <v>38</v>
      </c>
      <c r="O41" s="179"/>
      <c r="P41" s="179"/>
      <c r="Q41" s="179"/>
      <c r="R41" s="158"/>
      <c r="S41" s="179"/>
      <c r="T41" s="179"/>
      <c r="U41" s="179"/>
      <c r="V41" s="179"/>
      <c r="W41" s="179"/>
      <c r="X41" s="179"/>
      <c r="Y41" s="179"/>
      <c r="Z41" s="179"/>
      <c r="AA41" s="179"/>
      <c r="AB41" s="179"/>
      <c r="AC41" s="179"/>
      <c r="AD41" s="179"/>
      <c r="AE41" s="179"/>
      <c r="AF41" s="179"/>
      <c r="AG41" s="179"/>
      <c r="AH41" s="53">
        <f ca="1">TblImps[[#This Row],[Time]]</f>
        <v>46321.541666666577</v>
      </c>
      <c r="AI41" s="180">
        <f ca="1">MIN(25%,(TblConstr[[#This Row],[Tot Fac]]+TblConstr[[#This Row],[Dest Fac]])/(TblConstr[[#This Row],[Land]]-TblExplore[[#This Row],[Land Bonus]]*20))</f>
        <v>0</v>
      </c>
      <c r="AJ41" s="180">
        <f ca="1">MIN(25%,(TblConstr[[#This Row],[Tot Fac]]+TblConstr[[#This Row],[Dest Fac]])/TblConstr[[#This Row],[Land]])</f>
        <v>0</v>
      </c>
      <c r="AK41" s="94">
        <f ca="1">TblProd[[#This Row],[Platinum]]</f>
        <v>159345</v>
      </c>
      <c r="AL41" s="94">
        <f ca="1">TblProd[[#This Row],[Lumber]]</f>
        <v>41396</v>
      </c>
      <c r="AM4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1" s="94">
        <f ca="1">ROUNDDOWN( MAX(1 - MIN(facs_constr_factor*TblConstr[[#This Row],[Facs -DB]],facs_constr_max) + tech_1_11*TblTech[[#This Row],[11-1]] + tech_6_3_2*TblTech[[#This Row],[6-3]] + tech_5_2_3*TblTech[[#This Row],[5-2]], 1-global_constr_cap) * TblConstr[[#This Row],[RCPA Lumber]],0)</f>
        <v>31</v>
      </c>
      <c r="AO4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1" s="94">
        <f ca="1">ROUNDDOWN( MAX(1 - MIN(facs_constr_factor*TblConstr[[#This Row],[Facs DB]],facs_constr_max) + tech_1_11*TblTech[[#This Row],[1-11]] + tech_6_3_2*TblTech[[#This Row],[6-3]] + tech_5_2_3*TblTech[[#This Row],[5-2]], 1-global_constr_cap) * ROUND((TblConstr[[#This Row],[Land]]-250)*0.285 + 87.5 + 0/4.25,0),0)</f>
        <v>31</v>
      </c>
      <c r="AQ41" s="45">
        <f ca="1">TblConstr[[#This Row],[build -db]]*TblConstr[[#This Row],[CPA Platinum -DB]] + TblConstr[[#This Row],[build db]]*TblConstr[[#This Row],[CPA Platinum DB]]</f>
        <v>0</v>
      </c>
      <c r="AR41" s="45">
        <f ca="1">TblConstr[[#This Row],[build -db]]*TblConstr[[#This Row],[CPA Lumber -DB]] + TblConstr[[#This Row],[build db]]*TblConstr[[#This Row],[CPA Lumber DB]]</f>
        <v>0</v>
      </c>
      <c r="AS41" s="94">
        <f ca="1">MIN(SUM(OFFSET(TblConstr[[#This Row],[Plain]:[Water]],-1,0))+SUM(TblConstr[[#This Row],[Dest Hom]:[Dest Doc]])+IF(TblConstr[[#This Row],[Hour]]&gt;12,SUM(OFFSET(TblExplore[[#This Row],[Plains Explore]:[Water Explore]],-12,0)),0),SUM(TblConstr[[#This Row],[Hom]:[Doc]]))</f>
        <v>0</v>
      </c>
      <c r="AT4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42"/>
      <c r="AV41" s="94">
        <f ca="1">ROUND((TblConstr[[#This Row],[Land]]-250 - IF(TblExplore[[#This Row],[Land Bonus]]&lt;&gt;0,20,0))*1.25 + 850 + 0,0)</f>
        <v>600</v>
      </c>
      <c r="AW41" s="94">
        <f ca="1">ROUND((TblConstr[[#This Row],[Land]]-250 - IF(TblExplore[[#This Row],[Land Bonus]]&lt;&gt;0,20,0))*0.285 + 87.5 + 0/4.25,0)</f>
        <v>31</v>
      </c>
      <c r="AX41" s="154"/>
      <c r="AY41" s="188" cm="1">
        <f t="array" aca="1" ref="AY41" ca="1">IF(TblConstr[[#This Row],[Hour]:[Hour]]&gt;12,OFFSET(TblConstr[[#This Row],[Hom]],-12,0),0)+OFFSET(TblConstr[[#This Row],[Tot Hom]],-1,0)-TblConstr[[#This Row],[Dest Hom]]</f>
        <v>0</v>
      </c>
      <c r="AZ41" s="189" cm="1">
        <f t="array" aca="1" ref="AZ41" ca="1">IF(TblConstr[[#This Row],[Hour]:[Hour]]&gt;12,OFFSET(TblConstr[[#This Row],[Alc]],-12,0),0)+OFFSET(TblConstr[[#This Row],[Tot Alc]],-1,0)-TblConstr[[#This Row],[Dest Alc]]</f>
        <v>0</v>
      </c>
      <c r="BA41" s="189" cm="1">
        <f t="array" aca="1" ref="BA41" ca="1">IF(TblConstr[[#This Row],[Hour]:[Hour]]&gt;12,OFFSET(TblConstr[[#This Row],[Far]],-12,0),0)+OFFSET(TblConstr[[#This Row],[Tot Farm]],-1,0)-TblConstr[[#This Row],[Dest Farm]]</f>
        <v>30</v>
      </c>
      <c r="BB41" s="189" cm="1">
        <f t="array" aca="1" ref="BB41" ca="1">IF(TblConstr[[#This Row],[Hour]:[Hour]]&gt;12,OFFSET(TblConstr[[#This Row],[Smi]],-12,0),0)+OFFSET(TblConstr[[#This Row],[Tot Smi]],-1,0)-TblConstr[[#This Row],[Dest Smi]]</f>
        <v>0</v>
      </c>
      <c r="BC41" s="189" cm="1">
        <f t="array" aca="1" ref="BC41" ca="1">IF(TblConstr[[#This Row],[Hour]:[Hour]]&gt;12,OFFSET(TblConstr[[#This Row],[Mas]],-12,0),0)+OFFSET(TblConstr[[#This Row],[Tot Mas]],-1,0)-TblConstr[[#This Row],[Dest Mas]]</f>
        <v>0</v>
      </c>
      <c r="BD41" s="190" cm="1">
        <f t="array" aca="1" ref="BD41" ca="1">IF(TblConstr[[#This Row],[Hour]:[Hour]]&gt;12,OFFSET(TblConstr[[#This Row],[Ly]],-12,0),0)+OFFSET(TblConstr[[#This Row],[Tot Ly]],-1,0)-TblConstr[[#This Row],[Dest Ly]]</f>
        <v>20</v>
      </c>
      <c r="BE41" s="190" cm="1">
        <f t="array" aca="1" ref="BE41" ca="1">IF(TblConstr[[#This Row],[Hour]:[Hour]]&gt;12,OFFSET(TblConstr[[#This Row],[Hav]],-12,0),0)+OFFSET(TblConstr[[#This Row],[Tot Hav]],-1,0)-TblConstr[[#This Row],[Dest Hav]]</f>
        <v>0</v>
      </c>
      <c r="BF41" s="361" cm="1">
        <f t="array" aca="1" ref="BF41" ca="1">IF(TblConstr[[#This Row],[Hour]:[Hour]]&gt;12,OFFSET(TblConstr[[#This Row],[OM]],-12,0),0)+OFFSET(TblConstr[[#This Row],[Tot OM]],-1,0)-TblConstr[[#This Row],[Dest OM]]</f>
        <v>0</v>
      </c>
      <c r="BG41" s="361" cm="1">
        <f t="array" aca="1" ref="BG41" ca="1">IF(TblConstr[[#This Row],[Hour]:[Hour]]&gt;12,OFFSET(TblConstr[[#This Row],[GN]],-12,0),0)+OFFSET(TblConstr[[#This Row],[Tot GN]],-1,0)-TblConstr[[#This Row],[Dest GN]]</f>
        <v>0</v>
      </c>
      <c r="BH41" s="365" cm="1">
        <f t="array" aca="1" ref="BH41" ca="1">IF(TblConstr[[#This Row],[Hour]:[Hour]]&gt;12,OFFSET(TblConstr[[#This Row],[Fac]],-12,0),0)+OFFSET(TblConstr[[#This Row],[Tot Fac]],-1,0)-TblConstr[[#This Row],[Dest Fac]]</f>
        <v>0</v>
      </c>
      <c r="BI41" s="365" cm="1">
        <f t="array" aca="1" ref="BI41" ca="1">IF(TblConstr[[#This Row],[Hour]:[Hour]]&gt;12,OFFSET(TblConstr[[#This Row],[GT]],-12,0),0)+OFFSET(TblConstr[[#This Row],[Tot GT]],-1,0)-TblConstr[[#This Row],[Dest GT]]</f>
        <v>0</v>
      </c>
      <c r="BJ41" s="365" cm="1">
        <f t="array" aca="1" ref="BJ41" ca="1">IF(TblConstr[[#This Row],[Hour]:[Hour]]&gt;12,OFFSET(TblConstr[[#This Row],[Bar]],-12,0),0)+OFFSET(TblConstr[[#This Row],[Tot Bar]],-1,0)-TblConstr[[#This Row],[Dest Bar]]</f>
        <v>0</v>
      </c>
      <c r="BK41" s="365" cm="1">
        <f t="array" aca="1" ref="BK41" ca="1">IF(TblConstr[[#This Row],[Hour]:[Hour]]&gt;12,OFFSET(TblConstr[[#This Row],[Shr]],-12,0),0)+OFFSET(TblConstr[[#This Row],[Tot Shr]],-1,0)-TblConstr[[#This Row],[Dest Shr]]</f>
        <v>0</v>
      </c>
      <c r="BL41" s="369" cm="1">
        <f t="array" aca="1" ref="BL41" ca="1">IF(TblConstr[[#This Row],[Hour]:[Hour]]&gt;12,OFFSET(TblConstr[[#This Row],[Tow]],-12,0),0)+OFFSET(TblConstr[[#This Row],[Tot Tow]],-1,0)-TblConstr[[#This Row],[Dest Tow]]</f>
        <v>0</v>
      </c>
      <c r="BM41" s="369" cm="1">
        <f t="array" aca="1" ref="BM41" ca="1">IF(TblConstr[[#This Row],[Hour]:[Hour]]&gt;12,OFFSET(TblConstr[[#This Row],[Tem]],-12,0),0)+OFFSET(TblConstr[[#This Row],[Tot Tem]],-1,0)-TblConstr[[#This Row],[Dest Tem]]</f>
        <v>0</v>
      </c>
      <c r="BN41" s="369" cm="1">
        <f t="array" aca="1" ref="BN41" ca="1">IF(TblConstr[[#This Row],[Hour]:[Hour]]&gt;12,OFFSET(TblConstr[[#This Row],[WG]],-12,0),0)+OFFSET(TblConstr[[#This Row],[Tot WG]],-1,0)-TblConstr[[#This Row],[Dest WG]]</f>
        <v>0</v>
      </c>
      <c r="BO41" s="191" cm="1">
        <f t="array" aca="1" ref="BO41" ca="1">IF(TblConstr[[#This Row],[Hour]:[Hour]]&gt;12,OFFSET(TblConstr[[#This Row],[DM]],-12,0),0)+OFFSET(TblConstr[[#This Row],[Tot DM]],-1,0)-TblConstr[[#This Row],[Dest DM]]</f>
        <v>0</v>
      </c>
      <c r="BP41" s="191" cm="1">
        <f t="array" aca="1" ref="BP41" ca="1">IF(TblConstr[[#This Row],[Hour]:[Hour]]&gt;12,OFFSET(TblConstr[[#This Row],[Sch]],-12,0),0)+OFFSET(TblConstr[[#This Row],[Tot Sch]],-1,0)-TblConstr[[#This Row],[Dest Sch]]</f>
        <v>0</v>
      </c>
      <c r="BQ41" s="192" cm="1">
        <f t="array" aca="1" ref="BQ41" ca="1">IF(TblConstr[[#This Row],[Hour]:[Hour]]&gt;12,OFFSET(TblConstr[[#This Row],[Doc]],-12,0),0)+OFFSET(TblConstr[[#This Row],[Tot Doc]],-1,0)-TblConstr[[#This Row],[Dest Doc]]</f>
        <v>0</v>
      </c>
      <c r="BR41" s="142"/>
      <c r="BS41" s="154"/>
      <c r="BT41" s="94">
        <f ca="1">TblConstr[[#This Row],[Land]]</f>
        <v>50</v>
      </c>
      <c r="BU41" s="159">
        <f ca="1">TblImps[[#This Row],[Time]]</f>
        <v>46321.541666666577</v>
      </c>
      <c r="BV41" s="142"/>
      <c r="BW41" s="179"/>
      <c r="BX41" s="179"/>
      <c r="BY41" s="179"/>
      <c r="BZ41" s="179"/>
      <c r="CA41" s="179"/>
      <c r="CB41" s="179"/>
      <c r="CC41" s="179"/>
      <c r="CD41" s="179"/>
      <c r="CE41" s="179"/>
      <c r="CF41" s="179"/>
      <c r="CG41" s="179"/>
      <c r="CH41" s="179"/>
      <c r="CI41" s="179"/>
      <c r="CJ41" s="179"/>
      <c r="CK41" s="179"/>
      <c r="CL41" s="179"/>
      <c r="CM41" s="179"/>
      <c r="CN41" s="179"/>
      <c r="CO41" s="179"/>
      <c r="CP41" s="142"/>
      <c r="CQ41" s="181">
        <f ca="1">-SUM(TblConstr[[#This Row],[Alc]:[Mas]])+SUM(TblConstr[[#This Row],[Dest Alc]:[Dest Mas]])+Rezone!L41+IF("Ch_"&amp; home_land=TblConstr[[#Headers],[Ch_Plain]],TblConstr[[#This Row],[Home Land]])+IF(TblConstr[[#This Row],[Hour]:[Hour]]&gt;12,OFFSET(TblExplore[[#This Row],[Plains Explore]],-12,0),0)</f>
        <v>0</v>
      </c>
      <c r="CR41" s="182">
        <f ca="1">-SUM(TblConstr[[#This Row],[Ly]:[Hav]])+SUM(TblConstr[[#This Row],[Dest Ly]:[Dest Hav]]) +Rezone!M41 + IF("Ch_"&amp; home_land=TblConstr[[#Headers],[Ch_Forest]],TblConstr[[#This Row],[Home Land]])+IF(TblConstr[[#This Row],[Hour]:[Hour]]&gt;12,OFFSET(TblExplore[[#This Row],[Forest Explore]],-12,0),0)</f>
        <v>0</v>
      </c>
      <c r="CS41" s="359">
        <f ca="1">-SUM(TblConstr[[#This Row],[OM]:[GN]])+SUM(TblConstr[[#This Row],[Dest OM]:[Dest GN]]) +Rezone!N41 + IF("Ch_"&amp; home_land=TblConstr[[#Headers],[Ch_Mountain]],TblConstr[[#This Row],[Home Land]])+IF(TblConstr[[#This Row],[Hour]:[Hour]]&gt;12,OFFSET(TblExplore[[#This Row],[Mountain Explore]],-12,0),0)</f>
        <v>0</v>
      </c>
      <c r="CT41" s="183">
        <f ca="1">-SUM(TblConstr[[#This Row],[Fac]:[Shr]])+SUM(TblConstr[[#This Row],[Dest Fac]:[Dest Shr]]) +Rezone!O41 + IF("Ch_" &amp; home_land=TblConstr[[#Headers],[Ch_Hill]],TblConstr[[#This Row],[Home Land]])+IF(TblConstr[[#This Row],[Hour]:[Hour]]&gt;12,OFFSET(TblExplore[[#This Row],[Hill Explore]],-12,0),0)</f>
        <v>0</v>
      </c>
      <c r="CU41" s="184">
        <f ca="1">-SUM(TblConstr[[#This Row],[Tow]:[WG]])+SUM(TblConstr[[#This Row],[Dest Tow]:[Dest WG]]) +Rezone!P41 + IF("Ch_" &amp; home_land=TblConstr[[#Headers],[Ch_Swamp]],TblConstr[[#This Row],[Home Land]])+IF(TblConstr[[#This Row],[Hour]:[Hour]]&gt;12,OFFSET(TblExplore[[#This Row],[Swamp Explore]],-12,0),0)</f>
        <v>0</v>
      </c>
      <c r="CV41" s="185">
        <f ca="1" xml:space="preserve"> - SUM(TblConstr[[#This Row],[DM]:[Sch]])+SUM(TblConstr[[#This Row],[Dest DM]:[Dest Sch]]) +Rezone!Q41 + IF("Ch_" &amp; home_land=TblConstr[[#Headers],[Ch_Cavern]],TblConstr[[#This Row],[Home Land]])+IF(TblConstr[[#This Row],[Hour]:[Hour]]&gt;12,OFFSET(TblExplore[[#This Row],[Cavern Explore]],-12,0),0)</f>
        <v>0</v>
      </c>
      <c r="CW41" s="186">
        <f ca="1">-TblConstr[[#This Row],[Doc]]+TblConstr[[#This Row],[Dest Doc]] +Rezone!R41 + IF("Ch_" &amp; home_land=TblConstr[[#Headers],[Ch_Water]],TblConstr[[#This Row],[Home Land]])+IF(TblConstr[[#This Row],[Hour]:[Hour]]&gt;12,OFFSET(TblExplore[[#This Row],[Water Explore]],-12,0),0)</f>
        <v>0</v>
      </c>
      <c r="CX41" s="45">
        <f>IF(Explore!S41=1,20) - TblConstr[[#This Row],[Hom]] + TblConstr[[#This Row],[Dest Hom]]</f>
        <v>0</v>
      </c>
      <c r="CY41" s="142"/>
      <c r="CZ41" s="94">
        <f t="shared" ca="1" si="3"/>
        <v>30</v>
      </c>
      <c r="DA41" s="94">
        <f t="shared" ca="1" si="4"/>
        <v>20</v>
      </c>
      <c r="DB41" s="45">
        <f t="shared" ca="1" si="5"/>
        <v>0</v>
      </c>
      <c r="DC41" s="94">
        <f t="shared" ca="1" si="6"/>
        <v>0</v>
      </c>
      <c r="DD41" s="94">
        <f t="shared" ca="1" si="7"/>
        <v>0</v>
      </c>
      <c r="DE41" s="45">
        <f t="shared" ca="1" si="8"/>
        <v>0</v>
      </c>
      <c r="DF41" s="94">
        <f t="shared" ca="1" si="9"/>
        <v>0</v>
      </c>
      <c r="DG41" s="94" cm="1">
        <f t="array" aca="1" ref="DG41" ca="1">INDEX(TblConstr[[Total Plain]:[Total Water]],ROW()-ROW(TblConstr[#Headers]),MATCH("Total "&amp;home_land,TblConstr[[#Headers],[Total Plain]:[Total Water]],0))+TblConstr[[#This Row],[Homes]]</f>
        <v>30</v>
      </c>
      <c r="DH41" s="45">
        <f t="shared" ca="1" si="10"/>
        <v>0</v>
      </c>
      <c r="DI41" s="45">
        <f t="shared" ca="1" si="0"/>
        <v>0</v>
      </c>
      <c r="DJ41" s="45">
        <f t="shared" ca="1" si="1"/>
        <v>0</v>
      </c>
    </row>
    <row r="42" spans="1:114" x14ac:dyDescent="0.2">
      <c r="A42" s="175">
        <f>TblRezone[[#This Row],[Hour]]</f>
        <v>39</v>
      </c>
      <c r="B42" s="176">
        <f ca="1">SUM(TblConstr[[#This Row],[Plain]:[Water]])</f>
        <v>0</v>
      </c>
      <c r="C42" s="177">
        <f ca="1">SUM(TblConstr[[#This Row],[Tot Hom]:[Tot Doc]])</f>
        <v>50</v>
      </c>
      <c r="D42" s="177">
        <f t="shared" si="2"/>
        <v>0</v>
      </c>
      <c r="E42" s="178"/>
      <c r="F42" s="61">
        <f ca="1">TblConstr[[#This Row],[Barren]]+TblConstr[[#This Row],[Buildings]]+TblConstr[[#This Row],[Incoming]]</f>
        <v>50</v>
      </c>
      <c r="G42" s="187">
        <f ca="1">OFFSET(TblConstr[[#This Row],[Plain]],-1,0)+TblConstr[[#This Row],[Ch_Plain]]</f>
        <v>0</v>
      </c>
      <c r="H42" s="182">
        <f ca="1">OFFSET(TblConstr[[#This Row],[Forest]],-1,0)+TblConstr[[#This Row],[Ch_Forest]]</f>
        <v>0</v>
      </c>
      <c r="I42" s="359">
        <f ca="1">OFFSET(TblConstr[[#This Row],[Mountain]],-1,0)+TblConstr[[#This Row],[Ch_Mountain]]</f>
        <v>0</v>
      </c>
      <c r="J42" s="363">
        <f ca="1">OFFSET(TblConstr[[#This Row],[Hill]],-1,0)+TblConstr[[#This Row],[Ch_Hill]]</f>
        <v>0</v>
      </c>
      <c r="K42" s="367">
        <f ca="1">OFFSET(TblConstr[[#This Row],[Swamp]],-1,0)+TblConstr[[#This Row],[Ch_Swamp]]</f>
        <v>0</v>
      </c>
      <c r="L42" s="185">
        <f ca="1">OFFSET(TblConstr[[#This Row],[Cavern]],-1,0)+TblConstr[[#This Row],[Ch_Cavern]]</f>
        <v>0</v>
      </c>
      <c r="M42" s="186">
        <f ca="1">OFFSET(TblConstr[[#This Row],[Water]],-1,0)+TblConstr[[#This Row],[Ch_Water]]</f>
        <v>0</v>
      </c>
      <c r="N42" s="357">
        <f>TblRezone[[#This Row],[Hour]]</f>
        <v>39</v>
      </c>
      <c r="O42" s="179"/>
      <c r="P42" s="179"/>
      <c r="Q42" s="179"/>
      <c r="R42" s="158"/>
      <c r="S42" s="179"/>
      <c r="T42" s="179"/>
      <c r="U42" s="179"/>
      <c r="V42" s="179"/>
      <c r="W42" s="179"/>
      <c r="X42" s="179"/>
      <c r="Y42" s="179"/>
      <c r="Z42" s="179"/>
      <c r="AA42" s="179"/>
      <c r="AB42" s="179"/>
      <c r="AC42" s="179"/>
      <c r="AD42" s="179"/>
      <c r="AE42" s="179"/>
      <c r="AF42" s="179"/>
      <c r="AG42" s="179"/>
      <c r="AH42" s="53">
        <f ca="1">TblImps[[#This Row],[Time]]</f>
        <v>46321.583333333241</v>
      </c>
      <c r="AI42" s="180">
        <f ca="1">MIN(25%,(TblConstr[[#This Row],[Tot Fac]]+TblConstr[[#This Row],[Dest Fac]])/(TblConstr[[#This Row],[Land]]-TblExplore[[#This Row],[Land Bonus]]*20))</f>
        <v>0</v>
      </c>
      <c r="AJ42" s="180">
        <f ca="1">MIN(25%,(TblConstr[[#This Row],[Tot Fac]]+TblConstr[[#This Row],[Dest Fac]])/TblConstr[[#This Row],[Land]])</f>
        <v>0</v>
      </c>
      <c r="AK42" s="94">
        <f ca="1">TblProd[[#This Row],[Platinum]]</f>
        <v>160222</v>
      </c>
      <c r="AL42" s="94">
        <f ca="1">TblProd[[#This Row],[Lumber]]</f>
        <v>41982</v>
      </c>
      <c r="AM4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2" s="94">
        <f ca="1">ROUNDDOWN( MAX(1 - MIN(facs_constr_factor*TblConstr[[#This Row],[Facs -DB]],facs_constr_max) + tech_1_11*TblTech[[#This Row],[11-1]] + tech_6_3_2*TblTech[[#This Row],[6-3]] + tech_5_2_3*TblTech[[#This Row],[5-2]], 1-global_constr_cap) * TblConstr[[#This Row],[RCPA Lumber]],0)</f>
        <v>31</v>
      </c>
      <c r="AO4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2" s="94">
        <f ca="1">ROUNDDOWN( MAX(1 - MIN(facs_constr_factor*TblConstr[[#This Row],[Facs DB]],facs_constr_max) + tech_1_11*TblTech[[#This Row],[1-11]] + tech_6_3_2*TblTech[[#This Row],[6-3]] + tech_5_2_3*TblTech[[#This Row],[5-2]], 1-global_constr_cap) * ROUND((TblConstr[[#This Row],[Land]]-250)*0.285 + 87.5 + 0/4.25,0),0)</f>
        <v>31</v>
      </c>
      <c r="AQ42" s="45">
        <f ca="1">TblConstr[[#This Row],[build -db]]*TblConstr[[#This Row],[CPA Platinum -DB]] + TblConstr[[#This Row],[build db]]*TblConstr[[#This Row],[CPA Platinum DB]]</f>
        <v>0</v>
      </c>
      <c r="AR42" s="45">
        <f ca="1">TblConstr[[#This Row],[build -db]]*TblConstr[[#This Row],[CPA Lumber -DB]] + TblConstr[[#This Row],[build db]]*TblConstr[[#This Row],[CPA Lumber DB]]</f>
        <v>0</v>
      </c>
      <c r="AS42" s="94">
        <f ca="1">MIN(SUM(OFFSET(TblConstr[[#This Row],[Plain]:[Water]],-1,0))+SUM(TblConstr[[#This Row],[Dest Hom]:[Dest Doc]])+IF(TblConstr[[#This Row],[Hour]]&gt;12,SUM(OFFSET(TblExplore[[#This Row],[Plains Explore]:[Water Explore]],-12,0)),0),SUM(TblConstr[[#This Row],[Hom]:[Doc]]))</f>
        <v>0</v>
      </c>
      <c r="AT4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42"/>
      <c r="AV42" s="94">
        <f ca="1">ROUND((TblConstr[[#This Row],[Land]]-250 - IF(TblExplore[[#This Row],[Land Bonus]]&lt;&gt;0,20,0))*1.25 + 850 + 0,0)</f>
        <v>600</v>
      </c>
      <c r="AW42" s="94">
        <f ca="1">ROUND((TblConstr[[#This Row],[Land]]-250 - IF(TblExplore[[#This Row],[Land Bonus]]&lt;&gt;0,20,0))*0.285 + 87.5 + 0/4.25,0)</f>
        <v>31</v>
      </c>
      <c r="AX42" s="154"/>
      <c r="AY42" s="188" cm="1">
        <f t="array" aca="1" ref="AY42" ca="1">IF(TblConstr[[#This Row],[Hour]:[Hour]]&gt;12,OFFSET(TblConstr[[#This Row],[Hom]],-12,0),0)+OFFSET(TblConstr[[#This Row],[Tot Hom]],-1,0)-TblConstr[[#This Row],[Dest Hom]]</f>
        <v>0</v>
      </c>
      <c r="AZ42" s="189" cm="1">
        <f t="array" aca="1" ref="AZ42" ca="1">IF(TblConstr[[#This Row],[Hour]:[Hour]]&gt;12,OFFSET(TblConstr[[#This Row],[Alc]],-12,0),0)+OFFSET(TblConstr[[#This Row],[Tot Alc]],-1,0)-TblConstr[[#This Row],[Dest Alc]]</f>
        <v>0</v>
      </c>
      <c r="BA42" s="189" cm="1">
        <f t="array" aca="1" ref="BA42" ca="1">IF(TblConstr[[#This Row],[Hour]:[Hour]]&gt;12,OFFSET(TblConstr[[#This Row],[Far]],-12,0),0)+OFFSET(TblConstr[[#This Row],[Tot Farm]],-1,0)-TblConstr[[#This Row],[Dest Farm]]</f>
        <v>30</v>
      </c>
      <c r="BB42" s="189" cm="1">
        <f t="array" aca="1" ref="BB42" ca="1">IF(TblConstr[[#This Row],[Hour]:[Hour]]&gt;12,OFFSET(TblConstr[[#This Row],[Smi]],-12,0),0)+OFFSET(TblConstr[[#This Row],[Tot Smi]],-1,0)-TblConstr[[#This Row],[Dest Smi]]</f>
        <v>0</v>
      </c>
      <c r="BC42" s="189" cm="1">
        <f t="array" aca="1" ref="BC42" ca="1">IF(TblConstr[[#This Row],[Hour]:[Hour]]&gt;12,OFFSET(TblConstr[[#This Row],[Mas]],-12,0),0)+OFFSET(TblConstr[[#This Row],[Tot Mas]],-1,0)-TblConstr[[#This Row],[Dest Mas]]</f>
        <v>0</v>
      </c>
      <c r="BD42" s="190" cm="1">
        <f t="array" aca="1" ref="BD42" ca="1">IF(TblConstr[[#This Row],[Hour]:[Hour]]&gt;12,OFFSET(TblConstr[[#This Row],[Ly]],-12,0),0)+OFFSET(TblConstr[[#This Row],[Tot Ly]],-1,0)-TblConstr[[#This Row],[Dest Ly]]</f>
        <v>20</v>
      </c>
      <c r="BE42" s="190" cm="1">
        <f t="array" aca="1" ref="BE42" ca="1">IF(TblConstr[[#This Row],[Hour]:[Hour]]&gt;12,OFFSET(TblConstr[[#This Row],[Hav]],-12,0),0)+OFFSET(TblConstr[[#This Row],[Tot Hav]],-1,0)-TblConstr[[#This Row],[Dest Hav]]</f>
        <v>0</v>
      </c>
      <c r="BF42" s="361" cm="1">
        <f t="array" aca="1" ref="BF42" ca="1">IF(TblConstr[[#This Row],[Hour]:[Hour]]&gt;12,OFFSET(TblConstr[[#This Row],[OM]],-12,0),0)+OFFSET(TblConstr[[#This Row],[Tot OM]],-1,0)-TblConstr[[#This Row],[Dest OM]]</f>
        <v>0</v>
      </c>
      <c r="BG42" s="361" cm="1">
        <f t="array" aca="1" ref="BG42" ca="1">IF(TblConstr[[#This Row],[Hour]:[Hour]]&gt;12,OFFSET(TblConstr[[#This Row],[GN]],-12,0),0)+OFFSET(TblConstr[[#This Row],[Tot GN]],-1,0)-TblConstr[[#This Row],[Dest GN]]</f>
        <v>0</v>
      </c>
      <c r="BH42" s="365" cm="1">
        <f t="array" aca="1" ref="BH42" ca="1">IF(TblConstr[[#This Row],[Hour]:[Hour]]&gt;12,OFFSET(TblConstr[[#This Row],[Fac]],-12,0),0)+OFFSET(TblConstr[[#This Row],[Tot Fac]],-1,0)-TblConstr[[#This Row],[Dest Fac]]</f>
        <v>0</v>
      </c>
      <c r="BI42" s="365" cm="1">
        <f t="array" aca="1" ref="BI42" ca="1">IF(TblConstr[[#This Row],[Hour]:[Hour]]&gt;12,OFFSET(TblConstr[[#This Row],[GT]],-12,0),0)+OFFSET(TblConstr[[#This Row],[Tot GT]],-1,0)-TblConstr[[#This Row],[Dest GT]]</f>
        <v>0</v>
      </c>
      <c r="BJ42" s="365" cm="1">
        <f t="array" aca="1" ref="BJ42" ca="1">IF(TblConstr[[#This Row],[Hour]:[Hour]]&gt;12,OFFSET(TblConstr[[#This Row],[Bar]],-12,0),0)+OFFSET(TblConstr[[#This Row],[Tot Bar]],-1,0)-TblConstr[[#This Row],[Dest Bar]]</f>
        <v>0</v>
      </c>
      <c r="BK42" s="365" cm="1">
        <f t="array" aca="1" ref="BK42" ca="1">IF(TblConstr[[#This Row],[Hour]:[Hour]]&gt;12,OFFSET(TblConstr[[#This Row],[Shr]],-12,0),0)+OFFSET(TblConstr[[#This Row],[Tot Shr]],-1,0)-TblConstr[[#This Row],[Dest Shr]]</f>
        <v>0</v>
      </c>
      <c r="BL42" s="369" cm="1">
        <f t="array" aca="1" ref="BL42" ca="1">IF(TblConstr[[#This Row],[Hour]:[Hour]]&gt;12,OFFSET(TblConstr[[#This Row],[Tow]],-12,0),0)+OFFSET(TblConstr[[#This Row],[Tot Tow]],-1,0)-TblConstr[[#This Row],[Dest Tow]]</f>
        <v>0</v>
      </c>
      <c r="BM42" s="369" cm="1">
        <f t="array" aca="1" ref="BM42" ca="1">IF(TblConstr[[#This Row],[Hour]:[Hour]]&gt;12,OFFSET(TblConstr[[#This Row],[Tem]],-12,0),0)+OFFSET(TblConstr[[#This Row],[Tot Tem]],-1,0)-TblConstr[[#This Row],[Dest Tem]]</f>
        <v>0</v>
      </c>
      <c r="BN42" s="369" cm="1">
        <f t="array" aca="1" ref="BN42" ca="1">IF(TblConstr[[#This Row],[Hour]:[Hour]]&gt;12,OFFSET(TblConstr[[#This Row],[WG]],-12,0),0)+OFFSET(TblConstr[[#This Row],[Tot WG]],-1,0)-TblConstr[[#This Row],[Dest WG]]</f>
        <v>0</v>
      </c>
      <c r="BO42" s="191" cm="1">
        <f t="array" aca="1" ref="BO42" ca="1">IF(TblConstr[[#This Row],[Hour]:[Hour]]&gt;12,OFFSET(TblConstr[[#This Row],[DM]],-12,0),0)+OFFSET(TblConstr[[#This Row],[Tot DM]],-1,0)-TblConstr[[#This Row],[Dest DM]]</f>
        <v>0</v>
      </c>
      <c r="BP42" s="191" cm="1">
        <f t="array" aca="1" ref="BP42" ca="1">IF(TblConstr[[#This Row],[Hour]:[Hour]]&gt;12,OFFSET(TblConstr[[#This Row],[Sch]],-12,0),0)+OFFSET(TblConstr[[#This Row],[Tot Sch]],-1,0)-TblConstr[[#This Row],[Dest Sch]]</f>
        <v>0</v>
      </c>
      <c r="BQ42" s="192" cm="1">
        <f t="array" aca="1" ref="BQ42" ca="1">IF(TblConstr[[#This Row],[Hour]:[Hour]]&gt;12,OFFSET(TblConstr[[#This Row],[Doc]],-12,0),0)+OFFSET(TblConstr[[#This Row],[Tot Doc]],-1,0)-TblConstr[[#This Row],[Dest Doc]]</f>
        <v>0</v>
      </c>
      <c r="BR42" s="142"/>
      <c r="BS42" s="154"/>
      <c r="BT42" s="94">
        <f ca="1">TblConstr[[#This Row],[Land]]</f>
        <v>50</v>
      </c>
      <c r="BU42" s="159">
        <f ca="1">TblImps[[#This Row],[Time]]</f>
        <v>46321.583333333241</v>
      </c>
      <c r="BV42" s="142"/>
      <c r="BW42" s="179"/>
      <c r="BX42" s="158"/>
      <c r="BY42" s="179"/>
      <c r="BZ42" s="179"/>
      <c r="CA42" s="179"/>
      <c r="CB42" s="179"/>
      <c r="CC42" s="179"/>
      <c r="CD42" s="179"/>
      <c r="CE42" s="179"/>
      <c r="CF42" s="179"/>
      <c r="CG42" s="179"/>
      <c r="CH42" s="179"/>
      <c r="CI42" s="179"/>
      <c r="CJ42" s="179"/>
      <c r="CK42" s="179"/>
      <c r="CL42" s="179"/>
      <c r="CM42" s="179"/>
      <c r="CN42" s="179"/>
      <c r="CO42" s="179"/>
      <c r="CP42" s="142"/>
      <c r="CQ42" s="181">
        <f ca="1">-SUM(TblConstr[[#This Row],[Alc]:[Mas]])+SUM(TblConstr[[#This Row],[Dest Alc]:[Dest Mas]])+Rezone!L42+IF("Ch_"&amp; home_land=TblConstr[[#Headers],[Ch_Plain]],TblConstr[[#This Row],[Home Land]])+IF(TblConstr[[#This Row],[Hour]:[Hour]]&gt;12,OFFSET(TblExplore[[#This Row],[Plains Explore]],-12,0),0)</f>
        <v>0</v>
      </c>
      <c r="CR42" s="182">
        <f ca="1">-SUM(TblConstr[[#This Row],[Ly]:[Hav]])+SUM(TblConstr[[#This Row],[Dest Ly]:[Dest Hav]]) +Rezone!M42 + IF("Ch_"&amp; home_land=TblConstr[[#Headers],[Ch_Forest]],TblConstr[[#This Row],[Home Land]])+IF(TblConstr[[#This Row],[Hour]:[Hour]]&gt;12,OFFSET(TblExplore[[#This Row],[Forest Explore]],-12,0),0)</f>
        <v>0</v>
      </c>
      <c r="CS42" s="359">
        <f ca="1">-SUM(TblConstr[[#This Row],[OM]:[GN]])+SUM(TblConstr[[#This Row],[Dest OM]:[Dest GN]]) +Rezone!N42 + IF("Ch_"&amp; home_land=TblConstr[[#Headers],[Ch_Mountain]],TblConstr[[#This Row],[Home Land]])+IF(TblConstr[[#This Row],[Hour]:[Hour]]&gt;12,OFFSET(TblExplore[[#This Row],[Mountain Explore]],-12,0),0)</f>
        <v>0</v>
      </c>
      <c r="CT42" s="183">
        <f ca="1">-SUM(TblConstr[[#This Row],[Fac]:[Shr]])+SUM(TblConstr[[#This Row],[Dest Fac]:[Dest Shr]]) +Rezone!O42 + IF("Ch_" &amp; home_land=TblConstr[[#Headers],[Ch_Hill]],TblConstr[[#This Row],[Home Land]])+IF(TblConstr[[#This Row],[Hour]:[Hour]]&gt;12,OFFSET(TblExplore[[#This Row],[Hill Explore]],-12,0),0)</f>
        <v>0</v>
      </c>
      <c r="CU42" s="184">
        <f ca="1">-SUM(TblConstr[[#This Row],[Tow]:[WG]])+SUM(TblConstr[[#This Row],[Dest Tow]:[Dest WG]]) +Rezone!P42 + IF("Ch_" &amp; home_land=TblConstr[[#Headers],[Ch_Swamp]],TblConstr[[#This Row],[Home Land]])+IF(TblConstr[[#This Row],[Hour]:[Hour]]&gt;12,OFFSET(TblExplore[[#This Row],[Swamp Explore]],-12,0),0)</f>
        <v>0</v>
      </c>
      <c r="CV42" s="185">
        <f ca="1" xml:space="preserve"> - SUM(TblConstr[[#This Row],[DM]:[Sch]])+SUM(TblConstr[[#This Row],[Dest DM]:[Dest Sch]]) +Rezone!Q42 + IF("Ch_" &amp; home_land=TblConstr[[#Headers],[Ch_Cavern]],TblConstr[[#This Row],[Home Land]])+IF(TblConstr[[#This Row],[Hour]:[Hour]]&gt;12,OFFSET(TblExplore[[#This Row],[Cavern Explore]],-12,0),0)</f>
        <v>0</v>
      </c>
      <c r="CW42" s="186">
        <f ca="1">-TblConstr[[#This Row],[Doc]]+TblConstr[[#This Row],[Dest Doc]] +Rezone!R42 + IF("Ch_" &amp; home_land=TblConstr[[#Headers],[Ch_Water]],TblConstr[[#This Row],[Home Land]])+IF(TblConstr[[#This Row],[Hour]:[Hour]]&gt;12,OFFSET(TblExplore[[#This Row],[Water Explore]],-12,0),0)</f>
        <v>0</v>
      </c>
      <c r="CX42" s="45">
        <f>IF(Explore!S42=1,20) - TblConstr[[#This Row],[Hom]] + TblConstr[[#This Row],[Dest Hom]]</f>
        <v>0</v>
      </c>
      <c r="CY42" s="142"/>
      <c r="CZ42" s="94">
        <f t="shared" ca="1" si="3"/>
        <v>30</v>
      </c>
      <c r="DA42" s="94">
        <f t="shared" ca="1" si="4"/>
        <v>20</v>
      </c>
      <c r="DB42" s="45">
        <f t="shared" ca="1" si="5"/>
        <v>0</v>
      </c>
      <c r="DC42" s="94">
        <f t="shared" ca="1" si="6"/>
        <v>0</v>
      </c>
      <c r="DD42" s="94">
        <f t="shared" ca="1" si="7"/>
        <v>0</v>
      </c>
      <c r="DE42" s="45">
        <f t="shared" ca="1" si="8"/>
        <v>0</v>
      </c>
      <c r="DF42" s="94">
        <f t="shared" ca="1" si="9"/>
        <v>0</v>
      </c>
      <c r="DG42" s="94" cm="1">
        <f t="array" aca="1" ref="DG42" ca="1">INDEX(TblConstr[[Total Plain]:[Total Water]],ROW()-ROW(TblConstr[#Headers]),MATCH("Total "&amp;home_land,TblConstr[[#Headers],[Total Plain]:[Total Water]],0))+TblConstr[[#This Row],[Homes]]</f>
        <v>30</v>
      </c>
      <c r="DH42" s="45">
        <f t="shared" ca="1" si="10"/>
        <v>0</v>
      </c>
      <c r="DI42" s="45">
        <f t="shared" ca="1" si="0"/>
        <v>0</v>
      </c>
      <c r="DJ42" s="45">
        <f t="shared" ca="1" si="1"/>
        <v>0</v>
      </c>
    </row>
    <row r="43" spans="1:114" x14ac:dyDescent="0.2">
      <c r="A43" s="175">
        <f>TblRezone[[#This Row],[Hour]]</f>
        <v>40</v>
      </c>
      <c r="B43" s="176">
        <f ca="1">SUM(TblConstr[[#This Row],[Plain]:[Water]])</f>
        <v>0</v>
      </c>
      <c r="C43" s="177">
        <f ca="1">SUM(TblConstr[[#This Row],[Tot Hom]:[Tot Doc]])</f>
        <v>50</v>
      </c>
      <c r="D43" s="177">
        <f t="shared" si="2"/>
        <v>0</v>
      </c>
      <c r="E43" s="178"/>
      <c r="F43" s="61">
        <f ca="1">TblConstr[[#This Row],[Barren]]+TblConstr[[#This Row],[Buildings]]+TblConstr[[#This Row],[Incoming]]</f>
        <v>50</v>
      </c>
      <c r="G43" s="187">
        <f ca="1">OFFSET(TblConstr[[#This Row],[Plain]],-1,0)+TblConstr[[#This Row],[Ch_Plain]]</f>
        <v>0</v>
      </c>
      <c r="H43" s="182">
        <f ca="1">OFFSET(TblConstr[[#This Row],[Forest]],-1,0)+TblConstr[[#This Row],[Ch_Forest]]</f>
        <v>0</v>
      </c>
      <c r="I43" s="359">
        <f ca="1">OFFSET(TblConstr[[#This Row],[Mountain]],-1,0)+TblConstr[[#This Row],[Ch_Mountain]]</f>
        <v>0</v>
      </c>
      <c r="J43" s="363">
        <f ca="1">OFFSET(TblConstr[[#This Row],[Hill]],-1,0)+TblConstr[[#This Row],[Ch_Hill]]</f>
        <v>0</v>
      </c>
      <c r="K43" s="367">
        <f ca="1">OFFSET(TblConstr[[#This Row],[Swamp]],-1,0)+TblConstr[[#This Row],[Ch_Swamp]]</f>
        <v>0</v>
      </c>
      <c r="L43" s="185">
        <f ca="1">OFFSET(TblConstr[[#This Row],[Cavern]],-1,0)+TblConstr[[#This Row],[Ch_Cavern]]</f>
        <v>0</v>
      </c>
      <c r="M43" s="186">
        <f ca="1">OFFSET(TblConstr[[#This Row],[Water]],-1,0)+TblConstr[[#This Row],[Ch_Water]]</f>
        <v>0</v>
      </c>
      <c r="N43" s="357">
        <f>TblRezone[[#This Row],[Hour]]</f>
        <v>40</v>
      </c>
      <c r="O43" s="179"/>
      <c r="P43" s="179"/>
      <c r="Q43" s="179"/>
      <c r="R43" s="158"/>
      <c r="S43" s="179"/>
      <c r="T43" s="179"/>
      <c r="U43" s="179"/>
      <c r="V43" s="179"/>
      <c r="W43" s="179"/>
      <c r="X43" s="179"/>
      <c r="Y43" s="179"/>
      <c r="Z43" s="179"/>
      <c r="AA43" s="179"/>
      <c r="AB43" s="179"/>
      <c r="AC43" s="179"/>
      <c r="AD43" s="179"/>
      <c r="AE43" s="179"/>
      <c r="AF43" s="179"/>
      <c r="AG43" s="179"/>
      <c r="AH43" s="53">
        <f ca="1">TblImps[[#This Row],[Time]]</f>
        <v>46321.624999999905</v>
      </c>
      <c r="AI43" s="180">
        <f ca="1">MIN(25%,(TblConstr[[#This Row],[Tot Fac]]+TblConstr[[#This Row],[Dest Fac]])/(TblConstr[[#This Row],[Land]]-TblExplore[[#This Row],[Land Bonus]]*20))</f>
        <v>0</v>
      </c>
      <c r="AJ43" s="180">
        <f ca="1">MIN(25%,(TblConstr[[#This Row],[Tot Fac]]+TblConstr[[#This Row],[Dest Fac]])/TblConstr[[#This Row],[Land]])</f>
        <v>0</v>
      </c>
      <c r="AK43" s="94">
        <f ca="1">TblProd[[#This Row],[Platinum]]</f>
        <v>161091</v>
      </c>
      <c r="AL43" s="94">
        <f ca="1">TblProd[[#This Row],[Lumber]]</f>
        <v>42562</v>
      </c>
      <c r="AM4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3" s="94">
        <f ca="1">ROUNDDOWN( MAX(1 - MIN(facs_constr_factor*TblConstr[[#This Row],[Facs -DB]],facs_constr_max) + tech_1_11*TblTech[[#This Row],[11-1]] + tech_6_3_2*TblTech[[#This Row],[6-3]] + tech_5_2_3*TblTech[[#This Row],[5-2]], 1-global_constr_cap) * TblConstr[[#This Row],[RCPA Lumber]],0)</f>
        <v>31</v>
      </c>
      <c r="AO4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3" s="94">
        <f ca="1">ROUNDDOWN( MAX(1 - MIN(facs_constr_factor*TblConstr[[#This Row],[Facs DB]],facs_constr_max) + tech_1_11*TblTech[[#This Row],[1-11]] + tech_6_3_2*TblTech[[#This Row],[6-3]] + tech_5_2_3*TblTech[[#This Row],[5-2]], 1-global_constr_cap) * ROUND((TblConstr[[#This Row],[Land]]-250)*0.285 + 87.5 + 0/4.25,0),0)</f>
        <v>31</v>
      </c>
      <c r="AQ43" s="45">
        <f ca="1">TblConstr[[#This Row],[build -db]]*TblConstr[[#This Row],[CPA Platinum -DB]] + TblConstr[[#This Row],[build db]]*TblConstr[[#This Row],[CPA Platinum DB]]</f>
        <v>0</v>
      </c>
      <c r="AR43" s="45">
        <f ca="1">TblConstr[[#This Row],[build -db]]*TblConstr[[#This Row],[CPA Lumber -DB]] + TblConstr[[#This Row],[build db]]*TblConstr[[#This Row],[CPA Lumber DB]]</f>
        <v>0</v>
      </c>
      <c r="AS43" s="94">
        <f ca="1">MIN(SUM(OFFSET(TblConstr[[#This Row],[Plain]:[Water]],-1,0))+SUM(TblConstr[[#This Row],[Dest Hom]:[Dest Doc]])+IF(TblConstr[[#This Row],[Hour]]&gt;12,SUM(OFFSET(TblExplore[[#This Row],[Plains Explore]:[Water Explore]],-12,0)),0),SUM(TblConstr[[#This Row],[Hom]:[Doc]]))</f>
        <v>0</v>
      </c>
      <c r="AT4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42"/>
      <c r="AV43" s="94">
        <f ca="1">ROUND((TblConstr[[#This Row],[Land]]-250 - IF(TblExplore[[#This Row],[Land Bonus]]&lt;&gt;0,20,0))*1.25 + 850 + 0,0)</f>
        <v>600</v>
      </c>
      <c r="AW43" s="94">
        <f ca="1">ROUND((TblConstr[[#This Row],[Land]]-250 - IF(TblExplore[[#This Row],[Land Bonus]]&lt;&gt;0,20,0))*0.285 + 87.5 + 0/4.25,0)</f>
        <v>31</v>
      </c>
      <c r="AX43" s="154"/>
      <c r="AY43" s="188" cm="1">
        <f t="array" aca="1" ref="AY43" ca="1">IF(TblConstr[[#This Row],[Hour]:[Hour]]&gt;12,OFFSET(TblConstr[[#This Row],[Hom]],-12,0),0)+OFFSET(TblConstr[[#This Row],[Tot Hom]],-1,0)-TblConstr[[#This Row],[Dest Hom]]</f>
        <v>0</v>
      </c>
      <c r="AZ43" s="189" cm="1">
        <f t="array" aca="1" ref="AZ43" ca="1">IF(TblConstr[[#This Row],[Hour]:[Hour]]&gt;12,OFFSET(TblConstr[[#This Row],[Alc]],-12,0),0)+OFFSET(TblConstr[[#This Row],[Tot Alc]],-1,0)-TblConstr[[#This Row],[Dest Alc]]</f>
        <v>0</v>
      </c>
      <c r="BA43" s="189" cm="1">
        <f t="array" aca="1" ref="BA43" ca="1">IF(TblConstr[[#This Row],[Hour]:[Hour]]&gt;12,OFFSET(TblConstr[[#This Row],[Far]],-12,0),0)+OFFSET(TblConstr[[#This Row],[Tot Farm]],-1,0)-TblConstr[[#This Row],[Dest Farm]]</f>
        <v>30</v>
      </c>
      <c r="BB43" s="189" cm="1">
        <f t="array" aca="1" ref="BB43" ca="1">IF(TblConstr[[#This Row],[Hour]:[Hour]]&gt;12,OFFSET(TblConstr[[#This Row],[Smi]],-12,0),0)+OFFSET(TblConstr[[#This Row],[Tot Smi]],-1,0)-TblConstr[[#This Row],[Dest Smi]]</f>
        <v>0</v>
      </c>
      <c r="BC43" s="189" cm="1">
        <f t="array" aca="1" ref="BC43" ca="1">IF(TblConstr[[#This Row],[Hour]:[Hour]]&gt;12,OFFSET(TblConstr[[#This Row],[Mas]],-12,0),0)+OFFSET(TblConstr[[#This Row],[Tot Mas]],-1,0)-TblConstr[[#This Row],[Dest Mas]]</f>
        <v>0</v>
      </c>
      <c r="BD43" s="190" cm="1">
        <f t="array" aca="1" ref="BD43" ca="1">IF(TblConstr[[#This Row],[Hour]:[Hour]]&gt;12,OFFSET(TblConstr[[#This Row],[Ly]],-12,0),0)+OFFSET(TblConstr[[#This Row],[Tot Ly]],-1,0)-TblConstr[[#This Row],[Dest Ly]]</f>
        <v>20</v>
      </c>
      <c r="BE43" s="190" cm="1">
        <f t="array" aca="1" ref="BE43" ca="1">IF(TblConstr[[#This Row],[Hour]:[Hour]]&gt;12,OFFSET(TblConstr[[#This Row],[Hav]],-12,0),0)+OFFSET(TblConstr[[#This Row],[Tot Hav]],-1,0)-TblConstr[[#This Row],[Dest Hav]]</f>
        <v>0</v>
      </c>
      <c r="BF43" s="361" cm="1">
        <f t="array" aca="1" ref="BF43" ca="1">IF(TblConstr[[#This Row],[Hour]:[Hour]]&gt;12,OFFSET(TblConstr[[#This Row],[OM]],-12,0),0)+OFFSET(TblConstr[[#This Row],[Tot OM]],-1,0)-TblConstr[[#This Row],[Dest OM]]</f>
        <v>0</v>
      </c>
      <c r="BG43" s="361" cm="1">
        <f t="array" aca="1" ref="BG43" ca="1">IF(TblConstr[[#This Row],[Hour]:[Hour]]&gt;12,OFFSET(TblConstr[[#This Row],[GN]],-12,0),0)+OFFSET(TblConstr[[#This Row],[Tot GN]],-1,0)-TblConstr[[#This Row],[Dest GN]]</f>
        <v>0</v>
      </c>
      <c r="BH43" s="365" cm="1">
        <f t="array" aca="1" ref="BH43" ca="1">IF(TblConstr[[#This Row],[Hour]:[Hour]]&gt;12,OFFSET(TblConstr[[#This Row],[Fac]],-12,0),0)+OFFSET(TblConstr[[#This Row],[Tot Fac]],-1,0)-TblConstr[[#This Row],[Dest Fac]]</f>
        <v>0</v>
      </c>
      <c r="BI43" s="365" cm="1">
        <f t="array" aca="1" ref="BI43" ca="1">IF(TblConstr[[#This Row],[Hour]:[Hour]]&gt;12,OFFSET(TblConstr[[#This Row],[GT]],-12,0),0)+OFFSET(TblConstr[[#This Row],[Tot GT]],-1,0)-TblConstr[[#This Row],[Dest GT]]</f>
        <v>0</v>
      </c>
      <c r="BJ43" s="365" cm="1">
        <f t="array" aca="1" ref="BJ43" ca="1">IF(TblConstr[[#This Row],[Hour]:[Hour]]&gt;12,OFFSET(TblConstr[[#This Row],[Bar]],-12,0),0)+OFFSET(TblConstr[[#This Row],[Tot Bar]],-1,0)-TblConstr[[#This Row],[Dest Bar]]</f>
        <v>0</v>
      </c>
      <c r="BK43" s="365" cm="1">
        <f t="array" aca="1" ref="BK43" ca="1">IF(TblConstr[[#This Row],[Hour]:[Hour]]&gt;12,OFFSET(TblConstr[[#This Row],[Shr]],-12,0),0)+OFFSET(TblConstr[[#This Row],[Tot Shr]],-1,0)-TblConstr[[#This Row],[Dest Shr]]</f>
        <v>0</v>
      </c>
      <c r="BL43" s="369" cm="1">
        <f t="array" aca="1" ref="BL43" ca="1">IF(TblConstr[[#This Row],[Hour]:[Hour]]&gt;12,OFFSET(TblConstr[[#This Row],[Tow]],-12,0),0)+OFFSET(TblConstr[[#This Row],[Tot Tow]],-1,0)-TblConstr[[#This Row],[Dest Tow]]</f>
        <v>0</v>
      </c>
      <c r="BM43" s="369" cm="1">
        <f t="array" aca="1" ref="BM43" ca="1">IF(TblConstr[[#This Row],[Hour]:[Hour]]&gt;12,OFFSET(TblConstr[[#This Row],[Tem]],-12,0),0)+OFFSET(TblConstr[[#This Row],[Tot Tem]],-1,0)-TblConstr[[#This Row],[Dest Tem]]</f>
        <v>0</v>
      </c>
      <c r="BN43" s="369" cm="1">
        <f t="array" aca="1" ref="BN43" ca="1">IF(TblConstr[[#This Row],[Hour]:[Hour]]&gt;12,OFFSET(TblConstr[[#This Row],[WG]],-12,0),0)+OFFSET(TblConstr[[#This Row],[Tot WG]],-1,0)-TblConstr[[#This Row],[Dest WG]]</f>
        <v>0</v>
      </c>
      <c r="BO43" s="191" cm="1">
        <f t="array" aca="1" ref="BO43" ca="1">IF(TblConstr[[#This Row],[Hour]:[Hour]]&gt;12,OFFSET(TblConstr[[#This Row],[DM]],-12,0),0)+OFFSET(TblConstr[[#This Row],[Tot DM]],-1,0)-TblConstr[[#This Row],[Dest DM]]</f>
        <v>0</v>
      </c>
      <c r="BP43" s="191" cm="1">
        <f t="array" aca="1" ref="BP43" ca="1">IF(TblConstr[[#This Row],[Hour]:[Hour]]&gt;12,OFFSET(TblConstr[[#This Row],[Sch]],-12,0),0)+OFFSET(TblConstr[[#This Row],[Tot Sch]],-1,0)-TblConstr[[#This Row],[Dest Sch]]</f>
        <v>0</v>
      </c>
      <c r="BQ43" s="192" cm="1">
        <f t="array" aca="1" ref="BQ43" ca="1">IF(TblConstr[[#This Row],[Hour]:[Hour]]&gt;12,OFFSET(TblConstr[[#This Row],[Doc]],-12,0),0)+OFFSET(TblConstr[[#This Row],[Tot Doc]],-1,0)-TblConstr[[#This Row],[Dest Doc]]</f>
        <v>0</v>
      </c>
      <c r="BR43" s="142"/>
      <c r="BS43" s="154"/>
      <c r="BT43" s="94">
        <f ca="1">TblConstr[[#This Row],[Land]]</f>
        <v>50</v>
      </c>
      <c r="BU43" s="159">
        <f ca="1">TblImps[[#This Row],[Time]]</f>
        <v>46321.624999999905</v>
      </c>
      <c r="BV43" s="142"/>
      <c r="BW43" s="179"/>
      <c r="BX43" s="179"/>
      <c r="BY43" s="179"/>
      <c r="BZ43" s="179"/>
      <c r="CA43" s="179"/>
      <c r="CB43" s="179"/>
      <c r="CC43" s="179"/>
      <c r="CD43" s="179"/>
      <c r="CE43" s="179"/>
      <c r="CF43" s="179"/>
      <c r="CG43" s="179"/>
      <c r="CH43" s="179"/>
      <c r="CI43" s="179"/>
      <c r="CJ43" s="179"/>
      <c r="CK43" s="179"/>
      <c r="CL43" s="179"/>
      <c r="CM43" s="179"/>
      <c r="CN43" s="179"/>
      <c r="CO43" s="179"/>
      <c r="CP43" s="142"/>
      <c r="CQ43" s="181">
        <f ca="1">-SUM(TblConstr[[#This Row],[Alc]:[Mas]])+SUM(TblConstr[[#This Row],[Dest Alc]:[Dest Mas]])+Rezone!L43+IF("Ch_"&amp; home_land=TblConstr[[#Headers],[Ch_Plain]],TblConstr[[#This Row],[Home Land]])+IF(TblConstr[[#This Row],[Hour]:[Hour]]&gt;12,OFFSET(TblExplore[[#This Row],[Plains Explore]],-12,0),0)</f>
        <v>0</v>
      </c>
      <c r="CR43" s="182">
        <f ca="1">-SUM(TblConstr[[#This Row],[Ly]:[Hav]])+SUM(TblConstr[[#This Row],[Dest Ly]:[Dest Hav]]) +Rezone!M43 + IF("Ch_"&amp; home_land=TblConstr[[#Headers],[Ch_Forest]],TblConstr[[#This Row],[Home Land]])+IF(TblConstr[[#This Row],[Hour]:[Hour]]&gt;12,OFFSET(TblExplore[[#This Row],[Forest Explore]],-12,0),0)</f>
        <v>0</v>
      </c>
      <c r="CS43" s="359">
        <f ca="1">-SUM(TblConstr[[#This Row],[OM]:[GN]])+SUM(TblConstr[[#This Row],[Dest OM]:[Dest GN]]) +Rezone!N43 + IF("Ch_"&amp; home_land=TblConstr[[#Headers],[Ch_Mountain]],TblConstr[[#This Row],[Home Land]])+IF(TblConstr[[#This Row],[Hour]:[Hour]]&gt;12,OFFSET(TblExplore[[#This Row],[Mountain Explore]],-12,0),0)</f>
        <v>0</v>
      </c>
      <c r="CT43" s="183">
        <f ca="1">-SUM(TblConstr[[#This Row],[Fac]:[Shr]])+SUM(TblConstr[[#This Row],[Dest Fac]:[Dest Shr]]) +Rezone!O43 + IF("Ch_" &amp; home_land=TblConstr[[#Headers],[Ch_Hill]],TblConstr[[#This Row],[Home Land]])+IF(TblConstr[[#This Row],[Hour]:[Hour]]&gt;12,OFFSET(TblExplore[[#This Row],[Hill Explore]],-12,0),0)</f>
        <v>0</v>
      </c>
      <c r="CU43" s="184">
        <f ca="1">-SUM(TblConstr[[#This Row],[Tow]:[WG]])+SUM(TblConstr[[#This Row],[Dest Tow]:[Dest WG]]) +Rezone!P43 + IF("Ch_" &amp; home_land=TblConstr[[#Headers],[Ch_Swamp]],TblConstr[[#This Row],[Home Land]])+IF(TblConstr[[#This Row],[Hour]:[Hour]]&gt;12,OFFSET(TblExplore[[#This Row],[Swamp Explore]],-12,0),0)</f>
        <v>0</v>
      </c>
      <c r="CV43" s="185">
        <f ca="1" xml:space="preserve"> - SUM(TblConstr[[#This Row],[DM]:[Sch]])+SUM(TblConstr[[#This Row],[Dest DM]:[Dest Sch]]) +Rezone!Q43 + IF("Ch_" &amp; home_land=TblConstr[[#Headers],[Ch_Cavern]],TblConstr[[#This Row],[Home Land]])+IF(TblConstr[[#This Row],[Hour]:[Hour]]&gt;12,OFFSET(TblExplore[[#This Row],[Cavern Explore]],-12,0),0)</f>
        <v>0</v>
      </c>
      <c r="CW43" s="186">
        <f ca="1">-TblConstr[[#This Row],[Doc]]+TblConstr[[#This Row],[Dest Doc]] +Rezone!R43 + IF("Ch_" &amp; home_land=TblConstr[[#Headers],[Ch_Water]],TblConstr[[#This Row],[Home Land]])+IF(TblConstr[[#This Row],[Hour]:[Hour]]&gt;12,OFFSET(TblExplore[[#This Row],[Water Explore]],-12,0),0)</f>
        <v>0</v>
      </c>
      <c r="CX43" s="45">
        <f>IF(Explore!S43=1,20) - TblConstr[[#This Row],[Hom]] + TblConstr[[#This Row],[Dest Hom]]</f>
        <v>0</v>
      </c>
      <c r="CY43" s="142"/>
      <c r="CZ43" s="94">
        <f t="shared" ca="1" si="3"/>
        <v>30</v>
      </c>
      <c r="DA43" s="94">
        <f t="shared" ca="1" si="4"/>
        <v>20</v>
      </c>
      <c r="DB43" s="45">
        <f t="shared" ca="1" si="5"/>
        <v>0</v>
      </c>
      <c r="DC43" s="94">
        <f t="shared" ca="1" si="6"/>
        <v>0</v>
      </c>
      <c r="DD43" s="94">
        <f t="shared" ca="1" si="7"/>
        <v>0</v>
      </c>
      <c r="DE43" s="45">
        <f t="shared" ca="1" si="8"/>
        <v>0</v>
      </c>
      <c r="DF43" s="94">
        <f t="shared" ca="1" si="9"/>
        <v>0</v>
      </c>
      <c r="DG43" s="94" cm="1">
        <f t="array" aca="1" ref="DG43" ca="1">INDEX(TblConstr[[Total Plain]:[Total Water]],ROW()-ROW(TblConstr[#Headers]),MATCH("Total "&amp;home_land,TblConstr[[#Headers],[Total Plain]:[Total Water]],0))+TblConstr[[#This Row],[Homes]]</f>
        <v>30</v>
      </c>
      <c r="DH43" s="45">
        <f t="shared" ca="1" si="10"/>
        <v>0</v>
      </c>
      <c r="DI43" s="45">
        <f t="shared" ca="1" si="0"/>
        <v>0</v>
      </c>
      <c r="DJ43" s="45">
        <f t="shared" ca="1" si="1"/>
        <v>0</v>
      </c>
    </row>
    <row r="44" spans="1:114" x14ac:dyDescent="0.2">
      <c r="A44" s="175">
        <f>TblRezone[[#This Row],[Hour]]</f>
        <v>41</v>
      </c>
      <c r="B44" s="176">
        <f ca="1">SUM(TblConstr[[#This Row],[Plain]:[Water]])</f>
        <v>0</v>
      </c>
      <c r="C44" s="177">
        <f ca="1">SUM(TblConstr[[#This Row],[Tot Hom]:[Tot Doc]])</f>
        <v>50</v>
      </c>
      <c r="D44" s="177">
        <f t="shared" si="2"/>
        <v>0</v>
      </c>
      <c r="E44" s="178"/>
      <c r="F44" s="61">
        <f ca="1">TblConstr[[#This Row],[Barren]]+TblConstr[[#This Row],[Buildings]]+TblConstr[[#This Row],[Incoming]]</f>
        <v>50</v>
      </c>
      <c r="G44" s="187">
        <f ca="1">OFFSET(TblConstr[[#This Row],[Plain]],-1,0)+TblConstr[[#This Row],[Ch_Plain]]</f>
        <v>0</v>
      </c>
      <c r="H44" s="182">
        <f ca="1">OFFSET(TblConstr[[#This Row],[Forest]],-1,0)+TblConstr[[#This Row],[Ch_Forest]]</f>
        <v>0</v>
      </c>
      <c r="I44" s="359">
        <f ca="1">OFFSET(TblConstr[[#This Row],[Mountain]],-1,0)+TblConstr[[#This Row],[Ch_Mountain]]</f>
        <v>0</v>
      </c>
      <c r="J44" s="363">
        <f ca="1">OFFSET(TblConstr[[#This Row],[Hill]],-1,0)+TblConstr[[#This Row],[Ch_Hill]]</f>
        <v>0</v>
      </c>
      <c r="K44" s="367">
        <f ca="1">OFFSET(TblConstr[[#This Row],[Swamp]],-1,0)+TblConstr[[#This Row],[Ch_Swamp]]</f>
        <v>0</v>
      </c>
      <c r="L44" s="185">
        <f ca="1">OFFSET(TblConstr[[#This Row],[Cavern]],-1,0)+TblConstr[[#This Row],[Ch_Cavern]]</f>
        <v>0</v>
      </c>
      <c r="M44" s="186">
        <f ca="1">OFFSET(TblConstr[[#This Row],[Water]],-1,0)+TblConstr[[#This Row],[Ch_Water]]</f>
        <v>0</v>
      </c>
      <c r="N44" s="357">
        <f>TblRezone[[#This Row],[Hour]]</f>
        <v>41</v>
      </c>
      <c r="O44" s="179"/>
      <c r="P44" s="179"/>
      <c r="Q44" s="179"/>
      <c r="R44" s="158"/>
      <c r="S44" s="179"/>
      <c r="T44" s="179"/>
      <c r="U44" s="179"/>
      <c r="V44" s="179"/>
      <c r="W44" s="179"/>
      <c r="X44" s="179"/>
      <c r="Y44" s="179"/>
      <c r="Z44" s="179"/>
      <c r="AA44" s="179"/>
      <c r="AB44" s="179"/>
      <c r="AC44" s="179"/>
      <c r="AD44" s="179"/>
      <c r="AE44" s="179"/>
      <c r="AF44" s="179"/>
      <c r="AG44" s="179"/>
      <c r="AH44" s="53">
        <f ca="1">TblImps[[#This Row],[Time]]</f>
        <v>46321.66666666657</v>
      </c>
      <c r="AI44" s="180">
        <f ca="1">MIN(25%,(TblConstr[[#This Row],[Tot Fac]]+TblConstr[[#This Row],[Dest Fac]])/(TblConstr[[#This Row],[Land]]-TblExplore[[#This Row],[Land Bonus]]*20))</f>
        <v>0</v>
      </c>
      <c r="AJ44" s="180">
        <f ca="1">MIN(25%,(TblConstr[[#This Row],[Tot Fac]]+TblConstr[[#This Row],[Dest Fac]])/TblConstr[[#This Row],[Land]])</f>
        <v>0</v>
      </c>
      <c r="AK44" s="94">
        <f ca="1">TblProd[[#This Row],[Platinum]]</f>
        <v>161952</v>
      </c>
      <c r="AL44" s="94">
        <f ca="1">TblProd[[#This Row],[Lumber]]</f>
        <v>43136</v>
      </c>
      <c r="AM4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4" s="94">
        <f ca="1">ROUNDDOWN( MAX(1 - MIN(facs_constr_factor*TblConstr[[#This Row],[Facs -DB]],facs_constr_max) + tech_1_11*TblTech[[#This Row],[11-1]] + tech_6_3_2*TblTech[[#This Row],[6-3]] + tech_5_2_3*TblTech[[#This Row],[5-2]], 1-global_constr_cap) * TblConstr[[#This Row],[RCPA Lumber]],0)</f>
        <v>31</v>
      </c>
      <c r="AO4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4" s="94">
        <f ca="1">ROUNDDOWN( MAX(1 - MIN(facs_constr_factor*TblConstr[[#This Row],[Facs DB]],facs_constr_max) + tech_1_11*TblTech[[#This Row],[1-11]] + tech_6_3_2*TblTech[[#This Row],[6-3]] + tech_5_2_3*TblTech[[#This Row],[5-2]], 1-global_constr_cap) * ROUND((TblConstr[[#This Row],[Land]]-250)*0.285 + 87.5 + 0/4.25,0),0)</f>
        <v>31</v>
      </c>
      <c r="AQ44" s="45">
        <f ca="1">TblConstr[[#This Row],[build -db]]*TblConstr[[#This Row],[CPA Platinum -DB]] + TblConstr[[#This Row],[build db]]*TblConstr[[#This Row],[CPA Platinum DB]]</f>
        <v>0</v>
      </c>
      <c r="AR44" s="45">
        <f ca="1">TblConstr[[#This Row],[build -db]]*TblConstr[[#This Row],[CPA Lumber -DB]] + TblConstr[[#This Row],[build db]]*TblConstr[[#This Row],[CPA Lumber DB]]</f>
        <v>0</v>
      </c>
      <c r="AS44" s="94">
        <f ca="1">MIN(SUM(OFFSET(TblConstr[[#This Row],[Plain]:[Water]],-1,0))+SUM(TblConstr[[#This Row],[Dest Hom]:[Dest Doc]])+IF(TblConstr[[#This Row],[Hour]]&gt;12,SUM(OFFSET(TblExplore[[#This Row],[Plains Explore]:[Water Explore]],-12,0)),0),SUM(TblConstr[[#This Row],[Hom]:[Doc]]))</f>
        <v>0</v>
      </c>
      <c r="AT4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42"/>
      <c r="AV44" s="94">
        <f ca="1">ROUND((TblConstr[[#This Row],[Land]]-250 - IF(TblExplore[[#This Row],[Land Bonus]]&lt;&gt;0,20,0))*1.25 + 850 + 0,0)</f>
        <v>600</v>
      </c>
      <c r="AW44" s="94">
        <f ca="1">ROUND((TblConstr[[#This Row],[Land]]-250 - IF(TblExplore[[#This Row],[Land Bonus]]&lt;&gt;0,20,0))*0.285 + 87.5 + 0/4.25,0)</f>
        <v>31</v>
      </c>
      <c r="AX44" s="154"/>
      <c r="AY44" s="188" cm="1">
        <f t="array" aca="1" ref="AY44" ca="1">IF(TblConstr[[#This Row],[Hour]:[Hour]]&gt;12,OFFSET(TblConstr[[#This Row],[Hom]],-12,0),0)+OFFSET(TblConstr[[#This Row],[Tot Hom]],-1,0)-TblConstr[[#This Row],[Dest Hom]]</f>
        <v>0</v>
      </c>
      <c r="AZ44" s="189" cm="1">
        <f t="array" aca="1" ref="AZ44" ca="1">IF(TblConstr[[#This Row],[Hour]:[Hour]]&gt;12,OFFSET(TblConstr[[#This Row],[Alc]],-12,0),0)+OFFSET(TblConstr[[#This Row],[Tot Alc]],-1,0)-TblConstr[[#This Row],[Dest Alc]]</f>
        <v>0</v>
      </c>
      <c r="BA44" s="189" cm="1">
        <f t="array" aca="1" ref="BA44" ca="1">IF(TblConstr[[#This Row],[Hour]:[Hour]]&gt;12,OFFSET(TblConstr[[#This Row],[Far]],-12,0),0)+OFFSET(TblConstr[[#This Row],[Tot Farm]],-1,0)-TblConstr[[#This Row],[Dest Farm]]</f>
        <v>30</v>
      </c>
      <c r="BB44" s="189" cm="1">
        <f t="array" aca="1" ref="BB44" ca="1">IF(TblConstr[[#This Row],[Hour]:[Hour]]&gt;12,OFFSET(TblConstr[[#This Row],[Smi]],-12,0),0)+OFFSET(TblConstr[[#This Row],[Tot Smi]],-1,0)-TblConstr[[#This Row],[Dest Smi]]</f>
        <v>0</v>
      </c>
      <c r="BC44" s="189" cm="1">
        <f t="array" aca="1" ref="BC44" ca="1">IF(TblConstr[[#This Row],[Hour]:[Hour]]&gt;12,OFFSET(TblConstr[[#This Row],[Mas]],-12,0),0)+OFFSET(TblConstr[[#This Row],[Tot Mas]],-1,0)-TblConstr[[#This Row],[Dest Mas]]</f>
        <v>0</v>
      </c>
      <c r="BD44" s="190" cm="1">
        <f t="array" aca="1" ref="BD44" ca="1">IF(TblConstr[[#This Row],[Hour]:[Hour]]&gt;12,OFFSET(TblConstr[[#This Row],[Ly]],-12,0),0)+OFFSET(TblConstr[[#This Row],[Tot Ly]],-1,0)-TblConstr[[#This Row],[Dest Ly]]</f>
        <v>20</v>
      </c>
      <c r="BE44" s="190" cm="1">
        <f t="array" aca="1" ref="BE44" ca="1">IF(TblConstr[[#This Row],[Hour]:[Hour]]&gt;12,OFFSET(TblConstr[[#This Row],[Hav]],-12,0),0)+OFFSET(TblConstr[[#This Row],[Tot Hav]],-1,0)-TblConstr[[#This Row],[Dest Hav]]</f>
        <v>0</v>
      </c>
      <c r="BF44" s="361" cm="1">
        <f t="array" aca="1" ref="BF44" ca="1">IF(TblConstr[[#This Row],[Hour]:[Hour]]&gt;12,OFFSET(TblConstr[[#This Row],[OM]],-12,0),0)+OFFSET(TblConstr[[#This Row],[Tot OM]],-1,0)-TblConstr[[#This Row],[Dest OM]]</f>
        <v>0</v>
      </c>
      <c r="BG44" s="361" cm="1">
        <f t="array" aca="1" ref="BG44" ca="1">IF(TblConstr[[#This Row],[Hour]:[Hour]]&gt;12,OFFSET(TblConstr[[#This Row],[GN]],-12,0),0)+OFFSET(TblConstr[[#This Row],[Tot GN]],-1,0)-TblConstr[[#This Row],[Dest GN]]</f>
        <v>0</v>
      </c>
      <c r="BH44" s="365" cm="1">
        <f t="array" aca="1" ref="BH44" ca="1">IF(TblConstr[[#This Row],[Hour]:[Hour]]&gt;12,OFFSET(TblConstr[[#This Row],[Fac]],-12,0),0)+OFFSET(TblConstr[[#This Row],[Tot Fac]],-1,0)-TblConstr[[#This Row],[Dest Fac]]</f>
        <v>0</v>
      </c>
      <c r="BI44" s="365" cm="1">
        <f t="array" aca="1" ref="BI44" ca="1">IF(TblConstr[[#This Row],[Hour]:[Hour]]&gt;12,OFFSET(TblConstr[[#This Row],[GT]],-12,0),0)+OFFSET(TblConstr[[#This Row],[Tot GT]],-1,0)-TblConstr[[#This Row],[Dest GT]]</f>
        <v>0</v>
      </c>
      <c r="BJ44" s="365" cm="1">
        <f t="array" aca="1" ref="BJ44" ca="1">IF(TblConstr[[#This Row],[Hour]:[Hour]]&gt;12,OFFSET(TblConstr[[#This Row],[Bar]],-12,0),0)+OFFSET(TblConstr[[#This Row],[Tot Bar]],-1,0)-TblConstr[[#This Row],[Dest Bar]]</f>
        <v>0</v>
      </c>
      <c r="BK44" s="365" cm="1">
        <f t="array" aca="1" ref="BK44" ca="1">IF(TblConstr[[#This Row],[Hour]:[Hour]]&gt;12,OFFSET(TblConstr[[#This Row],[Shr]],-12,0),0)+OFFSET(TblConstr[[#This Row],[Tot Shr]],-1,0)-TblConstr[[#This Row],[Dest Shr]]</f>
        <v>0</v>
      </c>
      <c r="BL44" s="369" cm="1">
        <f t="array" aca="1" ref="BL44" ca="1">IF(TblConstr[[#This Row],[Hour]:[Hour]]&gt;12,OFFSET(TblConstr[[#This Row],[Tow]],-12,0),0)+OFFSET(TblConstr[[#This Row],[Tot Tow]],-1,0)-TblConstr[[#This Row],[Dest Tow]]</f>
        <v>0</v>
      </c>
      <c r="BM44" s="369" cm="1">
        <f t="array" aca="1" ref="BM44" ca="1">IF(TblConstr[[#This Row],[Hour]:[Hour]]&gt;12,OFFSET(TblConstr[[#This Row],[Tem]],-12,0),0)+OFFSET(TblConstr[[#This Row],[Tot Tem]],-1,0)-TblConstr[[#This Row],[Dest Tem]]</f>
        <v>0</v>
      </c>
      <c r="BN44" s="369" cm="1">
        <f t="array" aca="1" ref="BN44" ca="1">IF(TblConstr[[#This Row],[Hour]:[Hour]]&gt;12,OFFSET(TblConstr[[#This Row],[WG]],-12,0),0)+OFFSET(TblConstr[[#This Row],[Tot WG]],-1,0)-TblConstr[[#This Row],[Dest WG]]</f>
        <v>0</v>
      </c>
      <c r="BO44" s="191" cm="1">
        <f t="array" aca="1" ref="BO44" ca="1">IF(TblConstr[[#This Row],[Hour]:[Hour]]&gt;12,OFFSET(TblConstr[[#This Row],[DM]],-12,0),0)+OFFSET(TblConstr[[#This Row],[Tot DM]],-1,0)-TblConstr[[#This Row],[Dest DM]]</f>
        <v>0</v>
      </c>
      <c r="BP44" s="191" cm="1">
        <f t="array" aca="1" ref="BP44" ca="1">IF(TblConstr[[#This Row],[Hour]:[Hour]]&gt;12,OFFSET(TblConstr[[#This Row],[Sch]],-12,0),0)+OFFSET(TblConstr[[#This Row],[Tot Sch]],-1,0)-TblConstr[[#This Row],[Dest Sch]]</f>
        <v>0</v>
      </c>
      <c r="BQ44" s="192" cm="1">
        <f t="array" aca="1" ref="BQ44" ca="1">IF(TblConstr[[#This Row],[Hour]:[Hour]]&gt;12,OFFSET(TblConstr[[#This Row],[Doc]],-12,0),0)+OFFSET(TblConstr[[#This Row],[Tot Doc]],-1,0)-TblConstr[[#This Row],[Dest Doc]]</f>
        <v>0</v>
      </c>
      <c r="BR44" s="142"/>
      <c r="BS44" s="154"/>
      <c r="BT44" s="94">
        <f ca="1">TblConstr[[#This Row],[Land]]</f>
        <v>50</v>
      </c>
      <c r="BU44" s="159">
        <f ca="1">TblImps[[#This Row],[Time]]</f>
        <v>46321.66666666657</v>
      </c>
      <c r="BV44" s="142"/>
      <c r="BW44" s="179"/>
      <c r="BX44" s="179"/>
      <c r="BY44" s="179"/>
      <c r="BZ44" s="179"/>
      <c r="CA44" s="179"/>
      <c r="CB44" s="179"/>
      <c r="CC44" s="179"/>
      <c r="CD44" s="179"/>
      <c r="CE44" s="179"/>
      <c r="CF44" s="179"/>
      <c r="CG44" s="179"/>
      <c r="CH44" s="179"/>
      <c r="CI44" s="179"/>
      <c r="CJ44" s="179"/>
      <c r="CK44" s="179"/>
      <c r="CL44" s="179"/>
      <c r="CM44" s="179"/>
      <c r="CN44" s="179"/>
      <c r="CO44" s="179"/>
      <c r="CP44" s="142"/>
      <c r="CQ44" s="181">
        <f ca="1">-SUM(TblConstr[[#This Row],[Alc]:[Mas]])+SUM(TblConstr[[#This Row],[Dest Alc]:[Dest Mas]])+Rezone!L44+IF("Ch_"&amp; home_land=TblConstr[[#Headers],[Ch_Plain]],TblConstr[[#This Row],[Home Land]])+IF(TblConstr[[#This Row],[Hour]:[Hour]]&gt;12,OFFSET(TblExplore[[#This Row],[Plains Explore]],-12,0),0)</f>
        <v>0</v>
      </c>
      <c r="CR44" s="182">
        <f ca="1">-SUM(TblConstr[[#This Row],[Ly]:[Hav]])+SUM(TblConstr[[#This Row],[Dest Ly]:[Dest Hav]]) +Rezone!M44 + IF("Ch_"&amp; home_land=TblConstr[[#Headers],[Ch_Forest]],TblConstr[[#This Row],[Home Land]])+IF(TblConstr[[#This Row],[Hour]:[Hour]]&gt;12,OFFSET(TblExplore[[#This Row],[Forest Explore]],-12,0),0)</f>
        <v>0</v>
      </c>
      <c r="CS44" s="359">
        <f ca="1">-SUM(TblConstr[[#This Row],[OM]:[GN]])+SUM(TblConstr[[#This Row],[Dest OM]:[Dest GN]]) +Rezone!N44 + IF("Ch_"&amp; home_land=TblConstr[[#Headers],[Ch_Mountain]],TblConstr[[#This Row],[Home Land]])+IF(TblConstr[[#This Row],[Hour]:[Hour]]&gt;12,OFFSET(TblExplore[[#This Row],[Mountain Explore]],-12,0),0)</f>
        <v>0</v>
      </c>
      <c r="CT44" s="183">
        <f ca="1">-SUM(TblConstr[[#This Row],[Fac]:[Shr]])+SUM(TblConstr[[#This Row],[Dest Fac]:[Dest Shr]]) +Rezone!O44 + IF("Ch_" &amp; home_land=TblConstr[[#Headers],[Ch_Hill]],TblConstr[[#This Row],[Home Land]])+IF(TblConstr[[#This Row],[Hour]:[Hour]]&gt;12,OFFSET(TblExplore[[#This Row],[Hill Explore]],-12,0),0)</f>
        <v>0</v>
      </c>
      <c r="CU44" s="184">
        <f ca="1">-SUM(TblConstr[[#This Row],[Tow]:[WG]])+SUM(TblConstr[[#This Row],[Dest Tow]:[Dest WG]]) +Rezone!P44 + IF("Ch_" &amp; home_land=TblConstr[[#Headers],[Ch_Swamp]],TblConstr[[#This Row],[Home Land]])+IF(TblConstr[[#This Row],[Hour]:[Hour]]&gt;12,OFFSET(TblExplore[[#This Row],[Swamp Explore]],-12,0),0)</f>
        <v>0</v>
      </c>
      <c r="CV44" s="185">
        <f ca="1" xml:space="preserve"> - SUM(TblConstr[[#This Row],[DM]:[Sch]])+SUM(TblConstr[[#This Row],[Dest DM]:[Dest Sch]]) +Rezone!Q44 + IF("Ch_" &amp; home_land=TblConstr[[#Headers],[Ch_Cavern]],TblConstr[[#This Row],[Home Land]])+IF(TblConstr[[#This Row],[Hour]:[Hour]]&gt;12,OFFSET(TblExplore[[#This Row],[Cavern Explore]],-12,0),0)</f>
        <v>0</v>
      </c>
      <c r="CW44" s="186">
        <f ca="1">-TblConstr[[#This Row],[Doc]]+TblConstr[[#This Row],[Dest Doc]] +Rezone!R44 + IF("Ch_" &amp; home_land=TblConstr[[#Headers],[Ch_Water]],TblConstr[[#This Row],[Home Land]])+IF(TblConstr[[#This Row],[Hour]:[Hour]]&gt;12,OFFSET(TblExplore[[#This Row],[Water Explore]],-12,0),0)</f>
        <v>0</v>
      </c>
      <c r="CX44" s="45">
        <f>IF(Explore!S44=1,20) - TblConstr[[#This Row],[Hom]] + TblConstr[[#This Row],[Dest Hom]]</f>
        <v>0</v>
      </c>
      <c r="CY44" s="142"/>
      <c r="CZ44" s="94">
        <f t="shared" ca="1" si="3"/>
        <v>30</v>
      </c>
      <c r="DA44" s="94">
        <f t="shared" ca="1" si="4"/>
        <v>20</v>
      </c>
      <c r="DB44" s="45">
        <f t="shared" ca="1" si="5"/>
        <v>0</v>
      </c>
      <c r="DC44" s="94">
        <f t="shared" ca="1" si="6"/>
        <v>0</v>
      </c>
      <c r="DD44" s="94">
        <f t="shared" ca="1" si="7"/>
        <v>0</v>
      </c>
      <c r="DE44" s="45">
        <f t="shared" ca="1" si="8"/>
        <v>0</v>
      </c>
      <c r="DF44" s="94">
        <f t="shared" ca="1" si="9"/>
        <v>0</v>
      </c>
      <c r="DG44" s="94" cm="1">
        <f t="array" aca="1" ref="DG44" ca="1">INDEX(TblConstr[[Total Plain]:[Total Water]],ROW()-ROW(TblConstr[#Headers]),MATCH("Total "&amp;home_land,TblConstr[[#Headers],[Total Plain]:[Total Water]],0))+TblConstr[[#This Row],[Homes]]</f>
        <v>30</v>
      </c>
      <c r="DH44" s="45">
        <f t="shared" ca="1" si="10"/>
        <v>0</v>
      </c>
      <c r="DI44" s="45">
        <f t="shared" ca="1" si="0"/>
        <v>0</v>
      </c>
      <c r="DJ44" s="45">
        <f t="shared" ca="1" si="1"/>
        <v>0</v>
      </c>
    </row>
    <row r="45" spans="1:114" x14ac:dyDescent="0.2">
      <c r="A45" s="175">
        <f>TblRezone[[#This Row],[Hour]]</f>
        <v>42</v>
      </c>
      <c r="B45" s="176">
        <f ca="1">SUM(TblConstr[[#This Row],[Plain]:[Water]])</f>
        <v>0</v>
      </c>
      <c r="C45" s="177">
        <f ca="1">SUM(TblConstr[[#This Row],[Tot Hom]:[Tot Doc]])</f>
        <v>50</v>
      </c>
      <c r="D45" s="177">
        <f t="shared" si="2"/>
        <v>0</v>
      </c>
      <c r="E45" s="178"/>
      <c r="F45" s="61">
        <f ca="1">TblConstr[[#This Row],[Barren]]+TblConstr[[#This Row],[Buildings]]+TblConstr[[#This Row],[Incoming]]</f>
        <v>50</v>
      </c>
      <c r="G45" s="187">
        <f ca="1">OFFSET(TblConstr[[#This Row],[Plain]],-1,0)+TblConstr[[#This Row],[Ch_Plain]]</f>
        <v>0</v>
      </c>
      <c r="H45" s="182">
        <f ca="1">OFFSET(TblConstr[[#This Row],[Forest]],-1,0)+TblConstr[[#This Row],[Ch_Forest]]</f>
        <v>0</v>
      </c>
      <c r="I45" s="359">
        <f ca="1">OFFSET(TblConstr[[#This Row],[Mountain]],-1,0)+TblConstr[[#This Row],[Ch_Mountain]]</f>
        <v>0</v>
      </c>
      <c r="J45" s="363">
        <f ca="1">OFFSET(TblConstr[[#This Row],[Hill]],-1,0)+TblConstr[[#This Row],[Ch_Hill]]</f>
        <v>0</v>
      </c>
      <c r="K45" s="367">
        <f ca="1">OFFSET(TblConstr[[#This Row],[Swamp]],-1,0)+TblConstr[[#This Row],[Ch_Swamp]]</f>
        <v>0</v>
      </c>
      <c r="L45" s="185">
        <f ca="1">OFFSET(TblConstr[[#This Row],[Cavern]],-1,0)+TblConstr[[#This Row],[Ch_Cavern]]</f>
        <v>0</v>
      </c>
      <c r="M45" s="186">
        <f ca="1">OFFSET(TblConstr[[#This Row],[Water]],-1,0)+TblConstr[[#This Row],[Ch_Water]]</f>
        <v>0</v>
      </c>
      <c r="N45" s="357">
        <f>TblRezone[[#This Row],[Hour]]</f>
        <v>42</v>
      </c>
      <c r="O45" s="179"/>
      <c r="P45" s="179"/>
      <c r="Q45" s="179"/>
      <c r="R45" s="158"/>
      <c r="S45" s="179"/>
      <c r="T45" s="179"/>
      <c r="U45" s="179"/>
      <c r="V45" s="179"/>
      <c r="W45" s="179"/>
      <c r="X45" s="179"/>
      <c r="Y45" s="179"/>
      <c r="Z45" s="179"/>
      <c r="AA45" s="179"/>
      <c r="AB45" s="179"/>
      <c r="AC45" s="179"/>
      <c r="AD45" s="179"/>
      <c r="AE45" s="179"/>
      <c r="AF45" s="179"/>
      <c r="AG45" s="179"/>
      <c r="AH45" s="53">
        <f ca="1">TblImps[[#This Row],[Time]]</f>
        <v>46321.708333333234</v>
      </c>
      <c r="AI45" s="180">
        <f ca="1">MIN(25%,(TblConstr[[#This Row],[Tot Fac]]+TblConstr[[#This Row],[Dest Fac]])/(TblConstr[[#This Row],[Land]]-TblExplore[[#This Row],[Land Bonus]]*20))</f>
        <v>0</v>
      </c>
      <c r="AJ45" s="180">
        <f ca="1">MIN(25%,(TblConstr[[#This Row],[Tot Fac]]+TblConstr[[#This Row],[Dest Fac]])/TblConstr[[#This Row],[Land]])</f>
        <v>0</v>
      </c>
      <c r="AK45" s="94">
        <f ca="1">TblProd[[#This Row],[Platinum]]</f>
        <v>162805</v>
      </c>
      <c r="AL45" s="94">
        <f ca="1">TblProd[[#This Row],[Lumber]]</f>
        <v>43705</v>
      </c>
      <c r="AM4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5" s="94">
        <f ca="1">ROUNDDOWN( MAX(1 - MIN(facs_constr_factor*TblConstr[[#This Row],[Facs -DB]],facs_constr_max) + tech_1_11*TblTech[[#This Row],[11-1]] + tech_6_3_2*TblTech[[#This Row],[6-3]] + tech_5_2_3*TblTech[[#This Row],[5-2]], 1-global_constr_cap) * TblConstr[[#This Row],[RCPA Lumber]],0)</f>
        <v>31</v>
      </c>
      <c r="AO4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5" s="94">
        <f ca="1">ROUNDDOWN( MAX(1 - MIN(facs_constr_factor*TblConstr[[#This Row],[Facs DB]],facs_constr_max) + tech_1_11*TblTech[[#This Row],[1-11]] + tech_6_3_2*TblTech[[#This Row],[6-3]] + tech_5_2_3*TblTech[[#This Row],[5-2]], 1-global_constr_cap) * ROUND((TblConstr[[#This Row],[Land]]-250)*0.285 + 87.5 + 0/4.25,0),0)</f>
        <v>31</v>
      </c>
      <c r="AQ45" s="45">
        <f ca="1">TblConstr[[#This Row],[build -db]]*TblConstr[[#This Row],[CPA Platinum -DB]] + TblConstr[[#This Row],[build db]]*TblConstr[[#This Row],[CPA Platinum DB]]</f>
        <v>0</v>
      </c>
      <c r="AR45" s="45">
        <f ca="1">TblConstr[[#This Row],[build -db]]*TblConstr[[#This Row],[CPA Lumber -DB]] + TblConstr[[#This Row],[build db]]*TblConstr[[#This Row],[CPA Lumber DB]]</f>
        <v>0</v>
      </c>
      <c r="AS45" s="94">
        <f ca="1">MIN(SUM(OFFSET(TblConstr[[#This Row],[Plain]:[Water]],-1,0))+SUM(TblConstr[[#This Row],[Dest Hom]:[Dest Doc]])+IF(TblConstr[[#This Row],[Hour]]&gt;12,SUM(OFFSET(TblExplore[[#This Row],[Plains Explore]:[Water Explore]],-12,0)),0),SUM(TblConstr[[#This Row],[Hom]:[Doc]]))</f>
        <v>0</v>
      </c>
      <c r="AT4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42"/>
      <c r="AV45" s="94">
        <f ca="1">ROUND((TblConstr[[#This Row],[Land]]-250 - IF(TblExplore[[#This Row],[Land Bonus]]&lt;&gt;0,20,0))*1.25 + 850 + 0,0)</f>
        <v>600</v>
      </c>
      <c r="AW45" s="94">
        <f ca="1">ROUND((TblConstr[[#This Row],[Land]]-250 - IF(TblExplore[[#This Row],[Land Bonus]]&lt;&gt;0,20,0))*0.285 + 87.5 + 0/4.25,0)</f>
        <v>31</v>
      </c>
      <c r="AX45" s="154"/>
      <c r="AY45" s="188" cm="1">
        <f t="array" aca="1" ref="AY45" ca="1">IF(TblConstr[[#This Row],[Hour]:[Hour]]&gt;12,OFFSET(TblConstr[[#This Row],[Hom]],-12,0),0)+OFFSET(TblConstr[[#This Row],[Tot Hom]],-1,0)-TblConstr[[#This Row],[Dest Hom]]</f>
        <v>0</v>
      </c>
      <c r="AZ45" s="189" cm="1">
        <f t="array" aca="1" ref="AZ45" ca="1">IF(TblConstr[[#This Row],[Hour]:[Hour]]&gt;12,OFFSET(TblConstr[[#This Row],[Alc]],-12,0),0)+OFFSET(TblConstr[[#This Row],[Tot Alc]],-1,0)-TblConstr[[#This Row],[Dest Alc]]</f>
        <v>0</v>
      </c>
      <c r="BA45" s="189" cm="1">
        <f t="array" aca="1" ref="BA45" ca="1">IF(TblConstr[[#This Row],[Hour]:[Hour]]&gt;12,OFFSET(TblConstr[[#This Row],[Far]],-12,0),0)+OFFSET(TblConstr[[#This Row],[Tot Farm]],-1,0)-TblConstr[[#This Row],[Dest Farm]]</f>
        <v>30</v>
      </c>
      <c r="BB45" s="189" cm="1">
        <f t="array" aca="1" ref="BB45" ca="1">IF(TblConstr[[#This Row],[Hour]:[Hour]]&gt;12,OFFSET(TblConstr[[#This Row],[Smi]],-12,0),0)+OFFSET(TblConstr[[#This Row],[Tot Smi]],-1,0)-TblConstr[[#This Row],[Dest Smi]]</f>
        <v>0</v>
      </c>
      <c r="BC45" s="189" cm="1">
        <f t="array" aca="1" ref="BC45" ca="1">IF(TblConstr[[#This Row],[Hour]:[Hour]]&gt;12,OFFSET(TblConstr[[#This Row],[Mas]],-12,0),0)+OFFSET(TblConstr[[#This Row],[Tot Mas]],-1,0)-TblConstr[[#This Row],[Dest Mas]]</f>
        <v>0</v>
      </c>
      <c r="BD45" s="190" cm="1">
        <f t="array" aca="1" ref="BD45" ca="1">IF(TblConstr[[#This Row],[Hour]:[Hour]]&gt;12,OFFSET(TblConstr[[#This Row],[Ly]],-12,0),0)+OFFSET(TblConstr[[#This Row],[Tot Ly]],-1,0)-TblConstr[[#This Row],[Dest Ly]]</f>
        <v>20</v>
      </c>
      <c r="BE45" s="190" cm="1">
        <f t="array" aca="1" ref="BE45" ca="1">IF(TblConstr[[#This Row],[Hour]:[Hour]]&gt;12,OFFSET(TblConstr[[#This Row],[Hav]],-12,0),0)+OFFSET(TblConstr[[#This Row],[Tot Hav]],-1,0)-TblConstr[[#This Row],[Dest Hav]]</f>
        <v>0</v>
      </c>
      <c r="BF45" s="361" cm="1">
        <f t="array" aca="1" ref="BF45" ca="1">IF(TblConstr[[#This Row],[Hour]:[Hour]]&gt;12,OFFSET(TblConstr[[#This Row],[OM]],-12,0),0)+OFFSET(TblConstr[[#This Row],[Tot OM]],-1,0)-TblConstr[[#This Row],[Dest OM]]</f>
        <v>0</v>
      </c>
      <c r="BG45" s="361" cm="1">
        <f t="array" aca="1" ref="BG45" ca="1">IF(TblConstr[[#This Row],[Hour]:[Hour]]&gt;12,OFFSET(TblConstr[[#This Row],[GN]],-12,0),0)+OFFSET(TblConstr[[#This Row],[Tot GN]],-1,0)-TblConstr[[#This Row],[Dest GN]]</f>
        <v>0</v>
      </c>
      <c r="BH45" s="365" cm="1">
        <f t="array" aca="1" ref="BH45" ca="1">IF(TblConstr[[#This Row],[Hour]:[Hour]]&gt;12,OFFSET(TblConstr[[#This Row],[Fac]],-12,0),0)+OFFSET(TblConstr[[#This Row],[Tot Fac]],-1,0)-TblConstr[[#This Row],[Dest Fac]]</f>
        <v>0</v>
      </c>
      <c r="BI45" s="365" cm="1">
        <f t="array" aca="1" ref="BI45" ca="1">IF(TblConstr[[#This Row],[Hour]:[Hour]]&gt;12,OFFSET(TblConstr[[#This Row],[GT]],-12,0),0)+OFFSET(TblConstr[[#This Row],[Tot GT]],-1,0)-TblConstr[[#This Row],[Dest GT]]</f>
        <v>0</v>
      </c>
      <c r="BJ45" s="365" cm="1">
        <f t="array" aca="1" ref="BJ45" ca="1">IF(TblConstr[[#This Row],[Hour]:[Hour]]&gt;12,OFFSET(TblConstr[[#This Row],[Bar]],-12,0),0)+OFFSET(TblConstr[[#This Row],[Tot Bar]],-1,0)-TblConstr[[#This Row],[Dest Bar]]</f>
        <v>0</v>
      </c>
      <c r="BK45" s="365" cm="1">
        <f t="array" aca="1" ref="BK45" ca="1">IF(TblConstr[[#This Row],[Hour]:[Hour]]&gt;12,OFFSET(TblConstr[[#This Row],[Shr]],-12,0),0)+OFFSET(TblConstr[[#This Row],[Tot Shr]],-1,0)-TblConstr[[#This Row],[Dest Shr]]</f>
        <v>0</v>
      </c>
      <c r="BL45" s="369" cm="1">
        <f t="array" aca="1" ref="BL45" ca="1">IF(TblConstr[[#This Row],[Hour]:[Hour]]&gt;12,OFFSET(TblConstr[[#This Row],[Tow]],-12,0),0)+OFFSET(TblConstr[[#This Row],[Tot Tow]],-1,0)-TblConstr[[#This Row],[Dest Tow]]</f>
        <v>0</v>
      </c>
      <c r="BM45" s="369" cm="1">
        <f t="array" aca="1" ref="BM45" ca="1">IF(TblConstr[[#This Row],[Hour]:[Hour]]&gt;12,OFFSET(TblConstr[[#This Row],[Tem]],-12,0),0)+OFFSET(TblConstr[[#This Row],[Tot Tem]],-1,0)-TblConstr[[#This Row],[Dest Tem]]</f>
        <v>0</v>
      </c>
      <c r="BN45" s="369" cm="1">
        <f t="array" aca="1" ref="BN45" ca="1">IF(TblConstr[[#This Row],[Hour]:[Hour]]&gt;12,OFFSET(TblConstr[[#This Row],[WG]],-12,0),0)+OFFSET(TblConstr[[#This Row],[Tot WG]],-1,0)-TblConstr[[#This Row],[Dest WG]]</f>
        <v>0</v>
      </c>
      <c r="BO45" s="191" cm="1">
        <f t="array" aca="1" ref="BO45" ca="1">IF(TblConstr[[#This Row],[Hour]:[Hour]]&gt;12,OFFSET(TblConstr[[#This Row],[DM]],-12,0),0)+OFFSET(TblConstr[[#This Row],[Tot DM]],-1,0)-TblConstr[[#This Row],[Dest DM]]</f>
        <v>0</v>
      </c>
      <c r="BP45" s="191" cm="1">
        <f t="array" aca="1" ref="BP45" ca="1">IF(TblConstr[[#This Row],[Hour]:[Hour]]&gt;12,OFFSET(TblConstr[[#This Row],[Sch]],-12,0),0)+OFFSET(TblConstr[[#This Row],[Tot Sch]],-1,0)-TblConstr[[#This Row],[Dest Sch]]</f>
        <v>0</v>
      </c>
      <c r="BQ45" s="192" cm="1">
        <f t="array" aca="1" ref="BQ45" ca="1">IF(TblConstr[[#This Row],[Hour]:[Hour]]&gt;12,OFFSET(TblConstr[[#This Row],[Doc]],-12,0),0)+OFFSET(TblConstr[[#This Row],[Tot Doc]],-1,0)-TblConstr[[#This Row],[Dest Doc]]</f>
        <v>0</v>
      </c>
      <c r="BR45" s="142"/>
      <c r="BS45" s="154"/>
      <c r="BT45" s="94">
        <f ca="1">TblConstr[[#This Row],[Land]]</f>
        <v>50</v>
      </c>
      <c r="BU45" s="159">
        <f ca="1">TblImps[[#This Row],[Time]]</f>
        <v>46321.708333333234</v>
      </c>
      <c r="BV45" s="142"/>
      <c r="BW45" s="179"/>
      <c r="BX45" s="179"/>
      <c r="BY45" s="179"/>
      <c r="BZ45" s="179"/>
      <c r="CA45" s="179"/>
      <c r="CB45" s="179"/>
      <c r="CC45" s="179"/>
      <c r="CD45" s="179"/>
      <c r="CE45" s="179"/>
      <c r="CF45" s="179"/>
      <c r="CG45" s="179"/>
      <c r="CH45" s="179"/>
      <c r="CI45" s="179"/>
      <c r="CJ45" s="179"/>
      <c r="CK45" s="179"/>
      <c r="CL45" s="179"/>
      <c r="CM45" s="179"/>
      <c r="CN45" s="179"/>
      <c r="CO45" s="179"/>
      <c r="CP45" s="142"/>
      <c r="CQ45" s="181">
        <f ca="1">-SUM(TblConstr[[#This Row],[Alc]:[Mas]])+SUM(TblConstr[[#This Row],[Dest Alc]:[Dest Mas]])+Rezone!L45+IF("Ch_"&amp; home_land=TblConstr[[#Headers],[Ch_Plain]],TblConstr[[#This Row],[Home Land]])+IF(TblConstr[[#This Row],[Hour]:[Hour]]&gt;12,OFFSET(TblExplore[[#This Row],[Plains Explore]],-12,0),0)</f>
        <v>0</v>
      </c>
      <c r="CR45" s="182">
        <f ca="1">-SUM(TblConstr[[#This Row],[Ly]:[Hav]])+SUM(TblConstr[[#This Row],[Dest Ly]:[Dest Hav]]) +Rezone!M45 + IF("Ch_"&amp; home_land=TblConstr[[#Headers],[Ch_Forest]],TblConstr[[#This Row],[Home Land]])+IF(TblConstr[[#This Row],[Hour]:[Hour]]&gt;12,OFFSET(TblExplore[[#This Row],[Forest Explore]],-12,0),0)</f>
        <v>0</v>
      </c>
      <c r="CS45" s="359">
        <f ca="1">-SUM(TblConstr[[#This Row],[OM]:[GN]])+SUM(TblConstr[[#This Row],[Dest OM]:[Dest GN]]) +Rezone!N45 + IF("Ch_"&amp; home_land=TblConstr[[#Headers],[Ch_Mountain]],TblConstr[[#This Row],[Home Land]])+IF(TblConstr[[#This Row],[Hour]:[Hour]]&gt;12,OFFSET(TblExplore[[#This Row],[Mountain Explore]],-12,0),0)</f>
        <v>0</v>
      </c>
      <c r="CT45" s="183">
        <f ca="1">-SUM(TblConstr[[#This Row],[Fac]:[Shr]])+SUM(TblConstr[[#This Row],[Dest Fac]:[Dest Shr]]) +Rezone!O45 + IF("Ch_" &amp; home_land=TblConstr[[#Headers],[Ch_Hill]],TblConstr[[#This Row],[Home Land]])+IF(TblConstr[[#This Row],[Hour]:[Hour]]&gt;12,OFFSET(TblExplore[[#This Row],[Hill Explore]],-12,0),0)</f>
        <v>0</v>
      </c>
      <c r="CU45" s="184">
        <f ca="1">-SUM(TblConstr[[#This Row],[Tow]:[WG]])+SUM(TblConstr[[#This Row],[Dest Tow]:[Dest WG]]) +Rezone!P45 + IF("Ch_" &amp; home_land=TblConstr[[#Headers],[Ch_Swamp]],TblConstr[[#This Row],[Home Land]])+IF(TblConstr[[#This Row],[Hour]:[Hour]]&gt;12,OFFSET(TblExplore[[#This Row],[Swamp Explore]],-12,0),0)</f>
        <v>0</v>
      </c>
      <c r="CV45" s="185">
        <f ca="1" xml:space="preserve"> - SUM(TblConstr[[#This Row],[DM]:[Sch]])+SUM(TblConstr[[#This Row],[Dest DM]:[Dest Sch]]) +Rezone!Q45 + IF("Ch_" &amp; home_land=TblConstr[[#Headers],[Ch_Cavern]],TblConstr[[#This Row],[Home Land]])+IF(TblConstr[[#This Row],[Hour]:[Hour]]&gt;12,OFFSET(TblExplore[[#This Row],[Cavern Explore]],-12,0),0)</f>
        <v>0</v>
      </c>
      <c r="CW45" s="186">
        <f ca="1">-TblConstr[[#This Row],[Doc]]+TblConstr[[#This Row],[Dest Doc]] +Rezone!R45 + IF("Ch_" &amp; home_land=TblConstr[[#Headers],[Ch_Water]],TblConstr[[#This Row],[Home Land]])+IF(TblConstr[[#This Row],[Hour]:[Hour]]&gt;12,OFFSET(TblExplore[[#This Row],[Water Explore]],-12,0),0)</f>
        <v>0</v>
      </c>
      <c r="CX45" s="45">
        <f>IF(Explore!S45=1,20) - TblConstr[[#This Row],[Hom]] + TblConstr[[#This Row],[Dest Hom]]</f>
        <v>0</v>
      </c>
      <c r="CY45" s="142"/>
      <c r="CZ45" s="94">
        <f t="shared" ca="1" si="3"/>
        <v>30</v>
      </c>
      <c r="DA45" s="94">
        <f t="shared" ca="1" si="4"/>
        <v>20</v>
      </c>
      <c r="DB45" s="45">
        <f t="shared" ca="1" si="5"/>
        <v>0</v>
      </c>
      <c r="DC45" s="94">
        <f t="shared" ca="1" si="6"/>
        <v>0</v>
      </c>
      <c r="DD45" s="94">
        <f t="shared" ca="1" si="7"/>
        <v>0</v>
      </c>
      <c r="DE45" s="45">
        <f t="shared" ca="1" si="8"/>
        <v>0</v>
      </c>
      <c r="DF45" s="94">
        <f t="shared" ca="1" si="9"/>
        <v>0</v>
      </c>
      <c r="DG45" s="94" cm="1">
        <f t="array" aca="1" ref="DG45" ca="1">INDEX(TblConstr[[Total Plain]:[Total Water]],ROW()-ROW(TblConstr[#Headers]),MATCH("Total "&amp;home_land,TblConstr[[#Headers],[Total Plain]:[Total Water]],0))+TblConstr[[#This Row],[Homes]]</f>
        <v>30</v>
      </c>
      <c r="DH45" s="45">
        <f t="shared" ca="1" si="10"/>
        <v>0</v>
      </c>
      <c r="DI45" s="45">
        <f t="shared" ca="1" si="0"/>
        <v>0</v>
      </c>
      <c r="DJ45" s="45">
        <f t="shared" ca="1" si="1"/>
        <v>0</v>
      </c>
    </row>
    <row r="46" spans="1:114" x14ac:dyDescent="0.2">
      <c r="A46" s="175">
        <f>TblRezone[[#This Row],[Hour]]</f>
        <v>43</v>
      </c>
      <c r="B46" s="176">
        <f ca="1">SUM(TblConstr[[#This Row],[Plain]:[Water]])</f>
        <v>0</v>
      </c>
      <c r="C46" s="177">
        <f ca="1">SUM(TblConstr[[#This Row],[Tot Hom]:[Tot Doc]])</f>
        <v>50</v>
      </c>
      <c r="D46" s="177">
        <f t="shared" si="2"/>
        <v>0</v>
      </c>
      <c r="E46" s="178"/>
      <c r="F46" s="61">
        <f ca="1">TblConstr[[#This Row],[Barren]]+TblConstr[[#This Row],[Buildings]]+TblConstr[[#This Row],[Incoming]]</f>
        <v>50</v>
      </c>
      <c r="G46" s="187">
        <f ca="1">OFFSET(TblConstr[[#This Row],[Plain]],-1,0)+TblConstr[[#This Row],[Ch_Plain]]</f>
        <v>0</v>
      </c>
      <c r="H46" s="182">
        <f ca="1">OFFSET(TblConstr[[#This Row],[Forest]],-1,0)+TblConstr[[#This Row],[Ch_Forest]]</f>
        <v>0</v>
      </c>
      <c r="I46" s="359">
        <f ca="1">OFFSET(TblConstr[[#This Row],[Mountain]],-1,0)+TblConstr[[#This Row],[Ch_Mountain]]</f>
        <v>0</v>
      </c>
      <c r="J46" s="363">
        <f ca="1">OFFSET(TblConstr[[#This Row],[Hill]],-1,0)+TblConstr[[#This Row],[Ch_Hill]]</f>
        <v>0</v>
      </c>
      <c r="K46" s="367">
        <f ca="1">OFFSET(TblConstr[[#This Row],[Swamp]],-1,0)+TblConstr[[#This Row],[Ch_Swamp]]</f>
        <v>0</v>
      </c>
      <c r="L46" s="185">
        <f ca="1">OFFSET(TblConstr[[#This Row],[Cavern]],-1,0)+TblConstr[[#This Row],[Ch_Cavern]]</f>
        <v>0</v>
      </c>
      <c r="M46" s="186">
        <f ca="1">OFFSET(TblConstr[[#This Row],[Water]],-1,0)+TblConstr[[#This Row],[Ch_Water]]</f>
        <v>0</v>
      </c>
      <c r="N46" s="357">
        <f>TblRezone[[#This Row],[Hour]]</f>
        <v>43</v>
      </c>
      <c r="O46" s="179"/>
      <c r="P46" s="179"/>
      <c r="Q46" s="179"/>
      <c r="R46" s="158"/>
      <c r="S46" s="179"/>
      <c r="T46" s="179"/>
      <c r="U46" s="179"/>
      <c r="V46" s="179"/>
      <c r="W46" s="179"/>
      <c r="X46" s="179"/>
      <c r="Y46" s="179"/>
      <c r="Z46" s="179"/>
      <c r="AA46" s="179"/>
      <c r="AB46" s="179"/>
      <c r="AC46" s="179"/>
      <c r="AD46" s="179"/>
      <c r="AE46" s="179"/>
      <c r="AF46" s="179"/>
      <c r="AG46" s="179"/>
      <c r="AH46" s="53">
        <f ca="1">TblImps[[#This Row],[Time]]</f>
        <v>46321.749999999898</v>
      </c>
      <c r="AI46" s="180">
        <f ca="1">MIN(25%,(TblConstr[[#This Row],[Tot Fac]]+TblConstr[[#This Row],[Dest Fac]])/(TblConstr[[#This Row],[Land]]-TblExplore[[#This Row],[Land Bonus]]*20))</f>
        <v>0</v>
      </c>
      <c r="AJ46" s="180">
        <f ca="1">MIN(25%,(TblConstr[[#This Row],[Tot Fac]]+TblConstr[[#This Row],[Dest Fac]])/TblConstr[[#This Row],[Land]])</f>
        <v>0</v>
      </c>
      <c r="AK46" s="94">
        <f ca="1">TblProd[[#This Row],[Platinum]]</f>
        <v>163650</v>
      </c>
      <c r="AL46" s="94">
        <f ca="1">TblProd[[#This Row],[Lumber]]</f>
        <v>44268</v>
      </c>
      <c r="AM4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6" s="94">
        <f ca="1">ROUNDDOWN( MAX(1 - MIN(facs_constr_factor*TblConstr[[#This Row],[Facs -DB]],facs_constr_max) + tech_1_11*TblTech[[#This Row],[11-1]] + tech_6_3_2*TblTech[[#This Row],[6-3]] + tech_5_2_3*TblTech[[#This Row],[5-2]], 1-global_constr_cap) * TblConstr[[#This Row],[RCPA Lumber]],0)</f>
        <v>31</v>
      </c>
      <c r="AO4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6" s="94">
        <f ca="1">ROUNDDOWN( MAX(1 - MIN(facs_constr_factor*TblConstr[[#This Row],[Facs DB]],facs_constr_max) + tech_1_11*TblTech[[#This Row],[1-11]] + tech_6_3_2*TblTech[[#This Row],[6-3]] + tech_5_2_3*TblTech[[#This Row],[5-2]], 1-global_constr_cap) * ROUND((TblConstr[[#This Row],[Land]]-250)*0.285 + 87.5 + 0/4.25,0),0)</f>
        <v>31</v>
      </c>
      <c r="AQ46" s="45">
        <f ca="1">TblConstr[[#This Row],[build -db]]*TblConstr[[#This Row],[CPA Platinum -DB]] + TblConstr[[#This Row],[build db]]*TblConstr[[#This Row],[CPA Platinum DB]]</f>
        <v>0</v>
      </c>
      <c r="AR46" s="45">
        <f ca="1">TblConstr[[#This Row],[build -db]]*TblConstr[[#This Row],[CPA Lumber -DB]] + TblConstr[[#This Row],[build db]]*TblConstr[[#This Row],[CPA Lumber DB]]</f>
        <v>0</v>
      </c>
      <c r="AS46" s="94">
        <f ca="1">MIN(SUM(OFFSET(TblConstr[[#This Row],[Plain]:[Water]],-1,0))+SUM(TblConstr[[#This Row],[Dest Hom]:[Dest Doc]])+IF(TblConstr[[#This Row],[Hour]]&gt;12,SUM(OFFSET(TblExplore[[#This Row],[Plains Explore]:[Water Explore]],-12,0)),0),SUM(TblConstr[[#This Row],[Hom]:[Doc]]))</f>
        <v>0</v>
      </c>
      <c r="AT4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42"/>
      <c r="AV46" s="94">
        <f ca="1">ROUND((TblConstr[[#This Row],[Land]]-250 - IF(TblExplore[[#This Row],[Land Bonus]]&lt;&gt;0,20,0))*1.25 + 850 + 0,0)</f>
        <v>600</v>
      </c>
      <c r="AW46" s="94">
        <f ca="1">ROUND((TblConstr[[#This Row],[Land]]-250 - IF(TblExplore[[#This Row],[Land Bonus]]&lt;&gt;0,20,0))*0.285 + 87.5 + 0/4.25,0)</f>
        <v>31</v>
      </c>
      <c r="AX46" s="154"/>
      <c r="AY46" s="188" cm="1">
        <f t="array" aca="1" ref="AY46" ca="1">IF(TblConstr[[#This Row],[Hour]:[Hour]]&gt;12,OFFSET(TblConstr[[#This Row],[Hom]],-12,0),0)+OFFSET(TblConstr[[#This Row],[Tot Hom]],-1,0)-TblConstr[[#This Row],[Dest Hom]]</f>
        <v>0</v>
      </c>
      <c r="AZ46" s="189" cm="1">
        <f t="array" aca="1" ref="AZ46" ca="1">IF(TblConstr[[#This Row],[Hour]:[Hour]]&gt;12,OFFSET(TblConstr[[#This Row],[Alc]],-12,0),0)+OFFSET(TblConstr[[#This Row],[Tot Alc]],-1,0)-TblConstr[[#This Row],[Dest Alc]]</f>
        <v>0</v>
      </c>
      <c r="BA46" s="189" cm="1">
        <f t="array" aca="1" ref="BA46" ca="1">IF(TblConstr[[#This Row],[Hour]:[Hour]]&gt;12,OFFSET(TblConstr[[#This Row],[Far]],-12,0),0)+OFFSET(TblConstr[[#This Row],[Tot Farm]],-1,0)-TblConstr[[#This Row],[Dest Farm]]</f>
        <v>30</v>
      </c>
      <c r="BB46" s="189" cm="1">
        <f t="array" aca="1" ref="BB46" ca="1">IF(TblConstr[[#This Row],[Hour]:[Hour]]&gt;12,OFFSET(TblConstr[[#This Row],[Smi]],-12,0),0)+OFFSET(TblConstr[[#This Row],[Tot Smi]],-1,0)-TblConstr[[#This Row],[Dest Smi]]</f>
        <v>0</v>
      </c>
      <c r="BC46" s="189" cm="1">
        <f t="array" aca="1" ref="BC46" ca="1">IF(TblConstr[[#This Row],[Hour]:[Hour]]&gt;12,OFFSET(TblConstr[[#This Row],[Mas]],-12,0),0)+OFFSET(TblConstr[[#This Row],[Tot Mas]],-1,0)-TblConstr[[#This Row],[Dest Mas]]</f>
        <v>0</v>
      </c>
      <c r="BD46" s="190" cm="1">
        <f t="array" aca="1" ref="BD46" ca="1">IF(TblConstr[[#This Row],[Hour]:[Hour]]&gt;12,OFFSET(TblConstr[[#This Row],[Ly]],-12,0),0)+OFFSET(TblConstr[[#This Row],[Tot Ly]],-1,0)-TblConstr[[#This Row],[Dest Ly]]</f>
        <v>20</v>
      </c>
      <c r="BE46" s="190" cm="1">
        <f t="array" aca="1" ref="BE46" ca="1">IF(TblConstr[[#This Row],[Hour]:[Hour]]&gt;12,OFFSET(TblConstr[[#This Row],[Hav]],-12,0),0)+OFFSET(TblConstr[[#This Row],[Tot Hav]],-1,0)-TblConstr[[#This Row],[Dest Hav]]</f>
        <v>0</v>
      </c>
      <c r="BF46" s="361" cm="1">
        <f t="array" aca="1" ref="BF46" ca="1">IF(TblConstr[[#This Row],[Hour]:[Hour]]&gt;12,OFFSET(TblConstr[[#This Row],[OM]],-12,0),0)+OFFSET(TblConstr[[#This Row],[Tot OM]],-1,0)-TblConstr[[#This Row],[Dest OM]]</f>
        <v>0</v>
      </c>
      <c r="BG46" s="361" cm="1">
        <f t="array" aca="1" ref="BG46" ca="1">IF(TblConstr[[#This Row],[Hour]:[Hour]]&gt;12,OFFSET(TblConstr[[#This Row],[GN]],-12,0),0)+OFFSET(TblConstr[[#This Row],[Tot GN]],-1,0)-TblConstr[[#This Row],[Dest GN]]</f>
        <v>0</v>
      </c>
      <c r="BH46" s="365" cm="1">
        <f t="array" aca="1" ref="BH46" ca="1">IF(TblConstr[[#This Row],[Hour]:[Hour]]&gt;12,OFFSET(TblConstr[[#This Row],[Fac]],-12,0),0)+OFFSET(TblConstr[[#This Row],[Tot Fac]],-1,0)-TblConstr[[#This Row],[Dest Fac]]</f>
        <v>0</v>
      </c>
      <c r="BI46" s="365" cm="1">
        <f t="array" aca="1" ref="BI46" ca="1">IF(TblConstr[[#This Row],[Hour]:[Hour]]&gt;12,OFFSET(TblConstr[[#This Row],[GT]],-12,0),0)+OFFSET(TblConstr[[#This Row],[Tot GT]],-1,0)-TblConstr[[#This Row],[Dest GT]]</f>
        <v>0</v>
      </c>
      <c r="BJ46" s="365" cm="1">
        <f t="array" aca="1" ref="BJ46" ca="1">IF(TblConstr[[#This Row],[Hour]:[Hour]]&gt;12,OFFSET(TblConstr[[#This Row],[Bar]],-12,0),0)+OFFSET(TblConstr[[#This Row],[Tot Bar]],-1,0)-TblConstr[[#This Row],[Dest Bar]]</f>
        <v>0</v>
      </c>
      <c r="BK46" s="365" cm="1">
        <f t="array" aca="1" ref="BK46" ca="1">IF(TblConstr[[#This Row],[Hour]:[Hour]]&gt;12,OFFSET(TblConstr[[#This Row],[Shr]],-12,0),0)+OFFSET(TblConstr[[#This Row],[Tot Shr]],-1,0)-TblConstr[[#This Row],[Dest Shr]]</f>
        <v>0</v>
      </c>
      <c r="BL46" s="369" cm="1">
        <f t="array" aca="1" ref="BL46" ca="1">IF(TblConstr[[#This Row],[Hour]:[Hour]]&gt;12,OFFSET(TblConstr[[#This Row],[Tow]],-12,0),0)+OFFSET(TblConstr[[#This Row],[Tot Tow]],-1,0)-TblConstr[[#This Row],[Dest Tow]]</f>
        <v>0</v>
      </c>
      <c r="BM46" s="369" cm="1">
        <f t="array" aca="1" ref="BM46" ca="1">IF(TblConstr[[#This Row],[Hour]:[Hour]]&gt;12,OFFSET(TblConstr[[#This Row],[Tem]],-12,0),0)+OFFSET(TblConstr[[#This Row],[Tot Tem]],-1,0)-TblConstr[[#This Row],[Dest Tem]]</f>
        <v>0</v>
      </c>
      <c r="BN46" s="369" cm="1">
        <f t="array" aca="1" ref="BN46" ca="1">IF(TblConstr[[#This Row],[Hour]:[Hour]]&gt;12,OFFSET(TblConstr[[#This Row],[WG]],-12,0),0)+OFFSET(TblConstr[[#This Row],[Tot WG]],-1,0)-TblConstr[[#This Row],[Dest WG]]</f>
        <v>0</v>
      </c>
      <c r="BO46" s="191" cm="1">
        <f t="array" aca="1" ref="BO46" ca="1">IF(TblConstr[[#This Row],[Hour]:[Hour]]&gt;12,OFFSET(TblConstr[[#This Row],[DM]],-12,0),0)+OFFSET(TblConstr[[#This Row],[Tot DM]],-1,0)-TblConstr[[#This Row],[Dest DM]]</f>
        <v>0</v>
      </c>
      <c r="BP46" s="191" cm="1">
        <f t="array" aca="1" ref="BP46" ca="1">IF(TblConstr[[#This Row],[Hour]:[Hour]]&gt;12,OFFSET(TblConstr[[#This Row],[Sch]],-12,0),0)+OFFSET(TblConstr[[#This Row],[Tot Sch]],-1,0)-TblConstr[[#This Row],[Dest Sch]]</f>
        <v>0</v>
      </c>
      <c r="BQ46" s="192" cm="1">
        <f t="array" aca="1" ref="BQ46" ca="1">IF(TblConstr[[#This Row],[Hour]:[Hour]]&gt;12,OFFSET(TblConstr[[#This Row],[Doc]],-12,0),0)+OFFSET(TblConstr[[#This Row],[Tot Doc]],-1,0)-TblConstr[[#This Row],[Dest Doc]]</f>
        <v>0</v>
      </c>
      <c r="BR46" s="142"/>
      <c r="BS46" s="154"/>
      <c r="BT46" s="94">
        <f ca="1">TblConstr[[#This Row],[Land]]</f>
        <v>50</v>
      </c>
      <c r="BU46" s="159">
        <f ca="1">TblImps[[#This Row],[Time]]</f>
        <v>46321.749999999898</v>
      </c>
      <c r="BV46" s="142"/>
      <c r="BW46" s="179"/>
      <c r="BX46" s="179"/>
      <c r="BY46" s="179"/>
      <c r="BZ46" s="179"/>
      <c r="CA46" s="179"/>
      <c r="CB46" s="179"/>
      <c r="CC46" s="179"/>
      <c r="CD46" s="179"/>
      <c r="CE46" s="179"/>
      <c r="CF46" s="179"/>
      <c r="CG46" s="179"/>
      <c r="CH46" s="179"/>
      <c r="CI46" s="179"/>
      <c r="CJ46" s="179"/>
      <c r="CK46" s="179"/>
      <c r="CL46" s="179"/>
      <c r="CM46" s="179"/>
      <c r="CN46" s="179"/>
      <c r="CO46" s="179"/>
      <c r="CP46" s="142"/>
      <c r="CQ46" s="181">
        <f ca="1">-SUM(TblConstr[[#This Row],[Alc]:[Mas]])+SUM(TblConstr[[#This Row],[Dest Alc]:[Dest Mas]])+Rezone!L46+IF("Ch_"&amp; home_land=TblConstr[[#Headers],[Ch_Plain]],TblConstr[[#This Row],[Home Land]])+IF(TblConstr[[#This Row],[Hour]:[Hour]]&gt;12,OFFSET(TblExplore[[#This Row],[Plains Explore]],-12,0),0)</f>
        <v>0</v>
      </c>
      <c r="CR46" s="182">
        <f ca="1">-SUM(TblConstr[[#This Row],[Ly]:[Hav]])+SUM(TblConstr[[#This Row],[Dest Ly]:[Dest Hav]]) +Rezone!M46 + IF("Ch_"&amp; home_land=TblConstr[[#Headers],[Ch_Forest]],TblConstr[[#This Row],[Home Land]])+IF(TblConstr[[#This Row],[Hour]:[Hour]]&gt;12,OFFSET(TblExplore[[#This Row],[Forest Explore]],-12,0),0)</f>
        <v>0</v>
      </c>
      <c r="CS46" s="359">
        <f ca="1">-SUM(TblConstr[[#This Row],[OM]:[GN]])+SUM(TblConstr[[#This Row],[Dest OM]:[Dest GN]]) +Rezone!N46 + IF("Ch_"&amp; home_land=TblConstr[[#Headers],[Ch_Mountain]],TblConstr[[#This Row],[Home Land]])+IF(TblConstr[[#This Row],[Hour]:[Hour]]&gt;12,OFFSET(TblExplore[[#This Row],[Mountain Explore]],-12,0),0)</f>
        <v>0</v>
      </c>
      <c r="CT46" s="183">
        <f ca="1">-SUM(TblConstr[[#This Row],[Fac]:[Shr]])+SUM(TblConstr[[#This Row],[Dest Fac]:[Dest Shr]]) +Rezone!O46 + IF("Ch_" &amp; home_land=TblConstr[[#Headers],[Ch_Hill]],TblConstr[[#This Row],[Home Land]])+IF(TblConstr[[#This Row],[Hour]:[Hour]]&gt;12,OFFSET(TblExplore[[#This Row],[Hill Explore]],-12,0),0)</f>
        <v>0</v>
      </c>
      <c r="CU46" s="184">
        <f ca="1">-SUM(TblConstr[[#This Row],[Tow]:[WG]])+SUM(TblConstr[[#This Row],[Dest Tow]:[Dest WG]]) +Rezone!P46 + IF("Ch_" &amp; home_land=TblConstr[[#Headers],[Ch_Swamp]],TblConstr[[#This Row],[Home Land]])+IF(TblConstr[[#This Row],[Hour]:[Hour]]&gt;12,OFFSET(TblExplore[[#This Row],[Swamp Explore]],-12,0),0)</f>
        <v>0</v>
      </c>
      <c r="CV46" s="185">
        <f ca="1" xml:space="preserve"> - SUM(TblConstr[[#This Row],[DM]:[Sch]])+SUM(TblConstr[[#This Row],[Dest DM]:[Dest Sch]]) +Rezone!Q46 + IF("Ch_" &amp; home_land=TblConstr[[#Headers],[Ch_Cavern]],TblConstr[[#This Row],[Home Land]])+IF(TblConstr[[#This Row],[Hour]:[Hour]]&gt;12,OFFSET(TblExplore[[#This Row],[Cavern Explore]],-12,0),0)</f>
        <v>0</v>
      </c>
      <c r="CW46" s="186">
        <f ca="1">-TblConstr[[#This Row],[Doc]]+TblConstr[[#This Row],[Dest Doc]] +Rezone!R46 + IF("Ch_" &amp; home_land=TblConstr[[#Headers],[Ch_Water]],TblConstr[[#This Row],[Home Land]])+IF(TblConstr[[#This Row],[Hour]:[Hour]]&gt;12,OFFSET(TblExplore[[#This Row],[Water Explore]],-12,0),0)</f>
        <v>0</v>
      </c>
      <c r="CX46" s="45">
        <f>IF(Explore!S46=1,20) - TblConstr[[#This Row],[Hom]] + TblConstr[[#This Row],[Dest Hom]]</f>
        <v>0</v>
      </c>
      <c r="CY46" s="142"/>
      <c r="CZ46" s="94">
        <f t="shared" ca="1" si="3"/>
        <v>30</v>
      </c>
      <c r="DA46" s="94">
        <f t="shared" ca="1" si="4"/>
        <v>20</v>
      </c>
      <c r="DB46" s="45">
        <f t="shared" ca="1" si="5"/>
        <v>0</v>
      </c>
      <c r="DC46" s="94">
        <f t="shared" ca="1" si="6"/>
        <v>0</v>
      </c>
      <c r="DD46" s="94">
        <f t="shared" ca="1" si="7"/>
        <v>0</v>
      </c>
      <c r="DE46" s="45">
        <f t="shared" ca="1" si="8"/>
        <v>0</v>
      </c>
      <c r="DF46" s="94">
        <f t="shared" ca="1" si="9"/>
        <v>0</v>
      </c>
      <c r="DG46" s="94" cm="1">
        <f t="array" aca="1" ref="DG46" ca="1">INDEX(TblConstr[[Total Plain]:[Total Water]],ROW()-ROW(TblConstr[#Headers]),MATCH("Total "&amp;home_land,TblConstr[[#Headers],[Total Plain]:[Total Water]],0))+TblConstr[[#This Row],[Homes]]</f>
        <v>30</v>
      </c>
      <c r="DH46" s="45">
        <f t="shared" ca="1" si="10"/>
        <v>0</v>
      </c>
      <c r="DI46" s="45">
        <f t="shared" ca="1" si="0"/>
        <v>0</v>
      </c>
      <c r="DJ46" s="45">
        <f t="shared" ca="1" si="1"/>
        <v>0</v>
      </c>
    </row>
    <row r="47" spans="1:114" x14ac:dyDescent="0.2">
      <c r="A47" s="175">
        <f>TblRezone[[#This Row],[Hour]]</f>
        <v>44</v>
      </c>
      <c r="B47" s="176">
        <f ca="1">SUM(TblConstr[[#This Row],[Plain]:[Water]])</f>
        <v>0</v>
      </c>
      <c r="C47" s="177">
        <f ca="1">SUM(TblConstr[[#This Row],[Tot Hom]:[Tot Doc]])</f>
        <v>50</v>
      </c>
      <c r="D47" s="177">
        <f t="shared" ref="D47:D75" si="11">SUM(O36:AG47)</f>
        <v>0</v>
      </c>
      <c r="E47" s="178"/>
      <c r="F47" s="61">
        <f ca="1">TblConstr[[#This Row],[Barren]]+TblConstr[[#This Row],[Buildings]]+TblConstr[[#This Row],[Incoming]]</f>
        <v>50</v>
      </c>
      <c r="G47" s="187">
        <f ca="1">OFFSET(TblConstr[[#This Row],[Plain]],-1,0)+TblConstr[[#This Row],[Ch_Plain]]</f>
        <v>0</v>
      </c>
      <c r="H47" s="182">
        <f ca="1">OFFSET(TblConstr[[#This Row],[Forest]],-1,0)+TblConstr[[#This Row],[Ch_Forest]]</f>
        <v>0</v>
      </c>
      <c r="I47" s="359">
        <f ca="1">OFFSET(TblConstr[[#This Row],[Mountain]],-1,0)+TblConstr[[#This Row],[Ch_Mountain]]</f>
        <v>0</v>
      </c>
      <c r="J47" s="363">
        <f ca="1">OFFSET(TblConstr[[#This Row],[Hill]],-1,0)+TblConstr[[#This Row],[Ch_Hill]]</f>
        <v>0</v>
      </c>
      <c r="K47" s="367">
        <f ca="1">OFFSET(TblConstr[[#This Row],[Swamp]],-1,0)+TblConstr[[#This Row],[Ch_Swamp]]</f>
        <v>0</v>
      </c>
      <c r="L47" s="185">
        <f ca="1">OFFSET(TblConstr[[#This Row],[Cavern]],-1,0)+TblConstr[[#This Row],[Ch_Cavern]]</f>
        <v>0</v>
      </c>
      <c r="M47" s="186">
        <f ca="1">OFFSET(TblConstr[[#This Row],[Water]],-1,0)+TblConstr[[#This Row],[Ch_Water]]</f>
        <v>0</v>
      </c>
      <c r="N47" s="357">
        <f>TblRezone[[#This Row],[Hour]]</f>
        <v>44</v>
      </c>
      <c r="O47" s="179"/>
      <c r="P47" s="179"/>
      <c r="Q47" s="179"/>
      <c r="R47" s="158"/>
      <c r="S47" s="179"/>
      <c r="T47" s="179"/>
      <c r="U47" s="179"/>
      <c r="V47" s="179"/>
      <c r="W47" s="179"/>
      <c r="X47" s="179"/>
      <c r="Y47" s="179"/>
      <c r="Z47" s="179"/>
      <c r="AA47" s="179"/>
      <c r="AB47" s="179"/>
      <c r="AC47" s="179"/>
      <c r="AD47" s="179"/>
      <c r="AE47" s="179"/>
      <c r="AF47" s="179"/>
      <c r="AG47" s="179"/>
      <c r="AH47" s="53">
        <f ca="1">TblImps[[#This Row],[Time]]</f>
        <v>46321.791666666562</v>
      </c>
      <c r="AI47" s="180">
        <f ca="1">MIN(25%,(TblConstr[[#This Row],[Tot Fac]]+TblConstr[[#This Row],[Dest Fac]])/(TblConstr[[#This Row],[Land]]-TblExplore[[#This Row],[Land Bonus]]*20))</f>
        <v>0</v>
      </c>
      <c r="AJ47" s="180">
        <f ca="1">MIN(25%,(TblConstr[[#This Row],[Tot Fac]]+TblConstr[[#This Row],[Dest Fac]])/TblConstr[[#This Row],[Land]])</f>
        <v>0</v>
      </c>
      <c r="AK47" s="94">
        <f ca="1">TblProd[[#This Row],[Platinum]]</f>
        <v>164487</v>
      </c>
      <c r="AL47" s="94">
        <f ca="1">TblProd[[#This Row],[Lumber]]</f>
        <v>44825</v>
      </c>
      <c r="AM4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7" s="94">
        <f ca="1">ROUNDDOWN( MAX(1 - MIN(facs_constr_factor*TblConstr[[#This Row],[Facs -DB]],facs_constr_max) + tech_1_11*TblTech[[#This Row],[11-1]] + tech_6_3_2*TblTech[[#This Row],[6-3]] + tech_5_2_3*TblTech[[#This Row],[5-2]], 1-global_constr_cap) * TblConstr[[#This Row],[RCPA Lumber]],0)</f>
        <v>31</v>
      </c>
      <c r="AO4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7" s="94">
        <f ca="1">ROUNDDOWN( MAX(1 - MIN(facs_constr_factor*TblConstr[[#This Row],[Facs DB]],facs_constr_max) + tech_1_11*TblTech[[#This Row],[1-11]] + tech_6_3_2*TblTech[[#This Row],[6-3]] + tech_5_2_3*TblTech[[#This Row],[5-2]], 1-global_constr_cap) * ROUND((TblConstr[[#This Row],[Land]]-250)*0.285 + 87.5 + 0/4.25,0),0)</f>
        <v>31</v>
      </c>
      <c r="AQ47" s="45">
        <f ca="1">TblConstr[[#This Row],[build -db]]*TblConstr[[#This Row],[CPA Platinum -DB]] + TblConstr[[#This Row],[build db]]*TblConstr[[#This Row],[CPA Platinum DB]]</f>
        <v>0</v>
      </c>
      <c r="AR47" s="45">
        <f ca="1">TblConstr[[#This Row],[build -db]]*TblConstr[[#This Row],[CPA Lumber -DB]] + TblConstr[[#This Row],[build db]]*TblConstr[[#This Row],[CPA Lumber DB]]</f>
        <v>0</v>
      </c>
      <c r="AS47" s="94">
        <f ca="1">MIN(SUM(OFFSET(TblConstr[[#This Row],[Plain]:[Water]],-1,0))+SUM(TblConstr[[#This Row],[Dest Hom]:[Dest Doc]])+IF(TblConstr[[#This Row],[Hour]]&gt;12,SUM(OFFSET(TblExplore[[#This Row],[Plains Explore]:[Water Explore]],-12,0)),0),SUM(TblConstr[[#This Row],[Hom]:[Doc]]))</f>
        <v>0</v>
      </c>
      <c r="AT4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42"/>
      <c r="AV47" s="94">
        <f ca="1">ROUND((TblConstr[[#This Row],[Land]]-250 - IF(TblExplore[[#This Row],[Land Bonus]]&lt;&gt;0,20,0))*1.25 + 850 + 0,0)</f>
        <v>600</v>
      </c>
      <c r="AW47" s="94">
        <f ca="1">ROUND((TblConstr[[#This Row],[Land]]-250 - IF(TblExplore[[#This Row],[Land Bonus]]&lt;&gt;0,20,0))*0.285 + 87.5 + 0/4.25,0)</f>
        <v>31</v>
      </c>
      <c r="AX47" s="154"/>
      <c r="AY47" s="188" cm="1">
        <f t="array" aca="1" ref="AY47" ca="1">IF(TblConstr[[#This Row],[Hour]:[Hour]]&gt;12,OFFSET(TblConstr[[#This Row],[Hom]],-12,0),0)+OFFSET(TblConstr[[#This Row],[Tot Hom]],-1,0)-TblConstr[[#This Row],[Dest Hom]]</f>
        <v>0</v>
      </c>
      <c r="AZ47" s="189" cm="1">
        <f t="array" aca="1" ref="AZ47" ca="1">IF(TblConstr[[#This Row],[Hour]:[Hour]]&gt;12,OFFSET(TblConstr[[#This Row],[Alc]],-12,0),0)+OFFSET(TblConstr[[#This Row],[Tot Alc]],-1,0)-TblConstr[[#This Row],[Dest Alc]]</f>
        <v>0</v>
      </c>
      <c r="BA47" s="189" cm="1">
        <f t="array" aca="1" ref="BA47" ca="1">IF(TblConstr[[#This Row],[Hour]:[Hour]]&gt;12,OFFSET(TblConstr[[#This Row],[Far]],-12,0),0)+OFFSET(TblConstr[[#This Row],[Tot Farm]],-1,0)-TblConstr[[#This Row],[Dest Farm]]</f>
        <v>30</v>
      </c>
      <c r="BB47" s="189" cm="1">
        <f t="array" aca="1" ref="BB47" ca="1">IF(TblConstr[[#This Row],[Hour]:[Hour]]&gt;12,OFFSET(TblConstr[[#This Row],[Smi]],-12,0),0)+OFFSET(TblConstr[[#This Row],[Tot Smi]],-1,0)-TblConstr[[#This Row],[Dest Smi]]</f>
        <v>0</v>
      </c>
      <c r="BC47" s="189" cm="1">
        <f t="array" aca="1" ref="BC47" ca="1">IF(TblConstr[[#This Row],[Hour]:[Hour]]&gt;12,OFFSET(TblConstr[[#This Row],[Mas]],-12,0),0)+OFFSET(TblConstr[[#This Row],[Tot Mas]],-1,0)-TblConstr[[#This Row],[Dest Mas]]</f>
        <v>0</v>
      </c>
      <c r="BD47" s="190" cm="1">
        <f t="array" aca="1" ref="BD47" ca="1">IF(TblConstr[[#This Row],[Hour]:[Hour]]&gt;12,OFFSET(TblConstr[[#This Row],[Ly]],-12,0),0)+OFFSET(TblConstr[[#This Row],[Tot Ly]],-1,0)-TblConstr[[#This Row],[Dest Ly]]</f>
        <v>20</v>
      </c>
      <c r="BE47" s="190" cm="1">
        <f t="array" aca="1" ref="BE47" ca="1">IF(TblConstr[[#This Row],[Hour]:[Hour]]&gt;12,OFFSET(TblConstr[[#This Row],[Hav]],-12,0),0)+OFFSET(TblConstr[[#This Row],[Tot Hav]],-1,0)-TblConstr[[#This Row],[Dest Hav]]</f>
        <v>0</v>
      </c>
      <c r="BF47" s="361" cm="1">
        <f t="array" aca="1" ref="BF47" ca="1">IF(TblConstr[[#This Row],[Hour]:[Hour]]&gt;12,OFFSET(TblConstr[[#This Row],[OM]],-12,0),0)+OFFSET(TblConstr[[#This Row],[Tot OM]],-1,0)-TblConstr[[#This Row],[Dest OM]]</f>
        <v>0</v>
      </c>
      <c r="BG47" s="361" cm="1">
        <f t="array" aca="1" ref="BG47" ca="1">IF(TblConstr[[#This Row],[Hour]:[Hour]]&gt;12,OFFSET(TblConstr[[#This Row],[GN]],-12,0),0)+OFFSET(TblConstr[[#This Row],[Tot GN]],-1,0)-TblConstr[[#This Row],[Dest GN]]</f>
        <v>0</v>
      </c>
      <c r="BH47" s="365" cm="1">
        <f t="array" aca="1" ref="BH47" ca="1">IF(TblConstr[[#This Row],[Hour]:[Hour]]&gt;12,OFFSET(TblConstr[[#This Row],[Fac]],-12,0),0)+OFFSET(TblConstr[[#This Row],[Tot Fac]],-1,0)-TblConstr[[#This Row],[Dest Fac]]</f>
        <v>0</v>
      </c>
      <c r="BI47" s="365" cm="1">
        <f t="array" aca="1" ref="BI47" ca="1">IF(TblConstr[[#This Row],[Hour]:[Hour]]&gt;12,OFFSET(TblConstr[[#This Row],[GT]],-12,0),0)+OFFSET(TblConstr[[#This Row],[Tot GT]],-1,0)-TblConstr[[#This Row],[Dest GT]]</f>
        <v>0</v>
      </c>
      <c r="BJ47" s="365" cm="1">
        <f t="array" aca="1" ref="BJ47" ca="1">IF(TblConstr[[#This Row],[Hour]:[Hour]]&gt;12,OFFSET(TblConstr[[#This Row],[Bar]],-12,0),0)+OFFSET(TblConstr[[#This Row],[Tot Bar]],-1,0)-TblConstr[[#This Row],[Dest Bar]]</f>
        <v>0</v>
      </c>
      <c r="BK47" s="365" cm="1">
        <f t="array" aca="1" ref="BK47" ca="1">IF(TblConstr[[#This Row],[Hour]:[Hour]]&gt;12,OFFSET(TblConstr[[#This Row],[Shr]],-12,0),0)+OFFSET(TblConstr[[#This Row],[Tot Shr]],-1,0)-TblConstr[[#This Row],[Dest Shr]]</f>
        <v>0</v>
      </c>
      <c r="BL47" s="369" cm="1">
        <f t="array" aca="1" ref="BL47" ca="1">IF(TblConstr[[#This Row],[Hour]:[Hour]]&gt;12,OFFSET(TblConstr[[#This Row],[Tow]],-12,0),0)+OFFSET(TblConstr[[#This Row],[Tot Tow]],-1,0)-TblConstr[[#This Row],[Dest Tow]]</f>
        <v>0</v>
      </c>
      <c r="BM47" s="369" cm="1">
        <f t="array" aca="1" ref="BM47" ca="1">IF(TblConstr[[#This Row],[Hour]:[Hour]]&gt;12,OFFSET(TblConstr[[#This Row],[Tem]],-12,0),0)+OFFSET(TblConstr[[#This Row],[Tot Tem]],-1,0)-TblConstr[[#This Row],[Dest Tem]]</f>
        <v>0</v>
      </c>
      <c r="BN47" s="369" cm="1">
        <f t="array" aca="1" ref="BN47" ca="1">IF(TblConstr[[#This Row],[Hour]:[Hour]]&gt;12,OFFSET(TblConstr[[#This Row],[WG]],-12,0),0)+OFFSET(TblConstr[[#This Row],[Tot WG]],-1,0)-TblConstr[[#This Row],[Dest WG]]</f>
        <v>0</v>
      </c>
      <c r="BO47" s="191" cm="1">
        <f t="array" aca="1" ref="BO47" ca="1">IF(TblConstr[[#This Row],[Hour]:[Hour]]&gt;12,OFFSET(TblConstr[[#This Row],[DM]],-12,0),0)+OFFSET(TblConstr[[#This Row],[Tot DM]],-1,0)-TblConstr[[#This Row],[Dest DM]]</f>
        <v>0</v>
      </c>
      <c r="BP47" s="191" cm="1">
        <f t="array" aca="1" ref="BP47" ca="1">IF(TblConstr[[#This Row],[Hour]:[Hour]]&gt;12,OFFSET(TblConstr[[#This Row],[Sch]],-12,0),0)+OFFSET(TblConstr[[#This Row],[Tot Sch]],-1,0)-TblConstr[[#This Row],[Dest Sch]]</f>
        <v>0</v>
      </c>
      <c r="BQ47" s="192" cm="1">
        <f t="array" aca="1" ref="BQ47" ca="1">IF(TblConstr[[#This Row],[Hour]:[Hour]]&gt;12,OFFSET(TblConstr[[#This Row],[Doc]],-12,0),0)+OFFSET(TblConstr[[#This Row],[Tot Doc]],-1,0)-TblConstr[[#This Row],[Dest Doc]]</f>
        <v>0</v>
      </c>
      <c r="BR47" s="142"/>
      <c r="BS47" s="154"/>
      <c r="BT47" s="94">
        <f ca="1">TblConstr[[#This Row],[Land]]</f>
        <v>50</v>
      </c>
      <c r="BU47" s="159">
        <f ca="1">TblImps[[#This Row],[Time]]</f>
        <v>46321.791666666562</v>
      </c>
      <c r="BV47" s="142"/>
      <c r="BW47" s="179"/>
      <c r="BX47" s="179"/>
      <c r="BY47" s="179"/>
      <c r="BZ47" s="179"/>
      <c r="CA47" s="179"/>
      <c r="CB47" s="179"/>
      <c r="CC47" s="179"/>
      <c r="CD47" s="179"/>
      <c r="CE47" s="179"/>
      <c r="CF47" s="179"/>
      <c r="CG47" s="179"/>
      <c r="CH47" s="179"/>
      <c r="CI47" s="179"/>
      <c r="CJ47" s="179"/>
      <c r="CK47" s="179"/>
      <c r="CL47" s="179"/>
      <c r="CM47" s="179"/>
      <c r="CN47" s="179"/>
      <c r="CO47" s="179"/>
      <c r="CP47" s="142"/>
      <c r="CQ47" s="181">
        <f ca="1">-SUM(TblConstr[[#This Row],[Alc]:[Mas]])+SUM(TblConstr[[#This Row],[Dest Alc]:[Dest Mas]])+Rezone!L47+IF("Ch_"&amp; home_land=TblConstr[[#Headers],[Ch_Plain]],TblConstr[[#This Row],[Home Land]])+IF(TblConstr[[#This Row],[Hour]:[Hour]]&gt;12,OFFSET(TblExplore[[#This Row],[Plains Explore]],-12,0),0)</f>
        <v>0</v>
      </c>
      <c r="CR47" s="182">
        <f ca="1">-SUM(TblConstr[[#This Row],[Ly]:[Hav]])+SUM(TblConstr[[#This Row],[Dest Ly]:[Dest Hav]]) +Rezone!M47 + IF("Ch_"&amp; home_land=TblConstr[[#Headers],[Ch_Forest]],TblConstr[[#This Row],[Home Land]])+IF(TblConstr[[#This Row],[Hour]:[Hour]]&gt;12,OFFSET(TblExplore[[#This Row],[Forest Explore]],-12,0),0)</f>
        <v>0</v>
      </c>
      <c r="CS47" s="359">
        <f ca="1">-SUM(TblConstr[[#This Row],[OM]:[GN]])+SUM(TblConstr[[#This Row],[Dest OM]:[Dest GN]]) +Rezone!N47 + IF("Ch_"&amp; home_land=TblConstr[[#Headers],[Ch_Mountain]],TblConstr[[#This Row],[Home Land]])+IF(TblConstr[[#This Row],[Hour]:[Hour]]&gt;12,OFFSET(TblExplore[[#This Row],[Mountain Explore]],-12,0),0)</f>
        <v>0</v>
      </c>
      <c r="CT47" s="183">
        <f ca="1">-SUM(TblConstr[[#This Row],[Fac]:[Shr]])+SUM(TblConstr[[#This Row],[Dest Fac]:[Dest Shr]]) +Rezone!O47 + IF("Ch_" &amp; home_land=TblConstr[[#Headers],[Ch_Hill]],TblConstr[[#This Row],[Home Land]])+IF(TblConstr[[#This Row],[Hour]:[Hour]]&gt;12,OFFSET(TblExplore[[#This Row],[Hill Explore]],-12,0),0)</f>
        <v>0</v>
      </c>
      <c r="CU47" s="184">
        <f ca="1">-SUM(TblConstr[[#This Row],[Tow]:[WG]])+SUM(TblConstr[[#This Row],[Dest Tow]:[Dest WG]]) +Rezone!P47 + IF("Ch_" &amp; home_land=TblConstr[[#Headers],[Ch_Swamp]],TblConstr[[#This Row],[Home Land]])+IF(TblConstr[[#This Row],[Hour]:[Hour]]&gt;12,OFFSET(TblExplore[[#This Row],[Swamp Explore]],-12,0),0)</f>
        <v>0</v>
      </c>
      <c r="CV47" s="185">
        <f ca="1" xml:space="preserve"> - SUM(TblConstr[[#This Row],[DM]:[Sch]])+SUM(TblConstr[[#This Row],[Dest DM]:[Dest Sch]]) +Rezone!Q47 + IF("Ch_" &amp; home_land=TblConstr[[#Headers],[Ch_Cavern]],TblConstr[[#This Row],[Home Land]])+IF(TblConstr[[#This Row],[Hour]:[Hour]]&gt;12,OFFSET(TblExplore[[#This Row],[Cavern Explore]],-12,0),0)</f>
        <v>0</v>
      </c>
      <c r="CW47" s="186">
        <f ca="1">-TblConstr[[#This Row],[Doc]]+TblConstr[[#This Row],[Dest Doc]] +Rezone!R47 + IF("Ch_" &amp; home_land=TblConstr[[#Headers],[Ch_Water]],TblConstr[[#This Row],[Home Land]])+IF(TblConstr[[#This Row],[Hour]:[Hour]]&gt;12,OFFSET(TblExplore[[#This Row],[Water Explore]],-12,0),0)</f>
        <v>0</v>
      </c>
      <c r="CX47" s="45">
        <f>IF(Explore!S47=1,20) - TblConstr[[#This Row],[Hom]] + TblConstr[[#This Row],[Dest Hom]]</f>
        <v>0</v>
      </c>
      <c r="CY47" s="142"/>
      <c r="CZ47" s="94">
        <f t="shared" ca="1" si="3"/>
        <v>30</v>
      </c>
      <c r="DA47" s="94">
        <f t="shared" ca="1" si="4"/>
        <v>20</v>
      </c>
      <c r="DB47" s="45">
        <f t="shared" ca="1" si="5"/>
        <v>0</v>
      </c>
      <c r="DC47" s="94">
        <f t="shared" ca="1" si="6"/>
        <v>0</v>
      </c>
      <c r="DD47" s="94">
        <f t="shared" ca="1" si="7"/>
        <v>0</v>
      </c>
      <c r="DE47" s="45">
        <f t="shared" ca="1" si="8"/>
        <v>0</v>
      </c>
      <c r="DF47" s="94">
        <f t="shared" ca="1" si="9"/>
        <v>0</v>
      </c>
      <c r="DG47" s="94" cm="1">
        <f t="array" aca="1" ref="DG47" ca="1">INDEX(TblConstr[[Total Plain]:[Total Water]],ROW()-ROW(TblConstr[#Headers]),MATCH("Total "&amp;home_land,TblConstr[[#Headers],[Total Plain]:[Total Water]],0))+TblConstr[[#This Row],[Homes]]</f>
        <v>30</v>
      </c>
      <c r="DH47" s="45">
        <f t="shared" ca="1" si="10"/>
        <v>0</v>
      </c>
      <c r="DI47" s="45">
        <f t="shared" ca="1" si="0"/>
        <v>0</v>
      </c>
      <c r="DJ47" s="45">
        <f t="shared" ca="1" si="1"/>
        <v>0</v>
      </c>
    </row>
    <row r="48" spans="1:114" x14ac:dyDescent="0.2">
      <c r="A48" s="175">
        <f>TblRezone[[#This Row],[Hour]]</f>
        <v>45</v>
      </c>
      <c r="B48" s="176">
        <f ca="1">SUM(TblConstr[[#This Row],[Plain]:[Water]])</f>
        <v>0</v>
      </c>
      <c r="C48" s="177">
        <f ca="1">SUM(TblConstr[[#This Row],[Tot Hom]:[Tot Doc]])</f>
        <v>50</v>
      </c>
      <c r="D48" s="177">
        <f t="shared" si="11"/>
        <v>0</v>
      </c>
      <c r="E48" s="178"/>
      <c r="F48" s="61">
        <f ca="1">TblConstr[[#This Row],[Barren]]+TblConstr[[#This Row],[Buildings]]+TblConstr[[#This Row],[Incoming]]</f>
        <v>50</v>
      </c>
      <c r="G48" s="187">
        <f ca="1">OFFSET(TblConstr[[#This Row],[Plain]],-1,0)+TblConstr[[#This Row],[Ch_Plain]]</f>
        <v>0</v>
      </c>
      <c r="H48" s="182">
        <f ca="1">OFFSET(TblConstr[[#This Row],[Forest]],-1,0)+TblConstr[[#This Row],[Ch_Forest]]</f>
        <v>0</v>
      </c>
      <c r="I48" s="359">
        <f ca="1">OFFSET(TblConstr[[#This Row],[Mountain]],-1,0)+TblConstr[[#This Row],[Ch_Mountain]]</f>
        <v>0</v>
      </c>
      <c r="J48" s="363">
        <f ca="1">OFFSET(TblConstr[[#This Row],[Hill]],-1,0)+TblConstr[[#This Row],[Ch_Hill]]</f>
        <v>0</v>
      </c>
      <c r="K48" s="367">
        <f ca="1">OFFSET(TblConstr[[#This Row],[Swamp]],-1,0)+TblConstr[[#This Row],[Ch_Swamp]]</f>
        <v>0</v>
      </c>
      <c r="L48" s="185">
        <f ca="1">OFFSET(TblConstr[[#This Row],[Cavern]],-1,0)+TblConstr[[#This Row],[Ch_Cavern]]</f>
        <v>0</v>
      </c>
      <c r="M48" s="186">
        <f ca="1">OFFSET(TblConstr[[#This Row],[Water]],-1,0)+TblConstr[[#This Row],[Ch_Water]]</f>
        <v>0</v>
      </c>
      <c r="N48" s="357">
        <f>TblRezone[[#This Row],[Hour]]</f>
        <v>45</v>
      </c>
      <c r="O48" s="179"/>
      <c r="P48" s="179"/>
      <c r="Q48" s="179"/>
      <c r="R48" s="158"/>
      <c r="S48" s="179"/>
      <c r="T48" s="179"/>
      <c r="U48" s="179"/>
      <c r="V48" s="179"/>
      <c r="W48" s="179"/>
      <c r="X48" s="179"/>
      <c r="Y48" s="179"/>
      <c r="Z48" s="179"/>
      <c r="AA48" s="179"/>
      <c r="AB48" s="179"/>
      <c r="AC48" s="179"/>
      <c r="AD48" s="179"/>
      <c r="AE48" s="179"/>
      <c r="AF48" s="179"/>
      <c r="AG48" s="179"/>
      <c r="AH48" s="53">
        <f ca="1">TblImps[[#This Row],[Time]]</f>
        <v>46321.833333333227</v>
      </c>
      <c r="AI48" s="180">
        <f ca="1">MIN(25%,(TblConstr[[#This Row],[Tot Fac]]+TblConstr[[#This Row],[Dest Fac]])/(TblConstr[[#This Row],[Land]]-TblExplore[[#This Row],[Land Bonus]]*20))</f>
        <v>0</v>
      </c>
      <c r="AJ48" s="180">
        <f ca="1">MIN(25%,(TblConstr[[#This Row],[Tot Fac]]+TblConstr[[#This Row],[Dest Fac]])/TblConstr[[#This Row],[Land]])</f>
        <v>0</v>
      </c>
      <c r="AK48" s="94">
        <f ca="1">TblProd[[#This Row],[Platinum]]</f>
        <v>165315</v>
      </c>
      <c r="AL48" s="94">
        <f ca="1">TblProd[[#This Row],[Lumber]]</f>
        <v>45377</v>
      </c>
      <c r="AM4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8" s="94">
        <f ca="1">ROUNDDOWN( MAX(1 - MIN(facs_constr_factor*TblConstr[[#This Row],[Facs -DB]],facs_constr_max) + tech_1_11*TblTech[[#This Row],[11-1]] + tech_6_3_2*TblTech[[#This Row],[6-3]] + tech_5_2_3*TblTech[[#This Row],[5-2]], 1-global_constr_cap) * TblConstr[[#This Row],[RCPA Lumber]],0)</f>
        <v>31</v>
      </c>
      <c r="AO4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8" s="94">
        <f ca="1">ROUNDDOWN( MAX(1 - MIN(facs_constr_factor*TblConstr[[#This Row],[Facs DB]],facs_constr_max) + tech_1_11*TblTech[[#This Row],[1-11]] + tech_6_3_2*TblTech[[#This Row],[6-3]] + tech_5_2_3*TblTech[[#This Row],[5-2]], 1-global_constr_cap) * ROUND((TblConstr[[#This Row],[Land]]-250)*0.285 + 87.5 + 0/4.25,0),0)</f>
        <v>31</v>
      </c>
      <c r="AQ48" s="45">
        <f ca="1">TblConstr[[#This Row],[build -db]]*TblConstr[[#This Row],[CPA Platinum -DB]] + TblConstr[[#This Row],[build db]]*TblConstr[[#This Row],[CPA Platinum DB]]</f>
        <v>0</v>
      </c>
      <c r="AR48" s="45">
        <f ca="1">TblConstr[[#This Row],[build -db]]*TblConstr[[#This Row],[CPA Lumber -DB]] + TblConstr[[#This Row],[build db]]*TblConstr[[#This Row],[CPA Lumber DB]]</f>
        <v>0</v>
      </c>
      <c r="AS48" s="94">
        <f ca="1">MIN(SUM(OFFSET(TblConstr[[#This Row],[Plain]:[Water]],-1,0))+SUM(TblConstr[[#This Row],[Dest Hom]:[Dest Doc]])+IF(TblConstr[[#This Row],[Hour]]&gt;12,SUM(OFFSET(TblExplore[[#This Row],[Plains Explore]:[Water Explore]],-12,0)),0),SUM(TblConstr[[#This Row],[Hom]:[Doc]]))</f>
        <v>0</v>
      </c>
      <c r="AT4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42"/>
      <c r="AV48" s="94">
        <f ca="1">ROUND((TblConstr[[#This Row],[Land]]-250 - IF(TblExplore[[#This Row],[Land Bonus]]&lt;&gt;0,20,0))*1.25 + 850 + 0,0)</f>
        <v>600</v>
      </c>
      <c r="AW48" s="94">
        <f ca="1">ROUND((TblConstr[[#This Row],[Land]]-250 - IF(TblExplore[[#This Row],[Land Bonus]]&lt;&gt;0,20,0))*0.285 + 87.5 + 0/4.25,0)</f>
        <v>31</v>
      </c>
      <c r="AX48" s="154"/>
      <c r="AY48" s="188" cm="1">
        <f t="array" aca="1" ref="AY48" ca="1">IF(TblConstr[[#This Row],[Hour]:[Hour]]&gt;12,OFFSET(TblConstr[[#This Row],[Hom]],-12,0),0)+OFFSET(TblConstr[[#This Row],[Tot Hom]],-1,0)-TblConstr[[#This Row],[Dest Hom]]</f>
        <v>0</v>
      </c>
      <c r="AZ48" s="189" cm="1">
        <f t="array" aca="1" ref="AZ48" ca="1">IF(TblConstr[[#This Row],[Hour]:[Hour]]&gt;12,OFFSET(TblConstr[[#This Row],[Alc]],-12,0),0)+OFFSET(TblConstr[[#This Row],[Tot Alc]],-1,0)-TblConstr[[#This Row],[Dest Alc]]</f>
        <v>0</v>
      </c>
      <c r="BA48" s="189" cm="1">
        <f t="array" aca="1" ref="BA48" ca="1">IF(TblConstr[[#This Row],[Hour]:[Hour]]&gt;12,OFFSET(TblConstr[[#This Row],[Far]],-12,0),0)+OFFSET(TblConstr[[#This Row],[Tot Farm]],-1,0)-TblConstr[[#This Row],[Dest Farm]]</f>
        <v>30</v>
      </c>
      <c r="BB48" s="189" cm="1">
        <f t="array" aca="1" ref="BB48" ca="1">IF(TblConstr[[#This Row],[Hour]:[Hour]]&gt;12,OFFSET(TblConstr[[#This Row],[Smi]],-12,0),0)+OFFSET(TblConstr[[#This Row],[Tot Smi]],-1,0)-TblConstr[[#This Row],[Dest Smi]]</f>
        <v>0</v>
      </c>
      <c r="BC48" s="189" cm="1">
        <f t="array" aca="1" ref="BC48" ca="1">IF(TblConstr[[#This Row],[Hour]:[Hour]]&gt;12,OFFSET(TblConstr[[#This Row],[Mas]],-12,0),0)+OFFSET(TblConstr[[#This Row],[Tot Mas]],-1,0)-TblConstr[[#This Row],[Dest Mas]]</f>
        <v>0</v>
      </c>
      <c r="BD48" s="190" cm="1">
        <f t="array" aca="1" ref="BD48" ca="1">IF(TblConstr[[#This Row],[Hour]:[Hour]]&gt;12,OFFSET(TblConstr[[#This Row],[Ly]],-12,0),0)+OFFSET(TblConstr[[#This Row],[Tot Ly]],-1,0)-TblConstr[[#This Row],[Dest Ly]]</f>
        <v>20</v>
      </c>
      <c r="BE48" s="190" cm="1">
        <f t="array" aca="1" ref="BE48" ca="1">IF(TblConstr[[#This Row],[Hour]:[Hour]]&gt;12,OFFSET(TblConstr[[#This Row],[Hav]],-12,0),0)+OFFSET(TblConstr[[#This Row],[Tot Hav]],-1,0)-TblConstr[[#This Row],[Dest Hav]]</f>
        <v>0</v>
      </c>
      <c r="BF48" s="361" cm="1">
        <f t="array" aca="1" ref="BF48" ca="1">IF(TblConstr[[#This Row],[Hour]:[Hour]]&gt;12,OFFSET(TblConstr[[#This Row],[OM]],-12,0),0)+OFFSET(TblConstr[[#This Row],[Tot OM]],-1,0)-TblConstr[[#This Row],[Dest OM]]</f>
        <v>0</v>
      </c>
      <c r="BG48" s="361" cm="1">
        <f t="array" aca="1" ref="BG48" ca="1">IF(TblConstr[[#This Row],[Hour]:[Hour]]&gt;12,OFFSET(TblConstr[[#This Row],[GN]],-12,0),0)+OFFSET(TblConstr[[#This Row],[Tot GN]],-1,0)-TblConstr[[#This Row],[Dest GN]]</f>
        <v>0</v>
      </c>
      <c r="BH48" s="365" cm="1">
        <f t="array" aca="1" ref="BH48" ca="1">IF(TblConstr[[#This Row],[Hour]:[Hour]]&gt;12,OFFSET(TblConstr[[#This Row],[Fac]],-12,0),0)+OFFSET(TblConstr[[#This Row],[Tot Fac]],-1,0)-TblConstr[[#This Row],[Dest Fac]]</f>
        <v>0</v>
      </c>
      <c r="BI48" s="365" cm="1">
        <f t="array" aca="1" ref="BI48" ca="1">IF(TblConstr[[#This Row],[Hour]:[Hour]]&gt;12,OFFSET(TblConstr[[#This Row],[GT]],-12,0),0)+OFFSET(TblConstr[[#This Row],[Tot GT]],-1,0)-TblConstr[[#This Row],[Dest GT]]</f>
        <v>0</v>
      </c>
      <c r="BJ48" s="365" cm="1">
        <f t="array" aca="1" ref="BJ48" ca="1">IF(TblConstr[[#This Row],[Hour]:[Hour]]&gt;12,OFFSET(TblConstr[[#This Row],[Bar]],-12,0),0)+OFFSET(TblConstr[[#This Row],[Tot Bar]],-1,0)-TblConstr[[#This Row],[Dest Bar]]</f>
        <v>0</v>
      </c>
      <c r="BK48" s="365" cm="1">
        <f t="array" aca="1" ref="BK48" ca="1">IF(TblConstr[[#This Row],[Hour]:[Hour]]&gt;12,OFFSET(TblConstr[[#This Row],[Shr]],-12,0),0)+OFFSET(TblConstr[[#This Row],[Tot Shr]],-1,0)-TblConstr[[#This Row],[Dest Shr]]</f>
        <v>0</v>
      </c>
      <c r="BL48" s="369" cm="1">
        <f t="array" aca="1" ref="BL48" ca="1">IF(TblConstr[[#This Row],[Hour]:[Hour]]&gt;12,OFFSET(TblConstr[[#This Row],[Tow]],-12,0),0)+OFFSET(TblConstr[[#This Row],[Tot Tow]],-1,0)-TblConstr[[#This Row],[Dest Tow]]</f>
        <v>0</v>
      </c>
      <c r="BM48" s="369" cm="1">
        <f t="array" aca="1" ref="BM48" ca="1">IF(TblConstr[[#This Row],[Hour]:[Hour]]&gt;12,OFFSET(TblConstr[[#This Row],[Tem]],-12,0),0)+OFFSET(TblConstr[[#This Row],[Tot Tem]],-1,0)-TblConstr[[#This Row],[Dest Tem]]</f>
        <v>0</v>
      </c>
      <c r="BN48" s="369" cm="1">
        <f t="array" aca="1" ref="BN48" ca="1">IF(TblConstr[[#This Row],[Hour]:[Hour]]&gt;12,OFFSET(TblConstr[[#This Row],[WG]],-12,0),0)+OFFSET(TblConstr[[#This Row],[Tot WG]],-1,0)-TblConstr[[#This Row],[Dest WG]]</f>
        <v>0</v>
      </c>
      <c r="BO48" s="191" cm="1">
        <f t="array" aca="1" ref="BO48" ca="1">IF(TblConstr[[#This Row],[Hour]:[Hour]]&gt;12,OFFSET(TblConstr[[#This Row],[DM]],-12,0),0)+OFFSET(TblConstr[[#This Row],[Tot DM]],-1,0)-TblConstr[[#This Row],[Dest DM]]</f>
        <v>0</v>
      </c>
      <c r="BP48" s="191" cm="1">
        <f t="array" aca="1" ref="BP48" ca="1">IF(TblConstr[[#This Row],[Hour]:[Hour]]&gt;12,OFFSET(TblConstr[[#This Row],[Sch]],-12,0),0)+OFFSET(TblConstr[[#This Row],[Tot Sch]],-1,0)-TblConstr[[#This Row],[Dest Sch]]</f>
        <v>0</v>
      </c>
      <c r="BQ48" s="192" cm="1">
        <f t="array" aca="1" ref="BQ48" ca="1">IF(TblConstr[[#This Row],[Hour]:[Hour]]&gt;12,OFFSET(TblConstr[[#This Row],[Doc]],-12,0),0)+OFFSET(TblConstr[[#This Row],[Tot Doc]],-1,0)-TblConstr[[#This Row],[Dest Doc]]</f>
        <v>0</v>
      </c>
      <c r="BR48" s="142"/>
      <c r="BS48" s="154"/>
      <c r="BT48" s="94">
        <f ca="1">TblConstr[[#This Row],[Land]]</f>
        <v>50</v>
      </c>
      <c r="BU48" s="159">
        <f ca="1">TblImps[[#This Row],[Time]]</f>
        <v>46321.833333333227</v>
      </c>
      <c r="BV48" s="142"/>
      <c r="BW48" s="179"/>
      <c r="BX48" s="179"/>
      <c r="BY48" s="179"/>
      <c r="BZ48" s="179"/>
      <c r="CA48" s="179"/>
      <c r="CB48" s="179"/>
      <c r="CC48" s="179"/>
      <c r="CD48" s="179"/>
      <c r="CE48" s="179"/>
      <c r="CF48" s="179"/>
      <c r="CG48" s="179"/>
      <c r="CH48" s="179"/>
      <c r="CI48" s="179"/>
      <c r="CJ48" s="179"/>
      <c r="CK48" s="179"/>
      <c r="CL48" s="179"/>
      <c r="CM48" s="179"/>
      <c r="CN48" s="179"/>
      <c r="CO48" s="179"/>
      <c r="CP48" s="142"/>
      <c r="CQ48" s="181">
        <f ca="1">-SUM(TblConstr[[#This Row],[Alc]:[Mas]])+SUM(TblConstr[[#This Row],[Dest Alc]:[Dest Mas]])+Rezone!L48+IF("Ch_"&amp; home_land=TblConstr[[#Headers],[Ch_Plain]],TblConstr[[#This Row],[Home Land]])+IF(TblConstr[[#This Row],[Hour]:[Hour]]&gt;12,OFFSET(TblExplore[[#This Row],[Plains Explore]],-12,0),0)</f>
        <v>0</v>
      </c>
      <c r="CR48" s="182">
        <f ca="1">-SUM(TblConstr[[#This Row],[Ly]:[Hav]])+SUM(TblConstr[[#This Row],[Dest Ly]:[Dest Hav]]) +Rezone!M48 + IF("Ch_"&amp; home_land=TblConstr[[#Headers],[Ch_Forest]],TblConstr[[#This Row],[Home Land]])+IF(TblConstr[[#This Row],[Hour]:[Hour]]&gt;12,OFFSET(TblExplore[[#This Row],[Forest Explore]],-12,0),0)</f>
        <v>0</v>
      </c>
      <c r="CS48" s="359">
        <f ca="1">-SUM(TblConstr[[#This Row],[OM]:[GN]])+SUM(TblConstr[[#This Row],[Dest OM]:[Dest GN]]) +Rezone!N48 + IF("Ch_"&amp; home_land=TblConstr[[#Headers],[Ch_Mountain]],TblConstr[[#This Row],[Home Land]])+IF(TblConstr[[#This Row],[Hour]:[Hour]]&gt;12,OFFSET(TblExplore[[#This Row],[Mountain Explore]],-12,0),0)</f>
        <v>0</v>
      </c>
      <c r="CT48" s="183">
        <f ca="1">-SUM(TblConstr[[#This Row],[Fac]:[Shr]])+SUM(TblConstr[[#This Row],[Dest Fac]:[Dest Shr]]) +Rezone!O48 + IF("Ch_" &amp; home_land=TblConstr[[#Headers],[Ch_Hill]],TblConstr[[#This Row],[Home Land]])+IF(TblConstr[[#This Row],[Hour]:[Hour]]&gt;12,OFFSET(TblExplore[[#This Row],[Hill Explore]],-12,0),0)</f>
        <v>0</v>
      </c>
      <c r="CU48" s="184">
        <f ca="1">-SUM(TblConstr[[#This Row],[Tow]:[WG]])+SUM(TblConstr[[#This Row],[Dest Tow]:[Dest WG]]) +Rezone!P48 + IF("Ch_" &amp; home_land=TblConstr[[#Headers],[Ch_Swamp]],TblConstr[[#This Row],[Home Land]])+IF(TblConstr[[#This Row],[Hour]:[Hour]]&gt;12,OFFSET(TblExplore[[#This Row],[Swamp Explore]],-12,0),0)</f>
        <v>0</v>
      </c>
      <c r="CV48" s="185">
        <f ca="1" xml:space="preserve"> - SUM(TblConstr[[#This Row],[DM]:[Sch]])+SUM(TblConstr[[#This Row],[Dest DM]:[Dest Sch]]) +Rezone!Q48 + IF("Ch_" &amp; home_land=TblConstr[[#Headers],[Ch_Cavern]],TblConstr[[#This Row],[Home Land]])+IF(TblConstr[[#This Row],[Hour]:[Hour]]&gt;12,OFFSET(TblExplore[[#This Row],[Cavern Explore]],-12,0),0)</f>
        <v>0</v>
      </c>
      <c r="CW48" s="186">
        <f ca="1">-TblConstr[[#This Row],[Doc]]+TblConstr[[#This Row],[Dest Doc]] +Rezone!R48 + IF("Ch_" &amp; home_land=TblConstr[[#Headers],[Ch_Water]],TblConstr[[#This Row],[Home Land]])+IF(TblConstr[[#This Row],[Hour]:[Hour]]&gt;12,OFFSET(TblExplore[[#This Row],[Water Explore]],-12,0),0)</f>
        <v>0</v>
      </c>
      <c r="CX48" s="45">
        <f>IF(Explore!S48=1,20) - TblConstr[[#This Row],[Hom]] + TblConstr[[#This Row],[Dest Hom]]</f>
        <v>0</v>
      </c>
      <c r="CY48" s="142"/>
      <c r="CZ48" s="94">
        <f t="shared" ref="CZ48:CZ79" ca="1" si="12">G48+SUM(P37:S48)+SUM(AZ48:BC48)</f>
        <v>30</v>
      </c>
      <c r="DA48" s="94">
        <f t="shared" ref="DA48:DA79" ca="1" si="13">H48+SUM(T37:U48)+SUM(BD48:BE48)</f>
        <v>20</v>
      </c>
      <c r="DB48" s="45">
        <f t="shared" ref="DB48:DB79" ca="1" si="14">I48+SUM(V37:W48)+SUM(BF48:BG48)</f>
        <v>0</v>
      </c>
      <c r="DC48" s="94">
        <f t="shared" ref="DC48:DC79" ca="1" si="15">J48+SUM(X37:Y48)+SUM(BH48:BI48)</f>
        <v>0</v>
      </c>
      <c r="DD48" s="94">
        <f t="shared" ref="DD48:DD79" ca="1" si="16">K48+SUM(AB37:AD48)+SUM(BL48:BN48)</f>
        <v>0</v>
      </c>
      <c r="DE48" s="45">
        <f t="shared" ref="DE48:DE79" ca="1" si="17">L48+SUM(AE37:AE48)+BO48</f>
        <v>0</v>
      </c>
      <c r="DF48" s="94">
        <f t="shared" ref="DF48:DF79" ca="1" si="18">M48+SUM(AG37:AG48)+BQ48</f>
        <v>0</v>
      </c>
      <c r="DG48" s="94" cm="1">
        <f t="array" aca="1" ref="DG48" ca="1">INDEX(TblConstr[[Total Plain]:[Total Water]],ROW()-ROW(TblConstr[#Headers]),MATCH("Total "&amp;home_land,TblConstr[[#Headers],[Total Plain]:[Total Water]],0))+TblConstr[[#This Row],[Homes]]</f>
        <v>30</v>
      </c>
      <c r="DH48" s="45">
        <f t="shared" ca="1" si="10"/>
        <v>0</v>
      </c>
      <c r="DI48" s="45">
        <f t="shared" ca="1" si="0"/>
        <v>0</v>
      </c>
      <c r="DJ48" s="45">
        <f t="shared" ca="1" si="1"/>
        <v>0</v>
      </c>
    </row>
    <row r="49" spans="1:114" x14ac:dyDescent="0.2">
      <c r="A49" s="175">
        <f>TblRezone[[#This Row],[Hour]]</f>
        <v>46</v>
      </c>
      <c r="B49" s="176">
        <f ca="1">SUM(TblConstr[[#This Row],[Plain]:[Water]])</f>
        <v>0</v>
      </c>
      <c r="C49" s="177">
        <f ca="1">SUM(TblConstr[[#This Row],[Tot Hom]:[Tot Doc]])</f>
        <v>50</v>
      </c>
      <c r="D49" s="177">
        <f t="shared" si="11"/>
        <v>0</v>
      </c>
      <c r="E49" s="178"/>
      <c r="F49" s="61">
        <f ca="1">TblConstr[[#This Row],[Barren]]+TblConstr[[#This Row],[Buildings]]+TblConstr[[#This Row],[Incoming]]</f>
        <v>50</v>
      </c>
      <c r="G49" s="187">
        <f ca="1">OFFSET(TblConstr[[#This Row],[Plain]],-1,0)+TblConstr[[#This Row],[Ch_Plain]]</f>
        <v>0</v>
      </c>
      <c r="H49" s="182">
        <f ca="1">OFFSET(TblConstr[[#This Row],[Forest]],-1,0)+TblConstr[[#This Row],[Ch_Forest]]</f>
        <v>0</v>
      </c>
      <c r="I49" s="359">
        <f ca="1">OFFSET(TblConstr[[#This Row],[Mountain]],-1,0)+TblConstr[[#This Row],[Ch_Mountain]]</f>
        <v>0</v>
      </c>
      <c r="J49" s="363">
        <f ca="1">OFFSET(TblConstr[[#This Row],[Hill]],-1,0)+TblConstr[[#This Row],[Ch_Hill]]</f>
        <v>0</v>
      </c>
      <c r="K49" s="367">
        <f ca="1">OFFSET(TblConstr[[#This Row],[Swamp]],-1,0)+TblConstr[[#This Row],[Ch_Swamp]]</f>
        <v>0</v>
      </c>
      <c r="L49" s="185">
        <f ca="1">OFFSET(TblConstr[[#This Row],[Cavern]],-1,0)+TblConstr[[#This Row],[Ch_Cavern]]</f>
        <v>0</v>
      </c>
      <c r="M49" s="186">
        <f ca="1">OFFSET(TblConstr[[#This Row],[Water]],-1,0)+TblConstr[[#This Row],[Ch_Water]]</f>
        <v>0</v>
      </c>
      <c r="N49" s="357">
        <f>TblRezone[[#This Row],[Hour]]</f>
        <v>46</v>
      </c>
      <c r="O49" s="179"/>
      <c r="P49" s="179"/>
      <c r="Q49" s="179"/>
      <c r="R49" s="158"/>
      <c r="S49" s="179"/>
      <c r="T49" s="179"/>
      <c r="U49" s="179"/>
      <c r="V49" s="179"/>
      <c r="W49" s="179"/>
      <c r="X49" s="179"/>
      <c r="Y49" s="179"/>
      <c r="Z49" s="179"/>
      <c r="AA49" s="179"/>
      <c r="AB49" s="179"/>
      <c r="AC49" s="179"/>
      <c r="AD49" s="179"/>
      <c r="AE49" s="179"/>
      <c r="AF49" s="179"/>
      <c r="AG49" s="179"/>
      <c r="AH49" s="53">
        <f ca="1">TblImps[[#This Row],[Time]]</f>
        <v>46321.874999999891</v>
      </c>
      <c r="AI49" s="180">
        <f ca="1">MIN(25%,(TblConstr[[#This Row],[Tot Fac]]+TblConstr[[#This Row],[Dest Fac]])/(TblConstr[[#This Row],[Land]]-TblExplore[[#This Row],[Land Bonus]]*20))</f>
        <v>0</v>
      </c>
      <c r="AJ49" s="180">
        <f ca="1">MIN(25%,(TblConstr[[#This Row],[Tot Fac]]+TblConstr[[#This Row],[Dest Fac]])/TblConstr[[#This Row],[Land]])</f>
        <v>0</v>
      </c>
      <c r="AK49" s="94">
        <f ca="1">TblProd[[#This Row],[Platinum]]</f>
        <v>166135</v>
      </c>
      <c r="AL49" s="94">
        <f ca="1">TblProd[[#This Row],[Lumber]]</f>
        <v>45923</v>
      </c>
      <c r="AM4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9" s="94">
        <f ca="1">ROUNDDOWN( MAX(1 - MIN(facs_constr_factor*TblConstr[[#This Row],[Facs -DB]],facs_constr_max) + tech_1_11*TblTech[[#This Row],[11-1]] + tech_6_3_2*TblTech[[#This Row],[6-3]] + tech_5_2_3*TblTech[[#This Row],[5-2]], 1-global_constr_cap) * TblConstr[[#This Row],[RCPA Lumber]],0)</f>
        <v>31</v>
      </c>
      <c r="AO4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9" s="94">
        <f ca="1">ROUNDDOWN( MAX(1 - MIN(facs_constr_factor*TblConstr[[#This Row],[Facs DB]],facs_constr_max) + tech_1_11*TblTech[[#This Row],[1-11]] + tech_6_3_2*TblTech[[#This Row],[6-3]] + tech_5_2_3*TblTech[[#This Row],[5-2]], 1-global_constr_cap) * ROUND((TblConstr[[#This Row],[Land]]-250)*0.285 + 87.5 + 0/4.25,0),0)</f>
        <v>31</v>
      </c>
      <c r="AQ49" s="45">
        <f ca="1">TblConstr[[#This Row],[build -db]]*TblConstr[[#This Row],[CPA Platinum -DB]] + TblConstr[[#This Row],[build db]]*TblConstr[[#This Row],[CPA Platinum DB]]</f>
        <v>0</v>
      </c>
      <c r="AR49" s="45">
        <f ca="1">TblConstr[[#This Row],[build -db]]*TblConstr[[#This Row],[CPA Lumber -DB]] + TblConstr[[#This Row],[build db]]*TblConstr[[#This Row],[CPA Lumber DB]]</f>
        <v>0</v>
      </c>
      <c r="AS49" s="94">
        <f ca="1">MIN(SUM(OFFSET(TblConstr[[#This Row],[Plain]:[Water]],-1,0))+SUM(TblConstr[[#This Row],[Dest Hom]:[Dest Doc]])+IF(TblConstr[[#This Row],[Hour]]&gt;12,SUM(OFFSET(TblExplore[[#This Row],[Plains Explore]:[Water Explore]],-12,0)),0),SUM(TblConstr[[#This Row],[Hom]:[Doc]]))</f>
        <v>0</v>
      </c>
      <c r="AT4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42"/>
      <c r="AV49" s="94">
        <f ca="1">ROUND((TblConstr[[#This Row],[Land]]-250 - IF(TblExplore[[#This Row],[Land Bonus]]&lt;&gt;0,20,0))*1.25 + 850 + 0,0)</f>
        <v>600</v>
      </c>
      <c r="AW49" s="94">
        <f ca="1">ROUND((TblConstr[[#This Row],[Land]]-250 - IF(TblExplore[[#This Row],[Land Bonus]]&lt;&gt;0,20,0))*0.285 + 87.5 + 0/4.25,0)</f>
        <v>31</v>
      </c>
      <c r="AX49" s="154"/>
      <c r="AY49" s="188" cm="1">
        <f t="array" aca="1" ref="AY49" ca="1">IF(TblConstr[[#This Row],[Hour]:[Hour]]&gt;12,OFFSET(TblConstr[[#This Row],[Hom]],-12,0),0)+OFFSET(TblConstr[[#This Row],[Tot Hom]],-1,0)-TblConstr[[#This Row],[Dest Hom]]</f>
        <v>0</v>
      </c>
      <c r="AZ49" s="189" cm="1">
        <f t="array" aca="1" ref="AZ49" ca="1">IF(TblConstr[[#This Row],[Hour]:[Hour]]&gt;12,OFFSET(TblConstr[[#This Row],[Alc]],-12,0),0)+OFFSET(TblConstr[[#This Row],[Tot Alc]],-1,0)-TblConstr[[#This Row],[Dest Alc]]</f>
        <v>0</v>
      </c>
      <c r="BA49" s="189" cm="1">
        <f t="array" aca="1" ref="BA49" ca="1">IF(TblConstr[[#This Row],[Hour]:[Hour]]&gt;12,OFFSET(TblConstr[[#This Row],[Far]],-12,0),0)+OFFSET(TblConstr[[#This Row],[Tot Farm]],-1,0)-TblConstr[[#This Row],[Dest Farm]]</f>
        <v>30</v>
      </c>
      <c r="BB49" s="189" cm="1">
        <f t="array" aca="1" ref="BB49" ca="1">IF(TblConstr[[#This Row],[Hour]:[Hour]]&gt;12,OFFSET(TblConstr[[#This Row],[Smi]],-12,0),0)+OFFSET(TblConstr[[#This Row],[Tot Smi]],-1,0)-TblConstr[[#This Row],[Dest Smi]]</f>
        <v>0</v>
      </c>
      <c r="BC49" s="189" cm="1">
        <f t="array" aca="1" ref="BC49" ca="1">IF(TblConstr[[#This Row],[Hour]:[Hour]]&gt;12,OFFSET(TblConstr[[#This Row],[Mas]],-12,0),0)+OFFSET(TblConstr[[#This Row],[Tot Mas]],-1,0)-TblConstr[[#This Row],[Dest Mas]]</f>
        <v>0</v>
      </c>
      <c r="BD49" s="190" cm="1">
        <f t="array" aca="1" ref="BD49" ca="1">IF(TblConstr[[#This Row],[Hour]:[Hour]]&gt;12,OFFSET(TblConstr[[#This Row],[Ly]],-12,0),0)+OFFSET(TblConstr[[#This Row],[Tot Ly]],-1,0)-TblConstr[[#This Row],[Dest Ly]]</f>
        <v>20</v>
      </c>
      <c r="BE49" s="190" cm="1">
        <f t="array" aca="1" ref="BE49" ca="1">IF(TblConstr[[#This Row],[Hour]:[Hour]]&gt;12,OFFSET(TblConstr[[#This Row],[Hav]],-12,0),0)+OFFSET(TblConstr[[#This Row],[Tot Hav]],-1,0)-TblConstr[[#This Row],[Dest Hav]]</f>
        <v>0</v>
      </c>
      <c r="BF49" s="361" cm="1">
        <f t="array" aca="1" ref="BF49" ca="1">IF(TblConstr[[#This Row],[Hour]:[Hour]]&gt;12,OFFSET(TblConstr[[#This Row],[OM]],-12,0),0)+OFFSET(TblConstr[[#This Row],[Tot OM]],-1,0)-TblConstr[[#This Row],[Dest OM]]</f>
        <v>0</v>
      </c>
      <c r="BG49" s="361" cm="1">
        <f t="array" aca="1" ref="BG49" ca="1">IF(TblConstr[[#This Row],[Hour]:[Hour]]&gt;12,OFFSET(TblConstr[[#This Row],[GN]],-12,0),0)+OFFSET(TblConstr[[#This Row],[Tot GN]],-1,0)-TblConstr[[#This Row],[Dest GN]]</f>
        <v>0</v>
      </c>
      <c r="BH49" s="365" cm="1">
        <f t="array" aca="1" ref="BH49" ca="1">IF(TblConstr[[#This Row],[Hour]:[Hour]]&gt;12,OFFSET(TblConstr[[#This Row],[Fac]],-12,0),0)+OFFSET(TblConstr[[#This Row],[Tot Fac]],-1,0)-TblConstr[[#This Row],[Dest Fac]]</f>
        <v>0</v>
      </c>
      <c r="BI49" s="365" cm="1">
        <f t="array" aca="1" ref="BI49" ca="1">IF(TblConstr[[#This Row],[Hour]:[Hour]]&gt;12,OFFSET(TblConstr[[#This Row],[GT]],-12,0),0)+OFFSET(TblConstr[[#This Row],[Tot GT]],-1,0)-TblConstr[[#This Row],[Dest GT]]</f>
        <v>0</v>
      </c>
      <c r="BJ49" s="365" cm="1">
        <f t="array" aca="1" ref="BJ49" ca="1">IF(TblConstr[[#This Row],[Hour]:[Hour]]&gt;12,OFFSET(TblConstr[[#This Row],[Bar]],-12,0),0)+OFFSET(TblConstr[[#This Row],[Tot Bar]],-1,0)-TblConstr[[#This Row],[Dest Bar]]</f>
        <v>0</v>
      </c>
      <c r="BK49" s="365" cm="1">
        <f t="array" aca="1" ref="BK49" ca="1">IF(TblConstr[[#This Row],[Hour]:[Hour]]&gt;12,OFFSET(TblConstr[[#This Row],[Shr]],-12,0),0)+OFFSET(TblConstr[[#This Row],[Tot Shr]],-1,0)-TblConstr[[#This Row],[Dest Shr]]</f>
        <v>0</v>
      </c>
      <c r="BL49" s="369" cm="1">
        <f t="array" aca="1" ref="BL49" ca="1">IF(TblConstr[[#This Row],[Hour]:[Hour]]&gt;12,OFFSET(TblConstr[[#This Row],[Tow]],-12,0),0)+OFFSET(TblConstr[[#This Row],[Tot Tow]],-1,0)-TblConstr[[#This Row],[Dest Tow]]</f>
        <v>0</v>
      </c>
      <c r="BM49" s="369" cm="1">
        <f t="array" aca="1" ref="BM49" ca="1">IF(TblConstr[[#This Row],[Hour]:[Hour]]&gt;12,OFFSET(TblConstr[[#This Row],[Tem]],-12,0),0)+OFFSET(TblConstr[[#This Row],[Tot Tem]],-1,0)-TblConstr[[#This Row],[Dest Tem]]</f>
        <v>0</v>
      </c>
      <c r="BN49" s="369" cm="1">
        <f t="array" aca="1" ref="BN49" ca="1">IF(TblConstr[[#This Row],[Hour]:[Hour]]&gt;12,OFFSET(TblConstr[[#This Row],[WG]],-12,0),0)+OFFSET(TblConstr[[#This Row],[Tot WG]],-1,0)-TblConstr[[#This Row],[Dest WG]]</f>
        <v>0</v>
      </c>
      <c r="BO49" s="191" cm="1">
        <f t="array" aca="1" ref="BO49" ca="1">IF(TblConstr[[#This Row],[Hour]:[Hour]]&gt;12,OFFSET(TblConstr[[#This Row],[DM]],-12,0),0)+OFFSET(TblConstr[[#This Row],[Tot DM]],-1,0)-TblConstr[[#This Row],[Dest DM]]</f>
        <v>0</v>
      </c>
      <c r="BP49" s="191" cm="1">
        <f t="array" aca="1" ref="BP49" ca="1">IF(TblConstr[[#This Row],[Hour]:[Hour]]&gt;12,OFFSET(TblConstr[[#This Row],[Sch]],-12,0),0)+OFFSET(TblConstr[[#This Row],[Tot Sch]],-1,0)-TblConstr[[#This Row],[Dest Sch]]</f>
        <v>0</v>
      </c>
      <c r="BQ49" s="192" cm="1">
        <f t="array" aca="1" ref="BQ49" ca="1">IF(TblConstr[[#This Row],[Hour]:[Hour]]&gt;12,OFFSET(TblConstr[[#This Row],[Doc]],-12,0),0)+OFFSET(TblConstr[[#This Row],[Tot Doc]],-1,0)-TblConstr[[#This Row],[Dest Doc]]</f>
        <v>0</v>
      </c>
      <c r="BR49" s="142"/>
      <c r="BS49" s="154"/>
      <c r="BT49" s="94">
        <f ca="1">TblConstr[[#This Row],[Land]]</f>
        <v>50</v>
      </c>
      <c r="BU49" s="159">
        <f ca="1">TblImps[[#This Row],[Time]]</f>
        <v>46321.874999999891</v>
      </c>
      <c r="BV49" s="142"/>
      <c r="BW49" s="179"/>
      <c r="BX49" s="179"/>
      <c r="BY49" s="179"/>
      <c r="BZ49" s="179"/>
      <c r="CA49" s="179"/>
      <c r="CB49" s="179"/>
      <c r="CC49" s="179"/>
      <c r="CD49" s="179"/>
      <c r="CE49" s="179"/>
      <c r="CF49" s="179"/>
      <c r="CG49" s="179"/>
      <c r="CH49" s="179"/>
      <c r="CI49" s="179"/>
      <c r="CJ49" s="179"/>
      <c r="CK49" s="179"/>
      <c r="CL49" s="179"/>
      <c r="CM49" s="179"/>
      <c r="CN49" s="179"/>
      <c r="CO49" s="179"/>
      <c r="CP49" s="142"/>
      <c r="CQ49" s="181">
        <f ca="1">-SUM(TblConstr[[#This Row],[Alc]:[Mas]])+SUM(TblConstr[[#This Row],[Dest Alc]:[Dest Mas]])+Rezone!L49+IF("Ch_"&amp; home_land=TblConstr[[#Headers],[Ch_Plain]],TblConstr[[#This Row],[Home Land]])+IF(TblConstr[[#This Row],[Hour]:[Hour]]&gt;12,OFFSET(TblExplore[[#This Row],[Plains Explore]],-12,0),0)</f>
        <v>0</v>
      </c>
      <c r="CR49" s="182">
        <f ca="1">-SUM(TblConstr[[#This Row],[Ly]:[Hav]])+SUM(TblConstr[[#This Row],[Dest Ly]:[Dest Hav]]) +Rezone!M49 + IF("Ch_"&amp; home_land=TblConstr[[#Headers],[Ch_Forest]],TblConstr[[#This Row],[Home Land]])+IF(TblConstr[[#This Row],[Hour]:[Hour]]&gt;12,OFFSET(TblExplore[[#This Row],[Forest Explore]],-12,0),0)</f>
        <v>0</v>
      </c>
      <c r="CS49" s="359">
        <f ca="1">-SUM(TblConstr[[#This Row],[OM]:[GN]])+SUM(TblConstr[[#This Row],[Dest OM]:[Dest GN]]) +Rezone!N49 + IF("Ch_"&amp; home_land=TblConstr[[#Headers],[Ch_Mountain]],TblConstr[[#This Row],[Home Land]])+IF(TblConstr[[#This Row],[Hour]:[Hour]]&gt;12,OFFSET(TblExplore[[#This Row],[Mountain Explore]],-12,0),0)</f>
        <v>0</v>
      </c>
      <c r="CT49" s="183">
        <f ca="1">-SUM(TblConstr[[#This Row],[Fac]:[Shr]])+SUM(TblConstr[[#This Row],[Dest Fac]:[Dest Shr]]) +Rezone!O49 + IF("Ch_" &amp; home_land=TblConstr[[#Headers],[Ch_Hill]],TblConstr[[#This Row],[Home Land]])+IF(TblConstr[[#This Row],[Hour]:[Hour]]&gt;12,OFFSET(TblExplore[[#This Row],[Hill Explore]],-12,0),0)</f>
        <v>0</v>
      </c>
      <c r="CU49" s="184">
        <f ca="1">-SUM(TblConstr[[#This Row],[Tow]:[WG]])+SUM(TblConstr[[#This Row],[Dest Tow]:[Dest WG]]) +Rezone!P49 + IF("Ch_" &amp; home_land=TblConstr[[#Headers],[Ch_Swamp]],TblConstr[[#This Row],[Home Land]])+IF(TblConstr[[#This Row],[Hour]:[Hour]]&gt;12,OFFSET(TblExplore[[#This Row],[Swamp Explore]],-12,0),0)</f>
        <v>0</v>
      </c>
      <c r="CV49" s="185">
        <f ca="1" xml:space="preserve"> - SUM(TblConstr[[#This Row],[DM]:[Sch]])+SUM(TblConstr[[#This Row],[Dest DM]:[Dest Sch]]) +Rezone!Q49 + IF("Ch_" &amp; home_land=TblConstr[[#Headers],[Ch_Cavern]],TblConstr[[#This Row],[Home Land]])+IF(TblConstr[[#This Row],[Hour]:[Hour]]&gt;12,OFFSET(TblExplore[[#This Row],[Cavern Explore]],-12,0),0)</f>
        <v>0</v>
      </c>
      <c r="CW49" s="186">
        <f ca="1">-TblConstr[[#This Row],[Doc]]+TblConstr[[#This Row],[Dest Doc]] +Rezone!R49 + IF("Ch_" &amp; home_land=TblConstr[[#Headers],[Ch_Water]],TblConstr[[#This Row],[Home Land]])+IF(TblConstr[[#This Row],[Hour]:[Hour]]&gt;12,OFFSET(TblExplore[[#This Row],[Water Explore]],-12,0),0)</f>
        <v>0</v>
      </c>
      <c r="CX49" s="45">
        <f>IF(Explore!S49=1,20) - TblConstr[[#This Row],[Hom]] + TblConstr[[#This Row],[Dest Hom]]</f>
        <v>0</v>
      </c>
      <c r="CY49" s="142"/>
      <c r="CZ49" s="94">
        <f t="shared" ca="1" si="12"/>
        <v>30</v>
      </c>
      <c r="DA49" s="94">
        <f t="shared" ca="1" si="13"/>
        <v>20</v>
      </c>
      <c r="DB49" s="45">
        <f t="shared" ca="1" si="14"/>
        <v>0</v>
      </c>
      <c r="DC49" s="94">
        <f t="shared" ca="1" si="15"/>
        <v>0</v>
      </c>
      <c r="DD49" s="94">
        <f t="shared" ca="1" si="16"/>
        <v>0</v>
      </c>
      <c r="DE49" s="45">
        <f t="shared" ca="1" si="17"/>
        <v>0</v>
      </c>
      <c r="DF49" s="94">
        <f t="shared" ca="1" si="18"/>
        <v>0</v>
      </c>
      <c r="DG49" s="94" cm="1">
        <f t="array" aca="1" ref="DG49" ca="1">INDEX(TblConstr[[Total Plain]:[Total Water]],ROW()-ROW(TblConstr[#Headers]),MATCH("Total "&amp;home_land,TblConstr[[#Headers],[Total Plain]:[Total Water]],0))+TblConstr[[#This Row],[Homes]]</f>
        <v>30</v>
      </c>
      <c r="DH49" s="45">
        <f t="shared" ca="1" si="10"/>
        <v>0</v>
      </c>
      <c r="DI49" s="45">
        <f t="shared" ca="1" si="0"/>
        <v>0</v>
      </c>
      <c r="DJ49" s="45">
        <f t="shared" ca="1" si="1"/>
        <v>0</v>
      </c>
    </row>
    <row r="50" spans="1:114" x14ac:dyDescent="0.2">
      <c r="A50" s="175">
        <f>TblRezone[[#This Row],[Hour]]</f>
        <v>47</v>
      </c>
      <c r="B50" s="176">
        <f ca="1">SUM(TblConstr[[#This Row],[Plain]:[Water]])</f>
        <v>0</v>
      </c>
      <c r="C50" s="177">
        <f ca="1">SUM(TblConstr[[#This Row],[Tot Hom]:[Tot Doc]])</f>
        <v>50</v>
      </c>
      <c r="D50" s="177">
        <f t="shared" si="11"/>
        <v>0</v>
      </c>
      <c r="E50" s="178"/>
      <c r="F50" s="61">
        <f ca="1">TblConstr[[#This Row],[Barren]]+TblConstr[[#This Row],[Buildings]]+TblConstr[[#This Row],[Incoming]]</f>
        <v>50</v>
      </c>
      <c r="G50" s="187">
        <f ca="1">OFFSET(TblConstr[[#This Row],[Plain]],-1,0)+TblConstr[[#This Row],[Ch_Plain]]</f>
        <v>0</v>
      </c>
      <c r="H50" s="182">
        <f ca="1">OFFSET(TblConstr[[#This Row],[Forest]],-1,0)+TblConstr[[#This Row],[Ch_Forest]]</f>
        <v>0</v>
      </c>
      <c r="I50" s="359">
        <f ca="1">OFFSET(TblConstr[[#This Row],[Mountain]],-1,0)+TblConstr[[#This Row],[Ch_Mountain]]</f>
        <v>0</v>
      </c>
      <c r="J50" s="363">
        <f ca="1">OFFSET(TblConstr[[#This Row],[Hill]],-1,0)+TblConstr[[#This Row],[Ch_Hill]]</f>
        <v>0</v>
      </c>
      <c r="K50" s="367">
        <f ca="1">OFFSET(TblConstr[[#This Row],[Swamp]],-1,0)+TblConstr[[#This Row],[Ch_Swamp]]</f>
        <v>0</v>
      </c>
      <c r="L50" s="185">
        <f ca="1">OFFSET(TblConstr[[#This Row],[Cavern]],-1,0)+TblConstr[[#This Row],[Ch_Cavern]]</f>
        <v>0</v>
      </c>
      <c r="M50" s="186">
        <f ca="1">OFFSET(TblConstr[[#This Row],[Water]],-1,0)+TblConstr[[#This Row],[Ch_Water]]</f>
        <v>0</v>
      </c>
      <c r="N50" s="357">
        <f>TblRezone[[#This Row],[Hour]]</f>
        <v>47</v>
      </c>
      <c r="O50" s="179"/>
      <c r="P50" s="179"/>
      <c r="Q50" s="179"/>
      <c r="R50" s="158"/>
      <c r="S50" s="179"/>
      <c r="T50" s="179"/>
      <c r="U50" s="179"/>
      <c r="V50" s="179"/>
      <c r="W50" s="179"/>
      <c r="X50" s="179"/>
      <c r="Y50" s="179"/>
      <c r="Z50" s="179"/>
      <c r="AA50" s="179"/>
      <c r="AB50" s="179"/>
      <c r="AC50" s="179"/>
      <c r="AD50" s="179"/>
      <c r="AE50" s="179"/>
      <c r="AF50" s="179"/>
      <c r="AG50" s="179"/>
      <c r="AH50" s="53">
        <f ca="1">TblImps[[#This Row],[Time]]</f>
        <v>46321.916666666555</v>
      </c>
      <c r="AI50" s="180">
        <f ca="1">MIN(25%,(TblConstr[[#This Row],[Tot Fac]]+TblConstr[[#This Row],[Dest Fac]])/(TblConstr[[#This Row],[Land]]-TblExplore[[#This Row],[Land Bonus]]*20))</f>
        <v>0</v>
      </c>
      <c r="AJ50" s="180">
        <f ca="1">MIN(25%,(TblConstr[[#This Row],[Tot Fac]]+TblConstr[[#This Row],[Dest Fac]])/TblConstr[[#This Row],[Land]])</f>
        <v>0</v>
      </c>
      <c r="AK50" s="94">
        <f ca="1">TblProd[[#This Row],[Platinum]]</f>
        <v>166947</v>
      </c>
      <c r="AL50" s="94">
        <f ca="1">TblProd[[#This Row],[Lumber]]</f>
        <v>46464</v>
      </c>
      <c r="AM5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0" s="94">
        <f ca="1">ROUNDDOWN( MAX(1 - MIN(facs_constr_factor*TblConstr[[#This Row],[Facs -DB]],facs_constr_max) + tech_1_11*TblTech[[#This Row],[11-1]] + tech_6_3_2*TblTech[[#This Row],[6-3]] + tech_5_2_3*TblTech[[#This Row],[5-2]], 1-global_constr_cap) * TblConstr[[#This Row],[RCPA Lumber]],0)</f>
        <v>31</v>
      </c>
      <c r="AO5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0" s="94">
        <f ca="1">ROUNDDOWN( MAX(1 - MIN(facs_constr_factor*TblConstr[[#This Row],[Facs DB]],facs_constr_max) + tech_1_11*TblTech[[#This Row],[1-11]] + tech_6_3_2*TblTech[[#This Row],[6-3]] + tech_5_2_3*TblTech[[#This Row],[5-2]], 1-global_constr_cap) * ROUND((TblConstr[[#This Row],[Land]]-250)*0.285 + 87.5 + 0/4.25,0),0)</f>
        <v>31</v>
      </c>
      <c r="AQ50" s="45">
        <f ca="1">TblConstr[[#This Row],[build -db]]*TblConstr[[#This Row],[CPA Platinum -DB]] + TblConstr[[#This Row],[build db]]*TblConstr[[#This Row],[CPA Platinum DB]]</f>
        <v>0</v>
      </c>
      <c r="AR50" s="45">
        <f ca="1">TblConstr[[#This Row],[build -db]]*TblConstr[[#This Row],[CPA Lumber -DB]] + TblConstr[[#This Row],[build db]]*TblConstr[[#This Row],[CPA Lumber DB]]</f>
        <v>0</v>
      </c>
      <c r="AS50" s="94">
        <f ca="1">MIN(SUM(OFFSET(TblConstr[[#This Row],[Plain]:[Water]],-1,0))+SUM(TblConstr[[#This Row],[Dest Hom]:[Dest Doc]])+IF(TblConstr[[#This Row],[Hour]]&gt;12,SUM(OFFSET(TblExplore[[#This Row],[Plains Explore]:[Water Explore]],-12,0)),0),SUM(TblConstr[[#This Row],[Hom]:[Doc]]))</f>
        <v>0</v>
      </c>
      <c r="AT5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42"/>
      <c r="AV50" s="94">
        <f ca="1">ROUND((TblConstr[[#This Row],[Land]]-250 - IF(TblExplore[[#This Row],[Land Bonus]]&lt;&gt;0,20,0))*1.25 + 850 + 0,0)</f>
        <v>600</v>
      </c>
      <c r="AW50" s="94">
        <f ca="1">ROUND((TblConstr[[#This Row],[Land]]-250 - IF(TblExplore[[#This Row],[Land Bonus]]&lt;&gt;0,20,0))*0.285 + 87.5 + 0/4.25,0)</f>
        <v>31</v>
      </c>
      <c r="AX50" s="154"/>
      <c r="AY50" s="188" cm="1">
        <f t="array" aca="1" ref="AY50" ca="1">IF(TblConstr[[#This Row],[Hour]:[Hour]]&gt;12,OFFSET(TblConstr[[#This Row],[Hom]],-12,0),0)+OFFSET(TblConstr[[#This Row],[Tot Hom]],-1,0)-TblConstr[[#This Row],[Dest Hom]]</f>
        <v>0</v>
      </c>
      <c r="AZ50" s="189" cm="1">
        <f t="array" aca="1" ref="AZ50" ca="1">IF(TblConstr[[#This Row],[Hour]:[Hour]]&gt;12,OFFSET(TblConstr[[#This Row],[Alc]],-12,0),0)+OFFSET(TblConstr[[#This Row],[Tot Alc]],-1,0)-TblConstr[[#This Row],[Dest Alc]]</f>
        <v>0</v>
      </c>
      <c r="BA50" s="189" cm="1">
        <f t="array" aca="1" ref="BA50" ca="1">IF(TblConstr[[#This Row],[Hour]:[Hour]]&gt;12,OFFSET(TblConstr[[#This Row],[Far]],-12,0),0)+OFFSET(TblConstr[[#This Row],[Tot Farm]],-1,0)-TblConstr[[#This Row],[Dest Farm]]</f>
        <v>30</v>
      </c>
      <c r="BB50" s="189" cm="1">
        <f t="array" aca="1" ref="BB50" ca="1">IF(TblConstr[[#This Row],[Hour]:[Hour]]&gt;12,OFFSET(TblConstr[[#This Row],[Smi]],-12,0),0)+OFFSET(TblConstr[[#This Row],[Tot Smi]],-1,0)-TblConstr[[#This Row],[Dest Smi]]</f>
        <v>0</v>
      </c>
      <c r="BC50" s="189" cm="1">
        <f t="array" aca="1" ref="BC50" ca="1">IF(TblConstr[[#This Row],[Hour]:[Hour]]&gt;12,OFFSET(TblConstr[[#This Row],[Mas]],-12,0),0)+OFFSET(TblConstr[[#This Row],[Tot Mas]],-1,0)-TblConstr[[#This Row],[Dest Mas]]</f>
        <v>0</v>
      </c>
      <c r="BD50" s="190" cm="1">
        <f t="array" aca="1" ref="BD50" ca="1">IF(TblConstr[[#This Row],[Hour]:[Hour]]&gt;12,OFFSET(TblConstr[[#This Row],[Ly]],-12,0),0)+OFFSET(TblConstr[[#This Row],[Tot Ly]],-1,0)-TblConstr[[#This Row],[Dest Ly]]</f>
        <v>20</v>
      </c>
      <c r="BE50" s="190" cm="1">
        <f t="array" aca="1" ref="BE50" ca="1">IF(TblConstr[[#This Row],[Hour]:[Hour]]&gt;12,OFFSET(TblConstr[[#This Row],[Hav]],-12,0),0)+OFFSET(TblConstr[[#This Row],[Tot Hav]],-1,0)-TblConstr[[#This Row],[Dest Hav]]</f>
        <v>0</v>
      </c>
      <c r="BF50" s="361" cm="1">
        <f t="array" aca="1" ref="BF50" ca="1">IF(TblConstr[[#This Row],[Hour]:[Hour]]&gt;12,OFFSET(TblConstr[[#This Row],[OM]],-12,0),0)+OFFSET(TblConstr[[#This Row],[Tot OM]],-1,0)-TblConstr[[#This Row],[Dest OM]]</f>
        <v>0</v>
      </c>
      <c r="BG50" s="361" cm="1">
        <f t="array" aca="1" ref="BG50" ca="1">IF(TblConstr[[#This Row],[Hour]:[Hour]]&gt;12,OFFSET(TblConstr[[#This Row],[GN]],-12,0),0)+OFFSET(TblConstr[[#This Row],[Tot GN]],-1,0)-TblConstr[[#This Row],[Dest GN]]</f>
        <v>0</v>
      </c>
      <c r="BH50" s="365" cm="1">
        <f t="array" aca="1" ref="BH50" ca="1">IF(TblConstr[[#This Row],[Hour]:[Hour]]&gt;12,OFFSET(TblConstr[[#This Row],[Fac]],-12,0),0)+OFFSET(TblConstr[[#This Row],[Tot Fac]],-1,0)-TblConstr[[#This Row],[Dest Fac]]</f>
        <v>0</v>
      </c>
      <c r="BI50" s="365" cm="1">
        <f t="array" aca="1" ref="BI50" ca="1">IF(TblConstr[[#This Row],[Hour]:[Hour]]&gt;12,OFFSET(TblConstr[[#This Row],[GT]],-12,0),0)+OFFSET(TblConstr[[#This Row],[Tot GT]],-1,0)-TblConstr[[#This Row],[Dest GT]]</f>
        <v>0</v>
      </c>
      <c r="BJ50" s="365" cm="1">
        <f t="array" aca="1" ref="BJ50" ca="1">IF(TblConstr[[#This Row],[Hour]:[Hour]]&gt;12,OFFSET(TblConstr[[#This Row],[Bar]],-12,0),0)+OFFSET(TblConstr[[#This Row],[Tot Bar]],-1,0)-TblConstr[[#This Row],[Dest Bar]]</f>
        <v>0</v>
      </c>
      <c r="BK50" s="365" cm="1">
        <f t="array" aca="1" ref="BK50" ca="1">IF(TblConstr[[#This Row],[Hour]:[Hour]]&gt;12,OFFSET(TblConstr[[#This Row],[Shr]],-12,0),0)+OFFSET(TblConstr[[#This Row],[Tot Shr]],-1,0)-TblConstr[[#This Row],[Dest Shr]]</f>
        <v>0</v>
      </c>
      <c r="BL50" s="369" cm="1">
        <f t="array" aca="1" ref="BL50" ca="1">IF(TblConstr[[#This Row],[Hour]:[Hour]]&gt;12,OFFSET(TblConstr[[#This Row],[Tow]],-12,0),0)+OFFSET(TblConstr[[#This Row],[Tot Tow]],-1,0)-TblConstr[[#This Row],[Dest Tow]]</f>
        <v>0</v>
      </c>
      <c r="BM50" s="369" cm="1">
        <f t="array" aca="1" ref="BM50" ca="1">IF(TblConstr[[#This Row],[Hour]:[Hour]]&gt;12,OFFSET(TblConstr[[#This Row],[Tem]],-12,0),0)+OFFSET(TblConstr[[#This Row],[Tot Tem]],-1,0)-TblConstr[[#This Row],[Dest Tem]]</f>
        <v>0</v>
      </c>
      <c r="BN50" s="369" cm="1">
        <f t="array" aca="1" ref="BN50" ca="1">IF(TblConstr[[#This Row],[Hour]:[Hour]]&gt;12,OFFSET(TblConstr[[#This Row],[WG]],-12,0),0)+OFFSET(TblConstr[[#This Row],[Tot WG]],-1,0)-TblConstr[[#This Row],[Dest WG]]</f>
        <v>0</v>
      </c>
      <c r="BO50" s="191" cm="1">
        <f t="array" aca="1" ref="BO50" ca="1">IF(TblConstr[[#This Row],[Hour]:[Hour]]&gt;12,OFFSET(TblConstr[[#This Row],[DM]],-12,0),0)+OFFSET(TblConstr[[#This Row],[Tot DM]],-1,0)-TblConstr[[#This Row],[Dest DM]]</f>
        <v>0</v>
      </c>
      <c r="BP50" s="191" cm="1">
        <f t="array" aca="1" ref="BP50" ca="1">IF(TblConstr[[#This Row],[Hour]:[Hour]]&gt;12,OFFSET(TblConstr[[#This Row],[Sch]],-12,0),0)+OFFSET(TblConstr[[#This Row],[Tot Sch]],-1,0)-TblConstr[[#This Row],[Dest Sch]]</f>
        <v>0</v>
      </c>
      <c r="BQ50" s="192" cm="1">
        <f t="array" aca="1" ref="BQ50" ca="1">IF(TblConstr[[#This Row],[Hour]:[Hour]]&gt;12,OFFSET(TblConstr[[#This Row],[Doc]],-12,0),0)+OFFSET(TblConstr[[#This Row],[Tot Doc]],-1,0)-TblConstr[[#This Row],[Dest Doc]]</f>
        <v>0</v>
      </c>
      <c r="BR50" s="142"/>
      <c r="BS50" s="154"/>
      <c r="BT50" s="94">
        <f ca="1">TblConstr[[#This Row],[Land]]</f>
        <v>50</v>
      </c>
      <c r="BU50" s="159">
        <f ca="1">TblImps[[#This Row],[Time]]</f>
        <v>46321.916666666555</v>
      </c>
      <c r="BV50" s="142"/>
      <c r="BW50" s="179"/>
      <c r="BX50" s="179"/>
      <c r="BY50" s="179"/>
      <c r="BZ50" s="179"/>
      <c r="CA50" s="179"/>
      <c r="CB50" s="179"/>
      <c r="CC50" s="179"/>
      <c r="CD50" s="179"/>
      <c r="CE50" s="179"/>
      <c r="CF50" s="179"/>
      <c r="CG50" s="179"/>
      <c r="CH50" s="179"/>
      <c r="CI50" s="179"/>
      <c r="CJ50" s="179"/>
      <c r="CK50" s="179"/>
      <c r="CL50" s="179"/>
      <c r="CM50" s="179"/>
      <c r="CN50" s="179"/>
      <c r="CO50" s="179"/>
      <c r="CP50" s="142"/>
      <c r="CQ50" s="181">
        <f ca="1">-SUM(TblConstr[[#This Row],[Alc]:[Mas]])+SUM(TblConstr[[#This Row],[Dest Alc]:[Dest Mas]])+Rezone!L50+IF("Ch_"&amp; home_land=TblConstr[[#Headers],[Ch_Plain]],TblConstr[[#This Row],[Home Land]])+IF(TblConstr[[#This Row],[Hour]:[Hour]]&gt;12,OFFSET(TblExplore[[#This Row],[Plains Explore]],-12,0),0)</f>
        <v>0</v>
      </c>
      <c r="CR50" s="182">
        <f ca="1">-SUM(TblConstr[[#This Row],[Ly]:[Hav]])+SUM(TblConstr[[#This Row],[Dest Ly]:[Dest Hav]]) +Rezone!M50 + IF("Ch_"&amp; home_land=TblConstr[[#Headers],[Ch_Forest]],TblConstr[[#This Row],[Home Land]])+IF(TblConstr[[#This Row],[Hour]:[Hour]]&gt;12,OFFSET(TblExplore[[#This Row],[Forest Explore]],-12,0),0)</f>
        <v>0</v>
      </c>
      <c r="CS50" s="359">
        <f ca="1">-SUM(TblConstr[[#This Row],[OM]:[GN]])+SUM(TblConstr[[#This Row],[Dest OM]:[Dest GN]]) +Rezone!N50 + IF("Ch_"&amp; home_land=TblConstr[[#Headers],[Ch_Mountain]],TblConstr[[#This Row],[Home Land]])+IF(TblConstr[[#This Row],[Hour]:[Hour]]&gt;12,OFFSET(TblExplore[[#This Row],[Mountain Explore]],-12,0),0)</f>
        <v>0</v>
      </c>
      <c r="CT50" s="183">
        <f ca="1">-SUM(TblConstr[[#This Row],[Fac]:[Shr]])+SUM(TblConstr[[#This Row],[Dest Fac]:[Dest Shr]]) +Rezone!O50 + IF("Ch_" &amp; home_land=TblConstr[[#Headers],[Ch_Hill]],TblConstr[[#This Row],[Home Land]])+IF(TblConstr[[#This Row],[Hour]:[Hour]]&gt;12,OFFSET(TblExplore[[#This Row],[Hill Explore]],-12,0),0)</f>
        <v>0</v>
      </c>
      <c r="CU50" s="184">
        <f ca="1">-SUM(TblConstr[[#This Row],[Tow]:[WG]])+SUM(TblConstr[[#This Row],[Dest Tow]:[Dest WG]]) +Rezone!P50 + IF("Ch_" &amp; home_land=TblConstr[[#Headers],[Ch_Swamp]],TblConstr[[#This Row],[Home Land]])+IF(TblConstr[[#This Row],[Hour]:[Hour]]&gt;12,OFFSET(TblExplore[[#This Row],[Swamp Explore]],-12,0),0)</f>
        <v>0</v>
      </c>
      <c r="CV50" s="185">
        <f ca="1" xml:space="preserve"> - SUM(TblConstr[[#This Row],[DM]:[Sch]])+SUM(TblConstr[[#This Row],[Dest DM]:[Dest Sch]]) +Rezone!Q50 + IF("Ch_" &amp; home_land=TblConstr[[#Headers],[Ch_Cavern]],TblConstr[[#This Row],[Home Land]])+IF(TblConstr[[#This Row],[Hour]:[Hour]]&gt;12,OFFSET(TblExplore[[#This Row],[Cavern Explore]],-12,0),0)</f>
        <v>0</v>
      </c>
      <c r="CW50" s="186">
        <f ca="1">-TblConstr[[#This Row],[Doc]]+TblConstr[[#This Row],[Dest Doc]] +Rezone!R50 + IF("Ch_" &amp; home_land=TblConstr[[#Headers],[Ch_Water]],TblConstr[[#This Row],[Home Land]])+IF(TblConstr[[#This Row],[Hour]:[Hour]]&gt;12,OFFSET(TblExplore[[#This Row],[Water Explore]],-12,0),0)</f>
        <v>0</v>
      </c>
      <c r="CX50" s="45">
        <f>IF(Explore!S50=1,20) - TblConstr[[#This Row],[Hom]] + TblConstr[[#This Row],[Dest Hom]]</f>
        <v>0</v>
      </c>
      <c r="CY50" s="142"/>
      <c r="CZ50" s="94">
        <f t="shared" ca="1" si="12"/>
        <v>30</v>
      </c>
      <c r="DA50" s="94">
        <f t="shared" ca="1" si="13"/>
        <v>20</v>
      </c>
      <c r="DB50" s="45">
        <f t="shared" ca="1" si="14"/>
        <v>0</v>
      </c>
      <c r="DC50" s="94">
        <f t="shared" ca="1" si="15"/>
        <v>0</v>
      </c>
      <c r="DD50" s="94">
        <f t="shared" ca="1" si="16"/>
        <v>0</v>
      </c>
      <c r="DE50" s="45">
        <f t="shared" ca="1" si="17"/>
        <v>0</v>
      </c>
      <c r="DF50" s="94">
        <f t="shared" ca="1" si="18"/>
        <v>0</v>
      </c>
      <c r="DG50" s="94" cm="1">
        <f t="array" aca="1" ref="DG50" ca="1">INDEX(TblConstr[[Total Plain]:[Total Water]],ROW()-ROW(TblConstr[#Headers]),MATCH("Total "&amp;home_land,TblConstr[[#Headers],[Total Plain]:[Total Water]],0))+TblConstr[[#This Row],[Homes]]</f>
        <v>30</v>
      </c>
      <c r="DH50" s="45">
        <f t="shared" ca="1" si="10"/>
        <v>0</v>
      </c>
      <c r="DI50" s="45">
        <f t="shared" ca="1" si="0"/>
        <v>0</v>
      </c>
      <c r="DJ50" s="45">
        <f t="shared" ca="1" si="1"/>
        <v>0</v>
      </c>
    </row>
    <row r="51" spans="1:114" x14ac:dyDescent="0.2">
      <c r="A51" s="175">
        <f>TblRezone[[#This Row],[Hour]]</f>
        <v>48</v>
      </c>
      <c r="B51" s="176">
        <f ca="1">SUM(TblConstr[[#This Row],[Plain]:[Water]])</f>
        <v>0</v>
      </c>
      <c r="C51" s="177">
        <f ca="1">SUM(TblConstr[[#This Row],[Tot Hom]:[Tot Doc]])</f>
        <v>50</v>
      </c>
      <c r="D51" s="177">
        <f t="shared" si="11"/>
        <v>0</v>
      </c>
      <c r="E51" s="178"/>
      <c r="F51" s="61">
        <f ca="1">TblConstr[[#This Row],[Barren]]+TblConstr[[#This Row],[Buildings]]+TblConstr[[#This Row],[Incoming]]</f>
        <v>50</v>
      </c>
      <c r="G51" s="187">
        <f ca="1">OFFSET(TblConstr[[#This Row],[Plain]],-1,0)+TblConstr[[#This Row],[Ch_Plain]]</f>
        <v>0</v>
      </c>
      <c r="H51" s="182">
        <f ca="1">OFFSET(TblConstr[[#This Row],[Forest]],-1,0)+TblConstr[[#This Row],[Ch_Forest]]</f>
        <v>0</v>
      </c>
      <c r="I51" s="359">
        <f ca="1">OFFSET(TblConstr[[#This Row],[Mountain]],-1,0)+TblConstr[[#This Row],[Ch_Mountain]]</f>
        <v>0</v>
      </c>
      <c r="J51" s="363">
        <f ca="1">OFFSET(TblConstr[[#This Row],[Hill]],-1,0)+TblConstr[[#This Row],[Ch_Hill]]</f>
        <v>0</v>
      </c>
      <c r="K51" s="367">
        <f ca="1">OFFSET(TblConstr[[#This Row],[Swamp]],-1,0)+TblConstr[[#This Row],[Ch_Swamp]]</f>
        <v>0</v>
      </c>
      <c r="L51" s="185">
        <f ca="1">OFFSET(TblConstr[[#This Row],[Cavern]],-1,0)+TblConstr[[#This Row],[Ch_Cavern]]</f>
        <v>0</v>
      </c>
      <c r="M51" s="186">
        <f ca="1">OFFSET(TblConstr[[#This Row],[Water]],-1,0)+TblConstr[[#This Row],[Ch_Water]]</f>
        <v>0</v>
      </c>
      <c r="N51" s="357">
        <f>TblRezone[[#This Row],[Hour]]</f>
        <v>48</v>
      </c>
      <c r="O51" s="179"/>
      <c r="P51" s="179"/>
      <c r="Q51" s="179"/>
      <c r="R51" s="158"/>
      <c r="S51" s="179"/>
      <c r="T51" s="179"/>
      <c r="U51" s="179"/>
      <c r="V51" s="179"/>
      <c r="W51" s="179"/>
      <c r="X51" s="179"/>
      <c r="Y51" s="179"/>
      <c r="Z51" s="179"/>
      <c r="AA51" s="179"/>
      <c r="AB51" s="179"/>
      <c r="AC51" s="179"/>
      <c r="AD51" s="179"/>
      <c r="AE51" s="179"/>
      <c r="AF51" s="179"/>
      <c r="AG51" s="179"/>
      <c r="AH51" s="53">
        <f ca="1">TblImps[[#This Row],[Time]]</f>
        <v>46321.958333333219</v>
      </c>
      <c r="AI51" s="180">
        <f ca="1">MIN(25%,(TblConstr[[#This Row],[Tot Fac]]+TblConstr[[#This Row],[Dest Fac]])/(TblConstr[[#This Row],[Land]]-TblExplore[[#This Row],[Land Bonus]]*20))</f>
        <v>0</v>
      </c>
      <c r="AJ51" s="180">
        <f ca="1">MIN(25%,(TblConstr[[#This Row],[Tot Fac]]+TblConstr[[#This Row],[Dest Fac]])/TblConstr[[#This Row],[Land]])</f>
        <v>0</v>
      </c>
      <c r="AK51" s="94">
        <f ca="1">TblProd[[#This Row],[Platinum]]</f>
        <v>167751</v>
      </c>
      <c r="AL51" s="94">
        <f ca="1">TblProd[[#This Row],[Lumber]]</f>
        <v>46999</v>
      </c>
      <c r="AM5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1" s="94">
        <f ca="1">ROUNDDOWN( MAX(1 - MIN(facs_constr_factor*TblConstr[[#This Row],[Facs -DB]],facs_constr_max) + tech_1_11*TblTech[[#This Row],[11-1]] + tech_6_3_2*TblTech[[#This Row],[6-3]] + tech_5_2_3*TblTech[[#This Row],[5-2]], 1-global_constr_cap) * TblConstr[[#This Row],[RCPA Lumber]],0)</f>
        <v>31</v>
      </c>
      <c r="AO5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1" s="94">
        <f ca="1">ROUNDDOWN( MAX(1 - MIN(facs_constr_factor*TblConstr[[#This Row],[Facs DB]],facs_constr_max) + tech_1_11*TblTech[[#This Row],[1-11]] + tech_6_3_2*TblTech[[#This Row],[6-3]] + tech_5_2_3*TblTech[[#This Row],[5-2]], 1-global_constr_cap) * ROUND((TblConstr[[#This Row],[Land]]-250)*0.285 + 87.5 + 0/4.25,0),0)</f>
        <v>31</v>
      </c>
      <c r="AQ51" s="45">
        <f ca="1">TblConstr[[#This Row],[build -db]]*TblConstr[[#This Row],[CPA Platinum -DB]] + TblConstr[[#This Row],[build db]]*TblConstr[[#This Row],[CPA Platinum DB]]</f>
        <v>0</v>
      </c>
      <c r="AR51" s="45">
        <f ca="1">TblConstr[[#This Row],[build -db]]*TblConstr[[#This Row],[CPA Lumber -DB]] + TblConstr[[#This Row],[build db]]*TblConstr[[#This Row],[CPA Lumber DB]]</f>
        <v>0</v>
      </c>
      <c r="AS51" s="94">
        <f ca="1">MIN(SUM(OFFSET(TblConstr[[#This Row],[Plain]:[Water]],-1,0))+SUM(TblConstr[[#This Row],[Dest Hom]:[Dest Doc]])+IF(TblConstr[[#This Row],[Hour]]&gt;12,SUM(OFFSET(TblExplore[[#This Row],[Plains Explore]:[Water Explore]],-12,0)),0),SUM(TblConstr[[#This Row],[Hom]:[Doc]]))</f>
        <v>0</v>
      </c>
      <c r="AT5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42"/>
      <c r="AV51" s="94">
        <f ca="1">ROUND((TblConstr[[#This Row],[Land]]-250 - IF(TblExplore[[#This Row],[Land Bonus]]&lt;&gt;0,20,0))*1.25 + 850 + 0,0)</f>
        <v>600</v>
      </c>
      <c r="AW51" s="94">
        <f ca="1">ROUND((TblConstr[[#This Row],[Land]]-250 - IF(TblExplore[[#This Row],[Land Bonus]]&lt;&gt;0,20,0))*0.285 + 87.5 + 0/4.25,0)</f>
        <v>31</v>
      </c>
      <c r="AX51" s="154"/>
      <c r="AY51" s="188" cm="1">
        <f t="array" aca="1" ref="AY51" ca="1">IF(TblConstr[[#This Row],[Hour]:[Hour]]&gt;12,OFFSET(TblConstr[[#This Row],[Hom]],-12,0),0)+OFFSET(TblConstr[[#This Row],[Tot Hom]],-1,0)-TblConstr[[#This Row],[Dest Hom]]</f>
        <v>0</v>
      </c>
      <c r="AZ51" s="189" cm="1">
        <f t="array" aca="1" ref="AZ51" ca="1">IF(TblConstr[[#This Row],[Hour]:[Hour]]&gt;12,OFFSET(TblConstr[[#This Row],[Alc]],-12,0),0)+OFFSET(TblConstr[[#This Row],[Tot Alc]],-1,0)-TblConstr[[#This Row],[Dest Alc]]</f>
        <v>0</v>
      </c>
      <c r="BA51" s="189" cm="1">
        <f t="array" aca="1" ref="BA51" ca="1">IF(TblConstr[[#This Row],[Hour]:[Hour]]&gt;12,OFFSET(TblConstr[[#This Row],[Far]],-12,0),0)+OFFSET(TblConstr[[#This Row],[Tot Farm]],-1,0)-TblConstr[[#This Row],[Dest Farm]]</f>
        <v>30</v>
      </c>
      <c r="BB51" s="189" cm="1">
        <f t="array" aca="1" ref="BB51" ca="1">IF(TblConstr[[#This Row],[Hour]:[Hour]]&gt;12,OFFSET(TblConstr[[#This Row],[Smi]],-12,0),0)+OFFSET(TblConstr[[#This Row],[Tot Smi]],-1,0)-TblConstr[[#This Row],[Dest Smi]]</f>
        <v>0</v>
      </c>
      <c r="BC51" s="189" cm="1">
        <f t="array" aca="1" ref="BC51" ca="1">IF(TblConstr[[#This Row],[Hour]:[Hour]]&gt;12,OFFSET(TblConstr[[#This Row],[Mas]],-12,0),0)+OFFSET(TblConstr[[#This Row],[Tot Mas]],-1,0)-TblConstr[[#This Row],[Dest Mas]]</f>
        <v>0</v>
      </c>
      <c r="BD51" s="190" cm="1">
        <f t="array" aca="1" ref="BD51" ca="1">IF(TblConstr[[#This Row],[Hour]:[Hour]]&gt;12,OFFSET(TblConstr[[#This Row],[Ly]],-12,0),0)+OFFSET(TblConstr[[#This Row],[Tot Ly]],-1,0)-TblConstr[[#This Row],[Dest Ly]]</f>
        <v>20</v>
      </c>
      <c r="BE51" s="190" cm="1">
        <f t="array" aca="1" ref="BE51" ca="1">IF(TblConstr[[#This Row],[Hour]:[Hour]]&gt;12,OFFSET(TblConstr[[#This Row],[Hav]],-12,0),0)+OFFSET(TblConstr[[#This Row],[Tot Hav]],-1,0)-TblConstr[[#This Row],[Dest Hav]]</f>
        <v>0</v>
      </c>
      <c r="BF51" s="361" cm="1">
        <f t="array" aca="1" ref="BF51" ca="1">IF(TblConstr[[#This Row],[Hour]:[Hour]]&gt;12,OFFSET(TblConstr[[#This Row],[OM]],-12,0),0)+OFFSET(TblConstr[[#This Row],[Tot OM]],-1,0)-TblConstr[[#This Row],[Dest OM]]</f>
        <v>0</v>
      </c>
      <c r="BG51" s="361" cm="1">
        <f t="array" aca="1" ref="BG51" ca="1">IF(TblConstr[[#This Row],[Hour]:[Hour]]&gt;12,OFFSET(TblConstr[[#This Row],[GN]],-12,0),0)+OFFSET(TblConstr[[#This Row],[Tot GN]],-1,0)-TblConstr[[#This Row],[Dest GN]]</f>
        <v>0</v>
      </c>
      <c r="BH51" s="365" cm="1">
        <f t="array" aca="1" ref="BH51" ca="1">IF(TblConstr[[#This Row],[Hour]:[Hour]]&gt;12,OFFSET(TblConstr[[#This Row],[Fac]],-12,0),0)+OFFSET(TblConstr[[#This Row],[Tot Fac]],-1,0)-TblConstr[[#This Row],[Dest Fac]]</f>
        <v>0</v>
      </c>
      <c r="BI51" s="365" cm="1">
        <f t="array" aca="1" ref="BI51" ca="1">IF(TblConstr[[#This Row],[Hour]:[Hour]]&gt;12,OFFSET(TblConstr[[#This Row],[GT]],-12,0),0)+OFFSET(TblConstr[[#This Row],[Tot GT]],-1,0)-TblConstr[[#This Row],[Dest GT]]</f>
        <v>0</v>
      </c>
      <c r="BJ51" s="365" cm="1">
        <f t="array" aca="1" ref="BJ51" ca="1">IF(TblConstr[[#This Row],[Hour]:[Hour]]&gt;12,OFFSET(TblConstr[[#This Row],[Bar]],-12,0),0)+OFFSET(TblConstr[[#This Row],[Tot Bar]],-1,0)-TblConstr[[#This Row],[Dest Bar]]</f>
        <v>0</v>
      </c>
      <c r="BK51" s="365" cm="1">
        <f t="array" aca="1" ref="BK51" ca="1">IF(TblConstr[[#This Row],[Hour]:[Hour]]&gt;12,OFFSET(TblConstr[[#This Row],[Shr]],-12,0),0)+OFFSET(TblConstr[[#This Row],[Tot Shr]],-1,0)-TblConstr[[#This Row],[Dest Shr]]</f>
        <v>0</v>
      </c>
      <c r="BL51" s="369" cm="1">
        <f t="array" aca="1" ref="BL51" ca="1">IF(TblConstr[[#This Row],[Hour]:[Hour]]&gt;12,OFFSET(TblConstr[[#This Row],[Tow]],-12,0),0)+OFFSET(TblConstr[[#This Row],[Tot Tow]],-1,0)-TblConstr[[#This Row],[Dest Tow]]</f>
        <v>0</v>
      </c>
      <c r="BM51" s="369" cm="1">
        <f t="array" aca="1" ref="BM51" ca="1">IF(TblConstr[[#This Row],[Hour]:[Hour]]&gt;12,OFFSET(TblConstr[[#This Row],[Tem]],-12,0),0)+OFFSET(TblConstr[[#This Row],[Tot Tem]],-1,0)-TblConstr[[#This Row],[Dest Tem]]</f>
        <v>0</v>
      </c>
      <c r="BN51" s="369" cm="1">
        <f t="array" aca="1" ref="BN51" ca="1">IF(TblConstr[[#This Row],[Hour]:[Hour]]&gt;12,OFFSET(TblConstr[[#This Row],[WG]],-12,0),0)+OFFSET(TblConstr[[#This Row],[Tot WG]],-1,0)-TblConstr[[#This Row],[Dest WG]]</f>
        <v>0</v>
      </c>
      <c r="BO51" s="191" cm="1">
        <f t="array" aca="1" ref="BO51" ca="1">IF(TblConstr[[#This Row],[Hour]:[Hour]]&gt;12,OFFSET(TblConstr[[#This Row],[DM]],-12,0),0)+OFFSET(TblConstr[[#This Row],[Tot DM]],-1,0)-TblConstr[[#This Row],[Dest DM]]</f>
        <v>0</v>
      </c>
      <c r="BP51" s="191" cm="1">
        <f t="array" aca="1" ref="BP51" ca="1">IF(TblConstr[[#This Row],[Hour]:[Hour]]&gt;12,OFFSET(TblConstr[[#This Row],[Sch]],-12,0),0)+OFFSET(TblConstr[[#This Row],[Tot Sch]],-1,0)-TblConstr[[#This Row],[Dest Sch]]</f>
        <v>0</v>
      </c>
      <c r="BQ51" s="192" cm="1">
        <f t="array" aca="1" ref="BQ51" ca="1">IF(TblConstr[[#This Row],[Hour]:[Hour]]&gt;12,OFFSET(TblConstr[[#This Row],[Doc]],-12,0),0)+OFFSET(TblConstr[[#This Row],[Tot Doc]],-1,0)-TblConstr[[#This Row],[Dest Doc]]</f>
        <v>0</v>
      </c>
      <c r="BR51" s="142"/>
      <c r="BS51" s="154"/>
      <c r="BT51" s="94">
        <f ca="1">TblConstr[[#This Row],[Land]]</f>
        <v>50</v>
      </c>
      <c r="BU51" s="159">
        <f ca="1">TblImps[[#This Row],[Time]]</f>
        <v>46321.958333333219</v>
      </c>
      <c r="BV51" s="142"/>
      <c r="BW51" s="179"/>
      <c r="BX51" s="179"/>
      <c r="BY51" s="179"/>
      <c r="BZ51" s="179"/>
      <c r="CA51" s="179"/>
      <c r="CB51" s="179"/>
      <c r="CC51" s="179"/>
      <c r="CD51" s="179"/>
      <c r="CE51" s="179"/>
      <c r="CF51" s="179"/>
      <c r="CG51" s="179"/>
      <c r="CH51" s="179"/>
      <c r="CI51" s="179"/>
      <c r="CJ51" s="179"/>
      <c r="CK51" s="179"/>
      <c r="CL51" s="179"/>
      <c r="CM51" s="179"/>
      <c r="CN51" s="179"/>
      <c r="CO51" s="179"/>
      <c r="CP51" s="142"/>
      <c r="CQ51" s="181">
        <f ca="1">-SUM(TblConstr[[#This Row],[Alc]:[Mas]])+SUM(TblConstr[[#This Row],[Dest Alc]:[Dest Mas]])+Rezone!L51+IF("Ch_"&amp; home_land=TblConstr[[#Headers],[Ch_Plain]],TblConstr[[#This Row],[Home Land]])+IF(TblConstr[[#This Row],[Hour]:[Hour]]&gt;12,OFFSET(TblExplore[[#This Row],[Plains Explore]],-12,0),0)</f>
        <v>0</v>
      </c>
      <c r="CR51" s="182">
        <f ca="1">-SUM(TblConstr[[#This Row],[Ly]:[Hav]])+SUM(TblConstr[[#This Row],[Dest Ly]:[Dest Hav]]) +Rezone!M51 + IF("Ch_"&amp; home_land=TblConstr[[#Headers],[Ch_Forest]],TblConstr[[#This Row],[Home Land]])+IF(TblConstr[[#This Row],[Hour]:[Hour]]&gt;12,OFFSET(TblExplore[[#This Row],[Forest Explore]],-12,0),0)</f>
        <v>0</v>
      </c>
      <c r="CS51" s="359">
        <f ca="1">-SUM(TblConstr[[#This Row],[OM]:[GN]])+SUM(TblConstr[[#This Row],[Dest OM]:[Dest GN]]) +Rezone!N51 + IF("Ch_"&amp; home_land=TblConstr[[#Headers],[Ch_Mountain]],TblConstr[[#This Row],[Home Land]])+IF(TblConstr[[#This Row],[Hour]:[Hour]]&gt;12,OFFSET(TblExplore[[#This Row],[Mountain Explore]],-12,0),0)</f>
        <v>0</v>
      </c>
      <c r="CT51" s="183">
        <f ca="1">-SUM(TblConstr[[#This Row],[Fac]:[Shr]])+SUM(TblConstr[[#This Row],[Dest Fac]:[Dest Shr]]) +Rezone!O51 + IF("Ch_" &amp; home_land=TblConstr[[#Headers],[Ch_Hill]],TblConstr[[#This Row],[Home Land]])+IF(TblConstr[[#This Row],[Hour]:[Hour]]&gt;12,OFFSET(TblExplore[[#This Row],[Hill Explore]],-12,0),0)</f>
        <v>0</v>
      </c>
      <c r="CU51" s="184">
        <f ca="1">-SUM(TblConstr[[#This Row],[Tow]:[WG]])+SUM(TblConstr[[#This Row],[Dest Tow]:[Dest WG]]) +Rezone!P51 + IF("Ch_" &amp; home_land=TblConstr[[#Headers],[Ch_Swamp]],TblConstr[[#This Row],[Home Land]])+IF(TblConstr[[#This Row],[Hour]:[Hour]]&gt;12,OFFSET(TblExplore[[#This Row],[Swamp Explore]],-12,0),0)</f>
        <v>0</v>
      </c>
      <c r="CV51" s="185">
        <f ca="1" xml:space="preserve"> - SUM(TblConstr[[#This Row],[DM]:[Sch]])+SUM(TblConstr[[#This Row],[Dest DM]:[Dest Sch]]) +Rezone!Q51 + IF("Ch_" &amp; home_land=TblConstr[[#Headers],[Ch_Cavern]],TblConstr[[#This Row],[Home Land]])+IF(TblConstr[[#This Row],[Hour]:[Hour]]&gt;12,OFFSET(TblExplore[[#This Row],[Cavern Explore]],-12,0),0)</f>
        <v>0</v>
      </c>
      <c r="CW51" s="186">
        <f ca="1">-TblConstr[[#This Row],[Doc]]+TblConstr[[#This Row],[Dest Doc]] +Rezone!R51 + IF("Ch_" &amp; home_land=TblConstr[[#Headers],[Ch_Water]],TblConstr[[#This Row],[Home Land]])+IF(TblConstr[[#This Row],[Hour]:[Hour]]&gt;12,OFFSET(TblExplore[[#This Row],[Water Explore]],-12,0),0)</f>
        <v>0</v>
      </c>
      <c r="CX51" s="45">
        <f>IF(Explore!S51=1,20) - TblConstr[[#This Row],[Hom]] + TblConstr[[#This Row],[Dest Hom]]</f>
        <v>0</v>
      </c>
      <c r="CY51" s="142"/>
      <c r="CZ51" s="94">
        <f t="shared" ca="1" si="12"/>
        <v>30</v>
      </c>
      <c r="DA51" s="94">
        <f t="shared" ca="1" si="13"/>
        <v>20</v>
      </c>
      <c r="DB51" s="45">
        <f t="shared" ca="1" si="14"/>
        <v>0</v>
      </c>
      <c r="DC51" s="94">
        <f t="shared" ca="1" si="15"/>
        <v>0</v>
      </c>
      <c r="DD51" s="94">
        <f t="shared" ca="1" si="16"/>
        <v>0</v>
      </c>
      <c r="DE51" s="45">
        <f t="shared" ca="1" si="17"/>
        <v>0</v>
      </c>
      <c r="DF51" s="94">
        <f t="shared" ca="1" si="18"/>
        <v>0</v>
      </c>
      <c r="DG51" s="94" cm="1">
        <f t="array" aca="1" ref="DG51" ca="1">INDEX(TblConstr[[Total Plain]:[Total Water]],ROW()-ROW(TblConstr[#Headers]),MATCH("Total "&amp;home_land,TblConstr[[#Headers],[Total Plain]:[Total Water]],0))+TblConstr[[#This Row],[Homes]]</f>
        <v>30</v>
      </c>
      <c r="DH51" s="45">
        <f t="shared" ca="1" si="10"/>
        <v>0</v>
      </c>
      <c r="DI51" s="45">
        <f t="shared" ca="1" si="0"/>
        <v>0</v>
      </c>
      <c r="DJ51" s="45">
        <f t="shared" ca="1" si="1"/>
        <v>0</v>
      </c>
    </row>
    <row r="52" spans="1:114" s="5" customFormat="1" x14ac:dyDescent="0.2">
      <c r="A52" s="193">
        <f>TblRezone[[#This Row],[Hour]]</f>
        <v>49</v>
      </c>
      <c r="B52" s="434">
        <f ca="1">SUM(TblConstr[[#This Row],[Plain]:[Water]])</f>
        <v>0</v>
      </c>
      <c r="C52" s="173">
        <f ca="1">SUM(TblConstr[[#This Row],[Tot Hom]:[Tot Doc]])</f>
        <v>50</v>
      </c>
      <c r="D52" s="173">
        <f t="shared" si="11"/>
        <v>0</v>
      </c>
      <c r="E52" s="194"/>
      <c r="F52" s="148">
        <f ca="1">TblConstr[[#This Row],[Barren]]+TblConstr[[#This Row],[Buildings]]+TblConstr[[#This Row],[Incoming]]</f>
        <v>50</v>
      </c>
      <c r="G52" s="195">
        <f ca="1">OFFSET(TblConstr[[#This Row],[Plain]],-1,0)+TblConstr[[#This Row],[Ch_Plain]]</f>
        <v>0</v>
      </c>
      <c r="H52" s="196">
        <f ca="1">OFFSET(TblConstr[[#This Row],[Forest]],-1,0)+TblConstr[[#This Row],[Ch_Forest]]</f>
        <v>0</v>
      </c>
      <c r="I52" s="360">
        <f ca="1">OFFSET(TblConstr[[#This Row],[Mountain]],-1,0)+TblConstr[[#This Row],[Ch_Mountain]]</f>
        <v>0</v>
      </c>
      <c r="J52" s="364">
        <f ca="1">OFFSET(TblConstr[[#This Row],[Hill]],-1,0)+TblConstr[[#This Row],[Ch_Hill]]</f>
        <v>0</v>
      </c>
      <c r="K52" s="368">
        <f ca="1">OFFSET(TblConstr[[#This Row],[Swamp]],-1,0)+TblConstr[[#This Row],[Ch_Swamp]]</f>
        <v>0</v>
      </c>
      <c r="L52" s="199">
        <f ca="1">OFFSET(TblConstr[[#This Row],[Cavern]],-1,0)+TblConstr[[#This Row],[Ch_Cavern]]</f>
        <v>0</v>
      </c>
      <c r="M52" s="200">
        <f ca="1">OFFSET(TblConstr[[#This Row],[Water]],-1,0)+TblConstr[[#This Row],[Ch_Water]]</f>
        <v>0</v>
      </c>
      <c r="N52" s="358">
        <f>TblRezone[[#This Row],[Hour]]</f>
        <v>49</v>
      </c>
      <c r="O52" s="201"/>
      <c r="P52" s="201"/>
      <c r="Q52" s="201"/>
      <c r="R52" s="201"/>
      <c r="S52" s="201"/>
      <c r="T52" s="201"/>
      <c r="U52" s="201"/>
      <c r="V52" s="201"/>
      <c r="W52" s="201"/>
      <c r="X52" s="201"/>
      <c r="Y52" s="201"/>
      <c r="Z52" s="201"/>
      <c r="AA52" s="201"/>
      <c r="AB52" s="201"/>
      <c r="AC52" s="201"/>
      <c r="AD52" s="201"/>
      <c r="AE52" s="201"/>
      <c r="AF52" s="201"/>
      <c r="AG52" s="201"/>
      <c r="AH52" s="435">
        <f ca="1">TblImps[[#This Row],[Time]]</f>
        <v>46321.999999999884</v>
      </c>
      <c r="AI52" s="436">
        <f ca="1">MIN(25%,(TblConstr[[#This Row],[Tot Fac]]+TblConstr[[#This Row],[Dest Fac]])/(TblConstr[[#This Row],[Land]]-TblExplore[[#This Row],[Land Bonus]]*20))</f>
        <v>0</v>
      </c>
      <c r="AJ52" s="436">
        <f ca="1">MIN(25%,(TblConstr[[#This Row],[Tot Fac]]+TblConstr[[#This Row],[Dest Fac]])/TblConstr[[#This Row],[Land]])</f>
        <v>0</v>
      </c>
      <c r="AK52" s="35">
        <f ca="1">TblProd[[#This Row],[Platinum]]</f>
        <v>168547</v>
      </c>
      <c r="AL52" s="35">
        <f ca="1">TblProd[[#This Row],[Lumber]]</f>
        <v>47529</v>
      </c>
      <c r="AM52" s="35">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2" s="35">
        <f ca="1">ROUNDDOWN( MAX(1 - MIN(facs_constr_factor*TblConstr[[#This Row],[Facs -DB]],facs_constr_max) + tech_1_11*TblTech[[#This Row],[11-1]] + tech_6_3_2*TblTech[[#This Row],[6-3]] + tech_5_2_3*TblTech[[#This Row],[5-2]], 1-global_constr_cap) * TblConstr[[#This Row],[RCPA Lumber]],0)</f>
        <v>31</v>
      </c>
      <c r="AO52" s="35">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2" s="35">
        <f ca="1">ROUNDDOWN( MAX(1 - MIN(facs_constr_factor*TblConstr[[#This Row],[Facs DB]],facs_constr_max) + tech_1_11*TblTech[[#This Row],[1-11]] + tech_6_3_2*TblTech[[#This Row],[6-3]] + tech_5_2_3*TblTech[[#This Row],[5-2]], 1-global_constr_cap) * ROUND((TblConstr[[#This Row],[Land]]-250)*0.285 + 87.5 + 0/4.25,0),0)</f>
        <v>31</v>
      </c>
      <c r="AQ52" s="5">
        <f ca="1">TblConstr[[#This Row],[build -db]]*TblConstr[[#This Row],[CPA Platinum -DB]] + TblConstr[[#This Row],[build db]]*TblConstr[[#This Row],[CPA Platinum DB]]</f>
        <v>0</v>
      </c>
      <c r="AR52" s="5">
        <f ca="1">TblConstr[[#This Row],[build -db]]*TblConstr[[#This Row],[CPA Lumber -DB]] + TblConstr[[#This Row],[build db]]*TblConstr[[#This Row],[CPA Lumber DB]]</f>
        <v>0</v>
      </c>
      <c r="AS52" s="35">
        <f ca="1">MIN(SUM(OFFSET(TblConstr[[#This Row],[Plain]:[Water]],-1,0))+SUM(TblConstr[[#This Row],[Dest Hom]:[Dest Doc]])+IF(TblConstr[[#This Row],[Hour]]&gt;12,SUM(OFFSET(TblExplore[[#This Row],[Plains Explore]:[Water Explore]],-12,0)),0),SUM(TblConstr[[#This Row],[Hom]:[Doc]]))</f>
        <v>0</v>
      </c>
      <c r="AT52" s="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49"/>
      <c r="AV52" s="35">
        <f ca="1">ROUND((TblConstr[[#This Row],[Land]]-250 - IF(TblExplore[[#This Row],[Land Bonus]]&lt;&gt;0,20,0))*1.25 + 850 + 0,0)</f>
        <v>600</v>
      </c>
      <c r="AW52" s="35">
        <f ca="1">ROUND((TblConstr[[#This Row],[Land]]-250 - IF(TblExplore[[#This Row],[Land Bonus]]&lt;&gt;0,20,0))*0.285 + 87.5 + 0/4.25,0)</f>
        <v>31</v>
      </c>
      <c r="AX52" s="162"/>
      <c r="AY52" s="437" cm="1">
        <f t="array" aca="1" ref="AY52" ca="1">IF(TblConstr[[#This Row],[Hour]:[Hour]]&gt;12,OFFSET(TblConstr[[#This Row],[Hom]],-12,0),0)+OFFSET(TblConstr[[#This Row],[Tot Hom]],-1,0)-TblConstr[[#This Row],[Dest Hom]]</f>
        <v>0</v>
      </c>
      <c r="AZ52" s="203" cm="1">
        <f t="array" aca="1" ref="AZ52" ca="1">IF(TblConstr[[#This Row],[Hour]:[Hour]]&gt;12,OFFSET(TblConstr[[#This Row],[Alc]],-12,0),0)+OFFSET(TblConstr[[#This Row],[Tot Alc]],-1,0)-TblConstr[[#This Row],[Dest Alc]]</f>
        <v>0</v>
      </c>
      <c r="BA52" s="203" cm="1">
        <f t="array" aca="1" ref="BA52" ca="1">IF(TblConstr[[#This Row],[Hour]:[Hour]]&gt;12,OFFSET(TblConstr[[#This Row],[Far]],-12,0),0)+OFFSET(TblConstr[[#This Row],[Tot Farm]],-1,0)-TblConstr[[#This Row],[Dest Farm]]</f>
        <v>30</v>
      </c>
      <c r="BB52" s="203" cm="1">
        <f t="array" aca="1" ref="BB52" ca="1">IF(TblConstr[[#This Row],[Hour]:[Hour]]&gt;12,OFFSET(TblConstr[[#This Row],[Smi]],-12,0),0)+OFFSET(TblConstr[[#This Row],[Tot Smi]],-1,0)-TblConstr[[#This Row],[Dest Smi]]</f>
        <v>0</v>
      </c>
      <c r="BC52" s="203" cm="1">
        <f t="array" aca="1" ref="BC52" ca="1">IF(TblConstr[[#This Row],[Hour]:[Hour]]&gt;12,OFFSET(TblConstr[[#This Row],[Mas]],-12,0),0)+OFFSET(TblConstr[[#This Row],[Tot Mas]],-1,0)-TblConstr[[#This Row],[Dest Mas]]</f>
        <v>0</v>
      </c>
      <c r="BD52" s="204" cm="1">
        <f t="array" aca="1" ref="BD52" ca="1">IF(TblConstr[[#This Row],[Hour]:[Hour]]&gt;12,OFFSET(TblConstr[[#This Row],[Ly]],-12,0),0)+OFFSET(TblConstr[[#This Row],[Tot Ly]],-1,0)-TblConstr[[#This Row],[Dest Ly]]</f>
        <v>20</v>
      </c>
      <c r="BE52" s="204" cm="1">
        <f t="array" aca="1" ref="BE52" ca="1">IF(TblConstr[[#This Row],[Hour]:[Hour]]&gt;12,OFFSET(TblConstr[[#This Row],[Hav]],-12,0),0)+OFFSET(TblConstr[[#This Row],[Tot Hav]],-1,0)-TblConstr[[#This Row],[Dest Hav]]</f>
        <v>0</v>
      </c>
      <c r="BF52" s="362" cm="1">
        <f t="array" aca="1" ref="BF52" ca="1">IF(TblConstr[[#This Row],[Hour]:[Hour]]&gt;12,OFFSET(TblConstr[[#This Row],[OM]],-12,0),0)+OFFSET(TblConstr[[#This Row],[Tot OM]],-1,0)-TblConstr[[#This Row],[Dest OM]]</f>
        <v>0</v>
      </c>
      <c r="BG52" s="362" cm="1">
        <f t="array" aca="1" ref="BG52" ca="1">IF(TblConstr[[#This Row],[Hour]:[Hour]]&gt;12,OFFSET(TblConstr[[#This Row],[GN]],-12,0),0)+OFFSET(TblConstr[[#This Row],[Tot GN]],-1,0)-TblConstr[[#This Row],[Dest GN]]</f>
        <v>0</v>
      </c>
      <c r="BH52" s="366" cm="1">
        <f t="array" aca="1" ref="BH52" ca="1">IF(TblConstr[[#This Row],[Hour]:[Hour]]&gt;12,OFFSET(TblConstr[[#This Row],[Fac]],-12,0),0)+OFFSET(TblConstr[[#This Row],[Tot Fac]],-1,0)-TblConstr[[#This Row],[Dest Fac]]</f>
        <v>0</v>
      </c>
      <c r="BI52" s="366" cm="1">
        <f t="array" aca="1" ref="BI52" ca="1">IF(TblConstr[[#This Row],[Hour]:[Hour]]&gt;12,OFFSET(TblConstr[[#This Row],[GT]],-12,0),0)+OFFSET(TblConstr[[#This Row],[Tot GT]],-1,0)-TblConstr[[#This Row],[Dest GT]]</f>
        <v>0</v>
      </c>
      <c r="BJ52" s="366" cm="1">
        <f t="array" aca="1" ref="BJ52" ca="1">IF(TblConstr[[#This Row],[Hour]:[Hour]]&gt;12,OFFSET(TblConstr[[#This Row],[Bar]],-12,0),0)+OFFSET(TblConstr[[#This Row],[Tot Bar]],-1,0)-TblConstr[[#This Row],[Dest Bar]]</f>
        <v>0</v>
      </c>
      <c r="BK52" s="366" cm="1">
        <f t="array" aca="1" ref="BK52" ca="1">IF(TblConstr[[#This Row],[Hour]:[Hour]]&gt;12,OFFSET(TblConstr[[#This Row],[Shr]],-12,0),0)+OFFSET(TblConstr[[#This Row],[Tot Shr]],-1,0)-TblConstr[[#This Row],[Dest Shr]]</f>
        <v>0</v>
      </c>
      <c r="BL52" s="370" cm="1">
        <f t="array" aca="1" ref="BL52" ca="1">IF(TblConstr[[#This Row],[Hour]:[Hour]]&gt;12,OFFSET(TblConstr[[#This Row],[Tow]],-12,0),0)+OFFSET(TblConstr[[#This Row],[Tot Tow]],-1,0)-TblConstr[[#This Row],[Dest Tow]]</f>
        <v>0</v>
      </c>
      <c r="BM52" s="370" cm="1">
        <f t="array" aca="1" ref="BM52" ca="1">IF(TblConstr[[#This Row],[Hour]:[Hour]]&gt;12,OFFSET(TblConstr[[#This Row],[Tem]],-12,0),0)+OFFSET(TblConstr[[#This Row],[Tot Tem]],-1,0)-TblConstr[[#This Row],[Dest Tem]]</f>
        <v>0</v>
      </c>
      <c r="BN52" s="370" cm="1">
        <f t="array" aca="1" ref="BN52" ca="1">IF(TblConstr[[#This Row],[Hour]:[Hour]]&gt;12,OFFSET(TblConstr[[#This Row],[WG]],-12,0),0)+OFFSET(TblConstr[[#This Row],[Tot WG]],-1,0)-TblConstr[[#This Row],[Dest WG]]</f>
        <v>0</v>
      </c>
      <c r="BO52" s="205" cm="1">
        <f t="array" aca="1" ref="BO52" ca="1">IF(TblConstr[[#This Row],[Hour]:[Hour]]&gt;12,OFFSET(TblConstr[[#This Row],[DM]],-12,0),0)+OFFSET(TblConstr[[#This Row],[Tot DM]],-1,0)-TblConstr[[#This Row],[Dest DM]]</f>
        <v>0</v>
      </c>
      <c r="BP52" s="205" cm="1">
        <f t="array" aca="1" ref="BP52" ca="1">IF(TblConstr[[#This Row],[Hour]:[Hour]]&gt;12,OFFSET(TblConstr[[#This Row],[Sch]],-12,0),0)+OFFSET(TblConstr[[#This Row],[Tot Sch]],-1,0)-TblConstr[[#This Row],[Dest Sch]]</f>
        <v>0</v>
      </c>
      <c r="BQ52" s="206" cm="1">
        <f t="array" aca="1" ref="BQ52" ca="1">IF(TblConstr[[#This Row],[Hour]:[Hour]]&gt;12,OFFSET(TblConstr[[#This Row],[Doc]],-12,0),0)+OFFSET(TblConstr[[#This Row],[Tot Doc]],-1,0)-TblConstr[[#This Row],[Dest Doc]]</f>
        <v>0</v>
      </c>
      <c r="BR52" s="149"/>
      <c r="BS52" s="162"/>
      <c r="BT52" s="35">
        <f ca="1">TblConstr[[#This Row],[Land]]</f>
        <v>50</v>
      </c>
      <c r="BU52" s="167">
        <f ca="1">TblImps[[#This Row],[Time]]</f>
        <v>46321.999999999884</v>
      </c>
      <c r="BV52" s="149"/>
      <c r="BW52" s="201"/>
      <c r="BX52" s="201"/>
      <c r="BY52" s="201"/>
      <c r="BZ52" s="201"/>
      <c r="CA52" s="201"/>
      <c r="CB52" s="201"/>
      <c r="CC52" s="201"/>
      <c r="CD52" s="201"/>
      <c r="CE52" s="201"/>
      <c r="CF52" s="201"/>
      <c r="CG52" s="201"/>
      <c r="CH52" s="201"/>
      <c r="CI52" s="201"/>
      <c r="CJ52" s="201"/>
      <c r="CK52" s="201"/>
      <c r="CL52" s="201"/>
      <c r="CM52" s="201"/>
      <c r="CN52" s="201"/>
      <c r="CO52" s="201"/>
      <c r="CP52" s="149"/>
      <c r="CQ52" s="207">
        <f ca="1">-SUM(TblConstr[[#This Row],[Alc]:[Mas]])+SUM(TblConstr[[#This Row],[Dest Alc]:[Dest Mas]])+Rezone!L52+IF("Ch_"&amp; home_land=TblConstr[[#Headers],[Ch_Plain]],TblConstr[[#This Row],[Home Land]])+IF(TblConstr[[#This Row],[Hour]:[Hour]]&gt;12,OFFSET(TblExplore[[#This Row],[Plains Explore]],-12,0),0)</f>
        <v>0</v>
      </c>
      <c r="CR52" s="196">
        <f ca="1">-SUM(TblConstr[[#This Row],[Ly]:[Hav]])+SUM(TblConstr[[#This Row],[Dest Ly]:[Dest Hav]]) +Rezone!M52 + IF("Ch_"&amp; home_land=TblConstr[[#Headers],[Ch_Forest]],TblConstr[[#This Row],[Home Land]])+IF(TblConstr[[#This Row],[Hour]:[Hour]]&gt;12,OFFSET(TblExplore[[#This Row],[Forest Explore]],-12,0),0)</f>
        <v>0</v>
      </c>
      <c r="CS52" s="360">
        <f ca="1">-SUM(TblConstr[[#This Row],[OM]:[GN]])+SUM(TblConstr[[#This Row],[Dest OM]:[Dest GN]]) +Rezone!N52 + IF("Ch_"&amp; home_land=TblConstr[[#Headers],[Ch_Mountain]],TblConstr[[#This Row],[Home Land]])+IF(TblConstr[[#This Row],[Hour]:[Hour]]&gt;12,OFFSET(TblExplore[[#This Row],[Mountain Explore]],-12,0),0)</f>
        <v>0</v>
      </c>
      <c r="CT52" s="197">
        <f ca="1">-SUM(TblConstr[[#This Row],[Fac]:[Shr]])+SUM(TblConstr[[#This Row],[Dest Fac]:[Dest Shr]]) +Rezone!O52 + IF("Ch_" &amp; home_land=TblConstr[[#Headers],[Ch_Hill]],TblConstr[[#This Row],[Home Land]])+IF(TblConstr[[#This Row],[Hour]:[Hour]]&gt;12,OFFSET(TblExplore[[#This Row],[Hill Explore]],-12,0),0)</f>
        <v>0</v>
      </c>
      <c r="CU52" s="198">
        <f ca="1">-SUM(TblConstr[[#This Row],[Tow]:[WG]])+SUM(TblConstr[[#This Row],[Dest Tow]:[Dest WG]]) +Rezone!P52 + IF("Ch_" &amp; home_land=TblConstr[[#Headers],[Ch_Swamp]],TblConstr[[#This Row],[Home Land]])+IF(TblConstr[[#This Row],[Hour]:[Hour]]&gt;12,OFFSET(TblExplore[[#This Row],[Swamp Explore]],-12,0),0)</f>
        <v>0</v>
      </c>
      <c r="CV52" s="199">
        <f ca="1" xml:space="preserve"> - SUM(TblConstr[[#This Row],[DM]:[Sch]])+SUM(TblConstr[[#This Row],[Dest DM]:[Dest Sch]]) +Rezone!Q52 + IF("Ch_" &amp; home_land=TblConstr[[#Headers],[Ch_Cavern]],TblConstr[[#This Row],[Home Land]])+IF(TblConstr[[#This Row],[Hour]:[Hour]]&gt;12,OFFSET(TblExplore[[#This Row],[Cavern Explore]],-12,0),0)</f>
        <v>0</v>
      </c>
      <c r="CW52" s="200">
        <f ca="1">-TblConstr[[#This Row],[Doc]]+TblConstr[[#This Row],[Dest Doc]] +Rezone!R52 + IF("Ch_" &amp; home_land=TblConstr[[#Headers],[Ch_Water]],TblConstr[[#This Row],[Home Land]])+IF(TblConstr[[#This Row],[Hour]:[Hour]]&gt;12,OFFSET(TblExplore[[#This Row],[Water Explore]],-12,0),0)</f>
        <v>0</v>
      </c>
      <c r="CX52" s="5">
        <f>IF(Explore!S52=1,20) - TblConstr[[#This Row],[Hom]] + TblConstr[[#This Row],[Dest Hom]]</f>
        <v>0</v>
      </c>
      <c r="CY52" s="149"/>
      <c r="CZ52" s="35">
        <f t="shared" ca="1" si="12"/>
        <v>30</v>
      </c>
      <c r="DA52" s="35">
        <f t="shared" ca="1" si="13"/>
        <v>20</v>
      </c>
      <c r="DB52" s="5">
        <f t="shared" ca="1" si="14"/>
        <v>0</v>
      </c>
      <c r="DC52" s="35">
        <f t="shared" ca="1" si="15"/>
        <v>0</v>
      </c>
      <c r="DD52" s="35">
        <f t="shared" ca="1" si="16"/>
        <v>0</v>
      </c>
      <c r="DE52" s="5">
        <f t="shared" ca="1" si="17"/>
        <v>0</v>
      </c>
      <c r="DF52" s="35">
        <f t="shared" ca="1" si="18"/>
        <v>0</v>
      </c>
      <c r="DG52" s="35" cm="1">
        <f t="array" aca="1" ref="DG52" ca="1">INDEX(TblConstr[[Total Plain]:[Total Water]],ROW()-ROW(TblConstr[#Headers]),MATCH("Total "&amp;home_land,TblConstr[[#Headers],[Total Plain]:[Total Water]],0))+TblConstr[[#This Row],[Homes]]</f>
        <v>30</v>
      </c>
      <c r="DH52" s="5">
        <f t="shared" ca="1" si="10"/>
        <v>0</v>
      </c>
      <c r="DI52" s="5">
        <f t="shared" ca="1" si="0"/>
        <v>0</v>
      </c>
      <c r="DJ52" s="5">
        <f t="shared" ca="1" si="1"/>
        <v>0</v>
      </c>
    </row>
    <row r="53" spans="1:114" x14ac:dyDescent="0.2">
      <c r="A53" s="175">
        <f>TblRezone[[#This Row],[Hour]]</f>
        <v>50</v>
      </c>
      <c r="B53" s="176">
        <f ca="1">SUM(TblConstr[[#This Row],[Plain]:[Water]])</f>
        <v>0</v>
      </c>
      <c r="C53" s="177">
        <f ca="1">SUM(TblConstr[[#This Row],[Tot Hom]:[Tot Doc]])</f>
        <v>50</v>
      </c>
      <c r="D53" s="177">
        <f t="shared" si="11"/>
        <v>0</v>
      </c>
      <c r="E53" s="178"/>
      <c r="F53" s="61">
        <f ca="1">TblConstr[[#This Row],[Barren]]+TblConstr[[#This Row],[Buildings]]+TblConstr[[#This Row],[Incoming]]</f>
        <v>50</v>
      </c>
      <c r="G53" s="187">
        <f ca="1">OFFSET(TblConstr[[#This Row],[Plain]],-1,0)+TblConstr[[#This Row],[Ch_Plain]]</f>
        <v>0</v>
      </c>
      <c r="H53" s="182">
        <f ca="1">OFFSET(TblConstr[[#This Row],[Forest]],-1,0)+TblConstr[[#This Row],[Ch_Forest]]</f>
        <v>0</v>
      </c>
      <c r="I53" s="359">
        <f ca="1">OFFSET(TblConstr[[#This Row],[Mountain]],-1,0)+TblConstr[[#This Row],[Ch_Mountain]]</f>
        <v>0</v>
      </c>
      <c r="J53" s="363">
        <f ca="1">OFFSET(TblConstr[[#This Row],[Hill]],-1,0)+TblConstr[[#This Row],[Ch_Hill]]</f>
        <v>0</v>
      </c>
      <c r="K53" s="367">
        <f ca="1">OFFSET(TblConstr[[#This Row],[Swamp]],-1,0)+TblConstr[[#This Row],[Ch_Swamp]]</f>
        <v>0</v>
      </c>
      <c r="L53" s="185">
        <f ca="1">OFFSET(TblConstr[[#This Row],[Cavern]],-1,0)+TblConstr[[#This Row],[Ch_Cavern]]</f>
        <v>0</v>
      </c>
      <c r="M53" s="186">
        <f ca="1">OFFSET(TblConstr[[#This Row],[Water]],-1,0)+TblConstr[[#This Row],[Ch_Water]]</f>
        <v>0</v>
      </c>
      <c r="N53" s="357">
        <f>TblRezone[[#This Row],[Hour]]</f>
        <v>50</v>
      </c>
      <c r="O53" s="179"/>
      <c r="P53" s="179"/>
      <c r="Q53" s="179"/>
      <c r="R53" s="179"/>
      <c r="S53" s="179"/>
      <c r="T53" s="179"/>
      <c r="U53" s="179"/>
      <c r="V53" s="179"/>
      <c r="W53" s="179"/>
      <c r="X53" s="179"/>
      <c r="Y53" s="179"/>
      <c r="Z53" s="179"/>
      <c r="AA53" s="179"/>
      <c r="AB53" s="179"/>
      <c r="AC53" s="179"/>
      <c r="AD53" s="179"/>
      <c r="AE53" s="179"/>
      <c r="AF53" s="179"/>
      <c r="AG53" s="179"/>
      <c r="AH53" s="53">
        <f ca="1">TblImps[[#This Row],[Time]]</f>
        <v>46322.041666666548</v>
      </c>
      <c r="AI53" s="180">
        <f ca="1">MIN(25%,(TblConstr[[#This Row],[Tot Fac]]+TblConstr[[#This Row],[Dest Fac]])/(TblConstr[[#This Row],[Land]]-TblExplore[[#This Row],[Land Bonus]]*20))</f>
        <v>0</v>
      </c>
      <c r="AJ53" s="180">
        <f ca="1">MIN(25%,(TblConstr[[#This Row],[Tot Fac]]+TblConstr[[#This Row],[Dest Fac]])/TblConstr[[#This Row],[Land]])</f>
        <v>0</v>
      </c>
      <c r="AK53" s="94">
        <f ca="1">TblProd[[#This Row],[Platinum]]</f>
        <v>169335</v>
      </c>
      <c r="AL53" s="94">
        <f ca="1">TblProd[[#This Row],[Lumber]]</f>
        <v>48054</v>
      </c>
      <c r="AM5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3" s="94">
        <f ca="1">ROUNDDOWN( MAX(1 - MIN(facs_constr_factor*TblConstr[[#This Row],[Facs -DB]],facs_constr_max) + tech_1_11*TblTech[[#This Row],[11-1]] + tech_6_3_2*TblTech[[#This Row],[6-3]] + tech_5_2_3*TblTech[[#This Row],[5-2]], 1-global_constr_cap) * TblConstr[[#This Row],[RCPA Lumber]],0)</f>
        <v>31</v>
      </c>
      <c r="AO5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3" s="94">
        <f ca="1">ROUNDDOWN( MAX(1 - MIN(facs_constr_factor*TblConstr[[#This Row],[Facs DB]],facs_constr_max) + tech_1_11*TblTech[[#This Row],[1-11]] + tech_6_3_2*TblTech[[#This Row],[6-3]] + tech_5_2_3*TblTech[[#This Row],[5-2]], 1-global_constr_cap) * ROUND((TblConstr[[#This Row],[Land]]-250)*0.285 + 87.5 + 0/4.25,0),0)</f>
        <v>31</v>
      </c>
      <c r="AQ53" s="45">
        <f ca="1">TblConstr[[#This Row],[build -db]]*TblConstr[[#This Row],[CPA Platinum -DB]] + TblConstr[[#This Row],[build db]]*TblConstr[[#This Row],[CPA Platinum DB]]</f>
        <v>0</v>
      </c>
      <c r="AR53" s="45">
        <f ca="1">TblConstr[[#This Row],[build -db]]*TblConstr[[#This Row],[CPA Lumber -DB]] + TblConstr[[#This Row],[build db]]*TblConstr[[#This Row],[CPA Lumber DB]]</f>
        <v>0</v>
      </c>
      <c r="AS53" s="94">
        <f ca="1">MIN(SUM(OFFSET(TblConstr[[#This Row],[Plain]:[Water]],-1,0))+SUM(TblConstr[[#This Row],[Dest Hom]:[Dest Doc]])+IF(TblConstr[[#This Row],[Hour]]&gt;12,SUM(OFFSET(TblExplore[[#This Row],[Plains Explore]:[Water Explore]],-12,0)),0),SUM(TblConstr[[#This Row],[Hom]:[Doc]]))</f>
        <v>0</v>
      </c>
      <c r="AT5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42"/>
      <c r="AV53" s="94">
        <f ca="1">ROUND((TblConstr[[#This Row],[Land]]-250 - IF(TblExplore[[#This Row],[Land Bonus]]&lt;&gt;0,20,0))*1.25 + 850 + 0,0)</f>
        <v>600</v>
      </c>
      <c r="AW53" s="94">
        <f ca="1">ROUND((TblConstr[[#This Row],[Land]]-250 - IF(TblExplore[[#This Row],[Land Bonus]]&lt;&gt;0,20,0))*0.285 + 87.5 + 0/4.25,0)</f>
        <v>31</v>
      </c>
      <c r="AX53" s="154"/>
      <c r="AY53" s="188" cm="1">
        <f t="array" aca="1" ref="AY53" ca="1">IF(TblConstr[[#This Row],[Hour]:[Hour]]&gt;12,OFFSET(TblConstr[[#This Row],[Hom]],-12,0),0)+OFFSET(TblConstr[[#This Row],[Tot Hom]],-1,0)-TblConstr[[#This Row],[Dest Hom]]</f>
        <v>0</v>
      </c>
      <c r="AZ53" s="189" cm="1">
        <f t="array" aca="1" ref="AZ53" ca="1">IF(TblConstr[[#This Row],[Hour]:[Hour]]&gt;12,OFFSET(TblConstr[[#This Row],[Alc]],-12,0),0)+OFFSET(TblConstr[[#This Row],[Tot Alc]],-1,0)-TblConstr[[#This Row],[Dest Alc]]</f>
        <v>0</v>
      </c>
      <c r="BA53" s="189" cm="1">
        <f t="array" aca="1" ref="BA53" ca="1">IF(TblConstr[[#This Row],[Hour]:[Hour]]&gt;12,OFFSET(TblConstr[[#This Row],[Far]],-12,0),0)+OFFSET(TblConstr[[#This Row],[Tot Farm]],-1,0)-TblConstr[[#This Row],[Dest Farm]]</f>
        <v>30</v>
      </c>
      <c r="BB53" s="189" cm="1">
        <f t="array" aca="1" ref="BB53" ca="1">IF(TblConstr[[#This Row],[Hour]:[Hour]]&gt;12,OFFSET(TblConstr[[#This Row],[Smi]],-12,0),0)+OFFSET(TblConstr[[#This Row],[Tot Smi]],-1,0)-TblConstr[[#This Row],[Dest Smi]]</f>
        <v>0</v>
      </c>
      <c r="BC53" s="189" cm="1">
        <f t="array" aca="1" ref="BC53" ca="1">IF(TblConstr[[#This Row],[Hour]:[Hour]]&gt;12,OFFSET(TblConstr[[#This Row],[Mas]],-12,0),0)+OFFSET(TblConstr[[#This Row],[Tot Mas]],-1,0)-TblConstr[[#This Row],[Dest Mas]]</f>
        <v>0</v>
      </c>
      <c r="BD53" s="190" cm="1">
        <f t="array" aca="1" ref="BD53" ca="1">IF(TblConstr[[#This Row],[Hour]:[Hour]]&gt;12,OFFSET(TblConstr[[#This Row],[Ly]],-12,0),0)+OFFSET(TblConstr[[#This Row],[Tot Ly]],-1,0)-TblConstr[[#This Row],[Dest Ly]]</f>
        <v>20</v>
      </c>
      <c r="BE53" s="190" cm="1">
        <f t="array" aca="1" ref="BE53" ca="1">IF(TblConstr[[#This Row],[Hour]:[Hour]]&gt;12,OFFSET(TblConstr[[#This Row],[Hav]],-12,0),0)+OFFSET(TblConstr[[#This Row],[Tot Hav]],-1,0)-TblConstr[[#This Row],[Dest Hav]]</f>
        <v>0</v>
      </c>
      <c r="BF53" s="361" cm="1">
        <f t="array" aca="1" ref="BF53" ca="1">IF(TblConstr[[#This Row],[Hour]:[Hour]]&gt;12,OFFSET(TblConstr[[#This Row],[OM]],-12,0),0)+OFFSET(TblConstr[[#This Row],[Tot OM]],-1,0)-TblConstr[[#This Row],[Dest OM]]</f>
        <v>0</v>
      </c>
      <c r="BG53" s="361" cm="1">
        <f t="array" aca="1" ref="BG53" ca="1">IF(TblConstr[[#This Row],[Hour]:[Hour]]&gt;12,OFFSET(TblConstr[[#This Row],[GN]],-12,0),0)+OFFSET(TblConstr[[#This Row],[Tot GN]],-1,0)-TblConstr[[#This Row],[Dest GN]]</f>
        <v>0</v>
      </c>
      <c r="BH53" s="365" cm="1">
        <f t="array" aca="1" ref="BH53" ca="1">IF(TblConstr[[#This Row],[Hour]:[Hour]]&gt;12,OFFSET(TblConstr[[#This Row],[Fac]],-12,0),0)+OFFSET(TblConstr[[#This Row],[Tot Fac]],-1,0)-TblConstr[[#This Row],[Dest Fac]]</f>
        <v>0</v>
      </c>
      <c r="BI53" s="365" cm="1">
        <f t="array" aca="1" ref="BI53" ca="1">IF(TblConstr[[#This Row],[Hour]:[Hour]]&gt;12,OFFSET(TblConstr[[#This Row],[GT]],-12,0),0)+OFFSET(TblConstr[[#This Row],[Tot GT]],-1,0)-TblConstr[[#This Row],[Dest GT]]</f>
        <v>0</v>
      </c>
      <c r="BJ53" s="365" cm="1">
        <f t="array" aca="1" ref="BJ53" ca="1">IF(TblConstr[[#This Row],[Hour]:[Hour]]&gt;12,OFFSET(TblConstr[[#This Row],[Bar]],-12,0),0)+OFFSET(TblConstr[[#This Row],[Tot Bar]],-1,0)-TblConstr[[#This Row],[Dest Bar]]</f>
        <v>0</v>
      </c>
      <c r="BK53" s="365" cm="1">
        <f t="array" aca="1" ref="BK53" ca="1">IF(TblConstr[[#This Row],[Hour]:[Hour]]&gt;12,OFFSET(TblConstr[[#This Row],[Shr]],-12,0),0)+OFFSET(TblConstr[[#This Row],[Tot Shr]],-1,0)-TblConstr[[#This Row],[Dest Shr]]</f>
        <v>0</v>
      </c>
      <c r="BL53" s="369" cm="1">
        <f t="array" aca="1" ref="BL53" ca="1">IF(TblConstr[[#This Row],[Hour]:[Hour]]&gt;12,OFFSET(TblConstr[[#This Row],[Tow]],-12,0),0)+OFFSET(TblConstr[[#This Row],[Tot Tow]],-1,0)-TblConstr[[#This Row],[Dest Tow]]</f>
        <v>0</v>
      </c>
      <c r="BM53" s="369" cm="1">
        <f t="array" aca="1" ref="BM53" ca="1">IF(TblConstr[[#This Row],[Hour]:[Hour]]&gt;12,OFFSET(TblConstr[[#This Row],[Tem]],-12,0),0)+OFFSET(TblConstr[[#This Row],[Tot Tem]],-1,0)-TblConstr[[#This Row],[Dest Tem]]</f>
        <v>0</v>
      </c>
      <c r="BN53" s="369" cm="1">
        <f t="array" aca="1" ref="BN53" ca="1">IF(TblConstr[[#This Row],[Hour]:[Hour]]&gt;12,OFFSET(TblConstr[[#This Row],[WG]],-12,0),0)+OFFSET(TblConstr[[#This Row],[Tot WG]],-1,0)-TblConstr[[#This Row],[Dest WG]]</f>
        <v>0</v>
      </c>
      <c r="BO53" s="191" cm="1">
        <f t="array" aca="1" ref="BO53" ca="1">IF(TblConstr[[#This Row],[Hour]:[Hour]]&gt;12,OFFSET(TblConstr[[#This Row],[DM]],-12,0),0)+OFFSET(TblConstr[[#This Row],[Tot DM]],-1,0)-TblConstr[[#This Row],[Dest DM]]</f>
        <v>0</v>
      </c>
      <c r="BP53" s="191" cm="1">
        <f t="array" aca="1" ref="BP53" ca="1">IF(TblConstr[[#This Row],[Hour]:[Hour]]&gt;12,OFFSET(TblConstr[[#This Row],[Sch]],-12,0),0)+OFFSET(TblConstr[[#This Row],[Tot Sch]],-1,0)-TblConstr[[#This Row],[Dest Sch]]</f>
        <v>0</v>
      </c>
      <c r="BQ53" s="192" cm="1">
        <f t="array" aca="1" ref="BQ53" ca="1">IF(TblConstr[[#This Row],[Hour]:[Hour]]&gt;12,OFFSET(TblConstr[[#This Row],[Doc]],-12,0),0)+OFFSET(TblConstr[[#This Row],[Tot Doc]],-1,0)-TblConstr[[#This Row],[Dest Doc]]</f>
        <v>0</v>
      </c>
      <c r="BR53" s="142"/>
      <c r="BS53" s="154"/>
      <c r="BT53" s="94">
        <f ca="1">TblConstr[[#This Row],[Land]]</f>
        <v>50</v>
      </c>
      <c r="BU53" s="159">
        <f ca="1">TblImps[[#This Row],[Time]]</f>
        <v>46322.041666666548</v>
      </c>
      <c r="BV53" s="142"/>
      <c r="BW53" s="179"/>
      <c r="BX53" s="179"/>
      <c r="BY53" s="179"/>
      <c r="BZ53" s="179"/>
      <c r="CA53" s="179"/>
      <c r="CB53" s="179"/>
      <c r="CC53" s="179"/>
      <c r="CD53" s="179"/>
      <c r="CE53" s="179"/>
      <c r="CF53" s="179"/>
      <c r="CG53" s="179"/>
      <c r="CH53" s="179"/>
      <c r="CI53" s="179"/>
      <c r="CJ53" s="179"/>
      <c r="CK53" s="179"/>
      <c r="CL53" s="179"/>
      <c r="CM53" s="179"/>
      <c r="CN53" s="179"/>
      <c r="CO53" s="179"/>
      <c r="CP53" s="142"/>
      <c r="CQ53" s="181">
        <f ca="1">-SUM(TblConstr[[#This Row],[Alc]:[Mas]])+SUM(TblConstr[[#This Row],[Dest Alc]:[Dest Mas]])+Rezone!L53+IF("Ch_"&amp; home_land=TblConstr[[#Headers],[Ch_Plain]],TblConstr[[#This Row],[Home Land]])+IF(TblConstr[[#This Row],[Hour]:[Hour]]&gt;12,OFFSET(TblExplore[[#This Row],[Plains Explore]],-12,0),0)</f>
        <v>0</v>
      </c>
      <c r="CR53" s="182">
        <f ca="1">-SUM(TblConstr[[#This Row],[Ly]:[Hav]])+SUM(TblConstr[[#This Row],[Dest Ly]:[Dest Hav]]) +Rezone!M53 + IF("Ch_"&amp; home_land=TblConstr[[#Headers],[Ch_Forest]],TblConstr[[#This Row],[Home Land]])+IF(TblConstr[[#This Row],[Hour]:[Hour]]&gt;12,OFFSET(TblExplore[[#This Row],[Forest Explore]],-12,0),0)</f>
        <v>0</v>
      </c>
      <c r="CS53" s="359">
        <f ca="1">-SUM(TblConstr[[#This Row],[OM]:[GN]])+SUM(TblConstr[[#This Row],[Dest OM]:[Dest GN]]) +Rezone!N53 + IF("Ch_"&amp; home_land=TblConstr[[#Headers],[Ch_Mountain]],TblConstr[[#This Row],[Home Land]])+IF(TblConstr[[#This Row],[Hour]:[Hour]]&gt;12,OFFSET(TblExplore[[#This Row],[Mountain Explore]],-12,0),0)</f>
        <v>0</v>
      </c>
      <c r="CT53" s="183">
        <f ca="1">-SUM(TblConstr[[#This Row],[Fac]:[Shr]])+SUM(TblConstr[[#This Row],[Dest Fac]:[Dest Shr]]) +Rezone!O53 + IF("Ch_" &amp; home_land=TblConstr[[#Headers],[Ch_Hill]],TblConstr[[#This Row],[Home Land]])+IF(TblConstr[[#This Row],[Hour]:[Hour]]&gt;12,OFFSET(TblExplore[[#This Row],[Hill Explore]],-12,0),0)</f>
        <v>0</v>
      </c>
      <c r="CU53" s="184">
        <f ca="1">-SUM(TblConstr[[#This Row],[Tow]:[WG]])+SUM(TblConstr[[#This Row],[Dest Tow]:[Dest WG]]) +Rezone!P53 + IF("Ch_" &amp; home_land=TblConstr[[#Headers],[Ch_Swamp]],TblConstr[[#This Row],[Home Land]])+IF(TblConstr[[#This Row],[Hour]:[Hour]]&gt;12,OFFSET(TblExplore[[#This Row],[Swamp Explore]],-12,0),0)</f>
        <v>0</v>
      </c>
      <c r="CV53" s="185">
        <f ca="1" xml:space="preserve"> - SUM(TblConstr[[#This Row],[DM]:[Sch]])+SUM(TblConstr[[#This Row],[Dest DM]:[Dest Sch]]) +Rezone!Q53 + IF("Ch_" &amp; home_land=TblConstr[[#Headers],[Ch_Cavern]],TblConstr[[#This Row],[Home Land]])+IF(TblConstr[[#This Row],[Hour]:[Hour]]&gt;12,OFFSET(TblExplore[[#This Row],[Cavern Explore]],-12,0),0)</f>
        <v>0</v>
      </c>
      <c r="CW53" s="186">
        <f ca="1">-TblConstr[[#This Row],[Doc]]+TblConstr[[#This Row],[Dest Doc]] +Rezone!R53 + IF("Ch_" &amp; home_land=TblConstr[[#Headers],[Ch_Water]],TblConstr[[#This Row],[Home Land]])+IF(TblConstr[[#This Row],[Hour]:[Hour]]&gt;12,OFFSET(TblExplore[[#This Row],[Water Explore]],-12,0),0)</f>
        <v>0</v>
      </c>
      <c r="CX53" s="45">
        <f>IF(Explore!S53=1,20) - TblConstr[[#This Row],[Hom]] + TblConstr[[#This Row],[Dest Hom]]</f>
        <v>0</v>
      </c>
      <c r="CY53" s="142"/>
      <c r="CZ53" s="94">
        <f t="shared" ca="1" si="12"/>
        <v>30</v>
      </c>
      <c r="DA53" s="94">
        <f t="shared" ca="1" si="13"/>
        <v>20</v>
      </c>
      <c r="DB53" s="45">
        <f t="shared" ca="1" si="14"/>
        <v>0</v>
      </c>
      <c r="DC53" s="94">
        <f t="shared" ca="1" si="15"/>
        <v>0</v>
      </c>
      <c r="DD53" s="94">
        <f t="shared" ca="1" si="16"/>
        <v>0</v>
      </c>
      <c r="DE53" s="45">
        <f t="shared" ca="1" si="17"/>
        <v>0</v>
      </c>
      <c r="DF53" s="94">
        <f t="shared" ca="1" si="18"/>
        <v>0</v>
      </c>
      <c r="DG53" s="94" cm="1">
        <f t="array" aca="1" ref="DG53" ca="1">INDEX(TblConstr[[Total Plain]:[Total Water]],ROW()-ROW(TblConstr[#Headers]),MATCH("Total "&amp;home_land,TblConstr[[#Headers],[Total Plain]:[Total Water]],0))+TblConstr[[#This Row],[Homes]]</f>
        <v>30</v>
      </c>
      <c r="DH53" s="45">
        <f t="shared" ca="1" si="10"/>
        <v>0</v>
      </c>
      <c r="DI53" s="45">
        <f t="shared" ca="1" si="0"/>
        <v>0</v>
      </c>
      <c r="DJ53" s="45">
        <f t="shared" ca="1" si="1"/>
        <v>0</v>
      </c>
    </row>
    <row r="54" spans="1:114" x14ac:dyDescent="0.2">
      <c r="A54" s="175">
        <f>TblRezone[[#This Row],[Hour]]</f>
        <v>51</v>
      </c>
      <c r="B54" s="176">
        <f ca="1">SUM(TblConstr[[#This Row],[Plain]:[Water]])</f>
        <v>0</v>
      </c>
      <c r="C54" s="177">
        <f ca="1">SUM(TblConstr[[#This Row],[Tot Hom]:[Tot Doc]])</f>
        <v>50</v>
      </c>
      <c r="D54" s="177">
        <f t="shared" si="11"/>
        <v>0</v>
      </c>
      <c r="E54" s="178"/>
      <c r="F54" s="61">
        <f ca="1">TblConstr[[#This Row],[Barren]]+TblConstr[[#This Row],[Buildings]]+TblConstr[[#This Row],[Incoming]]</f>
        <v>50</v>
      </c>
      <c r="G54" s="187">
        <f ca="1">OFFSET(TblConstr[[#This Row],[Plain]],-1,0)+TblConstr[[#This Row],[Ch_Plain]]</f>
        <v>0</v>
      </c>
      <c r="H54" s="182">
        <f ca="1">OFFSET(TblConstr[[#This Row],[Forest]],-1,0)+TblConstr[[#This Row],[Ch_Forest]]</f>
        <v>0</v>
      </c>
      <c r="I54" s="359">
        <f ca="1">OFFSET(TblConstr[[#This Row],[Mountain]],-1,0)+TblConstr[[#This Row],[Ch_Mountain]]</f>
        <v>0</v>
      </c>
      <c r="J54" s="363">
        <f ca="1">OFFSET(TblConstr[[#This Row],[Hill]],-1,0)+TblConstr[[#This Row],[Ch_Hill]]</f>
        <v>0</v>
      </c>
      <c r="K54" s="367">
        <f ca="1">OFFSET(TblConstr[[#This Row],[Swamp]],-1,0)+TblConstr[[#This Row],[Ch_Swamp]]</f>
        <v>0</v>
      </c>
      <c r="L54" s="185">
        <f ca="1">OFFSET(TblConstr[[#This Row],[Cavern]],-1,0)+TblConstr[[#This Row],[Ch_Cavern]]</f>
        <v>0</v>
      </c>
      <c r="M54" s="186">
        <f ca="1">OFFSET(TblConstr[[#This Row],[Water]],-1,0)+TblConstr[[#This Row],[Ch_Water]]</f>
        <v>0</v>
      </c>
      <c r="N54" s="357">
        <f>TblRezone[[#This Row],[Hour]]</f>
        <v>51</v>
      </c>
      <c r="O54" s="179"/>
      <c r="P54" s="179"/>
      <c r="Q54" s="179"/>
      <c r="R54" s="179"/>
      <c r="S54" s="179"/>
      <c r="T54" s="179"/>
      <c r="U54" s="179"/>
      <c r="V54" s="179"/>
      <c r="W54" s="179"/>
      <c r="X54" s="179"/>
      <c r="Y54" s="179"/>
      <c r="Z54" s="179"/>
      <c r="AA54" s="179"/>
      <c r="AB54" s="179"/>
      <c r="AC54" s="179"/>
      <c r="AD54" s="179"/>
      <c r="AE54" s="179"/>
      <c r="AF54" s="179"/>
      <c r="AG54" s="179"/>
      <c r="AH54" s="53">
        <f ca="1">TblImps[[#This Row],[Time]]</f>
        <v>46322.083333333212</v>
      </c>
      <c r="AI54" s="180">
        <f ca="1">MIN(25%,(TblConstr[[#This Row],[Tot Fac]]+TblConstr[[#This Row],[Dest Fac]])/(TblConstr[[#This Row],[Land]]-TblExplore[[#This Row],[Land Bonus]]*20))</f>
        <v>0</v>
      </c>
      <c r="AJ54" s="180">
        <f ca="1">MIN(25%,(TblConstr[[#This Row],[Tot Fac]]+TblConstr[[#This Row],[Dest Fac]])/TblConstr[[#This Row],[Land]])</f>
        <v>0</v>
      </c>
      <c r="AK54" s="94">
        <f ca="1">TblProd[[#This Row],[Platinum]]</f>
        <v>170115</v>
      </c>
      <c r="AL54" s="94">
        <f ca="1">TblProd[[#This Row],[Lumber]]</f>
        <v>48573</v>
      </c>
      <c r="AM5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4" s="94">
        <f ca="1">ROUNDDOWN( MAX(1 - MIN(facs_constr_factor*TblConstr[[#This Row],[Facs -DB]],facs_constr_max) + tech_1_11*TblTech[[#This Row],[11-1]] + tech_6_3_2*TblTech[[#This Row],[6-3]] + tech_5_2_3*TblTech[[#This Row],[5-2]], 1-global_constr_cap) * TblConstr[[#This Row],[RCPA Lumber]],0)</f>
        <v>31</v>
      </c>
      <c r="AO5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4" s="94">
        <f ca="1">ROUNDDOWN( MAX(1 - MIN(facs_constr_factor*TblConstr[[#This Row],[Facs DB]],facs_constr_max) + tech_1_11*TblTech[[#This Row],[1-11]] + tech_6_3_2*TblTech[[#This Row],[6-3]] + tech_5_2_3*TblTech[[#This Row],[5-2]], 1-global_constr_cap) * ROUND((TblConstr[[#This Row],[Land]]-250)*0.285 + 87.5 + 0/4.25,0),0)</f>
        <v>31</v>
      </c>
      <c r="AQ54" s="45">
        <f ca="1">TblConstr[[#This Row],[build -db]]*TblConstr[[#This Row],[CPA Platinum -DB]] + TblConstr[[#This Row],[build db]]*TblConstr[[#This Row],[CPA Platinum DB]]</f>
        <v>0</v>
      </c>
      <c r="AR54" s="45">
        <f ca="1">TblConstr[[#This Row],[build -db]]*TblConstr[[#This Row],[CPA Lumber -DB]] + TblConstr[[#This Row],[build db]]*TblConstr[[#This Row],[CPA Lumber DB]]</f>
        <v>0</v>
      </c>
      <c r="AS54" s="94">
        <f ca="1">MIN(SUM(OFFSET(TblConstr[[#This Row],[Plain]:[Water]],-1,0))+SUM(TblConstr[[#This Row],[Dest Hom]:[Dest Doc]])+IF(TblConstr[[#This Row],[Hour]]&gt;12,SUM(OFFSET(TblExplore[[#This Row],[Plains Explore]:[Water Explore]],-12,0)),0),SUM(TblConstr[[#This Row],[Hom]:[Doc]]))</f>
        <v>0</v>
      </c>
      <c r="AT5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42"/>
      <c r="AV54" s="94">
        <f ca="1">ROUND((TblConstr[[#This Row],[Land]]-250 - IF(TblExplore[[#This Row],[Land Bonus]]&lt;&gt;0,20,0))*1.25 + 850 + 0,0)</f>
        <v>600</v>
      </c>
      <c r="AW54" s="94">
        <f ca="1">ROUND((TblConstr[[#This Row],[Land]]-250 - IF(TblExplore[[#This Row],[Land Bonus]]&lt;&gt;0,20,0))*0.285 + 87.5 + 0/4.25,0)</f>
        <v>31</v>
      </c>
      <c r="AX54" s="154"/>
      <c r="AY54" s="188" cm="1">
        <f t="array" aca="1" ref="AY54" ca="1">IF(TblConstr[[#This Row],[Hour]:[Hour]]&gt;12,OFFSET(TblConstr[[#This Row],[Hom]],-12,0),0)+OFFSET(TblConstr[[#This Row],[Tot Hom]],-1,0)-TblConstr[[#This Row],[Dest Hom]]</f>
        <v>0</v>
      </c>
      <c r="AZ54" s="189" cm="1">
        <f t="array" aca="1" ref="AZ54" ca="1">IF(TblConstr[[#This Row],[Hour]:[Hour]]&gt;12,OFFSET(TblConstr[[#This Row],[Alc]],-12,0),0)+OFFSET(TblConstr[[#This Row],[Tot Alc]],-1,0)-TblConstr[[#This Row],[Dest Alc]]</f>
        <v>0</v>
      </c>
      <c r="BA54" s="189" cm="1">
        <f t="array" aca="1" ref="BA54" ca="1">IF(TblConstr[[#This Row],[Hour]:[Hour]]&gt;12,OFFSET(TblConstr[[#This Row],[Far]],-12,0),0)+OFFSET(TblConstr[[#This Row],[Tot Farm]],-1,0)-TblConstr[[#This Row],[Dest Farm]]</f>
        <v>30</v>
      </c>
      <c r="BB54" s="189" cm="1">
        <f t="array" aca="1" ref="BB54" ca="1">IF(TblConstr[[#This Row],[Hour]:[Hour]]&gt;12,OFFSET(TblConstr[[#This Row],[Smi]],-12,0),0)+OFFSET(TblConstr[[#This Row],[Tot Smi]],-1,0)-TblConstr[[#This Row],[Dest Smi]]</f>
        <v>0</v>
      </c>
      <c r="BC54" s="189" cm="1">
        <f t="array" aca="1" ref="BC54" ca="1">IF(TblConstr[[#This Row],[Hour]:[Hour]]&gt;12,OFFSET(TblConstr[[#This Row],[Mas]],-12,0),0)+OFFSET(TblConstr[[#This Row],[Tot Mas]],-1,0)-TblConstr[[#This Row],[Dest Mas]]</f>
        <v>0</v>
      </c>
      <c r="BD54" s="190" cm="1">
        <f t="array" aca="1" ref="BD54" ca="1">IF(TblConstr[[#This Row],[Hour]:[Hour]]&gt;12,OFFSET(TblConstr[[#This Row],[Ly]],-12,0),0)+OFFSET(TblConstr[[#This Row],[Tot Ly]],-1,0)-TblConstr[[#This Row],[Dest Ly]]</f>
        <v>20</v>
      </c>
      <c r="BE54" s="190" cm="1">
        <f t="array" aca="1" ref="BE54" ca="1">IF(TblConstr[[#This Row],[Hour]:[Hour]]&gt;12,OFFSET(TblConstr[[#This Row],[Hav]],-12,0),0)+OFFSET(TblConstr[[#This Row],[Tot Hav]],-1,0)-TblConstr[[#This Row],[Dest Hav]]</f>
        <v>0</v>
      </c>
      <c r="BF54" s="361" cm="1">
        <f t="array" aca="1" ref="BF54" ca="1">IF(TblConstr[[#This Row],[Hour]:[Hour]]&gt;12,OFFSET(TblConstr[[#This Row],[OM]],-12,0),0)+OFFSET(TblConstr[[#This Row],[Tot OM]],-1,0)-TblConstr[[#This Row],[Dest OM]]</f>
        <v>0</v>
      </c>
      <c r="BG54" s="361" cm="1">
        <f t="array" aca="1" ref="BG54" ca="1">IF(TblConstr[[#This Row],[Hour]:[Hour]]&gt;12,OFFSET(TblConstr[[#This Row],[GN]],-12,0),0)+OFFSET(TblConstr[[#This Row],[Tot GN]],-1,0)-TblConstr[[#This Row],[Dest GN]]</f>
        <v>0</v>
      </c>
      <c r="BH54" s="365" cm="1">
        <f t="array" aca="1" ref="BH54" ca="1">IF(TblConstr[[#This Row],[Hour]:[Hour]]&gt;12,OFFSET(TblConstr[[#This Row],[Fac]],-12,0),0)+OFFSET(TblConstr[[#This Row],[Tot Fac]],-1,0)-TblConstr[[#This Row],[Dest Fac]]</f>
        <v>0</v>
      </c>
      <c r="BI54" s="365" cm="1">
        <f t="array" aca="1" ref="BI54" ca="1">IF(TblConstr[[#This Row],[Hour]:[Hour]]&gt;12,OFFSET(TblConstr[[#This Row],[GT]],-12,0),0)+OFFSET(TblConstr[[#This Row],[Tot GT]],-1,0)-TblConstr[[#This Row],[Dest GT]]</f>
        <v>0</v>
      </c>
      <c r="BJ54" s="365" cm="1">
        <f t="array" aca="1" ref="BJ54" ca="1">IF(TblConstr[[#This Row],[Hour]:[Hour]]&gt;12,OFFSET(TblConstr[[#This Row],[Bar]],-12,0),0)+OFFSET(TblConstr[[#This Row],[Tot Bar]],-1,0)-TblConstr[[#This Row],[Dest Bar]]</f>
        <v>0</v>
      </c>
      <c r="BK54" s="365" cm="1">
        <f t="array" aca="1" ref="BK54" ca="1">IF(TblConstr[[#This Row],[Hour]:[Hour]]&gt;12,OFFSET(TblConstr[[#This Row],[Shr]],-12,0),0)+OFFSET(TblConstr[[#This Row],[Tot Shr]],-1,0)-TblConstr[[#This Row],[Dest Shr]]</f>
        <v>0</v>
      </c>
      <c r="BL54" s="369" cm="1">
        <f t="array" aca="1" ref="BL54" ca="1">IF(TblConstr[[#This Row],[Hour]:[Hour]]&gt;12,OFFSET(TblConstr[[#This Row],[Tow]],-12,0),0)+OFFSET(TblConstr[[#This Row],[Tot Tow]],-1,0)-TblConstr[[#This Row],[Dest Tow]]</f>
        <v>0</v>
      </c>
      <c r="BM54" s="369" cm="1">
        <f t="array" aca="1" ref="BM54" ca="1">IF(TblConstr[[#This Row],[Hour]:[Hour]]&gt;12,OFFSET(TblConstr[[#This Row],[Tem]],-12,0),0)+OFFSET(TblConstr[[#This Row],[Tot Tem]],-1,0)-TblConstr[[#This Row],[Dest Tem]]</f>
        <v>0</v>
      </c>
      <c r="BN54" s="369" cm="1">
        <f t="array" aca="1" ref="BN54" ca="1">IF(TblConstr[[#This Row],[Hour]:[Hour]]&gt;12,OFFSET(TblConstr[[#This Row],[WG]],-12,0),0)+OFFSET(TblConstr[[#This Row],[Tot WG]],-1,0)-TblConstr[[#This Row],[Dest WG]]</f>
        <v>0</v>
      </c>
      <c r="BO54" s="191" cm="1">
        <f t="array" aca="1" ref="BO54" ca="1">IF(TblConstr[[#This Row],[Hour]:[Hour]]&gt;12,OFFSET(TblConstr[[#This Row],[DM]],-12,0),0)+OFFSET(TblConstr[[#This Row],[Tot DM]],-1,0)-TblConstr[[#This Row],[Dest DM]]</f>
        <v>0</v>
      </c>
      <c r="BP54" s="191" cm="1">
        <f t="array" aca="1" ref="BP54" ca="1">IF(TblConstr[[#This Row],[Hour]:[Hour]]&gt;12,OFFSET(TblConstr[[#This Row],[Sch]],-12,0),0)+OFFSET(TblConstr[[#This Row],[Tot Sch]],-1,0)-TblConstr[[#This Row],[Dest Sch]]</f>
        <v>0</v>
      </c>
      <c r="BQ54" s="192" cm="1">
        <f t="array" aca="1" ref="BQ54" ca="1">IF(TblConstr[[#This Row],[Hour]:[Hour]]&gt;12,OFFSET(TblConstr[[#This Row],[Doc]],-12,0),0)+OFFSET(TblConstr[[#This Row],[Tot Doc]],-1,0)-TblConstr[[#This Row],[Dest Doc]]</f>
        <v>0</v>
      </c>
      <c r="BR54" s="142"/>
      <c r="BS54" s="154"/>
      <c r="BT54" s="94">
        <f ca="1">TblConstr[[#This Row],[Land]]</f>
        <v>50</v>
      </c>
      <c r="BU54" s="159">
        <f ca="1">TblImps[[#This Row],[Time]]</f>
        <v>46322.083333333212</v>
      </c>
      <c r="BV54" s="142"/>
      <c r="BW54" s="179"/>
      <c r="BX54" s="179"/>
      <c r="BY54" s="179"/>
      <c r="BZ54" s="179"/>
      <c r="CA54" s="179"/>
      <c r="CB54" s="179"/>
      <c r="CC54" s="179"/>
      <c r="CD54" s="179"/>
      <c r="CE54" s="179"/>
      <c r="CF54" s="179"/>
      <c r="CG54" s="179"/>
      <c r="CH54" s="179"/>
      <c r="CI54" s="179"/>
      <c r="CJ54" s="179"/>
      <c r="CK54" s="179"/>
      <c r="CL54" s="179"/>
      <c r="CM54" s="179"/>
      <c r="CN54" s="179"/>
      <c r="CO54" s="179"/>
      <c r="CP54" s="142"/>
      <c r="CQ54" s="181">
        <f ca="1">-SUM(TblConstr[[#This Row],[Alc]:[Mas]])+SUM(TblConstr[[#This Row],[Dest Alc]:[Dest Mas]])+Rezone!L54+IF("Ch_"&amp; home_land=TblConstr[[#Headers],[Ch_Plain]],TblConstr[[#This Row],[Home Land]])+IF(TblConstr[[#This Row],[Hour]:[Hour]]&gt;12,OFFSET(TblExplore[[#This Row],[Plains Explore]],-12,0),0)</f>
        <v>0</v>
      </c>
      <c r="CR54" s="182">
        <f ca="1">-SUM(TblConstr[[#This Row],[Ly]:[Hav]])+SUM(TblConstr[[#This Row],[Dest Ly]:[Dest Hav]]) +Rezone!M54 + IF("Ch_"&amp; home_land=TblConstr[[#Headers],[Ch_Forest]],TblConstr[[#This Row],[Home Land]])+IF(TblConstr[[#This Row],[Hour]:[Hour]]&gt;12,OFFSET(TblExplore[[#This Row],[Forest Explore]],-12,0),0)</f>
        <v>0</v>
      </c>
      <c r="CS54" s="359">
        <f ca="1">-SUM(TblConstr[[#This Row],[OM]:[GN]])+SUM(TblConstr[[#This Row],[Dest OM]:[Dest GN]]) +Rezone!N54 + IF("Ch_"&amp; home_land=TblConstr[[#Headers],[Ch_Mountain]],TblConstr[[#This Row],[Home Land]])+IF(TblConstr[[#This Row],[Hour]:[Hour]]&gt;12,OFFSET(TblExplore[[#This Row],[Mountain Explore]],-12,0),0)</f>
        <v>0</v>
      </c>
      <c r="CT54" s="183">
        <f ca="1">-SUM(TblConstr[[#This Row],[Fac]:[Shr]])+SUM(TblConstr[[#This Row],[Dest Fac]:[Dest Shr]]) +Rezone!O54 + IF("Ch_" &amp; home_land=TblConstr[[#Headers],[Ch_Hill]],TblConstr[[#This Row],[Home Land]])+IF(TblConstr[[#This Row],[Hour]:[Hour]]&gt;12,OFFSET(TblExplore[[#This Row],[Hill Explore]],-12,0),0)</f>
        <v>0</v>
      </c>
      <c r="CU54" s="184">
        <f ca="1">-SUM(TblConstr[[#This Row],[Tow]:[WG]])+SUM(TblConstr[[#This Row],[Dest Tow]:[Dest WG]]) +Rezone!P54 + IF("Ch_" &amp; home_land=TblConstr[[#Headers],[Ch_Swamp]],TblConstr[[#This Row],[Home Land]])+IF(TblConstr[[#This Row],[Hour]:[Hour]]&gt;12,OFFSET(TblExplore[[#This Row],[Swamp Explore]],-12,0),0)</f>
        <v>0</v>
      </c>
      <c r="CV54" s="185">
        <f ca="1" xml:space="preserve"> - SUM(TblConstr[[#This Row],[DM]:[Sch]])+SUM(TblConstr[[#This Row],[Dest DM]:[Dest Sch]]) +Rezone!Q54 + IF("Ch_" &amp; home_land=TblConstr[[#Headers],[Ch_Cavern]],TblConstr[[#This Row],[Home Land]])+IF(TblConstr[[#This Row],[Hour]:[Hour]]&gt;12,OFFSET(TblExplore[[#This Row],[Cavern Explore]],-12,0),0)</f>
        <v>0</v>
      </c>
      <c r="CW54" s="186">
        <f ca="1">-TblConstr[[#This Row],[Doc]]+TblConstr[[#This Row],[Dest Doc]] +Rezone!R54 + IF("Ch_" &amp; home_land=TblConstr[[#Headers],[Ch_Water]],TblConstr[[#This Row],[Home Land]])+IF(TblConstr[[#This Row],[Hour]:[Hour]]&gt;12,OFFSET(TblExplore[[#This Row],[Water Explore]],-12,0),0)</f>
        <v>0</v>
      </c>
      <c r="CX54" s="45">
        <f>IF(Explore!S54=1,20) - TblConstr[[#This Row],[Hom]] + TblConstr[[#This Row],[Dest Hom]]</f>
        <v>0</v>
      </c>
      <c r="CY54" s="142"/>
      <c r="CZ54" s="94">
        <f t="shared" ca="1" si="12"/>
        <v>30</v>
      </c>
      <c r="DA54" s="94">
        <f t="shared" ca="1" si="13"/>
        <v>20</v>
      </c>
      <c r="DB54" s="45">
        <f t="shared" ca="1" si="14"/>
        <v>0</v>
      </c>
      <c r="DC54" s="94">
        <f t="shared" ca="1" si="15"/>
        <v>0</v>
      </c>
      <c r="DD54" s="94">
        <f t="shared" ca="1" si="16"/>
        <v>0</v>
      </c>
      <c r="DE54" s="45">
        <f t="shared" ca="1" si="17"/>
        <v>0</v>
      </c>
      <c r="DF54" s="94">
        <f t="shared" ca="1" si="18"/>
        <v>0</v>
      </c>
      <c r="DG54" s="94" cm="1">
        <f t="array" aca="1" ref="DG54" ca="1">INDEX(TblConstr[[Total Plain]:[Total Water]],ROW()-ROW(TblConstr[#Headers]),MATCH("Total "&amp;home_land,TblConstr[[#Headers],[Total Plain]:[Total Water]],0))+TblConstr[[#This Row],[Homes]]</f>
        <v>30</v>
      </c>
      <c r="DH54" s="45">
        <f t="shared" ca="1" si="10"/>
        <v>0</v>
      </c>
      <c r="DI54" s="45">
        <f t="shared" ca="1" si="0"/>
        <v>0</v>
      </c>
      <c r="DJ54" s="45">
        <f t="shared" ca="1" si="1"/>
        <v>0</v>
      </c>
    </row>
    <row r="55" spans="1:114" x14ac:dyDescent="0.2">
      <c r="A55" s="175">
        <f>TblRezone[[#This Row],[Hour]]</f>
        <v>52</v>
      </c>
      <c r="B55" s="176">
        <f ca="1">SUM(TblConstr[[#This Row],[Plain]:[Water]])</f>
        <v>0</v>
      </c>
      <c r="C55" s="177">
        <f ca="1">SUM(TblConstr[[#This Row],[Tot Hom]:[Tot Doc]])</f>
        <v>50</v>
      </c>
      <c r="D55" s="177">
        <f t="shared" si="11"/>
        <v>0</v>
      </c>
      <c r="E55" s="178"/>
      <c r="F55" s="61">
        <f ca="1">TblConstr[[#This Row],[Barren]]+TblConstr[[#This Row],[Buildings]]+TblConstr[[#This Row],[Incoming]]</f>
        <v>50</v>
      </c>
      <c r="G55" s="187">
        <f ca="1">OFFSET(TblConstr[[#This Row],[Plain]],-1,0)+TblConstr[[#This Row],[Ch_Plain]]</f>
        <v>0</v>
      </c>
      <c r="H55" s="182">
        <f ca="1">OFFSET(TblConstr[[#This Row],[Forest]],-1,0)+TblConstr[[#This Row],[Ch_Forest]]</f>
        <v>0</v>
      </c>
      <c r="I55" s="359">
        <f ca="1">OFFSET(TblConstr[[#This Row],[Mountain]],-1,0)+TblConstr[[#This Row],[Ch_Mountain]]</f>
        <v>0</v>
      </c>
      <c r="J55" s="363">
        <f ca="1">OFFSET(TblConstr[[#This Row],[Hill]],-1,0)+TblConstr[[#This Row],[Ch_Hill]]</f>
        <v>0</v>
      </c>
      <c r="K55" s="367">
        <f ca="1">OFFSET(TblConstr[[#This Row],[Swamp]],-1,0)+TblConstr[[#This Row],[Ch_Swamp]]</f>
        <v>0</v>
      </c>
      <c r="L55" s="185">
        <f ca="1">OFFSET(TblConstr[[#This Row],[Cavern]],-1,0)+TblConstr[[#This Row],[Ch_Cavern]]</f>
        <v>0</v>
      </c>
      <c r="M55" s="186">
        <f ca="1">OFFSET(TblConstr[[#This Row],[Water]],-1,0)+TblConstr[[#This Row],[Ch_Water]]</f>
        <v>0</v>
      </c>
      <c r="N55" s="357">
        <f>TblRezone[[#This Row],[Hour]]</f>
        <v>52</v>
      </c>
      <c r="O55" s="179"/>
      <c r="P55" s="179"/>
      <c r="Q55" s="179"/>
      <c r="R55" s="179"/>
      <c r="S55" s="179"/>
      <c r="T55" s="179"/>
      <c r="U55" s="179"/>
      <c r="V55" s="179"/>
      <c r="W55" s="179"/>
      <c r="X55" s="179"/>
      <c r="Y55" s="179"/>
      <c r="Z55" s="179"/>
      <c r="AA55" s="179"/>
      <c r="AB55" s="179"/>
      <c r="AC55" s="179"/>
      <c r="AD55" s="179"/>
      <c r="AE55" s="179"/>
      <c r="AF55" s="179"/>
      <c r="AG55" s="179"/>
      <c r="AH55" s="53">
        <f ca="1">TblImps[[#This Row],[Time]]</f>
        <v>46322.124999999876</v>
      </c>
      <c r="AI55" s="180">
        <f ca="1">MIN(25%,(TblConstr[[#This Row],[Tot Fac]]+TblConstr[[#This Row],[Dest Fac]])/(TblConstr[[#This Row],[Land]]-TblExplore[[#This Row],[Land Bonus]]*20))</f>
        <v>0</v>
      </c>
      <c r="AJ55" s="180">
        <f ca="1">MIN(25%,(TblConstr[[#This Row],[Tot Fac]]+TblConstr[[#This Row],[Dest Fac]])/TblConstr[[#This Row],[Land]])</f>
        <v>0</v>
      </c>
      <c r="AK55" s="94">
        <f ca="1">TblProd[[#This Row],[Platinum]]</f>
        <v>170887</v>
      </c>
      <c r="AL55" s="94">
        <f ca="1">TblProd[[#This Row],[Lumber]]</f>
        <v>49087</v>
      </c>
      <c r="AM5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5" s="94">
        <f ca="1">ROUNDDOWN( MAX(1 - MIN(facs_constr_factor*TblConstr[[#This Row],[Facs -DB]],facs_constr_max) + tech_1_11*TblTech[[#This Row],[11-1]] + tech_6_3_2*TblTech[[#This Row],[6-3]] + tech_5_2_3*TblTech[[#This Row],[5-2]], 1-global_constr_cap) * TblConstr[[#This Row],[RCPA Lumber]],0)</f>
        <v>31</v>
      </c>
      <c r="AO5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5" s="94">
        <f ca="1">ROUNDDOWN( MAX(1 - MIN(facs_constr_factor*TblConstr[[#This Row],[Facs DB]],facs_constr_max) + tech_1_11*TblTech[[#This Row],[1-11]] + tech_6_3_2*TblTech[[#This Row],[6-3]] + tech_5_2_3*TblTech[[#This Row],[5-2]], 1-global_constr_cap) * ROUND((TblConstr[[#This Row],[Land]]-250)*0.285 + 87.5 + 0/4.25,0),0)</f>
        <v>31</v>
      </c>
      <c r="AQ55" s="45">
        <f ca="1">TblConstr[[#This Row],[build -db]]*TblConstr[[#This Row],[CPA Platinum -DB]] + TblConstr[[#This Row],[build db]]*TblConstr[[#This Row],[CPA Platinum DB]]</f>
        <v>0</v>
      </c>
      <c r="AR55" s="45">
        <f ca="1">TblConstr[[#This Row],[build -db]]*TblConstr[[#This Row],[CPA Lumber -DB]] + TblConstr[[#This Row],[build db]]*TblConstr[[#This Row],[CPA Lumber DB]]</f>
        <v>0</v>
      </c>
      <c r="AS55" s="94">
        <f ca="1">MIN(SUM(OFFSET(TblConstr[[#This Row],[Plain]:[Water]],-1,0))+SUM(TblConstr[[#This Row],[Dest Hom]:[Dest Doc]])+IF(TblConstr[[#This Row],[Hour]]&gt;12,SUM(OFFSET(TblExplore[[#This Row],[Plains Explore]:[Water Explore]],-12,0)),0),SUM(TblConstr[[#This Row],[Hom]:[Doc]]))</f>
        <v>0</v>
      </c>
      <c r="AT5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42"/>
      <c r="AV55" s="94">
        <f ca="1">ROUND((TblConstr[[#This Row],[Land]]-250 - IF(TblExplore[[#This Row],[Land Bonus]]&lt;&gt;0,20,0))*1.25 + 850 + 0,0)</f>
        <v>600</v>
      </c>
      <c r="AW55" s="94">
        <f ca="1">ROUND((TblConstr[[#This Row],[Land]]-250 - IF(TblExplore[[#This Row],[Land Bonus]]&lt;&gt;0,20,0))*0.285 + 87.5 + 0/4.25,0)</f>
        <v>31</v>
      </c>
      <c r="AX55" s="154"/>
      <c r="AY55" s="188" cm="1">
        <f t="array" aca="1" ref="AY55" ca="1">IF(TblConstr[[#This Row],[Hour]:[Hour]]&gt;12,OFFSET(TblConstr[[#This Row],[Hom]],-12,0),0)+OFFSET(TblConstr[[#This Row],[Tot Hom]],-1,0)-TblConstr[[#This Row],[Dest Hom]]</f>
        <v>0</v>
      </c>
      <c r="AZ55" s="189" cm="1">
        <f t="array" aca="1" ref="AZ55" ca="1">IF(TblConstr[[#This Row],[Hour]:[Hour]]&gt;12,OFFSET(TblConstr[[#This Row],[Alc]],-12,0),0)+OFFSET(TblConstr[[#This Row],[Tot Alc]],-1,0)-TblConstr[[#This Row],[Dest Alc]]</f>
        <v>0</v>
      </c>
      <c r="BA55" s="189" cm="1">
        <f t="array" aca="1" ref="BA55" ca="1">IF(TblConstr[[#This Row],[Hour]:[Hour]]&gt;12,OFFSET(TblConstr[[#This Row],[Far]],-12,0),0)+OFFSET(TblConstr[[#This Row],[Tot Farm]],-1,0)-TblConstr[[#This Row],[Dest Farm]]</f>
        <v>30</v>
      </c>
      <c r="BB55" s="189" cm="1">
        <f t="array" aca="1" ref="BB55" ca="1">IF(TblConstr[[#This Row],[Hour]:[Hour]]&gt;12,OFFSET(TblConstr[[#This Row],[Smi]],-12,0),0)+OFFSET(TblConstr[[#This Row],[Tot Smi]],-1,0)-TblConstr[[#This Row],[Dest Smi]]</f>
        <v>0</v>
      </c>
      <c r="BC55" s="189" cm="1">
        <f t="array" aca="1" ref="BC55" ca="1">IF(TblConstr[[#This Row],[Hour]:[Hour]]&gt;12,OFFSET(TblConstr[[#This Row],[Mas]],-12,0),0)+OFFSET(TblConstr[[#This Row],[Tot Mas]],-1,0)-TblConstr[[#This Row],[Dest Mas]]</f>
        <v>0</v>
      </c>
      <c r="BD55" s="190" cm="1">
        <f t="array" aca="1" ref="BD55" ca="1">IF(TblConstr[[#This Row],[Hour]:[Hour]]&gt;12,OFFSET(TblConstr[[#This Row],[Ly]],-12,0),0)+OFFSET(TblConstr[[#This Row],[Tot Ly]],-1,0)-TblConstr[[#This Row],[Dest Ly]]</f>
        <v>20</v>
      </c>
      <c r="BE55" s="190" cm="1">
        <f t="array" aca="1" ref="BE55" ca="1">IF(TblConstr[[#This Row],[Hour]:[Hour]]&gt;12,OFFSET(TblConstr[[#This Row],[Hav]],-12,0),0)+OFFSET(TblConstr[[#This Row],[Tot Hav]],-1,0)-TblConstr[[#This Row],[Dest Hav]]</f>
        <v>0</v>
      </c>
      <c r="BF55" s="361" cm="1">
        <f t="array" aca="1" ref="BF55" ca="1">IF(TblConstr[[#This Row],[Hour]:[Hour]]&gt;12,OFFSET(TblConstr[[#This Row],[OM]],-12,0),0)+OFFSET(TblConstr[[#This Row],[Tot OM]],-1,0)-TblConstr[[#This Row],[Dest OM]]</f>
        <v>0</v>
      </c>
      <c r="BG55" s="361" cm="1">
        <f t="array" aca="1" ref="BG55" ca="1">IF(TblConstr[[#This Row],[Hour]:[Hour]]&gt;12,OFFSET(TblConstr[[#This Row],[GN]],-12,0),0)+OFFSET(TblConstr[[#This Row],[Tot GN]],-1,0)-TblConstr[[#This Row],[Dest GN]]</f>
        <v>0</v>
      </c>
      <c r="BH55" s="365" cm="1">
        <f t="array" aca="1" ref="BH55" ca="1">IF(TblConstr[[#This Row],[Hour]:[Hour]]&gt;12,OFFSET(TblConstr[[#This Row],[Fac]],-12,0),0)+OFFSET(TblConstr[[#This Row],[Tot Fac]],-1,0)-TblConstr[[#This Row],[Dest Fac]]</f>
        <v>0</v>
      </c>
      <c r="BI55" s="365" cm="1">
        <f t="array" aca="1" ref="BI55" ca="1">IF(TblConstr[[#This Row],[Hour]:[Hour]]&gt;12,OFFSET(TblConstr[[#This Row],[GT]],-12,0),0)+OFFSET(TblConstr[[#This Row],[Tot GT]],-1,0)-TblConstr[[#This Row],[Dest GT]]</f>
        <v>0</v>
      </c>
      <c r="BJ55" s="365" cm="1">
        <f t="array" aca="1" ref="BJ55" ca="1">IF(TblConstr[[#This Row],[Hour]:[Hour]]&gt;12,OFFSET(TblConstr[[#This Row],[Bar]],-12,0),0)+OFFSET(TblConstr[[#This Row],[Tot Bar]],-1,0)-TblConstr[[#This Row],[Dest Bar]]</f>
        <v>0</v>
      </c>
      <c r="BK55" s="365" cm="1">
        <f t="array" aca="1" ref="BK55" ca="1">IF(TblConstr[[#This Row],[Hour]:[Hour]]&gt;12,OFFSET(TblConstr[[#This Row],[Shr]],-12,0),0)+OFFSET(TblConstr[[#This Row],[Tot Shr]],-1,0)-TblConstr[[#This Row],[Dest Shr]]</f>
        <v>0</v>
      </c>
      <c r="BL55" s="369" cm="1">
        <f t="array" aca="1" ref="BL55" ca="1">IF(TblConstr[[#This Row],[Hour]:[Hour]]&gt;12,OFFSET(TblConstr[[#This Row],[Tow]],-12,0),0)+OFFSET(TblConstr[[#This Row],[Tot Tow]],-1,0)-TblConstr[[#This Row],[Dest Tow]]</f>
        <v>0</v>
      </c>
      <c r="BM55" s="369" cm="1">
        <f t="array" aca="1" ref="BM55" ca="1">IF(TblConstr[[#This Row],[Hour]:[Hour]]&gt;12,OFFSET(TblConstr[[#This Row],[Tem]],-12,0),0)+OFFSET(TblConstr[[#This Row],[Tot Tem]],-1,0)-TblConstr[[#This Row],[Dest Tem]]</f>
        <v>0</v>
      </c>
      <c r="BN55" s="369" cm="1">
        <f t="array" aca="1" ref="BN55" ca="1">IF(TblConstr[[#This Row],[Hour]:[Hour]]&gt;12,OFFSET(TblConstr[[#This Row],[WG]],-12,0),0)+OFFSET(TblConstr[[#This Row],[Tot WG]],-1,0)-TblConstr[[#This Row],[Dest WG]]</f>
        <v>0</v>
      </c>
      <c r="BO55" s="191" cm="1">
        <f t="array" aca="1" ref="BO55" ca="1">IF(TblConstr[[#This Row],[Hour]:[Hour]]&gt;12,OFFSET(TblConstr[[#This Row],[DM]],-12,0),0)+OFFSET(TblConstr[[#This Row],[Tot DM]],-1,0)-TblConstr[[#This Row],[Dest DM]]</f>
        <v>0</v>
      </c>
      <c r="BP55" s="191" cm="1">
        <f t="array" aca="1" ref="BP55" ca="1">IF(TblConstr[[#This Row],[Hour]:[Hour]]&gt;12,OFFSET(TblConstr[[#This Row],[Sch]],-12,0),0)+OFFSET(TblConstr[[#This Row],[Tot Sch]],-1,0)-TblConstr[[#This Row],[Dest Sch]]</f>
        <v>0</v>
      </c>
      <c r="BQ55" s="192" cm="1">
        <f t="array" aca="1" ref="BQ55" ca="1">IF(TblConstr[[#This Row],[Hour]:[Hour]]&gt;12,OFFSET(TblConstr[[#This Row],[Doc]],-12,0),0)+OFFSET(TblConstr[[#This Row],[Tot Doc]],-1,0)-TblConstr[[#This Row],[Dest Doc]]</f>
        <v>0</v>
      </c>
      <c r="BR55" s="142"/>
      <c r="BS55" s="154"/>
      <c r="BT55" s="94">
        <f ca="1">TblConstr[[#This Row],[Land]]</f>
        <v>50</v>
      </c>
      <c r="BU55" s="159">
        <f ca="1">TblImps[[#This Row],[Time]]</f>
        <v>46322.124999999876</v>
      </c>
      <c r="BV55" s="142"/>
      <c r="BW55" s="179"/>
      <c r="BX55" s="179"/>
      <c r="BY55" s="179"/>
      <c r="BZ55" s="179"/>
      <c r="CA55" s="179"/>
      <c r="CB55" s="179"/>
      <c r="CC55" s="179"/>
      <c r="CD55" s="179"/>
      <c r="CE55" s="179"/>
      <c r="CF55" s="179"/>
      <c r="CG55" s="179"/>
      <c r="CH55" s="179"/>
      <c r="CI55" s="179"/>
      <c r="CJ55" s="179"/>
      <c r="CK55" s="179"/>
      <c r="CL55" s="179"/>
      <c r="CM55" s="179"/>
      <c r="CN55" s="179"/>
      <c r="CO55" s="179"/>
      <c r="CP55" s="142"/>
      <c r="CQ55" s="181">
        <f ca="1">-SUM(TblConstr[[#This Row],[Alc]:[Mas]])+SUM(TblConstr[[#This Row],[Dest Alc]:[Dest Mas]])+Rezone!L55+IF("Ch_"&amp; home_land=TblConstr[[#Headers],[Ch_Plain]],TblConstr[[#This Row],[Home Land]])+IF(TblConstr[[#This Row],[Hour]:[Hour]]&gt;12,OFFSET(TblExplore[[#This Row],[Plains Explore]],-12,0),0)</f>
        <v>0</v>
      </c>
      <c r="CR55" s="182">
        <f ca="1">-SUM(TblConstr[[#This Row],[Ly]:[Hav]])+SUM(TblConstr[[#This Row],[Dest Ly]:[Dest Hav]]) +Rezone!M55 + IF("Ch_"&amp; home_land=TblConstr[[#Headers],[Ch_Forest]],TblConstr[[#This Row],[Home Land]])+IF(TblConstr[[#This Row],[Hour]:[Hour]]&gt;12,OFFSET(TblExplore[[#This Row],[Forest Explore]],-12,0),0)</f>
        <v>0</v>
      </c>
      <c r="CS55" s="359">
        <f ca="1">-SUM(TblConstr[[#This Row],[OM]:[GN]])+SUM(TblConstr[[#This Row],[Dest OM]:[Dest GN]]) +Rezone!N55 + IF("Ch_"&amp; home_land=TblConstr[[#Headers],[Ch_Mountain]],TblConstr[[#This Row],[Home Land]])+IF(TblConstr[[#This Row],[Hour]:[Hour]]&gt;12,OFFSET(TblExplore[[#This Row],[Mountain Explore]],-12,0),0)</f>
        <v>0</v>
      </c>
      <c r="CT55" s="183">
        <f ca="1">-SUM(TblConstr[[#This Row],[Fac]:[Shr]])+SUM(TblConstr[[#This Row],[Dest Fac]:[Dest Shr]]) +Rezone!O55 + IF("Ch_" &amp; home_land=TblConstr[[#Headers],[Ch_Hill]],TblConstr[[#This Row],[Home Land]])+IF(TblConstr[[#This Row],[Hour]:[Hour]]&gt;12,OFFSET(TblExplore[[#This Row],[Hill Explore]],-12,0),0)</f>
        <v>0</v>
      </c>
      <c r="CU55" s="184">
        <f ca="1">-SUM(TblConstr[[#This Row],[Tow]:[WG]])+SUM(TblConstr[[#This Row],[Dest Tow]:[Dest WG]]) +Rezone!P55 + IF("Ch_" &amp; home_land=TblConstr[[#Headers],[Ch_Swamp]],TblConstr[[#This Row],[Home Land]])+IF(TblConstr[[#This Row],[Hour]:[Hour]]&gt;12,OFFSET(TblExplore[[#This Row],[Swamp Explore]],-12,0),0)</f>
        <v>0</v>
      </c>
      <c r="CV55" s="185">
        <f ca="1" xml:space="preserve"> - SUM(TblConstr[[#This Row],[DM]:[Sch]])+SUM(TblConstr[[#This Row],[Dest DM]:[Dest Sch]]) +Rezone!Q55 + IF("Ch_" &amp; home_land=TblConstr[[#Headers],[Ch_Cavern]],TblConstr[[#This Row],[Home Land]])+IF(TblConstr[[#This Row],[Hour]:[Hour]]&gt;12,OFFSET(TblExplore[[#This Row],[Cavern Explore]],-12,0),0)</f>
        <v>0</v>
      </c>
      <c r="CW55" s="186">
        <f ca="1">-TblConstr[[#This Row],[Doc]]+TblConstr[[#This Row],[Dest Doc]] +Rezone!R55 + IF("Ch_" &amp; home_land=TblConstr[[#Headers],[Ch_Water]],TblConstr[[#This Row],[Home Land]])+IF(TblConstr[[#This Row],[Hour]:[Hour]]&gt;12,OFFSET(TblExplore[[#This Row],[Water Explore]],-12,0),0)</f>
        <v>0</v>
      </c>
      <c r="CX55" s="45">
        <f>IF(Explore!S55=1,20) - TblConstr[[#This Row],[Hom]] + TblConstr[[#This Row],[Dest Hom]]</f>
        <v>0</v>
      </c>
      <c r="CY55" s="142"/>
      <c r="CZ55" s="94">
        <f t="shared" ca="1" si="12"/>
        <v>30</v>
      </c>
      <c r="DA55" s="94">
        <f t="shared" ca="1" si="13"/>
        <v>20</v>
      </c>
      <c r="DB55" s="45">
        <f t="shared" ca="1" si="14"/>
        <v>0</v>
      </c>
      <c r="DC55" s="94">
        <f t="shared" ca="1" si="15"/>
        <v>0</v>
      </c>
      <c r="DD55" s="94">
        <f t="shared" ca="1" si="16"/>
        <v>0</v>
      </c>
      <c r="DE55" s="45">
        <f t="shared" ca="1" si="17"/>
        <v>0</v>
      </c>
      <c r="DF55" s="94">
        <f t="shared" ca="1" si="18"/>
        <v>0</v>
      </c>
      <c r="DG55" s="94" cm="1">
        <f t="array" aca="1" ref="DG55" ca="1">INDEX(TblConstr[[Total Plain]:[Total Water]],ROW()-ROW(TblConstr[#Headers]),MATCH("Total "&amp;home_land,TblConstr[[#Headers],[Total Plain]:[Total Water]],0))+TblConstr[[#This Row],[Homes]]</f>
        <v>30</v>
      </c>
      <c r="DH55" s="45">
        <f t="shared" ca="1" si="10"/>
        <v>0</v>
      </c>
      <c r="DI55" s="45">
        <f t="shared" ca="1" si="0"/>
        <v>0</v>
      </c>
      <c r="DJ55" s="45">
        <f t="shared" ca="1" si="1"/>
        <v>0</v>
      </c>
    </row>
    <row r="56" spans="1:114" x14ac:dyDescent="0.2">
      <c r="A56" s="175">
        <f>TblRezone[[#This Row],[Hour]]</f>
        <v>53</v>
      </c>
      <c r="B56" s="176">
        <f ca="1">SUM(TblConstr[[#This Row],[Plain]:[Water]])</f>
        <v>0</v>
      </c>
      <c r="C56" s="177">
        <f ca="1">SUM(TblConstr[[#This Row],[Tot Hom]:[Tot Doc]])</f>
        <v>50</v>
      </c>
      <c r="D56" s="177">
        <f t="shared" si="11"/>
        <v>0</v>
      </c>
      <c r="E56" s="178"/>
      <c r="F56" s="61">
        <f ca="1">TblConstr[[#This Row],[Barren]]+TblConstr[[#This Row],[Buildings]]+TblConstr[[#This Row],[Incoming]]</f>
        <v>50</v>
      </c>
      <c r="G56" s="187">
        <f ca="1">OFFSET(TblConstr[[#This Row],[Plain]],-1,0)+TblConstr[[#This Row],[Ch_Plain]]</f>
        <v>0</v>
      </c>
      <c r="H56" s="182">
        <f ca="1">OFFSET(TblConstr[[#This Row],[Forest]],-1,0)+TblConstr[[#This Row],[Ch_Forest]]</f>
        <v>0</v>
      </c>
      <c r="I56" s="359">
        <f ca="1">OFFSET(TblConstr[[#This Row],[Mountain]],-1,0)+TblConstr[[#This Row],[Ch_Mountain]]</f>
        <v>0</v>
      </c>
      <c r="J56" s="363">
        <f ca="1">OFFSET(TblConstr[[#This Row],[Hill]],-1,0)+TblConstr[[#This Row],[Ch_Hill]]</f>
        <v>0</v>
      </c>
      <c r="K56" s="367">
        <f ca="1">OFFSET(TblConstr[[#This Row],[Swamp]],-1,0)+TblConstr[[#This Row],[Ch_Swamp]]</f>
        <v>0</v>
      </c>
      <c r="L56" s="185">
        <f ca="1">OFFSET(TblConstr[[#This Row],[Cavern]],-1,0)+TblConstr[[#This Row],[Ch_Cavern]]</f>
        <v>0</v>
      </c>
      <c r="M56" s="186">
        <f ca="1">OFFSET(TblConstr[[#This Row],[Water]],-1,0)+TblConstr[[#This Row],[Ch_Water]]</f>
        <v>0</v>
      </c>
      <c r="N56" s="357">
        <f>TblRezone[[#This Row],[Hour]]</f>
        <v>53</v>
      </c>
      <c r="O56" s="179"/>
      <c r="P56" s="179"/>
      <c r="Q56" s="179"/>
      <c r="R56" s="179"/>
      <c r="S56" s="179"/>
      <c r="T56" s="179"/>
      <c r="U56" s="179"/>
      <c r="V56" s="179"/>
      <c r="W56" s="179"/>
      <c r="X56" s="179"/>
      <c r="Y56" s="179"/>
      <c r="Z56" s="179"/>
      <c r="AA56" s="179"/>
      <c r="AB56" s="179"/>
      <c r="AC56" s="179"/>
      <c r="AD56" s="179"/>
      <c r="AE56" s="179"/>
      <c r="AF56" s="179"/>
      <c r="AG56" s="179"/>
      <c r="AH56" s="53">
        <f ca="1">TblImps[[#This Row],[Time]]</f>
        <v>46322.166666666541</v>
      </c>
      <c r="AI56" s="180">
        <f ca="1">MIN(25%,(TblConstr[[#This Row],[Tot Fac]]+TblConstr[[#This Row],[Dest Fac]])/(TblConstr[[#This Row],[Land]]-TblExplore[[#This Row],[Land Bonus]]*20))</f>
        <v>0</v>
      </c>
      <c r="AJ56" s="180">
        <f ca="1">MIN(25%,(TblConstr[[#This Row],[Tot Fac]]+TblConstr[[#This Row],[Dest Fac]])/TblConstr[[#This Row],[Land]])</f>
        <v>0</v>
      </c>
      <c r="AK56" s="94">
        <f ca="1">TblProd[[#This Row],[Platinum]]</f>
        <v>171651</v>
      </c>
      <c r="AL56" s="94">
        <f ca="1">TblProd[[#This Row],[Lumber]]</f>
        <v>49596</v>
      </c>
      <c r="AM5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6" s="94">
        <f ca="1">ROUNDDOWN( MAX(1 - MIN(facs_constr_factor*TblConstr[[#This Row],[Facs -DB]],facs_constr_max) + tech_1_11*TblTech[[#This Row],[11-1]] + tech_6_3_2*TblTech[[#This Row],[6-3]] + tech_5_2_3*TblTech[[#This Row],[5-2]], 1-global_constr_cap) * TblConstr[[#This Row],[RCPA Lumber]],0)</f>
        <v>31</v>
      </c>
      <c r="AO5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6" s="94">
        <f ca="1">ROUNDDOWN( MAX(1 - MIN(facs_constr_factor*TblConstr[[#This Row],[Facs DB]],facs_constr_max) + tech_1_11*TblTech[[#This Row],[1-11]] + tech_6_3_2*TblTech[[#This Row],[6-3]] + tech_5_2_3*TblTech[[#This Row],[5-2]], 1-global_constr_cap) * ROUND((TblConstr[[#This Row],[Land]]-250)*0.285 + 87.5 + 0/4.25,0),0)</f>
        <v>31</v>
      </c>
      <c r="AQ56" s="45">
        <f ca="1">TblConstr[[#This Row],[build -db]]*TblConstr[[#This Row],[CPA Platinum -DB]] + TblConstr[[#This Row],[build db]]*TblConstr[[#This Row],[CPA Platinum DB]]</f>
        <v>0</v>
      </c>
      <c r="AR56" s="45">
        <f ca="1">TblConstr[[#This Row],[build -db]]*TblConstr[[#This Row],[CPA Lumber -DB]] + TblConstr[[#This Row],[build db]]*TblConstr[[#This Row],[CPA Lumber DB]]</f>
        <v>0</v>
      </c>
      <c r="AS56" s="94">
        <f ca="1">MIN(SUM(OFFSET(TblConstr[[#This Row],[Plain]:[Water]],-1,0))+SUM(TblConstr[[#This Row],[Dest Hom]:[Dest Doc]])+IF(TblConstr[[#This Row],[Hour]]&gt;12,SUM(OFFSET(TblExplore[[#This Row],[Plains Explore]:[Water Explore]],-12,0)),0),SUM(TblConstr[[#This Row],[Hom]:[Doc]]))</f>
        <v>0</v>
      </c>
      <c r="AT5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42"/>
      <c r="AV56" s="94">
        <f ca="1">ROUND((TblConstr[[#This Row],[Land]]-250 - IF(TblExplore[[#This Row],[Land Bonus]]&lt;&gt;0,20,0))*1.25 + 850 + 0,0)</f>
        <v>600</v>
      </c>
      <c r="AW56" s="94">
        <f ca="1">ROUND((TblConstr[[#This Row],[Land]]-250 - IF(TblExplore[[#This Row],[Land Bonus]]&lt;&gt;0,20,0))*0.285 + 87.5 + 0/4.25,0)</f>
        <v>31</v>
      </c>
      <c r="AX56" s="154"/>
      <c r="AY56" s="188" cm="1">
        <f t="array" aca="1" ref="AY56" ca="1">IF(TblConstr[[#This Row],[Hour]:[Hour]]&gt;12,OFFSET(TblConstr[[#This Row],[Hom]],-12,0),0)+OFFSET(TblConstr[[#This Row],[Tot Hom]],-1,0)-TblConstr[[#This Row],[Dest Hom]]</f>
        <v>0</v>
      </c>
      <c r="AZ56" s="189" cm="1">
        <f t="array" aca="1" ref="AZ56" ca="1">IF(TblConstr[[#This Row],[Hour]:[Hour]]&gt;12,OFFSET(TblConstr[[#This Row],[Alc]],-12,0),0)+OFFSET(TblConstr[[#This Row],[Tot Alc]],-1,0)-TblConstr[[#This Row],[Dest Alc]]</f>
        <v>0</v>
      </c>
      <c r="BA56" s="189" cm="1">
        <f t="array" aca="1" ref="BA56" ca="1">IF(TblConstr[[#This Row],[Hour]:[Hour]]&gt;12,OFFSET(TblConstr[[#This Row],[Far]],-12,0),0)+OFFSET(TblConstr[[#This Row],[Tot Farm]],-1,0)-TblConstr[[#This Row],[Dest Farm]]</f>
        <v>30</v>
      </c>
      <c r="BB56" s="189" cm="1">
        <f t="array" aca="1" ref="BB56" ca="1">IF(TblConstr[[#This Row],[Hour]:[Hour]]&gt;12,OFFSET(TblConstr[[#This Row],[Smi]],-12,0),0)+OFFSET(TblConstr[[#This Row],[Tot Smi]],-1,0)-TblConstr[[#This Row],[Dest Smi]]</f>
        <v>0</v>
      </c>
      <c r="BC56" s="189" cm="1">
        <f t="array" aca="1" ref="BC56" ca="1">IF(TblConstr[[#This Row],[Hour]:[Hour]]&gt;12,OFFSET(TblConstr[[#This Row],[Mas]],-12,0),0)+OFFSET(TblConstr[[#This Row],[Tot Mas]],-1,0)-TblConstr[[#This Row],[Dest Mas]]</f>
        <v>0</v>
      </c>
      <c r="BD56" s="190" cm="1">
        <f t="array" aca="1" ref="BD56" ca="1">IF(TblConstr[[#This Row],[Hour]:[Hour]]&gt;12,OFFSET(TblConstr[[#This Row],[Ly]],-12,0),0)+OFFSET(TblConstr[[#This Row],[Tot Ly]],-1,0)-TblConstr[[#This Row],[Dest Ly]]</f>
        <v>20</v>
      </c>
      <c r="BE56" s="190" cm="1">
        <f t="array" aca="1" ref="BE56" ca="1">IF(TblConstr[[#This Row],[Hour]:[Hour]]&gt;12,OFFSET(TblConstr[[#This Row],[Hav]],-12,0),0)+OFFSET(TblConstr[[#This Row],[Tot Hav]],-1,0)-TblConstr[[#This Row],[Dest Hav]]</f>
        <v>0</v>
      </c>
      <c r="BF56" s="361" cm="1">
        <f t="array" aca="1" ref="BF56" ca="1">IF(TblConstr[[#This Row],[Hour]:[Hour]]&gt;12,OFFSET(TblConstr[[#This Row],[OM]],-12,0),0)+OFFSET(TblConstr[[#This Row],[Tot OM]],-1,0)-TblConstr[[#This Row],[Dest OM]]</f>
        <v>0</v>
      </c>
      <c r="BG56" s="361" cm="1">
        <f t="array" aca="1" ref="BG56" ca="1">IF(TblConstr[[#This Row],[Hour]:[Hour]]&gt;12,OFFSET(TblConstr[[#This Row],[GN]],-12,0),0)+OFFSET(TblConstr[[#This Row],[Tot GN]],-1,0)-TblConstr[[#This Row],[Dest GN]]</f>
        <v>0</v>
      </c>
      <c r="BH56" s="365" cm="1">
        <f t="array" aca="1" ref="BH56" ca="1">IF(TblConstr[[#This Row],[Hour]:[Hour]]&gt;12,OFFSET(TblConstr[[#This Row],[Fac]],-12,0),0)+OFFSET(TblConstr[[#This Row],[Tot Fac]],-1,0)-TblConstr[[#This Row],[Dest Fac]]</f>
        <v>0</v>
      </c>
      <c r="BI56" s="365" cm="1">
        <f t="array" aca="1" ref="BI56" ca="1">IF(TblConstr[[#This Row],[Hour]:[Hour]]&gt;12,OFFSET(TblConstr[[#This Row],[GT]],-12,0),0)+OFFSET(TblConstr[[#This Row],[Tot GT]],-1,0)-TblConstr[[#This Row],[Dest GT]]</f>
        <v>0</v>
      </c>
      <c r="BJ56" s="365" cm="1">
        <f t="array" aca="1" ref="BJ56" ca="1">IF(TblConstr[[#This Row],[Hour]:[Hour]]&gt;12,OFFSET(TblConstr[[#This Row],[Bar]],-12,0),0)+OFFSET(TblConstr[[#This Row],[Tot Bar]],-1,0)-TblConstr[[#This Row],[Dest Bar]]</f>
        <v>0</v>
      </c>
      <c r="BK56" s="365" cm="1">
        <f t="array" aca="1" ref="BK56" ca="1">IF(TblConstr[[#This Row],[Hour]:[Hour]]&gt;12,OFFSET(TblConstr[[#This Row],[Shr]],-12,0),0)+OFFSET(TblConstr[[#This Row],[Tot Shr]],-1,0)-TblConstr[[#This Row],[Dest Shr]]</f>
        <v>0</v>
      </c>
      <c r="BL56" s="369" cm="1">
        <f t="array" aca="1" ref="BL56" ca="1">IF(TblConstr[[#This Row],[Hour]:[Hour]]&gt;12,OFFSET(TblConstr[[#This Row],[Tow]],-12,0),0)+OFFSET(TblConstr[[#This Row],[Tot Tow]],-1,0)-TblConstr[[#This Row],[Dest Tow]]</f>
        <v>0</v>
      </c>
      <c r="BM56" s="369" cm="1">
        <f t="array" aca="1" ref="BM56" ca="1">IF(TblConstr[[#This Row],[Hour]:[Hour]]&gt;12,OFFSET(TblConstr[[#This Row],[Tem]],-12,0),0)+OFFSET(TblConstr[[#This Row],[Tot Tem]],-1,0)-TblConstr[[#This Row],[Dest Tem]]</f>
        <v>0</v>
      </c>
      <c r="BN56" s="369" cm="1">
        <f t="array" aca="1" ref="BN56" ca="1">IF(TblConstr[[#This Row],[Hour]:[Hour]]&gt;12,OFFSET(TblConstr[[#This Row],[WG]],-12,0),0)+OFFSET(TblConstr[[#This Row],[Tot WG]],-1,0)-TblConstr[[#This Row],[Dest WG]]</f>
        <v>0</v>
      </c>
      <c r="BO56" s="191" cm="1">
        <f t="array" aca="1" ref="BO56" ca="1">IF(TblConstr[[#This Row],[Hour]:[Hour]]&gt;12,OFFSET(TblConstr[[#This Row],[DM]],-12,0),0)+OFFSET(TblConstr[[#This Row],[Tot DM]],-1,0)-TblConstr[[#This Row],[Dest DM]]</f>
        <v>0</v>
      </c>
      <c r="BP56" s="191" cm="1">
        <f t="array" aca="1" ref="BP56" ca="1">IF(TblConstr[[#This Row],[Hour]:[Hour]]&gt;12,OFFSET(TblConstr[[#This Row],[Sch]],-12,0),0)+OFFSET(TblConstr[[#This Row],[Tot Sch]],-1,0)-TblConstr[[#This Row],[Dest Sch]]</f>
        <v>0</v>
      </c>
      <c r="BQ56" s="192" cm="1">
        <f t="array" aca="1" ref="BQ56" ca="1">IF(TblConstr[[#This Row],[Hour]:[Hour]]&gt;12,OFFSET(TblConstr[[#This Row],[Doc]],-12,0),0)+OFFSET(TblConstr[[#This Row],[Tot Doc]],-1,0)-TblConstr[[#This Row],[Dest Doc]]</f>
        <v>0</v>
      </c>
      <c r="BR56" s="142"/>
      <c r="BS56" s="154"/>
      <c r="BT56" s="94">
        <f ca="1">TblConstr[[#This Row],[Land]]</f>
        <v>50</v>
      </c>
      <c r="BU56" s="159">
        <f ca="1">TblImps[[#This Row],[Time]]</f>
        <v>46322.166666666541</v>
      </c>
      <c r="BV56" s="142"/>
      <c r="BW56" s="179"/>
      <c r="BX56" s="179"/>
      <c r="BY56" s="179"/>
      <c r="BZ56" s="179"/>
      <c r="CA56" s="179"/>
      <c r="CB56" s="179"/>
      <c r="CC56" s="179"/>
      <c r="CD56" s="179"/>
      <c r="CE56" s="179"/>
      <c r="CF56" s="179"/>
      <c r="CG56" s="179"/>
      <c r="CH56" s="179"/>
      <c r="CI56" s="179"/>
      <c r="CJ56" s="179"/>
      <c r="CK56" s="179"/>
      <c r="CL56" s="179"/>
      <c r="CM56" s="179"/>
      <c r="CN56" s="179"/>
      <c r="CO56" s="179"/>
      <c r="CP56" s="142"/>
      <c r="CQ56" s="181">
        <f ca="1">-SUM(TblConstr[[#This Row],[Alc]:[Mas]])+SUM(TblConstr[[#This Row],[Dest Alc]:[Dest Mas]])+Rezone!L56+IF("Ch_"&amp; home_land=TblConstr[[#Headers],[Ch_Plain]],TblConstr[[#This Row],[Home Land]])+IF(TblConstr[[#This Row],[Hour]:[Hour]]&gt;12,OFFSET(TblExplore[[#This Row],[Plains Explore]],-12,0),0)</f>
        <v>0</v>
      </c>
      <c r="CR56" s="182">
        <f ca="1">-SUM(TblConstr[[#This Row],[Ly]:[Hav]])+SUM(TblConstr[[#This Row],[Dest Ly]:[Dest Hav]]) +Rezone!M56 + IF("Ch_"&amp; home_land=TblConstr[[#Headers],[Ch_Forest]],TblConstr[[#This Row],[Home Land]])+IF(TblConstr[[#This Row],[Hour]:[Hour]]&gt;12,OFFSET(TblExplore[[#This Row],[Forest Explore]],-12,0),0)</f>
        <v>0</v>
      </c>
      <c r="CS56" s="359">
        <f ca="1">-SUM(TblConstr[[#This Row],[OM]:[GN]])+SUM(TblConstr[[#This Row],[Dest OM]:[Dest GN]]) +Rezone!N56 + IF("Ch_"&amp; home_land=TblConstr[[#Headers],[Ch_Mountain]],TblConstr[[#This Row],[Home Land]])+IF(TblConstr[[#This Row],[Hour]:[Hour]]&gt;12,OFFSET(TblExplore[[#This Row],[Mountain Explore]],-12,0),0)</f>
        <v>0</v>
      </c>
      <c r="CT56" s="183">
        <f ca="1">-SUM(TblConstr[[#This Row],[Fac]:[Shr]])+SUM(TblConstr[[#This Row],[Dest Fac]:[Dest Shr]]) +Rezone!O56 + IF("Ch_" &amp; home_land=TblConstr[[#Headers],[Ch_Hill]],TblConstr[[#This Row],[Home Land]])+IF(TblConstr[[#This Row],[Hour]:[Hour]]&gt;12,OFFSET(TblExplore[[#This Row],[Hill Explore]],-12,0),0)</f>
        <v>0</v>
      </c>
      <c r="CU56" s="184">
        <f ca="1">-SUM(TblConstr[[#This Row],[Tow]:[WG]])+SUM(TblConstr[[#This Row],[Dest Tow]:[Dest WG]]) +Rezone!P56 + IF("Ch_" &amp; home_land=TblConstr[[#Headers],[Ch_Swamp]],TblConstr[[#This Row],[Home Land]])+IF(TblConstr[[#This Row],[Hour]:[Hour]]&gt;12,OFFSET(TblExplore[[#This Row],[Swamp Explore]],-12,0),0)</f>
        <v>0</v>
      </c>
      <c r="CV56" s="185">
        <f ca="1" xml:space="preserve"> - SUM(TblConstr[[#This Row],[DM]:[Sch]])+SUM(TblConstr[[#This Row],[Dest DM]:[Dest Sch]]) +Rezone!Q56 + IF("Ch_" &amp; home_land=TblConstr[[#Headers],[Ch_Cavern]],TblConstr[[#This Row],[Home Land]])+IF(TblConstr[[#This Row],[Hour]:[Hour]]&gt;12,OFFSET(TblExplore[[#This Row],[Cavern Explore]],-12,0),0)</f>
        <v>0</v>
      </c>
      <c r="CW56" s="186">
        <f ca="1">-TblConstr[[#This Row],[Doc]]+TblConstr[[#This Row],[Dest Doc]] +Rezone!R56 + IF("Ch_" &amp; home_land=TblConstr[[#Headers],[Ch_Water]],TblConstr[[#This Row],[Home Land]])+IF(TblConstr[[#This Row],[Hour]:[Hour]]&gt;12,OFFSET(TblExplore[[#This Row],[Water Explore]],-12,0),0)</f>
        <v>0</v>
      </c>
      <c r="CX56" s="45">
        <f>IF(Explore!S56=1,20) - TblConstr[[#This Row],[Hom]] + TblConstr[[#This Row],[Dest Hom]]</f>
        <v>0</v>
      </c>
      <c r="CY56" s="142"/>
      <c r="CZ56" s="94">
        <f t="shared" ca="1" si="12"/>
        <v>30</v>
      </c>
      <c r="DA56" s="94">
        <f t="shared" ca="1" si="13"/>
        <v>20</v>
      </c>
      <c r="DB56" s="45">
        <f t="shared" ca="1" si="14"/>
        <v>0</v>
      </c>
      <c r="DC56" s="94">
        <f t="shared" ca="1" si="15"/>
        <v>0</v>
      </c>
      <c r="DD56" s="94">
        <f t="shared" ca="1" si="16"/>
        <v>0</v>
      </c>
      <c r="DE56" s="45">
        <f t="shared" ca="1" si="17"/>
        <v>0</v>
      </c>
      <c r="DF56" s="94">
        <f t="shared" ca="1" si="18"/>
        <v>0</v>
      </c>
      <c r="DG56" s="94" cm="1">
        <f t="array" aca="1" ref="DG56" ca="1">INDEX(TblConstr[[Total Plain]:[Total Water]],ROW()-ROW(TblConstr[#Headers]),MATCH("Total "&amp;home_land,TblConstr[[#Headers],[Total Plain]:[Total Water]],0))+TblConstr[[#This Row],[Homes]]</f>
        <v>30</v>
      </c>
      <c r="DH56" s="45">
        <f t="shared" ca="1" si="10"/>
        <v>0</v>
      </c>
      <c r="DI56" s="45">
        <f t="shared" ca="1" si="0"/>
        <v>0</v>
      </c>
      <c r="DJ56" s="45">
        <f t="shared" ca="1" si="1"/>
        <v>0</v>
      </c>
    </row>
    <row r="57" spans="1:114" x14ac:dyDescent="0.2">
      <c r="A57" s="175">
        <f>TblRezone[[#This Row],[Hour]]</f>
        <v>54</v>
      </c>
      <c r="B57" s="176">
        <f ca="1">SUM(TblConstr[[#This Row],[Plain]:[Water]])</f>
        <v>0</v>
      </c>
      <c r="C57" s="177">
        <f ca="1">SUM(TblConstr[[#This Row],[Tot Hom]:[Tot Doc]])</f>
        <v>50</v>
      </c>
      <c r="D57" s="177">
        <f t="shared" si="11"/>
        <v>0</v>
      </c>
      <c r="E57" s="178"/>
      <c r="F57" s="61">
        <f ca="1">TblConstr[[#This Row],[Barren]]+TblConstr[[#This Row],[Buildings]]+TblConstr[[#This Row],[Incoming]]</f>
        <v>50</v>
      </c>
      <c r="G57" s="187">
        <f ca="1">OFFSET(TblConstr[[#This Row],[Plain]],-1,0)+TblConstr[[#This Row],[Ch_Plain]]</f>
        <v>0</v>
      </c>
      <c r="H57" s="182">
        <f ca="1">OFFSET(TblConstr[[#This Row],[Forest]],-1,0)+TblConstr[[#This Row],[Ch_Forest]]</f>
        <v>0</v>
      </c>
      <c r="I57" s="359">
        <f ca="1">OFFSET(TblConstr[[#This Row],[Mountain]],-1,0)+TblConstr[[#This Row],[Ch_Mountain]]</f>
        <v>0</v>
      </c>
      <c r="J57" s="363">
        <f ca="1">OFFSET(TblConstr[[#This Row],[Hill]],-1,0)+TblConstr[[#This Row],[Ch_Hill]]</f>
        <v>0</v>
      </c>
      <c r="K57" s="367">
        <f ca="1">OFFSET(TblConstr[[#This Row],[Swamp]],-1,0)+TblConstr[[#This Row],[Ch_Swamp]]</f>
        <v>0</v>
      </c>
      <c r="L57" s="185">
        <f ca="1">OFFSET(TblConstr[[#This Row],[Cavern]],-1,0)+TblConstr[[#This Row],[Ch_Cavern]]</f>
        <v>0</v>
      </c>
      <c r="M57" s="186">
        <f ca="1">OFFSET(TblConstr[[#This Row],[Water]],-1,0)+TblConstr[[#This Row],[Ch_Water]]</f>
        <v>0</v>
      </c>
      <c r="N57" s="357">
        <f>TblRezone[[#This Row],[Hour]]</f>
        <v>54</v>
      </c>
      <c r="O57" s="179"/>
      <c r="P57" s="179"/>
      <c r="Q57" s="179"/>
      <c r="R57" s="179"/>
      <c r="S57" s="179"/>
      <c r="T57" s="179"/>
      <c r="U57" s="179"/>
      <c r="V57" s="179"/>
      <c r="W57" s="179"/>
      <c r="X57" s="179"/>
      <c r="Y57" s="179"/>
      <c r="Z57" s="179"/>
      <c r="AA57" s="179"/>
      <c r="AB57" s="179"/>
      <c r="AC57" s="179"/>
      <c r="AD57" s="179"/>
      <c r="AE57" s="179"/>
      <c r="AF57" s="179"/>
      <c r="AG57" s="179"/>
      <c r="AH57" s="53">
        <f ca="1">TblImps[[#This Row],[Time]]</f>
        <v>46322.208333333205</v>
      </c>
      <c r="AI57" s="180">
        <f ca="1">MIN(25%,(TblConstr[[#This Row],[Tot Fac]]+TblConstr[[#This Row],[Dest Fac]])/(TblConstr[[#This Row],[Land]]-TblExplore[[#This Row],[Land Bonus]]*20))</f>
        <v>0</v>
      </c>
      <c r="AJ57" s="180">
        <f ca="1">MIN(25%,(TblConstr[[#This Row],[Tot Fac]]+TblConstr[[#This Row],[Dest Fac]])/TblConstr[[#This Row],[Land]])</f>
        <v>0</v>
      </c>
      <c r="AK57" s="94">
        <f ca="1">TblProd[[#This Row],[Platinum]]</f>
        <v>172407</v>
      </c>
      <c r="AL57" s="94">
        <f ca="1">TblProd[[#This Row],[Lumber]]</f>
        <v>50100</v>
      </c>
      <c r="AM5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7" s="94">
        <f ca="1">ROUNDDOWN( MAX(1 - MIN(facs_constr_factor*TblConstr[[#This Row],[Facs -DB]],facs_constr_max) + tech_1_11*TblTech[[#This Row],[11-1]] + tech_6_3_2*TblTech[[#This Row],[6-3]] + tech_5_2_3*TblTech[[#This Row],[5-2]], 1-global_constr_cap) * TblConstr[[#This Row],[RCPA Lumber]],0)</f>
        <v>31</v>
      </c>
      <c r="AO5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7" s="94">
        <f ca="1">ROUNDDOWN( MAX(1 - MIN(facs_constr_factor*TblConstr[[#This Row],[Facs DB]],facs_constr_max) + tech_1_11*TblTech[[#This Row],[1-11]] + tech_6_3_2*TblTech[[#This Row],[6-3]] + tech_5_2_3*TblTech[[#This Row],[5-2]], 1-global_constr_cap) * ROUND((TblConstr[[#This Row],[Land]]-250)*0.285 + 87.5 + 0/4.25,0),0)</f>
        <v>31</v>
      </c>
      <c r="AQ57" s="45">
        <f ca="1">TblConstr[[#This Row],[build -db]]*TblConstr[[#This Row],[CPA Platinum -DB]] + TblConstr[[#This Row],[build db]]*TblConstr[[#This Row],[CPA Platinum DB]]</f>
        <v>0</v>
      </c>
      <c r="AR57" s="45">
        <f ca="1">TblConstr[[#This Row],[build -db]]*TblConstr[[#This Row],[CPA Lumber -DB]] + TblConstr[[#This Row],[build db]]*TblConstr[[#This Row],[CPA Lumber DB]]</f>
        <v>0</v>
      </c>
      <c r="AS57" s="94">
        <f ca="1">MIN(SUM(OFFSET(TblConstr[[#This Row],[Plain]:[Water]],-1,0))+SUM(TblConstr[[#This Row],[Dest Hom]:[Dest Doc]])+IF(TblConstr[[#This Row],[Hour]]&gt;12,SUM(OFFSET(TblExplore[[#This Row],[Plains Explore]:[Water Explore]],-12,0)),0),SUM(TblConstr[[#This Row],[Hom]:[Doc]]))</f>
        <v>0</v>
      </c>
      <c r="AT5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42"/>
      <c r="AV57" s="94">
        <f ca="1">ROUND((TblConstr[[#This Row],[Land]]-250 - IF(TblExplore[[#This Row],[Land Bonus]]&lt;&gt;0,20,0))*1.25 + 850 + 0,0)</f>
        <v>600</v>
      </c>
      <c r="AW57" s="94">
        <f ca="1">ROUND((TblConstr[[#This Row],[Land]]-250 - IF(TblExplore[[#This Row],[Land Bonus]]&lt;&gt;0,20,0))*0.285 + 87.5 + 0/4.25,0)</f>
        <v>31</v>
      </c>
      <c r="AX57" s="154"/>
      <c r="AY57" s="188" cm="1">
        <f t="array" aca="1" ref="AY57" ca="1">IF(TblConstr[[#This Row],[Hour]:[Hour]]&gt;12,OFFSET(TblConstr[[#This Row],[Hom]],-12,0),0)+OFFSET(TblConstr[[#This Row],[Tot Hom]],-1,0)-TblConstr[[#This Row],[Dest Hom]]</f>
        <v>0</v>
      </c>
      <c r="AZ57" s="189" cm="1">
        <f t="array" aca="1" ref="AZ57" ca="1">IF(TblConstr[[#This Row],[Hour]:[Hour]]&gt;12,OFFSET(TblConstr[[#This Row],[Alc]],-12,0),0)+OFFSET(TblConstr[[#This Row],[Tot Alc]],-1,0)-TblConstr[[#This Row],[Dest Alc]]</f>
        <v>0</v>
      </c>
      <c r="BA57" s="189" cm="1">
        <f t="array" aca="1" ref="BA57" ca="1">IF(TblConstr[[#This Row],[Hour]:[Hour]]&gt;12,OFFSET(TblConstr[[#This Row],[Far]],-12,0),0)+OFFSET(TblConstr[[#This Row],[Tot Farm]],-1,0)-TblConstr[[#This Row],[Dest Farm]]</f>
        <v>30</v>
      </c>
      <c r="BB57" s="189" cm="1">
        <f t="array" aca="1" ref="BB57" ca="1">IF(TblConstr[[#This Row],[Hour]:[Hour]]&gt;12,OFFSET(TblConstr[[#This Row],[Smi]],-12,0),0)+OFFSET(TblConstr[[#This Row],[Tot Smi]],-1,0)-TblConstr[[#This Row],[Dest Smi]]</f>
        <v>0</v>
      </c>
      <c r="BC57" s="189" cm="1">
        <f t="array" aca="1" ref="BC57" ca="1">IF(TblConstr[[#This Row],[Hour]:[Hour]]&gt;12,OFFSET(TblConstr[[#This Row],[Mas]],-12,0),0)+OFFSET(TblConstr[[#This Row],[Tot Mas]],-1,0)-TblConstr[[#This Row],[Dest Mas]]</f>
        <v>0</v>
      </c>
      <c r="BD57" s="190" cm="1">
        <f t="array" aca="1" ref="BD57" ca="1">IF(TblConstr[[#This Row],[Hour]:[Hour]]&gt;12,OFFSET(TblConstr[[#This Row],[Ly]],-12,0),0)+OFFSET(TblConstr[[#This Row],[Tot Ly]],-1,0)-TblConstr[[#This Row],[Dest Ly]]</f>
        <v>20</v>
      </c>
      <c r="BE57" s="190" cm="1">
        <f t="array" aca="1" ref="BE57" ca="1">IF(TblConstr[[#This Row],[Hour]:[Hour]]&gt;12,OFFSET(TblConstr[[#This Row],[Hav]],-12,0),0)+OFFSET(TblConstr[[#This Row],[Tot Hav]],-1,0)-TblConstr[[#This Row],[Dest Hav]]</f>
        <v>0</v>
      </c>
      <c r="BF57" s="361" cm="1">
        <f t="array" aca="1" ref="BF57" ca="1">IF(TblConstr[[#This Row],[Hour]:[Hour]]&gt;12,OFFSET(TblConstr[[#This Row],[OM]],-12,0),0)+OFFSET(TblConstr[[#This Row],[Tot OM]],-1,0)-TblConstr[[#This Row],[Dest OM]]</f>
        <v>0</v>
      </c>
      <c r="BG57" s="361" cm="1">
        <f t="array" aca="1" ref="BG57" ca="1">IF(TblConstr[[#This Row],[Hour]:[Hour]]&gt;12,OFFSET(TblConstr[[#This Row],[GN]],-12,0),0)+OFFSET(TblConstr[[#This Row],[Tot GN]],-1,0)-TblConstr[[#This Row],[Dest GN]]</f>
        <v>0</v>
      </c>
      <c r="BH57" s="365" cm="1">
        <f t="array" aca="1" ref="BH57" ca="1">IF(TblConstr[[#This Row],[Hour]:[Hour]]&gt;12,OFFSET(TblConstr[[#This Row],[Fac]],-12,0),0)+OFFSET(TblConstr[[#This Row],[Tot Fac]],-1,0)-TblConstr[[#This Row],[Dest Fac]]</f>
        <v>0</v>
      </c>
      <c r="BI57" s="365" cm="1">
        <f t="array" aca="1" ref="BI57" ca="1">IF(TblConstr[[#This Row],[Hour]:[Hour]]&gt;12,OFFSET(TblConstr[[#This Row],[GT]],-12,0),0)+OFFSET(TblConstr[[#This Row],[Tot GT]],-1,0)-TblConstr[[#This Row],[Dest GT]]</f>
        <v>0</v>
      </c>
      <c r="BJ57" s="365" cm="1">
        <f t="array" aca="1" ref="BJ57" ca="1">IF(TblConstr[[#This Row],[Hour]:[Hour]]&gt;12,OFFSET(TblConstr[[#This Row],[Bar]],-12,0),0)+OFFSET(TblConstr[[#This Row],[Tot Bar]],-1,0)-TblConstr[[#This Row],[Dest Bar]]</f>
        <v>0</v>
      </c>
      <c r="BK57" s="365" cm="1">
        <f t="array" aca="1" ref="BK57" ca="1">IF(TblConstr[[#This Row],[Hour]:[Hour]]&gt;12,OFFSET(TblConstr[[#This Row],[Shr]],-12,0),0)+OFFSET(TblConstr[[#This Row],[Tot Shr]],-1,0)-TblConstr[[#This Row],[Dest Shr]]</f>
        <v>0</v>
      </c>
      <c r="BL57" s="369" cm="1">
        <f t="array" aca="1" ref="BL57" ca="1">IF(TblConstr[[#This Row],[Hour]:[Hour]]&gt;12,OFFSET(TblConstr[[#This Row],[Tow]],-12,0),0)+OFFSET(TblConstr[[#This Row],[Tot Tow]],-1,0)-TblConstr[[#This Row],[Dest Tow]]</f>
        <v>0</v>
      </c>
      <c r="BM57" s="369" cm="1">
        <f t="array" aca="1" ref="BM57" ca="1">IF(TblConstr[[#This Row],[Hour]:[Hour]]&gt;12,OFFSET(TblConstr[[#This Row],[Tem]],-12,0),0)+OFFSET(TblConstr[[#This Row],[Tot Tem]],-1,0)-TblConstr[[#This Row],[Dest Tem]]</f>
        <v>0</v>
      </c>
      <c r="BN57" s="369" cm="1">
        <f t="array" aca="1" ref="BN57" ca="1">IF(TblConstr[[#This Row],[Hour]:[Hour]]&gt;12,OFFSET(TblConstr[[#This Row],[WG]],-12,0),0)+OFFSET(TblConstr[[#This Row],[Tot WG]],-1,0)-TblConstr[[#This Row],[Dest WG]]</f>
        <v>0</v>
      </c>
      <c r="BO57" s="191" cm="1">
        <f t="array" aca="1" ref="BO57" ca="1">IF(TblConstr[[#This Row],[Hour]:[Hour]]&gt;12,OFFSET(TblConstr[[#This Row],[DM]],-12,0),0)+OFFSET(TblConstr[[#This Row],[Tot DM]],-1,0)-TblConstr[[#This Row],[Dest DM]]</f>
        <v>0</v>
      </c>
      <c r="BP57" s="191" cm="1">
        <f t="array" aca="1" ref="BP57" ca="1">IF(TblConstr[[#This Row],[Hour]:[Hour]]&gt;12,OFFSET(TblConstr[[#This Row],[Sch]],-12,0),0)+OFFSET(TblConstr[[#This Row],[Tot Sch]],-1,0)-TblConstr[[#This Row],[Dest Sch]]</f>
        <v>0</v>
      </c>
      <c r="BQ57" s="192" cm="1">
        <f t="array" aca="1" ref="BQ57" ca="1">IF(TblConstr[[#This Row],[Hour]:[Hour]]&gt;12,OFFSET(TblConstr[[#This Row],[Doc]],-12,0),0)+OFFSET(TblConstr[[#This Row],[Tot Doc]],-1,0)-TblConstr[[#This Row],[Dest Doc]]</f>
        <v>0</v>
      </c>
      <c r="BR57" s="142"/>
      <c r="BS57" s="154"/>
      <c r="BT57" s="94">
        <f ca="1">TblConstr[[#This Row],[Land]]</f>
        <v>50</v>
      </c>
      <c r="BU57" s="159">
        <f ca="1">TblImps[[#This Row],[Time]]</f>
        <v>46322.208333333205</v>
      </c>
      <c r="BV57" s="142"/>
      <c r="BW57" s="179"/>
      <c r="BX57" s="179"/>
      <c r="BY57" s="179"/>
      <c r="BZ57" s="179"/>
      <c r="CA57" s="179"/>
      <c r="CB57" s="179"/>
      <c r="CC57" s="179"/>
      <c r="CD57" s="179"/>
      <c r="CE57" s="179"/>
      <c r="CF57" s="179"/>
      <c r="CG57" s="179"/>
      <c r="CH57" s="179"/>
      <c r="CI57" s="179"/>
      <c r="CJ57" s="179"/>
      <c r="CK57" s="179"/>
      <c r="CL57" s="179"/>
      <c r="CM57" s="179"/>
      <c r="CN57" s="179"/>
      <c r="CO57" s="179"/>
      <c r="CP57" s="142"/>
      <c r="CQ57" s="181">
        <f ca="1">-SUM(TblConstr[[#This Row],[Alc]:[Mas]])+SUM(TblConstr[[#This Row],[Dest Alc]:[Dest Mas]])+Rezone!L57+IF("Ch_"&amp; home_land=TblConstr[[#Headers],[Ch_Plain]],TblConstr[[#This Row],[Home Land]])+IF(TblConstr[[#This Row],[Hour]:[Hour]]&gt;12,OFFSET(TblExplore[[#This Row],[Plains Explore]],-12,0),0)</f>
        <v>0</v>
      </c>
      <c r="CR57" s="182">
        <f ca="1">-SUM(TblConstr[[#This Row],[Ly]:[Hav]])+SUM(TblConstr[[#This Row],[Dest Ly]:[Dest Hav]]) +Rezone!M57 + IF("Ch_"&amp; home_land=TblConstr[[#Headers],[Ch_Forest]],TblConstr[[#This Row],[Home Land]])+IF(TblConstr[[#This Row],[Hour]:[Hour]]&gt;12,OFFSET(TblExplore[[#This Row],[Forest Explore]],-12,0),0)</f>
        <v>0</v>
      </c>
      <c r="CS57" s="359">
        <f ca="1">-SUM(TblConstr[[#This Row],[OM]:[GN]])+SUM(TblConstr[[#This Row],[Dest OM]:[Dest GN]]) +Rezone!N57 + IF("Ch_"&amp; home_land=TblConstr[[#Headers],[Ch_Mountain]],TblConstr[[#This Row],[Home Land]])+IF(TblConstr[[#This Row],[Hour]:[Hour]]&gt;12,OFFSET(TblExplore[[#This Row],[Mountain Explore]],-12,0),0)</f>
        <v>0</v>
      </c>
      <c r="CT57" s="183">
        <f ca="1">-SUM(TblConstr[[#This Row],[Fac]:[Shr]])+SUM(TblConstr[[#This Row],[Dest Fac]:[Dest Shr]]) +Rezone!O57 + IF("Ch_" &amp; home_land=TblConstr[[#Headers],[Ch_Hill]],TblConstr[[#This Row],[Home Land]])+IF(TblConstr[[#This Row],[Hour]:[Hour]]&gt;12,OFFSET(TblExplore[[#This Row],[Hill Explore]],-12,0),0)</f>
        <v>0</v>
      </c>
      <c r="CU57" s="184">
        <f ca="1">-SUM(TblConstr[[#This Row],[Tow]:[WG]])+SUM(TblConstr[[#This Row],[Dest Tow]:[Dest WG]]) +Rezone!P57 + IF("Ch_" &amp; home_land=TblConstr[[#Headers],[Ch_Swamp]],TblConstr[[#This Row],[Home Land]])+IF(TblConstr[[#This Row],[Hour]:[Hour]]&gt;12,OFFSET(TblExplore[[#This Row],[Swamp Explore]],-12,0),0)</f>
        <v>0</v>
      </c>
      <c r="CV57" s="185">
        <f ca="1" xml:space="preserve"> - SUM(TblConstr[[#This Row],[DM]:[Sch]])+SUM(TblConstr[[#This Row],[Dest DM]:[Dest Sch]]) +Rezone!Q57 + IF("Ch_" &amp; home_land=TblConstr[[#Headers],[Ch_Cavern]],TblConstr[[#This Row],[Home Land]])+IF(TblConstr[[#This Row],[Hour]:[Hour]]&gt;12,OFFSET(TblExplore[[#This Row],[Cavern Explore]],-12,0),0)</f>
        <v>0</v>
      </c>
      <c r="CW57" s="186">
        <f ca="1">-TblConstr[[#This Row],[Doc]]+TblConstr[[#This Row],[Dest Doc]] +Rezone!R57 + IF("Ch_" &amp; home_land=TblConstr[[#Headers],[Ch_Water]],TblConstr[[#This Row],[Home Land]])+IF(TblConstr[[#This Row],[Hour]:[Hour]]&gt;12,OFFSET(TblExplore[[#This Row],[Water Explore]],-12,0),0)</f>
        <v>0</v>
      </c>
      <c r="CX57" s="45">
        <f>IF(Explore!S57=1,20) - TblConstr[[#This Row],[Hom]] + TblConstr[[#This Row],[Dest Hom]]</f>
        <v>0</v>
      </c>
      <c r="CY57" s="142"/>
      <c r="CZ57" s="94">
        <f t="shared" ca="1" si="12"/>
        <v>30</v>
      </c>
      <c r="DA57" s="94">
        <f t="shared" ca="1" si="13"/>
        <v>20</v>
      </c>
      <c r="DB57" s="45">
        <f t="shared" ca="1" si="14"/>
        <v>0</v>
      </c>
      <c r="DC57" s="94">
        <f t="shared" ca="1" si="15"/>
        <v>0</v>
      </c>
      <c r="DD57" s="94">
        <f t="shared" ca="1" si="16"/>
        <v>0</v>
      </c>
      <c r="DE57" s="45">
        <f t="shared" ca="1" si="17"/>
        <v>0</v>
      </c>
      <c r="DF57" s="94">
        <f t="shared" ca="1" si="18"/>
        <v>0</v>
      </c>
      <c r="DG57" s="94" cm="1">
        <f t="array" aca="1" ref="DG57" ca="1">INDEX(TblConstr[[Total Plain]:[Total Water]],ROW()-ROW(TblConstr[#Headers]),MATCH("Total "&amp;home_land,TblConstr[[#Headers],[Total Plain]:[Total Water]],0))+TblConstr[[#This Row],[Homes]]</f>
        <v>30</v>
      </c>
      <c r="DH57" s="45">
        <f t="shared" ca="1" si="10"/>
        <v>0</v>
      </c>
      <c r="DI57" s="45">
        <f t="shared" ca="1" si="0"/>
        <v>0</v>
      </c>
      <c r="DJ57" s="45">
        <f t="shared" ca="1" si="1"/>
        <v>0</v>
      </c>
    </row>
    <row r="58" spans="1:114" x14ac:dyDescent="0.2">
      <c r="A58" s="175">
        <f>TblRezone[[#This Row],[Hour]]</f>
        <v>55</v>
      </c>
      <c r="B58" s="176">
        <f ca="1">SUM(TblConstr[[#This Row],[Plain]:[Water]])</f>
        <v>0</v>
      </c>
      <c r="C58" s="177">
        <f ca="1">SUM(TblConstr[[#This Row],[Tot Hom]:[Tot Doc]])</f>
        <v>50</v>
      </c>
      <c r="D58" s="177">
        <f t="shared" si="11"/>
        <v>0</v>
      </c>
      <c r="E58" s="178"/>
      <c r="F58" s="61">
        <f ca="1">TblConstr[[#This Row],[Barren]]+TblConstr[[#This Row],[Buildings]]+TblConstr[[#This Row],[Incoming]]</f>
        <v>50</v>
      </c>
      <c r="G58" s="187">
        <f ca="1">OFFSET(TblConstr[[#This Row],[Plain]],-1,0)+TblConstr[[#This Row],[Ch_Plain]]</f>
        <v>0</v>
      </c>
      <c r="H58" s="182">
        <f ca="1">OFFSET(TblConstr[[#This Row],[Forest]],-1,0)+TblConstr[[#This Row],[Ch_Forest]]</f>
        <v>0</v>
      </c>
      <c r="I58" s="359">
        <f ca="1">OFFSET(TblConstr[[#This Row],[Mountain]],-1,0)+TblConstr[[#This Row],[Ch_Mountain]]</f>
        <v>0</v>
      </c>
      <c r="J58" s="363">
        <f ca="1">OFFSET(TblConstr[[#This Row],[Hill]],-1,0)+TblConstr[[#This Row],[Ch_Hill]]</f>
        <v>0</v>
      </c>
      <c r="K58" s="367">
        <f ca="1">OFFSET(TblConstr[[#This Row],[Swamp]],-1,0)+TblConstr[[#This Row],[Ch_Swamp]]</f>
        <v>0</v>
      </c>
      <c r="L58" s="185">
        <f ca="1">OFFSET(TblConstr[[#This Row],[Cavern]],-1,0)+TblConstr[[#This Row],[Ch_Cavern]]</f>
        <v>0</v>
      </c>
      <c r="M58" s="186">
        <f ca="1">OFFSET(TblConstr[[#This Row],[Water]],-1,0)+TblConstr[[#This Row],[Ch_Water]]</f>
        <v>0</v>
      </c>
      <c r="N58" s="357">
        <f>TblRezone[[#This Row],[Hour]]</f>
        <v>55</v>
      </c>
      <c r="O58" s="179"/>
      <c r="P58" s="179"/>
      <c r="Q58" s="179"/>
      <c r="R58" s="179"/>
      <c r="S58" s="179"/>
      <c r="T58" s="179"/>
      <c r="U58" s="179"/>
      <c r="V58" s="179"/>
      <c r="W58" s="179"/>
      <c r="X58" s="179"/>
      <c r="Y58" s="179"/>
      <c r="Z58" s="179"/>
      <c r="AA58" s="179"/>
      <c r="AB58" s="179"/>
      <c r="AC58" s="179"/>
      <c r="AD58" s="179"/>
      <c r="AE58" s="179"/>
      <c r="AF58" s="179"/>
      <c r="AG58" s="179"/>
      <c r="AH58" s="53">
        <f ca="1">TblImps[[#This Row],[Time]]</f>
        <v>46322.249999999869</v>
      </c>
      <c r="AI58" s="180">
        <f ca="1">MIN(25%,(TblConstr[[#This Row],[Tot Fac]]+TblConstr[[#This Row],[Dest Fac]])/(TblConstr[[#This Row],[Land]]-TblExplore[[#This Row],[Land Bonus]]*20))</f>
        <v>0</v>
      </c>
      <c r="AJ58" s="180">
        <f ca="1">MIN(25%,(TblConstr[[#This Row],[Tot Fac]]+TblConstr[[#This Row],[Dest Fac]])/TblConstr[[#This Row],[Land]])</f>
        <v>0</v>
      </c>
      <c r="AK58" s="94">
        <f ca="1">TblProd[[#This Row],[Platinum]]</f>
        <v>173154</v>
      </c>
      <c r="AL58" s="94">
        <f ca="1">TblProd[[#This Row],[Lumber]]</f>
        <v>50599</v>
      </c>
      <c r="AM5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8" s="94">
        <f ca="1">ROUNDDOWN( MAX(1 - MIN(facs_constr_factor*TblConstr[[#This Row],[Facs -DB]],facs_constr_max) + tech_1_11*TblTech[[#This Row],[11-1]] + tech_6_3_2*TblTech[[#This Row],[6-3]] + tech_5_2_3*TblTech[[#This Row],[5-2]], 1-global_constr_cap) * TblConstr[[#This Row],[RCPA Lumber]],0)</f>
        <v>31</v>
      </c>
      <c r="AO5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8" s="94">
        <f ca="1">ROUNDDOWN( MAX(1 - MIN(facs_constr_factor*TblConstr[[#This Row],[Facs DB]],facs_constr_max) + tech_1_11*TblTech[[#This Row],[1-11]] + tech_6_3_2*TblTech[[#This Row],[6-3]] + tech_5_2_3*TblTech[[#This Row],[5-2]], 1-global_constr_cap) * ROUND((TblConstr[[#This Row],[Land]]-250)*0.285 + 87.5 + 0/4.25,0),0)</f>
        <v>31</v>
      </c>
      <c r="AQ58" s="45">
        <f ca="1">TblConstr[[#This Row],[build -db]]*TblConstr[[#This Row],[CPA Platinum -DB]] + TblConstr[[#This Row],[build db]]*TblConstr[[#This Row],[CPA Platinum DB]]</f>
        <v>0</v>
      </c>
      <c r="AR58" s="45">
        <f ca="1">TblConstr[[#This Row],[build -db]]*TblConstr[[#This Row],[CPA Lumber -DB]] + TblConstr[[#This Row],[build db]]*TblConstr[[#This Row],[CPA Lumber DB]]</f>
        <v>0</v>
      </c>
      <c r="AS58" s="94">
        <f ca="1">MIN(SUM(OFFSET(TblConstr[[#This Row],[Plain]:[Water]],-1,0))+SUM(TblConstr[[#This Row],[Dest Hom]:[Dest Doc]])+IF(TblConstr[[#This Row],[Hour]]&gt;12,SUM(OFFSET(TblExplore[[#This Row],[Plains Explore]:[Water Explore]],-12,0)),0),SUM(TblConstr[[#This Row],[Hom]:[Doc]]))</f>
        <v>0</v>
      </c>
      <c r="AT5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42"/>
      <c r="AV58" s="94">
        <f ca="1">ROUND((TblConstr[[#This Row],[Land]]-250 - IF(TblExplore[[#This Row],[Land Bonus]]&lt;&gt;0,20,0))*1.25 + 850 + 0,0)</f>
        <v>600</v>
      </c>
      <c r="AW58" s="94">
        <f ca="1">ROUND((TblConstr[[#This Row],[Land]]-250 - IF(TblExplore[[#This Row],[Land Bonus]]&lt;&gt;0,20,0))*0.285 + 87.5 + 0/4.25,0)</f>
        <v>31</v>
      </c>
      <c r="AX58" s="154"/>
      <c r="AY58" s="188" cm="1">
        <f t="array" aca="1" ref="AY58" ca="1">IF(TblConstr[[#This Row],[Hour]:[Hour]]&gt;12,OFFSET(TblConstr[[#This Row],[Hom]],-12,0),0)+OFFSET(TblConstr[[#This Row],[Tot Hom]],-1,0)-TblConstr[[#This Row],[Dest Hom]]</f>
        <v>0</v>
      </c>
      <c r="AZ58" s="189" cm="1">
        <f t="array" aca="1" ref="AZ58" ca="1">IF(TblConstr[[#This Row],[Hour]:[Hour]]&gt;12,OFFSET(TblConstr[[#This Row],[Alc]],-12,0),0)+OFFSET(TblConstr[[#This Row],[Tot Alc]],-1,0)-TblConstr[[#This Row],[Dest Alc]]</f>
        <v>0</v>
      </c>
      <c r="BA58" s="189" cm="1">
        <f t="array" aca="1" ref="BA58" ca="1">IF(TblConstr[[#This Row],[Hour]:[Hour]]&gt;12,OFFSET(TblConstr[[#This Row],[Far]],-12,0),0)+OFFSET(TblConstr[[#This Row],[Tot Farm]],-1,0)-TblConstr[[#This Row],[Dest Farm]]</f>
        <v>30</v>
      </c>
      <c r="BB58" s="189" cm="1">
        <f t="array" aca="1" ref="BB58" ca="1">IF(TblConstr[[#This Row],[Hour]:[Hour]]&gt;12,OFFSET(TblConstr[[#This Row],[Smi]],-12,0),0)+OFFSET(TblConstr[[#This Row],[Tot Smi]],-1,0)-TblConstr[[#This Row],[Dest Smi]]</f>
        <v>0</v>
      </c>
      <c r="BC58" s="189" cm="1">
        <f t="array" aca="1" ref="BC58" ca="1">IF(TblConstr[[#This Row],[Hour]:[Hour]]&gt;12,OFFSET(TblConstr[[#This Row],[Mas]],-12,0),0)+OFFSET(TblConstr[[#This Row],[Tot Mas]],-1,0)-TblConstr[[#This Row],[Dest Mas]]</f>
        <v>0</v>
      </c>
      <c r="BD58" s="190" cm="1">
        <f t="array" aca="1" ref="BD58" ca="1">IF(TblConstr[[#This Row],[Hour]:[Hour]]&gt;12,OFFSET(TblConstr[[#This Row],[Ly]],-12,0),0)+OFFSET(TblConstr[[#This Row],[Tot Ly]],-1,0)-TblConstr[[#This Row],[Dest Ly]]</f>
        <v>20</v>
      </c>
      <c r="BE58" s="190" cm="1">
        <f t="array" aca="1" ref="BE58" ca="1">IF(TblConstr[[#This Row],[Hour]:[Hour]]&gt;12,OFFSET(TblConstr[[#This Row],[Hav]],-12,0),0)+OFFSET(TblConstr[[#This Row],[Tot Hav]],-1,0)-TblConstr[[#This Row],[Dest Hav]]</f>
        <v>0</v>
      </c>
      <c r="BF58" s="361" cm="1">
        <f t="array" aca="1" ref="BF58" ca="1">IF(TblConstr[[#This Row],[Hour]:[Hour]]&gt;12,OFFSET(TblConstr[[#This Row],[OM]],-12,0),0)+OFFSET(TblConstr[[#This Row],[Tot OM]],-1,0)-TblConstr[[#This Row],[Dest OM]]</f>
        <v>0</v>
      </c>
      <c r="BG58" s="361" cm="1">
        <f t="array" aca="1" ref="BG58" ca="1">IF(TblConstr[[#This Row],[Hour]:[Hour]]&gt;12,OFFSET(TblConstr[[#This Row],[GN]],-12,0),0)+OFFSET(TblConstr[[#This Row],[Tot GN]],-1,0)-TblConstr[[#This Row],[Dest GN]]</f>
        <v>0</v>
      </c>
      <c r="BH58" s="365" cm="1">
        <f t="array" aca="1" ref="BH58" ca="1">IF(TblConstr[[#This Row],[Hour]:[Hour]]&gt;12,OFFSET(TblConstr[[#This Row],[Fac]],-12,0),0)+OFFSET(TblConstr[[#This Row],[Tot Fac]],-1,0)-TblConstr[[#This Row],[Dest Fac]]</f>
        <v>0</v>
      </c>
      <c r="BI58" s="365" cm="1">
        <f t="array" aca="1" ref="BI58" ca="1">IF(TblConstr[[#This Row],[Hour]:[Hour]]&gt;12,OFFSET(TblConstr[[#This Row],[GT]],-12,0),0)+OFFSET(TblConstr[[#This Row],[Tot GT]],-1,0)-TblConstr[[#This Row],[Dest GT]]</f>
        <v>0</v>
      </c>
      <c r="BJ58" s="365" cm="1">
        <f t="array" aca="1" ref="BJ58" ca="1">IF(TblConstr[[#This Row],[Hour]:[Hour]]&gt;12,OFFSET(TblConstr[[#This Row],[Bar]],-12,0),0)+OFFSET(TblConstr[[#This Row],[Tot Bar]],-1,0)-TblConstr[[#This Row],[Dest Bar]]</f>
        <v>0</v>
      </c>
      <c r="BK58" s="365" cm="1">
        <f t="array" aca="1" ref="BK58" ca="1">IF(TblConstr[[#This Row],[Hour]:[Hour]]&gt;12,OFFSET(TblConstr[[#This Row],[Shr]],-12,0),0)+OFFSET(TblConstr[[#This Row],[Tot Shr]],-1,0)-TblConstr[[#This Row],[Dest Shr]]</f>
        <v>0</v>
      </c>
      <c r="BL58" s="369" cm="1">
        <f t="array" aca="1" ref="BL58" ca="1">IF(TblConstr[[#This Row],[Hour]:[Hour]]&gt;12,OFFSET(TblConstr[[#This Row],[Tow]],-12,0),0)+OFFSET(TblConstr[[#This Row],[Tot Tow]],-1,0)-TblConstr[[#This Row],[Dest Tow]]</f>
        <v>0</v>
      </c>
      <c r="BM58" s="369" cm="1">
        <f t="array" aca="1" ref="BM58" ca="1">IF(TblConstr[[#This Row],[Hour]:[Hour]]&gt;12,OFFSET(TblConstr[[#This Row],[Tem]],-12,0),0)+OFFSET(TblConstr[[#This Row],[Tot Tem]],-1,0)-TblConstr[[#This Row],[Dest Tem]]</f>
        <v>0</v>
      </c>
      <c r="BN58" s="369" cm="1">
        <f t="array" aca="1" ref="BN58" ca="1">IF(TblConstr[[#This Row],[Hour]:[Hour]]&gt;12,OFFSET(TblConstr[[#This Row],[WG]],-12,0),0)+OFFSET(TblConstr[[#This Row],[Tot WG]],-1,0)-TblConstr[[#This Row],[Dest WG]]</f>
        <v>0</v>
      </c>
      <c r="BO58" s="191" cm="1">
        <f t="array" aca="1" ref="BO58" ca="1">IF(TblConstr[[#This Row],[Hour]:[Hour]]&gt;12,OFFSET(TblConstr[[#This Row],[DM]],-12,0),0)+OFFSET(TblConstr[[#This Row],[Tot DM]],-1,0)-TblConstr[[#This Row],[Dest DM]]</f>
        <v>0</v>
      </c>
      <c r="BP58" s="191" cm="1">
        <f t="array" aca="1" ref="BP58" ca="1">IF(TblConstr[[#This Row],[Hour]:[Hour]]&gt;12,OFFSET(TblConstr[[#This Row],[Sch]],-12,0),0)+OFFSET(TblConstr[[#This Row],[Tot Sch]],-1,0)-TblConstr[[#This Row],[Dest Sch]]</f>
        <v>0</v>
      </c>
      <c r="BQ58" s="192" cm="1">
        <f t="array" aca="1" ref="BQ58" ca="1">IF(TblConstr[[#This Row],[Hour]:[Hour]]&gt;12,OFFSET(TblConstr[[#This Row],[Doc]],-12,0),0)+OFFSET(TblConstr[[#This Row],[Tot Doc]],-1,0)-TblConstr[[#This Row],[Dest Doc]]</f>
        <v>0</v>
      </c>
      <c r="BR58" s="142"/>
      <c r="BS58" s="154"/>
      <c r="BT58" s="94">
        <f ca="1">TblConstr[[#This Row],[Land]]</f>
        <v>50</v>
      </c>
      <c r="BU58" s="159">
        <f ca="1">TblImps[[#This Row],[Time]]</f>
        <v>46322.249999999869</v>
      </c>
      <c r="BV58" s="142"/>
      <c r="BW58" s="179"/>
      <c r="BX58" s="179"/>
      <c r="BY58" s="179"/>
      <c r="BZ58" s="179"/>
      <c r="CA58" s="179"/>
      <c r="CB58" s="179"/>
      <c r="CC58" s="179"/>
      <c r="CD58" s="179"/>
      <c r="CE58" s="179"/>
      <c r="CF58" s="179"/>
      <c r="CG58" s="179"/>
      <c r="CH58" s="179"/>
      <c r="CI58" s="179"/>
      <c r="CJ58" s="179"/>
      <c r="CK58" s="179"/>
      <c r="CL58" s="179"/>
      <c r="CM58" s="179"/>
      <c r="CN58" s="179"/>
      <c r="CO58" s="179"/>
      <c r="CP58" s="142"/>
      <c r="CQ58" s="181">
        <f ca="1">-SUM(TblConstr[[#This Row],[Alc]:[Mas]])+SUM(TblConstr[[#This Row],[Dest Alc]:[Dest Mas]])+Rezone!L58+IF("Ch_"&amp; home_land=TblConstr[[#Headers],[Ch_Plain]],TblConstr[[#This Row],[Home Land]])+IF(TblConstr[[#This Row],[Hour]:[Hour]]&gt;12,OFFSET(TblExplore[[#This Row],[Plains Explore]],-12,0),0)</f>
        <v>0</v>
      </c>
      <c r="CR58" s="182">
        <f ca="1">-SUM(TblConstr[[#This Row],[Ly]:[Hav]])+SUM(TblConstr[[#This Row],[Dest Ly]:[Dest Hav]]) +Rezone!M58 + IF("Ch_"&amp; home_land=TblConstr[[#Headers],[Ch_Forest]],TblConstr[[#This Row],[Home Land]])+IF(TblConstr[[#This Row],[Hour]:[Hour]]&gt;12,OFFSET(TblExplore[[#This Row],[Forest Explore]],-12,0),0)</f>
        <v>0</v>
      </c>
      <c r="CS58" s="359">
        <f ca="1">-SUM(TblConstr[[#This Row],[OM]:[GN]])+SUM(TblConstr[[#This Row],[Dest OM]:[Dest GN]]) +Rezone!N58 + IF("Ch_"&amp; home_land=TblConstr[[#Headers],[Ch_Mountain]],TblConstr[[#This Row],[Home Land]])+IF(TblConstr[[#This Row],[Hour]:[Hour]]&gt;12,OFFSET(TblExplore[[#This Row],[Mountain Explore]],-12,0),0)</f>
        <v>0</v>
      </c>
      <c r="CT58" s="183">
        <f ca="1">-SUM(TblConstr[[#This Row],[Fac]:[Shr]])+SUM(TblConstr[[#This Row],[Dest Fac]:[Dest Shr]]) +Rezone!O58 + IF("Ch_" &amp; home_land=TblConstr[[#Headers],[Ch_Hill]],TblConstr[[#This Row],[Home Land]])+IF(TblConstr[[#This Row],[Hour]:[Hour]]&gt;12,OFFSET(TblExplore[[#This Row],[Hill Explore]],-12,0),0)</f>
        <v>0</v>
      </c>
      <c r="CU58" s="184">
        <f ca="1">-SUM(TblConstr[[#This Row],[Tow]:[WG]])+SUM(TblConstr[[#This Row],[Dest Tow]:[Dest WG]]) +Rezone!P58 + IF("Ch_" &amp; home_land=TblConstr[[#Headers],[Ch_Swamp]],TblConstr[[#This Row],[Home Land]])+IF(TblConstr[[#This Row],[Hour]:[Hour]]&gt;12,OFFSET(TblExplore[[#This Row],[Swamp Explore]],-12,0),0)</f>
        <v>0</v>
      </c>
      <c r="CV58" s="185">
        <f ca="1" xml:space="preserve"> - SUM(TblConstr[[#This Row],[DM]:[Sch]])+SUM(TblConstr[[#This Row],[Dest DM]:[Dest Sch]]) +Rezone!Q58 + IF("Ch_" &amp; home_land=TblConstr[[#Headers],[Ch_Cavern]],TblConstr[[#This Row],[Home Land]])+IF(TblConstr[[#This Row],[Hour]:[Hour]]&gt;12,OFFSET(TblExplore[[#This Row],[Cavern Explore]],-12,0),0)</f>
        <v>0</v>
      </c>
      <c r="CW58" s="186">
        <f ca="1">-TblConstr[[#This Row],[Doc]]+TblConstr[[#This Row],[Dest Doc]] +Rezone!R58 + IF("Ch_" &amp; home_land=TblConstr[[#Headers],[Ch_Water]],TblConstr[[#This Row],[Home Land]])+IF(TblConstr[[#This Row],[Hour]:[Hour]]&gt;12,OFFSET(TblExplore[[#This Row],[Water Explore]],-12,0),0)</f>
        <v>0</v>
      </c>
      <c r="CX58" s="45">
        <f>IF(Explore!S58=1,20) - TblConstr[[#This Row],[Hom]] + TblConstr[[#This Row],[Dest Hom]]</f>
        <v>0</v>
      </c>
      <c r="CY58" s="142"/>
      <c r="CZ58" s="94">
        <f t="shared" ca="1" si="12"/>
        <v>30</v>
      </c>
      <c r="DA58" s="94">
        <f t="shared" ca="1" si="13"/>
        <v>20</v>
      </c>
      <c r="DB58" s="45">
        <f t="shared" ca="1" si="14"/>
        <v>0</v>
      </c>
      <c r="DC58" s="94">
        <f t="shared" ca="1" si="15"/>
        <v>0</v>
      </c>
      <c r="DD58" s="94">
        <f t="shared" ca="1" si="16"/>
        <v>0</v>
      </c>
      <c r="DE58" s="45">
        <f t="shared" ca="1" si="17"/>
        <v>0</v>
      </c>
      <c r="DF58" s="94">
        <f t="shared" ca="1" si="18"/>
        <v>0</v>
      </c>
      <c r="DG58" s="94" cm="1">
        <f t="array" aca="1" ref="DG58" ca="1">INDEX(TblConstr[[Total Plain]:[Total Water]],ROW()-ROW(TblConstr[#Headers]),MATCH("Total "&amp;home_land,TblConstr[[#Headers],[Total Plain]:[Total Water]],0))+TblConstr[[#This Row],[Homes]]</f>
        <v>30</v>
      </c>
      <c r="DH58" s="45">
        <f t="shared" ca="1" si="10"/>
        <v>0</v>
      </c>
      <c r="DI58" s="45">
        <f t="shared" ca="1" si="0"/>
        <v>0</v>
      </c>
      <c r="DJ58" s="45">
        <f t="shared" ca="1" si="1"/>
        <v>0</v>
      </c>
    </row>
    <row r="59" spans="1:114" x14ac:dyDescent="0.2">
      <c r="A59" s="175">
        <f>TblRezone[[#This Row],[Hour]]</f>
        <v>56</v>
      </c>
      <c r="B59" s="176">
        <f ca="1">SUM(TblConstr[[#This Row],[Plain]:[Water]])</f>
        <v>0</v>
      </c>
      <c r="C59" s="177">
        <f ca="1">SUM(TblConstr[[#This Row],[Tot Hom]:[Tot Doc]])</f>
        <v>50</v>
      </c>
      <c r="D59" s="177">
        <f t="shared" si="11"/>
        <v>0</v>
      </c>
      <c r="E59" s="178"/>
      <c r="F59" s="61">
        <f ca="1">TblConstr[[#This Row],[Barren]]+TblConstr[[#This Row],[Buildings]]+TblConstr[[#This Row],[Incoming]]</f>
        <v>50</v>
      </c>
      <c r="G59" s="187">
        <f ca="1">OFFSET(TblConstr[[#This Row],[Plain]],-1,0)+TblConstr[[#This Row],[Ch_Plain]]</f>
        <v>0</v>
      </c>
      <c r="H59" s="182">
        <f ca="1">OFFSET(TblConstr[[#This Row],[Forest]],-1,0)+TblConstr[[#This Row],[Ch_Forest]]</f>
        <v>0</v>
      </c>
      <c r="I59" s="359">
        <f ca="1">OFFSET(TblConstr[[#This Row],[Mountain]],-1,0)+TblConstr[[#This Row],[Ch_Mountain]]</f>
        <v>0</v>
      </c>
      <c r="J59" s="363">
        <f ca="1">OFFSET(TblConstr[[#This Row],[Hill]],-1,0)+TblConstr[[#This Row],[Ch_Hill]]</f>
        <v>0</v>
      </c>
      <c r="K59" s="367">
        <f ca="1">OFFSET(TblConstr[[#This Row],[Swamp]],-1,0)+TblConstr[[#This Row],[Ch_Swamp]]</f>
        <v>0</v>
      </c>
      <c r="L59" s="185">
        <f ca="1">OFFSET(TblConstr[[#This Row],[Cavern]],-1,0)+TblConstr[[#This Row],[Ch_Cavern]]</f>
        <v>0</v>
      </c>
      <c r="M59" s="186">
        <f ca="1">OFFSET(TblConstr[[#This Row],[Water]],-1,0)+TblConstr[[#This Row],[Ch_Water]]</f>
        <v>0</v>
      </c>
      <c r="N59" s="357">
        <f>TblRezone[[#This Row],[Hour]]</f>
        <v>56</v>
      </c>
      <c r="O59" s="179"/>
      <c r="P59" s="179"/>
      <c r="Q59" s="179"/>
      <c r="R59" s="179"/>
      <c r="S59" s="179"/>
      <c r="T59" s="179"/>
      <c r="U59" s="179"/>
      <c r="V59" s="179"/>
      <c r="W59" s="179"/>
      <c r="X59" s="179"/>
      <c r="Y59" s="179"/>
      <c r="Z59" s="179"/>
      <c r="AA59" s="179"/>
      <c r="AB59" s="179"/>
      <c r="AC59" s="179"/>
      <c r="AD59" s="179"/>
      <c r="AE59" s="179"/>
      <c r="AF59" s="179"/>
      <c r="AG59" s="179"/>
      <c r="AH59" s="53">
        <f ca="1">TblImps[[#This Row],[Time]]</f>
        <v>46322.291666666533</v>
      </c>
      <c r="AI59" s="180">
        <f ca="1">MIN(25%,(TblConstr[[#This Row],[Tot Fac]]+TblConstr[[#This Row],[Dest Fac]])/(TblConstr[[#This Row],[Land]]-TblExplore[[#This Row],[Land Bonus]]*20))</f>
        <v>0</v>
      </c>
      <c r="AJ59" s="180">
        <f ca="1">MIN(25%,(TblConstr[[#This Row],[Tot Fac]]+TblConstr[[#This Row],[Dest Fac]])/TblConstr[[#This Row],[Land]])</f>
        <v>0</v>
      </c>
      <c r="AK59" s="94">
        <f ca="1">TblProd[[#This Row],[Platinum]]</f>
        <v>173893</v>
      </c>
      <c r="AL59" s="94">
        <f ca="1">TblProd[[#This Row],[Lumber]]</f>
        <v>51093</v>
      </c>
      <c r="AM5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9" s="94">
        <f ca="1">ROUNDDOWN( MAX(1 - MIN(facs_constr_factor*TblConstr[[#This Row],[Facs -DB]],facs_constr_max) + tech_1_11*TblTech[[#This Row],[11-1]] + tech_6_3_2*TblTech[[#This Row],[6-3]] + tech_5_2_3*TblTech[[#This Row],[5-2]], 1-global_constr_cap) * TblConstr[[#This Row],[RCPA Lumber]],0)</f>
        <v>31</v>
      </c>
      <c r="AO5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9" s="94">
        <f ca="1">ROUNDDOWN( MAX(1 - MIN(facs_constr_factor*TblConstr[[#This Row],[Facs DB]],facs_constr_max) + tech_1_11*TblTech[[#This Row],[1-11]] + tech_6_3_2*TblTech[[#This Row],[6-3]] + tech_5_2_3*TblTech[[#This Row],[5-2]], 1-global_constr_cap) * ROUND((TblConstr[[#This Row],[Land]]-250)*0.285 + 87.5 + 0/4.25,0),0)</f>
        <v>31</v>
      </c>
      <c r="AQ59" s="45">
        <f ca="1">TblConstr[[#This Row],[build -db]]*TblConstr[[#This Row],[CPA Platinum -DB]] + TblConstr[[#This Row],[build db]]*TblConstr[[#This Row],[CPA Platinum DB]]</f>
        <v>0</v>
      </c>
      <c r="AR59" s="45">
        <f ca="1">TblConstr[[#This Row],[build -db]]*TblConstr[[#This Row],[CPA Lumber -DB]] + TblConstr[[#This Row],[build db]]*TblConstr[[#This Row],[CPA Lumber DB]]</f>
        <v>0</v>
      </c>
      <c r="AS59" s="94">
        <f ca="1">MIN(SUM(OFFSET(TblConstr[[#This Row],[Plain]:[Water]],-1,0))+SUM(TblConstr[[#This Row],[Dest Hom]:[Dest Doc]])+IF(TblConstr[[#This Row],[Hour]]&gt;12,SUM(OFFSET(TblExplore[[#This Row],[Plains Explore]:[Water Explore]],-12,0)),0),SUM(TblConstr[[#This Row],[Hom]:[Doc]]))</f>
        <v>0</v>
      </c>
      <c r="AT5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42"/>
      <c r="AV59" s="94">
        <f ca="1">ROUND((TblConstr[[#This Row],[Land]]-250 - IF(TblExplore[[#This Row],[Land Bonus]]&lt;&gt;0,20,0))*1.25 + 850 + 0,0)</f>
        <v>600</v>
      </c>
      <c r="AW59" s="94">
        <f ca="1">ROUND((TblConstr[[#This Row],[Land]]-250 - IF(TblExplore[[#This Row],[Land Bonus]]&lt;&gt;0,20,0))*0.285 + 87.5 + 0/4.25,0)</f>
        <v>31</v>
      </c>
      <c r="AX59" s="154"/>
      <c r="AY59" s="188" cm="1">
        <f t="array" aca="1" ref="AY59" ca="1">IF(TblConstr[[#This Row],[Hour]:[Hour]]&gt;12,OFFSET(TblConstr[[#This Row],[Hom]],-12,0),0)+OFFSET(TblConstr[[#This Row],[Tot Hom]],-1,0)-TblConstr[[#This Row],[Dest Hom]]</f>
        <v>0</v>
      </c>
      <c r="AZ59" s="189" cm="1">
        <f t="array" aca="1" ref="AZ59" ca="1">IF(TblConstr[[#This Row],[Hour]:[Hour]]&gt;12,OFFSET(TblConstr[[#This Row],[Alc]],-12,0),0)+OFFSET(TblConstr[[#This Row],[Tot Alc]],-1,0)-TblConstr[[#This Row],[Dest Alc]]</f>
        <v>0</v>
      </c>
      <c r="BA59" s="189" cm="1">
        <f t="array" aca="1" ref="BA59" ca="1">IF(TblConstr[[#This Row],[Hour]:[Hour]]&gt;12,OFFSET(TblConstr[[#This Row],[Far]],-12,0),0)+OFFSET(TblConstr[[#This Row],[Tot Farm]],-1,0)-TblConstr[[#This Row],[Dest Farm]]</f>
        <v>30</v>
      </c>
      <c r="BB59" s="189" cm="1">
        <f t="array" aca="1" ref="BB59" ca="1">IF(TblConstr[[#This Row],[Hour]:[Hour]]&gt;12,OFFSET(TblConstr[[#This Row],[Smi]],-12,0),0)+OFFSET(TblConstr[[#This Row],[Tot Smi]],-1,0)-TblConstr[[#This Row],[Dest Smi]]</f>
        <v>0</v>
      </c>
      <c r="BC59" s="189" cm="1">
        <f t="array" aca="1" ref="BC59" ca="1">IF(TblConstr[[#This Row],[Hour]:[Hour]]&gt;12,OFFSET(TblConstr[[#This Row],[Mas]],-12,0),0)+OFFSET(TblConstr[[#This Row],[Tot Mas]],-1,0)-TblConstr[[#This Row],[Dest Mas]]</f>
        <v>0</v>
      </c>
      <c r="BD59" s="190" cm="1">
        <f t="array" aca="1" ref="BD59" ca="1">IF(TblConstr[[#This Row],[Hour]:[Hour]]&gt;12,OFFSET(TblConstr[[#This Row],[Ly]],-12,0),0)+OFFSET(TblConstr[[#This Row],[Tot Ly]],-1,0)-TblConstr[[#This Row],[Dest Ly]]</f>
        <v>20</v>
      </c>
      <c r="BE59" s="190" cm="1">
        <f t="array" aca="1" ref="BE59" ca="1">IF(TblConstr[[#This Row],[Hour]:[Hour]]&gt;12,OFFSET(TblConstr[[#This Row],[Hav]],-12,0),0)+OFFSET(TblConstr[[#This Row],[Tot Hav]],-1,0)-TblConstr[[#This Row],[Dest Hav]]</f>
        <v>0</v>
      </c>
      <c r="BF59" s="361" cm="1">
        <f t="array" aca="1" ref="BF59" ca="1">IF(TblConstr[[#This Row],[Hour]:[Hour]]&gt;12,OFFSET(TblConstr[[#This Row],[OM]],-12,0),0)+OFFSET(TblConstr[[#This Row],[Tot OM]],-1,0)-TblConstr[[#This Row],[Dest OM]]</f>
        <v>0</v>
      </c>
      <c r="BG59" s="361" cm="1">
        <f t="array" aca="1" ref="BG59" ca="1">IF(TblConstr[[#This Row],[Hour]:[Hour]]&gt;12,OFFSET(TblConstr[[#This Row],[GN]],-12,0),0)+OFFSET(TblConstr[[#This Row],[Tot GN]],-1,0)-TblConstr[[#This Row],[Dest GN]]</f>
        <v>0</v>
      </c>
      <c r="BH59" s="365" cm="1">
        <f t="array" aca="1" ref="BH59" ca="1">IF(TblConstr[[#This Row],[Hour]:[Hour]]&gt;12,OFFSET(TblConstr[[#This Row],[Fac]],-12,0),0)+OFFSET(TblConstr[[#This Row],[Tot Fac]],-1,0)-TblConstr[[#This Row],[Dest Fac]]</f>
        <v>0</v>
      </c>
      <c r="BI59" s="365" cm="1">
        <f t="array" aca="1" ref="BI59" ca="1">IF(TblConstr[[#This Row],[Hour]:[Hour]]&gt;12,OFFSET(TblConstr[[#This Row],[GT]],-12,0),0)+OFFSET(TblConstr[[#This Row],[Tot GT]],-1,0)-TblConstr[[#This Row],[Dest GT]]</f>
        <v>0</v>
      </c>
      <c r="BJ59" s="365" cm="1">
        <f t="array" aca="1" ref="BJ59" ca="1">IF(TblConstr[[#This Row],[Hour]:[Hour]]&gt;12,OFFSET(TblConstr[[#This Row],[Bar]],-12,0),0)+OFFSET(TblConstr[[#This Row],[Tot Bar]],-1,0)-TblConstr[[#This Row],[Dest Bar]]</f>
        <v>0</v>
      </c>
      <c r="BK59" s="365" cm="1">
        <f t="array" aca="1" ref="BK59" ca="1">IF(TblConstr[[#This Row],[Hour]:[Hour]]&gt;12,OFFSET(TblConstr[[#This Row],[Shr]],-12,0),0)+OFFSET(TblConstr[[#This Row],[Tot Shr]],-1,0)-TblConstr[[#This Row],[Dest Shr]]</f>
        <v>0</v>
      </c>
      <c r="BL59" s="369" cm="1">
        <f t="array" aca="1" ref="BL59" ca="1">IF(TblConstr[[#This Row],[Hour]:[Hour]]&gt;12,OFFSET(TblConstr[[#This Row],[Tow]],-12,0),0)+OFFSET(TblConstr[[#This Row],[Tot Tow]],-1,0)-TblConstr[[#This Row],[Dest Tow]]</f>
        <v>0</v>
      </c>
      <c r="BM59" s="369" cm="1">
        <f t="array" aca="1" ref="BM59" ca="1">IF(TblConstr[[#This Row],[Hour]:[Hour]]&gt;12,OFFSET(TblConstr[[#This Row],[Tem]],-12,0),0)+OFFSET(TblConstr[[#This Row],[Tot Tem]],-1,0)-TblConstr[[#This Row],[Dest Tem]]</f>
        <v>0</v>
      </c>
      <c r="BN59" s="369" cm="1">
        <f t="array" aca="1" ref="BN59" ca="1">IF(TblConstr[[#This Row],[Hour]:[Hour]]&gt;12,OFFSET(TblConstr[[#This Row],[WG]],-12,0),0)+OFFSET(TblConstr[[#This Row],[Tot WG]],-1,0)-TblConstr[[#This Row],[Dest WG]]</f>
        <v>0</v>
      </c>
      <c r="BO59" s="191" cm="1">
        <f t="array" aca="1" ref="BO59" ca="1">IF(TblConstr[[#This Row],[Hour]:[Hour]]&gt;12,OFFSET(TblConstr[[#This Row],[DM]],-12,0),0)+OFFSET(TblConstr[[#This Row],[Tot DM]],-1,0)-TblConstr[[#This Row],[Dest DM]]</f>
        <v>0</v>
      </c>
      <c r="BP59" s="191" cm="1">
        <f t="array" aca="1" ref="BP59" ca="1">IF(TblConstr[[#This Row],[Hour]:[Hour]]&gt;12,OFFSET(TblConstr[[#This Row],[Sch]],-12,0),0)+OFFSET(TblConstr[[#This Row],[Tot Sch]],-1,0)-TblConstr[[#This Row],[Dest Sch]]</f>
        <v>0</v>
      </c>
      <c r="BQ59" s="192" cm="1">
        <f t="array" aca="1" ref="BQ59" ca="1">IF(TblConstr[[#This Row],[Hour]:[Hour]]&gt;12,OFFSET(TblConstr[[#This Row],[Doc]],-12,0),0)+OFFSET(TblConstr[[#This Row],[Tot Doc]],-1,0)-TblConstr[[#This Row],[Dest Doc]]</f>
        <v>0</v>
      </c>
      <c r="BR59" s="142"/>
      <c r="BS59" s="154"/>
      <c r="BT59" s="94">
        <f ca="1">TblConstr[[#This Row],[Land]]</f>
        <v>50</v>
      </c>
      <c r="BU59" s="159">
        <f ca="1">TblImps[[#This Row],[Time]]</f>
        <v>46322.291666666533</v>
      </c>
      <c r="BV59" s="142"/>
      <c r="BW59" s="179"/>
      <c r="BX59" s="179"/>
      <c r="BY59" s="179"/>
      <c r="BZ59" s="179"/>
      <c r="CA59" s="179"/>
      <c r="CB59" s="179"/>
      <c r="CC59" s="179"/>
      <c r="CD59" s="179"/>
      <c r="CE59" s="179"/>
      <c r="CF59" s="179"/>
      <c r="CG59" s="179"/>
      <c r="CH59" s="179"/>
      <c r="CI59" s="179"/>
      <c r="CJ59" s="179"/>
      <c r="CK59" s="179"/>
      <c r="CL59" s="179"/>
      <c r="CM59" s="179"/>
      <c r="CN59" s="179"/>
      <c r="CO59" s="179"/>
      <c r="CP59" s="142"/>
      <c r="CQ59" s="181">
        <f ca="1">-SUM(TblConstr[[#This Row],[Alc]:[Mas]])+SUM(TblConstr[[#This Row],[Dest Alc]:[Dest Mas]])+Rezone!L59+IF("Ch_"&amp; home_land=TblConstr[[#Headers],[Ch_Plain]],TblConstr[[#This Row],[Home Land]])+IF(TblConstr[[#This Row],[Hour]:[Hour]]&gt;12,OFFSET(TblExplore[[#This Row],[Plains Explore]],-12,0),0)</f>
        <v>0</v>
      </c>
      <c r="CR59" s="182">
        <f ca="1">-SUM(TblConstr[[#This Row],[Ly]:[Hav]])+SUM(TblConstr[[#This Row],[Dest Ly]:[Dest Hav]]) +Rezone!M59 + IF("Ch_"&amp; home_land=TblConstr[[#Headers],[Ch_Forest]],TblConstr[[#This Row],[Home Land]])+IF(TblConstr[[#This Row],[Hour]:[Hour]]&gt;12,OFFSET(TblExplore[[#This Row],[Forest Explore]],-12,0),0)</f>
        <v>0</v>
      </c>
      <c r="CS59" s="359">
        <f ca="1">-SUM(TblConstr[[#This Row],[OM]:[GN]])+SUM(TblConstr[[#This Row],[Dest OM]:[Dest GN]]) +Rezone!N59 + IF("Ch_"&amp; home_land=TblConstr[[#Headers],[Ch_Mountain]],TblConstr[[#This Row],[Home Land]])+IF(TblConstr[[#This Row],[Hour]:[Hour]]&gt;12,OFFSET(TblExplore[[#This Row],[Mountain Explore]],-12,0),0)</f>
        <v>0</v>
      </c>
      <c r="CT59" s="183">
        <f ca="1">-SUM(TblConstr[[#This Row],[Fac]:[Shr]])+SUM(TblConstr[[#This Row],[Dest Fac]:[Dest Shr]]) +Rezone!O59 + IF("Ch_" &amp; home_land=TblConstr[[#Headers],[Ch_Hill]],TblConstr[[#This Row],[Home Land]])+IF(TblConstr[[#This Row],[Hour]:[Hour]]&gt;12,OFFSET(TblExplore[[#This Row],[Hill Explore]],-12,0),0)</f>
        <v>0</v>
      </c>
      <c r="CU59" s="184">
        <f ca="1">-SUM(TblConstr[[#This Row],[Tow]:[WG]])+SUM(TblConstr[[#This Row],[Dest Tow]:[Dest WG]]) +Rezone!P59 + IF("Ch_" &amp; home_land=TblConstr[[#Headers],[Ch_Swamp]],TblConstr[[#This Row],[Home Land]])+IF(TblConstr[[#This Row],[Hour]:[Hour]]&gt;12,OFFSET(TblExplore[[#This Row],[Swamp Explore]],-12,0),0)</f>
        <v>0</v>
      </c>
      <c r="CV59" s="185">
        <f ca="1" xml:space="preserve"> - SUM(TblConstr[[#This Row],[DM]:[Sch]])+SUM(TblConstr[[#This Row],[Dest DM]:[Dest Sch]]) +Rezone!Q59 + IF("Ch_" &amp; home_land=TblConstr[[#Headers],[Ch_Cavern]],TblConstr[[#This Row],[Home Land]])+IF(TblConstr[[#This Row],[Hour]:[Hour]]&gt;12,OFFSET(TblExplore[[#This Row],[Cavern Explore]],-12,0),0)</f>
        <v>0</v>
      </c>
      <c r="CW59" s="186">
        <f ca="1">-TblConstr[[#This Row],[Doc]]+TblConstr[[#This Row],[Dest Doc]] +Rezone!R59 + IF("Ch_" &amp; home_land=TblConstr[[#Headers],[Ch_Water]],TblConstr[[#This Row],[Home Land]])+IF(TblConstr[[#This Row],[Hour]:[Hour]]&gt;12,OFFSET(TblExplore[[#This Row],[Water Explore]],-12,0),0)</f>
        <v>0</v>
      </c>
      <c r="CX59" s="45">
        <f>IF(Explore!S59=1,20) - TblConstr[[#This Row],[Hom]] + TblConstr[[#This Row],[Dest Hom]]</f>
        <v>0</v>
      </c>
      <c r="CY59" s="142"/>
      <c r="CZ59" s="94">
        <f t="shared" ca="1" si="12"/>
        <v>30</v>
      </c>
      <c r="DA59" s="94">
        <f t="shared" ca="1" si="13"/>
        <v>20</v>
      </c>
      <c r="DB59" s="45">
        <f t="shared" ca="1" si="14"/>
        <v>0</v>
      </c>
      <c r="DC59" s="94">
        <f t="shared" ca="1" si="15"/>
        <v>0</v>
      </c>
      <c r="DD59" s="94">
        <f t="shared" ca="1" si="16"/>
        <v>0</v>
      </c>
      <c r="DE59" s="45">
        <f t="shared" ca="1" si="17"/>
        <v>0</v>
      </c>
      <c r="DF59" s="94">
        <f t="shared" ca="1" si="18"/>
        <v>0</v>
      </c>
      <c r="DG59" s="94" cm="1">
        <f t="array" aca="1" ref="DG59" ca="1">INDEX(TblConstr[[Total Plain]:[Total Water]],ROW()-ROW(TblConstr[#Headers]),MATCH("Total "&amp;home_land,TblConstr[[#Headers],[Total Plain]:[Total Water]],0))+TblConstr[[#This Row],[Homes]]</f>
        <v>30</v>
      </c>
      <c r="DH59" s="45">
        <f t="shared" ca="1" si="10"/>
        <v>0</v>
      </c>
      <c r="DI59" s="45">
        <f t="shared" ca="1" si="0"/>
        <v>0</v>
      </c>
      <c r="DJ59" s="45">
        <f t="shared" ca="1" si="1"/>
        <v>0</v>
      </c>
    </row>
    <row r="60" spans="1:114" x14ac:dyDescent="0.2">
      <c r="A60" s="175">
        <f>TblRezone[[#This Row],[Hour]]</f>
        <v>57</v>
      </c>
      <c r="B60" s="176">
        <f ca="1">SUM(TblConstr[[#This Row],[Plain]:[Water]])</f>
        <v>0</v>
      </c>
      <c r="C60" s="177">
        <f ca="1">SUM(TblConstr[[#This Row],[Tot Hom]:[Tot Doc]])</f>
        <v>50</v>
      </c>
      <c r="D60" s="177">
        <f t="shared" si="11"/>
        <v>0</v>
      </c>
      <c r="E60" s="178"/>
      <c r="F60" s="61">
        <f ca="1">TblConstr[[#This Row],[Barren]]+TblConstr[[#This Row],[Buildings]]+TblConstr[[#This Row],[Incoming]]</f>
        <v>50</v>
      </c>
      <c r="G60" s="187">
        <f ca="1">OFFSET(TblConstr[[#This Row],[Plain]],-1,0)+TblConstr[[#This Row],[Ch_Plain]]</f>
        <v>0</v>
      </c>
      <c r="H60" s="182">
        <f ca="1">OFFSET(TblConstr[[#This Row],[Forest]],-1,0)+TblConstr[[#This Row],[Ch_Forest]]</f>
        <v>0</v>
      </c>
      <c r="I60" s="359">
        <f ca="1">OFFSET(TblConstr[[#This Row],[Mountain]],-1,0)+TblConstr[[#This Row],[Ch_Mountain]]</f>
        <v>0</v>
      </c>
      <c r="J60" s="363">
        <f ca="1">OFFSET(TblConstr[[#This Row],[Hill]],-1,0)+TblConstr[[#This Row],[Ch_Hill]]</f>
        <v>0</v>
      </c>
      <c r="K60" s="367">
        <f ca="1">OFFSET(TblConstr[[#This Row],[Swamp]],-1,0)+TblConstr[[#This Row],[Ch_Swamp]]</f>
        <v>0</v>
      </c>
      <c r="L60" s="185">
        <f ca="1">OFFSET(TblConstr[[#This Row],[Cavern]],-1,0)+TblConstr[[#This Row],[Ch_Cavern]]</f>
        <v>0</v>
      </c>
      <c r="M60" s="186">
        <f ca="1">OFFSET(TblConstr[[#This Row],[Water]],-1,0)+TblConstr[[#This Row],[Ch_Water]]</f>
        <v>0</v>
      </c>
      <c r="N60" s="357">
        <f>TblRezone[[#This Row],[Hour]]</f>
        <v>57</v>
      </c>
      <c r="O60" s="179"/>
      <c r="P60" s="179"/>
      <c r="Q60" s="179"/>
      <c r="R60" s="179"/>
      <c r="S60" s="179"/>
      <c r="T60" s="179"/>
      <c r="U60" s="179"/>
      <c r="V60" s="179"/>
      <c r="W60" s="179"/>
      <c r="X60" s="179"/>
      <c r="Y60" s="179"/>
      <c r="Z60" s="179"/>
      <c r="AA60" s="179"/>
      <c r="AB60" s="179"/>
      <c r="AC60" s="179"/>
      <c r="AD60" s="179"/>
      <c r="AE60" s="179"/>
      <c r="AF60" s="179"/>
      <c r="AG60" s="179"/>
      <c r="AH60" s="53">
        <f ca="1">TblImps[[#This Row],[Time]]</f>
        <v>46322.333333333198</v>
      </c>
      <c r="AI60" s="180">
        <f ca="1">MIN(25%,(TblConstr[[#This Row],[Tot Fac]]+TblConstr[[#This Row],[Dest Fac]])/(TblConstr[[#This Row],[Land]]-TblExplore[[#This Row],[Land Bonus]]*20))</f>
        <v>0</v>
      </c>
      <c r="AJ60" s="180">
        <f ca="1">MIN(25%,(TblConstr[[#This Row],[Tot Fac]]+TblConstr[[#This Row],[Dest Fac]])/TblConstr[[#This Row],[Land]])</f>
        <v>0</v>
      </c>
      <c r="AK60" s="94">
        <f ca="1">TblProd[[#This Row],[Platinum]]</f>
        <v>174624</v>
      </c>
      <c r="AL60" s="94">
        <f ca="1">TblProd[[#This Row],[Lumber]]</f>
        <v>51582</v>
      </c>
      <c r="AM6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0" s="94">
        <f ca="1">ROUNDDOWN( MAX(1 - MIN(facs_constr_factor*TblConstr[[#This Row],[Facs -DB]],facs_constr_max) + tech_1_11*TblTech[[#This Row],[11-1]] + tech_6_3_2*TblTech[[#This Row],[6-3]] + tech_5_2_3*TblTech[[#This Row],[5-2]], 1-global_constr_cap) * TblConstr[[#This Row],[RCPA Lumber]],0)</f>
        <v>31</v>
      </c>
      <c r="AO6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0" s="94">
        <f ca="1">ROUNDDOWN( MAX(1 - MIN(facs_constr_factor*TblConstr[[#This Row],[Facs DB]],facs_constr_max) + tech_1_11*TblTech[[#This Row],[1-11]] + tech_6_3_2*TblTech[[#This Row],[6-3]] + tech_5_2_3*TblTech[[#This Row],[5-2]], 1-global_constr_cap) * ROUND((TblConstr[[#This Row],[Land]]-250)*0.285 + 87.5 + 0/4.25,0),0)</f>
        <v>31</v>
      </c>
      <c r="AQ60" s="45">
        <f ca="1">TblConstr[[#This Row],[build -db]]*TblConstr[[#This Row],[CPA Platinum -DB]] + TblConstr[[#This Row],[build db]]*TblConstr[[#This Row],[CPA Platinum DB]]</f>
        <v>0</v>
      </c>
      <c r="AR60" s="45">
        <f ca="1">TblConstr[[#This Row],[build -db]]*TblConstr[[#This Row],[CPA Lumber -DB]] + TblConstr[[#This Row],[build db]]*TblConstr[[#This Row],[CPA Lumber DB]]</f>
        <v>0</v>
      </c>
      <c r="AS60" s="94">
        <f ca="1">MIN(SUM(OFFSET(TblConstr[[#This Row],[Plain]:[Water]],-1,0))+SUM(TblConstr[[#This Row],[Dest Hom]:[Dest Doc]])+IF(TblConstr[[#This Row],[Hour]]&gt;12,SUM(OFFSET(TblExplore[[#This Row],[Plains Explore]:[Water Explore]],-12,0)),0),SUM(TblConstr[[#This Row],[Hom]:[Doc]]))</f>
        <v>0</v>
      </c>
      <c r="AT6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42"/>
      <c r="AV60" s="94">
        <f ca="1">ROUND((TblConstr[[#This Row],[Land]]-250 - IF(TblExplore[[#This Row],[Land Bonus]]&lt;&gt;0,20,0))*1.25 + 850 + 0,0)</f>
        <v>600</v>
      </c>
      <c r="AW60" s="94">
        <f ca="1">ROUND((TblConstr[[#This Row],[Land]]-250 - IF(TblExplore[[#This Row],[Land Bonus]]&lt;&gt;0,20,0))*0.285 + 87.5 + 0/4.25,0)</f>
        <v>31</v>
      </c>
      <c r="AX60" s="154"/>
      <c r="AY60" s="188" cm="1">
        <f t="array" aca="1" ref="AY60" ca="1">IF(TblConstr[[#This Row],[Hour]:[Hour]]&gt;12,OFFSET(TblConstr[[#This Row],[Hom]],-12,0),0)+OFFSET(TblConstr[[#This Row],[Tot Hom]],-1,0)-TblConstr[[#This Row],[Dest Hom]]</f>
        <v>0</v>
      </c>
      <c r="AZ60" s="189" cm="1">
        <f t="array" aca="1" ref="AZ60" ca="1">IF(TblConstr[[#This Row],[Hour]:[Hour]]&gt;12,OFFSET(TblConstr[[#This Row],[Alc]],-12,0),0)+OFFSET(TblConstr[[#This Row],[Tot Alc]],-1,0)-TblConstr[[#This Row],[Dest Alc]]</f>
        <v>0</v>
      </c>
      <c r="BA60" s="189" cm="1">
        <f t="array" aca="1" ref="BA60" ca="1">IF(TblConstr[[#This Row],[Hour]:[Hour]]&gt;12,OFFSET(TblConstr[[#This Row],[Far]],-12,0),0)+OFFSET(TblConstr[[#This Row],[Tot Farm]],-1,0)-TblConstr[[#This Row],[Dest Farm]]</f>
        <v>30</v>
      </c>
      <c r="BB60" s="189" cm="1">
        <f t="array" aca="1" ref="BB60" ca="1">IF(TblConstr[[#This Row],[Hour]:[Hour]]&gt;12,OFFSET(TblConstr[[#This Row],[Smi]],-12,0),0)+OFFSET(TblConstr[[#This Row],[Tot Smi]],-1,0)-TblConstr[[#This Row],[Dest Smi]]</f>
        <v>0</v>
      </c>
      <c r="BC60" s="189" cm="1">
        <f t="array" aca="1" ref="BC60" ca="1">IF(TblConstr[[#This Row],[Hour]:[Hour]]&gt;12,OFFSET(TblConstr[[#This Row],[Mas]],-12,0),0)+OFFSET(TblConstr[[#This Row],[Tot Mas]],-1,0)-TblConstr[[#This Row],[Dest Mas]]</f>
        <v>0</v>
      </c>
      <c r="BD60" s="190" cm="1">
        <f t="array" aca="1" ref="BD60" ca="1">IF(TblConstr[[#This Row],[Hour]:[Hour]]&gt;12,OFFSET(TblConstr[[#This Row],[Ly]],-12,0),0)+OFFSET(TblConstr[[#This Row],[Tot Ly]],-1,0)-TblConstr[[#This Row],[Dest Ly]]</f>
        <v>20</v>
      </c>
      <c r="BE60" s="190" cm="1">
        <f t="array" aca="1" ref="BE60" ca="1">IF(TblConstr[[#This Row],[Hour]:[Hour]]&gt;12,OFFSET(TblConstr[[#This Row],[Hav]],-12,0),0)+OFFSET(TblConstr[[#This Row],[Tot Hav]],-1,0)-TblConstr[[#This Row],[Dest Hav]]</f>
        <v>0</v>
      </c>
      <c r="BF60" s="361" cm="1">
        <f t="array" aca="1" ref="BF60" ca="1">IF(TblConstr[[#This Row],[Hour]:[Hour]]&gt;12,OFFSET(TblConstr[[#This Row],[OM]],-12,0),0)+OFFSET(TblConstr[[#This Row],[Tot OM]],-1,0)-TblConstr[[#This Row],[Dest OM]]</f>
        <v>0</v>
      </c>
      <c r="BG60" s="361" cm="1">
        <f t="array" aca="1" ref="BG60" ca="1">IF(TblConstr[[#This Row],[Hour]:[Hour]]&gt;12,OFFSET(TblConstr[[#This Row],[GN]],-12,0),0)+OFFSET(TblConstr[[#This Row],[Tot GN]],-1,0)-TblConstr[[#This Row],[Dest GN]]</f>
        <v>0</v>
      </c>
      <c r="BH60" s="365" cm="1">
        <f t="array" aca="1" ref="BH60" ca="1">IF(TblConstr[[#This Row],[Hour]:[Hour]]&gt;12,OFFSET(TblConstr[[#This Row],[Fac]],-12,0),0)+OFFSET(TblConstr[[#This Row],[Tot Fac]],-1,0)-TblConstr[[#This Row],[Dest Fac]]</f>
        <v>0</v>
      </c>
      <c r="BI60" s="365" cm="1">
        <f t="array" aca="1" ref="BI60" ca="1">IF(TblConstr[[#This Row],[Hour]:[Hour]]&gt;12,OFFSET(TblConstr[[#This Row],[GT]],-12,0),0)+OFFSET(TblConstr[[#This Row],[Tot GT]],-1,0)-TblConstr[[#This Row],[Dest GT]]</f>
        <v>0</v>
      </c>
      <c r="BJ60" s="365" cm="1">
        <f t="array" aca="1" ref="BJ60" ca="1">IF(TblConstr[[#This Row],[Hour]:[Hour]]&gt;12,OFFSET(TblConstr[[#This Row],[Bar]],-12,0),0)+OFFSET(TblConstr[[#This Row],[Tot Bar]],-1,0)-TblConstr[[#This Row],[Dest Bar]]</f>
        <v>0</v>
      </c>
      <c r="BK60" s="365" cm="1">
        <f t="array" aca="1" ref="BK60" ca="1">IF(TblConstr[[#This Row],[Hour]:[Hour]]&gt;12,OFFSET(TblConstr[[#This Row],[Shr]],-12,0),0)+OFFSET(TblConstr[[#This Row],[Tot Shr]],-1,0)-TblConstr[[#This Row],[Dest Shr]]</f>
        <v>0</v>
      </c>
      <c r="BL60" s="369" cm="1">
        <f t="array" aca="1" ref="BL60" ca="1">IF(TblConstr[[#This Row],[Hour]:[Hour]]&gt;12,OFFSET(TblConstr[[#This Row],[Tow]],-12,0),0)+OFFSET(TblConstr[[#This Row],[Tot Tow]],-1,0)-TblConstr[[#This Row],[Dest Tow]]</f>
        <v>0</v>
      </c>
      <c r="BM60" s="369" cm="1">
        <f t="array" aca="1" ref="BM60" ca="1">IF(TblConstr[[#This Row],[Hour]:[Hour]]&gt;12,OFFSET(TblConstr[[#This Row],[Tem]],-12,0),0)+OFFSET(TblConstr[[#This Row],[Tot Tem]],-1,0)-TblConstr[[#This Row],[Dest Tem]]</f>
        <v>0</v>
      </c>
      <c r="BN60" s="369" cm="1">
        <f t="array" aca="1" ref="BN60" ca="1">IF(TblConstr[[#This Row],[Hour]:[Hour]]&gt;12,OFFSET(TblConstr[[#This Row],[WG]],-12,0),0)+OFFSET(TblConstr[[#This Row],[Tot WG]],-1,0)-TblConstr[[#This Row],[Dest WG]]</f>
        <v>0</v>
      </c>
      <c r="BO60" s="191" cm="1">
        <f t="array" aca="1" ref="BO60" ca="1">IF(TblConstr[[#This Row],[Hour]:[Hour]]&gt;12,OFFSET(TblConstr[[#This Row],[DM]],-12,0),0)+OFFSET(TblConstr[[#This Row],[Tot DM]],-1,0)-TblConstr[[#This Row],[Dest DM]]</f>
        <v>0</v>
      </c>
      <c r="BP60" s="191" cm="1">
        <f t="array" aca="1" ref="BP60" ca="1">IF(TblConstr[[#This Row],[Hour]:[Hour]]&gt;12,OFFSET(TblConstr[[#This Row],[Sch]],-12,0),0)+OFFSET(TblConstr[[#This Row],[Tot Sch]],-1,0)-TblConstr[[#This Row],[Dest Sch]]</f>
        <v>0</v>
      </c>
      <c r="BQ60" s="192" cm="1">
        <f t="array" aca="1" ref="BQ60" ca="1">IF(TblConstr[[#This Row],[Hour]:[Hour]]&gt;12,OFFSET(TblConstr[[#This Row],[Doc]],-12,0),0)+OFFSET(TblConstr[[#This Row],[Tot Doc]],-1,0)-TblConstr[[#This Row],[Dest Doc]]</f>
        <v>0</v>
      </c>
      <c r="BR60" s="142"/>
      <c r="BS60" s="154"/>
      <c r="BT60" s="94">
        <f ca="1">TblConstr[[#This Row],[Land]]</f>
        <v>50</v>
      </c>
      <c r="BU60" s="159">
        <f ca="1">TblImps[[#This Row],[Time]]</f>
        <v>46322.333333333198</v>
      </c>
      <c r="BV60" s="142"/>
      <c r="BW60" s="179"/>
      <c r="BX60" s="179"/>
      <c r="BY60" s="179"/>
      <c r="BZ60" s="179"/>
      <c r="CA60" s="179"/>
      <c r="CB60" s="179"/>
      <c r="CC60" s="179"/>
      <c r="CD60" s="179"/>
      <c r="CE60" s="179"/>
      <c r="CF60" s="179"/>
      <c r="CG60" s="179"/>
      <c r="CH60" s="179"/>
      <c r="CI60" s="179"/>
      <c r="CJ60" s="179"/>
      <c r="CK60" s="179"/>
      <c r="CL60" s="179"/>
      <c r="CM60" s="179"/>
      <c r="CN60" s="179"/>
      <c r="CO60" s="179"/>
      <c r="CP60" s="142"/>
      <c r="CQ60" s="181">
        <f ca="1">-SUM(TblConstr[[#This Row],[Alc]:[Mas]])+SUM(TblConstr[[#This Row],[Dest Alc]:[Dest Mas]])+Rezone!L60+IF("Ch_"&amp; home_land=TblConstr[[#Headers],[Ch_Plain]],TblConstr[[#This Row],[Home Land]])+IF(TblConstr[[#This Row],[Hour]:[Hour]]&gt;12,OFFSET(TblExplore[[#This Row],[Plains Explore]],-12,0),0)</f>
        <v>0</v>
      </c>
      <c r="CR60" s="182">
        <f ca="1">-SUM(TblConstr[[#This Row],[Ly]:[Hav]])+SUM(TblConstr[[#This Row],[Dest Ly]:[Dest Hav]]) +Rezone!M60 + IF("Ch_"&amp; home_land=TblConstr[[#Headers],[Ch_Forest]],TblConstr[[#This Row],[Home Land]])+IF(TblConstr[[#This Row],[Hour]:[Hour]]&gt;12,OFFSET(TblExplore[[#This Row],[Forest Explore]],-12,0),0)</f>
        <v>0</v>
      </c>
      <c r="CS60" s="359">
        <f ca="1">-SUM(TblConstr[[#This Row],[OM]:[GN]])+SUM(TblConstr[[#This Row],[Dest OM]:[Dest GN]]) +Rezone!N60 + IF("Ch_"&amp; home_land=TblConstr[[#Headers],[Ch_Mountain]],TblConstr[[#This Row],[Home Land]])+IF(TblConstr[[#This Row],[Hour]:[Hour]]&gt;12,OFFSET(TblExplore[[#This Row],[Mountain Explore]],-12,0),0)</f>
        <v>0</v>
      </c>
      <c r="CT60" s="183">
        <f ca="1">-SUM(TblConstr[[#This Row],[Fac]:[Shr]])+SUM(TblConstr[[#This Row],[Dest Fac]:[Dest Shr]]) +Rezone!O60 + IF("Ch_" &amp; home_land=TblConstr[[#Headers],[Ch_Hill]],TblConstr[[#This Row],[Home Land]])+IF(TblConstr[[#This Row],[Hour]:[Hour]]&gt;12,OFFSET(TblExplore[[#This Row],[Hill Explore]],-12,0),0)</f>
        <v>0</v>
      </c>
      <c r="CU60" s="184">
        <f ca="1">-SUM(TblConstr[[#This Row],[Tow]:[WG]])+SUM(TblConstr[[#This Row],[Dest Tow]:[Dest WG]]) +Rezone!P60 + IF("Ch_" &amp; home_land=TblConstr[[#Headers],[Ch_Swamp]],TblConstr[[#This Row],[Home Land]])+IF(TblConstr[[#This Row],[Hour]:[Hour]]&gt;12,OFFSET(TblExplore[[#This Row],[Swamp Explore]],-12,0),0)</f>
        <v>0</v>
      </c>
      <c r="CV60" s="185">
        <f ca="1" xml:space="preserve"> - SUM(TblConstr[[#This Row],[DM]:[Sch]])+SUM(TblConstr[[#This Row],[Dest DM]:[Dest Sch]]) +Rezone!Q60 + IF("Ch_" &amp; home_land=TblConstr[[#Headers],[Ch_Cavern]],TblConstr[[#This Row],[Home Land]])+IF(TblConstr[[#This Row],[Hour]:[Hour]]&gt;12,OFFSET(TblExplore[[#This Row],[Cavern Explore]],-12,0),0)</f>
        <v>0</v>
      </c>
      <c r="CW60" s="186">
        <f ca="1">-TblConstr[[#This Row],[Doc]]+TblConstr[[#This Row],[Dest Doc]] +Rezone!R60 + IF("Ch_" &amp; home_land=TblConstr[[#Headers],[Ch_Water]],TblConstr[[#This Row],[Home Land]])+IF(TblConstr[[#This Row],[Hour]:[Hour]]&gt;12,OFFSET(TblExplore[[#This Row],[Water Explore]],-12,0),0)</f>
        <v>0</v>
      </c>
      <c r="CX60" s="45">
        <f>IF(Explore!S60=1,20) - TblConstr[[#This Row],[Hom]] + TblConstr[[#This Row],[Dest Hom]]</f>
        <v>0</v>
      </c>
      <c r="CY60" s="142"/>
      <c r="CZ60" s="94">
        <f t="shared" ca="1" si="12"/>
        <v>30</v>
      </c>
      <c r="DA60" s="94">
        <f t="shared" ca="1" si="13"/>
        <v>20</v>
      </c>
      <c r="DB60" s="45">
        <f t="shared" ca="1" si="14"/>
        <v>0</v>
      </c>
      <c r="DC60" s="94">
        <f t="shared" ca="1" si="15"/>
        <v>0</v>
      </c>
      <c r="DD60" s="94">
        <f t="shared" ca="1" si="16"/>
        <v>0</v>
      </c>
      <c r="DE60" s="45">
        <f t="shared" ca="1" si="17"/>
        <v>0</v>
      </c>
      <c r="DF60" s="94">
        <f t="shared" ca="1" si="18"/>
        <v>0</v>
      </c>
      <c r="DG60" s="94" cm="1">
        <f t="array" aca="1" ref="DG60" ca="1">INDEX(TblConstr[[Total Plain]:[Total Water]],ROW()-ROW(TblConstr[#Headers]),MATCH("Total "&amp;home_land,TblConstr[[#Headers],[Total Plain]:[Total Water]],0))+TblConstr[[#This Row],[Homes]]</f>
        <v>30</v>
      </c>
      <c r="DH60" s="45">
        <f t="shared" ca="1" si="10"/>
        <v>0</v>
      </c>
      <c r="DI60" s="45">
        <f t="shared" ca="1" si="0"/>
        <v>0</v>
      </c>
      <c r="DJ60" s="45">
        <f t="shared" ca="1" si="1"/>
        <v>0</v>
      </c>
    </row>
    <row r="61" spans="1:114" x14ac:dyDescent="0.2">
      <c r="A61" s="175">
        <f>TblRezone[[#This Row],[Hour]]</f>
        <v>58</v>
      </c>
      <c r="B61" s="176">
        <f ca="1">SUM(TblConstr[[#This Row],[Plain]:[Water]])</f>
        <v>0</v>
      </c>
      <c r="C61" s="177">
        <f ca="1">SUM(TblConstr[[#This Row],[Tot Hom]:[Tot Doc]])</f>
        <v>50</v>
      </c>
      <c r="D61" s="177">
        <f t="shared" si="11"/>
        <v>0</v>
      </c>
      <c r="E61" s="178"/>
      <c r="F61" s="61">
        <f ca="1">TblConstr[[#This Row],[Barren]]+TblConstr[[#This Row],[Buildings]]+TblConstr[[#This Row],[Incoming]]</f>
        <v>50</v>
      </c>
      <c r="G61" s="187">
        <f ca="1">OFFSET(TblConstr[[#This Row],[Plain]],-1,0)+TblConstr[[#This Row],[Ch_Plain]]</f>
        <v>0</v>
      </c>
      <c r="H61" s="182">
        <f ca="1">OFFSET(TblConstr[[#This Row],[Forest]],-1,0)+TblConstr[[#This Row],[Ch_Forest]]</f>
        <v>0</v>
      </c>
      <c r="I61" s="359">
        <f ca="1">OFFSET(TblConstr[[#This Row],[Mountain]],-1,0)+TblConstr[[#This Row],[Ch_Mountain]]</f>
        <v>0</v>
      </c>
      <c r="J61" s="363">
        <f ca="1">OFFSET(TblConstr[[#This Row],[Hill]],-1,0)+TblConstr[[#This Row],[Ch_Hill]]</f>
        <v>0</v>
      </c>
      <c r="K61" s="367">
        <f ca="1">OFFSET(TblConstr[[#This Row],[Swamp]],-1,0)+TblConstr[[#This Row],[Ch_Swamp]]</f>
        <v>0</v>
      </c>
      <c r="L61" s="185">
        <f ca="1">OFFSET(TblConstr[[#This Row],[Cavern]],-1,0)+TblConstr[[#This Row],[Ch_Cavern]]</f>
        <v>0</v>
      </c>
      <c r="M61" s="186">
        <f ca="1">OFFSET(TblConstr[[#This Row],[Water]],-1,0)+TblConstr[[#This Row],[Ch_Water]]</f>
        <v>0</v>
      </c>
      <c r="N61" s="357">
        <f>TblRezone[[#This Row],[Hour]]</f>
        <v>58</v>
      </c>
      <c r="O61" s="179"/>
      <c r="P61" s="179"/>
      <c r="Q61" s="179"/>
      <c r="R61" s="179"/>
      <c r="S61" s="179"/>
      <c r="T61" s="179"/>
      <c r="U61" s="179"/>
      <c r="V61" s="179"/>
      <c r="W61" s="179"/>
      <c r="X61" s="179"/>
      <c r="Y61" s="179"/>
      <c r="Z61" s="179"/>
      <c r="AA61" s="179"/>
      <c r="AB61" s="179"/>
      <c r="AC61" s="179"/>
      <c r="AD61" s="179"/>
      <c r="AE61" s="179"/>
      <c r="AF61" s="179"/>
      <c r="AG61" s="179"/>
      <c r="AH61" s="53">
        <f ca="1">TblImps[[#This Row],[Time]]</f>
        <v>46322.374999999862</v>
      </c>
      <c r="AI61" s="180">
        <f ca="1">MIN(25%,(TblConstr[[#This Row],[Tot Fac]]+TblConstr[[#This Row],[Dest Fac]])/(TblConstr[[#This Row],[Land]]-TblExplore[[#This Row],[Land Bonus]]*20))</f>
        <v>0</v>
      </c>
      <c r="AJ61" s="180">
        <f ca="1">MIN(25%,(TblConstr[[#This Row],[Tot Fac]]+TblConstr[[#This Row],[Dest Fac]])/TblConstr[[#This Row],[Land]])</f>
        <v>0</v>
      </c>
      <c r="AK61" s="94">
        <f ca="1">TblProd[[#This Row],[Platinum]]</f>
        <v>175347</v>
      </c>
      <c r="AL61" s="94">
        <f ca="1">TblProd[[#This Row],[Lumber]]</f>
        <v>52066</v>
      </c>
      <c r="AM6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1" s="94">
        <f ca="1">ROUNDDOWN( MAX(1 - MIN(facs_constr_factor*TblConstr[[#This Row],[Facs -DB]],facs_constr_max) + tech_1_11*TblTech[[#This Row],[11-1]] + tech_6_3_2*TblTech[[#This Row],[6-3]] + tech_5_2_3*TblTech[[#This Row],[5-2]], 1-global_constr_cap) * TblConstr[[#This Row],[RCPA Lumber]],0)</f>
        <v>31</v>
      </c>
      <c r="AO6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1" s="94">
        <f ca="1">ROUNDDOWN( MAX(1 - MIN(facs_constr_factor*TblConstr[[#This Row],[Facs DB]],facs_constr_max) + tech_1_11*TblTech[[#This Row],[1-11]] + tech_6_3_2*TblTech[[#This Row],[6-3]] + tech_5_2_3*TblTech[[#This Row],[5-2]], 1-global_constr_cap) * ROUND((TblConstr[[#This Row],[Land]]-250)*0.285 + 87.5 + 0/4.25,0),0)</f>
        <v>31</v>
      </c>
      <c r="AQ61" s="45">
        <f ca="1">TblConstr[[#This Row],[build -db]]*TblConstr[[#This Row],[CPA Platinum -DB]] + TblConstr[[#This Row],[build db]]*TblConstr[[#This Row],[CPA Platinum DB]]</f>
        <v>0</v>
      </c>
      <c r="AR61" s="45">
        <f ca="1">TblConstr[[#This Row],[build -db]]*TblConstr[[#This Row],[CPA Lumber -DB]] + TblConstr[[#This Row],[build db]]*TblConstr[[#This Row],[CPA Lumber DB]]</f>
        <v>0</v>
      </c>
      <c r="AS61" s="94">
        <f ca="1">MIN(SUM(OFFSET(TblConstr[[#This Row],[Plain]:[Water]],-1,0))+SUM(TblConstr[[#This Row],[Dest Hom]:[Dest Doc]])+IF(TblConstr[[#This Row],[Hour]]&gt;12,SUM(OFFSET(TblExplore[[#This Row],[Plains Explore]:[Water Explore]],-12,0)),0),SUM(TblConstr[[#This Row],[Hom]:[Doc]]))</f>
        <v>0</v>
      </c>
      <c r="AT6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42"/>
      <c r="AV61" s="94">
        <f ca="1">ROUND((TblConstr[[#This Row],[Land]]-250 - IF(TblExplore[[#This Row],[Land Bonus]]&lt;&gt;0,20,0))*1.25 + 850 + 0,0)</f>
        <v>600</v>
      </c>
      <c r="AW61" s="94">
        <f ca="1">ROUND((TblConstr[[#This Row],[Land]]-250 - IF(TblExplore[[#This Row],[Land Bonus]]&lt;&gt;0,20,0))*0.285 + 87.5 + 0/4.25,0)</f>
        <v>31</v>
      </c>
      <c r="AX61" s="154"/>
      <c r="AY61" s="188" cm="1">
        <f t="array" aca="1" ref="AY61" ca="1">IF(TblConstr[[#This Row],[Hour]:[Hour]]&gt;12,OFFSET(TblConstr[[#This Row],[Hom]],-12,0),0)+OFFSET(TblConstr[[#This Row],[Tot Hom]],-1,0)-TblConstr[[#This Row],[Dest Hom]]</f>
        <v>0</v>
      </c>
      <c r="AZ61" s="189" cm="1">
        <f t="array" aca="1" ref="AZ61" ca="1">IF(TblConstr[[#This Row],[Hour]:[Hour]]&gt;12,OFFSET(TblConstr[[#This Row],[Alc]],-12,0),0)+OFFSET(TblConstr[[#This Row],[Tot Alc]],-1,0)-TblConstr[[#This Row],[Dest Alc]]</f>
        <v>0</v>
      </c>
      <c r="BA61" s="189" cm="1">
        <f t="array" aca="1" ref="BA61" ca="1">IF(TblConstr[[#This Row],[Hour]:[Hour]]&gt;12,OFFSET(TblConstr[[#This Row],[Far]],-12,0),0)+OFFSET(TblConstr[[#This Row],[Tot Farm]],-1,0)-TblConstr[[#This Row],[Dest Farm]]</f>
        <v>30</v>
      </c>
      <c r="BB61" s="189" cm="1">
        <f t="array" aca="1" ref="BB61" ca="1">IF(TblConstr[[#This Row],[Hour]:[Hour]]&gt;12,OFFSET(TblConstr[[#This Row],[Smi]],-12,0),0)+OFFSET(TblConstr[[#This Row],[Tot Smi]],-1,0)-TblConstr[[#This Row],[Dest Smi]]</f>
        <v>0</v>
      </c>
      <c r="BC61" s="189" cm="1">
        <f t="array" aca="1" ref="BC61" ca="1">IF(TblConstr[[#This Row],[Hour]:[Hour]]&gt;12,OFFSET(TblConstr[[#This Row],[Mas]],-12,0),0)+OFFSET(TblConstr[[#This Row],[Tot Mas]],-1,0)-TblConstr[[#This Row],[Dest Mas]]</f>
        <v>0</v>
      </c>
      <c r="BD61" s="190" cm="1">
        <f t="array" aca="1" ref="BD61" ca="1">IF(TblConstr[[#This Row],[Hour]:[Hour]]&gt;12,OFFSET(TblConstr[[#This Row],[Ly]],-12,0),0)+OFFSET(TblConstr[[#This Row],[Tot Ly]],-1,0)-TblConstr[[#This Row],[Dest Ly]]</f>
        <v>20</v>
      </c>
      <c r="BE61" s="190" cm="1">
        <f t="array" aca="1" ref="BE61" ca="1">IF(TblConstr[[#This Row],[Hour]:[Hour]]&gt;12,OFFSET(TblConstr[[#This Row],[Hav]],-12,0),0)+OFFSET(TblConstr[[#This Row],[Tot Hav]],-1,0)-TblConstr[[#This Row],[Dest Hav]]</f>
        <v>0</v>
      </c>
      <c r="BF61" s="361" cm="1">
        <f t="array" aca="1" ref="BF61" ca="1">IF(TblConstr[[#This Row],[Hour]:[Hour]]&gt;12,OFFSET(TblConstr[[#This Row],[OM]],-12,0),0)+OFFSET(TblConstr[[#This Row],[Tot OM]],-1,0)-TblConstr[[#This Row],[Dest OM]]</f>
        <v>0</v>
      </c>
      <c r="BG61" s="361" cm="1">
        <f t="array" aca="1" ref="BG61" ca="1">IF(TblConstr[[#This Row],[Hour]:[Hour]]&gt;12,OFFSET(TblConstr[[#This Row],[GN]],-12,0),0)+OFFSET(TblConstr[[#This Row],[Tot GN]],-1,0)-TblConstr[[#This Row],[Dest GN]]</f>
        <v>0</v>
      </c>
      <c r="BH61" s="365" cm="1">
        <f t="array" aca="1" ref="BH61" ca="1">IF(TblConstr[[#This Row],[Hour]:[Hour]]&gt;12,OFFSET(TblConstr[[#This Row],[Fac]],-12,0),0)+OFFSET(TblConstr[[#This Row],[Tot Fac]],-1,0)-TblConstr[[#This Row],[Dest Fac]]</f>
        <v>0</v>
      </c>
      <c r="BI61" s="365" cm="1">
        <f t="array" aca="1" ref="BI61" ca="1">IF(TblConstr[[#This Row],[Hour]:[Hour]]&gt;12,OFFSET(TblConstr[[#This Row],[GT]],-12,0),0)+OFFSET(TblConstr[[#This Row],[Tot GT]],-1,0)-TblConstr[[#This Row],[Dest GT]]</f>
        <v>0</v>
      </c>
      <c r="BJ61" s="365" cm="1">
        <f t="array" aca="1" ref="BJ61" ca="1">IF(TblConstr[[#This Row],[Hour]:[Hour]]&gt;12,OFFSET(TblConstr[[#This Row],[Bar]],-12,0),0)+OFFSET(TblConstr[[#This Row],[Tot Bar]],-1,0)-TblConstr[[#This Row],[Dest Bar]]</f>
        <v>0</v>
      </c>
      <c r="BK61" s="365" cm="1">
        <f t="array" aca="1" ref="BK61" ca="1">IF(TblConstr[[#This Row],[Hour]:[Hour]]&gt;12,OFFSET(TblConstr[[#This Row],[Shr]],-12,0),0)+OFFSET(TblConstr[[#This Row],[Tot Shr]],-1,0)-TblConstr[[#This Row],[Dest Shr]]</f>
        <v>0</v>
      </c>
      <c r="BL61" s="369" cm="1">
        <f t="array" aca="1" ref="BL61" ca="1">IF(TblConstr[[#This Row],[Hour]:[Hour]]&gt;12,OFFSET(TblConstr[[#This Row],[Tow]],-12,0),0)+OFFSET(TblConstr[[#This Row],[Tot Tow]],-1,0)-TblConstr[[#This Row],[Dest Tow]]</f>
        <v>0</v>
      </c>
      <c r="BM61" s="369" cm="1">
        <f t="array" aca="1" ref="BM61" ca="1">IF(TblConstr[[#This Row],[Hour]:[Hour]]&gt;12,OFFSET(TblConstr[[#This Row],[Tem]],-12,0),0)+OFFSET(TblConstr[[#This Row],[Tot Tem]],-1,0)-TblConstr[[#This Row],[Dest Tem]]</f>
        <v>0</v>
      </c>
      <c r="BN61" s="369" cm="1">
        <f t="array" aca="1" ref="BN61" ca="1">IF(TblConstr[[#This Row],[Hour]:[Hour]]&gt;12,OFFSET(TblConstr[[#This Row],[WG]],-12,0),0)+OFFSET(TblConstr[[#This Row],[Tot WG]],-1,0)-TblConstr[[#This Row],[Dest WG]]</f>
        <v>0</v>
      </c>
      <c r="BO61" s="191" cm="1">
        <f t="array" aca="1" ref="BO61" ca="1">IF(TblConstr[[#This Row],[Hour]:[Hour]]&gt;12,OFFSET(TblConstr[[#This Row],[DM]],-12,0),0)+OFFSET(TblConstr[[#This Row],[Tot DM]],-1,0)-TblConstr[[#This Row],[Dest DM]]</f>
        <v>0</v>
      </c>
      <c r="BP61" s="191" cm="1">
        <f t="array" aca="1" ref="BP61" ca="1">IF(TblConstr[[#This Row],[Hour]:[Hour]]&gt;12,OFFSET(TblConstr[[#This Row],[Sch]],-12,0),0)+OFFSET(TblConstr[[#This Row],[Tot Sch]],-1,0)-TblConstr[[#This Row],[Dest Sch]]</f>
        <v>0</v>
      </c>
      <c r="BQ61" s="192" cm="1">
        <f t="array" aca="1" ref="BQ61" ca="1">IF(TblConstr[[#This Row],[Hour]:[Hour]]&gt;12,OFFSET(TblConstr[[#This Row],[Doc]],-12,0),0)+OFFSET(TblConstr[[#This Row],[Tot Doc]],-1,0)-TblConstr[[#This Row],[Dest Doc]]</f>
        <v>0</v>
      </c>
      <c r="BR61" s="142"/>
      <c r="BS61" s="154"/>
      <c r="BT61" s="94">
        <f ca="1">TblConstr[[#This Row],[Land]]</f>
        <v>50</v>
      </c>
      <c r="BU61" s="159">
        <f ca="1">TblImps[[#This Row],[Time]]</f>
        <v>46322.374999999862</v>
      </c>
      <c r="BV61" s="142"/>
      <c r="BW61" s="179"/>
      <c r="BX61" s="179"/>
      <c r="BY61" s="179"/>
      <c r="BZ61" s="179"/>
      <c r="CA61" s="179"/>
      <c r="CB61" s="179"/>
      <c r="CC61" s="179"/>
      <c r="CD61" s="179"/>
      <c r="CE61" s="179"/>
      <c r="CF61" s="179"/>
      <c r="CG61" s="179"/>
      <c r="CH61" s="179"/>
      <c r="CI61" s="179"/>
      <c r="CJ61" s="179"/>
      <c r="CK61" s="179"/>
      <c r="CL61" s="179"/>
      <c r="CM61" s="179"/>
      <c r="CN61" s="179"/>
      <c r="CO61" s="179"/>
      <c r="CP61" s="142"/>
      <c r="CQ61" s="181">
        <f ca="1">-SUM(TblConstr[[#This Row],[Alc]:[Mas]])+SUM(TblConstr[[#This Row],[Dest Alc]:[Dest Mas]])+Rezone!L61+IF("Ch_"&amp; home_land=TblConstr[[#Headers],[Ch_Plain]],TblConstr[[#This Row],[Home Land]])+IF(TblConstr[[#This Row],[Hour]:[Hour]]&gt;12,OFFSET(TblExplore[[#This Row],[Plains Explore]],-12,0),0)</f>
        <v>0</v>
      </c>
      <c r="CR61" s="182">
        <f ca="1">-SUM(TblConstr[[#This Row],[Ly]:[Hav]])+SUM(TblConstr[[#This Row],[Dest Ly]:[Dest Hav]]) +Rezone!M61 + IF("Ch_"&amp; home_land=TblConstr[[#Headers],[Ch_Forest]],TblConstr[[#This Row],[Home Land]])+IF(TblConstr[[#This Row],[Hour]:[Hour]]&gt;12,OFFSET(TblExplore[[#This Row],[Forest Explore]],-12,0),0)</f>
        <v>0</v>
      </c>
      <c r="CS61" s="359">
        <f ca="1">-SUM(TblConstr[[#This Row],[OM]:[GN]])+SUM(TblConstr[[#This Row],[Dest OM]:[Dest GN]]) +Rezone!N61 + IF("Ch_"&amp; home_land=TblConstr[[#Headers],[Ch_Mountain]],TblConstr[[#This Row],[Home Land]])+IF(TblConstr[[#This Row],[Hour]:[Hour]]&gt;12,OFFSET(TblExplore[[#This Row],[Mountain Explore]],-12,0),0)</f>
        <v>0</v>
      </c>
      <c r="CT61" s="183">
        <f ca="1">-SUM(TblConstr[[#This Row],[Fac]:[Shr]])+SUM(TblConstr[[#This Row],[Dest Fac]:[Dest Shr]]) +Rezone!O61 + IF("Ch_" &amp; home_land=TblConstr[[#Headers],[Ch_Hill]],TblConstr[[#This Row],[Home Land]])+IF(TblConstr[[#This Row],[Hour]:[Hour]]&gt;12,OFFSET(TblExplore[[#This Row],[Hill Explore]],-12,0),0)</f>
        <v>0</v>
      </c>
      <c r="CU61" s="184">
        <f ca="1">-SUM(TblConstr[[#This Row],[Tow]:[WG]])+SUM(TblConstr[[#This Row],[Dest Tow]:[Dest WG]]) +Rezone!P61 + IF("Ch_" &amp; home_land=TblConstr[[#Headers],[Ch_Swamp]],TblConstr[[#This Row],[Home Land]])+IF(TblConstr[[#This Row],[Hour]:[Hour]]&gt;12,OFFSET(TblExplore[[#This Row],[Swamp Explore]],-12,0),0)</f>
        <v>0</v>
      </c>
      <c r="CV61" s="185">
        <f ca="1" xml:space="preserve"> - SUM(TblConstr[[#This Row],[DM]:[Sch]])+SUM(TblConstr[[#This Row],[Dest DM]:[Dest Sch]]) +Rezone!Q61 + IF("Ch_" &amp; home_land=TblConstr[[#Headers],[Ch_Cavern]],TblConstr[[#This Row],[Home Land]])+IF(TblConstr[[#This Row],[Hour]:[Hour]]&gt;12,OFFSET(TblExplore[[#This Row],[Cavern Explore]],-12,0),0)</f>
        <v>0</v>
      </c>
      <c r="CW61" s="186">
        <f ca="1">-TblConstr[[#This Row],[Doc]]+TblConstr[[#This Row],[Dest Doc]] +Rezone!R61 + IF("Ch_" &amp; home_land=TblConstr[[#Headers],[Ch_Water]],TblConstr[[#This Row],[Home Land]])+IF(TblConstr[[#This Row],[Hour]:[Hour]]&gt;12,OFFSET(TblExplore[[#This Row],[Water Explore]],-12,0),0)</f>
        <v>0</v>
      </c>
      <c r="CX61" s="45">
        <f>IF(Explore!S61=1,20) - TblConstr[[#This Row],[Hom]] + TblConstr[[#This Row],[Dest Hom]]</f>
        <v>0</v>
      </c>
      <c r="CY61" s="142"/>
      <c r="CZ61" s="94">
        <f t="shared" ca="1" si="12"/>
        <v>30</v>
      </c>
      <c r="DA61" s="94">
        <f t="shared" ca="1" si="13"/>
        <v>20</v>
      </c>
      <c r="DB61" s="45">
        <f t="shared" ca="1" si="14"/>
        <v>0</v>
      </c>
      <c r="DC61" s="94">
        <f t="shared" ca="1" si="15"/>
        <v>0</v>
      </c>
      <c r="DD61" s="94">
        <f t="shared" ca="1" si="16"/>
        <v>0</v>
      </c>
      <c r="DE61" s="45">
        <f t="shared" ca="1" si="17"/>
        <v>0</v>
      </c>
      <c r="DF61" s="94">
        <f t="shared" ca="1" si="18"/>
        <v>0</v>
      </c>
      <c r="DG61" s="94" cm="1">
        <f t="array" aca="1" ref="DG61" ca="1">INDEX(TblConstr[[Total Plain]:[Total Water]],ROW()-ROW(TblConstr[#Headers]),MATCH("Total "&amp;home_land,TblConstr[[#Headers],[Total Plain]:[Total Water]],0))+TblConstr[[#This Row],[Homes]]</f>
        <v>30</v>
      </c>
      <c r="DH61" s="45">
        <f t="shared" ca="1" si="10"/>
        <v>0</v>
      </c>
      <c r="DI61" s="45">
        <f t="shared" ca="1" si="0"/>
        <v>0</v>
      </c>
      <c r="DJ61" s="45">
        <f t="shared" ca="1" si="1"/>
        <v>0</v>
      </c>
    </row>
    <row r="62" spans="1:114" x14ac:dyDescent="0.2">
      <c r="A62" s="175">
        <f>TblRezone[[#This Row],[Hour]]</f>
        <v>59</v>
      </c>
      <c r="B62" s="176">
        <f ca="1">SUM(TblConstr[[#This Row],[Plain]:[Water]])</f>
        <v>0</v>
      </c>
      <c r="C62" s="177">
        <f ca="1">SUM(TblConstr[[#This Row],[Tot Hom]:[Tot Doc]])</f>
        <v>50</v>
      </c>
      <c r="D62" s="177">
        <f t="shared" si="11"/>
        <v>0</v>
      </c>
      <c r="E62" s="178"/>
      <c r="F62" s="61">
        <f ca="1">TblConstr[[#This Row],[Barren]]+TblConstr[[#This Row],[Buildings]]+TblConstr[[#This Row],[Incoming]]</f>
        <v>50</v>
      </c>
      <c r="G62" s="187">
        <f ca="1">OFFSET(TblConstr[[#This Row],[Plain]],-1,0)+TblConstr[[#This Row],[Ch_Plain]]</f>
        <v>0</v>
      </c>
      <c r="H62" s="182">
        <f ca="1">OFFSET(TblConstr[[#This Row],[Forest]],-1,0)+TblConstr[[#This Row],[Ch_Forest]]</f>
        <v>0</v>
      </c>
      <c r="I62" s="359">
        <f ca="1">OFFSET(TblConstr[[#This Row],[Mountain]],-1,0)+TblConstr[[#This Row],[Ch_Mountain]]</f>
        <v>0</v>
      </c>
      <c r="J62" s="363">
        <f ca="1">OFFSET(TblConstr[[#This Row],[Hill]],-1,0)+TblConstr[[#This Row],[Ch_Hill]]</f>
        <v>0</v>
      </c>
      <c r="K62" s="367">
        <f ca="1">OFFSET(TblConstr[[#This Row],[Swamp]],-1,0)+TblConstr[[#This Row],[Ch_Swamp]]</f>
        <v>0</v>
      </c>
      <c r="L62" s="185">
        <f ca="1">OFFSET(TblConstr[[#This Row],[Cavern]],-1,0)+TblConstr[[#This Row],[Ch_Cavern]]</f>
        <v>0</v>
      </c>
      <c r="M62" s="186">
        <f ca="1">OFFSET(TblConstr[[#This Row],[Water]],-1,0)+TblConstr[[#This Row],[Ch_Water]]</f>
        <v>0</v>
      </c>
      <c r="N62" s="357">
        <f>TblRezone[[#This Row],[Hour]]</f>
        <v>59</v>
      </c>
      <c r="O62" s="179"/>
      <c r="P62" s="179"/>
      <c r="Q62" s="179"/>
      <c r="R62" s="179"/>
      <c r="S62" s="179"/>
      <c r="T62" s="179"/>
      <c r="U62" s="179"/>
      <c r="V62" s="179"/>
      <c r="W62" s="179"/>
      <c r="X62" s="179"/>
      <c r="Y62" s="179"/>
      <c r="Z62" s="179"/>
      <c r="AA62" s="179"/>
      <c r="AB62" s="179"/>
      <c r="AC62" s="179"/>
      <c r="AD62" s="179"/>
      <c r="AE62" s="179"/>
      <c r="AF62" s="179"/>
      <c r="AG62" s="179"/>
      <c r="AH62" s="53">
        <f ca="1">TblImps[[#This Row],[Time]]</f>
        <v>46322.416666666526</v>
      </c>
      <c r="AI62" s="180">
        <f ca="1">MIN(25%,(TblConstr[[#This Row],[Tot Fac]]+TblConstr[[#This Row],[Dest Fac]])/(TblConstr[[#This Row],[Land]]-TblExplore[[#This Row],[Land Bonus]]*20))</f>
        <v>0</v>
      </c>
      <c r="AJ62" s="180">
        <f ca="1">MIN(25%,(TblConstr[[#This Row],[Tot Fac]]+TblConstr[[#This Row],[Dest Fac]])/TblConstr[[#This Row],[Land]])</f>
        <v>0</v>
      </c>
      <c r="AK62" s="94">
        <f ca="1">TblProd[[#This Row],[Platinum]]</f>
        <v>176062</v>
      </c>
      <c r="AL62" s="94">
        <f ca="1">TblProd[[#This Row],[Lumber]]</f>
        <v>52545</v>
      </c>
      <c r="AM6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2" s="94">
        <f ca="1">ROUNDDOWN( MAX(1 - MIN(facs_constr_factor*TblConstr[[#This Row],[Facs -DB]],facs_constr_max) + tech_1_11*TblTech[[#This Row],[11-1]] + tech_6_3_2*TblTech[[#This Row],[6-3]] + tech_5_2_3*TblTech[[#This Row],[5-2]], 1-global_constr_cap) * TblConstr[[#This Row],[RCPA Lumber]],0)</f>
        <v>31</v>
      </c>
      <c r="AO6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2" s="94">
        <f ca="1">ROUNDDOWN( MAX(1 - MIN(facs_constr_factor*TblConstr[[#This Row],[Facs DB]],facs_constr_max) + tech_1_11*TblTech[[#This Row],[1-11]] + tech_6_3_2*TblTech[[#This Row],[6-3]] + tech_5_2_3*TblTech[[#This Row],[5-2]], 1-global_constr_cap) * ROUND((TblConstr[[#This Row],[Land]]-250)*0.285 + 87.5 + 0/4.25,0),0)</f>
        <v>31</v>
      </c>
      <c r="AQ62" s="45">
        <f ca="1">TblConstr[[#This Row],[build -db]]*TblConstr[[#This Row],[CPA Platinum -DB]] + TblConstr[[#This Row],[build db]]*TblConstr[[#This Row],[CPA Platinum DB]]</f>
        <v>0</v>
      </c>
      <c r="AR62" s="45">
        <f ca="1">TblConstr[[#This Row],[build -db]]*TblConstr[[#This Row],[CPA Lumber -DB]] + TblConstr[[#This Row],[build db]]*TblConstr[[#This Row],[CPA Lumber DB]]</f>
        <v>0</v>
      </c>
      <c r="AS62" s="94">
        <f ca="1">MIN(SUM(OFFSET(TblConstr[[#This Row],[Plain]:[Water]],-1,0))+SUM(TblConstr[[#This Row],[Dest Hom]:[Dest Doc]])+IF(TblConstr[[#This Row],[Hour]]&gt;12,SUM(OFFSET(TblExplore[[#This Row],[Plains Explore]:[Water Explore]],-12,0)),0),SUM(TblConstr[[#This Row],[Hom]:[Doc]]))</f>
        <v>0</v>
      </c>
      <c r="AT6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42"/>
      <c r="AV62" s="94">
        <f ca="1">ROUND((TblConstr[[#This Row],[Land]]-250 - IF(TblExplore[[#This Row],[Land Bonus]]&lt;&gt;0,20,0))*1.25 + 850 + 0,0)</f>
        <v>600</v>
      </c>
      <c r="AW62" s="94">
        <f ca="1">ROUND((TblConstr[[#This Row],[Land]]-250 - IF(TblExplore[[#This Row],[Land Bonus]]&lt;&gt;0,20,0))*0.285 + 87.5 + 0/4.25,0)</f>
        <v>31</v>
      </c>
      <c r="AX62" s="154"/>
      <c r="AY62" s="188" cm="1">
        <f t="array" aca="1" ref="AY62" ca="1">IF(TblConstr[[#This Row],[Hour]:[Hour]]&gt;12,OFFSET(TblConstr[[#This Row],[Hom]],-12,0),0)+OFFSET(TblConstr[[#This Row],[Tot Hom]],-1,0)-TblConstr[[#This Row],[Dest Hom]]</f>
        <v>0</v>
      </c>
      <c r="AZ62" s="189" cm="1">
        <f t="array" aca="1" ref="AZ62" ca="1">IF(TblConstr[[#This Row],[Hour]:[Hour]]&gt;12,OFFSET(TblConstr[[#This Row],[Alc]],-12,0),0)+OFFSET(TblConstr[[#This Row],[Tot Alc]],-1,0)-TblConstr[[#This Row],[Dest Alc]]</f>
        <v>0</v>
      </c>
      <c r="BA62" s="189" cm="1">
        <f t="array" aca="1" ref="BA62" ca="1">IF(TblConstr[[#This Row],[Hour]:[Hour]]&gt;12,OFFSET(TblConstr[[#This Row],[Far]],-12,0),0)+OFFSET(TblConstr[[#This Row],[Tot Farm]],-1,0)-TblConstr[[#This Row],[Dest Farm]]</f>
        <v>30</v>
      </c>
      <c r="BB62" s="189" cm="1">
        <f t="array" aca="1" ref="BB62" ca="1">IF(TblConstr[[#This Row],[Hour]:[Hour]]&gt;12,OFFSET(TblConstr[[#This Row],[Smi]],-12,0),0)+OFFSET(TblConstr[[#This Row],[Tot Smi]],-1,0)-TblConstr[[#This Row],[Dest Smi]]</f>
        <v>0</v>
      </c>
      <c r="BC62" s="189" cm="1">
        <f t="array" aca="1" ref="BC62" ca="1">IF(TblConstr[[#This Row],[Hour]:[Hour]]&gt;12,OFFSET(TblConstr[[#This Row],[Mas]],-12,0),0)+OFFSET(TblConstr[[#This Row],[Tot Mas]],-1,0)-TblConstr[[#This Row],[Dest Mas]]</f>
        <v>0</v>
      </c>
      <c r="BD62" s="190" cm="1">
        <f t="array" aca="1" ref="BD62" ca="1">IF(TblConstr[[#This Row],[Hour]:[Hour]]&gt;12,OFFSET(TblConstr[[#This Row],[Ly]],-12,0),0)+OFFSET(TblConstr[[#This Row],[Tot Ly]],-1,0)-TblConstr[[#This Row],[Dest Ly]]</f>
        <v>20</v>
      </c>
      <c r="BE62" s="190" cm="1">
        <f t="array" aca="1" ref="BE62" ca="1">IF(TblConstr[[#This Row],[Hour]:[Hour]]&gt;12,OFFSET(TblConstr[[#This Row],[Hav]],-12,0),0)+OFFSET(TblConstr[[#This Row],[Tot Hav]],-1,0)-TblConstr[[#This Row],[Dest Hav]]</f>
        <v>0</v>
      </c>
      <c r="BF62" s="361" cm="1">
        <f t="array" aca="1" ref="BF62" ca="1">IF(TblConstr[[#This Row],[Hour]:[Hour]]&gt;12,OFFSET(TblConstr[[#This Row],[OM]],-12,0),0)+OFFSET(TblConstr[[#This Row],[Tot OM]],-1,0)-TblConstr[[#This Row],[Dest OM]]</f>
        <v>0</v>
      </c>
      <c r="BG62" s="361" cm="1">
        <f t="array" aca="1" ref="BG62" ca="1">IF(TblConstr[[#This Row],[Hour]:[Hour]]&gt;12,OFFSET(TblConstr[[#This Row],[GN]],-12,0),0)+OFFSET(TblConstr[[#This Row],[Tot GN]],-1,0)-TblConstr[[#This Row],[Dest GN]]</f>
        <v>0</v>
      </c>
      <c r="BH62" s="365" cm="1">
        <f t="array" aca="1" ref="BH62" ca="1">IF(TblConstr[[#This Row],[Hour]:[Hour]]&gt;12,OFFSET(TblConstr[[#This Row],[Fac]],-12,0),0)+OFFSET(TblConstr[[#This Row],[Tot Fac]],-1,0)-TblConstr[[#This Row],[Dest Fac]]</f>
        <v>0</v>
      </c>
      <c r="BI62" s="365" cm="1">
        <f t="array" aca="1" ref="BI62" ca="1">IF(TblConstr[[#This Row],[Hour]:[Hour]]&gt;12,OFFSET(TblConstr[[#This Row],[GT]],-12,0),0)+OFFSET(TblConstr[[#This Row],[Tot GT]],-1,0)-TblConstr[[#This Row],[Dest GT]]</f>
        <v>0</v>
      </c>
      <c r="BJ62" s="365" cm="1">
        <f t="array" aca="1" ref="BJ62" ca="1">IF(TblConstr[[#This Row],[Hour]:[Hour]]&gt;12,OFFSET(TblConstr[[#This Row],[Bar]],-12,0),0)+OFFSET(TblConstr[[#This Row],[Tot Bar]],-1,0)-TblConstr[[#This Row],[Dest Bar]]</f>
        <v>0</v>
      </c>
      <c r="BK62" s="365" cm="1">
        <f t="array" aca="1" ref="BK62" ca="1">IF(TblConstr[[#This Row],[Hour]:[Hour]]&gt;12,OFFSET(TblConstr[[#This Row],[Shr]],-12,0),0)+OFFSET(TblConstr[[#This Row],[Tot Shr]],-1,0)-TblConstr[[#This Row],[Dest Shr]]</f>
        <v>0</v>
      </c>
      <c r="BL62" s="369" cm="1">
        <f t="array" aca="1" ref="BL62" ca="1">IF(TblConstr[[#This Row],[Hour]:[Hour]]&gt;12,OFFSET(TblConstr[[#This Row],[Tow]],-12,0),0)+OFFSET(TblConstr[[#This Row],[Tot Tow]],-1,0)-TblConstr[[#This Row],[Dest Tow]]</f>
        <v>0</v>
      </c>
      <c r="BM62" s="369" cm="1">
        <f t="array" aca="1" ref="BM62" ca="1">IF(TblConstr[[#This Row],[Hour]:[Hour]]&gt;12,OFFSET(TblConstr[[#This Row],[Tem]],-12,0),0)+OFFSET(TblConstr[[#This Row],[Tot Tem]],-1,0)-TblConstr[[#This Row],[Dest Tem]]</f>
        <v>0</v>
      </c>
      <c r="BN62" s="369" cm="1">
        <f t="array" aca="1" ref="BN62" ca="1">IF(TblConstr[[#This Row],[Hour]:[Hour]]&gt;12,OFFSET(TblConstr[[#This Row],[WG]],-12,0),0)+OFFSET(TblConstr[[#This Row],[Tot WG]],-1,0)-TblConstr[[#This Row],[Dest WG]]</f>
        <v>0</v>
      </c>
      <c r="BO62" s="191" cm="1">
        <f t="array" aca="1" ref="BO62" ca="1">IF(TblConstr[[#This Row],[Hour]:[Hour]]&gt;12,OFFSET(TblConstr[[#This Row],[DM]],-12,0),0)+OFFSET(TblConstr[[#This Row],[Tot DM]],-1,0)-TblConstr[[#This Row],[Dest DM]]</f>
        <v>0</v>
      </c>
      <c r="BP62" s="191" cm="1">
        <f t="array" aca="1" ref="BP62" ca="1">IF(TblConstr[[#This Row],[Hour]:[Hour]]&gt;12,OFFSET(TblConstr[[#This Row],[Sch]],-12,0),0)+OFFSET(TblConstr[[#This Row],[Tot Sch]],-1,0)-TblConstr[[#This Row],[Dest Sch]]</f>
        <v>0</v>
      </c>
      <c r="BQ62" s="192" cm="1">
        <f t="array" aca="1" ref="BQ62" ca="1">IF(TblConstr[[#This Row],[Hour]:[Hour]]&gt;12,OFFSET(TblConstr[[#This Row],[Doc]],-12,0),0)+OFFSET(TblConstr[[#This Row],[Tot Doc]],-1,0)-TblConstr[[#This Row],[Dest Doc]]</f>
        <v>0</v>
      </c>
      <c r="BR62" s="142"/>
      <c r="BS62" s="154"/>
      <c r="BT62" s="94">
        <f ca="1">TblConstr[[#This Row],[Land]]</f>
        <v>50</v>
      </c>
      <c r="BU62" s="159">
        <f ca="1">TblImps[[#This Row],[Time]]</f>
        <v>46322.416666666526</v>
      </c>
      <c r="BV62" s="142"/>
      <c r="BW62" s="179"/>
      <c r="BX62" s="179"/>
      <c r="BY62" s="179"/>
      <c r="BZ62" s="179"/>
      <c r="CA62" s="179"/>
      <c r="CB62" s="179"/>
      <c r="CC62" s="179"/>
      <c r="CD62" s="179"/>
      <c r="CE62" s="179"/>
      <c r="CF62" s="179"/>
      <c r="CG62" s="179"/>
      <c r="CH62" s="179"/>
      <c r="CI62" s="179"/>
      <c r="CJ62" s="179"/>
      <c r="CK62" s="179"/>
      <c r="CL62" s="179"/>
      <c r="CM62" s="179"/>
      <c r="CN62" s="179"/>
      <c r="CO62" s="179"/>
      <c r="CP62" s="142"/>
      <c r="CQ62" s="181">
        <f ca="1">-SUM(TblConstr[[#This Row],[Alc]:[Mas]])+SUM(TblConstr[[#This Row],[Dest Alc]:[Dest Mas]])+Rezone!L62+IF("Ch_"&amp; home_land=TblConstr[[#Headers],[Ch_Plain]],TblConstr[[#This Row],[Home Land]])+IF(TblConstr[[#This Row],[Hour]:[Hour]]&gt;12,OFFSET(TblExplore[[#This Row],[Plains Explore]],-12,0),0)</f>
        <v>0</v>
      </c>
      <c r="CR62" s="182">
        <f ca="1">-SUM(TblConstr[[#This Row],[Ly]:[Hav]])+SUM(TblConstr[[#This Row],[Dest Ly]:[Dest Hav]]) +Rezone!M62 + IF("Ch_"&amp; home_land=TblConstr[[#Headers],[Ch_Forest]],TblConstr[[#This Row],[Home Land]])+IF(TblConstr[[#This Row],[Hour]:[Hour]]&gt;12,OFFSET(TblExplore[[#This Row],[Forest Explore]],-12,0),0)</f>
        <v>0</v>
      </c>
      <c r="CS62" s="359">
        <f ca="1">-SUM(TblConstr[[#This Row],[OM]:[GN]])+SUM(TblConstr[[#This Row],[Dest OM]:[Dest GN]]) +Rezone!N62 + IF("Ch_"&amp; home_land=TblConstr[[#Headers],[Ch_Mountain]],TblConstr[[#This Row],[Home Land]])+IF(TblConstr[[#This Row],[Hour]:[Hour]]&gt;12,OFFSET(TblExplore[[#This Row],[Mountain Explore]],-12,0),0)</f>
        <v>0</v>
      </c>
      <c r="CT62" s="183">
        <f ca="1">-SUM(TblConstr[[#This Row],[Fac]:[Shr]])+SUM(TblConstr[[#This Row],[Dest Fac]:[Dest Shr]]) +Rezone!O62 + IF("Ch_" &amp; home_land=TblConstr[[#Headers],[Ch_Hill]],TblConstr[[#This Row],[Home Land]])+IF(TblConstr[[#This Row],[Hour]:[Hour]]&gt;12,OFFSET(TblExplore[[#This Row],[Hill Explore]],-12,0),0)</f>
        <v>0</v>
      </c>
      <c r="CU62" s="184">
        <f ca="1">-SUM(TblConstr[[#This Row],[Tow]:[WG]])+SUM(TblConstr[[#This Row],[Dest Tow]:[Dest WG]]) +Rezone!P62 + IF("Ch_" &amp; home_land=TblConstr[[#Headers],[Ch_Swamp]],TblConstr[[#This Row],[Home Land]])+IF(TblConstr[[#This Row],[Hour]:[Hour]]&gt;12,OFFSET(TblExplore[[#This Row],[Swamp Explore]],-12,0),0)</f>
        <v>0</v>
      </c>
      <c r="CV62" s="185">
        <f ca="1" xml:space="preserve"> - SUM(TblConstr[[#This Row],[DM]:[Sch]])+SUM(TblConstr[[#This Row],[Dest DM]:[Dest Sch]]) +Rezone!Q62 + IF("Ch_" &amp; home_land=TblConstr[[#Headers],[Ch_Cavern]],TblConstr[[#This Row],[Home Land]])+IF(TblConstr[[#This Row],[Hour]:[Hour]]&gt;12,OFFSET(TblExplore[[#This Row],[Cavern Explore]],-12,0),0)</f>
        <v>0</v>
      </c>
      <c r="CW62" s="186">
        <f ca="1">-TblConstr[[#This Row],[Doc]]+TblConstr[[#This Row],[Dest Doc]] +Rezone!R62 + IF("Ch_" &amp; home_land=TblConstr[[#Headers],[Ch_Water]],TblConstr[[#This Row],[Home Land]])+IF(TblConstr[[#This Row],[Hour]:[Hour]]&gt;12,OFFSET(TblExplore[[#This Row],[Water Explore]],-12,0),0)</f>
        <v>0</v>
      </c>
      <c r="CX62" s="45">
        <f>IF(Explore!S62=1,20) - TblConstr[[#This Row],[Hom]] + TblConstr[[#This Row],[Dest Hom]]</f>
        <v>0</v>
      </c>
      <c r="CY62" s="142"/>
      <c r="CZ62" s="94">
        <f t="shared" ca="1" si="12"/>
        <v>30</v>
      </c>
      <c r="DA62" s="94">
        <f t="shared" ca="1" si="13"/>
        <v>20</v>
      </c>
      <c r="DB62" s="45">
        <f t="shared" ca="1" si="14"/>
        <v>0</v>
      </c>
      <c r="DC62" s="94">
        <f t="shared" ca="1" si="15"/>
        <v>0</v>
      </c>
      <c r="DD62" s="94">
        <f t="shared" ca="1" si="16"/>
        <v>0</v>
      </c>
      <c r="DE62" s="45">
        <f t="shared" ca="1" si="17"/>
        <v>0</v>
      </c>
      <c r="DF62" s="94">
        <f t="shared" ca="1" si="18"/>
        <v>0</v>
      </c>
      <c r="DG62" s="94" cm="1">
        <f t="array" aca="1" ref="DG62" ca="1">INDEX(TblConstr[[Total Plain]:[Total Water]],ROW()-ROW(TblConstr[#Headers]),MATCH("Total "&amp;home_land,TblConstr[[#Headers],[Total Plain]:[Total Water]],0))+TblConstr[[#This Row],[Homes]]</f>
        <v>30</v>
      </c>
      <c r="DH62" s="45">
        <f t="shared" ca="1" si="10"/>
        <v>0</v>
      </c>
      <c r="DI62" s="45">
        <f t="shared" ca="1" si="0"/>
        <v>0</v>
      </c>
      <c r="DJ62" s="45">
        <f t="shared" ca="1" si="1"/>
        <v>0</v>
      </c>
    </row>
    <row r="63" spans="1:114" x14ac:dyDescent="0.2">
      <c r="A63" s="175">
        <f>TblRezone[[#This Row],[Hour]]</f>
        <v>60</v>
      </c>
      <c r="B63" s="176">
        <f ca="1">SUM(TblConstr[[#This Row],[Plain]:[Water]])</f>
        <v>0</v>
      </c>
      <c r="C63" s="177">
        <f ca="1">SUM(TblConstr[[#This Row],[Tot Hom]:[Tot Doc]])</f>
        <v>50</v>
      </c>
      <c r="D63" s="177">
        <f t="shared" si="11"/>
        <v>0</v>
      </c>
      <c r="E63" s="178"/>
      <c r="F63" s="61">
        <f ca="1">TblConstr[[#This Row],[Barren]]+TblConstr[[#This Row],[Buildings]]+TblConstr[[#This Row],[Incoming]]</f>
        <v>50</v>
      </c>
      <c r="G63" s="187">
        <f ca="1">OFFSET(TblConstr[[#This Row],[Plain]],-1,0)+TblConstr[[#This Row],[Ch_Plain]]</f>
        <v>0</v>
      </c>
      <c r="H63" s="182">
        <f ca="1">OFFSET(TblConstr[[#This Row],[Forest]],-1,0)+TblConstr[[#This Row],[Ch_Forest]]</f>
        <v>0</v>
      </c>
      <c r="I63" s="359">
        <f ca="1">OFFSET(TblConstr[[#This Row],[Mountain]],-1,0)+TblConstr[[#This Row],[Ch_Mountain]]</f>
        <v>0</v>
      </c>
      <c r="J63" s="363">
        <f ca="1">OFFSET(TblConstr[[#This Row],[Hill]],-1,0)+TblConstr[[#This Row],[Ch_Hill]]</f>
        <v>0</v>
      </c>
      <c r="K63" s="367">
        <f ca="1">OFFSET(TblConstr[[#This Row],[Swamp]],-1,0)+TblConstr[[#This Row],[Ch_Swamp]]</f>
        <v>0</v>
      </c>
      <c r="L63" s="185">
        <f ca="1">OFFSET(TblConstr[[#This Row],[Cavern]],-1,0)+TblConstr[[#This Row],[Ch_Cavern]]</f>
        <v>0</v>
      </c>
      <c r="M63" s="186">
        <f ca="1">OFFSET(TblConstr[[#This Row],[Water]],-1,0)+TblConstr[[#This Row],[Ch_Water]]</f>
        <v>0</v>
      </c>
      <c r="N63" s="357">
        <f>TblRezone[[#This Row],[Hour]]</f>
        <v>60</v>
      </c>
      <c r="O63" s="179"/>
      <c r="P63" s="179"/>
      <c r="Q63" s="179"/>
      <c r="R63" s="179"/>
      <c r="S63" s="179"/>
      <c r="T63" s="179"/>
      <c r="U63" s="179"/>
      <c r="V63" s="179"/>
      <c r="W63" s="179"/>
      <c r="X63" s="179"/>
      <c r="Y63" s="179"/>
      <c r="Z63" s="179"/>
      <c r="AA63" s="179"/>
      <c r="AB63" s="179"/>
      <c r="AC63" s="179"/>
      <c r="AD63" s="179"/>
      <c r="AE63" s="179"/>
      <c r="AF63" s="179"/>
      <c r="AG63" s="179"/>
      <c r="AH63" s="53">
        <f ca="1">TblImps[[#This Row],[Time]]</f>
        <v>46322.45833333319</v>
      </c>
      <c r="AI63" s="180">
        <f ca="1">MIN(25%,(TblConstr[[#This Row],[Tot Fac]]+TblConstr[[#This Row],[Dest Fac]])/(TblConstr[[#This Row],[Land]]-TblExplore[[#This Row],[Land Bonus]]*20))</f>
        <v>0</v>
      </c>
      <c r="AJ63" s="180">
        <f ca="1">MIN(25%,(TblConstr[[#This Row],[Tot Fac]]+TblConstr[[#This Row],[Dest Fac]])/TblConstr[[#This Row],[Land]])</f>
        <v>0</v>
      </c>
      <c r="AK63" s="94">
        <f ca="1">TblProd[[#This Row],[Platinum]]</f>
        <v>176769</v>
      </c>
      <c r="AL63" s="94">
        <f ca="1">TblProd[[#This Row],[Lumber]]</f>
        <v>53020</v>
      </c>
      <c r="AM6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3" s="94">
        <f ca="1">ROUNDDOWN( MAX(1 - MIN(facs_constr_factor*TblConstr[[#This Row],[Facs -DB]],facs_constr_max) + tech_1_11*TblTech[[#This Row],[11-1]] + tech_6_3_2*TblTech[[#This Row],[6-3]] + tech_5_2_3*TblTech[[#This Row],[5-2]], 1-global_constr_cap) * TblConstr[[#This Row],[RCPA Lumber]],0)</f>
        <v>31</v>
      </c>
      <c r="AO6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3" s="94">
        <f ca="1">ROUNDDOWN( MAX(1 - MIN(facs_constr_factor*TblConstr[[#This Row],[Facs DB]],facs_constr_max) + tech_1_11*TblTech[[#This Row],[1-11]] + tech_6_3_2*TblTech[[#This Row],[6-3]] + tech_5_2_3*TblTech[[#This Row],[5-2]], 1-global_constr_cap) * ROUND((TblConstr[[#This Row],[Land]]-250)*0.285 + 87.5 + 0/4.25,0),0)</f>
        <v>31</v>
      </c>
      <c r="AQ63" s="45">
        <f ca="1">TblConstr[[#This Row],[build -db]]*TblConstr[[#This Row],[CPA Platinum -DB]] + TblConstr[[#This Row],[build db]]*TblConstr[[#This Row],[CPA Platinum DB]]</f>
        <v>0</v>
      </c>
      <c r="AR63" s="45">
        <f ca="1">TblConstr[[#This Row],[build -db]]*TblConstr[[#This Row],[CPA Lumber -DB]] + TblConstr[[#This Row],[build db]]*TblConstr[[#This Row],[CPA Lumber DB]]</f>
        <v>0</v>
      </c>
      <c r="AS63" s="94">
        <f ca="1">MIN(SUM(OFFSET(TblConstr[[#This Row],[Plain]:[Water]],-1,0))+SUM(TblConstr[[#This Row],[Dest Hom]:[Dest Doc]])+IF(TblConstr[[#This Row],[Hour]]&gt;12,SUM(OFFSET(TblExplore[[#This Row],[Plains Explore]:[Water Explore]],-12,0)),0),SUM(TblConstr[[#This Row],[Hom]:[Doc]]))</f>
        <v>0</v>
      </c>
      <c r="AT6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42"/>
      <c r="AV63" s="94">
        <f ca="1">ROUND((TblConstr[[#This Row],[Land]]-250 - IF(TblExplore[[#This Row],[Land Bonus]]&lt;&gt;0,20,0))*1.25 + 850 + 0,0)</f>
        <v>600</v>
      </c>
      <c r="AW63" s="94">
        <f ca="1">ROUND((TblConstr[[#This Row],[Land]]-250 - IF(TblExplore[[#This Row],[Land Bonus]]&lt;&gt;0,20,0))*0.285 + 87.5 + 0/4.25,0)</f>
        <v>31</v>
      </c>
      <c r="AX63" s="154"/>
      <c r="AY63" s="188" cm="1">
        <f t="array" aca="1" ref="AY63" ca="1">IF(TblConstr[[#This Row],[Hour]:[Hour]]&gt;12,OFFSET(TblConstr[[#This Row],[Hom]],-12,0),0)+OFFSET(TblConstr[[#This Row],[Tot Hom]],-1,0)-TblConstr[[#This Row],[Dest Hom]]</f>
        <v>0</v>
      </c>
      <c r="AZ63" s="189" cm="1">
        <f t="array" aca="1" ref="AZ63" ca="1">IF(TblConstr[[#This Row],[Hour]:[Hour]]&gt;12,OFFSET(TblConstr[[#This Row],[Alc]],-12,0),0)+OFFSET(TblConstr[[#This Row],[Tot Alc]],-1,0)-TblConstr[[#This Row],[Dest Alc]]</f>
        <v>0</v>
      </c>
      <c r="BA63" s="189" cm="1">
        <f t="array" aca="1" ref="BA63" ca="1">IF(TblConstr[[#This Row],[Hour]:[Hour]]&gt;12,OFFSET(TblConstr[[#This Row],[Far]],-12,0),0)+OFFSET(TblConstr[[#This Row],[Tot Farm]],-1,0)-TblConstr[[#This Row],[Dest Farm]]</f>
        <v>30</v>
      </c>
      <c r="BB63" s="189" cm="1">
        <f t="array" aca="1" ref="BB63" ca="1">IF(TblConstr[[#This Row],[Hour]:[Hour]]&gt;12,OFFSET(TblConstr[[#This Row],[Smi]],-12,0),0)+OFFSET(TblConstr[[#This Row],[Tot Smi]],-1,0)-TblConstr[[#This Row],[Dest Smi]]</f>
        <v>0</v>
      </c>
      <c r="BC63" s="189" cm="1">
        <f t="array" aca="1" ref="BC63" ca="1">IF(TblConstr[[#This Row],[Hour]:[Hour]]&gt;12,OFFSET(TblConstr[[#This Row],[Mas]],-12,0),0)+OFFSET(TblConstr[[#This Row],[Tot Mas]],-1,0)-TblConstr[[#This Row],[Dest Mas]]</f>
        <v>0</v>
      </c>
      <c r="BD63" s="190" cm="1">
        <f t="array" aca="1" ref="BD63" ca="1">IF(TblConstr[[#This Row],[Hour]:[Hour]]&gt;12,OFFSET(TblConstr[[#This Row],[Ly]],-12,0),0)+OFFSET(TblConstr[[#This Row],[Tot Ly]],-1,0)-TblConstr[[#This Row],[Dest Ly]]</f>
        <v>20</v>
      </c>
      <c r="BE63" s="190" cm="1">
        <f t="array" aca="1" ref="BE63" ca="1">IF(TblConstr[[#This Row],[Hour]:[Hour]]&gt;12,OFFSET(TblConstr[[#This Row],[Hav]],-12,0),0)+OFFSET(TblConstr[[#This Row],[Tot Hav]],-1,0)-TblConstr[[#This Row],[Dest Hav]]</f>
        <v>0</v>
      </c>
      <c r="BF63" s="361" cm="1">
        <f t="array" aca="1" ref="BF63" ca="1">IF(TblConstr[[#This Row],[Hour]:[Hour]]&gt;12,OFFSET(TblConstr[[#This Row],[OM]],-12,0),0)+OFFSET(TblConstr[[#This Row],[Tot OM]],-1,0)-TblConstr[[#This Row],[Dest OM]]</f>
        <v>0</v>
      </c>
      <c r="BG63" s="361" cm="1">
        <f t="array" aca="1" ref="BG63" ca="1">IF(TblConstr[[#This Row],[Hour]:[Hour]]&gt;12,OFFSET(TblConstr[[#This Row],[GN]],-12,0),0)+OFFSET(TblConstr[[#This Row],[Tot GN]],-1,0)-TblConstr[[#This Row],[Dest GN]]</f>
        <v>0</v>
      </c>
      <c r="BH63" s="365" cm="1">
        <f t="array" aca="1" ref="BH63" ca="1">IF(TblConstr[[#This Row],[Hour]:[Hour]]&gt;12,OFFSET(TblConstr[[#This Row],[Fac]],-12,0),0)+OFFSET(TblConstr[[#This Row],[Tot Fac]],-1,0)-TblConstr[[#This Row],[Dest Fac]]</f>
        <v>0</v>
      </c>
      <c r="BI63" s="365" cm="1">
        <f t="array" aca="1" ref="BI63" ca="1">IF(TblConstr[[#This Row],[Hour]:[Hour]]&gt;12,OFFSET(TblConstr[[#This Row],[GT]],-12,0),0)+OFFSET(TblConstr[[#This Row],[Tot GT]],-1,0)-TblConstr[[#This Row],[Dest GT]]</f>
        <v>0</v>
      </c>
      <c r="BJ63" s="365" cm="1">
        <f t="array" aca="1" ref="BJ63" ca="1">IF(TblConstr[[#This Row],[Hour]:[Hour]]&gt;12,OFFSET(TblConstr[[#This Row],[Bar]],-12,0),0)+OFFSET(TblConstr[[#This Row],[Tot Bar]],-1,0)-TblConstr[[#This Row],[Dest Bar]]</f>
        <v>0</v>
      </c>
      <c r="BK63" s="365" cm="1">
        <f t="array" aca="1" ref="BK63" ca="1">IF(TblConstr[[#This Row],[Hour]:[Hour]]&gt;12,OFFSET(TblConstr[[#This Row],[Shr]],-12,0),0)+OFFSET(TblConstr[[#This Row],[Tot Shr]],-1,0)-TblConstr[[#This Row],[Dest Shr]]</f>
        <v>0</v>
      </c>
      <c r="BL63" s="369" cm="1">
        <f t="array" aca="1" ref="BL63" ca="1">IF(TblConstr[[#This Row],[Hour]:[Hour]]&gt;12,OFFSET(TblConstr[[#This Row],[Tow]],-12,0),0)+OFFSET(TblConstr[[#This Row],[Tot Tow]],-1,0)-TblConstr[[#This Row],[Dest Tow]]</f>
        <v>0</v>
      </c>
      <c r="BM63" s="369" cm="1">
        <f t="array" aca="1" ref="BM63" ca="1">IF(TblConstr[[#This Row],[Hour]:[Hour]]&gt;12,OFFSET(TblConstr[[#This Row],[Tem]],-12,0),0)+OFFSET(TblConstr[[#This Row],[Tot Tem]],-1,0)-TblConstr[[#This Row],[Dest Tem]]</f>
        <v>0</v>
      </c>
      <c r="BN63" s="369" cm="1">
        <f t="array" aca="1" ref="BN63" ca="1">IF(TblConstr[[#This Row],[Hour]:[Hour]]&gt;12,OFFSET(TblConstr[[#This Row],[WG]],-12,0),0)+OFFSET(TblConstr[[#This Row],[Tot WG]],-1,0)-TblConstr[[#This Row],[Dest WG]]</f>
        <v>0</v>
      </c>
      <c r="BO63" s="191" cm="1">
        <f t="array" aca="1" ref="BO63" ca="1">IF(TblConstr[[#This Row],[Hour]:[Hour]]&gt;12,OFFSET(TblConstr[[#This Row],[DM]],-12,0),0)+OFFSET(TblConstr[[#This Row],[Tot DM]],-1,0)-TblConstr[[#This Row],[Dest DM]]</f>
        <v>0</v>
      </c>
      <c r="BP63" s="191" cm="1">
        <f t="array" aca="1" ref="BP63" ca="1">IF(TblConstr[[#This Row],[Hour]:[Hour]]&gt;12,OFFSET(TblConstr[[#This Row],[Sch]],-12,0),0)+OFFSET(TblConstr[[#This Row],[Tot Sch]],-1,0)-TblConstr[[#This Row],[Dest Sch]]</f>
        <v>0</v>
      </c>
      <c r="BQ63" s="192" cm="1">
        <f t="array" aca="1" ref="BQ63" ca="1">IF(TblConstr[[#This Row],[Hour]:[Hour]]&gt;12,OFFSET(TblConstr[[#This Row],[Doc]],-12,0),0)+OFFSET(TblConstr[[#This Row],[Tot Doc]],-1,0)-TblConstr[[#This Row],[Dest Doc]]</f>
        <v>0</v>
      </c>
      <c r="BR63" s="142"/>
      <c r="BS63" s="154"/>
      <c r="BT63" s="94">
        <f ca="1">TblConstr[[#This Row],[Land]]</f>
        <v>50</v>
      </c>
      <c r="BU63" s="159">
        <f ca="1">TblImps[[#This Row],[Time]]</f>
        <v>46322.45833333319</v>
      </c>
      <c r="BV63" s="142"/>
      <c r="BW63" s="179"/>
      <c r="BX63" s="179"/>
      <c r="BY63" s="179"/>
      <c r="BZ63" s="179"/>
      <c r="CA63" s="179"/>
      <c r="CB63" s="179"/>
      <c r="CC63" s="179"/>
      <c r="CD63" s="179"/>
      <c r="CE63" s="179"/>
      <c r="CF63" s="179"/>
      <c r="CG63" s="179"/>
      <c r="CH63" s="179"/>
      <c r="CI63" s="179"/>
      <c r="CJ63" s="179"/>
      <c r="CK63" s="179"/>
      <c r="CL63" s="179"/>
      <c r="CM63" s="179"/>
      <c r="CN63" s="179"/>
      <c r="CO63" s="179"/>
      <c r="CP63" s="142"/>
      <c r="CQ63" s="181">
        <f ca="1">-SUM(TblConstr[[#This Row],[Alc]:[Mas]])+SUM(TblConstr[[#This Row],[Dest Alc]:[Dest Mas]])+Rezone!L63+IF("Ch_"&amp; home_land=TblConstr[[#Headers],[Ch_Plain]],TblConstr[[#This Row],[Home Land]])+IF(TblConstr[[#This Row],[Hour]:[Hour]]&gt;12,OFFSET(TblExplore[[#This Row],[Plains Explore]],-12,0),0)</f>
        <v>0</v>
      </c>
      <c r="CR63" s="182">
        <f ca="1">-SUM(TblConstr[[#This Row],[Ly]:[Hav]])+SUM(TblConstr[[#This Row],[Dest Ly]:[Dest Hav]]) +Rezone!M63 + IF("Ch_"&amp; home_land=TblConstr[[#Headers],[Ch_Forest]],TblConstr[[#This Row],[Home Land]])+IF(TblConstr[[#This Row],[Hour]:[Hour]]&gt;12,OFFSET(TblExplore[[#This Row],[Forest Explore]],-12,0),0)</f>
        <v>0</v>
      </c>
      <c r="CS63" s="359">
        <f ca="1">-SUM(TblConstr[[#This Row],[OM]:[GN]])+SUM(TblConstr[[#This Row],[Dest OM]:[Dest GN]]) +Rezone!N63 + IF("Ch_"&amp; home_land=TblConstr[[#Headers],[Ch_Mountain]],TblConstr[[#This Row],[Home Land]])+IF(TblConstr[[#This Row],[Hour]:[Hour]]&gt;12,OFFSET(TblExplore[[#This Row],[Mountain Explore]],-12,0),0)</f>
        <v>0</v>
      </c>
      <c r="CT63" s="183">
        <f ca="1">-SUM(TblConstr[[#This Row],[Fac]:[Shr]])+SUM(TblConstr[[#This Row],[Dest Fac]:[Dest Shr]]) +Rezone!O63 + IF("Ch_" &amp; home_land=TblConstr[[#Headers],[Ch_Hill]],TblConstr[[#This Row],[Home Land]])+IF(TblConstr[[#This Row],[Hour]:[Hour]]&gt;12,OFFSET(TblExplore[[#This Row],[Hill Explore]],-12,0),0)</f>
        <v>0</v>
      </c>
      <c r="CU63" s="184">
        <f ca="1">-SUM(TblConstr[[#This Row],[Tow]:[WG]])+SUM(TblConstr[[#This Row],[Dest Tow]:[Dest WG]]) +Rezone!P63 + IF("Ch_" &amp; home_land=TblConstr[[#Headers],[Ch_Swamp]],TblConstr[[#This Row],[Home Land]])+IF(TblConstr[[#This Row],[Hour]:[Hour]]&gt;12,OFFSET(TblExplore[[#This Row],[Swamp Explore]],-12,0),0)</f>
        <v>0</v>
      </c>
      <c r="CV63" s="185">
        <f ca="1" xml:space="preserve"> - SUM(TblConstr[[#This Row],[DM]:[Sch]])+SUM(TblConstr[[#This Row],[Dest DM]:[Dest Sch]]) +Rezone!Q63 + IF("Ch_" &amp; home_land=TblConstr[[#Headers],[Ch_Cavern]],TblConstr[[#This Row],[Home Land]])+IF(TblConstr[[#This Row],[Hour]:[Hour]]&gt;12,OFFSET(TblExplore[[#This Row],[Cavern Explore]],-12,0),0)</f>
        <v>0</v>
      </c>
      <c r="CW63" s="186">
        <f ca="1">-TblConstr[[#This Row],[Doc]]+TblConstr[[#This Row],[Dest Doc]] +Rezone!R63 + IF("Ch_" &amp; home_land=TblConstr[[#Headers],[Ch_Water]],TblConstr[[#This Row],[Home Land]])+IF(TblConstr[[#This Row],[Hour]:[Hour]]&gt;12,OFFSET(TblExplore[[#This Row],[Water Explore]],-12,0),0)</f>
        <v>0</v>
      </c>
      <c r="CX63" s="45">
        <f>IF(Explore!S63=1,20) - TblConstr[[#This Row],[Hom]] + TblConstr[[#This Row],[Dest Hom]]</f>
        <v>0</v>
      </c>
      <c r="CY63" s="142"/>
      <c r="CZ63" s="94">
        <f t="shared" ca="1" si="12"/>
        <v>30</v>
      </c>
      <c r="DA63" s="94">
        <f t="shared" ca="1" si="13"/>
        <v>20</v>
      </c>
      <c r="DB63" s="45">
        <f t="shared" ca="1" si="14"/>
        <v>0</v>
      </c>
      <c r="DC63" s="94">
        <f t="shared" ca="1" si="15"/>
        <v>0</v>
      </c>
      <c r="DD63" s="94">
        <f t="shared" ca="1" si="16"/>
        <v>0</v>
      </c>
      <c r="DE63" s="45">
        <f t="shared" ca="1" si="17"/>
        <v>0</v>
      </c>
      <c r="DF63" s="94">
        <f t="shared" ca="1" si="18"/>
        <v>0</v>
      </c>
      <c r="DG63" s="94" cm="1">
        <f t="array" aca="1" ref="DG63" ca="1">INDEX(TblConstr[[Total Plain]:[Total Water]],ROW()-ROW(TblConstr[#Headers]),MATCH("Total "&amp;home_land,TblConstr[[#Headers],[Total Plain]:[Total Water]],0))+TblConstr[[#This Row],[Homes]]</f>
        <v>30</v>
      </c>
      <c r="DH63" s="45">
        <f t="shared" ca="1" si="10"/>
        <v>0</v>
      </c>
      <c r="DI63" s="45">
        <f t="shared" ca="1" si="0"/>
        <v>0</v>
      </c>
      <c r="DJ63" s="45">
        <f t="shared" ca="1" si="1"/>
        <v>0</v>
      </c>
    </row>
    <row r="64" spans="1:114" x14ac:dyDescent="0.2">
      <c r="A64" s="175">
        <f>TblRezone[[#This Row],[Hour]]</f>
        <v>61</v>
      </c>
      <c r="B64" s="176">
        <f ca="1">SUM(TblConstr[[#This Row],[Plain]:[Water]])</f>
        <v>0</v>
      </c>
      <c r="C64" s="177">
        <f ca="1">SUM(TblConstr[[#This Row],[Tot Hom]:[Tot Doc]])</f>
        <v>50</v>
      </c>
      <c r="D64" s="177">
        <f t="shared" si="11"/>
        <v>0</v>
      </c>
      <c r="E64" s="178"/>
      <c r="F64" s="61">
        <f ca="1">TblConstr[[#This Row],[Barren]]+TblConstr[[#This Row],[Buildings]]+TblConstr[[#This Row],[Incoming]]</f>
        <v>50</v>
      </c>
      <c r="G64" s="187">
        <f ca="1">OFFSET(TblConstr[[#This Row],[Plain]],-1,0)+TblConstr[[#This Row],[Ch_Plain]]</f>
        <v>0</v>
      </c>
      <c r="H64" s="182">
        <f ca="1">OFFSET(TblConstr[[#This Row],[Forest]],-1,0)+TblConstr[[#This Row],[Ch_Forest]]</f>
        <v>0</v>
      </c>
      <c r="I64" s="359">
        <f ca="1">OFFSET(TblConstr[[#This Row],[Mountain]],-1,0)+TblConstr[[#This Row],[Ch_Mountain]]</f>
        <v>0</v>
      </c>
      <c r="J64" s="363">
        <f ca="1">OFFSET(TblConstr[[#This Row],[Hill]],-1,0)+TblConstr[[#This Row],[Ch_Hill]]</f>
        <v>0</v>
      </c>
      <c r="K64" s="367">
        <f ca="1">OFFSET(TblConstr[[#This Row],[Swamp]],-1,0)+TblConstr[[#This Row],[Ch_Swamp]]</f>
        <v>0</v>
      </c>
      <c r="L64" s="185">
        <f ca="1">OFFSET(TblConstr[[#This Row],[Cavern]],-1,0)+TblConstr[[#This Row],[Ch_Cavern]]</f>
        <v>0</v>
      </c>
      <c r="M64" s="186">
        <f ca="1">OFFSET(TblConstr[[#This Row],[Water]],-1,0)+TblConstr[[#This Row],[Ch_Water]]</f>
        <v>0</v>
      </c>
      <c r="N64" s="357">
        <f>TblRezone[[#This Row],[Hour]]</f>
        <v>61</v>
      </c>
      <c r="O64" s="179"/>
      <c r="P64" s="179"/>
      <c r="Q64" s="179"/>
      <c r="R64" s="179"/>
      <c r="S64" s="179"/>
      <c r="T64" s="179"/>
      <c r="U64" s="179"/>
      <c r="V64" s="179"/>
      <c r="W64" s="179"/>
      <c r="X64" s="179"/>
      <c r="Y64" s="179"/>
      <c r="Z64" s="179"/>
      <c r="AA64" s="179"/>
      <c r="AB64" s="179"/>
      <c r="AC64" s="179"/>
      <c r="AD64" s="179"/>
      <c r="AE64" s="179"/>
      <c r="AF64" s="179"/>
      <c r="AG64" s="179"/>
      <c r="AH64" s="53">
        <f ca="1">TblImps[[#This Row],[Time]]</f>
        <v>46322.499999999854</v>
      </c>
      <c r="AI64" s="180">
        <f ca="1">MIN(25%,(TblConstr[[#This Row],[Tot Fac]]+TblConstr[[#This Row],[Dest Fac]])/(TblConstr[[#This Row],[Land]]-TblExplore[[#This Row],[Land Bonus]]*20))</f>
        <v>0</v>
      </c>
      <c r="AJ64" s="180">
        <f ca="1">MIN(25%,(TblConstr[[#This Row],[Tot Fac]]+TblConstr[[#This Row],[Dest Fac]])/TblConstr[[#This Row],[Land]])</f>
        <v>0</v>
      </c>
      <c r="AK64" s="94">
        <f ca="1">TblProd[[#This Row],[Platinum]]</f>
        <v>177468</v>
      </c>
      <c r="AL64" s="94">
        <f ca="1">TblProd[[#This Row],[Lumber]]</f>
        <v>53490</v>
      </c>
      <c r="AM6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4" s="94">
        <f ca="1">ROUNDDOWN( MAX(1 - MIN(facs_constr_factor*TblConstr[[#This Row],[Facs -DB]],facs_constr_max) + tech_1_11*TblTech[[#This Row],[11-1]] + tech_6_3_2*TblTech[[#This Row],[6-3]] + tech_5_2_3*TblTech[[#This Row],[5-2]], 1-global_constr_cap) * TblConstr[[#This Row],[RCPA Lumber]],0)</f>
        <v>31</v>
      </c>
      <c r="AO6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4" s="94">
        <f ca="1">ROUNDDOWN( MAX(1 - MIN(facs_constr_factor*TblConstr[[#This Row],[Facs DB]],facs_constr_max) + tech_1_11*TblTech[[#This Row],[1-11]] + tech_6_3_2*TblTech[[#This Row],[6-3]] + tech_5_2_3*TblTech[[#This Row],[5-2]], 1-global_constr_cap) * ROUND((TblConstr[[#This Row],[Land]]-250)*0.285 + 87.5 + 0/4.25,0),0)</f>
        <v>31</v>
      </c>
      <c r="AQ64" s="45">
        <f ca="1">TblConstr[[#This Row],[build -db]]*TblConstr[[#This Row],[CPA Platinum -DB]] + TblConstr[[#This Row],[build db]]*TblConstr[[#This Row],[CPA Platinum DB]]</f>
        <v>0</v>
      </c>
      <c r="AR64" s="45">
        <f ca="1">TblConstr[[#This Row],[build -db]]*TblConstr[[#This Row],[CPA Lumber -DB]] + TblConstr[[#This Row],[build db]]*TblConstr[[#This Row],[CPA Lumber DB]]</f>
        <v>0</v>
      </c>
      <c r="AS64" s="94">
        <f ca="1">MIN(SUM(OFFSET(TblConstr[[#This Row],[Plain]:[Water]],-1,0))+SUM(TblConstr[[#This Row],[Dest Hom]:[Dest Doc]])+IF(TblConstr[[#This Row],[Hour]]&gt;12,SUM(OFFSET(TblExplore[[#This Row],[Plains Explore]:[Water Explore]],-12,0)),0),SUM(TblConstr[[#This Row],[Hom]:[Doc]]))</f>
        <v>0</v>
      </c>
      <c r="AT6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42"/>
      <c r="AV64" s="94">
        <f ca="1">ROUND((TblConstr[[#This Row],[Land]]-250 - IF(TblExplore[[#This Row],[Land Bonus]]&lt;&gt;0,20,0))*1.25 + 850 + 0,0)</f>
        <v>600</v>
      </c>
      <c r="AW64" s="94">
        <f ca="1">ROUND((TblConstr[[#This Row],[Land]]-250 - IF(TblExplore[[#This Row],[Land Bonus]]&lt;&gt;0,20,0))*0.285 + 87.5 + 0/4.25,0)</f>
        <v>31</v>
      </c>
      <c r="AX64" s="154"/>
      <c r="AY64" s="188" cm="1">
        <f t="array" aca="1" ref="AY64" ca="1">IF(TblConstr[[#This Row],[Hour]:[Hour]]&gt;12,OFFSET(TblConstr[[#This Row],[Hom]],-12,0),0)+OFFSET(TblConstr[[#This Row],[Tot Hom]],-1,0)-TblConstr[[#This Row],[Dest Hom]]</f>
        <v>0</v>
      </c>
      <c r="AZ64" s="189" cm="1">
        <f t="array" aca="1" ref="AZ64" ca="1">IF(TblConstr[[#This Row],[Hour]:[Hour]]&gt;12,OFFSET(TblConstr[[#This Row],[Alc]],-12,0),0)+OFFSET(TblConstr[[#This Row],[Tot Alc]],-1,0)-TblConstr[[#This Row],[Dest Alc]]</f>
        <v>0</v>
      </c>
      <c r="BA64" s="189" cm="1">
        <f t="array" aca="1" ref="BA64" ca="1">IF(TblConstr[[#This Row],[Hour]:[Hour]]&gt;12,OFFSET(TblConstr[[#This Row],[Far]],-12,0),0)+OFFSET(TblConstr[[#This Row],[Tot Farm]],-1,0)-TblConstr[[#This Row],[Dest Farm]]</f>
        <v>30</v>
      </c>
      <c r="BB64" s="189" cm="1">
        <f t="array" aca="1" ref="BB64" ca="1">IF(TblConstr[[#This Row],[Hour]:[Hour]]&gt;12,OFFSET(TblConstr[[#This Row],[Smi]],-12,0),0)+OFFSET(TblConstr[[#This Row],[Tot Smi]],-1,0)-TblConstr[[#This Row],[Dest Smi]]</f>
        <v>0</v>
      </c>
      <c r="BC64" s="189" cm="1">
        <f t="array" aca="1" ref="BC64" ca="1">IF(TblConstr[[#This Row],[Hour]:[Hour]]&gt;12,OFFSET(TblConstr[[#This Row],[Mas]],-12,0),0)+OFFSET(TblConstr[[#This Row],[Tot Mas]],-1,0)-TblConstr[[#This Row],[Dest Mas]]</f>
        <v>0</v>
      </c>
      <c r="BD64" s="190" cm="1">
        <f t="array" aca="1" ref="BD64" ca="1">IF(TblConstr[[#This Row],[Hour]:[Hour]]&gt;12,OFFSET(TblConstr[[#This Row],[Ly]],-12,0),0)+OFFSET(TblConstr[[#This Row],[Tot Ly]],-1,0)-TblConstr[[#This Row],[Dest Ly]]</f>
        <v>20</v>
      </c>
      <c r="BE64" s="190" cm="1">
        <f t="array" aca="1" ref="BE64" ca="1">IF(TblConstr[[#This Row],[Hour]:[Hour]]&gt;12,OFFSET(TblConstr[[#This Row],[Hav]],-12,0),0)+OFFSET(TblConstr[[#This Row],[Tot Hav]],-1,0)-TblConstr[[#This Row],[Dest Hav]]</f>
        <v>0</v>
      </c>
      <c r="BF64" s="361" cm="1">
        <f t="array" aca="1" ref="BF64" ca="1">IF(TblConstr[[#This Row],[Hour]:[Hour]]&gt;12,OFFSET(TblConstr[[#This Row],[OM]],-12,0),0)+OFFSET(TblConstr[[#This Row],[Tot OM]],-1,0)-TblConstr[[#This Row],[Dest OM]]</f>
        <v>0</v>
      </c>
      <c r="BG64" s="361" cm="1">
        <f t="array" aca="1" ref="BG64" ca="1">IF(TblConstr[[#This Row],[Hour]:[Hour]]&gt;12,OFFSET(TblConstr[[#This Row],[GN]],-12,0),0)+OFFSET(TblConstr[[#This Row],[Tot GN]],-1,0)-TblConstr[[#This Row],[Dest GN]]</f>
        <v>0</v>
      </c>
      <c r="BH64" s="365" cm="1">
        <f t="array" aca="1" ref="BH64" ca="1">IF(TblConstr[[#This Row],[Hour]:[Hour]]&gt;12,OFFSET(TblConstr[[#This Row],[Fac]],-12,0),0)+OFFSET(TblConstr[[#This Row],[Tot Fac]],-1,0)-TblConstr[[#This Row],[Dest Fac]]</f>
        <v>0</v>
      </c>
      <c r="BI64" s="365" cm="1">
        <f t="array" aca="1" ref="BI64" ca="1">IF(TblConstr[[#This Row],[Hour]:[Hour]]&gt;12,OFFSET(TblConstr[[#This Row],[GT]],-12,0),0)+OFFSET(TblConstr[[#This Row],[Tot GT]],-1,0)-TblConstr[[#This Row],[Dest GT]]</f>
        <v>0</v>
      </c>
      <c r="BJ64" s="365" cm="1">
        <f t="array" aca="1" ref="BJ64" ca="1">IF(TblConstr[[#This Row],[Hour]:[Hour]]&gt;12,OFFSET(TblConstr[[#This Row],[Bar]],-12,0),0)+OFFSET(TblConstr[[#This Row],[Tot Bar]],-1,0)-TblConstr[[#This Row],[Dest Bar]]</f>
        <v>0</v>
      </c>
      <c r="BK64" s="365" cm="1">
        <f t="array" aca="1" ref="BK64" ca="1">IF(TblConstr[[#This Row],[Hour]:[Hour]]&gt;12,OFFSET(TblConstr[[#This Row],[Shr]],-12,0),0)+OFFSET(TblConstr[[#This Row],[Tot Shr]],-1,0)-TblConstr[[#This Row],[Dest Shr]]</f>
        <v>0</v>
      </c>
      <c r="BL64" s="369" cm="1">
        <f t="array" aca="1" ref="BL64" ca="1">IF(TblConstr[[#This Row],[Hour]:[Hour]]&gt;12,OFFSET(TblConstr[[#This Row],[Tow]],-12,0),0)+OFFSET(TblConstr[[#This Row],[Tot Tow]],-1,0)-TblConstr[[#This Row],[Dest Tow]]</f>
        <v>0</v>
      </c>
      <c r="BM64" s="369" cm="1">
        <f t="array" aca="1" ref="BM64" ca="1">IF(TblConstr[[#This Row],[Hour]:[Hour]]&gt;12,OFFSET(TblConstr[[#This Row],[Tem]],-12,0),0)+OFFSET(TblConstr[[#This Row],[Tot Tem]],-1,0)-TblConstr[[#This Row],[Dest Tem]]</f>
        <v>0</v>
      </c>
      <c r="BN64" s="369" cm="1">
        <f t="array" aca="1" ref="BN64" ca="1">IF(TblConstr[[#This Row],[Hour]:[Hour]]&gt;12,OFFSET(TblConstr[[#This Row],[WG]],-12,0),0)+OFFSET(TblConstr[[#This Row],[Tot WG]],-1,0)-TblConstr[[#This Row],[Dest WG]]</f>
        <v>0</v>
      </c>
      <c r="BO64" s="191" cm="1">
        <f t="array" aca="1" ref="BO64" ca="1">IF(TblConstr[[#This Row],[Hour]:[Hour]]&gt;12,OFFSET(TblConstr[[#This Row],[DM]],-12,0),0)+OFFSET(TblConstr[[#This Row],[Tot DM]],-1,0)-TblConstr[[#This Row],[Dest DM]]</f>
        <v>0</v>
      </c>
      <c r="BP64" s="191" cm="1">
        <f t="array" aca="1" ref="BP64" ca="1">IF(TblConstr[[#This Row],[Hour]:[Hour]]&gt;12,OFFSET(TblConstr[[#This Row],[Sch]],-12,0),0)+OFFSET(TblConstr[[#This Row],[Tot Sch]],-1,0)-TblConstr[[#This Row],[Dest Sch]]</f>
        <v>0</v>
      </c>
      <c r="BQ64" s="192" cm="1">
        <f t="array" aca="1" ref="BQ64" ca="1">IF(TblConstr[[#This Row],[Hour]:[Hour]]&gt;12,OFFSET(TblConstr[[#This Row],[Doc]],-12,0),0)+OFFSET(TblConstr[[#This Row],[Tot Doc]],-1,0)-TblConstr[[#This Row],[Dest Doc]]</f>
        <v>0</v>
      </c>
      <c r="BR64" s="142"/>
      <c r="BS64" s="154"/>
      <c r="BT64" s="94">
        <f ca="1">TblConstr[[#This Row],[Land]]</f>
        <v>50</v>
      </c>
      <c r="BU64" s="159">
        <f ca="1">TblImps[[#This Row],[Time]]</f>
        <v>46322.499999999854</v>
      </c>
      <c r="BV64" s="142"/>
      <c r="BW64" s="179"/>
      <c r="BX64" s="179"/>
      <c r="BY64" s="179"/>
      <c r="BZ64" s="179"/>
      <c r="CA64" s="179"/>
      <c r="CB64" s="179"/>
      <c r="CC64" s="179"/>
      <c r="CD64" s="179"/>
      <c r="CE64" s="179"/>
      <c r="CF64" s="179"/>
      <c r="CG64" s="179"/>
      <c r="CH64" s="179"/>
      <c r="CI64" s="179"/>
      <c r="CJ64" s="179"/>
      <c r="CK64" s="179"/>
      <c r="CL64" s="179"/>
      <c r="CM64" s="179"/>
      <c r="CN64" s="179"/>
      <c r="CO64" s="179"/>
      <c r="CP64" s="142"/>
      <c r="CQ64" s="181">
        <f ca="1">-SUM(TblConstr[[#This Row],[Alc]:[Mas]])+SUM(TblConstr[[#This Row],[Dest Alc]:[Dest Mas]])+Rezone!L64+IF("Ch_"&amp; home_land=TblConstr[[#Headers],[Ch_Plain]],TblConstr[[#This Row],[Home Land]])+IF(TblConstr[[#This Row],[Hour]:[Hour]]&gt;12,OFFSET(TblExplore[[#This Row],[Plains Explore]],-12,0),0)</f>
        <v>0</v>
      </c>
      <c r="CR64" s="182">
        <f ca="1">-SUM(TblConstr[[#This Row],[Ly]:[Hav]])+SUM(TblConstr[[#This Row],[Dest Ly]:[Dest Hav]]) +Rezone!M64 + IF("Ch_"&amp; home_land=TblConstr[[#Headers],[Ch_Forest]],TblConstr[[#This Row],[Home Land]])+IF(TblConstr[[#This Row],[Hour]:[Hour]]&gt;12,OFFSET(TblExplore[[#This Row],[Forest Explore]],-12,0),0)</f>
        <v>0</v>
      </c>
      <c r="CS64" s="359">
        <f ca="1">-SUM(TblConstr[[#This Row],[OM]:[GN]])+SUM(TblConstr[[#This Row],[Dest OM]:[Dest GN]]) +Rezone!N64 + IF("Ch_"&amp; home_land=TblConstr[[#Headers],[Ch_Mountain]],TblConstr[[#This Row],[Home Land]])+IF(TblConstr[[#This Row],[Hour]:[Hour]]&gt;12,OFFSET(TblExplore[[#This Row],[Mountain Explore]],-12,0),0)</f>
        <v>0</v>
      </c>
      <c r="CT64" s="183">
        <f ca="1">-SUM(TblConstr[[#This Row],[Fac]:[Shr]])+SUM(TblConstr[[#This Row],[Dest Fac]:[Dest Shr]]) +Rezone!O64 + IF("Ch_" &amp; home_land=TblConstr[[#Headers],[Ch_Hill]],TblConstr[[#This Row],[Home Land]])+IF(TblConstr[[#This Row],[Hour]:[Hour]]&gt;12,OFFSET(TblExplore[[#This Row],[Hill Explore]],-12,0),0)</f>
        <v>0</v>
      </c>
      <c r="CU64" s="184">
        <f ca="1">-SUM(TblConstr[[#This Row],[Tow]:[WG]])+SUM(TblConstr[[#This Row],[Dest Tow]:[Dest WG]]) +Rezone!P64 + IF("Ch_" &amp; home_land=TblConstr[[#Headers],[Ch_Swamp]],TblConstr[[#This Row],[Home Land]])+IF(TblConstr[[#This Row],[Hour]:[Hour]]&gt;12,OFFSET(TblExplore[[#This Row],[Swamp Explore]],-12,0),0)</f>
        <v>0</v>
      </c>
      <c r="CV64" s="185">
        <f ca="1" xml:space="preserve"> - SUM(TblConstr[[#This Row],[DM]:[Sch]])+SUM(TblConstr[[#This Row],[Dest DM]:[Dest Sch]]) +Rezone!Q64 + IF("Ch_" &amp; home_land=TblConstr[[#Headers],[Ch_Cavern]],TblConstr[[#This Row],[Home Land]])+IF(TblConstr[[#This Row],[Hour]:[Hour]]&gt;12,OFFSET(TblExplore[[#This Row],[Cavern Explore]],-12,0),0)</f>
        <v>0</v>
      </c>
      <c r="CW64" s="186">
        <f ca="1">-TblConstr[[#This Row],[Doc]]+TblConstr[[#This Row],[Dest Doc]] +Rezone!R64 + IF("Ch_" &amp; home_land=TblConstr[[#Headers],[Ch_Water]],TblConstr[[#This Row],[Home Land]])+IF(TblConstr[[#This Row],[Hour]:[Hour]]&gt;12,OFFSET(TblExplore[[#This Row],[Water Explore]],-12,0),0)</f>
        <v>0</v>
      </c>
      <c r="CX64" s="45">
        <f>IF(Explore!S64=1,20) - TblConstr[[#This Row],[Hom]] + TblConstr[[#This Row],[Dest Hom]]</f>
        <v>0</v>
      </c>
      <c r="CY64" s="142"/>
      <c r="CZ64" s="94">
        <f t="shared" ca="1" si="12"/>
        <v>30</v>
      </c>
      <c r="DA64" s="94">
        <f t="shared" ca="1" si="13"/>
        <v>20</v>
      </c>
      <c r="DB64" s="45">
        <f t="shared" ca="1" si="14"/>
        <v>0</v>
      </c>
      <c r="DC64" s="94">
        <f t="shared" ca="1" si="15"/>
        <v>0</v>
      </c>
      <c r="DD64" s="94">
        <f t="shared" ca="1" si="16"/>
        <v>0</v>
      </c>
      <c r="DE64" s="45">
        <f t="shared" ca="1" si="17"/>
        <v>0</v>
      </c>
      <c r="DF64" s="94">
        <f t="shared" ca="1" si="18"/>
        <v>0</v>
      </c>
      <c r="DG64" s="94" cm="1">
        <f t="array" aca="1" ref="DG64" ca="1">INDEX(TblConstr[[Total Plain]:[Total Water]],ROW()-ROW(TblConstr[#Headers]),MATCH("Total "&amp;home_land,TblConstr[[#Headers],[Total Plain]:[Total Water]],0))+TblConstr[[#This Row],[Homes]]</f>
        <v>30</v>
      </c>
      <c r="DH64" s="45">
        <f t="shared" ca="1" si="10"/>
        <v>0</v>
      </c>
      <c r="DI64" s="45">
        <f t="shared" ca="1" si="0"/>
        <v>0</v>
      </c>
      <c r="DJ64" s="45">
        <f t="shared" ca="1" si="1"/>
        <v>0</v>
      </c>
    </row>
    <row r="65" spans="1:114" x14ac:dyDescent="0.2">
      <c r="A65" s="175">
        <f>TblRezone[[#This Row],[Hour]]</f>
        <v>62</v>
      </c>
      <c r="B65" s="176">
        <f ca="1">SUM(TblConstr[[#This Row],[Plain]:[Water]])</f>
        <v>0</v>
      </c>
      <c r="C65" s="177">
        <f ca="1">SUM(TblConstr[[#This Row],[Tot Hom]:[Tot Doc]])</f>
        <v>50</v>
      </c>
      <c r="D65" s="177">
        <f t="shared" si="11"/>
        <v>0</v>
      </c>
      <c r="E65" s="178"/>
      <c r="F65" s="61">
        <f ca="1">TblConstr[[#This Row],[Barren]]+TblConstr[[#This Row],[Buildings]]+TblConstr[[#This Row],[Incoming]]</f>
        <v>50</v>
      </c>
      <c r="G65" s="187">
        <f ca="1">OFFSET(TblConstr[[#This Row],[Plain]],-1,0)+TblConstr[[#This Row],[Ch_Plain]]</f>
        <v>0</v>
      </c>
      <c r="H65" s="182">
        <f ca="1">OFFSET(TblConstr[[#This Row],[Forest]],-1,0)+TblConstr[[#This Row],[Ch_Forest]]</f>
        <v>0</v>
      </c>
      <c r="I65" s="359">
        <f ca="1">OFFSET(TblConstr[[#This Row],[Mountain]],-1,0)+TblConstr[[#This Row],[Ch_Mountain]]</f>
        <v>0</v>
      </c>
      <c r="J65" s="363">
        <f ca="1">OFFSET(TblConstr[[#This Row],[Hill]],-1,0)+TblConstr[[#This Row],[Ch_Hill]]</f>
        <v>0</v>
      </c>
      <c r="K65" s="367">
        <f ca="1">OFFSET(TblConstr[[#This Row],[Swamp]],-1,0)+TblConstr[[#This Row],[Ch_Swamp]]</f>
        <v>0</v>
      </c>
      <c r="L65" s="185">
        <f ca="1">OFFSET(TblConstr[[#This Row],[Cavern]],-1,0)+TblConstr[[#This Row],[Ch_Cavern]]</f>
        <v>0</v>
      </c>
      <c r="M65" s="186">
        <f ca="1">OFFSET(TblConstr[[#This Row],[Water]],-1,0)+TblConstr[[#This Row],[Ch_Water]]</f>
        <v>0</v>
      </c>
      <c r="N65" s="357">
        <f>TblRezone[[#This Row],[Hour]]</f>
        <v>62</v>
      </c>
      <c r="O65" s="179"/>
      <c r="P65" s="179"/>
      <c r="Q65" s="179"/>
      <c r="R65" s="179"/>
      <c r="S65" s="179"/>
      <c r="T65" s="179"/>
      <c r="U65" s="179"/>
      <c r="V65" s="179"/>
      <c r="W65" s="179"/>
      <c r="X65" s="179"/>
      <c r="Y65" s="179"/>
      <c r="Z65" s="179"/>
      <c r="AA65" s="179"/>
      <c r="AB65" s="179"/>
      <c r="AC65" s="179"/>
      <c r="AD65" s="179"/>
      <c r="AE65" s="179"/>
      <c r="AF65" s="179"/>
      <c r="AG65" s="179"/>
      <c r="AH65" s="53">
        <f ca="1">TblImps[[#This Row],[Time]]</f>
        <v>46322.541666666519</v>
      </c>
      <c r="AI65" s="180">
        <f ca="1">MIN(25%,(TblConstr[[#This Row],[Tot Fac]]+TblConstr[[#This Row],[Dest Fac]])/(TblConstr[[#This Row],[Land]]-TblExplore[[#This Row],[Land Bonus]]*20))</f>
        <v>0</v>
      </c>
      <c r="AJ65" s="180">
        <f ca="1">MIN(25%,(TblConstr[[#This Row],[Tot Fac]]+TblConstr[[#This Row],[Dest Fac]])/TblConstr[[#This Row],[Land]])</f>
        <v>0</v>
      </c>
      <c r="AK65" s="94">
        <f ca="1">TblProd[[#This Row],[Platinum]]</f>
        <v>178159</v>
      </c>
      <c r="AL65" s="94">
        <f ca="1">TblProd[[#This Row],[Lumber]]</f>
        <v>53955</v>
      </c>
      <c r="AM6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5" s="94">
        <f ca="1">ROUNDDOWN( MAX(1 - MIN(facs_constr_factor*TblConstr[[#This Row],[Facs -DB]],facs_constr_max) + tech_1_11*TblTech[[#This Row],[11-1]] + tech_6_3_2*TblTech[[#This Row],[6-3]] + tech_5_2_3*TblTech[[#This Row],[5-2]], 1-global_constr_cap) * TblConstr[[#This Row],[RCPA Lumber]],0)</f>
        <v>31</v>
      </c>
      <c r="AO6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5" s="94">
        <f ca="1">ROUNDDOWN( MAX(1 - MIN(facs_constr_factor*TblConstr[[#This Row],[Facs DB]],facs_constr_max) + tech_1_11*TblTech[[#This Row],[1-11]] + tech_6_3_2*TblTech[[#This Row],[6-3]] + tech_5_2_3*TblTech[[#This Row],[5-2]], 1-global_constr_cap) * ROUND((TblConstr[[#This Row],[Land]]-250)*0.285 + 87.5 + 0/4.25,0),0)</f>
        <v>31</v>
      </c>
      <c r="AQ65" s="45">
        <f ca="1">TblConstr[[#This Row],[build -db]]*TblConstr[[#This Row],[CPA Platinum -DB]] + TblConstr[[#This Row],[build db]]*TblConstr[[#This Row],[CPA Platinum DB]]</f>
        <v>0</v>
      </c>
      <c r="AR65" s="45">
        <f ca="1">TblConstr[[#This Row],[build -db]]*TblConstr[[#This Row],[CPA Lumber -DB]] + TblConstr[[#This Row],[build db]]*TblConstr[[#This Row],[CPA Lumber DB]]</f>
        <v>0</v>
      </c>
      <c r="AS65" s="94">
        <f ca="1">MIN(SUM(OFFSET(TblConstr[[#This Row],[Plain]:[Water]],-1,0))+SUM(TblConstr[[#This Row],[Dest Hom]:[Dest Doc]])+IF(TblConstr[[#This Row],[Hour]]&gt;12,SUM(OFFSET(TblExplore[[#This Row],[Plains Explore]:[Water Explore]],-12,0)),0),SUM(TblConstr[[#This Row],[Hom]:[Doc]]))</f>
        <v>0</v>
      </c>
      <c r="AT6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42"/>
      <c r="AV65" s="94">
        <f ca="1">ROUND((TblConstr[[#This Row],[Land]]-250 - IF(TblExplore[[#This Row],[Land Bonus]]&lt;&gt;0,20,0))*1.25 + 850 + 0,0)</f>
        <v>600</v>
      </c>
      <c r="AW65" s="94">
        <f ca="1">ROUND((TblConstr[[#This Row],[Land]]-250 - IF(TblExplore[[#This Row],[Land Bonus]]&lt;&gt;0,20,0))*0.285 + 87.5 + 0/4.25,0)</f>
        <v>31</v>
      </c>
      <c r="AX65" s="154"/>
      <c r="AY65" s="188" cm="1">
        <f t="array" aca="1" ref="AY65" ca="1">IF(TblConstr[[#This Row],[Hour]:[Hour]]&gt;12,OFFSET(TblConstr[[#This Row],[Hom]],-12,0),0)+OFFSET(TblConstr[[#This Row],[Tot Hom]],-1,0)-TblConstr[[#This Row],[Dest Hom]]</f>
        <v>0</v>
      </c>
      <c r="AZ65" s="189" cm="1">
        <f t="array" aca="1" ref="AZ65" ca="1">IF(TblConstr[[#This Row],[Hour]:[Hour]]&gt;12,OFFSET(TblConstr[[#This Row],[Alc]],-12,0),0)+OFFSET(TblConstr[[#This Row],[Tot Alc]],-1,0)-TblConstr[[#This Row],[Dest Alc]]</f>
        <v>0</v>
      </c>
      <c r="BA65" s="189" cm="1">
        <f t="array" aca="1" ref="BA65" ca="1">IF(TblConstr[[#This Row],[Hour]:[Hour]]&gt;12,OFFSET(TblConstr[[#This Row],[Far]],-12,0),0)+OFFSET(TblConstr[[#This Row],[Tot Farm]],-1,0)-TblConstr[[#This Row],[Dest Farm]]</f>
        <v>30</v>
      </c>
      <c r="BB65" s="189" cm="1">
        <f t="array" aca="1" ref="BB65" ca="1">IF(TblConstr[[#This Row],[Hour]:[Hour]]&gt;12,OFFSET(TblConstr[[#This Row],[Smi]],-12,0),0)+OFFSET(TblConstr[[#This Row],[Tot Smi]],-1,0)-TblConstr[[#This Row],[Dest Smi]]</f>
        <v>0</v>
      </c>
      <c r="BC65" s="189" cm="1">
        <f t="array" aca="1" ref="BC65" ca="1">IF(TblConstr[[#This Row],[Hour]:[Hour]]&gt;12,OFFSET(TblConstr[[#This Row],[Mas]],-12,0),0)+OFFSET(TblConstr[[#This Row],[Tot Mas]],-1,0)-TblConstr[[#This Row],[Dest Mas]]</f>
        <v>0</v>
      </c>
      <c r="BD65" s="190" cm="1">
        <f t="array" aca="1" ref="BD65" ca="1">IF(TblConstr[[#This Row],[Hour]:[Hour]]&gt;12,OFFSET(TblConstr[[#This Row],[Ly]],-12,0),0)+OFFSET(TblConstr[[#This Row],[Tot Ly]],-1,0)-TblConstr[[#This Row],[Dest Ly]]</f>
        <v>20</v>
      </c>
      <c r="BE65" s="190" cm="1">
        <f t="array" aca="1" ref="BE65" ca="1">IF(TblConstr[[#This Row],[Hour]:[Hour]]&gt;12,OFFSET(TblConstr[[#This Row],[Hav]],-12,0),0)+OFFSET(TblConstr[[#This Row],[Tot Hav]],-1,0)-TblConstr[[#This Row],[Dest Hav]]</f>
        <v>0</v>
      </c>
      <c r="BF65" s="361" cm="1">
        <f t="array" aca="1" ref="BF65" ca="1">IF(TblConstr[[#This Row],[Hour]:[Hour]]&gt;12,OFFSET(TblConstr[[#This Row],[OM]],-12,0),0)+OFFSET(TblConstr[[#This Row],[Tot OM]],-1,0)-TblConstr[[#This Row],[Dest OM]]</f>
        <v>0</v>
      </c>
      <c r="BG65" s="361" cm="1">
        <f t="array" aca="1" ref="BG65" ca="1">IF(TblConstr[[#This Row],[Hour]:[Hour]]&gt;12,OFFSET(TblConstr[[#This Row],[GN]],-12,0),0)+OFFSET(TblConstr[[#This Row],[Tot GN]],-1,0)-TblConstr[[#This Row],[Dest GN]]</f>
        <v>0</v>
      </c>
      <c r="BH65" s="365" cm="1">
        <f t="array" aca="1" ref="BH65" ca="1">IF(TblConstr[[#This Row],[Hour]:[Hour]]&gt;12,OFFSET(TblConstr[[#This Row],[Fac]],-12,0),0)+OFFSET(TblConstr[[#This Row],[Tot Fac]],-1,0)-TblConstr[[#This Row],[Dest Fac]]</f>
        <v>0</v>
      </c>
      <c r="BI65" s="365" cm="1">
        <f t="array" aca="1" ref="BI65" ca="1">IF(TblConstr[[#This Row],[Hour]:[Hour]]&gt;12,OFFSET(TblConstr[[#This Row],[GT]],-12,0),0)+OFFSET(TblConstr[[#This Row],[Tot GT]],-1,0)-TblConstr[[#This Row],[Dest GT]]</f>
        <v>0</v>
      </c>
      <c r="BJ65" s="365" cm="1">
        <f t="array" aca="1" ref="BJ65" ca="1">IF(TblConstr[[#This Row],[Hour]:[Hour]]&gt;12,OFFSET(TblConstr[[#This Row],[Bar]],-12,0),0)+OFFSET(TblConstr[[#This Row],[Tot Bar]],-1,0)-TblConstr[[#This Row],[Dest Bar]]</f>
        <v>0</v>
      </c>
      <c r="BK65" s="365" cm="1">
        <f t="array" aca="1" ref="BK65" ca="1">IF(TblConstr[[#This Row],[Hour]:[Hour]]&gt;12,OFFSET(TblConstr[[#This Row],[Shr]],-12,0),0)+OFFSET(TblConstr[[#This Row],[Tot Shr]],-1,0)-TblConstr[[#This Row],[Dest Shr]]</f>
        <v>0</v>
      </c>
      <c r="BL65" s="369" cm="1">
        <f t="array" aca="1" ref="BL65" ca="1">IF(TblConstr[[#This Row],[Hour]:[Hour]]&gt;12,OFFSET(TblConstr[[#This Row],[Tow]],-12,0),0)+OFFSET(TblConstr[[#This Row],[Tot Tow]],-1,0)-TblConstr[[#This Row],[Dest Tow]]</f>
        <v>0</v>
      </c>
      <c r="BM65" s="369" cm="1">
        <f t="array" aca="1" ref="BM65" ca="1">IF(TblConstr[[#This Row],[Hour]:[Hour]]&gt;12,OFFSET(TblConstr[[#This Row],[Tem]],-12,0),0)+OFFSET(TblConstr[[#This Row],[Tot Tem]],-1,0)-TblConstr[[#This Row],[Dest Tem]]</f>
        <v>0</v>
      </c>
      <c r="BN65" s="369" cm="1">
        <f t="array" aca="1" ref="BN65" ca="1">IF(TblConstr[[#This Row],[Hour]:[Hour]]&gt;12,OFFSET(TblConstr[[#This Row],[WG]],-12,0),0)+OFFSET(TblConstr[[#This Row],[Tot WG]],-1,0)-TblConstr[[#This Row],[Dest WG]]</f>
        <v>0</v>
      </c>
      <c r="BO65" s="191" cm="1">
        <f t="array" aca="1" ref="BO65" ca="1">IF(TblConstr[[#This Row],[Hour]:[Hour]]&gt;12,OFFSET(TblConstr[[#This Row],[DM]],-12,0),0)+OFFSET(TblConstr[[#This Row],[Tot DM]],-1,0)-TblConstr[[#This Row],[Dest DM]]</f>
        <v>0</v>
      </c>
      <c r="BP65" s="191" cm="1">
        <f t="array" aca="1" ref="BP65" ca="1">IF(TblConstr[[#This Row],[Hour]:[Hour]]&gt;12,OFFSET(TblConstr[[#This Row],[Sch]],-12,0),0)+OFFSET(TblConstr[[#This Row],[Tot Sch]],-1,0)-TblConstr[[#This Row],[Dest Sch]]</f>
        <v>0</v>
      </c>
      <c r="BQ65" s="192" cm="1">
        <f t="array" aca="1" ref="BQ65" ca="1">IF(TblConstr[[#This Row],[Hour]:[Hour]]&gt;12,OFFSET(TblConstr[[#This Row],[Doc]],-12,0),0)+OFFSET(TblConstr[[#This Row],[Tot Doc]],-1,0)-TblConstr[[#This Row],[Dest Doc]]</f>
        <v>0</v>
      </c>
      <c r="BR65" s="142"/>
      <c r="BS65" s="154"/>
      <c r="BT65" s="94">
        <f ca="1">TblConstr[[#This Row],[Land]]</f>
        <v>50</v>
      </c>
      <c r="BU65" s="159">
        <f ca="1">TblImps[[#This Row],[Time]]</f>
        <v>46322.541666666519</v>
      </c>
      <c r="BV65" s="142"/>
      <c r="BW65" s="179"/>
      <c r="BX65" s="179"/>
      <c r="BY65" s="179"/>
      <c r="BZ65" s="179"/>
      <c r="CA65" s="179"/>
      <c r="CB65" s="179"/>
      <c r="CC65" s="179"/>
      <c r="CD65" s="179"/>
      <c r="CE65" s="179"/>
      <c r="CF65" s="179"/>
      <c r="CG65" s="179"/>
      <c r="CH65" s="179"/>
      <c r="CI65" s="179"/>
      <c r="CJ65" s="179"/>
      <c r="CK65" s="179"/>
      <c r="CL65" s="179"/>
      <c r="CM65" s="179"/>
      <c r="CN65" s="179"/>
      <c r="CO65" s="179"/>
      <c r="CP65" s="142"/>
      <c r="CQ65" s="181">
        <f ca="1">-SUM(TblConstr[[#This Row],[Alc]:[Mas]])+SUM(TblConstr[[#This Row],[Dest Alc]:[Dest Mas]])+Rezone!L65+IF("Ch_"&amp; home_land=TblConstr[[#Headers],[Ch_Plain]],TblConstr[[#This Row],[Home Land]])+IF(TblConstr[[#This Row],[Hour]:[Hour]]&gt;12,OFFSET(TblExplore[[#This Row],[Plains Explore]],-12,0),0)</f>
        <v>0</v>
      </c>
      <c r="CR65" s="182">
        <f ca="1">-SUM(TblConstr[[#This Row],[Ly]:[Hav]])+SUM(TblConstr[[#This Row],[Dest Ly]:[Dest Hav]]) +Rezone!M65 + IF("Ch_"&amp; home_land=TblConstr[[#Headers],[Ch_Forest]],TblConstr[[#This Row],[Home Land]])+IF(TblConstr[[#This Row],[Hour]:[Hour]]&gt;12,OFFSET(TblExplore[[#This Row],[Forest Explore]],-12,0),0)</f>
        <v>0</v>
      </c>
      <c r="CS65" s="359">
        <f ca="1">-SUM(TblConstr[[#This Row],[OM]:[GN]])+SUM(TblConstr[[#This Row],[Dest OM]:[Dest GN]]) +Rezone!N65 + IF("Ch_"&amp; home_land=TblConstr[[#Headers],[Ch_Mountain]],TblConstr[[#This Row],[Home Land]])+IF(TblConstr[[#This Row],[Hour]:[Hour]]&gt;12,OFFSET(TblExplore[[#This Row],[Mountain Explore]],-12,0),0)</f>
        <v>0</v>
      </c>
      <c r="CT65" s="183">
        <f ca="1">-SUM(TblConstr[[#This Row],[Fac]:[Shr]])+SUM(TblConstr[[#This Row],[Dest Fac]:[Dest Shr]]) +Rezone!O65 + IF("Ch_" &amp; home_land=TblConstr[[#Headers],[Ch_Hill]],TblConstr[[#This Row],[Home Land]])+IF(TblConstr[[#This Row],[Hour]:[Hour]]&gt;12,OFFSET(TblExplore[[#This Row],[Hill Explore]],-12,0),0)</f>
        <v>0</v>
      </c>
      <c r="CU65" s="184">
        <f ca="1">-SUM(TblConstr[[#This Row],[Tow]:[WG]])+SUM(TblConstr[[#This Row],[Dest Tow]:[Dest WG]]) +Rezone!P65 + IF("Ch_" &amp; home_land=TblConstr[[#Headers],[Ch_Swamp]],TblConstr[[#This Row],[Home Land]])+IF(TblConstr[[#This Row],[Hour]:[Hour]]&gt;12,OFFSET(TblExplore[[#This Row],[Swamp Explore]],-12,0),0)</f>
        <v>0</v>
      </c>
      <c r="CV65" s="185">
        <f ca="1" xml:space="preserve"> - SUM(TblConstr[[#This Row],[DM]:[Sch]])+SUM(TblConstr[[#This Row],[Dest DM]:[Dest Sch]]) +Rezone!Q65 + IF("Ch_" &amp; home_land=TblConstr[[#Headers],[Ch_Cavern]],TblConstr[[#This Row],[Home Land]])+IF(TblConstr[[#This Row],[Hour]:[Hour]]&gt;12,OFFSET(TblExplore[[#This Row],[Cavern Explore]],-12,0),0)</f>
        <v>0</v>
      </c>
      <c r="CW65" s="186">
        <f ca="1">-TblConstr[[#This Row],[Doc]]+TblConstr[[#This Row],[Dest Doc]] +Rezone!R65 + IF("Ch_" &amp; home_land=TblConstr[[#Headers],[Ch_Water]],TblConstr[[#This Row],[Home Land]])+IF(TblConstr[[#This Row],[Hour]:[Hour]]&gt;12,OFFSET(TblExplore[[#This Row],[Water Explore]],-12,0),0)</f>
        <v>0</v>
      </c>
      <c r="CX65" s="45">
        <f>IF(Explore!S65=1,20) - TblConstr[[#This Row],[Hom]] + TblConstr[[#This Row],[Dest Hom]]</f>
        <v>0</v>
      </c>
      <c r="CY65" s="142"/>
      <c r="CZ65" s="94">
        <f t="shared" ca="1" si="12"/>
        <v>30</v>
      </c>
      <c r="DA65" s="94">
        <f t="shared" ca="1" si="13"/>
        <v>20</v>
      </c>
      <c r="DB65" s="45">
        <f t="shared" ca="1" si="14"/>
        <v>0</v>
      </c>
      <c r="DC65" s="94">
        <f t="shared" ca="1" si="15"/>
        <v>0</v>
      </c>
      <c r="DD65" s="94">
        <f t="shared" ca="1" si="16"/>
        <v>0</v>
      </c>
      <c r="DE65" s="45">
        <f t="shared" ca="1" si="17"/>
        <v>0</v>
      </c>
      <c r="DF65" s="94">
        <f t="shared" ca="1" si="18"/>
        <v>0</v>
      </c>
      <c r="DG65" s="94" cm="1">
        <f t="array" aca="1" ref="DG65" ca="1">INDEX(TblConstr[[Total Plain]:[Total Water]],ROW()-ROW(TblConstr[#Headers]),MATCH("Total "&amp;home_land,TblConstr[[#Headers],[Total Plain]:[Total Water]],0))+TblConstr[[#This Row],[Homes]]</f>
        <v>30</v>
      </c>
      <c r="DH65" s="45">
        <f t="shared" ca="1" si="10"/>
        <v>0</v>
      </c>
      <c r="DI65" s="45">
        <f t="shared" ca="1" si="0"/>
        <v>0</v>
      </c>
      <c r="DJ65" s="45">
        <f t="shared" ca="1" si="1"/>
        <v>0</v>
      </c>
    </row>
    <row r="66" spans="1:114" x14ac:dyDescent="0.2">
      <c r="A66" s="175">
        <f>TblRezone[[#This Row],[Hour]]</f>
        <v>63</v>
      </c>
      <c r="B66" s="176">
        <f ca="1">SUM(TblConstr[[#This Row],[Plain]:[Water]])</f>
        <v>0</v>
      </c>
      <c r="C66" s="177">
        <f ca="1">SUM(TblConstr[[#This Row],[Tot Hom]:[Tot Doc]])</f>
        <v>50</v>
      </c>
      <c r="D66" s="177">
        <f t="shared" si="11"/>
        <v>0</v>
      </c>
      <c r="E66" s="178"/>
      <c r="F66" s="61">
        <f ca="1">TblConstr[[#This Row],[Barren]]+TblConstr[[#This Row],[Buildings]]+TblConstr[[#This Row],[Incoming]]</f>
        <v>50</v>
      </c>
      <c r="G66" s="187">
        <f ca="1">OFFSET(TblConstr[[#This Row],[Plain]],-1,0)+TblConstr[[#This Row],[Ch_Plain]]</f>
        <v>0</v>
      </c>
      <c r="H66" s="182">
        <f ca="1">OFFSET(TblConstr[[#This Row],[Forest]],-1,0)+TblConstr[[#This Row],[Ch_Forest]]</f>
        <v>0</v>
      </c>
      <c r="I66" s="359">
        <f ca="1">OFFSET(TblConstr[[#This Row],[Mountain]],-1,0)+TblConstr[[#This Row],[Ch_Mountain]]</f>
        <v>0</v>
      </c>
      <c r="J66" s="363">
        <f ca="1">OFFSET(TblConstr[[#This Row],[Hill]],-1,0)+TblConstr[[#This Row],[Ch_Hill]]</f>
        <v>0</v>
      </c>
      <c r="K66" s="367">
        <f ca="1">OFFSET(TblConstr[[#This Row],[Swamp]],-1,0)+TblConstr[[#This Row],[Ch_Swamp]]</f>
        <v>0</v>
      </c>
      <c r="L66" s="185">
        <f ca="1">OFFSET(TblConstr[[#This Row],[Cavern]],-1,0)+TblConstr[[#This Row],[Ch_Cavern]]</f>
        <v>0</v>
      </c>
      <c r="M66" s="186">
        <f ca="1">OFFSET(TblConstr[[#This Row],[Water]],-1,0)+TblConstr[[#This Row],[Ch_Water]]</f>
        <v>0</v>
      </c>
      <c r="N66" s="357">
        <f>TblRezone[[#This Row],[Hour]]</f>
        <v>63</v>
      </c>
      <c r="O66" s="179"/>
      <c r="P66" s="179"/>
      <c r="Q66" s="179"/>
      <c r="R66" s="179"/>
      <c r="S66" s="179"/>
      <c r="T66" s="179"/>
      <c r="U66" s="179"/>
      <c r="V66" s="179"/>
      <c r="W66" s="179"/>
      <c r="X66" s="179"/>
      <c r="Y66" s="179"/>
      <c r="Z66" s="179"/>
      <c r="AA66" s="179"/>
      <c r="AB66" s="179"/>
      <c r="AC66" s="179"/>
      <c r="AD66" s="179"/>
      <c r="AE66" s="179"/>
      <c r="AF66" s="179"/>
      <c r="AG66" s="179"/>
      <c r="AH66" s="53">
        <f ca="1">TblImps[[#This Row],[Time]]</f>
        <v>46322.583333333183</v>
      </c>
      <c r="AI66" s="180">
        <f ca="1">MIN(25%,(TblConstr[[#This Row],[Tot Fac]]+TblConstr[[#This Row],[Dest Fac]])/(TblConstr[[#This Row],[Land]]-TblExplore[[#This Row],[Land Bonus]]*20))</f>
        <v>0</v>
      </c>
      <c r="AJ66" s="180">
        <f ca="1">MIN(25%,(TblConstr[[#This Row],[Tot Fac]]+TblConstr[[#This Row],[Dest Fac]])/TblConstr[[#This Row],[Land]])</f>
        <v>0</v>
      </c>
      <c r="AK66" s="94">
        <f ca="1">TblProd[[#This Row],[Platinum]]</f>
        <v>178842</v>
      </c>
      <c r="AL66" s="94">
        <f ca="1">TblProd[[#This Row],[Lumber]]</f>
        <v>54415</v>
      </c>
      <c r="AM6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6" s="94">
        <f ca="1">ROUNDDOWN( MAX(1 - MIN(facs_constr_factor*TblConstr[[#This Row],[Facs -DB]],facs_constr_max) + tech_1_11*TblTech[[#This Row],[11-1]] + tech_6_3_2*TblTech[[#This Row],[6-3]] + tech_5_2_3*TblTech[[#This Row],[5-2]], 1-global_constr_cap) * TblConstr[[#This Row],[RCPA Lumber]],0)</f>
        <v>31</v>
      </c>
      <c r="AO6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6" s="94">
        <f ca="1">ROUNDDOWN( MAX(1 - MIN(facs_constr_factor*TblConstr[[#This Row],[Facs DB]],facs_constr_max) + tech_1_11*TblTech[[#This Row],[1-11]] + tech_6_3_2*TblTech[[#This Row],[6-3]] + tech_5_2_3*TblTech[[#This Row],[5-2]], 1-global_constr_cap) * ROUND((TblConstr[[#This Row],[Land]]-250)*0.285 + 87.5 + 0/4.25,0),0)</f>
        <v>31</v>
      </c>
      <c r="AQ66" s="45">
        <f ca="1">TblConstr[[#This Row],[build -db]]*TblConstr[[#This Row],[CPA Platinum -DB]] + TblConstr[[#This Row],[build db]]*TblConstr[[#This Row],[CPA Platinum DB]]</f>
        <v>0</v>
      </c>
      <c r="AR66" s="45">
        <f ca="1">TblConstr[[#This Row],[build -db]]*TblConstr[[#This Row],[CPA Lumber -DB]] + TblConstr[[#This Row],[build db]]*TblConstr[[#This Row],[CPA Lumber DB]]</f>
        <v>0</v>
      </c>
      <c r="AS66" s="94">
        <f ca="1">MIN(SUM(OFFSET(TblConstr[[#This Row],[Plain]:[Water]],-1,0))+SUM(TblConstr[[#This Row],[Dest Hom]:[Dest Doc]])+IF(TblConstr[[#This Row],[Hour]]&gt;12,SUM(OFFSET(TblExplore[[#This Row],[Plains Explore]:[Water Explore]],-12,0)),0),SUM(TblConstr[[#This Row],[Hom]:[Doc]]))</f>
        <v>0</v>
      </c>
      <c r="AT6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42"/>
      <c r="AV66" s="94">
        <f ca="1">ROUND((TblConstr[[#This Row],[Land]]-250 - IF(TblExplore[[#This Row],[Land Bonus]]&lt;&gt;0,20,0))*1.25 + 850 + 0,0)</f>
        <v>600</v>
      </c>
      <c r="AW66" s="94">
        <f ca="1">ROUND((TblConstr[[#This Row],[Land]]-250 - IF(TblExplore[[#This Row],[Land Bonus]]&lt;&gt;0,20,0))*0.285 + 87.5 + 0/4.25,0)</f>
        <v>31</v>
      </c>
      <c r="AX66" s="154"/>
      <c r="AY66" s="188" cm="1">
        <f t="array" aca="1" ref="AY66" ca="1">IF(TblConstr[[#This Row],[Hour]:[Hour]]&gt;12,OFFSET(TblConstr[[#This Row],[Hom]],-12,0),0)+OFFSET(TblConstr[[#This Row],[Tot Hom]],-1,0)-TblConstr[[#This Row],[Dest Hom]]</f>
        <v>0</v>
      </c>
      <c r="AZ66" s="189" cm="1">
        <f t="array" aca="1" ref="AZ66" ca="1">IF(TblConstr[[#This Row],[Hour]:[Hour]]&gt;12,OFFSET(TblConstr[[#This Row],[Alc]],-12,0),0)+OFFSET(TblConstr[[#This Row],[Tot Alc]],-1,0)-TblConstr[[#This Row],[Dest Alc]]</f>
        <v>0</v>
      </c>
      <c r="BA66" s="189" cm="1">
        <f t="array" aca="1" ref="BA66" ca="1">IF(TblConstr[[#This Row],[Hour]:[Hour]]&gt;12,OFFSET(TblConstr[[#This Row],[Far]],-12,0),0)+OFFSET(TblConstr[[#This Row],[Tot Farm]],-1,0)-TblConstr[[#This Row],[Dest Farm]]</f>
        <v>30</v>
      </c>
      <c r="BB66" s="189" cm="1">
        <f t="array" aca="1" ref="BB66" ca="1">IF(TblConstr[[#This Row],[Hour]:[Hour]]&gt;12,OFFSET(TblConstr[[#This Row],[Smi]],-12,0),0)+OFFSET(TblConstr[[#This Row],[Tot Smi]],-1,0)-TblConstr[[#This Row],[Dest Smi]]</f>
        <v>0</v>
      </c>
      <c r="BC66" s="189" cm="1">
        <f t="array" aca="1" ref="BC66" ca="1">IF(TblConstr[[#This Row],[Hour]:[Hour]]&gt;12,OFFSET(TblConstr[[#This Row],[Mas]],-12,0),0)+OFFSET(TblConstr[[#This Row],[Tot Mas]],-1,0)-TblConstr[[#This Row],[Dest Mas]]</f>
        <v>0</v>
      </c>
      <c r="BD66" s="190" cm="1">
        <f t="array" aca="1" ref="BD66" ca="1">IF(TblConstr[[#This Row],[Hour]:[Hour]]&gt;12,OFFSET(TblConstr[[#This Row],[Ly]],-12,0),0)+OFFSET(TblConstr[[#This Row],[Tot Ly]],-1,0)-TblConstr[[#This Row],[Dest Ly]]</f>
        <v>20</v>
      </c>
      <c r="BE66" s="190" cm="1">
        <f t="array" aca="1" ref="BE66" ca="1">IF(TblConstr[[#This Row],[Hour]:[Hour]]&gt;12,OFFSET(TblConstr[[#This Row],[Hav]],-12,0),0)+OFFSET(TblConstr[[#This Row],[Tot Hav]],-1,0)-TblConstr[[#This Row],[Dest Hav]]</f>
        <v>0</v>
      </c>
      <c r="BF66" s="361" cm="1">
        <f t="array" aca="1" ref="BF66" ca="1">IF(TblConstr[[#This Row],[Hour]:[Hour]]&gt;12,OFFSET(TblConstr[[#This Row],[OM]],-12,0),0)+OFFSET(TblConstr[[#This Row],[Tot OM]],-1,0)-TblConstr[[#This Row],[Dest OM]]</f>
        <v>0</v>
      </c>
      <c r="BG66" s="361" cm="1">
        <f t="array" aca="1" ref="BG66" ca="1">IF(TblConstr[[#This Row],[Hour]:[Hour]]&gt;12,OFFSET(TblConstr[[#This Row],[GN]],-12,0),0)+OFFSET(TblConstr[[#This Row],[Tot GN]],-1,0)-TblConstr[[#This Row],[Dest GN]]</f>
        <v>0</v>
      </c>
      <c r="BH66" s="365" cm="1">
        <f t="array" aca="1" ref="BH66" ca="1">IF(TblConstr[[#This Row],[Hour]:[Hour]]&gt;12,OFFSET(TblConstr[[#This Row],[Fac]],-12,0),0)+OFFSET(TblConstr[[#This Row],[Tot Fac]],-1,0)-TblConstr[[#This Row],[Dest Fac]]</f>
        <v>0</v>
      </c>
      <c r="BI66" s="365" cm="1">
        <f t="array" aca="1" ref="BI66" ca="1">IF(TblConstr[[#This Row],[Hour]:[Hour]]&gt;12,OFFSET(TblConstr[[#This Row],[GT]],-12,0),0)+OFFSET(TblConstr[[#This Row],[Tot GT]],-1,0)-TblConstr[[#This Row],[Dest GT]]</f>
        <v>0</v>
      </c>
      <c r="BJ66" s="365" cm="1">
        <f t="array" aca="1" ref="BJ66" ca="1">IF(TblConstr[[#This Row],[Hour]:[Hour]]&gt;12,OFFSET(TblConstr[[#This Row],[Bar]],-12,0),0)+OFFSET(TblConstr[[#This Row],[Tot Bar]],-1,0)-TblConstr[[#This Row],[Dest Bar]]</f>
        <v>0</v>
      </c>
      <c r="BK66" s="365" cm="1">
        <f t="array" aca="1" ref="BK66" ca="1">IF(TblConstr[[#This Row],[Hour]:[Hour]]&gt;12,OFFSET(TblConstr[[#This Row],[Shr]],-12,0),0)+OFFSET(TblConstr[[#This Row],[Tot Shr]],-1,0)-TblConstr[[#This Row],[Dest Shr]]</f>
        <v>0</v>
      </c>
      <c r="BL66" s="369" cm="1">
        <f t="array" aca="1" ref="BL66" ca="1">IF(TblConstr[[#This Row],[Hour]:[Hour]]&gt;12,OFFSET(TblConstr[[#This Row],[Tow]],-12,0),0)+OFFSET(TblConstr[[#This Row],[Tot Tow]],-1,0)-TblConstr[[#This Row],[Dest Tow]]</f>
        <v>0</v>
      </c>
      <c r="BM66" s="369" cm="1">
        <f t="array" aca="1" ref="BM66" ca="1">IF(TblConstr[[#This Row],[Hour]:[Hour]]&gt;12,OFFSET(TblConstr[[#This Row],[Tem]],-12,0),0)+OFFSET(TblConstr[[#This Row],[Tot Tem]],-1,0)-TblConstr[[#This Row],[Dest Tem]]</f>
        <v>0</v>
      </c>
      <c r="BN66" s="369" cm="1">
        <f t="array" aca="1" ref="BN66" ca="1">IF(TblConstr[[#This Row],[Hour]:[Hour]]&gt;12,OFFSET(TblConstr[[#This Row],[WG]],-12,0),0)+OFFSET(TblConstr[[#This Row],[Tot WG]],-1,0)-TblConstr[[#This Row],[Dest WG]]</f>
        <v>0</v>
      </c>
      <c r="BO66" s="191" cm="1">
        <f t="array" aca="1" ref="BO66" ca="1">IF(TblConstr[[#This Row],[Hour]:[Hour]]&gt;12,OFFSET(TblConstr[[#This Row],[DM]],-12,0),0)+OFFSET(TblConstr[[#This Row],[Tot DM]],-1,0)-TblConstr[[#This Row],[Dest DM]]</f>
        <v>0</v>
      </c>
      <c r="BP66" s="191" cm="1">
        <f t="array" aca="1" ref="BP66" ca="1">IF(TblConstr[[#This Row],[Hour]:[Hour]]&gt;12,OFFSET(TblConstr[[#This Row],[Sch]],-12,0),0)+OFFSET(TblConstr[[#This Row],[Tot Sch]],-1,0)-TblConstr[[#This Row],[Dest Sch]]</f>
        <v>0</v>
      </c>
      <c r="BQ66" s="192" cm="1">
        <f t="array" aca="1" ref="BQ66" ca="1">IF(TblConstr[[#This Row],[Hour]:[Hour]]&gt;12,OFFSET(TblConstr[[#This Row],[Doc]],-12,0),0)+OFFSET(TblConstr[[#This Row],[Tot Doc]],-1,0)-TblConstr[[#This Row],[Dest Doc]]</f>
        <v>0</v>
      </c>
      <c r="BR66" s="142"/>
      <c r="BS66" s="154"/>
      <c r="BT66" s="94">
        <f ca="1">TblConstr[[#This Row],[Land]]</f>
        <v>50</v>
      </c>
      <c r="BU66" s="159">
        <f ca="1">TblImps[[#This Row],[Time]]</f>
        <v>46322.583333333183</v>
      </c>
      <c r="BV66" s="142"/>
      <c r="BW66" s="179"/>
      <c r="BX66" s="179"/>
      <c r="BY66" s="179"/>
      <c r="BZ66" s="179"/>
      <c r="CA66" s="179"/>
      <c r="CB66" s="179"/>
      <c r="CC66" s="179"/>
      <c r="CD66" s="179"/>
      <c r="CE66" s="179"/>
      <c r="CF66" s="179"/>
      <c r="CG66" s="179"/>
      <c r="CH66" s="179"/>
      <c r="CI66" s="179"/>
      <c r="CJ66" s="179"/>
      <c r="CK66" s="179"/>
      <c r="CL66" s="179"/>
      <c r="CM66" s="179"/>
      <c r="CN66" s="179"/>
      <c r="CO66" s="179"/>
      <c r="CP66" s="142"/>
      <c r="CQ66" s="181">
        <f ca="1">-SUM(TblConstr[[#This Row],[Alc]:[Mas]])+SUM(TblConstr[[#This Row],[Dest Alc]:[Dest Mas]])+Rezone!L66+IF("Ch_"&amp; home_land=TblConstr[[#Headers],[Ch_Plain]],TblConstr[[#This Row],[Home Land]])+IF(TblConstr[[#This Row],[Hour]:[Hour]]&gt;12,OFFSET(TblExplore[[#This Row],[Plains Explore]],-12,0),0)</f>
        <v>0</v>
      </c>
      <c r="CR66" s="182">
        <f ca="1">-SUM(TblConstr[[#This Row],[Ly]:[Hav]])+SUM(TblConstr[[#This Row],[Dest Ly]:[Dest Hav]]) +Rezone!M66 + IF("Ch_"&amp; home_land=TblConstr[[#Headers],[Ch_Forest]],TblConstr[[#This Row],[Home Land]])+IF(TblConstr[[#This Row],[Hour]:[Hour]]&gt;12,OFFSET(TblExplore[[#This Row],[Forest Explore]],-12,0),0)</f>
        <v>0</v>
      </c>
      <c r="CS66" s="359">
        <f ca="1">-SUM(TblConstr[[#This Row],[OM]:[GN]])+SUM(TblConstr[[#This Row],[Dest OM]:[Dest GN]]) +Rezone!N66 + IF("Ch_"&amp; home_land=TblConstr[[#Headers],[Ch_Mountain]],TblConstr[[#This Row],[Home Land]])+IF(TblConstr[[#This Row],[Hour]:[Hour]]&gt;12,OFFSET(TblExplore[[#This Row],[Mountain Explore]],-12,0),0)</f>
        <v>0</v>
      </c>
      <c r="CT66" s="183">
        <f ca="1">-SUM(TblConstr[[#This Row],[Fac]:[Shr]])+SUM(TblConstr[[#This Row],[Dest Fac]:[Dest Shr]]) +Rezone!O66 + IF("Ch_" &amp; home_land=TblConstr[[#Headers],[Ch_Hill]],TblConstr[[#This Row],[Home Land]])+IF(TblConstr[[#This Row],[Hour]:[Hour]]&gt;12,OFFSET(TblExplore[[#This Row],[Hill Explore]],-12,0),0)</f>
        <v>0</v>
      </c>
      <c r="CU66" s="184">
        <f ca="1">-SUM(TblConstr[[#This Row],[Tow]:[WG]])+SUM(TblConstr[[#This Row],[Dest Tow]:[Dest WG]]) +Rezone!P66 + IF("Ch_" &amp; home_land=TblConstr[[#Headers],[Ch_Swamp]],TblConstr[[#This Row],[Home Land]])+IF(TblConstr[[#This Row],[Hour]:[Hour]]&gt;12,OFFSET(TblExplore[[#This Row],[Swamp Explore]],-12,0),0)</f>
        <v>0</v>
      </c>
      <c r="CV66" s="185">
        <f ca="1" xml:space="preserve"> - SUM(TblConstr[[#This Row],[DM]:[Sch]])+SUM(TblConstr[[#This Row],[Dest DM]:[Dest Sch]]) +Rezone!Q66 + IF("Ch_" &amp; home_land=TblConstr[[#Headers],[Ch_Cavern]],TblConstr[[#This Row],[Home Land]])+IF(TblConstr[[#This Row],[Hour]:[Hour]]&gt;12,OFFSET(TblExplore[[#This Row],[Cavern Explore]],-12,0),0)</f>
        <v>0</v>
      </c>
      <c r="CW66" s="186">
        <f ca="1">-TblConstr[[#This Row],[Doc]]+TblConstr[[#This Row],[Dest Doc]] +Rezone!R66 + IF("Ch_" &amp; home_land=TblConstr[[#Headers],[Ch_Water]],TblConstr[[#This Row],[Home Land]])+IF(TblConstr[[#This Row],[Hour]:[Hour]]&gt;12,OFFSET(TblExplore[[#This Row],[Water Explore]],-12,0),0)</f>
        <v>0</v>
      </c>
      <c r="CX66" s="45">
        <f>IF(Explore!S66=1,20) - TblConstr[[#This Row],[Hom]] + TblConstr[[#This Row],[Dest Hom]]</f>
        <v>0</v>
      </c>
      <c r="CY66" s="142"/>
      <c r="CZ66" s="94">
        <f t="shared" ca="1" si="12"/>
        <v>30</v>
      </c>
      <c r="DA66" s="94">
        <f t="shared" ca="1" si="13"/>
        <v>20</v>
      </c>
      <c r="DB66" s="45">
        <f t="shared" ca="1" si="14"/>
        <v>0</v>
      </c>
      <c r="DC66" s="94">
        <f t="shared" ca="1" si="15"/>
        <v>0</v>
      </c>
      <c r="DD66" s="94">
        <f t="shared" ca="1" si="16"/>
        <v>0</v>
      </c>
      <c r="DE66" s="45">
        <f t="shared" ca="1" si="17"/>
        <v>0</v>
      </c>
      <c r="DF66" s="94">
        <f t="shared" ca="1" si="18"/>
        <v>0</v>
      </c>
      <c r="DG66" s="94" cm="1">
        <f t="array" aca="1" ref="DG66" ca="1">INDEX(TblConstr[[Total Plain]:[Total Water]],ROW()-ROW(TblConstr[#Headers]),MATCH("Total "&amp;home_land,TblConstr[[#Headers],[Total Plain]:[Total Water]],0))+TblConstr[[#This Row],[Homes]]</f>
        <v>30</v>
      </c>
      <c r="DH66" s="45">
        <f t="shared" ca="1" si="10"/>
        <v>0</v>
      </c>
      <c r="DI66" s="45">
        <f t="shared" ca="1" si="0"/>
        <v>0</v>
      </c>
      <c r="DJ66" s="45">
        <f t="shared" ca="1" si="1"/>
        <v>0</v>
      </c>
    </row>
    <row r="67" spans="1:114" x14ac:dyDescent="0.2">
      <c r="A67" s="175">
        <f>TblRezone[[#This Row],[Hour]]</f>
        <v>64</v>
      </c>
      <c r="B67" s="176">
        <f ca="1">SUM(TblConstr[[#This Row],[Plain]:[Water]])</f>
        <v>0</v>
      </c>
      <c r="C67" s="177">
        <f ca="1">SUM(TblConstr[[#This Row],[Tot Hom]:[Tot Doc]])</f>
        <v>50</v>
      </c>
      <c r="D67" s="177">
        <f t="shared" si="11"/>
        <v>0</v>
      </c>
      <c r="E67" s="178"/>
      <c r="F67" s="61">
        <f ca="1">TblConstr[[#This Row],[Barren]]+TblConstr[[#This Row],[Buildings]]+TblConstr[[#This Row],[Incoming]]</f>
        <v>50</v>
      </c>
      <c r="G67" s="187">
        <f ca="1">OFFSET(TblConstr[[#This Row],[Plain]],-1,0)+TblConstr[[#This Row],[Ch_Plain]]</f>
        <v>0</v>
      </c>
      <c r="H67" s="182">
        <f ca="1">OFFSET(TblConstr[[#This Row],[Forest]],-1,0)+TblConstr[[#This Row],[Ch_Forest]]</f>
        <v>0</v>
      </c>
      <c r="I67" s="359">
        <f ca="1">OFFSET(TblConstr[[#This Row],[Mountain]],-1,0)+TblConstr[[#This Row],[Ch_Mountain]]</f>
        <v>0</v>
      </c>
      <c r="J67" s="363">
        <f ca="1">OFFSET(TblConstr[[#This Row],[Hill]],-1,0)+TblConstr[[#This Row],[Ch_Hill]]</f>
        <v>0</v>
      </c>
      <c r="K67" s="367">
        <f ca="1">OFFSET(TblConstr[[#This Row],[Swamp]],-1,0)+TblConstr[[#This Row],[Ch_Swamp]]</f>
        <v>0</v>
      </c>
      <c r="L67" s="185">
        <f ca="1">OFFSET(TblConstr[[#This Row],[Cavern]],-1,0)+TblConstr[[#This Row],[Ch_Cavern]]</f>
        <v>0</v>
      </c>
      <c r="M67" s="186">
        <f ca="1">OFFSET(TblConstr[[#This Row],[Water]],-1,0)+TblConstr[[#This Row],[Ch_Water]]</f>
        <v>0</v>
      </c>
      <c r="N67" s="357">
        <f>TblRezone[[#This Row],[Hour]]</f>
        <v>64</v>
      </c>
      <c r="O67" s="179"/>
      <c r="P67" s="179"/>
      <c r="Q67" s="179"/>
      <c r="R67" s="179"/>
      <c r="S67" s="179"/>
      <c r="T67" s="179"/>
      <c r="U67" s="179"/>
      <c r="V67" s="179"/>
      <c r="W67" s="179"/>
      <c r="X67" s="179"/>
      <c r="Y67" s="179"/>
      <c r="Z67" s="179"/>
      <c r="AA67" s="179"/>
      <c r="AB67" s="179"/>
      <c r="AC67" s="179"/>
      <c r="AD67" s="179"/>
      <c r="AE67" s="179"/>
      <c r="AF67" s="179"/>
      <c r="AG67" s="179"/>
      <c r="AH67" s="53">
        <f ca="1">TblImps[[#This Row],[Time]]</f>
        <v>46322.624999999847</v>
      </c>
      <c r="AI67" s="180">
        <f ca="1">MIN(25%,(TblConstr[[#This Row],[Tot Fac]]+TblConstr[[#This Row],[Dest Fac]])/(TblConstr[[#This Row],[Land]]-TblExplore[[#This Row],[Land Bonus]]*20))</f>
        <v>0</v>
      </c>
      <c r="AJ67" s="180">
        <f ca="1">MIN(25%,(TblConstr[[#This Row],[Tot Fac]]+TblConstr[[#This Row],[Dest Fac]])/TblConstr[[#This Row],[Land]])</f>
        <v>0</v>
      </c>
      <c r="AK67" s="94">
        <f ca="1">TblProd[[#This Row],[Platinum]]</f>
        <v>179517</v>
      </c>
      <c r="AL67" s="94">
        <f ca="1">TblProd[[#This Row],[Lumber]]</f>
        <v>54871</v>
      </c>
      <c r="AM6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7" s="94">
        <f ca="1">ROUNDDOWN( MAX(1 - MIN(facs_constr_factor*TblConstr[[#This Row],[Facs -DB]],facs_constr_max) + tech_1_11*TblTech[[#This Row],[11-1]] + tech_6_3_2*TblTech[[#This Row],[6-3]] + tech_5_2_3*TblTech[[#This Row],[5-2]], 1-global_constr_cap) * TblConstr[[#This Row],[RCPA Lumber]],0)</f>
        <v>31</v>
      </c>
      <c r="AO6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7" s="94">
        <f ca="1">ROUNDDOWN( MAX(1 - MIN(facs_constr_factor*TblConstr[[#This Row],[Facs DB]],facs_constr_max) + tech_1_11*TblTech[[#This Row],[1-11]] + tech_6_3_2*TblTech[[#This Row],[6-3]] + tech_5_2_3*TblTech[[#This Row],[5-2]], 1-global_constr_cap) * ROUND((TblConstr[[#This Row],[Land]]-250)*0.285 + 87.5 + 0/4.25,0),0)</f>
        <v>31</v>
      </c>
      <c r="AQ67" s="45">
        <f ca="1">TblConstr[[#This Row],[build -db]]*TblConstr[[#This Row],[CPA Platinum -DB]] + TblConstr[[#This Row],[build db]]*TblConstr[[#This Row],[CPA Platinum DB]]</f>
        <v>0</v>
      </c>
      <c r="AR67" s="45">
        <f ca="1">TblConstr[[#This Row],[build -db]]*TblConstr[[#This Row],[CPA Lumber -DB]] + TblConstr[[#This Row],[build db]]*TblConstr[[#This Row],[CPA Lumber DB]]</f>
        <v>0</v>
      </c>
      <c r="AS67" s="94">
        <f ca="1">MIN(SUM(OFFSET(TblConstr[[#This Row],[Plain]:[Water]],-1,0))+SUM(TblConstr[[#This Row],[Dest Hom]:[Dest Doc]])+IF(TblConstr[[#This Row],[Hour]]&gt;12,SUM(OFFSET(TblExplore[[#This Row],[Plains Explore]:[Water Explore]],-12,0)),0),SUM(TblConstr[[#This Row],[Hom]:[Doc]]))</f>
        <v>0</v>
      </c>
      <c r="AT6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42"/>
      <c r="AV67" s="94">
        <f ca="1">ROUND((TblConstr[[#This Row],[Land]]-250 - IF(TblExplore[[#This Row],[Land Bonus]]&lt;&gt;0,20,0))*1.25 + 850 + 0,0)</f>
        <v>600</v>
      </c>
      <c r="AW67" s="94">
        <f ca="1">ROUND((TblConstr[[#This Row],[Land]]-250 - IF(TblExplore[[#This Row],[Land Bonus]]&lt;&gt;0,20,0))*0.285 + 87.5 + 0/4.25,0)</f>
        <v>31</v>
      </c>
      <c r="AX67" s="154"/>
      <c r="AY67" s="188" cm="1">
        <f t="array" aca="1" ref="AY67" ca="1">IF(TblConstr[[#This Row],[Hour]:[Hour]]&gt;12,OFFSET(TblConstr[[#This Row],[Hom]],-12,0),0)+OFFSET(TblConstr[[#This Row],[Tot Hom]],-1,0)-TblConstr[[#This Row],[Dest Hom]]</f>
        <v>0</v>
      </c>
      <c r="AZ67" s="189" cm="1">
        <f t="array" aca="1" ref="AZ67" ca="1">IF(TblConstr[[#This Row],[Hour]:[Hour]]&gt;12,OFFSET(TblConstr[[#This Row],[Alc]],-12,0),0)+OFFSET(TblConstr[[#This Row],[Tot Alc]],-1,0)-TblConstr[[#This Row],[Dest Alc]]</f>
        <v>0</v>
      </c>
      <c r="BA67" s="189" cm="1">
        <f t="array" aca="1" ref="BA67" ca="1">IF(TblConstr[[#This Row],[Hour]:[Hour]]&gt;12,OFFSET(TblConstr[[#This Row],[Far]],-12,0),0)+OFFSET(TblConstr[[#This Row],[Tot Farm]],-1,0)-TblConstr[[#This Row],[Dest Farm]]</f>
        <v>30</v>
      </c>
      <c r="BB67" s="189" cm="1">
        <f t="array" aca="1" ref="BB67" ca="1">IF(TblConstr[[#This Row],[Hour]:[Hour]]&gt;12,OFFSET(TblConstr[[#This Row],[Smi]],-12,0),0)+OFFSET(TblConstr[[#This Row],[Tot Smi]],-1,0)-TblConstr[[#This Row],[Dest Smi]]</f>
        <v>0</v>
      </c>
      <c r="BC67" s="189" cm="1">
        <f t="array" aca="1" ref="BC67" ca="1">IF(TblConstr[[#This Row],[Hour]:[Hour]]&gt;12,OFFSET(TblConstr[[#This Row],[Mas]],-12,0),0)+OFFSET(TblConstr[[#This Row],[Tot Mas]],-1,0)-TblConstr[[#This Row],[Dest Mas]]</f>
        <v>0</v>
      </c>
      <c r="BD67" s="190" cm="1">
        <f t="array" aca="1" ref="BD67" ca="1">IF(TblConstr[[#This Row],[Hour]:[Hour]]&gt;12,OFFSET(TblConstr[[#This Row],[Ly]],-12,0),0)+OFFSET(TblConstr[[#This Row],[Tot Ly]],-1,0)-TblConstr[[#This Row],[Dest Ly]]</f>
        <v>20</v>
      </c>
      <c r="BE67" s="190" cm="1">
        <f t="array" aca="1" ref="BE67" ca="1">IF(TblConstr[[#This Row],[Hour]:[Hour]]&gt;12,OFFSET(TblConstr[[#This Row],[Hav]],-12,0),0)+OFFSET(TblConstr[[#This Row],[Tot Hav]],-1,0)-TblConstr[[#This Row],[Dest Hav]]</f>
        <v>0</v>
      </c>
      <c r="BF67" s="361" cm="1">
        <f t="array" aca="1" ref="BF67" ca="1">IF(TblConstr[[#This Row],[Hour]:[Hour]]&gt;12,OFFSET(TblConstr[[#This Row],[OM]],-12,0),0)+OFFSET(TblConstr[[#This Row],[Tot OM]],-1,0)-TblConstr[[#This Row],[Dest OM]]</f>
        <v>0</v>
      </c>
      <c r="BG67" s="361" cm="1">
        <f t="array" aca="1" ref="BG67" ca="1">IF(TblConstr[[#This Row],[Hour]:[Hour]]&gt;12,OFFSET(TblConstr[[#This Row],[GN]],-12,0),0)+OFFSET(TblConstr[[#This Row],[Tot GN]],-1,0)-TblConstr[[#This Row],[Dest GN]]</f>
        <v>0</v>
      </c>
      <c r="BH67" s="365" cm="1">
        <f t="array" aca="1" ref="BH67" ca="1">IF(TblConstr[[#This Row],[Hour]:[Hour]]&gt;12,OFFSET(TblConstr[[#This Row],[Fac]],-12,0),0)+OFFSET(TblConstr[[#This Row],[Tot Fac]],-1,0)-TblConstr[[#This Row],[Dest Fac]]</f>
        <v>0</v>
      </c>
      <c r="BI67" s="365" cm="1">
        <f t="array" aca="1" ref="BI67" ca="1">IF(TblConstr[[#This Row],[Hour]:[Hour]]&gt;12,OFFSET(TblConstr[[#This Row],[GT]],-12,0),0)+OFFSET(TblConstr[[#This Row],[Tot GT]],-1,0)-TblConstr[[#This Row],[Dest GT]]</f>
        <v>0</v>
      </c>
      <c r="BJ67" s="365" cm="1">
        <f t="array" aca="1" ref="BJ67" ca="1">IF(TblConstr[[#This Row],[Hour]:[Hour]]&gt;12,OFFSET(TblConstr[[#This Row],[Bar]],-12,0),0)+OFFSET(TblConstr[[#This Row],[Tot Bar]],-1,0)-TblConstr[[#This Row],[Dest Bar]]</f>
        <v>0</v>
      </c>
      <c r="BK67" s="365" cm="1">
        <f t="array" aca="1" ref="BK67" ca="1">IF(TblConstr[[#This Row],[Hour]:[Hour]]&gt;12,OFFSET(TblConstr[[#This Row],[Shr]],-12,0),0)+OFFSET(TblConstr[[#This Row],[Tot Shr]],-1,0)-TblConstr[[#This Row],[Dest Shr]]</f>
        <v>0</v>
      </c>
      <c r="BL67" s="369" cm="1">
        <f t="array" aca="1" ref="BL67" ca="1">IF(TblConstr[[#This Row],[Hour]:[Hour]]&gt;12,OFFSET(TblConstr[[#This Row],[Tow]],-12,0),0)+OFFSET(TblConstr[[#This Row],[Tot Tow]],-1,0)-TblConstr[[#This Row],[Dest Tow]]</f>
        <v>0</v>
      </c>
      <c r="BM67" s="369" cm="1">
        <f t="array" aca="1" ref="BM67" ca="1">IF(TblConstr[[#This Row],[Hour]:[Hour]]&gt;12,OFFSET(TblConstr[[#This Row],[Tem]],-12,0),0)+OFFSET(TblConstr[[#This Row],[Tot Tem]],-1,0)-TblConstr[[#This Row],[Dest Tem]]</f>
        <v>0</v>
      </c>
      <c r="BN67" s="369" cm="1">
        <f t="array" aca="1" ref="BN67" ca="1">IF(TblConstr[[#This Row],[Hour]:[Hour]]&gt;12,OFFSET(TblConstr[[#This Row],[WG]],-12,0),0)+OFFSET(TblConstr[[#This Row],[Tot WG]],-1,0)-TblConstr[[#This Row],[Dest WG]]</f>
        <v>0</v>
      </c>
      <c r="BO67" s="191" cm="1">
        <f t="array" aca="1" ref="BO67" ca="1">IF(TblConstr[[#This Row],[Hour]:[Hour]]&gt;12,OFFSET(TblConstr[[#This Row],[DM]],-12,0),0)+OFFSET(TblConstr[[#This Row],[Tot DM]],-1,0)-TblConstr[[#This Row],[Dest DM]]</f>
        <v>0</v>
      </c>
      <c r="BP67" s="191" cm="1">
        <f t="array" aca="1" ref="BP67" ca="1">IF(TblConstr[[#This Row],[Hour]:[Hour]]&gt;12,OFFSET(TblConstr[[#This Row],[Sch]],-12,0),0)+OFFSET(TblConstr[[#This Row],[Tot Sch]],-1,0)-TblConstr[[#This Row],[Dest Sch]]</f>
        <v>0</v>
      </c>
      <c r="BQ67" s="192" cm="1">
        <f t="array" aca="1" ref="BQ67" ca="1">IF(TblConstr[[#This Row],[Hour]:[Hour]]&gt;12,OFFSET(TblConstr[[#This Row],[Doc]],-12,0),0)+OFFSET(TblConstr[[#This Row],[Tot Doc]],-1,0)-TblConstr[[#This Row],[Dest Doc]]</f>
        <v>0</v>
      </c>
      <c r="BR67" s="142"/>
      <c r="BS67" s="154"/>
      <c r="BT67" s="94">
        <f ca="1">TblConstr[[#This Row],[Land]]</f>
        <v>50</v>
      </c>
      <c r="BU67" s="159">
        <f ca="1">TblImps[[#This Row],[Time]]</f>
        <v>46322.624999999847</v>
      </c>
      <c r="BV67" s="142"/>
      <c r="BW67" s="179"/>
      <c r="BX67" s="179"/>
      <c r="BY67" s="179"/>
      <c r="BZ67" s="179"/>
      <c r="CA67" s="179"/>
      <c r="CB67" s="179"/>
      <c r="CC67" s="179"/>
      <c r="CD67" s="179"/>
      <c r="CE67" s="179"/>
      <c r="CF67" s="179"/>
      <c r="CG67" s="179"/>
      <c r="CH67" s="179"/>
      <c r="CI67" s="179"/>
      <c r="CJ67" s="179"/>
      <c r="CK67" s="179"/>
      <c r="CL67" s="179"/>
      <c r="CM67" s="179"/>
      <c r="CN67" s="179"/>
      <c r="CO67" s="179"/>
      <c r="CP67" s="142"/>
      <c r="CQ67" s="181">
        <f ca="1">-SUM(TblConstr[[#This Row],[Alc]:[Mas]])+SUM(TblConstr[[#This Row],[Dest Alc]:[Dest Mas]])+Rezone!L67+IF("Ch_"&amp; home_land=TblConstr[[#Headers],[Ch_Plain]],TblConstr[[#This Row],[Home Land]])+IF(TblConstr[[#This Row],[Hour]:[Hour]]&gt;12,OFFSET(TblExplore[[#This Row],[Plains Explore]],-12,0),0)</f>
        <v>0</v>
      </c>
      <c r="CR67" s="182">
        <f ca="1">-SUM(TblConstr[[#This Row],[Ly]:[Hav]])+SUM(TblConstr[[#This Row],[Dest Ly]:[Dest Hav]]) +Rezone!M67 + IF("Ch_"&amp; home_land=TblConstr[[#Headers],[Ch_Forest]],TblConstr[[#This Row],[Home Land]])+IF(TblConstr[[#This Row],[Hour]:[Hour]]&gt;12,OFFSET(TblExplore[[#This Row],[Forest Explore]],-12,0),0)</f>
        <v>0</v>
      </c>
      <c r="CS67" s="359">
        <f ca="1">-SUM(TblConstr[[#This Row],[OM]:[GN]])+SUM(TblConstr[[#This Row],[Dest OM]:[Dest GN]]) +Rezone!N67 + IF("Ch_"&amp; home_land=TblConstr[[#Headers],[Ch_Mountain]],TblConstr[[#This Row],[Home Land]])+IF(TblConstr[[#This Row],[Hour]:[Hour]]&gt;12,OFFSET(TblExplore[[#This Row],[Mountain Explore]],-12,0),0)</f>
        <v>0</v>
      </c>
      <c r="CT67" s="183">
        <f ca="1">-SUM(TblConstr[[#This Row],[Fac]:[Shr]])+SUM(TblConstr[[#This Row],[Dest Fac]:[Dest Shr]]) +Rezone!O67 + IF("Ch_" &amp; home_land=TblConstr[[#Headers],[Ch_Hill]],TblConstr[[#This Row],[Home Land]])+IF(TblConstr[[#This Row],[Hour]:[Hour]]&gt;12,OFFSET(TblExplore[[#This Row],[Hill Explore]],-12,0),0)</f>
        <v>0</v>
      </c>
      <c r="CU67" s="184">
        <f ca="1">-SUM(TblConstr[[#This Row],[Tow]:[WG]])+SUM(TblConstr[[#This Row],[Dest Tow]:[Dest WG]]) +Rezone!P67 + IF("Ch_" &amp; home_land=TblConstr[[#Headers],[Ch_Swamp]],TblConstr[[#This Row],[Home Land]])+IF(TblConstr[[#This Row],[Hour]:[Hour]]&gt;12,OFFSET(TblExplore[[#This Row],[Swamp Explore]],-12,0),0)</f>
        <v>0</v>
      </c>
      <c r="CV67" s="185">
        <f ca="1" xml:space="preserve"> - SUM(TblConstr[[#This Row],[DM]:[Sch]])+SUM(TblConstr[[#This Row],[Dest DM]:[Dest Sch]]) +Rezone!Q67 + IF("Ch_" &amp; home_land=TblConstr[[#Headers],[Ch_Cavern]],TblConstr[[#This Row],[Home Land]])+IF(TblConstr[[#This Row],[Hour]:[Hour]]&gt;12,OFFSET(TblExplore[[#This Row],[Cavern Explore]],-12,0),0)</f>
        <v>0</v>
      </c>
      <c r="CW67" s="186">
        <f ca="1">-TblConstr[[#This Row],[Doc]]+TblConstr[[#This Row],[Dest Doc]] +Rezone!R67 + IF("Ch_" &amp; home_land=TblConstr[[#Headers],[Ch_Water]],TblConstr[[#This Row],[Home Land]])+IF(TblConstr[[#This Row],[Hour]:[Hour]]&gt;12,OFFSET(TblExplore[[#This Row],[Water Explore]],-12,0),0)</f>
        <v>0</v>
      </c>
      <c r="CX67" s="45">
        <f>IF(Explore!S67=1,20) - TblConstr[[#This Row],[Hom]] + TblConstr[[#This Row],[Dest Hom]]</f>
        <v>0</v>
      </c>
      <c r="CY67" s="142"/>
      <c r="CZ67" s="94">
        <f t="shared" ca="1" si="12"/>
        <v>30</v>
      </c>
      <c r="DA67" s="94">
        <f t="shared" ca="1" si="13"/>
        <v>20</v>
      </c>
      <c r="DB67" s="45">
        <f t="shared" ca="1" si="14"/>
        <v>0</v>
      </c>
      <c r="DC67" s="94">
        <f t="shared" ca="1" si="15"/>
        <v>0</v>
      </c>
      <c r="DD67" s="94">
        <f t="shared" ca="1" si="16"/>
        <v>0</v>
      </c>
      <c r="DE67" s="45">
        <f t="shared" ca="1" si="17"/>
        <v>0</v>
      </c>
      <c r="DF67" s="94">
        <f t="shared" ca="1" si="18"/>
        <v>0</v>
      </c>
      <c r="DG67" s="94" cm="1">
        <f t="array" aca="1" ref="DG67" ca="1">INDEX(TblConstr[[Total Plain]:[Total Water]],ROW()-ROW(TblConstr[#Headers]),MATCH("Total "&amp;home_land,TblConstr[[#Headers],[Total Plain]:[Total Water]],0))+TblConstr[[#This Row],[Homes]]</f>
        <v>30</v>
      </c>
      <c r="DH67" s="45">
        <f t="shared" ca="1" si="10"/>
        <v>0</v>
      </c>
      <c r="DI67" s="45">
        <f t="shared" ca="1" si="0"/>
        <v>0</v>
      </c>
      <c r="DJ67" s="45">
        <f t="shared" ca="1" si="1"/>
        <v>0</v>
      </c>
    </row>
    <row r="68" spans="1:114" x14ac:dyDescent="0.2">
      <c r="A68" s="175">
        <f>TblRezone[[#This Row],[Hour]]</f>
        <v>65</v>
      </c>
      <c r="B68" s="176">
        <f ca="1">SUM(TblConstr[[#This Row],[Plain]:[Water]])</f>
        <v>0</v>
      </c>
      <c r="C68" s="177">
        <f ca="1">SUM(TblConstr[[#This Row],[Tot Hom]:[Tot Doc]])</f>
        <v>50</v>
      </c>
      <c r="D68" s="177">
        <f t="shared" si="11"/>
        <v>0</v>
      </c>
      <c r="E68" s="178"/>
      <c r="F68" s="61">
        <f ca="1">TblConstr[[#This Row],[Barren]]+TblConstr[[#This Row],[Buildings]]+TblConstr[[#This Row],[Incoming]]</f>
        <v>50</v>
      </c>
      <c r="G68" s="187">
        <f ca="1">OFFSET(TblConstr[[#This Row],[Plain]],-1,0)+TblConstr[[#This Row],[Ch_Plain]]</f>
        <v>0</v>
      </c>
      <c r="H68" s="182">
        <f ca="1">OFFSET(TblConstr[[#This Row],[Forest]],-1,0)+TblConstr[[#This Row],[Ch_Forest]]</f>
        <v>0</v>
      </c>
      <c r="I68" s="359">
        <f ca="1">OFFSET(TblConstr[[#This Row],[Mountain]],-1,0)+TblConstr[[#This Row],[Ch_Mountain]]</f>
        <v>0</v>
      </c>
      <c r="J68" s="363">
        <f ca="1">OFFSET(TblConstr[[#This Row],[Hill]],-1,0)+TblConstr[[#This Row],[Ch_Hill]]</f>
        <v>0</v>
      </c>
      <c r="K68" s="367">
        <f ca="1">OFFSET(TblConstr[[#This Row],[Swamp]],-1,0)+TblConstr[[#This Row],[Ch_Swamp]]</f>
        <v>0</v>
      </c>
      <c r="L68" s="185">
        <f ca="1">OFFSET(TblConstr[[#This Row],[Cavern]],-1,0)+TblConstr[[#This Row],[Ch_Cavern]]</f>
        <v>0</v>
      </c>
      <c r="M68" s="186">
        <f ca="1">OFFSET(TblConstr[[#This Row],[Water]],-1,0)+TblConstr[[#This Row],[Ch_Water]]</f>
        <v>0</v>
      </c>
      <c r="N68" s="357">
        <f>TblRezone[[#This Row],[Hour]]</f>
        <v>65</v>
      </c>
      <c r="O68" s="179"/>
      <c r="P68" s="179"/>
      <c r="Q68" s="179"/>
      <c r="R68" s="179"/>
      <c r="S68" s="179"/>
      <c r="T68" s="179"/>
      <c r="U68" s="179"/>
      <c r="V68" s="179"/>
      <c r="W68" s="179"/>
      <c r="X68" s="179"/>
      <c r="Y68" s="179"/>
      <c r="Z68" s="179"/>
      <c r="AA68" s="179"/>
      <c r="AB68" s="179"/>
      <c r="AC68" s="179"/>
      <c r="AD68" s="179"/>
      <c r="AE68" s="179"/>
      <c r="AF68" s="179"/>
      <c r="AG68" s="179"/>
      <c r="AH68" s="53">
        <f ca="1">TblImps[[#This Row],[Time]]</f>
        <v>46322.666666666511</v>
      </c>
      <c r="AI68" s="180">
        <f ca="1">MIN(25%,(TblConstr[[#This Row],[Tot Fac]]+TblConstr[[#This Row],[Dest Fac]])/(TblConstr[[#This Row],[Land]]-TblExplore[[#This Row],[Land Bonus]]*20))</f>
        <v>0</v>
      </c>
      <c r="AJ68" s="180">
        <f ca="1">MIN(25%,(TblConstr[[#This Row],[Tot Fac]]+TblConstr[[#This Row],[Dest Fac]])/TblConstr[[#This Row],[Land]])</f>
        <v>0</v>
      </c>
      <c r="AK68" s="94">
        <f ca="1">TblProd[[#This Row],[Platinum]]</f>
        <v>180183</v>
      </c>
      <c r="AL68" s="94">
        <f ca="1">TblProd[[#This Row],[Lumber]]</f>
        <v>55322</v>
      </c>
      <c r="AM6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8" s="94">
        <f ca="1">ROUNDDOWN( MAX(1 - MIN(facs_constr_factor*TblConstr[[#This Row],[Facs -DB]],facs_constr_max) + tech_1_11*TblTech[[#This Row],[11-1]] + tech_6_3_2*TblTech[[#This Row],[6-3]] + tech_5_2_3*TblTech[[#This Row],[5-2]], 1-global_constr_cap) * TblConstr[[#This Row],[RCPA Lumber]],0)</f>
        <v>31</v>
      </c>
      <c r="AO6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8" s="94">
        <f ca="1">ROUNDDOWN( MAX(1 - MIN(facs_constr_factor*TblConstr[[#This Row],[Facs DB]],facs_constr_max) + tech_1_11*TblTech[[#This Row],[1-11]] + tech_6_3_2*TblTech[[#This Row],[6-3]] + tech_5_2_3*TblTech[[#This Row],[5-2]], 1-global_constr_cap) * ROUND((TblConstr[[#This Row],[Land]]-250)*0.285 + 87.5 + 0/4.25,0),0)</f>
        <v>31</v>
      </c>
      <c r="AQ68" s="45">
        <f ca="1">TblConstr[[#This Row],[build -db]]*TblConstr[[#This Row],[CPA Platinum -DB]] + TblConstr[[#This Row],[build db]]*TblConstr[[#This Row],[CPA Platinum DB]]</f>
        <v>0</v>
      </c>
      <c r="AR68" s="45">
        <f ca="1">TblConstr[[#This Row],[build -db]]*TblConstr[[#This Row],[CPA Lumber -DB]] + TblConstr[[#This Row],[build db]]*TblConstr[[#This Row],[CPA Lumber DB]]</f>
        <v>0</v>
      </c>
      <c r="AS68" s="94">
        <f ca="1">MIN(SUM(OFFSET(TblConstr[[#This Row],[Plain]:[Water]],-1,0))+SUM(TblConstr[[#This Row],[Dest Hom]:[Dest Doc]])+IF(TblConstr[[#This Row],[Hour]]&gt;12,SUM(OFFSET(TblExplore[[#This Row],[Plains Explore]:[Water Explore]],-12,0)),0),SUM(TblConstr[[#This Row],[Hom]:[Doc]]))</f>
        <v>0</v>
      </c>
      <c r="AT6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42"/>
      <c r="AV68" s="94">
        <f ca="1">ROUND((TblConstr[[#This Row],[Land]]-250 - IF(TblExplore[[#This Row],[Land Bonus]]&lt;&gt;0,20,0))*1.25 + 850 + 0,0)</f>
        <v>600</v>
      </c>
      <c r="AW68" s="94">
        <f ca="1">ROUND((TblConstr[[#This Row],[Land]]-250 - IF(TblExplore[[#This Row],[Land Bonus]]&lt;&gt;0,20,0))*0.285 + 87.5 + 0/4.25,0)</f>
        <v>31</v>
      </c>
      <c r="AX68" s="154"/>
      <c r="AY68" s="188" cm="1">
        <f t="array" aca="1" ref="AY68" ca="1">IF(TblConstr[[#This Row],[Hour]:[Hour]]&gt;12,OFFSET(TblConstr[[#This Row],[Hom]],-12,0),0)+OFFSET(TblConstr[[#This Row],[Tot Hom]],-1,0)-TblConstr[[#This Row],[Dest Hom]]</f>
        <v>0</v>
      </c>
      <c r="AZ68" s="189" cm="1">
        <f t="array" aca="1" ref="AZ68" ca="1">IF(TblConstr[[#This Row],[Hour]:[Hour]]&gt;12,OFFSET(TblConstr[[#This Row],[Alc]],-12,0),0)+OFFSET(TblConstr[[#This Row],[Tot Alc]],-1,0)-TblConstr[[#This Row],[Dest Alc]]</f>
        <v>0</v>
      </c>
      <c r="BA68" s="189" cm="1">
        <f t="array" aca="1" ref="BA68" ca="1">IF(TblConstr[[#This Row],[Hour]:[Hour]]&gt;12,OFFSET(TblConstr[[#This Row],[Far]],-12,0),0)+OFFSET(TblConstr[[#This Row],[Tot Farm]],-1,0)-TblConstr[[#This Row],[Dest Farm]]</f>
        <v>30</v>
      </c>
      <c r="BB68" s="189" cm="1">
        <f t="array" aca="1" ref="BB68" ca="1">IF(TblConstr[[#This Row],[Hour]:[Hour]]&gt;12,OFFSET(TblConstr[[#This Row],[Smi]],-12,0),0)+OFFSET(TblConstr[[#This Row],[Tot Smi]],-1,0)-TblConstr[[#This Row],[Dest Smi]]</f>
        <v>0</v>
      </c>
      <c r="BC68" s="189" cm="1">
        <f t="array" aca="1" ref="BC68" ca="1">IF(TblConstr[[#This Row],[Hour]:[Hour]]&gt;12,OFFSET(TblConstr[[#This Row],[Mas]],-12,0),0)+OFFSET(TblConstr[[#This Row],[Tot Mas]],-1,0)-TblConstr[[#This Row],[Dest Mas]]</f>
        <v>0</v>
      </c>
      <c r="BD68" s="190" cm="1">
        <f t="array" aca="1" ref="BD68" ca="1">IF(TblConstr[[#This Row],[Hour]:[Hour]]&gt;12,OFFSET(TblConstr[[#This Row],[Ly]],-12,0),0)+OFFSET(TblConstr[[#This Row],[Tot Ly]],-1,0)-TblConstr[[#This Row],[Dest Ly]]</f>
        <v>20</v>
      </c>
      <c r="BE68" s="190" cm="1">
        <f t="array" aca="1" ref="BE68" ca="1">IF(TblConstr[[#This Row],[Hour]:[Hour]]&gt;12,OFFSET(TblConstr[[#This Row],[Hav]],-12,0),0)+OFFSET(TblConstr[[#This Row],[Tot Hav]],-1,0)-TblConstr[[#This Row],[Dest Hav]]</f>
        <v>0</v>
      </c>
      <c r="BF68" s="361" cm="1">
        <f t="array" aca="1" ref="BF68" ca="1">IF(TblConstr[[#This Row],[Hour]:[Hour]]&gt;12,OFFSET(TblConstr[[#This Row],[OM]],-12,0),0)+OFFSET(TblConstr[[#This Row],[Tot OM]],-1,0)-TblConstr[[#This Row],[Dest OM]]</f>
        <v>0</v>
      </c>
      <c r="BG68" s="361" cm="1">
        <f t="array" aca="1" ref="BG68" ca="1">IF(TblConstr[[#This Row],[Hour]:[Hour]]&gt;12,OFFSET(TblConstr[[#This Row],[GN]],-12,0),0)+OFFSET(TblConstr[[#This Row],[Tot GN]],-1,0)-TblConstr[[#This Row],[Dest GN]]</f>
        <v>0</v>
      </c>
      <c r="BH68" s="365" cm="1">
        <f t="array" aca="1" ref="BH68" ca="1">IF(TblConstr[[#This Row],[Hour]:[Hour]]&gt;12,OFFSET(TblConstr[[#This Row],[Fac]],-12,0),0)+OFFSET(TblConstr[[#This Row],[Tot Fac]],-1,0)-TblConstr[[#This Row],[Dest Fac]]</f>
        <v>0</v>
      </c>
      <c r="BI68" s="365" cm="1">
        <f t="array" aca="1" ref="BI68" ca="1">IF(TblConstr[[#This Row],[Hour]:[Hour]]&gt;12,OFFSET(TblConstr[[#This Row],[GT]],-12,0),0)+OFFSET(TblConstr[[#This Row],[Tot GT]],-1,0)-TblConstr[[#This Row],[Dest GT]]</f>
        <v>0</v>
      </c>
      <c r="BJ68" s="365" cm="1">
        <f t="array" aca="1" ref="BJ68" ca="1">IF(TblConstr[[#This Row],[Hour]:[Hour]]&gt;12,OFFSET(TblConstr[[#This Row],[Bar]],-12,0),0)+OFFSET(TblConstr[[#This Row],[Tot Bar]],-1,0)-TblConstr[[#This Row],[Dest Bar]]</f>
        <v>0</v>
      </c>
      <c r="BK68" s="365" cm="1">
        <f t="array" aca="1" ref="BK68" ca="1">IF(TblConstr[[#This Row],[Hour]:[Hour]]&gt;12,OFFSET(TblConstr[[#This Row],[Shr]],-12,0),0)+OFFSET(TblConstr[[#This Row],[Tot Shr]],-1,0)-TblConstr[[#This Row],[Dest Shr]]</f>
        <v>0</v>
      </c>
      <c r="BL68" s="369" cm="1">
        <f t="array" aca="1" ref="BL68" ca="1">IF(TblConstr[[#This Row],[Hour]:[Hour]]&gt;12,OFFSET(TblConstr[[#This Row],[Tow]],-12,0),0)+OFFSET(TblConstr[[#This Row],[Tot Tow]],-1,0)-TblConstr[[#This Row],[Dest Tow]]</f>
        <v>0</v>
      </c>
      <c r="BM68" s="369" cm="1">
        <f t="array" aca="1" ref="BM68" ca="1">IF(TblConstr[[#This Row],[Hour]:[Hour]]&gt;12,OFFSET(TblConstr[[#This Row],[Tem]],-12,0),0)+OFFSET(TblConstr[[#This Row],[Tot Tem]],-1,0)-TblConstr[[#This Row],[Dest Tem]]</f>
        <v>0</v>
      </c>
      <c r="BN68" s="369" cm="1">
        <f t="array" aca="1" ref="BN68" ca="1">IF(TblConstr[[#This Row],[Hour]:[Hour]]&gt;12,OFFSET(TblConstr[[#This Row],[WG]],-12,0),0)+OFFSET(TblConstr[[#This Row],[Tot WG]],-1,0)-TblConstr[[#This Row],[Dest WG]]</f>
        <v>0</v>
      </c>
      <c r="BO68" s="191" cm="1">
        <f t="array" aca="1" ref="BO68" ca="1">IF(TblConstr[[#This Row],[Hour]:[Hour]]&gt;12,OFFSET(TblConstr[[#This Row],[DM]],-12,0),0)+OFFSET(TblConstr[[#This Row],[Tot DM]],-1,0)-TblConstr[[#This Row],[Dest DM]]</f>
        <v>0</v>
      </c>
      <c r="BP68" s="191" cm="1">
        <f t="array" aca="1" ref="BP68" ca="1">IF(TblConstr[[#This Row],[Hour]:[Hour]]&gt;12,OFFSET(TblConstr[[#This Row],[Sch]],-12,0),0)+OFFSET(TblConstr[[#This Row],[Tot Sch]],-1,0)-TblConstr[[#This Row],[Dest Sch]]</f>
        <v>0</v>
      </c>
      <c r="BQ68" s="192" cm="1">
        <f t="array" aca="1" ref="BQ68" ca="1">IF(TblConstr[[#This Row],[Hour]:[Hour]]&gt;12,OFFSET(TblConstr[[#This Row],[Doc]],-12,0),0)+OFFSET(TblConstr[[#This Row],[Tot Doc]],-1,0)-TblConstr[[#This Row],[Dest Doc]]</f>
        <v>0</v>
      </c>
      <c r="BR68" s="142"/>
      <c r="BS68" s="154"/>
      <c r="BT68" s="94">
        <f ca="1">TblConstr[[#This Row],[Land]]</f>
        <v>50</v>
      </c>
      <c r="BU68" s="159">
        <f ca="1">TblImps[[#This Row],[Time]]</f>
        <v>46322.666666666511</v>
      </c>
      <c r="BV68" s="142"/>
      <c r="BW68" s="179"/>
      <c r="BX68" s="179"/>
      <c r="BY68" s="179"/>
      <c r="BZ68" s="179"/>
      <c r="CA68" s="179"/>
      <c r="CB68" s="179"/>
      <c r="CC68" s="179"/>
      <c r="CD68" s="179"/>
      <c r="CE68" s="179"/>
      <c r="CF68" s="179"/>
      <c r="CG68" s="179"/>
      <c r="CH68" s="179"/>
      <c r="CI68" s="179"/>
      <c r="CJ68" s="179"/>
      <c r="CK68" s="179"/>
      <c r="CL68" s="179"/>
      <c r="CM68" s="179"/>
      <c r="CN68" s="179"/>
      <c r="CO68" s="179"/>
      <c r="CP68" s="142"/>
      <c r="CQ68" s="181">
        <f ca="1">-SUM(TblConstr[[#This Row],[Alc]:[Mas]])+SUM(TblConstr[[#This Row],[Dest Alc]:[Dest Mas]])+Rezone!L68+IF("Ch_"&amp; home_land=TblConstr[[#Headers],[Ch_Plain]],TblConstr[[#This Row],[Home Land]])+IF(TblConstr[[#This Row],[Hour]:[Hour]]&gt;12,OFFSET(TblExplore[[#This Row],[Plains Explore]],-12,0),0)</f>
        <v>0</v>
      </c>
      <c r="CR68" s="182">
        <f ca="1">-SUM(TblConstr[[#This Row],[Ly]:[Hav]])+SUM(TblConstr[[#This Row],[Dest Ly]:[Dest Hav]]) +Rezone!M68 + IF("Ch_"&amp; home_land=TblConstr[[#Headers],[Ch_Forest]],TblConstr[[#This Row],[Home Land]])+IF(TblConstr[[#This Row],[Hour]:[Hour]]&gt;12,OFFSET(TblExplore[[#This Row],[Forest Explore]],-12,0),0)</f>
        <v>0</v>
      </c>
      <c r="CS68" s="359">
        <f ca="1">-SUM(TblConstr[[#This Row],[OM]:[GN]])+SUM(TblConstr[[#This Row],[Dest OM]:[Dest GN]]) +Rezone!N68 + IF("Ch_"&amp; home_land=TblConstr[[#Headers],[Ch_Mountain]],TblConstr[[#This Row],[Home Land]])+IF(TblConstr[[#This Row],[Hour]:[Hour]]&gt;12,OFFSET(TblExplore[[#This Row],[Mountain Explore]],-12,0),0)</f>
        <v>0</v>
      </c>
      <c r="CT68" s="183">
        <f ca="1">-SUM(TblConstr[[#This Row],[Fac]:[Shr]])+SUM(TblConstr[[#This Row],[Dest Fac]:[Dest Shr]]) +Rezone!O68 + IF("Ch_" &amp; home_land=TblConstr[[#Headers],[Ch_Hill]],TblConstr[[#This Row],[Home Land]])+IF(TblConstr[[#This Row],[Hour]:[Hour]]&gt;12,OFFSET(TblExplore[[#This Row],[Hill Explore]],-12,0),0)</f>
        <v>0</v>
      </c>
      <c r="CU68" s="184">
        <f ca="1">-SUM(TblConstr[[#This Row],[Tow]:[WG]])+SUM(TblConstr[[#This Row],[Dest Tow]:[Dest WG]]) +Rezone!P68 + IF("Ch_" &amp; home_land=TblConstr[[#Headers],[Ch_Swamp]],TblConstr[[#This Row],[Home Land]])+IF(TblConstr[[#This Row],[Hour]:[Hour]]&gt;12,OFFSET(TblExplore[[#This Row],[Swamp Explore]],-12,0),0)</f>
        <v>0</v>
      </c>
      <c r="CV68" s="185">
        <f ca="1" xml:space="preserve"> - SUM(TblConstr[[#This Row],[DM]:[Sch]])+SUM(TblConstr[[#This Row],[Dest DM]:[Dest Sch]]) +Rezone!Q68 + IF("Ch_" &amp; home_land=TblConstr[[#Headers],[Ch_Cavern]],TblConstr[[#This Row],[Home Land]])+IF(TblConstr[[#This Row],[Hour]:[Hour]]&gt;12,OFFSET(TblExplore[[#This Row],[Cavern Explore]],-12,0),0)</f>
        <v>0</v>
      </c>
      <c r="CW68" s="186">
        <f ca="1">-TblConstr[[#This Row],[Doc]]+TblConstr[[#This Row],[Dest Doc]] +Rezone!R68 + IF("Ch_" &amp; home_land=TblConstr[[#Headers],[Ch_Water]],TblConstr[[#This Row],[Home Land]])+IF(TblConstr[[#This Row],[Hour]:[Hour]]&gt;12,OFFSET(TblExplore[[#This Row],[Water Explore]],-12,0),0)</f>
        <v>0</v>
      </c>
      <c r="CX68" s="45">
        <f>IF(Explore!S68=1,20) - TblConstr[[#This Row],[Hom]] + TblConstr[[#This Row],[Dest Hom]]</f>
        <v>0</v>
      </c>
      <c r="CY68" s="142"/>
      <c r="CZ68" s="94">
        <f t="shared" ca="1" si="12"/>
        <v>30</v>
      </c>
      <c r="DA68" s="94">
        <f t="shared" ca="1" si="13"/>
        <v>20</v>
      </c>
      <c r="DB68" s="45">
        <f t="shared" ca="1" si="14"/>
        <v>0</v>
      </c>
      <c r="DC68" s="94">
        <f t="shared" ca="1" si="15"/>
        <v>0</v>
      </c>
      <c r="DD68" s="94">
        <f t="shared" ca="1" si="16"/>
        <v>0</v>
      </c>
      <c r="DE68" s="45">
        <f t="shared" ca="1" si="17"/>
        <v>0</v>
      </c>
      <c r="DF68" s="94">
        <f t="shared" ca="1" si="18"/>
        <v>0</v>
      </c>
      <c r="DG68" s="94" cm="1">
        <f t="array" aca="1" ref="DG68" ca="1">INDEX(TblConstr[[Total Plain]:[Total Water]],ROW()-ROW(TblConstr[#Headers]),MATCH("Total "&amp;home_land,TblConstr[[#Headers],[Total Plain]:[Total Water]],0))+TblConstr[[#This Row],[Homes]]</f>
        <v>30</v>
      </c>
      <c r="DH68" s="45">
        <f t="shared" ca="1" si="10"/>
        <v>0</v>
      </c>
      <c r="DI68" s="45">
        <f t="shared" ca="1" si="0"/>
        <v>0</v>
      </c>
      <c r="DJ68" s="45">
        <f t="shared" ca="1" si="1"/>
        <v>0</v>
      </c>
    </row>
    <row r="69" spans="1:114" x14ac:dyDescent="0.2">
      <c r="A69" s="175">
        <f>TblRezone[[#This Row],[Hour]]</f>
        <v>66</v>
      </c>
      <c r="B69" s="176">
        <f ca="1">SUM(TblConstr[[#This Row],[Plain]:[Water]])</f>
        <v>0</v>
      </c>
      <c r="C69" s="177">
        <f ca="1">SUM(TblConstr[[#This Row],[Tot Hom]:[Tot Doc]])</f>
        <v>50</v>
      </c>
      <c r="D69" s="177">
        <f t="shared" si="11"/>
        <v>0</v>
      </c>
      <c r="E69" s="178"/>
      <c r="F69" s="61">
        <f ca="1">TblConstr[[#This Row],[Barren]]+TblConstr[[#This Row],[Buildings]]+TblConstr[[#This Row],[Incoming]]</f>
        <v>50</v>
      </c>
      <c r="G69" s="187">
        <f ca="1">OFFSET(TblConstr[[#This Row],[Plain]],-1,0)+TblConstr[[#This Row],[Ch_Plain]]</f>
        <v>0</v>
      </c>
      <c r="H69" s="182">
        <f ca="1">OFFSET(TblConstr[[#This Row],[Forest]],-1,0)+TblConstr[[#This Row],[Ch_Forest]]</f>
        <v>0</v>
      </c>
      <c r="I69" s="359">
        <f ca="1">OFFSET(TblConstr[[#This Row],[Mountain]],-1,0)+TblConstr[[#This Row],[Ch_Mountain]]</f>
        <v>0</v>
      </c>
      <c r="J69" s="363">
        <f ca="1">OFFSET(TblConstr[[#This Row],[Hill]],-1,0)+TblConstr[[#This Row],[Ch_Hill]]</f>
        <v>0</v>
      </c>
      <c r="K69" s="367">
        <f ca="1">OFFSET(TblConstr[[#This Row],[Swamp]],-1,0)+TblConstr[[#This Row],[Ch_Swamp]]</f>
        <v>0</v>
      </c>
      <c r="L69" s="185">
        <f ca="1">OFFSET(TblConstr[[#This Row],[Cavern]],-1,0)+TblConstr[[#This Row],[Ch_Cavern]]</f>
        <v>0</v>
      </c>
      <c r="M69" s="186">
        <f ca="1">OFFSET(TblConstr[[#This Row],[Water]],-1,0)+TblConstr[[#This Row],[Ch_Water]]</f>
        <v>0</v>
      </c>
      <c r="N69" s="357">
        <f>TblRezone[[#This Row],[Hour]]</f>
        <v>66</v>
      </c>
      <c r="O69" s="179"/>
      <c r="P69" s="179"/>
      <c r="Q69" s="179"/>
      <c r="R69" s="179"/>
      <c r="S69" s="179"/>
      <c r="T69" s="179"/>
      <c r="U69" s="179"/>
      <c r="V69" s="179"/>
      <c r="W69" s="179"/>
      <c r="X69" s="179"/>
      <c r="Y69" s="179"/>
      <c r="Z69" s="179"/>
      <c r="AA69" s="179"/>
      <c r="AB69" s="179"/>
      <c r="AC69" s="179"/>
      <c r="AD69" s="179"/>
      <c r="AE69" s="179"/>
      <c r="AF69" s="179"/>
      <c r="AG69" s="179"/>
      <c r="AH69" s="53">
        <f ca="1">TblImps[[#This Row],[Time]]</f>
        <v>46322.708333333176</v>
      </c>
      <c r="AI69" s="180">
        <f ca="1">MIN(25%,(TblConstr[[#This Row],[Tot Fac]]+TblConstr[[#This Row],[Dest Fac]])/(TblConstr[[#This Row],[Land]]-TblExplore[[#This Row],[Land Bonus]]*20))</f>
        <v>0</v>
      </c>
      <c r="AJ69" s="180">
        <f ca="1">MIN(25%,(TblConstr[[#This Row],[Tot Fac]]+TblConstr[[#This Row],[Dest Fac]])/TblConstr[[#This Row],[Land]])</f>
        <v>0</v>
      </c>
      <c r="AK69" s="94">
        <f ca="1">TblProd[[#This Row],[Platinum]]</f>
        <v>180844</v>
      </c>
      <c r="AL69" s="94">
        <f ca="1">TblProd[[#This Row],[Lumber]]</f>
        <v>55769</v>
      </c>
      <c r="AM6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9" s="94">
        <f ca="1">ROUNDDOWN( MAX(1 - MIN(facs_constr_factor*TblConstr[[#This Row],[Facs -DB]],facs_constr_max) + tech_1_11*TblTech[[#This Row],[11-1]] + tech_6_3_2*TblTech[[#This Row],[6-3]] + tech_5_2_3*TblTech[[#This Row],[5-2]], 1-global_constr_cap) * TblConstr[[#This Row],[RCPA Lumber]],0)</f>
        <v>31</v>
      </c>
      <c r="AO6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9" s="94">
        <f ca="1">ROUNDDOWN( MAX(1 - MIN(facs_constr_factor*TblConstr[[#This Row],[Facs DB]],facs_constr_max) + tech_1_11*TblTech[[#This Row],[1-11]] + tech_6_3_2*TblTech[[#This Row],[6-3]] + tech_5_2_3*TblTech[[#This Row],[5-2]], 1-global_constr_cap) * ROUND((TblConstr[[#This Row],[Land]]-250)*0.285 + 87.5 + 0/4.25,0),0)</f>
        <v>31</v>
      </c>
      <c r="AQ69" s="45">
        <f ca="1">TblConstr[[#This Row],[build -db]]*TblConstr[[#This Row],[CPA Platinum -DB]] + TblConstr[[#This Row],[build db]]*TblConstr[[#This Row],[CPA Platinum DB]]</f>
        <v>0</v>
      </c>
      <c r="AR69" s="45">
        <f ca="1">TblConstr[[#This Row],[build -db]]*TblConstr[[#This Row],[CPA Lumber -DB]] + TblConstr[[#This Row],[build db]]*TblConstr[[#This Row],[CPA Lumber DB]]</f>
        <v>0</v>
      </c>
      <c r="AS69" s="94">
        <f ca="1">MIN(SUM(OFFSET(TblConstr[[#This Row],[Plain]:[Water]],-1,0))+SUM(TblConstr[[#This Row],[Dest Hom]:[Dest Doc]])+IF(TblConstr[[#This Row],[Hour]]&gt;12,SUM(OFFSET(TblExplore[[#This Row],[Plains Explore]:[Water Explore]],-12,0)),0),SUM(TblConstr[[#This Row],[Hom]:[Doc]]))</f>
        <v>0</v>
      </c>
      <c r="AT6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42"/>
      <c r="AV69" s="94">
        <f ca="1">ROUND((TblConstr[[#This Row],[Land]]-250 - IF(TblExplore[[#This Row],[Land Bonus]]&lt;&gt;0,20,0))*1.25 + 850 + 0,0)</f>
        <v>600</v>
      </c>
      <c r="AW69" s="94">
        <f ca="1">ROUND((TblConstr[[#This Row],[Land]]-250 - IF(TblExplore[[#This Row],[Land Bonus]]&lt;&gt;0,20,0))*0.285 + 87.5 + 0/4.25,0)</f>
        <v>31</v>
      </c>
      <c r="AX69" s="154"/>
      <c r="AY69" s="188" cm="1">
        <f t="array" aca="1" ref="AY69" ca="1">IF(TblConstr[[#This Row],[Hour]:[Hour]]&gt;12,OFFSET(TblConstr[[#This Row],[Hom]],-12,0),0)+OFFSET(TblConstr[[#This Row],[Tot Hom]],-1,0)-TblConstr[[#This Row],[Dest Hom]]</f>
        <v>0</v>
      </c>
      <c r="AZ69" s="189" cm="1">
        <f t="array" aca="1" ref="AZ69" ca="1">IF(TblConstr[[#This Row],[Hour]:[Hour]]&gt;12,OFFSET(TblConstr[[#This Row],[Alc]],-12,0),0)+OFFSET(TblConstr[[#This Row],[Tot Alc]],-1,0)-TblConstr[[#This Row],[Dest Alc]]</f>
        <v>0</v>
      </c>
      <c r="BA69" s="189" cm="1">
        <f t="array" aca="1" ref="BA69" ca="1">IF(TblConstr[[#This Row],[Hour]:[Hour]]&gt;12,OFFSET(TblConstr[[#This Row],[Far]],-12,0),0)+OFFSET(TblConstr[[#This Row],[Tot Farm]],-1,0)-TblConstr[[#This Row],[Dest Farm]]</f>
        <v>30</v>
      </c>
      <c r="BB69" s="189" cm="1">
        <f t="array" aca="1" ref="BB69" ca="1">IF(TblConstr[[#This Row],[Hour]:[Hour]]&gt;12,OFFSET(TblConstr[[#This Row],[Smi]],-12,0),0)+OFFSET(TblConstr[[#This Row],[Tot Smi]],-1,0)-TblConstr[[#This Row],[Dest Smi]]</f>
        <v>0</v>
      </c>
      <c r="BC69" s="189" cm="1">
        <f t="array" aca="1" ref="BC69" ca="1">IF(TblConstr[[#This Row],[Hour]:[Hour]]&gt;12,OFFSET(TblConstr[[#This Row],[Mas]],-12,0),0)+OFFSET(TblConstr[[#This Row],[Tot Mas]],-1,0)-TblConstr[[#This Row],[Dest Mas]]</f>
        <v>0</v>
      </c>
      <c r="BD69" s="190" cm="1">
        <f t="array" aca="1" ref="BD69" ca="1">IF(TblConstr[[#This Row],[Hour]:[Hour]]&gt;12,OFFSET(TblConstr[[#This Row],[Ly]],-12,0),0)+OFFSET(TblConstr[[#This Row],[Tot Ly]],-1,0)-TblConstr[[#This Row],[Dest Ly]]</f>
        <v>20</v>
      </c>
      <c r="BE69" s="190" cm="1">
        <f t="array" aca="1" ref="BE69" ca="1">IF(TblConstr[[#This Row],[Hour]:[Hour]]&gt;12,OFFSET(TblConstr[[#This Row],[Hav]],-12,0),0)+OFFSET(TblConstr[[#This Row],[Tot Hav]],-1,0)-TblConstr[[#This Row],[Dest Hav]]</f>
        <v>0</v>
      </c>
      <c r="BF69" s="361" cm="1">
        <f t="array" aca="1" ref="BF69" ca="1">IF(TblConstr[[#This Row],[Hour]:[Hour]]&gt;12,OFFSET(TblConstr[[#This Row],[OM]],-12,0),0)+OFFSET(TblConstr[[#This Row],[Tot OM]],-1,0)-TblConstr[[#This Row],[Dest OM]]</f>
        <v>0</v>
      </c>
      <c r="BG69" s="361" cm="1">
        <f t="array" aca="1" ref="BG69" ca="1">IF(TblConstr[[#This Row],[Hour]:[Hour]]&gt;12,OFFSET(TblConstr[[#This Row],[GN]],-12,0),0)+OFFSET(TblConstr[[#This Row],[Tot GN]],-1,0)-TblConstr[[#This Row],[Dest GN]]</f>
        <v>0</v>
      </c>
      <c r="BH69" s="365" cm="1">
        <f t="array" aca="1" ref="BH69" ca="1">IF(TblConstr[[#This Row],[Hour]:[Hour]]&gt;12,OFFSET(TblConstr[[#This Row],[Fac]],-12,0),0)+OFFSET(TblConstr[[#This Row],[Tot Fac]],-1,0)-TblConstr[[#This Row],[Dest Fac]]</f>
        <v>0</v>
      </c>
      <c r="BI69" s="365" cm="1">
        <f t="array" aca="1" ref="BI69" ca="1">IF(TblConstr[[#This Row],[Hour]:[Hour]]&gt;12,OFFSET(TblConstr[[#This Row],[GT]],-12,0),0)+OFFSET(TblConstr[[#This Row],[Tot GT]],-1,0)-TblConstr[[#This Row],[Dest GT]]</f>
        <v>0</v>
      </c>
      <c r="BJ69" s="365" cm="1">
        <f t="array" aca="1" ref="BJ69" ca="1">IF(TblConstr[[#This Row],[Hour]:[Hour]]&gt;12,OFFSET(TblConstr[[#This Row],[Bar]],-12,0),0)+OFFSET(TblConstr[[#This Row],[Tot Bar]],-1,0)-TblConstr[[#This Row],[Dest Bar]]</f>
        <v>0</v>
      </c>
      <c r="BK69" s="365" cm="1">
        <f t="array" aca="1" ref="BK69" ca="1">IF(TblConstr[[#This Row],[Hour]:[Hour]]&gt;12,OFFSET(TblConstr[[#This Row],[Shr]],-12,0),0)+OFFSET(TblConstr[[#This Row],[Tot Shr]],-1,0)-TblConstr[[#This Row],[Dest Shr]]</f>
        <v>0</v>
      </c>
      <c r="BL69" s="369" cm="1">
        <f t="array" aca="1" ref="BL69" ca="1">IF(TblConstr[[#This Row],[Hour]:[Hour]]&gt;12,OFFSET(TblConstr[[#This Row],[Tow]],-12,0),0)+OFFSET(TblConstr[[#This Row],[Tot Tow]],-1,0)-TblConstr[[#This Row],[Dest Tow]]</f>
        <v>0</v>
      </c>
      <c r="BM69" s="369" cm="1">
        <f t="array" aca="1" ref="BM69" ca="1">IF(TblConstr[[#This Row],[Hour]:[Hour]]&gt;12,OFFSET(TblConstr[[#This Row],[Tem]],-12,0),0)+OFFSET(TblConstr[[#This Row],[Tot Tem]],-1,0)-TblConstr[[#This Row],[Dest Tem]]</f>
        <v>0</v>
      </c>
      <c r="BN69" s="369" cm="1">
        <f t="array" aca="1" ref="BN69" ca="1">IF(TblConstr[[#This Row],[Hour]:[Hour]]&gt;12,OFFSET(TblConstr[[#This Row],[WG]],-12,0),0)+OFFSET(TblConstr[[#This Row],[Tot WG]],-1,0)-TblConstr[[#This Row],[Dest WG]]</f>
        <v>0</v>
      </c>
      <c r="BO69" s="191" cm="1">
        <f t="array" aca="1" ref="BO69" ca="1">IF(TblConstr[[#This Row],[Hour]:[Hour]]&gt;12,OFFSET(TblConstr[[#This Row],[DM]],-12,0),0)+OFFSET(TblConstr[[#This Row],[Tot DM]],-1,0)-TblConstr[[#This Row],[Dest DM]]</f>
        <v>0</v>
      </c>
      <c r="BP69" s="191" cm="1">
        <f t="array" aca="1" ref="BP69" ca="1">IF(TblConstr[[#This Row],[Hour]:[Hour]]&gt;12,OFFSET(TblConstr[[#This Row],[Sch]],-12,0),0)+OFFSET(TblConstr[[#This Row],[Tot Sch]],-1,0)-TblConstr[[#This Row],[Dest Sch]]</f>
        <v>0</v>
      </c>
      <c r="BQ69" s="192" cm="1">
        <f t="array" aca="1" ref="BQ69" ca="1">IF(TblConstr[[#This Row],[Hour]:[Hour]]&gt;12,OFFSET(TblConstr[[#This Row],[Doc]],-12,0),0)+OFFSET(TblConstr[[#This Row],[Tot Doc]],-1,0)-TblConstr[[#This Row],[Dest Doc]]</f>
        <v>0</v>
      </c>
      <c r="BR69" s="142"/>
      <c r="BS69" s="154"/>
      <c r="BT69" s="94">
        <f ca="1">TblConstr[[#This Row],[Land]]</f>
        <v>50</v>
      </c>
      <c r="BU69" s="159">
        <f ca="1">TblImps[[#This Row],[Time]]</f>
        <v>46322.708333333176</v>
      </c>
      <c r="BV69" s="142"/>
      <c r="BW69" s="179"/>
      <c r="BX69" s="179"/>
      <c r="BY69" s="179"/>
      <c r="BZ69" s="179"/>
      <c r="CA69" s="179"/>
      <c r="CB69" s="179"/>
      <c r="CC69" s="179"/>
      <c r="CD69" s="179"/>
      <c r="CE69" s="179"/>
      <c r="CF69" s="179"/>
      <c r="CG69" s="179"/>
      <c r="CH69" s="179"/>
      <c r="CI69" s="179"/>
      <c r="CJ69" s="179"/>
      <c r="CK69" s="179"/>
      <c r="CL69" s="179"/>
      <c r="CM69" s="179"/>
      <c r="CN69" s="179"/>
      <c r="CO69" s="179"/>
      <c r="CP69" s="142"/>
      <c r="CQ69" s="181">
        <f ca="1">-SUM(TblConstr[[#This Row],[Alc]:[Mas]])+SUM(TblConstr[[#This Row],[Dest Alc]:[Dest Mas]])+Rezone!L69+IF("Ch_"&amp; home_land=TblConstr[[#Headers],[Ch_Plain]],TblConstr[[#This Row],[Home Land]])+IF(TblConstr[[#This Row],[Hour]:[Hour]]&gt;12,OFFSET(TblExplore[[#This Row],[Plains Explore]],-12,0),0)</f>
        <v>0</v>
      </c>
      <c r="CR69" s="182">
        <f ca="1">-SUM(TblConstr[[#This Row],[Ly]:[Hav]])+SUM(TblConstr[[#This Row],[Dest Ly]:[Dest Hav]]) +Rezone!M69 + IF("Ch_"&amp; home_land=TblConstr[[#Headers],[Ch_Forest]],TblConstr[[#This Row],[Home Land]])+IF(TblConstr[[#This Row],[Hour]:[Hour]]&gt;12,OFFSET(TblExplore[[#This Row],[Forest Explore]],-12,0),0)</f>
        <v>0</v>
      </c>
      <c r="CS69" s="359">
        <f ca="1">-SUM(TblConstr[[#This Row],[OM]:[GN]])+SUM(TblConstr[[#This Row],[Dest OM]:[Dest GN]]) +Rezone!N69 + IF("Ch_"&amp; home_land=TblConstr[[#Headers],[Ch_Mountain]],TblConstr[[#This Row],[Home Land]])+IF(TblConstr[[#This Row],[Hour]:[Hour]]&gt;12,OFFSET(TblExplore[[#This Row],[Mountain Explore]],-12,0),0)</f>
        <v>0</v>
      </c>
      <c r="CT69" s="183">
        <f ca="1">-SUM(TblConstr[[#This Row],[Fac]:[Shr]])+SUM(TblConstr[[#This Row],[Dest Fac]:[Dest Shr]]) +Rezone!O69 + IF("Ch_" &amp; home_land=TblConstr[[#Headers],[Ch_Hill]],TblConstr[[#This Row],[Home Land]])+IF(TblConstr[[#This Row],[Hour]:[Hour]]&gt;12,OFFSET(TblExplore[[#This Row],[Hill Explore]],-12,0),0)</f>
        <v>0</v>
      </c>
      <c r="CU69" s="184">
        <f ca="1">-SUM(TblConstr[[#This Row],[Tow]:[WG]])+SUM(TblConstr[[#This Row],[Dest Tow]:[Dest WG]]) +Rezone!P69 + IF("Ch_" &amp; home_land=TblConstr[[#Headers],[Ch_Swamp]],TblConstr[[#This Row],[Home Land]])+IF(TblConstr[[#This Row],[Hour]:[Hour]]&gt;12,OFFSET(TblExplore[[#This Row],[Swamp Explore]],-12,0),0)</f>
        <v>0</v>
      </c>
      <c r="CV69" s="185">
        <f ca="1" xml:space="preserve"> - SUM(TblConstr[[#This Row],[DM]:[Sch]])+SUM(TblConstr[[#This Row],[Dest DM]:[Dest Sch]]) +Rezone!Q69 + IF("Ch_" &amp; home_land=TblConstr[[#Headers],[Ch_Cavern]],TblConstr[[#This Row],[Home Land]])+IF(TblConstr[[#This Row],[Hour]:[Hour]]&gt;12,OFFSET(TblExplore[[#This Row],[Cavern Explore]],-12,0),0)</f>
        <v>0</v>
      </c>
      <c r="CW69" s="186">
        <f ca="1">-TblConstr[[#This Row],[Doc]]+TblConstr[[#This Row],[Dest Doc]] +Rezone!R69 + IF("Ch_" &amp; home_land=TblConstr[[#Headers],[Ch_Water]],TblConstr[[#This Row],[Home Land]])+IF(TblConstr[[#This Row],[Hour]:[Hour]]&gt;12,OFFSET(TblExplore[[#This Row],[Water Explore]],-12,0),0)</f>
        <v>0</v>
      </c>
      <c r="CX69" s="45">
        <f>IF(Explore!S69=1,20) - TblConstr[[#This Row],[Hom]] + TblConstr[[#This Row],[Dest Hom]]</f>
        <v>0</v>
      </c>
      <c r="CY69" s="142"/>
      <c r="CZ69" s="94">
        <f t="shared" ca="1" si="12"/>
        <v>30</v>
      </c>
      <c r="DA69" s="94">
        <f t="shared" ca="1" si="13"/>
        <v>20</v>
      </c>
      <c r="DB69" s="45">
        <f t="shared" ca="1" si="14"/>
        <v>0</v>
      </c>
      <c r="DC69" s="94">
        <f t="shared" ca="1" si="15"/>
        <v>0</v>
      </c>
      <c r="DD69" s="94">
        <f t="shared" ca="1" si="16"/>
        <v>0</v>
      </c>
      <c r="DE69" s="45">
        <f t="shared" ca="1" si="17"/>
        <v>0</v>
      </c>
      <c r="DF69" s="94">
        <f t="shared" ca="1" si="18"/>
        <v>0</v>
      </c>
      <c r="DG69" s="94" cm="1">
        <f t="array" aca="1" ref="DG69" ca="1">INDEX(TblConstr[[Total Plain]:[Total Water]],ROW()-ROW(TblConstr[#Headers]),MATCH("Total "&amp;home_land,TblConstr[[#Headers],[Total Plain]:[Total Water]],0))+TblConstr[[#This Row],[Homes]]</f>
        <v>30</v>
      </c>
      <c r="DH69" s="45">
        <f t="shared" ca="1" si="10"/>
        <v>0</v>
      </c>
      <c r="DI69" s="45">
        <f t="shared" ca="1" si="0"/>
        <v>0</v>
      </c>
      <c r="DJ69" s="45">
        <f t="shared" ca="1" si="1"/>
        <v>0</v>
      </c>
    </row>
    <row r="70" spans="1:114" x14ac:dyDescent="0.2">
      <c r="A70" s="175">
        <f>TblRezone[[#This Row],[Hour]]</f>
        <v>67</v>
      </c>
      <c r="B70" s="176">
        <f ca="1">SUM(TblConstr[[#This Row],[Plain]:[Water]])</f>
        <v>0</v>
      </c>
      <c r="C70" s="177">
        <f ca="1">SUM(TblConstr[[#This Row],[Tot Hom]:[Tot Doc]])</f>
        <v>50</v>
      </c>
      <c r="D70" s="177">
        <f t="shared" si="11"/>
        <v>0</v>
      </c>
      <c r="E70" s="178"/>
      <c r="F70" s="61">
        <f ca="1">TblConstr[[#This Row],[Barren]]+TblConstr[[#This Row],[Buildings]]+TblConstr[[#This Row],[Incoming]]</f>
        <v>50</v>
      </c>
      <c r="G70" s="187">
        <f ca="1">OFFSET(TblConstr[[#This Row],[Plain]],-1,0)+TblConstr[[#This Row],[Ch_Plain]]</f>
        <v>0</v>
      </c>
      <c r="H70" s="182">
        <f ca="1">OFFSET(TblConstr[[#This Row],[Forest]],-1,0)+TblConstr[[#This Row],[Ch_Forest]]</f>
        <v>0</v>
      </c>
      <c r="I70" s="359">
        <f ca="1">OFFSET(TblConstr[[#This Row],[Mountain]],-1,0)+TblConstr[[#This Row],[Ch_Mountain]]</f>
        <v>0</v>
      </c>
      <c r="J70" s="363">
        <f ca="1">OFFSET(TblConstr[[#This Row],[Hill]],-1,0)+TblConstr[[#This Row],[Ch_Hill]]</f>
        <v>0</v>
      </c>
      <c r="K70" s="367">
        <f ca="1">OFFSET(TblConstr[[#This Row],[Swamp]],-1,0)+TblConstr[[#This Row],[Ch_Swamp]]</f>
        <v>0</v>
      </c>
      <c r="L70" s="185">
        <f ca="1">OFFSET(TblConstr[[#This Row],[Cavern]],-1,0)+TblConstr[[#This Row],[Ch_Cavern]]</f>
        <v>0</v>
      </c>
      <c r="M70" s="186">
        <f ca="1">OFFSET(TblConstr[[#This Row],[Water]],-1,0)+TblConstr[[#This Row],[Ch_Water]]</f>
        <v>0</v>
      </c>
      <c r="N70" s="357">
        <f>TblRezone[[#This Row],[Hour]]</f>
        <v>67</v>
      </c>
      <c r="O70" s="179"/>
      <c r="P70" s="179"/>
      <c r="Q70" s="179"/>
      <c r="R70" s="179"/>
      <c r="S70" s="179"/>
      <c r="T70" s="179"/>
      <c r="U70" s="179"/>
      <c r="V70" s="179"/>
      <c r="W70" s="179"/>
      <c r="X70" s="179"/>
      <c r="Y70" s="179"/>
      <c r="Z70" s="179"/>
      <c r="AA70" s="179"/>
      <c r="AB70" s="179"/>
      <c r="AC70" s="179"/>
      <c r="AD70" s="179"/>
      <c r="AE70" s="179"/>
      <c r="AF70" s="179"/>
      <c r="AG70" s="179"/>
      <c r="AH70" s="53">
        <f ca="1">TblImps[[#This Row],[Time]]</f>
        <v>46322.74999999984</v>
      </c>
      <c r="AI70" s="180">
        <f ca="1">MIN(25%,(TblConstr[[#This Row],[Tot Fac]]+TblConstr[[#This Row],[Dest Fac]])/(TblConstr[[#This Row],[Land]]-TblExplore[[#This Row],[Land Bonus]]*20))</f>
        <v>0</v>
      </c>
      <c r="AJ70" s="180">
        <f ca="1">MIN(25%,(TblConstr[[#This Row],[Tot Fac]]+TblConstr[[#This Row],[Dest Fac]])/TblConstr[[#This Row],[Land]])</f>
        <v>0</v>
      </c>
      <c r="AK70" s="94">
        <f ca="1">TblProd[[#This Row],[Platinum]]</f>
        <v>181500</v>
      </c>
      <c r="AL70" s="94">
        <f ca="1">TblProd[[#This Row],[Lumber]]</f>
        <v>56211</v>
      </c>
      <c r="AM7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0" s="94">
        <f ca="1">ROUNDDOWN( MAX(1 - MIN(facs_constr_factor*TblConstr[[#This Row],[Facs -DB]],facs_constr_max) + tech_1_11*TblTech[[#This Row],[11-1]] + tech_6_3_2*TblTech[[#This Row],[6-3]] + tech_5_2_3*TblTech[[#This Row],[5-2]], 1-global_constr_cap) * TblConstr[[#This Row],[RCPA Lumber]],0)</f>
        <v>31</v>
      </c>
      <c r="AO7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0" s="94">
        <f ca="1">ROUNDDOWN( MAX(1 - MIN(facs_constr_factor*TblConstr[[#This Row],[Facs DB]],facs_constr_max) + tech_1_11*TblTech[[#This Row],[1-11]] + tech_6_3_2*TblTech[[#This Row],[6-3]] + tech_5_2_3*TblTech[[#This Row],[5-2]], 1-global_constr_cap) * ROUND((TblConstr[[#This Row],[Land]]-250)*0.285 + 87.5 + 0/4.25,0),0)</f>
        <v>31</v>
      </c>
      <c r="AQ70" s="45">
        <f ca="1">TblConstr[[#This Row],[build -db]]*TblConstr[[#This Row],[CPA Platinum -DB]] + TblConstr[[#This Row],[build db]]*TblConstr[[#This Row],[CPA Platinum DB]]</f>
        <v>0</v>
      </c>
      <c r="AR70" s="45">
        <f ca="1">TblConstr[[#This Row],[build -db]]*TblConstr[[#This Row],[CPA Lumber -DB]] + TblConstr[[#This Row],[build db]]*TblConstr[[#This Row],[CPA Lumber DB]]</f>
        <v>0</v>
      </c>
      <c r="AS70" s="94">
        <f ca="1">MIN(SUM(OFFSET(TblConstr[[#This Row],[Plain]:[Water]],-1,0))+SUM(TblConstr[[#This Row],[Dest Hom]:[Dest Doc]])+IF(TblConstr[[#This Row],[Hour]]&gt;12,SUM(OFFSET(TblExplore[[#This Row],[Plains Explore]:[Water Explore]],-12,0)),0),SUM(TblConstr[[#This Row],[Hom]:[Doc]]))</f>
        <v>0</v>
      </c>
      <c r="AT7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42"/>
      <c r="AV70" s="94">
        <f ca="1">ROUND((TblConstr[[#This Row],[Land]]-250 - IF(TblExplore[[#This Row],[Land Bonus]]&lt;&gt;0,20,0))*1.25 + 850 + 0,0)</f>
        <v>600</v>
      </c>
      <c r="AW70" s="94">
        <f ca="1">ROUND((TblConstr[[#This Row],[Land]]-250 - IF(TblExplore[[#This Row],[Land Bonus]]&lt;&gt;0,20,0))*0.285 + 87.5 + 0/4.25,0)</f>
        <v>31</v>
      </c>
      <c r="AX70" s="154"/>
      <c r="AY70" s="188" cm="1">
        <f t="array" aca="1" ref="AY70" ca="1">IF(TblConstr[[#This Row],[Hour]:[Hour]]&gt;12,OFFSET(TblConstr[[#This Row],[Hom]],-12,0),0)+OFFSET(TblConstr[[#This Row],[Tot Hom]],-1,0)-TblConstr[[#This Row],[Dest Hom]]</f>
        <v>0</v>
      </c>
      <c r="AZ70" s="189" cm="1">
        <f t="array" aca="1" ref="AZ70" ca="1">IF(TblConstr[[#This Row],[Hour]:[Hour]]&gt;12,OFFSET(TblConstr[[#This Row],[Alc]],-12,0),0)+OFFSET(TblConstr[[#This Row],[Tot Alc]],-1,0)-TblConstr[[#This Row],[Dest Alc]]</f>
        <v>0</v>
      </c>
      <c r="BA70" s="189" cm="1">
        <f t="array" aca="1" ref="BA70" ca="1">IF(TblConstr[[#This Row],[Hour]:[Hour]]&gt;12,OFFSET(TblConstr[[#This Row],[Far]],-12,0),0)+OFFSET(TblConstr[[#This Row],[Tot Farm]],-1,0)-TblConstr[[#This Row],[Dest Farm]]</f>
        <v>30</v>
      </c>
      <c r="BB70" s="189" cm="1">
        <f t="array" aca="1" ref="BB70" ca="1">IF(TblConstr[[#This Row],[Hour]:[Hour]]&gt;12,OFFSET(TblConstr[[#This Row],[Smi]],-12,0),0)+OFFSET(TblConstr[[#This Row],[Tot Smi]],-1,0)-TblConstr[[#This Row],[Dest Smi]]</f>
        <v>0</v>
      </c>
      <c r="BC70" s="189" cm="1">
        <f t="array" aca="1" ref="BC70" ca="1">IF(TblConstr[[#This Row],[Hour]:[Hour]]&gt;12,OFFSET(TblConstr[[#This Row],[Mas]],-12,0),0)+OFFSET(TblConstr[[#This Row],[Tot Mas]],-1,0)-TblConstr[[#This Row],[Dest Mas]]</f>
        <v>0</v>
      </c>
      <c r="BD70" s="190" cm="1">
        <f t="array" aca="1" ref="BD70" ca="1">IF(TblConstr[[#This Row],[Hour]:[Hour]]&gt;12,OFFSET(TblConstr[[#This Row],[Ly]],-12,0),0)+OFFSET(TblConstr[[#This Row],[Tot Ly]],-1,0)-TblConstr[[#This Row],[Dest Ly]]</f>
        <v>20</v>
      </c>
      <c r="BE70" s="190" cm="1">
        <f t="array" aca="1" ref="BE70" ca="1">IF(TblConstr[[#This Row],[Hour]:[Hour]]&gt;12,OFFSET(TblConstr[[#This Row],[Hav]],-12,0),0)+OFFSET(TblConstr[[#This Row],[Tot Hav]],-1,0)-TblConstr[[#This Row],[Dest Hav]]</f>
        <v>0</v>
      </c>
      <c r="BF70" s="361" cm="1">
        <f t="array" aca="1" ref="BF70" ca="1">IF(TblConstr[[#This Row],[Hour]:[Hour]]&gt;12,OFFSET(TblConstr[[#This Row],[OM]],-12,0),0)+OFFSET(TblConstr[[#This Row],[Tot OM]],-1,0)-TblConstr[[#This Row],[Dest OM]]</f>
        <v>0</v>
      </c>
      <c r="BG70" s="361" cm="1">
        <f t="array" aca="1" ref="BG70" ca="1">IF(TblConstr[[#This Row],[Hour]:[Hour]]&gt;12,OFFSET(TblConstr[[#This Row],[GN]],-12,0),0)+OFFSET(TblConstr[[#This Row],[Tot GN]],-1,0)-TblConstr[[#This Row],[Dest GN]]</f>
        <v>0</v>
      </c>
      <c r="BH70" s="365" cm="1">
        <f t="array" aca="1" ref="BH70" ca="1">IF(TblConstr[[#This Row],[Hour]:[Hour]]&gt;12,OFFSET(TblConstr[[#This Row],[Fac]],-12,0),0)+OFFSET(TblConstr[[#This Row],[Tot Fac]],-1,0)-TblConstr[[#This Row],[Dest Fac]]</f>
        <v>0</v>
      </c>
      <c r="BI70" s="365" cm="1">
        <f t="array" aca="1" ref="BI70" ca="1">IF(TblConstr[[#This Row],[Hour]:[Hour]]&gt;12,OFFSET(TblConstr[[#This Row],[GT]],-12,0),0)+OFFSET(TblConstr[[#This Row],[Tot GT]],-1,0)-TblConstr[[#This Row],[Dest GT]]</f>
        <v>0</v>
      </c>
      <c r="BJ70" s="365" cm="1">
        <f t="array" aca="1" ref="BJ70" ca="1">IF(TblConstr[[#This Row],[Hour]:[Hour]]&gt;12,OFFSET(TblConstr[[#This Row],[Bar]],-12,0),0)+OFFSET(TblConstr[[#This Row],[Tot Bar]],-1,0)-TblConstr[[#This Row],[Dest Bar]]</f>
        <v>0</v>
      </c>
      <c r="BK70" s="365" cm="1">
        <f t="array" aca="1" ref="BK70" ca="1">IF(TblConstr[[#This Row],[Hour]:[Hour]]&gt;12,OFFSET(TblConstr[[#This Row],[Shr]],-12,0),0)+OFFSET(TblConstr[[#This Row],[Tot Shr]],-1,0)-TblConstr[[#This Row],[Dest Shr]]</f>
        <v>0</v>
      </c>
      <c r="BL70" s="369" cm="1">
        <f t="array" aca="1" ref="BL70" ca="1">IF(TblConstr[[#This Row],[Hour]:[Hour]]&gt;12,OFFSET(TblConstr[[#This Row],[Tow]],-12,0),0)+OFFSET(TblConstr[[#This Row],[Tot Tow]],-1,0)-TblConstr[[#This Row],[Dest Tow]]</f>
        <v>0</v>
      </c>
      <c r="BM70" s="369" cm="1">
        <f t="array" aca="1" ref="BM70" ca="1">IF(TblConstr[[#This Row],[Hour]:[Hour]]&gt;12,OFFSET(TblConstr[[#This Row],[Tem]],-12,0),0)+OFFSET(TblConstr[[#This Row],[Tot Tem]],-1,0)-TblConstr[[#This Row],[Dest Tem]]</f>
        <v>0</v>
      </c>
      <c r="BN70" s="369" cm="1">
        <f t="array" aca="1" ref="BN70" ca="1">IF(TblConstr[[#This Row],[Hour]:[Hour]]&gt;12,OFFSET(TblConstr[[#This Row],[WG]],-12,0),0)+OFFSET(TblConstr[[#This Row],[Tot WG]],-1,0)-TblConstr[[#This Row],[Dest WG]]</f>
        <v>0</v>
      </c>
      <c r="BO70" s="191" cm="1">
        <f t="array" aca="1" ref="BO70" ca="1">IF(TblConstr[[#This Row],[Hour]:[Hour]]&gt;12,OFFSET(TblConstr[[#This Row],[DM]],-12,0),0)+OFFSET(TblConstr[[#This Row],[Tot DM]],-1,0)-TblConstr[[#This Row],[Dest DM]]</f>
        <v>0</v>
      </c>
      <c r="BP70" s="191" cm="1">
        <f t="array" aca="1" ref="BP70" ca="1">IF(TblConstr[[#This Row],[Hour]:[Hour]]&gt;12,OFFSET(TblConstr[[#This Row],[Sch]],-12,0),0)+OFFSET(TblConstr[[#This Row],[Tot Sch]],-1,0)-TblConstr[[#This Row],[Dest Sch]]</f>
        <v>0</v>
      </c>
      <c r="BQ70" s="192" cm="1">
        <f t="array" aca="1" ref="BQ70" ca="1">IF(TblConstr[[#This Row],[Hour]:[Hour]]&gt;12,OFFSET(TblConstr[[#This Row],[Doc]],-12,0),0)+OFFSET(TblConstr[[#This Row],[Tot Doc]],-1,0)-TblConstr[[#This Row],[Dest Doc]]</f>
        <v>0</v>
      </c>
      <c r="BR70" s="142"/>
      <c r="BS70" s="154"/>
      <c r="BT70" s="94">
        <f ca="1">TblConstr[[#This Row],[Land]]</f>
        <v>50</v>
      </c>
      <c r="BU70" s="159">
        <f ca="1">TblImps[[#This Row],[Time]]</f>
        <v>46322.74999999984</v>
      </c>
      <c r="BV70" s="142"/>
      <c r="BW70" s="179"/>
      <c r="BX70" s="179"/>
      <c r="BY70" s="179"/>
      <c r="BZ70" s="179"/>
      <c r="CA70" s="179"/>
      <c r="CB70" s="179"/>
      <c r="CC70" s="179"/>
      <c r="CD70" s="179"/>
      <c r="CE70" s="179"/>
      <c r="CF70" s="179"/>
      <c r="CG70" s="179"/>
      <c r="CH70" s="179"/>
      <c r="CI70" s="179"/>
      <c r="CJ70" s="179"/>
      <c r="CK70" s="179"/>
      <c r="CL70" s="179"/>
      <c r="CM70" s="179"/>
      <c r="CN70" s="179"/>
      <c r="CO70" s="179"/>
      <c r="CP70" s="142"/>
      <c r="CQ70" s="181">
        <f ca="1">-SUM(TblConstr[[#This Row],[Alc]:[Mas]])+SUM(TblConstr[[#This Row],[Dest Alc]:[Dest Mas]])+Rezone!L70+IF("Ch_"&amp; home_land=TblConstr[[#Headers],[Ch_Plain]],TblConstr[[#This Row],[Home Land]])+IF(TblConstr[[#This Row],[Hour]:[Hour]]&gt;12,OFFSET(TblExplore[[#This Row],[Plains Explore]],-12,0),0)</f>
        <v>0</v>
      </c>
      <c r="CR70" s="182">
        <f ca="1">-SUM(TblConstr[[#This Row],[Ly]:[Hav]])+SUM(TblConstr[[#This Row],[Dest Ly]:[Dest Hav]]) +Rezone!M70 + IF("Ch_"&amp; home_land=TblConstr[[#Headers],[Ch_Forest]],TblConstr[[#This Row],[Home Land]])+IF(TblConstr[[#This Row],[Hour]:[Hour]]&gt;12,OFFSET(TblExplore[[#This Row],[Forest Explore]],-12,0),0)</f>
        <v>0</v>
      </c>
      <c r="CS70" s="359">
        <f ca="1">-SUM(TblConstr[[#This Row],[OM]:[GN]])+SUM(TblConstr[[#This Row],[Dest OM]:[Dest GN]]) +Rezone!N70 + IF("Ch_"&amp; home_land=TblConstr[[#Headers],[Ch_Mountain]],TblConstr[[#This Row],[Home Land]])+IF(TblConstr[[#This Row],[Hour]:[Hour]]&gt;12,OFFSET(TblExplore[[#This Row],[Mountain Explore]],-12,0),0)</f>
        <v>0</v>
      </c>
      <c r="CT70" s="183">
        <f ca="1">-SUM(TblConstr[[#This Row],[Fac]:[Shr]])+SUM(TblConstr[[#This Row],[Dest Fac]:[Dest Shr]]) +Rezone!O70 + IF("Ch_" &amp; home_land=TblConstr[[#Headers],[Ch_Hill]],TblConstr[[#This Row],[Home Land]])+IF(TblConstr[[#This Row],[Hour]:[Hour]]&gt;12,OFFSET(TblExplore[[#This Row],[Hill Explore]],-12,0),0)</f>
        <v>0</v>
      </c>
      <c r="CU70" s="184">
        <f ca="1">-SUM(TblConstr[[#This Row],[Tow]:[WG]])+SUM(TblConstr[[#This Row],[Dest Tow]:[Dest WG]]) +Rezone!P70 + IF("Ch_" &amp; home_land=TblConstr[[#Headers],[Ch_Swamp]],TblConstr[[#This Row],[Home Land]])+IF(TblConstr[[#This Row],[Hour]:[Hour]]&gt;12,OFFSET(TblExplore[[#This Row],[Swamp Explore]],-12,0),0)</f>
        <v>0</v>
      </c>
      <c r="CV70" s="185">
        <f ca="1" xml:space="preserve"> - SUM(TblConstr[[#This Row],[DM]:[Sch]])+SUM(TblConstr[[#This Row],[Dest DM]:[Dest Sch]]) +Rezone!Q70 + IF("Ch_" &amp; home_land=TblConstr[[#Headers],[Ch_Cavern]],TblConstr[[#This Row],[Home Land]])+IF(TblConstr[[#This Row],[Hour]:[Hour]]&gt;12,OFFSET(TblExplore[[#This Row],[Cavern Explore]],-12,0),0)</f>
        <v>0</v>
      </c>
      <c r="CW70" s="186">
        <f ca="1">-TblConstr[[#This Row],[Doc]]+TblConstr[[#This Row],[Dest Doc]] +Rezone!R70 + IF("Ch_" &amp; home_land=TblConstr[[#Headers],[Ch_Water]],TblConstr[[#This Row],[Home Land]])+IF(TblConstr[[#This Row],[Hour]:[Hour]]&gt;12,OFFSET(TblExplore[[#This Row],[Water Explore]],-12,0),0)</f>
        <v>0</v>
      </c>
      <c r="CX70" s="45">
        <f>IF(Explore!S70=1,20) - TblConstr[[#This Row],[Hom]] + TblConstr[[#This Row],[Dest Hom]]</f>
        <v>0</v>
      </c>
      <c r="CY70" s="142"/>
      <c r="CZ70" s="94">
        <f t="shared" ca="1" si="12"/>
        <v>30</v>
      </c>
      <c r="DA70" s="94">
        <f t="shared" ca="1" si="13"/>
        <v>20</v>
      </c>
      <c r="DB70" s="45">
        <f t="shared" ca="1" si="14"/>
        <v>0</v>
      </c>
      <c r="DC70" s="94">
        <f t="shared" ca="1" si="15"/>
        <v>0</v>
      </c>
      <c r="DD70" s="94">
        <f t="shared" ca="1" si="16"/>
        <v>0</v>
      </c>
      <c r="DE70" s="45">
        <f t="shared" ca="1" si="17"/>
        <v>0</v>
      </c>
      <c r="DF70" s="94">
        <f t="shared" ca="1" si="18"/>
        <v>0</v>
      </c>
      <c r="DG70" s="94" cm="1">
        <f t="array" aca="1" ref="DG70" ca="1">INDEX(TblConstr[[Total Plain]:[Total Water]],ROW()-ROW(TblConstr[#Headers]),MATCH("Total "&amp;home_land,TblConstr[[#Headers],[Total Plain]:[Total Water]],0))+TblConstr[[#This Row],[Homes]]</f>
        <v>30</v>
      </c>
      <c r="DH70" s="45">
        <f t="shared" ca="1" si="10"/>
        <v>0</v>
      </c>
      <c r="DI70" s="45">
        <f t="shared" ref="DI70:DI133" ca="1" si="19">MAX(BA70-BA69,0)</f>
        <v>0</v>
      </c>
      <c r="DJ70" s="45">
        <f t="shared" ref="DJ70:DJ133" ca="1" si="20">MAX(BQ70-BQ69,0)</f>
        <v>0</v>
      </c>
    </row>
    <row r="71" spans="1:114" x14ac:dyDescent="0.2">
      <c r="A71" s="175">
        <f>TblRezone[[#This Row],[Hour]]</f>
        <v>68</v>
      </c>
      <c r="B71" s="176">
        <f ca="1">SUM(TblConstr[[#This Row],[Plain]:[Water]])</f>
        <v>0</v>
      </c>
      <c r="C71" s="177">
        <f ca="1">SUM(TblConstr[[#This Row],[Tot Hom]:[Tot Doc]])</f>
        <v>50</v>
      </c>
      <c r="D71" s="177">
        <f t="shared" si="11"/>
        <v>0</v>
      </c>
      <c r="E71" s="178"/>
      <c r="F71" s="61">
        <f ca="1">TblConstr[[#This Row],[Barren]]+TblConstr[[#This Row],[Buildings]]+TblConstr[[#This Row],[Incoming]]</f>
        <v>50</v>
      </c>
      <c r="G71" s="187">
        <f ca="1">OFFSET(TblConstr[[#This Row],[Plain]],-1,0)+TblConstr[[#This Row],[Ch_Plain]]</f>
        <v>0</v>
      </c>
      <c r="H71" s="182">
        <f ca="1">OFFSET(TblConstr[[#This Row],[Forest]],-1,0)+TblConstr[[#This Row],[Ch_Forest]]</f>
        <v>0</v>
      </c>
      <c r="I71" s="359">
        <f ca="1">OFFSET(TblConstr[[#This Row],[Mountain]],-1,0)+TblConstr[[#This Row],[Ch_Mountain]]</f>
        <v>0</v>
      </c>
      <c r="J71" s="363">
        <f ca="1">OFFSET(TblConstr[[#This Row],[Hill]],-1,0)+TblConstr[[#This Row],[Ch_Hill]]</f>
        <v>0</v>
      </c>
      <c r="K71" s="367">
        <f ca="1">OFFSET(TblConstr[[#This Row],[Swamp]],-1,0)+TblConstr[[#This Row],[Ch_Swamp]]</f>
        <v>0</v>
      </c>
      <c r="L71" s="185">
        <f ca="1">OFFSET(TblConstr[[#This Row],[Cavern]],-1,0)+TblConstr[[#This Row],[Ch_Cavern]]</f>
        <v>0</v>
      </c>
      <c r="M71" s="186">
        <f ca="1">OFFSET(TblConstr[[#This Row],[Water]],-1,0)+TblConstr[[#This Row],[Ch_Water]]</f>
        <v>0</v>
      </c>
      <c r="N71" s="357">
        <f>TblRezone[[#This Row],[Hour]]</f>
        <v>68</v>
      </c>
      <c r="O71" s="179"/>
      <c r="P71" s="179"/>
      <c r="Q71" s="179"/>
      <c r="R71" s="158"/>
      <c r="S71" s="179"/>
      <c r="T71" s="179"/>
      <c r="U71" s="179"/>
      <c r="V71" s="179"/>
      <c r="W71" s="179"/>
      <c r="X71" s="179"/>
      <c r="Y71" s="179"/>
      <c r="Z71" s="179"/>
      <c r="AA71" s="179"/>
      <c r="AB71" s="179"/>
      <c r="AC71" s="179"/>
      <c r="AD71" s="179"/>
      <c r="AE71" s="179"/>
      <c r="AF71" s="179"/>
      <c r="AG71" s="179"/>
      <c r="AH71" s="53">
        <f ca="1">TblImps[[#This Row],[Time]]</f>
        <v>46322.791666666504</v>
      </c>
      <c r="AI71" s="180">
        <f ca="1">MIN(25%,(TblConstr[[#This Row],[Tot Fac]]+TblConstr[[#This Row],[Dest Fac]])/(TblConstr[[#This Row],[Land]]-TblExplore[[#This Row],[Land Bonus]]*20))</f>
        <v>0</v>
      </c>
      <c r="AJ71" s="180">
        <f ca="1">MIN(25%,(TblConstr[[#This Row],[Tot Fac]]+TblConstr[[#This Row],[Dest Fac]])/TblConstr[[#This Row],[Land]])</f>
        <v>0</v>
      </c>
      <c r="AK71" s="94">
        <f ca="1">TblProd[[#This Row],[Platinum]]</f>
        <v>182150</v>
      </c>
      <c r="AL71" s="94">
        <f ca="1">TblProd[[#This Row],[Lumber]]</f>
        <v>56649</v>
      </c>
      <c r="AM7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1" s="94">
        <f ca="1">ROUNDDOWN( MAX(1 - MIN(facs_constr_factor*TblConstr[[#This Row],[Facs -DB]],facs_constr_max) + tech_1_11*TblTech[[#This Row],[11-1]] + tech_6_3_2*TblTech[[#This Row],[6-3]] + tech_5_2_3*TblTech[[#This Row],[5-2]], 1-global_constr_cap) * TblConstr[[#This Row],[RCPA Lumber]],0)</f>
        <v>31</v>
      </c>
      <c r="AO7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1" s="94">
        <f ca="1">ROUNDDOWN( MAX(1 - MIN(facs_constr_factor*TblConstr[[#This Row],[Facs DB]],facs_constr_max) + tech_1_11*TblTech[[#This Row],[1-11]] + tech_6_3_2*TblTech[[#This Row],[6-3]] + tech_5_2_3*TblTech[[#This Row],[5-2]], 1-global_constr_cap) * ROUND((TblConstr[[#This Row],[Land]]-250)*0.285 + 87.5 + 0/4.25,0),0)</f>
        <v>31</v>
      </c>
      <c r="AQ71" s="45">
        <f ca="1">TblConstr[[#This Row],[build -db]]*TblConstr[[#This Row],[CPA Platinum -DB]] + TblConstr[[#This Row],[build db]]*TblConstr[[#This Row],[CPA Platinum DB]]</f>
        <v>0</v>
      </c>
      <c r="AR71" s="45">
        <f ca="1">TblConstr[[#This Row],[build -db]]*TblConstr[[#This Row],[CPA Lumber -DB]] + TblConstr[[#This Row],[build db]]*TblConstr[[#This Row],[CPA Lumber DB]]</f>
        <v>0</v>
      </c>
      <c r="AS71" s="94">
        <f ca="1">MIN(SUM(OFFSET(TblConstr[[#This Row],[Plain]:[Water]],-1,0))+SUM(TblConstr[[#This Row],[Dest Hom]:[Dest Doc]])+IF(TblConstr[[#This Row],[Hour]]&gt;12,SUM(OFFSET(TblExplore[[#This Row],[Plains Explore]:[Water Explore]],-12,0)),0),SUM(TblConstr[[#This Row],[Hom]:[Doc]]))</f>
        <v>0</v>
      </c>
      <c r="AT7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42"/>
      <c r="AV71" s="94">
        <f ca="1">ROUND((TblConstr[[#This Row],[Land]]-250 - IF(TblExplore[[#This Row],[Land Bonus]]&lt;&gt;0,20,0))*1.25 + 850 + 0,0)</f>
        <v>600</v>
      </c>
      <c r="AW71" s="94">
        <f ca="1">ROUND((TblConstr[[#This Row],[Land]]-250 - IF(TblExplore[[#This Row],[Land Bonus]]&lt;&gt;0,20,0))*0.285 + 87.5 + 0/4.25,0)</f>
        <v>31</v>
      </c>
      <c r="AX71" s="154"/>
      <c r="AY71" s="188" cm="1">
        <f t="array" aca="1" ref="AY71" ca="1">IF(TblConstr[[#This Row],[Hour]:[Hour]]&gt;12,OFFSET(TblConstr[[#This Row],[Hom]],-12,0),0)+OFFSET(TblConstr[[#This Row],[Tot Hom]],-1,0)-TblConstr[[#This Row],[Dest Hom]]</f>
        <v>0</v>
      </c>
      <c r="AZ71" s="189" cm="1">
        <f t="array" aca="1" ref="AZ71" ca="1">IF(TblConstr[[#This Row],[Hour]:[Hour]]&gt;12,OFFSET(TblConstr[[#This Row],[Alc]],-12,0),0)+OFFSET(TblConstr[[#This Row],[Tot Alc]],-1,0)-TblConstr[[#This Row],[Dest Alc]]</f>
        <v>0</v>
      </c>
      <c r="BA71" s="189" cm="1">
        <f t="array" aca="1" ref="BA71" ca="1">IF(TblConstr[[#This Row],[Hour]:[Hour]]&gt;12,OFFSET(TblConstr[[#This Row],[Far]],-12,0),0)+OFFSET(TblConstr[[#This Row],[Tot Farm]],-1,0)-TblConstr[[#This Row],[Dest Farm]]</f>
        <v>30</v>
      </c>
      <c r="BB71" s="189" cm="1">
        <f t="array" aca="1" ref="BB71" ca="1">IF(TblConstr[[#This Row],[Hour]:[Hour]]&gt;12,OFFSET(TblConstr[[#This Row],[Smi]],-12,0),0)+OFFSET(TblConstr[[#This Row],[Tot Smi]],-1,0)-TblConstr[[#This Row],[Dest Smi]]</f>
        <v>0</v>
      </c>
      <c r="BC71" s="189" cm="1">
        <f t="array" aca="1" ref="BC71" ca="1">IF(TblConstr[[#This Row],[Hour]:[Hour]]&gt;12,OFFSET(TblConstr[[#This Row],[Mas]],-12,0),0)+OFFSET(TblConstr[[#This Row],[Tot Mas]],-1,0)-TblConstr[[#This Row],[Dest Mas]]</f>
        <v>0</v>
      </c>
      <c r="BD71" s="190" cm="1">
        <f t="array" aca="1" ref="BD71" ca="1">IF(TblConstr[[#This Row],[Hour]:[Hour]]&gt;12,OFFSET(TblConstr[[#This Row],[Ly]],-12,0),0)+OFFSET(TblConstr[[#This Row],[Tot Ly]],-1,0)-TblConstr[[#This Row],[Dest Ly]]</f>
        <v>20</v>
      </c>
      <c r="BE71" s="190" cm="1">
        <f t="array" aca="1" ref="BE71" ca="1">IF(TblConstr[[#This Row],[Hour]:[Hour]]&gt;12,OFFSET(TblConstr[[#This Row],[Hav]],-12,0),0)+OFFSET(TblConstr[[#This Row],[Tot Hav]],-1,0)-TblConstr[[#This Row],[Dest Hav]]</f>
        <v>0</v>
      </c>
      <c r="BF71" s="361" cm="1">
        <f t="array" aca="1" ref="BF71" ca="1">IF(TblConstr[[#This Row],[Hour]:[Hour]]&gt;12,OFFSET(TblConstr[[#This Row],[OM]],-12,0),0)+OFFSET(TblConstr[[#This Row],[Tot OM]],-1,0)-TblConstr[[#This Row],[Dest OM]]</f>
        <v>0</v>
      </c>
      <c r="BG71" s="361" cm="1">
        <f t="array" aca="1" ref="BG71" ca="1">IF(TblConstr[[#This Row],[Hour]:[Hour]]&gt;12,OFFSET(TblConstr[[#This Row],[GN]],-12,0),0)+OFFSET(TblConstr[[#This Row],[Tot GN]],-1,0)-TblConstr[[#This Row],[Dest GN]]</f>
        <v>0</v>
      </c>
      <c r="BH71" s="365" cm="1">
        <f t="array" aca="1" ref="BH71" ca="1">IF(TblConstr[[#This Row],[Hour]:[Hour]]&gt;12,OFFSET(TblConstr[[#This Row],[Fac]],-12,0),0)+OFFSET(TblConstr[[#This Row],[Tot Fac]],-1,0)-TblConstr[[#This Row],[Dest Fac]]</f>
        <v>0</v>
      </c>
      <c r="BI71" s="365" cm="1">
        <f t="array" aca="1" ref="BI71" ca="1">IF(TblConstr[[#This Row],[Hour]:[Hour]]&gt;12,OFFSET(TblConstr[[#This Row],[GT]],-12,0),0)+OFFSET(TblConstr[[#This Row],[Tot GT]],-1,0)-TblConstr[[#This Row],[Dest GT]]</f>
        <v>0</v>
      </c>
      <c r="BJ71" s="365" cm="1">
        <f t="array" aca="1" ref="BJ71" ca="1">IF(TblConstr[[#This Row],[Hour]:[Hour]]&gt;12,OFFSET(TblConstr[[#This Row],[Bar]],-12,0),0)+OFFSET(TblConstr[[#This Row],[Tot Bar]],-1,0)-TblConstr[[#This Row],[Dest Bar]]</f>
        <v>0</v>
      </c>
      <c r="BK71" s="365" cm="1">
        <f t="array" aca="1" ref="BK71" ca="1">IF(TblConstr[[#This Row],[Hour]:[Hour]]&gt;12,OFFSET(TblConstr[[#This Row],[Shr]],-12,0),0)+OFFSET(TblConstr[[#This Row],[Tot Shr]],-1,0)-TblConstr[[#This Row],[Dest Shr]]</f>
        <v>0</v>
      </c>
      <c r="BL71" s="369" cm="1">
        <f t="array" aca="1" ref="BL71" ca="1">IF(TblConstr[[#This Row],[Hour]:[Hour]]&gt;12,OFFSET(TblConstr[[#This Row],[Tow]],-12,0),0)+OFFSET(TblConstr[[#This Row],[Tot Tow]],-1,0)-TblConstr[[#This Row],[Dest Tow]]</f>
        <v>0</v>
      </c>
      <c r="BM71" s="369" cm="1">
        <f t="array" aca="1" ref="BM71" ca="1">IF(TblConstr[[#This Row],[Hour]:[Hour]]&gt;12,OFFSET(TblConstr[[#This Row],[Tem]],-12,0),0)+OFFSET(TblConstr[[#This Row],[Tot Tem]],-1,0)-TblConstr[[#This Row],[Dest Tem]]</f>
        <v>0</v>
      </c>
      <c r="BN71" s="369" cm="1">
        <f t="array" aca="1" ref="BN71" ca="1">IF(TblConstr[[#This Row],[Hour]:[Hour]]&gt;12,OFFSET(TblConstr[[#This Row],[WG]],-12,0),0)+OFFSET(TblConstr[[#This Row],[Tot WG]],-1,0)-TblConstr[[#This Row],[Dest WG]]</f>
        <v>0</v>
      </c>
      <c r="BO71" s="191" cm="1">
        <f t="array" aca="1" ref="BO71" ca="1">IF(TblConstr[[#This Row],[Hour]:[Hour]]&gt;12,OFFSET(TblConstr[[#This Row],[DM]],-12,0),0)+OFFSET(TblConstr[[#This Row],[Tot DM]],-1,0)-TblConstr[[#This Row],[Dest DM]]</f>
        <v>0</v>
      </c>
      <c r="BP71" s="191" cm="1">
        <f t="array" aca="1" ref="BP71" ca="1">IF(TblConstr[[#This Row],[Hour]:[Hour]]&gt;12,OFFSET(TblConstr[[#This Row],[Sch]],-12,0),0)+OFFSET(TblConstr[[#This Row],[Tot Sch]],-1,0)-TblConstr[[#This Row],[Dest Sch]]</f>
        <v>0</v>
      </c>
      <c r="BQ71" s="192" cm="1">
        <f t="array" aca="1" ref="BQ71" ca="1">IF(TblConstr[[#This Row],[Hour]:[Hour]]&gt;12,OFFSET(TblConstr[[#This Row],[Doc]],-12,0),0)+OFFSET(TblConstr[[#This Row],[Tot Doc]],-1,0)-TblConstr[[#This Row],[Dest Doc]]</f>
        <v>0</v>
      </c>
      <c r="BR71" s="142"/>
      <c r="BS71" s="154"/>
      <c r="BT71" s="94">
        <f ca="1">TblConstr[[#This Row],[Land]]</f>
        <v>50</v>
      </c>
      <c r="BU71" s="159">
        <f ca="1">TblImps[[#This Row],[Time]]</f>
        <v>46322.791666666504</v>
      </c>
      <c r="BV71" s="142"/>
      <c r="BW71" s="179"/>
      <c r="BX71" s="179"/>
      <c r="BY71" s="179"/>
      <c r="BZ71" s="179"/>
      <c r="CA71" s="179"/>
      <c r="CB71" s="179"/>
      <c r="CC71" s="179"/>
      <c r="CD71" s="179"/>
      <c r="CE71" s="179"/>
      <c r="CF71" s="179"/>
      <c r="CG71" s="179"/>
      <c r="CH71" s="179"/>
      <c r="CI71" s="179"/>
      <c r="CJ71" s="179"/>
      <c r="CK71" s="179"/>
      <c r="CL71" s="179"/>
      <c r="CM71" s="179"/>
      <c r="CN71" s="179"/>
      <c r="CO71" s="179"/>
      <c r="CP71" s="142"/>
      <c r="CQ71" s="181">
        <f ca="1">-SUM(TblConstr[[#This Row],[Alc]:[Mas]])+SUM(TblConstr[[#This Row],[Dest Alc]:[Dest Mas]])+Rezone!L71+IF("Ch_"&amp; home_land=TblConstr[[#Headers],[Ch_Plain]],TblConstr[[#This Row],[Home Land]])+IF(TblConstr[[#This Row],[Hour]:[Hour]]&gt;12,OFFSET(TblExplore[[#This Row],[Plains Explore]],-12,0),0)</f>
        <v>0</v>
      </c>
      <c r="CR71" s="182">
        <f ca="1">-SUM(TblConstr[[#This Row],[Ly]:[Hav]])+SUM(TblConstr[[#This Row],[Dest Ly]:[Dest Hav]]) +Rezone!M71 + IF("Ch_"&amp; home_land=TblConstr[[#Headers],[Ch_Forest]],TblConstr[[#This Row],[Home Land]])+IF(TblConstr[[#This Row],[Hour]:[Hour]]&gt;12,OFFSET(TblExplore[[#This Row],[Forest Explore]],-12,0),0)</f>
        <v>0</v>
      </c>
      <c r="CS71" s="359">
        <f ca="1">-SUM(TblConstr[[#This Row],[OM]:[GN]])+SUM(TblConstr[[#This Row],[Dest OM]:[Dest GN]]) +Rezone!N71 + IF("Ch_"&amp; home_land=TblConstr[[#Headers],[Ch_Mountain]],TblConstr[[#This Row],[Home Land]])+IF(TblConstr[[#This Row],[Hour]:[Hour]]&gt;12,OFFSET(TblExplore[[#This Row],[Mountain Explore]],-12,0),0)</f>
        <v>0</v>
      </c>
      <c r="CT71" s="183">
        <f ca="1">-SUM(TblConstr[[#This Row],[Fac]:[Shr]])+SUM(TblConstr[[#This Row],[Dest Fac]:[Dest Shr]]) +Rezone!O71 + IF("Ch_" &amp; home_land=TblConstr[[#Headers],[Ch_Hill]],TblConstr[[#This Row],[Home Land]])+IF(TblConstr[[#This Row],[Hour]:[Hour]]&gt;12,OFFSET(TblExplore[[#This Row],[Hill Explore]],-12,0),0)</f>
        <v>0</v>
      </c>
      <c r="CU71" s="184">
        <f ca="1">-SUM(TblConstr[[#This Row],[Tow]:[WG]])+SUM(TblConstr[[#This Row],[Dest Tow]:[Dest WG]]) +Rezone!P71 + IF("Ch_" &amp; home_land=TblConstr[[#Headers],[Ch_Swamp]],TblConstr[[#This Row],[Home Land]])+IF(TblConstr[[#This Row],[Hour]:[Hour]]&gt;12,OFFSET(TblExplore[[#This Row],[Swamp Explore]],-12,0),0)</f>
        <v>0</v>
      </c>
      <c r="CV71" s="185">
        <f ca="1" xml:space="preserve"> - SUM(TblConstr[[#This Row],[DM]:[Sch]])+SUM(TblConstr[[#This Row],[Dest DM]:[Dest Sch]]) +Rezone!Q71 + IF("Ch_" &amp; home_land=TblConstr[[#Headers],[Ch_Cavern]],TblConstr[[#This Row],[Home Land]])+IF(TblConstr[[#This Row],[Hour]:[Hour]]&gt;12,OFFSET(TblExplore[[#This Row],[Cavern Explore]],-12,0),0)</f>
        <v>0</v>
      </c>
      <c r="CW71" s="186">
        <f ca="1">-TblConstr[[#This Row],[Doc]]+TblConstr[[#This Row],[Dest Doc]] +Rezone!R71 + IF("Ch_" &amp; home_land=TblConstr[[#Headers],[Ch_Water]],TblConstr[[#This Row],[Home Land]])+IF(TblConstr[[#This Row],[Hour]:[Hour]]&gt;12,OFFSET(TblExplore[[#This Row],[Water Explore]],-12,0),0)</f>
        <v>0</v>
      </c>
      <c r="CX71" s="45">
        <f>IF(Explore!S71=1,20) - TblConstr[[#This Row],[Hom]] + TblConstr[[#This Row],[Dest Hom]]</f>
        <v>0</v>
      </c>
      <c r="CY71" s="142"/>
      <c r="CZ71" s="94">
        <f t="shared" ca="1" si="12"/>
        <v>30</v>
      </c>
      <c r="DA71" s="94">
        <f t="shared" ca="1" si="13"/>
        <v>20</v>
      </c>
      <c r="DB71" s="45">
        <f t="shared" ca="1" si="14"/>
        <v>0</v>
      </c>
      <c r="DC71" s="94">
        <f t="shared" ca="1" si="15"/>
        <v>0</v>
      </c>
      <c r="DD71" s="94">
        <f t="shared" ca="1" si="16"/>
        <v>0</v>
      </c>
      <c r="DE71" s="45">
        <f t="shared" ca="1" si="17"/>
        <v>0</v>
      </c>
      <c r="DF71" s="94">
        <f t="shared" ca="1" si="18"/>
        <v>0</v>
      </c>
      <c r="DG71" s="94" cm="1">
        <f t="array" aca="1" ref="DG71" ca="1">INDEX(TblConstr[[Total Plain]:[Total Water]],ROW()-ROW(TblConstr[#Headers]),MATCH("Total "&amp;home_land,TblConstr[[#Headers],[Total Plain]:[Total Water]],0))+TblConstr[[#This Row],[Homes]]</f>
        <v>30</v>
      </c>
      <c r="DH71" s="45">
        <f t="shared" ca="1" si="10"/>
        <v>0</v>
      </c>
      <c r="DI71" s="45">
        <f t="shared" ca="1" si="19"/>
        <v>0</v>
      </c>
      <c r="DJ71" s="45">
        <f t="shared" ca="1" si="20"/>
        <v>0</v>
      </c>
    </row>
    <row r="72" spans="1:114" x14ac:dyDescent="0.2">
      <c r="A72" s="175">
        <f>TblRezone[[#This Row],[Hour]]</f>
        <v>69</v>
      </c>
      <c r="B72" s="176">
        <f ca="1">SUM(TblConstr[[#This Row],[Plain]:[Water]])</f>
        <v>0</v>
      </c>
      <c r="C72" s="177">
        <f ca="1">SUM(TblConstr[[#This Row],[Tot Hom]:[Tot Doc]])</f>
        <v>50</v>
      </c>
      <c r="D72" s="177">
        <f t="shared" si="11"/>
        <v>0</v>
      </c>
      <c r="E72" s="178"/>
      <c r="F72" s="61">
        <f ca="1">TblConstr[[#This Row],[Barren]]+TblConstr[[#This Row],[Buildings]]+TblConstr[[#This Row],[Incoming]]</f>
        <v>50</v>
      </c>
      <c r="G72" s="187">
        <f ca="1">OFFSET(TblConstr[[#This Row],[Plain]],-1,0)+TblConstr[[#This Row],[Ch_Plain]]</f>
        <v>0</v>
      </c>
      <c r="H72" s="182">
        <f ca="1">OFFSET(TblConstr[[#This Row],[Forest]],-1,0)+TblConstr[[#This Row],[Ch_Forest]]</f>
        <v>0</v>
      </c>
      <c r="I72" s="359">
        <f ca="1">OFFSET(TblConstr[[#This Row],[Mountain]],-1,0)+TblConstr[[#This Row],[Ch_Mountain]]</f>
        <v>0</v>
      </c>
      <c r="J72" s="363">
        <f ca="1">OFFSET(TblConstr[[#This Row],[Hill]],-1,0)+TblConstr[[#This Row],[Ch_Hill]]</f>
        <v>0</v>
      </c>
      <c r="K72" s="367">
        <f ca="1">OFFSET(TblConstr[[#This Row],[Swamp]],-1,0)+TblConstr[[#This Row],[Ch_Swamp]]</f>
        <v>0</v>
      </c>
      <c r="L72" s="185">
        <f ca="1">OFFSET(TblConstr[[#This Row],[Cavern]],-1,0)+TblConstr[[#This Row],[Ch_Cavern]]</f>
        <v>0</v>
      </c>
      <c r="M72" s="186">
        <f ca="1">OFFSET(TblConstr[[#This Row],[Water]],-1,0)+TblConstr[[#This Row],[Ch_Water]]</f>
        <v>0</v>
      </c>
      <c r="N72" s="357">
        <f>TblRezone[[#This Row],[Hour]]</f>
        <v>69</v>
      </c>
      <c r="O72" s="179"/>
      <c r="P72" s="179"/>
      <c r="Q72" s="179"/>
      <c r="R72" s="179"/>
      <c r="S72" s="179"/>
      <c r="T72" s="179"/>
      <c r="U72" s="179"/>
      <c r="V72" s="179"/>
      <c r="W72" s="179"/>
      <c r="X72" s="179"/>
      <c r="Y72" s="179"/>
      <c r="Z72" s="179"/>
      <c r="AA72" s="179"/>
      <c r="AB72" s="179"/>
      <c r="AC72" s="179"/>
      <c r="AD72" s="179"/>
      <c r="AE72" s="179"/>
      <c r="AF72" s="179"/>
      <c r="AG72" s="179"/>
      <c r="AH72" s="53">
        <f ca="1">TblImps[[#This Row],[Time]]</f>
        <v>46322.833333333168</v>
      </c>
      <c r="AI72" s="180">
        <f ca="1">MIN(25%,(TblConstr[[#This Row],[Tot Fac]]+TblConstr[[#This Row],[Dest Fac]])/(TblConstr[[#This Row],[Land]]-TblExplore[[#This Row],[Land Bonus]]*20))</f>
        <v>0</v>
      </c>
      <c r="AJ72" s="180">
        <f ca="1">MIN(25%,(TblConstr[[#This Row],[Tot Fac]]+TblConstr[[#This Row],[Dest Fac]])/TblConstr[[#This Row],[Land]])</f>
        <v>0</v>
      </c>
      <c r="AK72" s="94">
        <f ca="1">TblProd[[#This Row],[Platinum]]</f>
        <v>182795</v>
      </c>
      <c r="AL72" s="94">
        <f ca="1">TblProd[[#This Row],[Lumber]]</f>
        <v>57083</v>
      </c>
      <c r="AM7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2" s="94">
        <f ca="1">ROUNDDOWN( MAX(1 - MIN(facs_constr_factor*TblConstr[[#This Row],[Facs -DB]],facs_constr_max) + tech_1_11*TblTech[[#This Row],[11-1]] + tech_6_3_2*TblTech[[#This Row],[6-3]] + tech_5_2_3*TblTech[[#This Row],[5-2]], 1-global_constr_cap) * TblConstr[[#This Row],[RCPA Lumber]],0)</f>
        <v>31</v>
      </c>
      <c r="AO7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2" s="94">
        <f ca="1">ROUNDDOWN( MAX(1 - MIN(facs_constr_factor*TblConstr[[#This Row],[Facs DB]],facs_constr_max) + tech_1_11*TblTech[[#This Row],[1-11]] + tech_6_3_2*TblTech[[#This Row],[6-3]] + tech_5_2_3*TblTech[[#This Row],[5-2]], 1-global_constr_cap) * ROUND((TblConstr[[#This Row],[Land]]-250)*0.285 + 87.5 + 0/4.25,0),0)</f>
        <v>31</v>
      </c>
      <c r="AQ72" s="45">
        <f ca="1">TblConstr[[#This Row],[build -db]]*TblConstr[[#This Row],[CPA Platinum -DB]] + TblConstr[[#This Row],[build db]]*TblConstr[[#This Row],[CPA Platinum DB]]</f>
        <v>0</v>
      </c>
      <c r="AR72" s="45">
        <f ca="1">TblConstr[[#This Row],[build -db]]*TblConstr[[#This Row],[CPA Lumber -DB]] + TblConstr[[#This Row],[build db]]*TblConstr[[#This Row],[CPA Lumber DB]]</f>
        <v>0</v>
      </c>
      <c r="AS72" s="94">
        <f ca="1">MIN(SUM(OFFSET(TblConstr[[#This Row],[Plain]:[Water]],-1,0))+SUM(TblConstr[[#This Row],[Dest Hom]:[Dest Doc]])+IF(TblConstr[[#This Row],[Hour]]&gt;12,SUM(OFFSET(TblExplore[[#This Row],[Plains Explore]:[Water Explore]],-12,0)),0),SUM(TblConstr[[#This Row],[Hom]:[Doc]]))</f>
        <v>0</v>
      </c>
      <c r="AT7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42"/>
      <c r="AV72" s="94">
        <f ca="1">ROUND((TblConstr[[#This Row],[Land]]-250 - IF(TblExplore[[#This Row],[Land Bonus]]&lt;&gt;0,20,0))*1.25 + 850 + 0,0)</f>
        <v>600</v>
      </c>
      <c r="AW72" s="94">
        <f ca="1">ROUND((TblConstr[[#This Row],[Land]]-250 - IF(TblExplore[[#This Row],[Land Bonus]]&lt;&gt;0,20,0))*0.285 + 87.5 + 0/4.25,0)</f>
        <v>31</v>
      </c>
      <c r="AX72" s="154"/>
      <c r="AY72" s="188" cm="1">
        <f t="array" aca="1" ref="AY72" ca="1">IF(TblConstr[[#This Row],[Hour]:[Hour]]&gt;12,OFFSET(TblConstr[[#This Row],[Hom]],-12,0),0)+OFFSET(TblConstr[[#This Row],[Tot Hom]],-1,0)-TblConstr[[#This Row],[Dest Hom]]</f>
        <v>0</v>
      </c>
      <c r="AZ72" s="189" cm="1">
        <f t="array" aca="1" ref="AZ72" ca="1">IF(TblConstr[[#This Row],[Hour]:[Hour]]&gt;12,OFFSET(TblConstr[[#This Row],[Alc]],-12,0),0)+OFFSET(TblConstr[[#This Row],[Tot Alc]],-1,0)-TblConstr[[#This Row],[Dest Alc]]</f>
        <v>0</v>
      </c>
      <c r="BA72" s="189" cm="1">
        <f t="array" aca="1" ref="BA72" ca="1">IF(TblConstr[[#This Row],[Hour]:[Hour]]&gt;12,OFFSET(TblConstr[[#This Row],[Far]],-12,0),0)+OFFSET(TblConstr[[#This Row],[Tot Farm]],-1,0)-TblConstr[[#This Row],[Dest Farm]]</f>
        <v>30</v>
      </c>
      <c r="BB72" s="189" cm="1">
        <f t="array" aca="1" ref="BB72" ca="1">IF(TblConstr[[#This Row],[Hour]:[Hour]]&gt;12,OFFSET(TblConstr[[#This Row],[Smi]],-12,0),0)+OFFSET(TblConstr[[#This Row],[Tot Smi]],-1,0)-TblConstr[[#This Row],[Dest Smi]]</f>
        <v>0</v>
      </c>
      <c r="BC72" s="189" cm="1">
        <f t="array" aca="1" ref="BC72" ca="1">IF(TblConstr[[#This Row],[Hour]:[Hour]]&gt;12,OFFSET(TblConstr[[#This Row],[Mas]],-12,0),0)+OFFSET(TblConstr[[#This Row],[Tot Mas]],-1,0)-TblConstr[[#This Row],[Dest Mas]]</f>
        <v>0</v>
      </c>
      <c r="BD72" s="190" cm="1">
        <f t="array" aca="1" ref="BD72" ca="1">IF(TblConstr[[#This Row],[Hour]:[Hour]]&gt;12,OFFSET(TblConstr[[#This Row],[Ly]],-12,0),0)+OFFSET(TblConstr[[#This Row],[Tot Ly]],-1,0)-TblConstr[[#This Row],[Dest Ly]]</f>
        <v>20</v>
      </c>
      <c r="BE72" s="190" cm="1">
        <f t="array" aca="1" ref="BE72" ca="1">IF(TblConstr[[#This Row],[Hour]:[Hour]]&gt;12,OFFSET(TblConstr[[#This Row],[Hav]],-12,0),0)+OFFSET(TblConstr[[#This Row],[Tot Hav]],-1,0)-TblConstr[[#This Row],[Dest Hav]]</f>
        <v>0</v>
      </c>
      <c r="BF72" s="361" cm="1">
        <f t="array" aca="1" ref="BF72" ca="1">IF(TblConstr[[#This Row],[Hour]:[Hour]]&gt;12,OFFSET(TblConstr[[#This Row],[OM]],-12,0),0)+OFFSET(TblConstr[[#This Row],[Tot OM]],-1,0)-TblConstr[[#This Row],[Dest OM]]</f>
        <v>0</v>
      </c>
      <c r="BG72" s="361" cm="1">
        <f t="array" aca="1" ref="BG72" ca="1">IF(TblConstr[[#This Row],[Hour]:[Hour]]&gt;12,OFFSET(TblConstr[[#This Row],[GN]],-12,0),0)+OFFSET(TblConstr[[#This Row],[Tot GN]],-1,0)-TblConstr[[#This Row],[Dest GN]]</f>
        <v>0</v>
      </c>
      <c r="BH72" s="365" cm="1">
        <f t="array" aca="1" ref="BH72" ca="1">IF(TblConstr[[#This Row],[Hour]:[Hour]]&gt;12,OFFSET(TblConstr[[#This Row],[Fac]],-12,0),0)+OFFSET(TblConstr[[#This Row],[Tot Fac]],-1,0)-TblConstr[[#This Row],[Dest Fac]]</f>
        <v>0</v>
      </c>
      <c r="BI72" s="365" cm="1">
        <f t="array" aca="1" ref="BI72" ca="1">IF(TblConstr[[#This Row],[Hour]:[Hour]]&gt;12,OFFSET(TblConstr[[#This Row],[GT]],-12,0),0)+OFFSET(TblConstr[[#This Row],[Tot GT]],-1,0)-TblConstr[[#This Row],[Dest GT]]</f>
        <v>0</v>
      </c>
      <c r="BJ72" s="365" cm="1">
        <f t="array" aca="1" ref="BJ72" ca="1">IF(TblConstr[[#This Row],[Hour]:[Hour]]&gt;12,OFFSET(TblConstr[[#This Row],[Bar]],-12,0),0)+OFFSET(TblConstr[[#This Row],[Tot Bar]],-1,0)-TblConstr[[#This Row],[Dest Bar]]</f>
        <v>0</v>
      </c>
      <c r="BK72" s="365" cm="1">
        <f t="array" aca="1" ref="BK72" ca="1">IF(TblConstr[[#This Row],[Hour]:[Hour]]&gt;12,OFFSET(TblConstr[[#This Row],[Shr]],-12,0),0)+OFFSET(TblConstr[[#This Row],[Tot Shr]],-1,0)-TblConstr[[#This Row],[Dest Shr]]</f>
        <v>0</v>
      </c>
      <c r="BL72" s="369" cm="1">
        <f t="array" aca="1" ref="BL72" ca="1">IF(TblConstr[[#This Row],[Hour]:[Hour]]&gt;12,OFFSET(TblConstr[[#This Row],[Tow]],-12,0),0)+OFFSET(TblConstr[[#This Row],[Tot Tow]],-1,0)-TblConstr[[#This Row],[Dest Tow]]</f>
        <v>0</v>
      </c>
      <c r="BM72" s="369" cm="1">
        <f t="array" aca="1" ref="BM72" ca="1">IF(TblConstr[[#This Row],[Hour]:[Hour]]&gt;12,OFFSET(TblConstr[[#This Row],[Tem]],-12,0),0)+OFFSET(TblConstr[[#This Row],[Tot Tem]],-1,0)-TblConstr[[#This Row],[Dest Tem]]</f>
        <v>0</v>
      </c>
      <c r="BN72" s="369" cm="1">
        <f t="array" aca="1" ref="BN72" ca="1">IF(TblConstr[[#This Row],[Hour]:[Hour]]&gt;12,OFFSET(TblConstr[[#This Row],[WG]],-12,0),0)+OFFSET(TblConstr[[#This Row],[Tot WG]],-1,0)-TblConstr[[#This Row],[Dest WG]]</f>
        <v>0</v>
      </c>
      <c r="BO72" s="191" cm="1">
        <f t="array" aca="1" ref="BO72" ca="1">IF(TblConstr[[#This Row],[Hour]:[Hour]]&gt;12,OFFSET(TblConstr[[#This Row],[DM]],-12,0),0)+OFFSET(TblConstr[[#This Row],[Tot DM]],-1,0)-TblConstr[[#This Row],[Dest DM]]</f>
        <v>0</v>
      </c>
      <c r="BP72" s="191" cm="1">
        <f t="array" aca="1" ref="BP72" ca="1">IF(TblConstr[[#This Row],[Hour]:[Hour]]&gt;12,OFFSET(TblConstr[[#This Row],[Sch]],-12,0),0)+OFFSET(TblConstr[[#This Row],[Tot Sch]],-1,0)-TblConstr[[#This Row],[Dest Sch]]</f>
        <v>0</v>
      </c>
      <c r="BQ72" s="192" cm="1">
        <f t="array" aca="1" ref="BQ72" ca="1">IF(TblConstr[[#This Row],[Hour]:[Hour]]&gt;12,OFFSET(TblConstr[[#This Row],[Doc]],-12,0),0)+OFFSET(TblConstr[[#This Row],[Tot Doc]],-1,0)-TblConstr[[#This Row],[Dest Doc]]</f>
        <v>0</v>
      </c>
      <c r="BR72" s="142"/>
      <c r="BS72" s="154"/>
      <c r="BT72" s="94">
        <f ca="1">TblConstr[[#This Row],[Land]]</f>
        <v>50</v>
      </c>
      <c r="BU72" s="159">
        <f ca="1">TblImps[[#This Row],[Time]]</f>
        <v>46322.833333333168</v>
      </c>
      <c r="BV72" s="142"/>
      <c r="BW72" s="179"/>
      <c r="BX72" s="179"/>
      <c r="BY72" s="179"/>
      <c r="BZ72" s="179"/>
      <c r="CA72" s="179"/>
      <c r="CB72" s="179"/>
      <c r="CC72" s="179"/>
      <c r="CD72" s="179"/>
      <c r="CE72" s="179"/>
      <c r="CF72" s="179"/>
      <c r="CG72" s="179"/>
      <c r="CH72" s="179"/>
      <c r="CI72" s="179"/>
      <c r="CJ72" s="179"/>
      <c r="CK72" s="179"/>
      <c r="CL72" s="179"/>
      <c r="CM72" s="179"/>
      <c r="CN72" s="179"/>
      <c r="CO72" s="179"/>
      <c r="CP72" s="142"/>
      <c r="CQ72" s="181">
        <f ca="1">-SUM(TblConstr[[#This Row],[Alc]:[Mas]])+SUM(TblConstr[[#This Row],[Dest Alc]:[Dest Mas]])+Rezone!L72+IF("Ch_"&amp; home_land=TblConstr[[#Headers],[Ch_Plain]],TblConstr[[#This Row],[Home Land]])+IF(TblConstr[[#This Row],[Hour]:[Hour]]&gt;12,OFFSET(TblExplore[[#This Row],[Plains Explore]],-12,0),0)</f>
        <v>0</v>
      </c>
      <c r="CR72" s="182">
        <f ca="1">-SUM(TblConstr[[#This Row],[Ly]:[Hav]])+SUM(TblConstr[[#This Row],[Dest Ly]:[Dest Hav]]) +Rezone!M72 + IF("Ch_"&amp; home_land=TblConstr[[#Headers],[Ch_Forest]],TblConstr[[#This Row],[Home Land]])+IF(TblConstr[[#This Row],[Hour]:[Hour]]&gt;12,OFFSET(TblExplore[[#This Row],[Forest Explore]],-12,0),0)</f>
        <v>0</v>
      </c>
      <c r="CS72" s="359">
        <f ca="1">-SUM(TblConstr[[#This Row],[OM]:[GN]])+SUM(TblConstr[[#This Row],[Dest OM]:[Dest GN]]) +Rezone!N72 + IF("Ch_"&amp; home_land=TblConstr[[#Headers],[Ch_Mountain]],TblConstr[[#This Row],[Home Land]])+IF(TblConstr[[#This Row],[Hour]:[Hour]]&gt;12,OFFSET(TblExplore[[#This Row],[Mountain Explore]],-12,0),0)</f>
        <v>0</v>
      </c>
      <c r="CT72" s="183">
        <f ca="1">-SUM(TblConstr[[#This Row],[Fac]:[Shr]])+SUM(TblConstr[[#This Row],[Dest Fac]:[Dest Shr]]) +Rezone!O72 + IF("Ch_" &amp; home_land=TblConstr[[#Headers],[Ch_Hill]],TblConstr[[#This Row],[Home Land]])+IF(TblConstr[[#This Row],[Hour]:[Hour]]&gt;12,OFFSET(TblExplore[[#This Row],[Hill Explore]],-12,0),0)</f>
        <v>0</v>
      </c>
      <c r="CU72" s="184">
        <f ca="1">-SUM(TblConstr[[#This Row],[Tow]:[WG]])+SUM(TblConstr[[#This Row],[Dest Tow]:[Dest WG]]) +Rezone!P72 + IF("Ch_" &amp; home_land=TblConstr[[#Headers],[Ch_Swamp]],TblConstr[[#This Row],[Home Land]])+IF(TblConstr[[#This Row],[Hour]:[Hour]]&gt;12,OFFSET(TblExplore[[#This Row],[Swamp Explore]],-12,0),0)</f>
        <v>0</v>
      </c>
      <c r="CV72" s="185">
        <f ca="1" xml:space="preserve"> - SUM(TblConstr[[#This Row],[DM]:[Sch]])+SUM(TblConstr[[#This Row],[Dest DM]:[Dest Sch]]) +Rezone!Q72 + IF("Ch_" &amp; home_land=TblConstr[[#Headers],[Ch_Cavern]],TblConstr[[#This Row],[Home Land]])+IF(TblConstr[[#This Row],[Hour]:[Hour]]&gt;12,OFFSET(TblExplore[[#This Row],[Cavern Explore]],-12,0),0)</f>
        <v>0</v>
      </c>
      <c r="CW72" s="186">
        <f ca="1">-TblConstr[[#This Row],[Doc]]+TblConstr[[#This Row],[Dest Doc]] +Rezone!R72 + IF("Ch_" &amp; home_land=TblConstr[[#Headers],[Ch_Water]],TblConstr[[#This Row],[Home Land]])+IF(TblConstr[[#This Row],[Hour]:[Hour]]&gt;12,OFFSET(TblExplore[[#This Row],[Water Explore]],-12,0),0)</f>
        <v>0</v>
      </c>
      <c r="CX72" s="45">
        <f>IF(Explore!S72=1,20) - TblConstr[[#This Row],[Hom]] + TblConstr[[#This Row],[Dest Hom]]</f>
        <v>0</v>
      </c>
      <c r="CY72" s="142"/>
      <c r="CZ72" s="94">
        <f t="shared" ca="1" si="12"/>
        <v>30</v>
      </c>
      <c r="DA72" s="94">
        <f t="shared" ca="1" si="13"/>
        <v>20</v>
      </c>
      <c r="DB72" s="45">
        <f t="shared" ca="1" si="14"/>
        <v>0</v>
      </c>
      <c r="DC72" s="94">
        <f t="shared" ca="1" si="15"/>
        <v>0</v>
      </c>
      <c r="DD72" s="94">
        <f t="shared" ca="1" si="16"/>
        <v>0</v>
      </c>
      <c r="DE72" s="45">
        <f t="shared" ca="1" si="17"/>
        <v>0</v>
      </c>
      <c r="DF72" s="94">
        <f t="shared" ca="1" si="18"/>
        <v>0</v>
      </c>
      <c r="DG72" s="94" cm="1">
        <f t="array" aca="1" ref="DG72" ca="1">INDEX(TblConstr[[Total Plain]:[Total Water]],ROW()-ROW(TblConstr[#Headers]),MATCH("Total "&amp;home_land,TblConstr[[#Headers],[Total Plain]:[Total Water]],0))+TblConstr[[#This Row],[Homes]]</f>
        <v>30</v>
      </c>
      <c r="DH72" s="45">
        <f t="shared" ca="1" si="10"/>
        <v>0</v>
      </c>
      <c r="DI72" s="45">
        <f t="shared" ca="1" si="19"/>
        <v>0</v>
      </c>
      <c r="DJ72" s="45">
        <f t="shared" ca="1" si="20"/>
        <v>0</v>
      </c>
    </row>
    <row r="73" spans="1:114" x14ac:dyDescent="0.2">
      <c r="A73" s="175">
        <f>TblRezone[[#This Row],[Hour]]</f>
        <v>70</v>
      </c>
      <c r="B73" s="176">
        <f ca="1">SUM(TblConstr[[#This Row],[Plain]:[Water]])</f>
        <v>0</v>
      </c>
      <c r="C73" s="177">
        <f ca="1">SUM(TblConstr[[#This Row],[Tot Hom]:[Tot Doc]])</f>
        <v>50</v>
      </c>
      <c r="D73" s="177">
        <f t="shared" si="11"/>
        <v>0</v>
      </c>
      <c r="E73" s="178"/>
      <c r="F73" s="61">
        <f ca="1">TblConstr[[#This Row],[Barren]]+TblConstr[[#This Row],[Buildings]]+TblConstr[[#This Row],[Incoming]]</f>
        <v>50</v>
      </c>
      <c r="G73" s="187">
        <f ca="1">OFFSET(TblConstr[[#This Row],[Plain]],-1,0)+TblConstr[[#This Row],[Ch_Plain]]</f>
        <v>0</v>
      </c>
      <c r="H73" s="182">
        <f ca="1">OFFSET(TblConstr[[#This Row],[Forest]],-1,0)+TblConstr[[#This Row],[Ch_Forest]]</f>
        <v>0</v>
      </c>
      <c r="I73" s="359">
        <f ca="1">OFFSET(TblConstr[[#This Row],[Mountain]],-1,0)+TblConstr[[#This Row],[Ch_Mountain]]</f>
        <v>0</v>
      </c>
      <c r="J73" s="363">
        <f ca="1">OFFSET(TblConstr[[#This Row],[Hill]],-1,0)+TblConstr[[#This Row],[Ch_Hill]]</f>
        <v>0</v>
      </c>
      <c r="K73" s="367">
        <f ca="1">OFFSET(TblConstr[[#This Row],[Swamp]],-1,0)+TblConstr[[#This Row],[Ch_Swamp]]</f>
        <v>0</v>
      </c>
      <c r="L73" s="185">
        <f ca="1">OFFSET(TblConstr[[#This Row],[Cavern]],-1,0)+TblConstr[[#This Row],[Ch_Cavern]]</f>
        <v>0</v>
      </c>
      <c r="M73" s="186">
        <f ca="1">OFFSET(TblConstr[[#This Row],[Water]],-1,0)+TblConstr[[#This Row],[Ch_Water]]</f>
        <v>0</v>
      </c>
      <c r="N73" s="357">
        <f>TblRezone[[#This Row],[Hour]]</f>
        <v>70</v>
      </c>
      <c r="O73" s="179"/>
      <c r="P73" s="179"/>
      <c r="Q73" s="179"/>
      <c r="R73" s="179"/>
      <c r="S73" s="179"/>
      <c r="T73" s="179"/>
      <c r="U73" s="179"/>
      <c r="V73" s="179"/>
      <c r="W73" s="179"/>
      <c r="X73" s="179"/>
      <c r="Y73" s="179"/>
      <c r="Z73" s="179"/>
      <c r="AA73" s="179"/>
      <c r="AB73" s="179"/>
      <c r="AC73" s="179"/>
      <c r="AD73" s="179"/>
      <c r="AE73" s="179"/>
      <c r="AF73" s="179"/>
      <c r="AG73" s="179"/>
      <c r="AH73" s="53">
        <f ca="1">TblImps[[#This Row],[Time]]</f>
        <v>46322.874999999833</v>
      </c>
      <c r="AI73" s="180">
        <f ca="1">MIN(25%,(TblConstr[[#This Row],[Tot Fac]]+TblConstr[[#This Row],[Dest Fac]])/(TblConstr[[#This Row],[Land]]-TblExplore[[#This Row],[Land Bonus]]*20))</f>
        <v>0</v>
      </c>
      <c r="AJ73" s="180">
        <f ca="1">MIN(25%,(TblConstr[[#This Row],[Tot Fac]]+TblConstr[[#This Row],[Dest Fac]])/TblConstr[[#This Row],[Land]])</f>
        <v>0</v>
      </c>
      <c r="AK73" s="94">
        <f ca="1">TblProd[[#This Row],[Platinum]]</f>
        <v>183434</v>
      </c>
      <c r="AL73" s="94">
        <f ca="1">TblProd[[#This Row],[Lumber]]</f>
        <v>57512</v>
      </c>
      <c r="AM7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3" s="94">
        <f ca="1">ROUNDDOWN( MAX(1 - MIN(facs_constr_factor*TblConstr[[#This Row],[Facs -DB]],facs_constr_max) + tech_1_11*TblTech[[#This Row],[11-1]] + tech_6_3_2*TblTech[[#This Row],[6-3]] + tech_5_2_3*TblTech[[#This Row],[5-2]], 1-global_constr_cap) * TblConstr[[#This Row],[RCPA Lumber]],0)</f>
        <v>31</v>
      </c>
      <c r="AO7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3" s="94">
        <f ca="1">ROUNDDOWN( MAX(1 - MIN(facs_constr_factor*TblConstr[[#This Row],[Facs DB]],facs_constr_max) + tech_1_11*TblTech[[#This Row],[1-11]] + tech_6_3_2*TblTech[[#This Row],[6-3]] + tech_5_2_3*TblTech[[#This Row],[5-2]], 1-global_constr_cap) * ROUND((TblConstr[[#This Row],[Land]]-250)*0.285 + 87.5 + 0/4.25,0),0)</f>
        <v>31</v>
      </c>
      <c r="AQ73" s="45">
        <f ca="1">TblConstr[[#This Row],[build -db]]*TblConstr[[#This Row],[CPA Platinum -DB]] + TblConstr[[#This Row],[build db]]*TblConstr[[#This Row],[CPA Platinum DB]]</f>
        <v>0</v>
      </c>
      <c r="AR73" s="45">
        <f ca="1">TblConstr[[#This Row],[build -db]]*TblConstr[[#This Row],[CPA Lumber -DB]] + TblConstr[[#This Row],[build db]]*TblConstr[[#This Row],[CPA Lumber DB]]</f>
        <v>0</v>
      </c>
      <c r="AS73" s="94">
        <f ca="1">MIN(SUM(OFFSET(TblConstr[[#This Row],[Plain]:[Water]],-1,0))+SUM(TblConstr[[#This Row],[Dest Hom]:[Dest Doc]])+IF(TblConstr[[#This Row],[Hour]]&gt;12,SUM(OFFSET(TblExplore[[#This Row],[Plains Explore]:[Water Explore]],-12,0)),0),SUM(TblConstr[[#This Row],[Hom]:[Doc]]))</f>
        <v>0</v>
      </c>
      <c r="AT7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42"/>
      <c r="AV73" s="94">
        <f ca="1">ROUND((TblConstr[[#This Row],[Land]]-250 - IF(TblExplore[[#This Row],[Land Bonus]]&lt;&gt;0,20,0))*1.25 + 850 + 0,0)</f>
        <v>600</v>
      </c>
      <c r="AW73" s="94">
        <f ca="1">ROUND((TblConstr[[#This Row],[Land]]-250 - IF(TblExplore[[#This Row],[Land Bonus]]&lt;&gt;0,20,0))*0.285 + 87.5 + 0/4.25,0)</f>
        <v>31</v>
      </c>
      <c r="AX73" s="154"/>
      <c r="AY73" s="188" cm="1">
        <f t="array" aca="1" ref="AY73" ca="1">IF(TblConstr[[#This Row],[Hour]:[Hour]]&gt;12,OFFSET(TblConstr[[#This Row],[Hom]],-12,0),0)+OFFSET(TblConstr[[#This Row],[Tot Hom]],-1,0)-TblConstr[[#This Row],[Dest Hom]]</f>
        <v>0</v>
      </c>
      <c r="AZ73" s="189" cm="1">
        <f t="array" aca="1" ref="AZ73" ca="1">IF(TblConstr[[#This Row],[Hour]:[Hour]]&gt;12,OFFSET(TblConstr[[#This Row],[Alc]],-12,0),0)+OFFSET(TblConstr[[#This Row],[Tot Alc]],-1,0)-TblConstr[[#This Row],[Dest Alc]]</f>
        <v>0</v>
      </c>
      <c r="BA73" s="189" cm="1">
        <f t="array" aca="1" ref="BA73" ca="1">IF(TblConstr[[#This Row],[Hour]:[Hour]]&gt;12,OFFSET(TblConstr[[#This Row],[Far]],-12,0),0)+OFFSET(TblConstr[[#This Row],[Tot Farm]],-1,0)-TblConstr[[#This Row],[Dest Farm]]</f>
        <v>30</v>
      </c>
      <c r="BB73" s="189" cm="1">
        <f t="array" aca="1" ref="BB73" ca="1">IF(TblConstr[[#This Row],[Hour]:[Hour]]&gt;12,OFFSET(TblConstr[[#This Row],[Smi]],-12,0),0)+OFFSET(TblConstr[[#This Row],[Tot Smi]],-1,0)-TblConstr[[#This Row],[Dest Smi]]</f>
        <v>0</v>
      </c>
      <c r="BC73" s="189" cm="1">
        <f t="array" aca="1" ref="BC73" ca="1">IF(TblConstr[[#This Row],[Hour]:[Hour]]&gt;12,OFFSET(TblConstr[[#This Row],[Mas]],-12,0),0)+OFFSET(TblConstr[[#This Row],[Tot Mas]],-1,0)-TblConstr[[#This Row],[Dest Mas]]</f>
        <v>0</v>
      </c>
      <c r="BD73" s="190" cm="1">
        <f t="array" aca="1" ref="BD73" ca="1">IF(TblConstr[[#This Row],[Hour]:[Hour]]&gt;12,OFFSET(TblConstr[[#This Row],[Ly]],-12,0),0)+OFFSET(TblConstr[[#This Row],[Tot Ly]],-1,0)-TblConstr[[#This Row],[Dest Ly]]</f>
        <v>20</v>
      </c>
      <c r="BE73" s="190" cm="1">
        <f t="array" aca="1" ref="BE73" ca="1">IF(TblConstr[[#This Row],[Hour]:[Hour]]&gt;12,OFFSET(TblConstr[[#This Row],[Hav]],-12,0),0)+OFFSET(TblConstr[[#This Row],[Tot Hav]],-1,0)-TblConstr[[#This Row],[Dest Hav]]</f>
        <v>0</v>
      </c>
      <c r="BF73" s="361" cm="1">
        <f t="array" aca="1" ref="BF73" ca="1">IF(TblConstr[[#This Row],[Hour]:[Hour]]&gt;12,OFFSET(TblConstr[[#This Row],[OM]],-12,0),0)+OFFSET(TblConstr[[#This Row],[Tot OM]],-1,0)-TblConstr[[#This Row],[Dest OM]]</f>
        <v>0</v>
      </c>
      <c r="BG73" s="361" cm="1">
        <f t="array" aca="1" ref="BG73" ca="1">IF(TblConstr[[#This Row],[Hour]:[Hour]]&gt;12,OFFSET(TblConstr[[#This Row],[GN]],-12,0),0)+OFFSET(TblConstr[[#This Row],[Tot GN]],-1,0)-TblConstr[[#This Row],[Dest GN]]</f>
        <v>0</v>
      </c>
      <c r="BH73" s="365" cm="1">
        <f t="array" aca="1" ref="BH73" ca="1">IF(TblConstr[[#This Row],[Hour]:[Hour]]&gt;12,OFFSET(TblConstr[[#This Row],[Fac]],-12,0),0)+OFFSET(TblConstr[[#This Row],[Tot Fac]],-1,0)-TblConstr[[#This Row],[Dest Fac]]</f>
        <v>0</v>
      </c>
      <c r="BI73" s="365" cm="1">
        <f t="array" aca="1" ref="BI73" ca="1">IF(TblConstr[[#This Row],[Hour]:[Hour]]&gt;12,OFFSET(TblConstr[[#This Row],[GT]],-12,0),0)+OFFSET(TblConstr[[#This Row],[Tot GT]],-1,0)-TblConstr[[#This Row],[Dest GT]]</f>
        <v>0</v>
      </c>
      <c r="BJ73" s="365" cm="1">
        <f t="array" aca="1" ref="BJ73" ca="1">IF(TblConstr[[#This Row],[Hour]:[Hour]]&gt;12,OFFSET(TblConstr[[#This Row],[Bar]],-12,0),0)+OFFSET(TblConstr[[#This Row],[Tot Bar]],-1,0)-TblConstr[[#This Row],[Dest Bar]]</f>
        <v>0</v>
      </c>
      <c r="BK73" s="365" cm="1">
        <f t="array" aca="1" ref="BK73" ca="1">IF(TblConstr[[#This Row],[Hour]:[Hour]]&gt;12,OFFSET(TblConstr[[#This Row],[Shr]],-12,0),0)+OFFSET(TblConstr[[#This Row],[Tot Shr]],-1,0)-TblConstr[[#This Row],[Dest Shr]]</f>
        <v>0</v>
      </c>
      <c r="BL73" s="369" cm="1">
        <f t="array" aca="1" ref="BL73" ca="1">IF(TblConstr[[#This Row],[Hour]:[Hour]]&gt;12,OFFSET(TblConstr[[#This Row],[Tow]],-12,0),0)+OFFSET(TblConstr[[#This Row],[Tot Tow]],-1,0)-TblConstr[[#This Row],[Dest Tow]]</f>
        <v>0</v>
      </c>
      <c r="BM73" s="369" cm="1">
        <f t="array" aca="1" ref="BM73" ca="1">IF(TblConstr[[#This Row],[Hour]:[Hour]]&gt;12,OFFSET(TblConstr[[#This Row],[Tem]],-12,0),0)+OFFSET(TblConstr[[#This Row],[Tot Tem]],-1,0)-TblConstr[[#This Row],[Dest Tem]]</f>
        <v>0</v>
      </c>
      <c r="BN73" s="369" cm="1">
        <f t="array" aca="1" ref="BN73" ca="1">IF(TblConstr[[#This Row],[Hour]:[Hour]]&gt;12,OFFSET(TblConstr[[#This Row],[WG]],-12,0),0)+OFFSET(TblConstr[[#This Row],[Tot WG]],-1,0)-TblConstr[[#This Row],[Dest WG]]</f>
        <v>0</v>
      </c>
      <c r="BO73" s="191" cm="1">
        <f t="array" aca="1" ref="BO73" ca="1">IF(TblConstr[[#This Row],[Hour]:[Hour]]&gt;12,OFFSET(TblConstr[[#This Row],[DM]],-12,0),0)+OFFSET(TblConstr[[#This Row],[Tot DM]],-1,0)-TblConstr[[#This Row],[Dest DM]]</f>
        <v>0</v>
      </c>
      <c r="BP73" s="191" cm="1">
        <f t="array" aca="1" ref="BP73" ca="1">IF(TblConstr[[#This Row],[Hour]:[Hour]]&gt;12,OFFSET(TblConstr[[#This Row],[Sch]],-12,0),0)+OFFSET(TblConstr[[#This Row],[Tot Sch]],-1,0)-TblConstr[[#This Row],[Dest Sch]]</f>
        <v>0</v>
      </c>
      <c r="BQ73" s="192" cm="1">
        <f t="array" aca="1" ref="BQ73" ca="1">IF(TblConstr[[#This Row],[Hour]:[Hour]]&gt;12,OFFSET(TblConstr[[#This Row],[Doc]],-12,0),0)+OFFSET(TblConstr[[#This Row],[Tot Doc]],-1,0)-TblConstr[[#This Row],[Dest Doc]]</f>
        <v>0</v>
      </c>
      <c r="BR73" s="142"/>
      <c r="BS73" s="154"/>
      <c r="BT73" s="94">
        <f ca="1">TblConstr[[#This Row],[Land]]</f>
        <v>50</v>
      </c>
      <c r="BU73" s="159">
        <f ca="1">TblImps[[#This Row],[Time]]</f>
        <v>46322.874999999833</v>
      </c>
      <c r="BV73" s="142"/>
      <c r="BW73" s="179"/>
      <c r="BX73" s="179"/>
      <c r="BY73" s="179"/>
      <c r="BZ73" s="179"/>
      <c r="CA73" s="179"/>
      <c r="CB73" s="179"/>
      <c r="CC73" s="179"/>
      <c r="CD73" s="179"/>
      <c r="CE73" s="179"/>
      <c r="CF73" s="179"/>
      <c r="CG73" s="179"/>
      <c r="CH73" s="179"/>
      <c r="CI73" s="179"/>
      <c r="CJ73" s="179"/>
      <c r="CK73" s="179"/>
      <c r="CL73" s="179"/>
      <c r="CM73" s="179"/>
      <c r="CN73" s="179"/>
      <c r="CO73" s="179"/>
      <c r="CP73" s="142"/>
      <c r="CQ73" s="181">
        <f ca="1">-SUM(TblConstr[[#This Row],[Alc]:[Mas]])+SUM(TblConstr[[#This Row],[Dest Alc]:[Dest Mas]])+Rezone!L73+IF("Ch_"&amp; home_land=TblConstr[[#Headers],[Ch_Plain]],TblConstr[[#This Row],[Home Land]])+IF(TblConstr[[#This Row],[Hour]:[Hour]]&gt;12,OFFSET(TblExplore[[#This Row],[Plains Explore]],-12,0),0)</f>
        <v>0</v>
      </c>
      <c r="CR73" s="182">
        <f ca="1">-SUM(TblConstr[[#This Row],[Ly]:[Hav]])+SUM(TblConstr[[#This Row],[Dest Ly]:[Dest Hav]]) +Rezone!M73 + IF("Ch_"&amp; home_land=TblConstr[[#Headers],[Ch_Forest]],TblConstr[[#This Row],[Home Land]])+IF(TblConstr[[#This Row],[Hour]:[Hour]]&gt;12,OFFSET(TblExplore[[#This Row],[Forest Explore]],-12,0),0)</f>
        <v>0</v>
      </c>
      <c r="CS73" s="359">
        <f ca="1">-SUM(TblConstr[[#This Row],[OM]:[GN]])+SUM(TblConstr[[#This Row],[Dest OM]:[Dest GN]]) +Rezone!N73 + IF("Ch_"&amp; home_land=TblConstr[[#Headers],[Ch_Mountain]],TblConstr[[#This Row],[Home Land]])+IF(TblConstr[[#This Row],[Hour]:[Hour]]&gt;12,OFFSET(TblExplore[[#This Row],[Mountain Explore]],-12,0),0)</f>
        <v>0</v>
      </c>
      <c r="CT73" s="183">
        <f ca="1">-SUM(TblConstr[[#This Row],[Fac]:[Shr]])+SUM(TblConstr[[#This Row],[Dest Fac]:[Dest Shr]]) +Rezone!O73 + IF("Ch_" &amp; home_land=TblConstr[[#Headers],[Ch_Hill]],TblConstr[[#This Row],[Home Land]])+IF(TblConstr[[#This Row],[Hour]:[Hour]]&gt;12,OFFSET(TblExplore[[#This Row],[Hill Explore]],-12,0),0)</f>
        <v>0</v>
      </c>
      <c r="CU73" s="184">
        <f ca="1">-SUM(TblConstr[[#This Row],[Tow]:[WG]])+SUM(TblConstr[[#This Row],[Dest Tow]:[Dest WG]]) +Rezone!P73 + IF("Ch_" &amp; home_land=TblConstr[[#Headers],[Ch_Swamp]],TblConstr[[#This Row],[Home Land]])+IF(TblConstr[[#This Row],[Hour]:[Hour]]&gt;12,OFFSET(TblExplore[[#This Row],[Swamp Explore]],-12,0),0)</f>
        <v>0</v>
      </c>
      <c r="CV73" s="185">
        <f ca="1" xml:space="preserve"> - SUM(TblConstr[[#This Row],[DM]:[Sch]])+SUM(TblConstr[[#This Row],[Dest DM]:[Dest Sch]]) +Rezone!Q73 + IF("Ch_" &amp; home_land=TblConstr[[#Headers],[Ch_Cavern]],TblConstr[[#This Row],[Home Land]])+IF(TblConstr[[#This Row],[Hour]:[Hour]]&gt;12,OFFSET(TblExplore[[#This Row],[Cavern Explore]],-12,0),0)</f>
        <v>0</v>
      </c>
      <c r="CW73" s="186">
        <f ca="1">-TblConstr[[#This Row],[Doc]]+TblConstr[[#This Row],[Dest Doc]] +Rezone!R73 + IF("Ch_" &amp; home_land=TblConstr[[#Headers],[Ch_Water]],TblConstr[[#This Row],[Home Land]])+IF(TblConstr[[#This Row],[Hour]:[Hour]]&gt;12,OFFSET(TblExplore[[#This Row],[Water Explore]],-12,0),0)</f>
        <v>0</v>
      </c>
      <c r="CX73" s="45">
        <f>IF(Explore!S73=1,20) - TblConstr[[#This Row],[Hom]] + TblConstr[[#This Row],[Dest Hom]]</f>
        <v>0</v>
      </c>
      <c r="CY73" s="142"/>
      <c r="CZ73" s="94">
        <f t="shared" ca="1" si="12"/>
        <v>30</v>
      </c>
      <c r="DA73" s="94">
        <f t="shared" ca="1" si="13"/>
        <v>20</v>
      </c>
      <c r="DB73" s="45">
        <f t="shared" ca="1" si="14"/>
        <v>0</v>
      </c>
      <c r="DC73" s="94">
        <f t="shared" ca="1" si="15"/>
        <v>0</v>
      </c>
      <c r="DD73" s="94">
        <f t="shared" ca="1" si="16"/>
        <v>0</v>
      </c>
      <c r="DE73" s="45">
        <f t="shared" ca="1" si="17"/>
        <v>0</v>
      </c>
      <c r="DF73" s="94">
        <f t="shared" ca="1" si="18"/>
        <v>0</v>
      </c>
      <c r="DG73" s="94" cm="1">
        <f t="array" aca="1" ref="DG73" ca="1">INDEX(TblConstr[[Total Plain]:[Total Water]],ROW()-ROW(TblConstr[#Headers]),MATCH("Total "&amp;home_land,TblConstr[[#Headers],[Total Plain]:[Total Water]],0))+TblConstr[[#This Row],[Homes]]</f>
        <v>30</v>
      </c>
      <c r="DH73" s="45">
        <f t="shared" ca="1" si="10"/>
        <v>0</v>
      </c>
      <c r="DI73" s="45">
        <f t="shared" ca="1" si="19"/>
        <v>0</v>
      </c>
      <c r="DJ73" s="45">
        <f t="shared" ca="1" si="20"/>
        <v>0</v>
      </c>
    </row>
    <row r="74" spans="1:114" x14ac:dyDescent="0.2">
      <c r="A74" s="175">
        <f>TblRezone[[#This Row],[Hour]]</f>
        <v>71</v>
      </c>
      <c r="B74" s="176">
        <f ca="1">SUM(TblConstr[[#This Row],[Plain]:[Water]])</f>
        <v>0</v>
      </c>
      <c r="C74" s="177">
        <f ca="1">SUM(TblConstr[[#This Row],[Tot Hom]:[Tot Doc]])</f>
        <v>50</v>
      </c>
      <c r="D74" s="177">
        <f t="shared" si="11"/>
        <v>0</v>
      </c>
      <c r="E74" s="178"/>
      <c r="F74" s="61">
        <f ca="1">TblConstr[[#This Row],[Barren]]+TblConstr[[#This Row],[Buildings]]+TblConstr[[#This Row],[Incoming]]</f>
        <v>50</v>
      </c>
      <c r="G74" s="187">
        <f ca="1">OFFSET(TblConstr[[#This Row],[Plain]],-1,0)+TblConstr[[#This Row],[Ch_Plain]]</f>
        <v>0</v>
      </c>
      <c r="H74" s="182">
        <f ca="1">OFFSET(TblConstr[[#This Row],[Forest]],-1,0)+TblConstr[[#This Row],[Ch_Forest]]</f>
        <v>0</v>
      </c>
      <c r="I74" s="359">
        <f ca="1">OFFSET(TblConstr[[#This Row],[Mountain]],-1,0)+TblConstr[[#This Row],[Ch_Mountain]]</f>
        <v>0</v>
      </c>
      <c r="J74" s="363">
        <f ca="1">OFFSET(TblConstr[[#This Row],[Hill]],-1,0)+TblConstr[[#This Row],[Ch_Hill]]</f>
        <v>0</v>
      </c>
      <c r="K74" s="367">
        <f ca="1">OFFSET(TblConstr[[#This Row],[Swamp]],-1,0)+TblConstr[[#This Row],[Ch_Swamp]]</f>
        <v>0</v>
      </c>
      <c r="L74" s="185">
        <f ca="1">OFFSET(TblConstr[[#This Row],[Cavern]],-1,0)+TblConstr[[#This Row],[Ch_Cavern]]</f>
        <v>0</v>
      </c>
      <c r="M74" s="186">
        <f ca="1">OFFSET(TblConstr[[#This Row],[Water]],-1,0)+TblConstr[[#This Row],[Ch_Water]]</f>
        <v>0</v>
      </c>
      <c r="N74" s="357">
        <f>TblRezone[[#This Row],[Hour]]</f>
        <v>71</v>
      </c>
      <c r="O74" s="179"/>
      <c r="P74" s="179"/>
      <c r="Q74" s="179"/>
      <c r="R74" s="179"/>
      <c r="S74" s="179"/>
      <c r="T74" s="179"/>
      <c r="U74" s="179"/>
      <c r="V74" s="179"/>
      <c r="W74" s="179"/>
      <c r="X74" s="179"/>
      <c r="Y74" s="179"/>
      <c r="Z74" s="179"/>
      <c r="AA74" s="179"/>
      <c r="AB74" s="179"/>
      <c r="AC74" s="179"/>
      <c r="AD74" s="179"/>
      <c r="AE74" s="179"/>
      <c r="AF74" s="179"/>
      <c r="AG74" s="179"/>
      <c r="AH74" s="53">
        <f ca="1">TblImps[[#This Row],[Time]]</f>
        <v>46322.916666666497</v>
      </c>
      <c r="AI74" s="180">
        <f ca="1">MIN(25%,(TblConstr[[#This Row],[Tot Fac]]+TblConstr[[#This Row],[Dest Fac]])/(TblConstr[[#This Row],[Land]]-TblExplore[[#This Row],[Land Bonus]]*20))</f>
        <v>0</v>
      </c>
      <c r="AJ74" s="180">
        <f ca="1">MIN(25%,(TblConstr[[#This Row],[Tot Fac]]+TblConstr[[#This Row],[Dest Fac]])/TblConstr[[#This Row],[Land]])</f>
        <v>0</v>
      </c>
      <c r="AK74" s="94">
        <f ca="1">TblProd[[#This Row],[Platinum]]</f>
        <v>184068</v>
      </c>
      <c r="AL74" s="94">
        <f ca="1">TblProd[[#This Row],[Lumber]]</f>
        <v>57937</v>
      </c>
      <c r="AM7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4" s="94">
        <f ca="1">ROUNDDOWN( MAX(1 - MIN(facs_constr_factor*TblConstr[[#This Row],[Facs -DB]],facs_constr_max) + tech_1_11*TblTech[[#This Row],[11-1]] + tech_6_3_2*TblTech[[#This Row],[6-3]] + tech_5_2_3*TblTech[[#This Row],[5-2]], 1-global_constr_cap) * TblConstr[[#This Row],[RCPA Lumber]],0)</f>
        <v>31</v>
      </c>
      <c r="AO7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4" s="94">
        <f ca="1">ROUNDDOWN( MAX(1 - MIN(facs_constr_factor*TblConstr[[#This Row],[Facs DB]],facs_constr_max) + tech_1_11*TblTech[[#This Row],[1-11]] + tech_6_3_2*TblTech[[#This Row],[6-3]] + tech_5_2_3*TblTech[[#This Row],[5-2]], 1-global_constr_cap) * ROUND((TblConstr[[#This Row],[Land]]-250)*0.285 + 87.5 + 0/4.25,0),0)</f>
        <v>31</v>
      </c>
      <c r="AQ74" s="45">
        <f ca="1">TblConstr[[#This Row],[build -db]]*TblConstr[[#This Row],[CPA Platinum -DB]] + TblConstr[[#This Row],[build db]]*TblConstr[[#This Row],[CPA Platinum DB]]</f>
        <v>0</v>
      </c>
      <c r="AR74" s="45">
        <f ca="1">TblConstr[[#This Row],[build -db]]*TblConstr[[#This Row],[CPA Lumber -DB]] + TblConstr[[#This Row],[build db]]*TblConstr[[#This Row],[CPA Lumber DB]]</f>
        <v>0</v>
      </c>
      <c r="AS74" s="94">
        <f ca="1">MIN(SUM(OFFSET(TblConstr[[#This Row],[Plain]:[Water]],-1,0))+SUM(TblConstr[[#This Row],[Dest Hom]:[Dest Doc]])+IF(TblConstr[[#This Row],[Hour]]&gt;12,SUM(OFFSET(TblExplore[[#This Row],[Plains Explore]:[Water Explore]],-12,0)),0),SUM(TblConstr[[#This Row],[Hom]:[Doc]]))</f>
        <v>0</v>
      </c>
      <c r="AT7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42"/>
      <c r="AV74" s="94">
        <f ca="1">ROUND((TblConstr[[#This Row],[Land]]-250 - IF(TblExplore[[#This Row],[Land Bonus]]&lt;&gt;0,20,0))*1.25 + 850 + 0,0)</f>
        <v>600</v>
      </c>
      <c r="AW74" s="94">
        <f ca="1">ROUND((TblConstr[[#This Row],[Land]]-250 - IF(TblExplore[[#This Row],[Land Bonus]]&lt;&gt;0,20,0))*0.285 + 87.5 + 0/4.25,0)</f>
        <v>31</v>
      </c>
      <c r="AX74" s="154"/>
      <c r="AY74" s="188" cm="1">
        <f t="array" aca="1" ref="AY74" ca="1">IF(TblConstr[[#This Row],[Hour]:[Hour]]&gt;12,OFFSET(TblConstr[[#This Row],[Hom]],-12,0),0)+OFFSET(TblConstr[[#This Row],[Tot Hom]],-1,0)-TblConstr[[#This Row],[Dest Hom]]</f>
        <v>0</v>
      </c>
      <c r="AZ74" s="189" cm="1">
        <f t="array" aca="1" ref="AZ74" ca="1">IF(TblConstr[[#This Row],[Hour]:[Hour]]&gt;12,OFFSET(TblConstr[[#This Row],[Alc]],-12,0),0)+OFFSET(TblConstr[[#This Row],[Tot Alc]],-1,0)-TblConstr[[#This Row],[Dest Alc]]</f>
        <v>0</v>
      </c>
      <c r="BA74" s="189" cm="1">
        <f t="array" aca="1" ref="BA74" ca="1">IF(TblConstr[[#This Row],[Hour]:[Hour]]&gt;12,OFFSET(TblConstr[[#This Row],[Far]],-12,0),0)+OFFSET(TblConstr[[#This Row],[Tot Farm]],-1,0)-TblConstr[[#This Row],[Dest Farm]]</f>
        <v>30</v>
      </c>
      <c r="BB74" s="189" cm="1">
        <f t="array" aca="1" ref="BB74" ca="1">IF(TblConstr[[#This Row],[Hour]:[Hour]]&gt;12,OFFSET(TblConstr[[#This Row],[Smi]],-12,0),0)+OFFSET(TblConstr[[#This Row],[Tot Smi]],-1,0)-TblConstr[[#This Row],[Dest Smi]]</f>
        <v>0</v>
      </c>
      <c r="BC74" s="189" cm="1">
        <f t="array" aca="1" ref="BC74" ca="1">IF(TblConstr[[#This Row],[Hour]:[Hour]]&gt;12,OFFSET(TblConstr[[#This Row],[Mas]],-12,0),0)+OFFSET(TblConstr[[#This Row],[Tot Mas]],-1,0)-TblConstr[[#This Row],[Dest Mas]]</f>
        <v>0</v>
      </c>
      <c r="BD74" s="190" cm="1">
        <f t="array" aca="1" ref="BD74" ca="1">IF(TblConstr[[#This Row],[Hour]:[Hour]]&gt;12,OFFSET(TblConstr[[#This Row],[Ly]],-12,0),0)+OFFSET(TblConstr[[#This Row],[Tot Ly]],-1,0)-TblConstr[[#This Row],[Dest Ly]]</f>
        <v>20</v>
      </c>
      <c r="BE74" s="190" cm="1">
        <f t="array" aca="1" ref="BE74" ca="1">IF(TblConstr[[#This Row],[Hour]:[Hour]]&gt;12,OFFSET(TblConstr[[#This Row],[Hav]],-12,0),0)+OFFSET(TblConstr[[#This Row],[Tot Hav]],-1,0)-TblConstr[[#This Row],[Dest Hav]]</f>
        <v>0</v>
      </c>
      <c r="BF74" s="361" cm="1">
        <f t="array" aca="1" ref="BF74" ca="1">IF(TblConstr[[#This Row],[Hour]:[Hour]]&gt;12,OFFSET(TblConstr[[#This Row],[OM]],-12,0),0)+OFFSET(TblConstr[[#This Row],[Tot OM]],-1,0)-TblConstr[[#This Row],[Dest OM]]</f>
        <v>0</v>
      </c>
      <c r="BG74" s="361" cm="1">
        <f t="array" aca="1" ref="BG74" ca="1">IF(TblConstr[[#This Row],[Hour]:[Hour]]&gt;12,OFFSET(TblConstr[[#This Row],[GN]],-12,0),0)+OFFSET(TblConstr[[#This Row],[Tot GN]],-1,0)-TblConstr[[#This Row],[Dest GN]]</f>
        <v>0</v>
      </c>
      <c r="BH74" s="365" cm="1">
        <f t="array" aca="1" ref="BH74" ca="1">IF(TblConstr[[#This Row],[Hour]:[Hour]]&gt;12,OFFSET(TblConstr[[#This Row],[Fac]],-12,0),0)+OFFSET(TblConstr[[#This Row],[Tot Fac]],-1,0)-TblConstr[[#This Row],[Dest Fac]]</f>
        <v>0</v>
      </c>
      <c r="BI74" s="365" cm="1">
        <f t="array" aca="1" ref="BI74" ca="1">IF(TblConstr[[#This Row],[Hour]:[Hour]]&gt;12,OFFSET(TblConstr[[#This Row],[GT]],-12,0),0)+OFFSET(TblConstr[[#This Row],[Tot GT]],-1,0)-TblConstr[[#This Row],[Dest GT]]</f>
        <v>0</v>
      </c>
      <c r="BJ74" s="365" cm="1">
        <f t="array" aca="1" ref="BJ74" ca="1">IF(TblConstr[[#This Row],[Hour]:[Hour]]&gt;12,OFFSET(TblConstr[[#This Row],[Bar]],-12,0),0)+OFFSET(TblConstr[[#This Row],[Tot Bar]],-1,0)-TblConstr[[#This Row],[Dest Bar]]</f>
        <v>0</v>
      </c>
      <c r="BK74" s="365" cm="1">
        <f t="array" aca="1" ref="BK74" ca="1">IF(TblConstr[[#This Row],[Hour]:[Hour]]&gt;12,OFFSET(TblConstr[[#This Row],[Shr]],-12,0),0)+OFFSET(TblConstr[[#This Row],[Tot Shr]],-1,0)-TblConstr[[#This Row],[Dest Shr]]</f>
        <v>0</v>
      </c>
      <c r="BL74" s="369" cm="1">
        <f t="array" aca="1" ref="BL74" ca="1">IF(TblConstr[[#This Row],[Hour]:[Hour]]&gt;12,OFFSET(TblConstr[[#This Row],[Tow]],-12,0),0)+OFFSET(TblConstr[[#This Row],[Tot Tow]],-1,0)-TblConstr[[#This Row],[Dest Tow]]</f>
        <v>0</v>
      </c>
      <c r="BM74" s="369" cm="1">
        <f t="array" aca="1" ref="BM74" ca="1">IF(TblConstr[[#This Row],[Hour]:[Hour]]&gt;12,OFFSET(TblConstr[[#This Row],[Tem]],-12,0),0)+OFFSET(TblConstr[[#This Row],[Tot Tem]],-1,0)-TblConstr[[#This Row],[Dest Tem]]</f>
        <v>0</v>
      </c>
      <c r="BN74" s="369" cm="1">
        <f t="array" aca="1" ref="BN74" ca="1">IF(TblConstr[[#This Row],[Hour]:[Hour]]&gt;12,OFFSET(TblConstr[[#This Row],[WG]],-12,0),0)+OFFSET(TblConstr[[#This Row],[Tot WG]],-1,0)-TblConstr[[#This Row],[Dest WG]]</f>
        <v>0</v>
      </c>
      <c r="BO74" s="191" cm="1">
        <f t="array" aca="1" ref="BO74" ca="1">IF(TblConstr[[#This Row],[Hour]:[Hour]]&gt;12,OFFSET(TblConstr[[#This Row],[DM]],-12,0),0)+OFFSET(TblConstr[[#This Row],[Tot DM]],-1,0)-TblConstr[[#This Row],[Dest DM]]</f>
        <v>0</v>
      </c>
      <c r="BP74" s="191" cm="1">
        <f t="array" aca="1" ref="BP74" ca="1">IF(TblConstr[[#This Row],[Hour]:[Hour]]&gt;12,OFFSET(TblConstr[[#This Row],[Sch]],-12,0),0)+OFFSET(TblConstr[[#This Row],[Tot Sch]],-1,0)-TblConstr[[#This Row],[Dest Sch]]</f>
        <v>0</v>
      </c>
      <c r="BQ74" s="192" cm="1">
        <f t="array" aca="1" ref="BQ74" ca="1">IF(TblConstr[[#This Row],[Hour]:[Hour]]&gt;12,OFFSET(TblConstr[[#This Row],[Doc]],-12,0),0)+OFFSET(TblConstr[[#This Row],[Tot Doc]],-1,0)-TblConstr[[#This Row],[Dest Doc]]</f>
        <v>0</v>
      </c>
      <c r="BR74" s="142"/>
      <c r="BS74" s="154"/>
      <c r="BT74" s="94">
        <f ca="1">TblConstr[[#This Row],[Land]]</f>
        <v>50</v>
      </c>
      <c r="BU74" s="159">
        <f ca="1">TblImps[[#This Row],[Time]]</f>
        <v>46322.916666666497</v>
      </c>
      <c r="BV74" s="142"/>
      <c r="BW74" s="179"/>
      <c r="BX74" s="179"/>
      <c r="BY74" s="179"/>
      <c r="BZ74" s="179"/>
      <c r="CA74" s="179"/>
      <c r="CB74" s="179"/>
      <c r="CC74" s="179"/>
      <c r="CD74" s="179"/>
      <c r="CE74" s="179"/>
      <c r="CF74" s="179"/>
      <c r="CG74" s="179"/>
      <c r="CH74" s="179"/>
      <c r="CI74" s="179"/>
      <c r="CJ74" s="179"/>
      <c r="CK74" s="179"/>
      <c r="CL74" s="179"/>
      <c r="CM74" s="179"/>
      <c r="CN74" s="179"/>
      <c r="CO74" s="179"/>
      <c r="CP74" s="142"/>
      <c r="CQ74" s="181">
        <f ca="1">-SUM(TblConstr[[#This Row],[Alc]:[Mas]])+SUM(TblConstr[[#This Row],[Dest Alc]:[Dest Mas]])+Rezone!L74+IF("Ch_"&amp; home_land=TblConstr[[#Headers],[Ch_Plain]],TblConstr[[#This Row],[Home Land]])+IF(TblConstr[[#This Row],[Hour]:[Hour]]&gt;12,OFFSET(TblExplore[[#This Row],[Plains Explore]],-12,0),0)</f>
        <v>0</v>
      </c>
      <c r="CR74" s="182">
        <f ca="1">-SUM(TblConstr[[#This Row],[Ly]:[Hav]])+SUM(TblConstr[[#This Row],[Dest Ly]:[Dest Hav]]) +Rezone!M74 + IF("Ch_"&amp; home_land=TblConstr[[#Headers],[Ch_Forest]],TblConstr[[#This Row],[Home Land]])+IF(TblConstr[[#This Row],[Hour]:[Hour]]&gt;12,OFFSET(TblExplore[[#This Row],[Forest Explore]],-12,0),0)</f>
        <v>0</v>
      </c>
      <c r="CS74" s="359">
        <f ca="1">-SUM(TblConstr[[#This Row],[OM]:[GN]])+SUM(TblConstr[[#This Row],[Dest OM]:[Dest GN]]) +Rezone!N74 + IF("Ch_"&amp; home_land=TblConstr[[#Headers],[Ch_Mountain]],TblConstr[[#This Row],[Home Land]])+IF(TblConstr[[#This Row],[Hour]:[Hour]]&gt;12,OFFSET(TblExplore[[#This Row],[Mountain Explore]],-12,0),0)</f>
        <v>0</v>
      </c>
      <c r="CT74" s="183">
        <f ca="1">-SUM(TblConstr[[#This Row],[Fac]:[Shr]])+SUM(TblConstr[[#This Row],[Dest Fac]:[Dest Shr]]) +Rezone!O74 + IF("Ch_" &amp; home_land=TblConstr[[#Headers],[Ch_Hill]],TblConstr[[#This Row],[Home Land]])+IF(TblConstr[[#This Row],[Hour]:[Hour]]&gt;12,OFFSET(TblExplore[[#This Row],[Hill Explore]],-12,0),0)</f>
        <v>0</v>
      </c>
      <c r="CU74" s="184">
        <f ca="1">-SUM(TblConstr[[#This Row],[Tow]:[WG]])+SUM(TblConstr[[#This Row],[Dest Tow]:[Dest WG]]) +Rezone!P74 + IF("Ch_" &amp; home_land=TblConstr[[#Headers],[Ch_Swamp]],TblConstr[[#This Row],[Home Land]])+IF(TblConstr[[#This Row],[Hour]:[Hour]]&gt;12,OFFSET(TblExplore[[#This Row],[Swamp Explore]],-12,0),0)</f>
        <v>0</v>
      </c>
      <c r="CV74" s="185">
        <f ca="1" xml:space="preserve"> - SUM(TblConstr[[#This Row],[DM]:[Sch]])+SUM(TblConstr[[#This Row],[Dest DM]:[Dest Sch]]) +Rezone!Q74 + IF("Ch_" &amp; home_land=TblConstr[[#Headers],[Ch_Cavern]],TblConstr[[#This Row],[Home Land]])+IF(TblConstr[[#This Row],[Hour]:[Hour]]&gt;12,OFFSET(TblExplore[[#This Row],[Cavern Explore]],-12,0),0)</f>
        <v>0</v>
      </c>
      <c r="CW74" s="186">
        <f ca="1">-TblConstr[[#This Row],[Doc]]+TblConstr[[#This Row],[Dest Doc]] +Rezone!R74 + IF("Ch_" &amp; home_land=TblConstr[[#Headers],[Ch_Water]],TblConstr[[#This Row],[Home Land]])+IF(TblConstr[[#This Row],[Hour]:[Hour]]&gt;12,OFFSET(TblExplore[[#This Row],[Water Explore]],-12,0),0)</f>
        <v>0</v>
      </c>
      <c r="CX74" s="45">
        <f>IF(Explore!S74=1,20) - TblConstr[[#This Row],[Hom]] + TblConstr[[#This Row],[Dest Hom]]</f>
        <v>0</v>
      </c>
      <c r="CY74" s="142"/>
      <c r="CZ74" s="94">
        <f t="shared" ca="1" si="12"/>
        <v>30</v>
      </c>
      <c r="DA74" s="94">
        <f t="shared" ca="1" si="13"/>
        <v>20</v>
      </c>
      <c r="DB74" s="45">
        <f t="shared" ca="1" si="14"/>
        <v>0</v>
      </c>
      <c r="DC74" s="94">
        <f t="shared" ca="1" si="15"/>
        <v>0</v>
      </c>
      <c r="DD74" s="94">
        <f t="shared" ca="1" si="16"/>
        <v>0</v>
      </c>
      <c r="DE74" s="45">
        <f t="shared" ca="1" si="17"/>
        <v>0</v>
      </c>
      <c r="DF74" s="94">
        <f t="shared" ca="1" si="18"/>
        <v>0</v>
      </c>
      <c r="DG74" s="94" cm="1">
        <f t="array" aca="1" ref="DG74" ca="1">INDEX(TblConstr[[Total Plain]:[Total Water]],ROW()-ROW(TblConstr[#Headers]),MATCH("Total "&amp;home_land,TblConstr[[#Headers],[Total Plain]:[Total Water]],0))+TblConstr[[#This Row],[Homes]]</f>
        <v>30</v>
      </c>
      <c r="DH74" s="45">
        <f t="shared" ca="1" si="10"/>
        <v>0</v>
      </c>
      <c r="DI74" s="45">
        <f t="shared" ca="1" si="19"/>
        <v>0</v>
      </c>
      <c r="DJ74" s="45">
        <f t="shared" ca="1" si="20"/>
        <v>0</v>
      </c>
    </row>
    <row r="75" spans="1:114" x14ac:dyDescent="0.2">
      <c r="A75" s="175">
        <f>TblRezone[[#This Row],[Hour]]</f>
        <v>72</v>
      </c>
      <c r="B75" s="176">
        <f ca="1">SUM(TblConstr[[#This Row],[Plain]:[Water]])</f>
        <v>0</v>
      </c>
      <c r="C75" s="177">
        <f ca="1">SUM(TblConstr[[#This Row],[Tot Hom]:[Tot Doc]])</f>
        <v>50</v>
      </c>
      <c r="D75" s="177">
        <f t="shared" si="11"/>
        <v>0</v>
      </c>
      <c r="E75" s="178"/>
      <c r="F75" s="61">
        <f ca="1">TblConstr[[#This Row],[Barren]]+TblConstr[[#This Row],[Buildings]]+TblConstr[[#This Row],[Incoming]]</f>
        <v>50</v>
      </c>
      <c r="G75" s="187">
        <f ca="1">OFFSET(TblConstr[[#This Row],[Plain]],-1,0)+TblConstr[[#This Row],[Ch_Plain]]</f>
        <v>0</v>
      </c>
      <c r="H75" s="182">
        <f ca="1">OFFSET(TblConstr[[#This Row],[Forest]],-1,0)+TblConstr[[#This Row],[Ch_Forest]]</f>
        <v>0</v>
      </c>
      <c r="I75" s="359">
        <f ca="1">OFFSET(TblConstr[[#This Row],[Mountain]],-1,0)+TblConstr[[#This Row],[Ch_Mountain]]</f>
        <v>0</v>
      </c>
      <c r="J75" s="363">
        <f ca="1">OFFSET(TblConstr[[#This Row],[Hill]],-1,0)+TblConstr[[#This Row],[Ch_Hill]]</f>
        <v>0</v>
      </c>
      <c r="K75" s="367">
        <f ca="1">OFFSET(TblConstr[[#This Row],[Swamp]],-1,0)+TblConstr[[#This Row],[Ch_Swamp]]</f>
        <v>0</v>
      </c>
      <c r="L75" s="185">
        <f ca="1">OFFSET(TblConstr[[#This Row],[Cavern]],-1,0)+TblConstr[[#This Row],[Ch_Cavern]]</f>
        <v>0</v>
      </c>
      <c r="M75" s="186">
        <f ca="1">OFFSET(TblConstr[[#This Row],[Water]],-1,0)+TblConstr[[#This Row],[Ch_Water]]</f>
        <v>0</v>
      </c>
      <c r="N75" s="357">
        <f>TblRezone[[#This Row],[Hour]]</f>
        <v>72</v>
      </c>
      <c r="O75" s="179"/>
      <c r="P75" s="179"/>
      <c r="Q75" s="179"/>
      <c r="R75" s="179"/>
      <c r="S75" s="179"/>
      <c r="T75" s="179"/>
      <c r="U75" s="179"/>
      <c r="V75" s="179"/>
      <c r="W75" s="179"/>
      <c r="X75" s="179"/>
      <c r="Y75" s="179"/>
      <c r="Z75" s="179"/>
      <c r="AA75" s="179"/>
      <c r="AB75" s="179"/>
      <c r="AC75" s="179"/>
      <c r="AD75" s="179"/>
      <c r="AE75" s="179"/>
      <c r="AF75" s="179"/>
      <c r="AG75" s="179"/>
      <c r="AH75" s="53">
        <f ca="1">TblImps[[#This Row],[Time]]</f>
        <v>46322.958333333161</v>
      </c>
      <c r="AI75" s="180">
        <f ca="1">MIN(25%,(TblConstr[[#This Row],[Tot Fac]]+TblConstr[[#This Row],[Dest Fac]])/(TblConstr[[#This Row],[Land]]-TblExplore[[#This Row],[Land Bonus]]*20))</f>
        <v>0</v>
      </c>
      <c r="AJ75" s="180">
        <f ca="1">MIN(25%,(TblConstr[[#This Row],[Tot Fac]]+TblConstr[[#This Row],[Dest Fac]])/TblConstr[[#This Row],[Land]])</f>
        <v>0</v>
      </c>
      <c r="AK75" s="94">
        <f ca="1">TblProd[[#This Row],[Platinum]]</f>
        <v>184697</v>
      </c>
      <c r="AL75" s="94">
        <f ca="1">TblProd[[#This Row],[Lumber]]</f>
        <v>58358</v>
      </c>
      <c r="AM7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5" s="94">
        <f ca="1">ROUNDDOWN( MAX(1 - MIN(facs_constr_factor*TblConstr[[#This Row],[Facs -DB]],facs_constr_max) + tech_1_11*TblTech[[#This Row],[11-1]] + tech_6_3_2*TblTech[[#This Row],[6-3]] + tech_5_2_3*TblTech[[#This Row],[5-2]], 1-global_constr_cap) * TblConstr[[#This Row],[RCPA Lumber]],0)</f>
        <v>31</v>
      </c>
      <c r="AO7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5" s="94">
        <f ca="1">ROUNDDOWN( MAX(1 - MIN(facs_constr_factor*TblConstr[[#This Row],[Facs DB]],facs_constr_max) + tech_1_11*TblTech[[#This Row],[1-11]] + tech_6_3_2*TblTech[[#This Row],[6-3]] + tech_5_2_3*TblTech[[#This Row],[5-2]], 1-global_constr_cap) * ROUND((TblConstr[[#This Row],[Land]]-250)*0.285 + 87.5 + 0/4.25,0),0)</f>
        <v>31</v>
      </c>
      <c r="AQ75" s="45">
        <f ca="1">TblConstr[[#This Row],[build -db]]*TblConstr[[#This Row],[CPA Platinum -DB]] + TblConstr[[#This Row],[build db]]*TblConstr[[#This Row],[CPA Platinum DB]]</f>
        <v>0</v>
      </c>
      <c r="AR75" s="45">
        <f ca="1">TblConstr[[#This Row],[build -db]]*TblConstr[[#This Row],[CPA Lumber -DB]] + TblConstr[[#This Row],[build db]]*TblConstr[[#This Row],[CPA Lumber DB]]</f>
        <v>0</v>
      </c>
      <c r="AS75" s="94">
        <f ca="1">MIN(SUM(OFFSET(TblConstr[[#This Row],[Plain]:[Water]],-1,0))+SUM(TblConstr[[#This Row],[Dest Hom]:[Dest Doc]])+IF(TblConstr[[#This Row],[Hour]]&gt;12,SUM(OFFSET(TblExplore[[#This Row],[Plains Explore]:[Water Explore]],-12,0)),0),SUM(TblConstr[[#This Row],[Hom]:[Doc]]))</f>
        <v>0</v>
      </c>
      <c r="AT7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42"/>
      <c r="AV75" s="94">
        <f ca="1">ROUND((TblConstr[[#This Row],[Land]]-250 - IF(TblExplore[[#This Row],[Land Bonus]]&lt;&gt;0,20,0))*1.25 + 850 + 0,0)</f>
        <v>600</v>
      </c>
      <c r="AW75" s="94">
        <f ca="1">ROUND((TblConstr[[#This Row],[Land]]-250 - IF(TblExplore[[#This Row],[Land Bonus]]&lt;&gt;0,20,0))*0.285 + 87.5 + 0/4.25,0)</f>
        <v>31</v>
      </c>
      <c r="AX75" s="154"/>
      <c r="AY75" s="188" cm="1">
        <f t="array" aca="1" ref="AY75" ca="1">IF(TblConstr[[#This Row],[Hour]:[Hour]]&gt;12,OFFSET(TblConstr[[#This Row],[Hom]],-12,0),0)+OFFSET(TblConstr[[#This Row],[Tot Hom]],-1,0)-TblConstr[[#This Row],[Dest Hom]]</f>
        <v>0</v>
      </c>
      <c r="AZ75" s="189" cm="1">
        <f t="array" aca="1" ref="AZ75" ca="1">IF(TblConstr[[#This Row],[Hour]:[Hour]]&gt;12,OFFSET(TblConstr[[#This Row],[Alc]],-12,0),0)+OFFSET(TblConstr[[#This Row],[Tot Alc]],-1,0)-TblConstr[[#This Row],[Dest Alc]]</f>
        <v>0</v>
      </c>
      <c r="BA75" s="189" cm="1">
        <f t="array" aca="1" ref="BA75" ca="1">IF(TblConstr[[#This Row],[Hour]:[Hour]]&gt;12,OFFSET(TblConstr[[#This Row],[Far]],-12,0),0)+OFFSET(TblConstr[[#This Row],[Tot Farm]],-1,0)-TblConstr[[#This Row],[Dest Farm]]</f>
        <v>30</v>
      </c>
      <c r="BB75" s="189" cm="1">
        <f t="array" aca="1" ref="BB75" ca="1">IF(TblConstr[[#This Row],[Hour]:[Hour]]&gt;12,OFFSET(TblConstr[[#This Row],[Smi]],-12,0),0)+OFFSET(TblConstr[[#This Row],[Tot Smi]],-1,0)-TblConstr[[#This Row],[Dest Smi]]</f>
        <v>0</v>
      </c>
      <c r="BC75" s="189" cm="1">
        <f t="array" aca="1" ref="BC75" ca="1">IF(TblConstr[[#This Row],[Hour]:[Hour]]&gt;12,OFFSET(TblConstr[[#This Row],[Mas]],-12,0),0)+OFFSET(TblConstr[[#This Row],[Tot Mas]],-1,0)-TblConstr[[#This Row],[Dest Mas]]</f>
        <v>0</v>
      </c>
      <c r="BD75" s="190" cm="1">
        <f t="array" aca="1" ref="BD75" ca="1">IF(TblConstr[[#This Row],[Hour]:[Hour]]&gt;12,OFFSET(TblConstr[[#This Row],[Ly]],-12,0),0)+OFFSET(TblConstr[[#This Row],[Tot Ly]],-1,0)-TblConstr[[#This Row],[Dest Ly]]</f>
        <v>20</v>
      </c>
      <c r="BE75" s="190" cm="1">
        <f t="array" aca="1" ref="BE75" ca="1">IF(TblConstr[[#This Row],[Hour]:[Hour]]&gt;12,OFFSET(TblConstr[[#This Row],[Hav]],-12,0),0)+OFFSET(TblConstr[[#This Row],[Tot Hav]],-1,0)-TblConstr[[#This Row],[Dest Hav]]</f>
        <v>0</v>
      </c>
      <c r="BF75" s="361" cm="1">
        <f t="array" aca="1" ref="BF75" ca="1">IF(TblConstr[[#This Row],[Hour]:[Hour]]&gt;12,OFFSET(TblConstr[[#This Row],[OM]],-12,0),0)+OFFSET(TblConstr[[#This Row],[Tot OM]],-1,0)-TblConstr[[#This Row],[Dest OM]]</f>
        <v>0</v>
      </c>
      <c r="BG75" s="361" cm="1">
        <f t="array" aca="1" ref="BG75" ca="1">IF(TblConstr[[#This Row],[Hour]:[Hour]]&gt;12,OFFSET(TblConstr[[#This Row],[GN]],-12,0),0)+OFFSET(TblConstr[[#This Row],[Tot GN]],-1,0)-TblConstr[[#This Row],[Dest GN]]</f>
        <v>0</v>
      </c>
      <c r="BH75" s="365" cm="1">
        <f t="array" aca="1" ref="BH75" ca="1">IF(TblConstr[[#This Row],[Hour]:[Hour]]&gt;12,OFFSET(TblConstr[[#This Row],[Fac]],-12,0),0)+OFFSET(TblConstr[[#This Row],[Tot Fac]],-1,0)-TblConstr[[#This Row],[Dest Fac]]</f>
        <v>0</v>
      </c>
      <c r="BI75" s="365" cm="1">
        <f t="array" aca="1" ref="BI75" ca="1">IF(TblConstr[[#This Row],[Hour]:[Hour]]&gt;12,OFFSET(TblConstr[[#This Row],[GT]],-12,0),0)+OFFSET(TblConstr[[#This Row],[Tot GT]],-1,0)-TblConstr[[#This Row],[Dest GT]]</f>
        <v>0</v>
      </c>
      <c r="BJ75" s="365" cm="1">
        <f t="array" aca="1" ref="BJ75" ca="1">IF(TblConstr[[#This Row],[Hour]:[Hour]]&gt;12,OFFSET(TblConstr[[#This Row],[Bar]],-12,0),0)+OFFSET(TblConstr[[#This Row],[Tot Bar]],-1,0)-TblConstr[[#This Row],[Dest Bar]]</f>
        <v>0</v>
      </c>
      <c r="BK75" s="365" cm="1">
        <f t="array" aca="1" ref="BK75" ca="1">IF(TblConstr[[#This Row],[Hour]:[Hour]]&gt;12,OFFSET(TblConstr[[#This Row],[Shr]],-12,0),0)+OFFSET(TblConstr[[#This Row],[Tot Shr]],-1,0)-TblConstr[[#This Row],[Dest Shr]]</f>
        <v>0</v>
      </c>
      <c r="BL75" s="369" cm="1">
        <f t="array" aca="1" ref="BL75" ca="1">IF(TblConstr[[#This Row],[Hour]:[Hour]]&gt;12,OFFSET(TblConstr[[#This Row],[Tow]],-12,0),0)+OFFSET(TblConstr[[#This Row],[Tot Tow]],-1,0)-TblConstr[[#This Row],[Dest Tow]]</f>
        <v>0</v>
      </c>
      <c r="BM75" s="369" cm="1">
        <f t="array" aca="1" ref="BM75" ca="1">IF(TblConstr[[#This Row],[Hour]:[Hour]]&gt;12,OFFSET(TblConstr[[#This Row],[Tem]],-12,0),0)+OFFSET(TblConstr[[#This Row],[Tot Tem]],-1,0)-TblConstr[[#This Row],[Dest Tem]]</f>
        <v>0</v>
      </c>
      <c r="BN75" s="369" cm="1">
        <f t="array" aca="1" ref="BN75" ca="1">IF(TblConstr[[#This Row],[Hour]:[Hour]]&gt;12,OFFSET(TblConstr[[#This Row],[WG]],-12,0),0)+OFFSET(TblConstr[[#This Row],[Tot WG]],-1,0)-TblConstr[[#This Row],[Dest WG]]</f>
        <v>0</v>
      </c>
      <c r="BO75" s="191" cm="1">
        <f t="array" aca="1" ref="BO75" ca="1">IF(TblConstr[[#This Row],[Hour]:[Hour]]&gt;12,OFFSET(TblConstr[[#This Row],[DM]],-12,0),0)+OFFSET(TblConstr[[#This Row],[Tot DM]],-1,0)-TblConstr[[#This Row],[Dest DM]]</f>
        <v>0</v>
      </c>
      <c r="BP75" s="191" cm="1">
        <f t="array" aca="1" ref="BP75" ca="1">IF(TblConstr[[#This Row],[Hour]:[Hour]]&gt;12,OFFSET(TblConstr[[#This Row],[Sch]],-12,0),0)+OFFSET(TblConstr[[#This Row],[Tot Sch]],-1,0)-TblConstr[[#This Row],[Dest Sch]]</f>
        <v>0</v>
      </c>
      <c r="BQ75" s="192" cm="1">
        <f t="array" aca="1" ref="BQ75" ca="1">IF(TblConstr[[#This Row],[Hour]:[Hour]]&gt;12,OFFSET(TblConstr[[#This Row],[Doc]],-12,0),0)+OFFSET(TblConstr[[#This Row],[Tot Doc]],-1,0)-TblConstr[[#This Row],[Dest Doc]]</f>
        <v>0</v>
      </c>
      <c r="BR75" s="142"/>
      <c r="BS75" s="154"/>
      <c r="BT75" s="94">
        <f ca="1">TblConstr[[#This Row],[Land]]</f>
        <v>50</v>
      </c>
      <c r="BU75" s="159">
        <f ca="1">TblImps[[#This Row],[Time]]</f>
        <v>46322.958333333161</v>
      </c>
      <c r="BV75" s="142"/>
      <c r="BW75" s="179"/>
      <c r="BX75" s="179"/>
      <c r="BY75" s="179"/>
      <c r="BZ75" s="179"/>
      <c r="CA75" s="179"/>
      <c r="CB75" s="179"/>
      <c r="CC75" s="179"/>
      <c r="CD75" s="179"/>
      <c r="CE75" s="179"/>
      <c r="CF75" s="179"/>
      <c r="CG75" s="179"/>
      <c r="CH75" s="179"/>
      <c r="CI75" s="179"/>
      <c r="CJ75" s="179"/>
      <c r="CK75" s="179"/>
      <c r="CL75" s="179"/>
      <c r="CM75" s="179"/>
      <c r="CN75" s="179"/>
      <c r="CO75" s="179"/>
      <c r="CP75" s="142"/>
      <c r="CQ75" s="181">
        <f ca="1">-SUM(TblConstr[[#This Row],[Alc]:[Mas]])+SUM(TblConstr[[#This Row],[Dest Alc]:[Dest Mas]])+Rezone!L75+IF("Ch_"&amp; home_land=TblConstr[[#Headers],[Ch_Plain]],TblConstr[[#This Row],[Home Land]])+IF(TblConstr[[#This Row],[Hour]:[Hour]]&gt;12,OFFSET(TblExplore[[#This Row],[Plains Explore]],-12,0),0)</f>
        <v>0</v>
      </c>
      <c r="CR75" s="182">
        <f ca="1">-SUM(TblConstr[[#This Row],[Ly]:[Hav]])+SUM(TblConstr[[#This Row],[Dest Ly]:[Dest Hav]]) +Rezone!M75 + IF("Ch_"&amp; home_land=TblConstr[[#Headers],[Ch_Forest]],TblConstr[[#This Row],[Home Land]])+IF(TblConstr[[#This Row],[Hour]:[Hour]]&gt;12,OFFSET(TblExplore[[#This Row],[Forest Explore]],-12,0),0)</f>
        <v>0</v>
      </c>
      <c r="CS75" s="359">
        <f ca="1">-SUM(TblConstr[[#This Row],[OM]:[GN]])+SUM(TblConstr[[#This Row],[Dest OM]:[Dest GN]]) +Rezone!N75 + IF("Ch_"&amp; home_land=TblConstr[[#Headers],[Ch_Mountain]],TblConstr[[#This Row],[Home Land]])+IF(TblConstr[[#This Row],[Hour]:[Hour]]&gt;12,OFFSET(TblExplore[[#This Row],[Mountain Explore]],-12,0),0)</f>
        <v>0</v>
      </c>
      <c r="CT75" s="183">
        <f ca="1">-SUM(TblConstr[[#This Row],[Fac]:[Shr]])+SUM(TblConstr[[#This Row],[Dest Fac]:[Dest Shr]]) +Rezone!O75 + IF("Ch_" &amp; home_land=TblConstr[[#Headers],[Ch_Hill]],TblConstr[[#This Row],[Home Land]])+IF(TblConstr[[#This Row],[Hour]:[Hour]]&gt;12,OFFSET(TblExplore[[#This Row],[Hill Explore]],-12,0),0)</f>
        <v>0</v>
      </c>
      <c r="CU75" s="184">
        <f ca="1">-SUM(TblConstr[[#This Row],[Tow]:[WG]])+SUM(TblConstr[[#This Row],[Dest Tow]:[Dest WG]]) +Rezone!P75 + IF("Ch_" &amp; home_land=TblConstr[[#Headers],[Ch_Swamp]],TblConstr[[#This Row],[Home Land]])+IF(TblConstr[[#This Row],[Hour]:[Hour]]&gt;12,OFFSET(TblExplore[[#This Row],[Swamp Explore]],-12,0),0)</f>
        <v>0</v>
      </c>
      <c r="CV75" s="185">
        <f ca="1" xml:space="preserve"> - SUM(TblConstr[[#This Row],[DM]:[Sch]])+SUM(TblConstr[[#This Row],[Dest DM]:[Dest Sch]]) +Rezone!Q75 + IF("Ch_" &amp; home_land=TblConstr[[#Headers],[Ch_Cavern]],TblConstr[[#This Row],[Home Land]])+IF(TblConstr[[#This Row],[Hour]:[Hour]]&gt;12,OFFSET(TblExplore[[#This Row],[Cavern Explore]],-12,0),0)</f>
        <v>0</v>
      </c>
      <c r="CW75" s="186">
        <f ca="1">-TblConstr[[#This Row],[Doc]]+TblConstr[[#This Row],[Dest Doc]] +Rezone!R75 + IF("Ch_" &amp; home_land=TblConstr[[#Headers],[Ch_Water]],TblConstr[[#This Row],[Home Land]])+IF(TblConstr[[#This Row],[Hour]:[Hour]]&gt;12,OFFSET(TblExplore[[#This Row],[Water Explore]],-12,0),0)</f>
        <v>0</v>
      </c>
      <c r="CX75" s="45">
        <f>IF(Explore!S75=1,20) - TblConstr[[#This Row],[Hom]] + TblConstr[[#This Row],[Dest Hom]]</f>
        <v>0</v>
      </c>
      <c r="CY75" s="142"/>
      <c r="CZ75" s="94">
        <f t="shared" ca="1" si="12"/>
        <v>30</v>
      </c>
      <c r="DA75" s="94">
        <f t="shared" ca="1" si="13"/>
        <v>20</v>
      </c>
      <c r="DB75" s="45">
        <f t="shared" ca="1" si="14"/>
        <v>0</v>
      </c>
      <c r="DC75" s="94">
        <f t="shared" ca="1" si="15"/>
        <v>0</v>
      </c>
      <c r="DD75" s="94">
        <f t="shared" ca="1" si="16"/>
        <v>0</v>
      </c>
      <c r="DE75" s="45">
        <f t="shared" ca="1" si="17"/>
        <v>0</v>
      </c>
      <c r="DF75" s="94">
        <f t="shared" ca="1" si="18"/>
        <v>0</v>
      </c>
      <c r="DG75" s="94" cm="1">
        <f t="array" aca="1" ref="DG75" ca="1">INDEX(TblConstr[[Total Plain]:[Total Water]],ROW()-ROW(TblConstr[#Headers]),MATCH("Total "&amp;home_land,TblConstr[[#Headers],[Total Plain]:[Total Water]],0))+TblConstr[[#This Row],[Homes]]</f>
        <v>30</v>
      </c>
      <c r="DH75" s="45">
        <f t="shared" ca="1" si="10"/>
        <v>0</v>
      </c>
      <c r="DI75" s="45">
        <f t="shared" ca="1" si="19"/>
        <v>0</v>
      </c>
      <c r="DJ75" s="45">
        <f t="shared" ca="1" si="20"/>
        <v>0</v>
      </c>
    </row>
    <row r="76" spans="1:114" x14ac:dyDescent="0.2">
      <c r="A76" s="175">
        <f>TblRezone[[#This Row],[Hour]]</f>
        <v>73</v>
      </c>
      <c r="B76" s="426">
        <f ca="1">SUM(TblConstr[[#This Row],[Plain]:[Water]])</f>
        <v>0</v>
      </c>
      <c r="C76" s="427">
        <f ca="1">SUM(TblConstr[[#This Row],[Tot Hom]:[Tot Doc]])</f>
        <v>50</v>
      </c>
      <c r="D76" s="427">
        <f t="shared" ref="D76:D131" si="21">SUM(O65:AG76)</f>
        <v>0</v>
      </c>
      <c r="E76" s="178"/>
      <c r="F76" s="428">
        <f ca="1">TblConstr[[#This Row],[Barren]]+TblConstr[[#This Row],[Buildings]]+TblConstr[[#This Row],[Incoming]]</f>
        <v>50</v>
      </c>
      <c r="G76" s="187">
        <f ca="1">OFFSET(TblConstr[[#This Row],[Plain]],-1,0)+TblConstr[[#This Row],[Ch_Plain]]</f>
        <v>0</v>
      </c>
      <c r="H76" s="182">
        <f ca="1">OFFSET(TblConstr[[#This Row],[Forest]],-1,0)+TblConstr[[#This Row],[Ch_Forest]]</f>
        <v>0</v>
      </c>
      <c r="I76" s="359">
        <f ca="1">OFFSET(TblConstr[[#This Row],[Mountain]],-1,0)+TblConstr[[#This Row],[Ch_Mountain]]</f>
        <v>0</v>
      </c>
      <c r="J76" s="363">
        <f ca="1">OFFSET(TblConstr[[#This Row],[Hill]],-1,0)+TblConstr[[#This Row],[Ch_Hill]]</f>
        <v>0</v>
      </c>
      <c r="K76" s="367">
        <f ca="1">OFFSET(TblConstr[[#This Row],[Swamp]],-1,0)+TblConstr[[#This Row],[Ch_Swamp]]</f>
        <v>0</v>
      </c>
      <c r="L76" s="185">
        <f ca="1">OFFSET(TblConstr[[#This Row],[Cavern]],-1,0)+TblConstr[[#This Row],[Ch_Cavern]]</f>
        <v>0</v>
      </c>
      <c r="M76" s="186">
        <f ca="1">OFFSET(TblConstr[[#This Row],[Water]],-1,0)+TblConstr[[#This Row],[Ch_Water]]</f>
        <v>0</v>
      </c>
      <c r="N76" s="357">
        <f>TblRezone[[#This Row],[Hour]]</f>
        <v>73</v>
      </c>
      <c r="O76" s="179"/>
      <c r="P76" s="179"/>
      <c r="Q76" s="179"/>
      <c r="R76" s="179"/>
      <c r="S76" s="179"/>
      <c r="T76" s="179"/>
      <c r="U76" s="179"/>
      <c r="V76" s="179"/>
      <c r="W76" s="179"/>
      <c r="X76" s="179"/>
      <c r="Y76" s="179"/>
      <c r="Z76" s="179"/>
      <c r="AA76" s="179"/>
      <c r="AB76" s="179"/>
      <c r="AC76" s="179"/>
      <c r="AD76" s="179"/>
      <c r="AE76" s="179"/>
      <c r="AF76" s="179"/>
      <c r="AG76" s="179"/>
      <c r="AH76" s="202">
        <f ca="1">TblImps[[#This Row],[Time]]</f>
        <v>46322.999999999825</v>
      </c>
      <c r="AI76" s="429">
        <f ca="1">MIN(25%,(TblConstr[[#This Row],[Tot Fac]]+TblConstr[[#This Row],[Dest Fac]])/(TblConstr[[#This Row],[Land]]-TblExplore[[#This Row],[Land Bonus]]*20))</f>
        <v>0</v>
      </c>
      <c r="AJ76" s="429">
        <f ca="1">MIN(25%,(TblConstr[[#This Row],[Tot Fac]]+TblConstr[[#This Row],[Dest Fac]])/TblConstr[[#This Row],[Land]])</f>
        <v>0</v>
      </c>
      <c r="AK76" s="430">
        <f ca="1">TblProd[[#This Row],[Platinum]]</f>
        <v>185320</v>
      </c>
      <c r="AL76" s="430">
        <f ca="1">TblProd[[#This Row],[Lumber]]</f>
        <v>58774</v>
      </c>
      <c r="AM76" s="43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6" s="430">
        <f ca="1">ROUNDDOWN( MAX(1 - MIN(facs_constr_factor*TblConstr[[#This Row],[Facs -DB]],facs_constr_max) + tech_1_11*TblTech[[#This Row],[11-1]] + tech_6_3_2*TblTech[[#This Row],[6-3]] + tech_5_2_3*TblTech[[#This Row],[5-2]], 1-global_constr_cap) * TblConstr[[#This Row],[RCPA Lumber]],0)</f>
        <v>31</v>
      </c>
      <c r="AO76" s="43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6" s="430">
        <f ca="1">ROUNDDOWN( MAX(1 - MIN(facs_constr_factor*TblConstr[[#This Row],[Facs DB]],facs_constr_max) + tech_1_11*TblTech[[#This Row],[1-11]] + tech_6_3_2*TblTech[[#This Row],[6-3]] + tech_5_2_3*TblTech[[#This Row],[5-2]], 1-global_constr_cap) * ROUND((TblConstr[[#This Row],[Land]]-250)*0.285 + 87.5 + 0/4.25,0),0)</f>
        <v>31</v>
      </c>
      <c r="AQ76" s="45">
        <f ca="1">TblConstr[[#This Row],[build -db]]*TblConstr[[#This Row],[CPA Platinum -DB]] + TblConstr[[#This Row],[build db]]*TblConstr[[#This Row],[CPA Platinum DB]]</f>
        <v>0</v>
      </c>
      <c r="AR76" s="45">
        <f ca="1">TblConstr[[#This Row],[build -db]]*TblConstr[[#This Row],[CPA Lumber -DB]] + TblConstr[[#This Row],[build db]]*TblConstr[[#This Row],[CPA Lumber DB]]</f>
        <v>0</v>
      </c>
      <c r="AS76" s="430">
        <f ca="1">MIN(SUM(OFFSET(TblConstr[[#This Row],[Plain]:[Water]],-1,0))+SUM(TblConstr[[#This Row],[Dest Hom]:[Dest Doc]])+IF(TblConstr[[#This Row],[Hour]]&gt;12,SUM(OFFSET(TblExplore[[#This Row],[Plains Explore]:[Water Explore]],-12,0)),0),SUM(TblConstr[[#This Row],[Hom]:[Doc]]))</f>
        <v>0</v>
      </c>
      <c r="AT7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42"/>
      <c r="AV76" s="430">
        <f ca="1">ROUND((TblConstr[[#This Row],[Land]]-250 - IF(TblExplore[[#This Row],[Land Bonus]]&lt;&gt;0,20,0))*1.25 + 850 + 0,0)</f>
        <v>600</v>
      </c>
      <c r="AW76" s="430">
        <f ca="1">ROUND((TblConstr[[#This Row],[Land]]-250 - IF(TblExplore[[#This Row],[Land Bonus]]&lt;&gt;0,20,0))*0.285 + 87.5 + 0/4.25,0)</f>
        <v>31</v>
      </c>
      <c r="AX76" s="154"/>
      <c r="AY76" s="431" cm="1">
        <f t="array" aca="1" ref="AY76" ca="1">IF(TblConstr[[#This Row],[Hour]:[Hour]]&gt;12,OFFSET(TblConstr[[#This Row],[Hom]],-12,0),0)+OFFSET(TblConstr[[#This Row],[Tot Hom]],-1,0)-TblConstr[[#This Row],[Dest Hom]]</f>
        <v>0</v>
      </c>
      <c r="AZ76" s="189" cm="1">
        <f t="array" aca="1" ref="AZ76" ca="1">IF(TblConstr[[#This Row],[Hour]:[Hour]]&gt;12,OFFSET(TblConstr[[#This Row],[Alc]],-12,0),0)+OFFSET(TblConstr[[#This Row],[Tot Alc]],-1,0)-TblConstr[[#This Row],[Dest Alc]]</f>
        <v>0</v>
      </c>
      <c r="BA76" s="189" cm="1">
        <f t="array" aca="1" ref="BA76" ca="1">IF(TblConstr[[#This Row],[Hour]:[Hour]]&gt;12,OFFSET(TblConstr[[#This Row],[Far]],-12,0),0)+OFFSET(TblConstr[[#This Row],[Tot Farm]],-1,0)-TblConstr[[#This Row],[Dest Farm]]</f>
        <v>30</v>
      </c>
      <c r="BB76" s="189" cm="1">
        <f t="array" aca="1" ref="BB76" ca="1">IF(TblConstr[[#This Row],[Hour]:[Hour]]&gt;12,OFFSET(TblConstr[[#This Row],[Smi]],-12,0),0)+OFFSET(TblConstr[[#This Row],[Tot Smi]],-1,0)-TblConstr[[#This Row],[Dest Smi]]</f>
        <v>0</v>
      </c>
      <c r="BC76" s="189" cm="1">
        <f t="array" aca="1" ref="BC76" ca="1">IF(TblConstr[[#This Row],[Hour]:[Hour]]&gt;12,OFFSET(TblConstr[[#This Row],[Mas]],-12,0),0)+OFFSET(TblConstr[[#This Row],[Tot Mas]],-1,0)-TblConstr[[#This Row],[Dest Mas]]</f>
        <v>0</v>
      </c>
      <c r="BD76" s="190" cm="1">
        <f t="array" aca="1" ref="BD76" ca="1">IF(TblConstr[[#This Row],[Hour]:[Hour]]&gt;12,OFFSET(TblConstr[[#This Row],[Ly]],-12,0),0)+OFFSET(TblConstr[[#This Row],[Tot Ly]],-1,0)-TblConstr[[#This Row],[Dest Ly]]</f>
        <v>20</v>
      </c>
      <c r="BE76" s="190" cm="1">
        <f t="array" aca="1" ref="BE76" ca="1">IF(TblConstr[[#This Row],[Hour]:[Hour]]&gt;12,OFFSET(TblConstr[[#This Row],[Hav]],-12,0),0)+OFFSET(TblConstr[[#This Row],[Tot Hav]],-1,0)-TblConstr[[#This Row],[Dest Hav]]</f>
        <v>0</v>
      </c>
      <c r="BF76" s="361" cm="1">
        <f t="array" aca="1" ref="BF76" ca="1">IF(TblConstr[[#This Row],[Hour]:[Hour]]&gt;12,OFFSET(TblConstr[[#This Row],[OM]],-12,0),0)+OFFSET(TblConstr[[#This Row],[Tot OM]],-1,0)-TblConstr[[#This Row],[Dest OM]]</f>
        <v>0</v>
      </c>
      <c r="BG76" s="361" cm="1">
        <f t="array" aca="1" ref="BG76" ca="1">IF(TblConstr[[#This Row],[Hour]:[Hour]]&gt;12,OFFSET(TblConstr[[#This Row],[GN]],-12,0),0)+OFFSET(TblConstr[[#This Row],[Tot GN]],-1,0)-TblConstr[[#This Row],[Dest GN]]</f>
        <v>0</v>
      </c>
      <c r="BH76" s="365" cm="1">
        <f t="array" aca="1" ref="BH76" ca="1">IF(TblConstr[[#This Row],[Hour]:[Hour]]&gt;12,OFFSET(TblConstr[[#This Row],[Fac]],-12,0),0)+OFFSET(TblConstr[[#This Row],[Tot Fac]],-1,0)-TblConstr[[#This Row],[Dest Fac]]</f>
        <v>0</v>
      </c>
      <c r="BI76" s="365" cm="1">
        <f t="array" aca="1" ref="BI76" ca="1">IF(TblConstr[[#This Row],[Hour]:[Hour]]&gt;12,OFFSET(TblConstr[[#This Row],[GT]],-12,0),0)+OFFSET(TblConstr[[#This Row],[Tot GT]],-1,0)-TblConstr[[#This Row],[Dest GT]]</f>
        <v>0</v>
      </c>
      <c r="BJ76" s="365" cm="1">
        <f t="array" aca="1" ref="BJ76" ca="1">IF(TblConstr[[#This Row],[Hour]:[Hour]]&gt;12,OFFSET(TblConstr[[#This Row],[Bar]],-12,0),0)+OFFSET(TblConstr[[#This Row],[Tot Bar]],-1,0)-TblConstr[[#This Row],[Dest Bar]]</f>
        <v>0</v>
      </c>
      <c r="BK76" s="365" cm="1">
        <f t="array" aca="1" ref="BK76" ca="1">IF(TblConstr[[#This Row],[Hour]:[Hour]]&gt;12,OFFSET(TblConstr[[#This Row],[Shr]],-12,0),0)+OFFSET(TblConstr[[#This Row],[Tot Shr]],-1,0)-TblConstr[[#This Row],[Dest Shr]]</f>
        <v>0</v>
      </c>
      <c r="BL76" s="369" cm="1">
        <f t="array" aca="1" ref="BL76" ca="1">IF(TblConstr[[#This Row],[Hour]:[Hour]]&gt;12,OFFSET(TblConstr[[#This Row],[Tow]],-12,0),0)+OFFSET(TblConstr[[#This Row],[Tot Tow]],-1,0)-TblConstr[[#This Row],[Dest Tow]]</f>
        <v>0</v>
      </c>
      <c r="BM76" s="369" cm="1">
        <f t="array" aca="1" ref="BM76" ca="1">IF(TblConstr[[#This Row],[Hour]:[Hour]]&gt;12,OFFSET(TblConstr[[#This Row],[Tem]],-12,0),0)+OFFSET(TblConstr[[#This Row],[Tot Tem]],-1,0)-TblConstr[[#This Row],[Dest Tem]]</f>
        <v>0</v>
      </c>
      <c r="BN76" s="369" cm="1">
        <f t="array" aca="1" ref="BN76" ca="1">IF(TblConstr[[#This Row],[Hour]:[Hour]]&gt;12,OFFSET(TblConstr[[#This Row],[WG]],-12,0),0)+OFFSET(TblConstr[[#This Row],[Tot WG]],-1,0)-TblConstr[[#This Row],[Dest WG]]</f>
        <v>0</v>
      </c>
      <c r="BO76" s="191" cm="1">
        <f t="array" aca="1" ref="BO76" ca="1">IF(TblConstr[[#This Row],[Hour]:[Hour]]&gt;12,OFFSET(TblConstr[[#This Row],[DM]],-12,0),0)+OFFSET(TblConstr[[#This Row],[Tot DM]],-1,0)-TblConstr[[#This Row],[Dest DM]]</f>
        <v>0</v>
      </c>
      <c r="BP76" s="191" cm="1">
        <f t="array" aca="1" ref="BP76" ca="1">IF(TblConstr[[#This Row],[Hour]:[Hour]]&gt;12,OFFSET(TblConstr[[#This Row],[Sch]],-12,0),0)+OFFSET(TblConstr[[#This Row],[Tot Sch]],-1,0)-TblConstr[[#This Row],[Dest Sch]]</f>
        <v>0</v>
      </c>
      <c r="BQ76" s="192" cm="1">
        <f t="array" aca="1" ref="BQ76" ca="1">IF(TblConstr[[#This Row],[Hour]:[Hour]]&gt;12,OFFSET(TblConstr[[#This Row],[Doc]],-12,0),0)+OFFSET(TblConstr[[#This Row],[Tot Doc]],-1,0)-TblConstr[[#This Row],[Dest Doc]]</f>
        <v>0</v>
      </c>
      <c r="BR76" s="142"/>
      <c r="BS76" s="154"/>
      <c r="BT76" s="430">
        <f ca="1">TblConstr[[#This Row],[Land]]</f>
        <v>50</v>
      </c>
      <c r="BU76" s="432">
        <f ca="1">TblImps[[#This Row],[Time]]</f>
        <v>46322.999999999825</v>
      </c>
      <c r="BV76" s="142"/>
      <c r="BW76" s="179"/>
      <c r="BX76" s="179"/>
      <c r="BY76" s="179"/>
      <c r="BZ76" s="179"/>
      <c r="CA76" s="179"/>
      <c r="CB76" s="179"/>
      <c r="CC76" s="179"/>
      <c r="CD76" s="179"/>
      <c r="CE76" s="179"/>
      <c r="CF76" s="179"/>
      <c r="CG76" s="179"/>
      <c r="CH76" s="179"/>
      <c r="CI76" s="179"/>
      <c r="CJ76" s="179"/>
      <c r="CK76" s="179"/>
      <c r="CL76" s="179"/>
      <c r="CM76" s="179"/>
      <c r="CN76" s="179"/>
      <c r="CO76" s="179"/>
      <c r="CP76" s="142"/>
      <c r="CQ76" s="181">
        <f ca="1">-SUM(TblConstr[[#This Row],[Alc]:[Mas]])+SUM(TblConstr[[#This Row],[Dest Alc]:[Dest Mas]])+Rezone!L76+IF("Ch_"&amp; home_land=TblConstr[[#Headers],[Ch_Plain]],TblConstr[[#This Row],[Home Land]])+IF(TblConstr[[#This Row],[Hour]:[Hour]]&gt;12,OFFSET(TblExplore[[#This Row],[Plains Explore]],-12,0),0)</f>
        <v>0</v>
      </c>
      <c r="CR76" s="182">
        <f ca="1">-SUM(TblConstr[[#This Row],[Ly]:[Hav]])+SUM(TblConstr[[#This Row],[Dest Ly]:[Dest Hav]]) +Rezone!M76 + IF("Ch_"&amp; home_land=TblConstr[[#Headers],[Ch_Forest]],TblConstr[[#This Row],[Home Land]])+IF(TblConstr[[#This Row],[Hour]:[Hour]]&gt;12,OFFSET(TblExplore[[#This Row],[Forest Explore]],-12,0),0)</f>
        <v>0</v>
      </c>
      <c r="CS76" s="359">
        <f ca="1">-SUM(TblConstr[[#This Row],[OM]:[GN]])+SUM(TblConstr[[#This Row],[Dest OM]:[Dest GN]]) +Rezone!N76 + IF("Ch_"&amp; home_land=TblConstr[[#Headers],[Ch_Mountain]],TblConstr[[#This Row],[Home Land]])+IF(TblConstr[[#This Row],[Hour]:[Hour]]&gt;12,OFFSET(TblExplore[[#This Row],[Mountain Explore]],-12,0),0)</f>
        <v>0</v>
      </c>
      <c r="CT76" s="183">
        <f ca="1">-SUM(TblConstr[[#This Row],[Fac]:[Shr]])+SUM(TblConstr[[#This Row],[Dest Fac]:[Dest Shr]]) +Rezone!O76 + IF("Ch_" &amp; home_land=TblConstr[[#Headers],[Ch_Hill]],TblConstr[[#This Row],[Home Land]])+IF(TblConstr[[#This Row],[Hour]:[Hour]]&gt;12,OFFSET(TblExplore[[#This Row],[Hill Explore]],-12,0),0)</f>
        <v>0</v>
      </c>
      <c r="CU76" s="184">
        <f ca="1">-SUM(TblConstr[[#This Row],[Tow]:[WG]])+SUM(TblConstr[[#This Row],[Dest Tow]:[Dest WG]]) +Rezone!P76 + IF("Ch_" &amp; home_land=TblConstr[[#Headers],[Ch_Swamp]],TblConstr[[#This Row],[Home Land]])+IF(TblConstr[[#This Row],[Hour]:[Hour]]&gt;12,OFFSET(TblExplore[[#This Row],[Swamp Explore]],-12,0),0)</f>
        <v>0</v>
      </c>
      <c r="CV76" s="185">
        <f ca="1" xml:space="preserve"> - SUM(TblConstr[[#This Row],[DM]:[Sch]])+SUM(TblConstr[[#This Row],[Dest DM]:[Dest Sch]]) +Rezone!Q76 + IF("Ch_" &amp; home_land=TblConstr[[#Headers],[Ch_Cavern]],TblConstr[[#This Row],[Home Land]])+IF(TblConstr[[#This Row],[Hour]:[Hour]]&gt;12,OFFSET(TblExplore[[#This Row],[Cavern Explore]],-12,0),0)</f>
        <v>0</v>
      </c>
      <c r="CW76" s="186">
        <f ca="1">-TblConstr[[#This Row],[Doc]]+TblConstr[[#This Row],[Dest Doc]] +Rezone!R76 + IF("Ch_" &amp; home_land=TblConstr[[#Headers],[Ch_Water]],TblConstr[[#This Row],[Home Land]])+IF(TblConstr[[#This Row],[Hour]:[Hour]]&gt;12,OFFSET(TblExplore[[#This Row],[Water Explore]],-12,0),0)</f>
        <v>0</v>
      </c>
      <c r="CX76" s="433">
        <f>IF(Explore!S76=1,20) - TblConstr[[#This Row],[Hom]] + TblConstr[[#This Row],[Dest Hom]]</f>
        <v>0</v>
      </c>
      <c r="CY76" s="142"/>
      <c r="CZ76" s="430">
        <f t="shared" ca="1" si="12"/>
        <v>30</v>
      </c>
      <c r="DA76" s="430">
        <f t="shared" ca="1" si="13"/>
        <v>20</v>
      </c>
      <c r="DB76" s="433">
        <f t="shared" ca="1" si="14"/>
        <v>0</v>
      </c>
      <c r="DC76" s="430">
        <f t="shared" ca="1" si="15"/>
        <v>0</v>
      </c>
      <c r="DD76" s="430">
        <f t="shared" ca="1" si="16"/>
        <v>0</v>
      </c>
      <c r="DE76" s="433">
        <f t="shared" ca="1" si="17"/>
        <v>0</v>
      </c>
      <c r="DF76" s="430">
        <f t="shared" ca="1" si="18"/>
        <v>0</v>
      </c>
      <c r="DG76" s="430" cm="1">
        <f t="array" aca="1" ref="DG76" ca="1">INDEX(TblConstr[[Total Plain]:[Total Water]],ROW()-ROW(TblConstr[#Headers]),MATCH("Total "&amp;home_land,TblConstr[[#Headers],[Total Plain]:[Total Water]],0))+TblConstr[[#This Row],[Homes]]</f>
        <v>30</v>
      </c>
      <c r="DH76" s="433">
        <f t="shared" ref="DH76:DH131" ca="1" si="22">SUM(O65:O76)+AY76</f>
        <v>0</v>
      </c>
      <c r="DI76" s="433">
        <f t="shared" ca="1" si="19"/>
        <v>0</v>
      </c>
      <c r="DJ76" s="433">
        <f t="shared" ca="1" si="20"/>
        <v>0</v>
      </c>
    </row>
    <row r="77" spans="1:114" x14ac:dyDescent="0.2">
      <c r="A77" s="175">
        <f>TblRezone[[#This Row],[Hour]]</f>
        <v>74</v>
      </c>
      <c r="B77" s="176">
        <f ca="1">SUM(TblConstr[[#This Row],[Plain]:[Water]])</f>
        <v>0</v>
      </c>
      <c r="C77" s="177">
        <f ca="1">SUM(TblConstr[[#This Row],[Tot Hom]:[Tot Doc]])</f>
        <v>50</v>
      </c>
      <c r="D77" s="177">
        <f t="shared" si="21"/>
        <v>0</v>
      </c>
      <c r="E77" s="178"/>
      <c r="F77" s="61">
        <f ca="1">TblConstr[[#This Row],[Barren]]+TblConstr[[#This Row],[Buildings]]+TblConstr[[#This Row],[Incoming]]</f>
        <v>50</v>
      </c>
      <c r="G77" s="187">
        <f ca="1">OFFSET(TblConstr[[#This Row],[Plain]],-1,0)+TblConstr[[#This Row],[Ch_Plain]]</f>
        <v>0</v>
      </c>
      <c r="H77" s="182">
        <f ca="1">OFFSET(TblConstr[[#This Row],[Forest]],-1,0)+TblConstr[[#This Row],[Ch_Forest]]</f>
        <v>0</v>
      </c>
      <c r="I77" s="359">
        <f ca="1">OFFSET(TblConstr[[#This Row],[Mountain]],-1,0)+TblConstr[[#This Row],[Ch_Mountain]]</f>
        <v>0</v>
      </c>
      <c r="J77" s="363">
        <f ca="1">OFFSET(TblConstr[[#This Row],[Hill]],-1,0)+TblConstr[[#This Row],[Ch_Hill]]</f>
        <v>0</v>
      </c>
      <c r="K77" s="367">
        <f ca="1">OFFSET(TblConstr[[#This Row],[Swamp]],-1,0)+TblConstr[[#This Row],[Ch_Swamp]]</f>
        <v>0</v>
      </c>
      <c r="L77" s="185">
        <f ca="1">OFFSET(TblConstr[[#This Row],[Cavern]],-1,0)+TblConstr[[#This Row],[Ch_Cavern]]</f>
        <v>0</v>
      </c>
      <c r="M77" s="186">
        <f ca="1">OFFSET(TblConstr[[#This Row],[Water]],-1,0)+TblConstr[[#This Row],[Ch_Water]]</f>
        <v>0</v>
      </c>
      <c r="N77" s="357">
        <f>TblRezone[[#This Row],[Hour]]</f>
        <v>74</v>
      </c>
      <c r="O77" s="179"/>
      <c r="P77" s="179"/>
      <c r="Q77" s="179"/>
      <c r="R77" s="179"/>
      <c r="S77" s="179"/>
      <c r="T77" s="179"/>
      <c r="U77" s="179"/>
      <c r="V77" s="179"/>
      <c r="W77" s="179"/>
      <c r="X77" s="179"/>
      <c r="Y77" s="179"/>
      <c r="Z77" s="179"/>
      <c r="AA77" s="179"/>
      <c r="AB77" s="179"/>
      <c r="AC77" s="179"/>
      <c r="AD77" s="179"/>
      <c r="AE77" s="179"/>
      <c r="AF77" s="179"/>
      <c r="AG77" s="179"/>
      <c r="AH77" s="53">
        <f ca="1">TblImps[[#This Row],[Time]]</f>
        <v>46323.04166666649</v>
      </c>
      <c r="AI77" s="180">
        <f ca="1">MIN(25%,(TblConstr[[#This Row],[Tot Fac]]+TblConstr[[#This Row],[Dest Fac]])/(TblConstr[[#This Row],[Land]]-TblExplore[[#This Row],[Land Bonus]]*20))</f>
        <v>0</v>
      </c>
      <c r="AJ77" s="180">
        <f ca="1">MIN(25%,(TblConstr[[#This Row],[Tot Fac]]+TblConstr[[#This Row],[Dest Fac]])/TblConstr[[#This Row],[Land]])</f>
        <v>0</v>
      </c>
      <c r="AK77" s="94">
        <f ca="1">TblProd[[#This Row],[Platinum]]</f>
        <v>185938</v>
      </c>
      <c r="AL77" s="94">
        <f ca="1">TblProd[[#This Row],[Lumber]]</f>
        <v>59186</v>
      </c>
      <c r="AM7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7" s="94">
        <f ca="1">ROUNDDOWN( MAX(1 - MIN(facs_constr_factor*TblConstr[[#This Row],[Facs -DB]],facs_constr_max) + tech_1_11*TblTech[[#This Row],[11-1]] + tech_6_3_2*TblTech[[#This Row],[6-3]] + tech_5_2_3*TblTech[[#This Row],[5-2]], 1-global_constr_cap) * TblConstr[[#This Row],[RCPA Lumber]],0)</f>
        <v>31</v>
      </c>
      <c r="AO7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7" s="94">
        <f ca="1">ROUNDDOWN( MAX(1 - MIN(facs_constr_factor*TblConstr[[#This Row],[Facs DB]],facs_constr_max) + tech_1_11*TblTech[[#This Row],[1-11]] + tech_6_3_2*TblTech[[#This Row],[6-3]] + tech_5_2_3*TblTech[[#This Row],[5-2]], 1-global_constr_cap) * ROUND((TblConstr[[#This Row],[Land]]-250)*0.285 + 87.5 + 0/4.25,0),0)</f>
        <v>31</v>
      </c>
      <c r="AQ77" s="45">
        <f ca="1">TblConstr[[#This Row],[build -db]]*TblConstr[[#This Row],[CPA Platinum -DB]] + TblConstr[[#This Row],[build db]]*TblConstr[[#This Row],[CPA Platinum DB]]</f>
        <v>0</v>
      </c>
      <c r="AR77" s="45">
        <f ca="1">TblConstr[[#This Row],[build -db]]*TblConstr[[#This Row],[CPA Lumber -DB]] + TblConstr[[#This Row],[build db]]*TblConstr[[#This Row],[CPA Lumber DB]]</f>
        <v>0</v>
      </c>
      <c r="AS77" s="94">
        <f ca="1">MIN(SUM(OFFSET(TblConstr[[#This Row],[Plain]:[Water]],-1,0))+SUM(TblConstr[[#This Row],[Dest Hom]:[Dest Doc]])+IF(TblConstr[[#This Row],[Hour]]&gt;12,SUM(OFFSET(TblExplore[[#This Row],[Plains Explore]:[Water Explore]],-12,0)),0),SUM(TblConstr[[#This Row],[Hom]:[Doc]]))</f>
        <v>0</v>
      </c>
      <c r="AT7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42"/>
      <c r="AV77" s="94">
        <f ca="1">ROUND((TblConstr[[#This Row],[Land]]-250 - IF(TblExplore[[#This Row],[Land Bonus]]&lt;&gt;0,20,0))*1.25 + 850 + 0,0)</f>
        <v>600</v>
      </c>
      <c r="AW77" s="94">
        <f ca="1">ROUND((TblConstr[[#This Row],[Land]]-250 - IF(TblExplore[[#This Row],[Land Bonus]]&lt;&gt;0,20,0))*0.285 + 87.5 + 0/4.25,0)</f>
        <v>31</v>
      </c>
      <c r="AX77" s="154"/>
      <c r="AY77" s="188" cm="1">
        <f t="array" aca="1" ref="AY77" ca="1">IF(TblConstr[[#This Row],[Hour]:[Hour]]&gt;12,OFFSET(TblConstr[[#This Row],[Hom]],-12,0),0)+OFFSET(TblConstr[[#This Row],[Tot Hom]],-1,0)-TblConstr[[#This Row],[Dest Hom]]</f>
        <v>0</v>
      </c>
      <c r="AZ77" s="189" cm="1">
        <f t="array" aca="1" ref="AZ77" ca="1">IF(TblConstr[[#This Row],[Hour]:[Hour]]&gt;12,OFFSET(TblConstr[[#This Row],[Alc]],-12,0),0)+OFFSET(TblConstr[[#This Row],[Tot Alc]],-1,0)-TblConstr[[#This Row],[Dest Alc]]</f>
        <v>0</v>
      </c>
      <c r="BA77" s="189" cm="1">
        <f t="array" aca="1" ref="BA77" ca="1">IF(TblConstr[[#This Row],[Hour]:[Hour]]&gt;12,OFFSET(TblConstr[[#This Row],[Far]],-12,0),0)+OFFSET(TblConstr[[#This Row],[Tot Farm]],-1,0)-TblConstr[[#This Row],[Dest Farm]]</f>
        <v>30</v>
      </c>
      <c r="BB77" s="189" cm="1">
        <f t="array" aca="1" ref="BB77" ca="1">IF(TblConstr[[#This Row],[Hour]:[Hour]]&gt;12,OFFSET(TblConstr[[#This Row],[Smi]],-12,0),0)+OFFSET(TblConstr[[#This Row],[Tot Smi]],-1,0)-TblConstr[[#This Row],[Dest Smi]]</f>
        <v>0</v>
      </c>
      <c r="BC77" s="189" cm="1">
        <f t="array" aca="1" ref="BC77" ca="1">IF(TblConstr[[#This Row],[Hour]:[Hour]]&gt;12,OFFSET(TblConstr[[#This Row],[Mas]],-12,0),0)+OFFSET(TblConstr[[#This Row],[Tot Mas]],-1,0)-TblConstr[[#This Row],[Dest Mas]]</f>
        <v>0</v>
      </c>
      <c r="BD77" s="190" cm="1">
        <f t="array" aca="1" ref="BD77" ca="1">IF(TblConstr[[#This Row],[Hour]:[Hour]]&gt;12,OFFSET(TblConstr[[#This Row],[Ly]],-12,0),0)+OFFSET(TblConstr[[#This Row],[Tot Ly]],-1,0)-TblConstr[[#This Row],[Dest Ly]]</f>
        <v>20</v>
      </c>
      <c r="BE77" s="190" cm="1">
        <f t="array" aca="1" ref="BE77" ca="1">IF(TblConstr[[#This Row],[Hour]:[Hour]]&gt;12,OFFSET(TblConstr[[#This Row],[Hav]],-12,0),0)+OFFSET(TblConstr[[#This Row],[Tot Hav]],-1,0)-TblConstr[[#This Row],[Dest Hav]]</f>
        <v>0</v>
      </c>
      <c r="BF77" s="361" cm="1">
        <f t="array" aca="1" ref="BF77" ca="1">IF(TblConstr[[#This Row],[Hour]:[Hour]]&gt;12,OFFSET(TblConstr[[#This Row],[OM]],-12,0),0)+OFFSET(TblConstr[[#This Row],[Tot OM]],-1,0)-TblConstr[[#This Row],[Dest OM]]</f>
        <v>0</v>
      </c>
      <c r="BG77" s="361" cm="1">
        <f t="array" aca="1" ref="BG77" ca="1">IF(TblConstr[[#This Row],[Hour]:[Hour]]&gt;12,OFFSET(TblConstr[[#This Row],[GN]],-12,0),0)+OFFSET(TblConstr[[#This Row],[Tot GN]],-1,0)-TblConstr[[#This Row],[Dest GN]]</f>
        <v>0</v>
      </c>
      <c r="BH77" s="365" cm="1">
        <f t="array" aca="1" ref="BH77" ca="1">IF(TblConstr[[#This Row],[Hour]:[Hour]]&gt;12,OFFSET(TblConstr[[#This Row],[Fac]],-12,0),0)+OFFSET(TblConstr[[#This Row],[Tot Fac]],-1,0)-TblConstr[[#This Row],[Dest Fac]]</f>
        <v>0</v>
      </c>
      <c r="BI77" s="365" cm="1">
        <f t="array" aca="1" ref="BI77" ca="1">IF(TblConstr[[#This Row],[Hour]:[Hour]]&gt;12,OFFSET(TblConstr[[#This Row],[GT]],-12,0),0)+OFFSET(TblConstr[[#This Row],[Tot GT]],-1,0)-TblConstr[[#This Row],[Dest GT]]</f>
        <v>0</v>
      </c>
      <c r="BJ77" s="365" cm="1">
        <f t="array" aca="1" ref="BJ77" ca="1">IF(TblConstr[[#This Row],[Hour]:[Hour]]&gt;12,OFFSET(TblConstr[[#This Row],[Bar]],-12,0),0)+OFFSET(TblConstr[[#This Row],[Tot Bar]],-1,0)-TblConstr[[#This Row],[Dest Bar]]</f>
        <v>0</v>
      </c>
      <c r="BK77" s="365" cm="1">
        <f t="array" aca="1" ref="BK77" ca="1">IF(TblConstr[[#This Row],[Hour]:[Hour]]&gt;12,OFFSET(TblConstr[[#This Row],[Shr]],-12,0),0)+OFFSET(TblConstr[[#This Row],[Tot Shr]],-1,0)-TblConstr[[#This Row],[Dest Shr]]</f>
        <v>0</v>
      </c>
      <c r="BL77" s="369" cm="1">
        <f t="array" aca="1" ref="BL77" ca="1">IF(TblConstr[[#This Row],[Hour]:[Hour]]&gt;12,OFFSET(TblConstr[[#This Row],[Tow]],-12,0),0)+OFFSET(TblConstr[[#This Row],[Tot Tow]],-1,0)-TblConstr[[#This Row],[Dest Tow]]</f>
        <v>0</v>
      </c>
      <c r="BM77" s="369" cm="1">
        <f t="array" aca="1" ref="BM77" ca="1">IF(TblConstr[[#This Row],[Hour]:[Hour]]&gt;12,OFFSET(TblConstr[[#This Row],[Tem]],-12,0),0)+OFFSET(TblConstr[[#This Row],[Tot Tem]],-1,0)-TblConstr[[#This Row],[Dest Tem]]</f>
        <v>0</v>
      </c>
      <c r="BN77" s="369" cm="1">
        <f t="array" aca="1" ref="BN77" ca="1">IF(TblConstr[[#This Row],[Hour]:[Hour]]&gt;12,OFFSET(TblConstr[[#This Row],[WG]],-12,0),0)+OFFSET(TblConstr[[#This Row],[Tot WG]],-1,0)-TblConstr[[#This Row],[Dest WG]]</f>
        <v>0</v>
      </c>
      <c r="BO77" s="191" cm="1">
        <f t="array" aca="1" ref="BO77" ca="1">IF(TblConstr[[#This Row],[Hour]:[Hour]]&gt;12,OFFSET(TblConstr[[#This Row],[DM]],-12,0),0)+OFFSET(TblConstr[[#This Row],[Tot DM]],-1,0)-TblConstr[[#This Row],[Dest DM]]</f>
        <v>0</v>
      </c>
      <c r="BP77" s="191" cm="1">
        <f t="array" aca="1" ref="BP77" ca="1">IF(TblConstr[[#This Row],[Hour]:[Hour]]&gt;12,OFFSET(TblConstr[[#This Row],[Sch]],-12,0),0)+OFFSET(TblConstr[[#This Row],[Tot Sch]],-1,0)-TblConstr[[#This Row],[Dest Sch]]</f>
        <v>0</v>
      </c>
      <c r="BQ77" s="192" cm="1">
        <f t="array" aca="1" ref="BQ77" ca="1">IF(TblConstr[[#This Row],[Hour]:[Hour]]&gt;12,OFFSET(TblConstr[[#This Row],[Doc]],-12,0),0)+OFFSET(TblConstr[[#This Row],[Tot Doc]],-1,0)-TblConstr[[#This Row],[Dest Doc]]</f>
        <v>0</v>
      </c>
      <c r="BR77" s="142"/>
      <c r="BS77" s="154"/>
      <c r="BT77" s="94">
        <f ca="1">TblConstr[[#This Row],[Land]]</f>
        <v>50</v>
      </c>
      <c r="BU77" s="159">
        <f ca="1">TblImps[[#This Row],[Time]]</f>
        <v>46323.04166666649</v>
      </c>
      <c r="BV77" s="142"/>
      <c r="BW77" s="179"/>
      <c r="BX77" s="179"/>
      <c r="BY77" s="179"/>
      <c r="BZ77" s="179"/>
      <c r="CA77" s="179"/>
      <c r="CB77" s="179"/>
      <c r="CC77" s="179"/>
      <c r="CD77" s="179"/>
      <c r="CE77" s="179"/>
      <c r="CF77" s="179"/>
      <c r="CG77" s="179"/>
      <c r="CH77" s="179"/>
      <c r="CI77" s="179"/>
      <c r="CJ77" s="179"/>
      <c r="CK77" s="179"/>
      <c r="CL77" s="179"/>
      <c r="CM77" s="179"/>
      <c r="CN77" s="179"/>
      <c r="CO77" s="179"/>
      <c r="CP77" s="142"/>
      <c r="CQ77" s="181">
        <f ca="1">-SUM(TblConstr[[#This Row],[Alc]:[Mas]])+SUM(TblConstr[[#This Row],[Dest Alc]:[Dest Mas]])+Rezone!L77+IF("Ch_"&amp; home_land=TblConstr[[#Headers],[Ch_Plain]],TblConstr[[#This Row],[Home Land]])+IF(TblConstr[[#This Row],[Hour]:[Hour]]&gt;12,OFFSET(TblExplore[[#This Row],[Plains Explore]],-12,0),0)</f>
        <v>0</v>
      </c>
      <c r="CR77" s="182">
        <f ca="1">-SUM(TblConstr[[#This Row],[Ly]:[Hav]])+SUM(TblConstr[[#This Row],[Dest Ly]:[Dest Hav]]) +Rezone!M77 + IF("Ch_"&amp; home_land=TblConstr[[#Headers],[Ch_Forest]],TblConstr[[#This Row],[Home Land]])+IF(TblConstr[[#This Row],[Hour]:[Hour]]&gt;12,OFFSET(TblExplore[[#This Row],[Forest Explore]],-12,0),0)</f>
        <v>0</v>
      </c>
      <c r="CS77" s="359">
        <f ca="1">-SUM(TblConstr[[#This Row],[OM]:[GN]])+SUM(TblConstr[[#This Row],[Dest OM]:[Dest GN]]) +Rezone!N77 + IF("Ch_"&amp; home_land=TblConstr[[#Headers],[Ch_Mountain]],TblConstr[[#This Row],[Home Land]])+IF(TblConstr[[#This Row],[Hour]:[Hour]]&gt;12,OFFSET(TblExplore[[#This Row],[Mountain Explore]],-12,0),0)</f>
        <v>0</v>
      </c>
      <c r="CT77" s="183">
        <f ca="1">-SUM(TblConstr[[#This Row],[Fac]:[Shr]])+SUM(TblConstr[[#This Row],[Dest Fac]:[Dest Shr]]) +Rezone!O77 + IF("Ch_" &amp; home_land=TblConstr[[#Headers],[Ch_Hill]],TblConstr[[#This Row],[Home Land]])+IF(TblConstr[[#This Row],[Hour]:[Hour]]&gt;12,OFFSET(TblExplore[[#This Row],[Hill Explore]],-12,0),0)</f>
        <v>0</v>
      </c>
      <c r="CU77" s="184">
        <f ca="1">-SUM(TblConstr[[#This Row],[Tow]:[WG]])+SUM(TblConstr[[#This Row],[Dest Tow]:[Dest WG]]) +Rezone!P77 + IF("Ch_" &amp; home_land=TblConstr[[#Headers],[Ch_Swamp]],TblConstr[[#This Row],[Home Land]])+IF(TblConstr[[#This Row],[Hour]:[Hour]]&gt;12,OFFSET(TblExplore[[#This Row],[Swamp Explore]],-12,0),0)</f>
        <v>0</v>
      </c>
      <c r="CV77" s="185">
        <f ca="1" xml:space="preserve"> - SUM(TblConstr[[#This Row],[DM]:[Sch]])+SUM(TblConstr[[#This Row],[Dest DM]:[Dest Sch]]) +Rezone!Q77 + IF("Ch_" &amp; home_land=TblConstr[[#Headers],[Ch_Cavern]],TblConstr[[#This Row],[Home Land]])+IF(TblConstr[[#This Row],[Hour]:[Hour]]&gt;12,OFFSET(TblExplore[[#This Row],[Cavern Explore]],-12,0),0)</f>
        <v>0</v>
      </c>
      <c r="CW77" s="186">
        <f ca="1">-TblConstr[[#This Row],[Doc]]+TblConstr[[#This Row],[Dest Doc]] +Rezone!R77 + IF("Ch_" &amp; home_land=TblConstr[[#Headers],[Ch_Water]],TblConstr[[#This Row],[Home Land]])+IF(TblConstr[[#This Row],[Hour]:[Hour]]&gt;12,OFFSET(TblExplore[[#This Row],[Water Explore]],-12,0),0)</f>
        <v>0</v>
      </c>
      <c r="CX77" s="45">
        <f>IF(Explore!S77=1,20) - TblConstr[[#This Row],[Hom]] + TblConstr[[#This Row],[Dest Hom]]</f>
        <v>0</v>
      </c>
      <c r="CY77" s="142"/>
      <c r="CZ77" s="94">
        <f t="shared" ca="1" si="12"/>
        <v>30</v>
      </c>
      <c r="DA77" s="94">
        <f t="shared" ca="1" si="13"/>
        <v>20</v>
      </c>
      <c r="DB77" s="45">
        <f t="shared" ca="1" si="14"/>
        <v>0</v>
      </c>
      <c r="DC77" s="94">
        <f t="shared" ca="1" si="15"/>
        <v>0</v>
      </c>
      <c r="DD77" s="94">
        <f t="shared" ca="1" si="16"/>
        <v>0</v>
      </c>
      <c r="DE77" s="45">
        <f t="shared" ca="1" si="17"/>
        <v>0</v>
      </c>
      <c r="DF77" s="94">
        <f t="shared" ca="1" si="18"/>
        <v>0</v>
      </c>
      <c r="DG77" s="94" cm="1">
        <f t="array" aca="1" ref="DG77" ca="1">INDEX(TblConstr[[Total Plain]:[Total Water]],ROW()-ROW(TblConstr[#Headers]),MATCH("Total "&amp;home_land,TblConstr[[#Headers],[Total Plain]:[Total Water]],0))+TblConstr[[#This Row],[Homes]]</f>
        <v>30</v>
      </c>
      <c r="DH77" s="45">
        <f t="shared" ca="1" si="22"/>
        <v>0</v>
      </c>
      <c r="DI77" s="94">
        <f t="shared" ca="1" si="19"/>
        <v>0</v>
      </c>
      <c r="DJ77" s="45">
        <f t="shared" ca="1" si="20"/>
        <v>0</v>
      </c>
    </row>
    <row r="78" spans="1:114" x14ac:dyDescent="0.2">
      <c r="A78" s="175">
        <f>TblRezone[[#This Row],[Hour]]</f>
        <v>75</v>
      </c>
      <c r="B78" s="176">
        <f ca="1">SUM(TblConstr[[#This Row],[Plain]:[Water]])</f>
        <v>0</v>
      </c>
      <c r="C78" s="177">
        <f ca="1">SUM(TblConstr[[#This Row],[Tot Hom]:[Tot Doc]])</f>
        <v>50</v>
      </c>
      <c r="D78" s="177">
        <f t="shared" si="21"/>
        <v>0</v>
      </c>
      <c r="E78" s="178"/>
      <c r="F78" s="61">
        <f ca="1">TblConstr[[#This Row],[Barren]]+TblConstr[[#This Row],[Buildings]]+TblConstr[[#This Row],[Incoming]]</f>
        <v>50</v>
      </c>
      <c r="G78" s="187">
        <f ca="1">OFFSET(TblConstr[[#This Row],[Plain]],-1,0)+TblConstr[[#This Row],[Ch_Plain]]</f>
        <v>0</v>
      </c>
      <c r="H78" s="182">
        <f ca="1">OFFSET(TblConstr[[#This Row],[Forest]],-1,0)+TblConstr[[#This Row],[Ch_Forest]]</f>
        <v>0</v>
      </c>
      <c r="I78" s="359">
        <f ca="1">OFFSET(TblConstr[[#This Row],[Mountain]],-1,0)+TblConstr[[#This Row],[Ch_Mountain]]</f>
        <v>0</v>
      </c>
      <c r="J78" s="363">
        <f ca="1">OFFSET(TblConstr[[#This Row],[Hill]],-1,0)+TblConstr[[#This Row],[Ch_Hill]]</f>
        <v>0</v>
      </c>
      <c r="K78" s="367">
        <f ca="1">OFFSET(TblConstr[[#This Row],[Swamp]],-1,0)+TblConstr[[#This Row],[Ch_Swamp]]</f>
        <v>0</v>
      </c>
      <c r="L78" s="185">
        <f ca="1">OFFSET(TblConstr[[#This Row],[Cavern]],-1,0)+TblConstr[[#This Row],[Ch_Cavern]]</f>
        <v>0</v>
      </c>
      <c r="M78" s="186">
        <f ca="1">OFFSET(TblConstr[[#This Row],[Water]],-1,0)+TblConstr[[#This Row],[Ch_Water]]</f>
        <v>0</v>
      </c>
      <c r="N78" s="357">
        <f>TblRezone[[#This Row],[Hour]]</f>
        <v>75</v>
      </c>
      <c r="O78" s="179"/>
      <c r="P78" s="179"/>
      <c r="Q78" s="179"/>
      <c r="R78" s="179"/>
      <c r="S78" s="179"/>
      <c r="T78" s="179"/>
      <c r="U78" s="179"/>
      <c r="V78" s="179"/>
      <c r="W78" s="179"/>
      <c r="X78" s="179"/>
      <c r="Y78" s="179"/>
      <c r="Z78" s="179"/>
      <c r="AA78" s="179"/>
      <c r="AB78" s="179"/>
      <c r="AC78" s="179"/>
      <c r="AD78" s="179"/>
      <c r="AE78" s="179"/>
      <c r="AF78" s="179"/>
      <c r="AG78" s="179"/>
      <c r="AH78" s="53">
        <f ca="1">TblImps[[#This Row],[Time]]</f>
        <v>46323.083333333154</v>
      </c>
      <c r="AI78" s="180">
        <f ca="1">MIN(25%,(TblConstr[[#This Row],[Tot Fac]]+TblConstr[[#This Row],[Dest Fac]])/(TblConstr[[#This Row],[Land]]-TblExplore[[#This Row],[Land Bonus]]*20))</f>
        <v>0</v>
      </c>
      <c r="AJ78" s="180">
        <f ca="1">MIN(25%,(TblConstr[[#This Row],[Tot Fac]]+TblConstr[[#This Row],[Dest Fac]])/TblConstr[[#This Row],[Land]])</f>
        <v>0</v>
      </c>
      <c r="AK78" s="94">
        <f ca="1">TblProd[[#This Row],[Platinum]]</f>
        <v>186550</v>
      </c>
      <c r="AL78" s="94">
        <f ca="1">TblProd[[#This Row],[Lumber]]</f>
        <v>59594</v>
      </c>
      <c r="AM7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8" s="94">
        <f ca="1">ROUNDDOWN( MAX(1 - MIN(facs_constr_factor*TblConstr[[#This Row],[Facs -DB]],facs_constr_max) + tech_1_11*TblTech[[#This Row],[11-1]] + tech_6_3_2*TblTech[[#This Row],[6-3]] + tech_5_2_3*TblTech[[#This Row],[5-2]], 1-global_constr_cap) * TblConstr[[#This Row],[RCPA Lumber]],0)</f>
        <v>31</v>
      </c>
      <c r="AO7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8" s="94">
        <f ca="1">ROUNDDOWN( MAX(1 - MIN(facs_constr_factor*TblConstr[[#This Row],[Facs DB]],facs_constr_max) + tech_1_11*TblTech[[#This Row],[1-11]] + tech_6_3_2*TblTech[[#This Row],[6-3]] + tech_5_2_3*TblTech[[#This Row],[5-2]], 1-global_constr_cap) * ROUND((TblConstr[[#This Row],[Land]]-250)*0.285 + 87.5 + 0/4.25,0),0)</f>
        <v>31</v>
      </c>
      <c r="AQ78" s="45">
        <f ca="1">TblConstr[[#This Row],[build -db]]*TblConstr[[#This Row],[CPA Platinum -DB]] + TblConstr[[#This Row],[build db]]*TblConstr[[#This Row],[CPA Platinum DB]]</f>
        <v>0</v>
      </c>
      <c r="AR78" s="45">
        <f ca="1">TblConstr[[#This Row],[build -db]]*TblConstr[[#This Row],[CPA Lumber -DB]] + TblConstr[[#This Row],[build db]]*TblConstr[[#This Row],[CPA Lumber DB]]</f>
        <v>0</v>
      </c>
      <c r="AS78" s="94">
        <f ca="1">MIN(SUM(OFFSET(TblConstr[[#This Row],[Plain]:[Water]],-1,0))+SUM(TblConstr[[#This Row],[Dest Hom]:[Dest Doc]])+IF(TblConstr[[#This Row],[Hour]]&gt;12,SUM(OFFSET(TblExplore[[#This Row],[Plains Explore]:[Water Explore]],-12,0)),0),SUM(TblConstr[[#This Row],[Hom]:[Doc]]))</f>
        <v>0</v>
      </c>
      <c r="AT7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42"/>
      <c r="AV78" s="94">
        <f ca="1">ROUND((TblConstr[[#This Row],[Land]]-250 - IF(TblExplore[[#This Row],[Land Bonus]]&lt;&gt;0,20,0))*1.25 + 850 + 0,0)</f>
        <v>600</v>
      </c>
      <c r="AW78" s="94">
        <f ca="1">ROUND((TblConstr[[#This Row],[Land]]-250 - IF(TblExplore[[#This Row],[Land Bonus]]&lt;&gt;0,20,0))*0.285 + 87.5 + 0/4.25,0)</f>
        <v>31</v>
      </c>
      <c r="AX78" s="154"/>
      <c r="AY78" s="188" cm="1">
        <f t="array" aca="1" ref="AY78" ca="1">IF(TblConstr[[#This Row],[Hour]:[Hour]]&gt;12,OFFSET(TblConstr[[#This Row],[Hom]],-12,0),0)+OFFSET(TblConstr[[#This Row],[Tot Hom]],-1,0)-TblConstr[[#This Row],[Dest Hom]]</f>
        <v>0</v>
      </c>
      <c r="AZ78" s="189" cm="1">
        <f t="array" aca="1" ref="AZ78" ca="1">IF(TblConstr[[#This Row],[Hour]:[Hour]]&gt;12,OFFSET(TblConstr[[#This Row],[Alc]],-12,0),0)+OFFSET(TblConstr[[#This Row],[Tot Alc]],-1,0)-TblConstr[[#This Row],[Dest Alc]]</f>
        <v>0</v>
      </c>
      <c r="BA78" s="189" cm="1">
        <f t="array" aca="1" ref="BA78" ca="1">IF(TblConstr[[#This Row],[Hour]:[Hour]]&gt;12,OFFSET(TblConstr[[#This Row],[Far]],-12,0),0)+OFFSET(TblConstr[[#This Row],[Tot Farm]],-1,0)-TblConstr[[#This Row],[Dest Farm]]</f>
        <v>30</v>
      </c>
      <c r="BB78" s="189" cm="1">
        <f t="array" aca="1" ref="BB78" ca="1">IF(TblConstr[[#This Row],[Hour]:[Hour]]&gt;12,OFFSET(TblConstr[[#This Row],[Smi]],-12,0),0)+OFFSET(TblConstr[[#This Row],[Tot Smi]],-1,0)-TblConstr[[#This Row],[Dest Smi]]</f>
        <v>0</v>
      </c>
      <c r="BC78" s="189" cm="1">
        <f t="array" aca="1" ref="BC78" ca="1">IF(TblConstr[[#This Row],[Hour]:[Hour]]&gt;12,OFFSET(TblConstr[[#This Row],[Mas]],-12,0),0)+OFFSET(TblConstr[[#This Row],[Tot Mas]],-1,0)-TblConstr[[#This Row],[Dest Mas]]</f>
        <v>0</v>
      </c>
      <c r="BD78" s="190" cm="1">
        <f t="array" aca="1" ref="BD78" ca="1">IF(TblConstr[[#This Row],[Hour]:[Hour]]&gt;12,OFFSET(TblConstr[[#This Row],[Ly]],-12,0),0)+OFFSET(TblConstr[[#This Row],[Tot Ly]],-1,0)-TblConstr[[#This Row],[Dest Ly]]</f>
        <v>20</v>
      </c>
      <c r="BE78" s="190" cm="1">
        <f t="array" aca="1" ref="BE78" ca="1">IF(TblConstr[[#This Row],[Hour]:[Hour]]&gt;12,OFFSET(TblConstr[[#This Row],[Hav]],-12,0),0)+OFFSET(TblConstr[[#This Row],[Tot Hav]],-1,0)-TblConstr[[#This Row],[Dest Hav]]</f>
        <v>0</v>
      </c>
      <c r="BF78" s="361" cm="1">
        <f t="array" aca="1" ref="BF78" ca="1">IF(TblConstr[[#This Row],[Hour]:[Hour]]&gt;12,OFFSET(TblConstr[[#This Row],[OM]],-12,0),0)+OFFSET(TblConstr[[#This Row],[Tot OM]],-1,0)-TblConstr[[#This Row],[Dest OM]]</f>
        <v>0</v>
      </c>
      <c r="BG78" s="361" cm="1">
        <f t="array" aca="1" ref="BG78" ca="1">IF(TblConstr[[#This Row],[Hour]:[Hour]]&gt;12,OFFSET(TblConstr[[#This Row],[GN]],-12,0),0)+OFFSET(TblConstr[[#This Row],[Tot GN]],-1,0)-TblConstr[[#This Row],[Dest GN]]</f>
        <v>0</v>
      </c>
      <c r="BH78" s="365" cm="1">
        <f t="array" aca="1" ref="BH78" ca="1">IF(TblConstr[[#This Row],[Hour]:[Hour]]&gt;12,OFFSET(TblConstr[[#This Row],[Fac]],-12,0),0)+OFFSET(TblConstr[[#This Row],[Tot Fac]],-1,0)-TblConstr[[#This Row],[Dest Fac]]</f>
        <v>0</v>
      </c>
      <c r="BI78" s="365" cm="1">
        <f t="array" aca="1" ref="BI78" ca="1">IF(TblConstr[[#This Row],[Hour]:[Hour]]&gt;12,OFFSET(TblConstr[[#This Row],[GT]],-12,0),0)+OFFSET(TblConstr[[#This Row],[Tot GT]],-1,0)-TblConstr[[#This Row],[Dest GT]]</f>
        <v>0</v>
      </c>
      <c r="BJ78" s="365" cm="1">
        <f t="array" aca="1" ref="BJ78" ca="1">IF(TblConstr[[#This Row],[Hour]:[Hour]]&gt;12,OFFSET(TblConstr[[#This Row],[Bar]],-12,0),0)+OFFSET(TblConstr[[#This Row],[Tot Bar]],-1,0)-TblConstr[[#This Row],[Dest Bar]]</f>
        <v>0</v>
      </c>
      <c r="BK78" s="365" cm="1">
        <f t="array" aca="1" ref="BK78" ca="1">IF(TblConstr[[#This Row],[Hour]:[Hour]]&gt;12,OFFSET(TblConstr[[#This Row],[Shr]],-12,0),0)+OFFSET(TblConstr[[#This Row],[Tot Shr]],-1,0)-TblConstr[[#This Row],[Dest Shr]]</f>
        <v>0</v>
      </c>
      <c r="BL78" s="369" cm="1">
        <f t="array" aca="1" ref="BL78" ca="1">IF(TblConstr[[#This Row],[Hour]:[Hour]]&gt;12,OFFSET(TblConstr[[#This Row],[Tow]],-12,0),0)+OFFSET(TblConstr[[#This Row],[Tot Tow]],-1,0)-TblConstr[[#This Row],[Dest Tow]]</f>
        <v>0</v>
      </c>
      <c r="BM78" s="369" cm="1">
        <f t="array" aca="1" ref="BM78" ca="1">IF(TblConstr[[#This Row],[Hour]:[Hour]]&gt;12,OFFSET(TblConstr[[#This Row],[Tem]],-12,0),0)+OFFSET(TblConstr[[#This Row],[Tot Tem]],-1,0)-TblConstr[[#This Row],[Dest Tem]]</f>
        <v>0</v>
      </c>
      <c r="BN78" s="369" cm="1">
        <f t="array" aca="1" ref="BN78" ca="1">IF(TblConstr[[#This Row],[Hour]:[Hour]]&gt;12,OFFSET(TblConstr[[#This Row],[WG]],-12,0),0)+OFFSET(TblConstr[[#This Row],[Tot WG]],-1,0)-TblConstr[[#This Row],[Dest WG]]</f>
        <v>0</v>
      </c>
      <c r="BO78" s="191" cm="1">
        <f t="array" aca="1" ref="BO78" ca="1">IF(TblConstr[[#This Row],[Hour]:[Hour]]&gt;12,OFFSET(TblConstr[[#This Row],[DM]],-12,0),0)+OFFSET(TblConstr[[#This Row],[Tot DM]],-1,0)-TblConstr[[#This Row],[Dest DM]]</f>
        <v>0</v>
      </c>
      <c r="BP78" s="191" cm="1">
        <f t="array" aca="1" ref="BP78" ca="1">IF(TblConstr[[#This Row],[Hour]:[Hour]]&gt;12,OFFSET(TblConstr[[#This Row],[Sch]],-12,0),0)+OFFSET(TblConstr[[#This Row],[Tot Sch]],-1,0)-TblConstr[[#This Row],[Dest Sch]]</f>
        <v>0</v>
      </c>
      <c r="BQ78" s="192" cm="1">
        <f t="array" aca="1" ref="BQ78" ca="1">IF(TblConstr[[#This Row],[Hour]:[Hour]]&gt;12,OFFSET(TblConstr[[#This Row],[Doc]],-12,0),0)+OFFSET(TblConstr[[#This Row],[Tot Doc]],-1,0)-TblConstr[[#This Row],[Dest Doc]]</f>
        <v>0</v>
      </c>
      <c r="BR78" s="142"/>
      <c r="BS78" s="154"/>
      <c r="BT78" s="94">
        <f ca="1">TblConstr[[#This Row],[Land]]</f>
        <v>50</v>
      </c>
      <c r="BU78" s="159">
        <f ca="1">TblImps[[#This Row],[Time]]</f>
        <v>46323.083333333154</v>
      </c>
      <c r="BV78" s="142"/>
      <c r="BW78" s="179"/>
      <c r="BX78" s="179"/>
      <c r="BY78" s="179"/>
      <c r="BZ78" s="179"/>
      <c r="CA78" s="179"/>
      <c r="CB78" s="179"/>
      <c r="CC78" s="179"/>
      <c r="CD78" s="179"/>
      <c r="CE78" s="179"/>
      <c r="CF78" s="179"/>
      <c r="CG78" s="179"/>
      <c r="CH78" s="179"/>
      <c r="CI78" s="179"/>
      <c r="CJ78" s="179"/>
      <c r="CK78" s="179"/>
      <c r="CL78" s="179"/>
      <c r="CM78" s="179"/>
      <c r="CN78" s="179"/>
      <c r="CO78" s="179"/>
      <c r="CP78" s="142"/>
      <c r="CQ78" s="181">
        <f ca="1">-SUM(TblConstr[[#This Row],[Alc]:[Mas]])+SUM(TblConstr[[#This Row],[Dest Alc]:[Dest Mas]])+Rezone!L78+IF("Ch_"&amp; home_land=TblConstr[[#Headers],[Ch_Plain]],TblConstr[[#This Row],[Home Land]])+IF(TblConstr[[#This Row],[Hour]:[Hour]]&gt;12,OFFSET(TblExplore[[#This Row],[Plains Explore]],-12,0),0)</f>
        <v>0</v>
      </c>
      <c r="CR78" s="182">
        <f ca="1">-SUM(TblConstr[[#This Row],[Ly]:[Hav]])+SUM(TblConstr[[#This Row],[Dest Ly]:[Dest Hav]]) +Rezone!M78 + IF("Ch_"&amp; home_land=TblConstr[[#Headers],[Ch_Forest]],TblConstr[[#This Row],[Home Land]])+IF(TblConstr[[#This Row],[Hour]:[Hour]]&gt;12,OFFSET(TblExplore[[#This Row],[Forest Explore]],-12,0),0)</f>
        <v>0</v>
      </c>
      <c r="CS78" s="359">
        <f ca="1">-SUM(TblConstr[[#This Row],[OM]:[GN]])+SUM(TblConstr[[#This Row],[Dest OM]:[Dest GN]]) +Rezone!N78 + IF("Ch_"&amp; home_land=TblConstr[[#Headers],[Ch_Mountain]],TblConstr[[#This Row],[Home Land]])+IF(TblConstr[[#This Row],[Hour]:[Hour]]&gt;12,OFFSET(TblExplore[[#This Row],[Mountain Explore]],-12,0),0)</f>
        <v>0</v>
      </c>
      <c r="CT78" s="183">
        <f ca="1">-SUM(TblConstr[[#This Row],[Fac]:[Shr]])+SUM(TblConstr[[#This Row],[Dest Fac]:[Dest Shr]]) +Rezone!O78 + IF("Ch_" &amp; home_land=TblConstr[[#Headers],[Ch_Hill]],TblConstr[[#This Row],[Home Land]])+IF(TblConstr[[#This Row],[Hour]:[Hour]]&gt;12,OFFSET(TblExplore[[#This Row],[Hill Explore]],-12,0),0)</f>
        <v>0</v>
      </c>
      <c r="CU78" s="184">
        <f ca="1">-SUM(TblConstr[[#This Row],[Tow]:[WG]])+SUM(TblConstr[[#This Row],[Dest Tow]:[Dest WG]]) +Rezone!P78 + IF("Ch_" &amp; home_land=TblConstr[[#Headers],[Ch_Swamp]],TblConstr[[#This Row],[Home Land]])+IF(TblConstr[[#This Row],[Hour]:[Hour]]&gt;12,OFFSET(TblExplore[[#This Row],[Swamp Explore]],-12,0),0)</f>
        <v>0</v>
      </c>
      <c r="CV78" s="185">
        <f ca="1" xml:space="preserve"> - SUM(TblConstr[[#This Row],[DM]:[Sch]])+SUM(TblConstr[[#This Row],[Dest DM]:[Dest Sch]]) +Rezone!Q78 + IF("Ch_" &amp; home_land=TblConstr[[#Headers],[Ch_Cavern]],TblConstr[[#This Row],[Home Land]])+IF(TblConstr[[#This Row],[Hour]:[Hour]]&gt;12,OFFSET(TblExplore[[#This Row],[Cavern Explore]],-12,0),0)</f>
        <v>0</v>
      </c>
      <c r="CW78" s="186">
        <f ca="1">-TblConstr[[#This Row],[Doc]]+TblConstr[[#This Row],[Dest Doc]] +Rezone!R78 + IF("Ch_" &amp; home_land=TblConstr[[#Headers],[Ch_Water]],TblConstr[[#This Row],[Home Land]])+IF(TblConstr[[#This Row],[Hour]:[Hour]]&gt;12,OFFSET(TblExplore[[#This Row],[Water Explore]],-12,0),0)</f>
        <v>0</v>
      </c>
      <c r="CX78" s="45">
        <f>IF(Explore!S78=1,20) - TblConstr[[#This Row],[Hom]] + TblConstr[[#This Row],[Dest Hom]]</f>
        <v>0</v>
      </c>
      <c r="CY78" s="142"/>
      <c r="CZ78" s="94">
        <f t="shared" ca="1" si="12"/>
        <v>30</v>
      </c>
      <c r="DA78" s="94">
        <f t="shared" ca="1" si="13"/>
        <v>20</v>
      </c>
      <c r="DB78" s="45">
        <f t="shared" ca="1" si="14"/>
        <v>0</v>
      </c>
      <c r="DC78" s="94">
        <f t="shared" ca="1" si="15"/>
        <v>0</v>
      </c>
      <c r="DD78" s="94">
        <f t="shared" ca="1" si="16"/>
        <v>0</v>
      </c>
      <c r="DE78" s="45">
        <f t="shared" ca="1" si="17"/>
        <v>0</v>
      </c>
      <c r="DF78" s="94">
        <f t="shared" ca="1" si="18"/>
        <v>0</v>
      </c>
      <c r="DG78" s="94" cm="1">
        <f t="array" aca="1" ref="DG78" ca="1">INDEX(TblConstr[[Total Plain]:[Total Water]],ROW()-ROW(TblConstr[#Headers]),MATCH("Total "&amp;home_land,TblConstr[[#Headers],[Total Plain]:[Total Water]],0))+TblConstr[[#This Row],[Homes]]</f>
        <v>30</v>
      </c>
      <c r="DH78" s="45">
        <f t="shared" ca="1" si="22"/>
        <v>0</v>
      </c>
      <c r="DI78" s="45">
        <f t="shared" ca="1" si="19"/>
        <v>0</v>
      </c>
      <c r="DJ78" s="45">
        <f t="shared" ca="1" si="20"/>
        <v>0</v>
      </c>
    </row>
    <row r="79" spans="1:114" x14ac:dyDescent="0.2">
      <c r="A79" s="175">
        <f>TblRezone[[#This Row],[Hour]]</f>
        <v>76</v>
      </c>
      <c r="B79" s="176">
        <f ca="1">SUM(TblConstr[[#This Row],[Plain]:[Water]])</f>
        <v>0</v>
      </c>
      <c r="C79" s="177">
        <f ca="1">SUM(TblConstr[[#This Row],[Tot Hom]:[Tot Doc]])</f>
        <v>50</v>
      </c>
      <c r="D79" s="177">
        <f t="shared" si="21"/>
        <v>0</v>
      </c>
      <c r="E79" s="178"/>
      <c r="F79" s="61">
        <f ca="1">TblConstr[[#This Row],[Barren]]+TblConstr[[#This Row],[Buildings]]+TblConstr[[#This Row],[Incoming]]</f>
        <v>50</v>
      </c>
      <c r="G79" s="187">
        <f ca="1">OFFSET(TblConstr[[#This Row],[Plain]],-1,0)+TblConstr[[#This Row],[Ch_Plain]]</f>
        <v>0</v>
      </c>
      <c r="H79" s="182">
        <f ca="1">OFFSET(TblConstr[[#This Row],[Forest]],-1,0)+TblConstr[[#This Row],[Ch_Forest]]</f>
        <v>0</v>
      </c>
      <c r="I79" s="359">
        <f ca="1">OFFSET(TblConstr[[#This Row],[Mountain]],-1,0)+TblConstr[[#This Row],[Ch_Mountain]]</f>
        <v>0</v>
      </c>
      <c r="J79" s="363">
        <f ca="1">OFFSET(TblConstr[[#This Row],[Hill]],-1,0)+TblConstr[[#This Row],[Ch_Hill]]</f>
        <v>0</v>
      </c>
      <c r="K79" s="367">
        <f ca="1">OFFSET(TblConstr[[#This Row],[Swamp]],-1,0)+TblConstr[[#This Row],[Ch_Swamp]]</f>
        <v>0</v>
      </c>
      <c r="L79" s="185">
        <f ca="1">OFFSET(TblConstr[[#This Row],[Cavern]],-1,0)+TblConstr[[#This Row],[Ch_Cavern]]</f>
        <v>0</v>
      </c>
      <c r="M79" s="186">
        <f ca="1">OFFSET(TblConstr[[#This Row],[Water]],-1,0)+TblConstr[[#This Row],[Ch_Water]]</f>
        <v>0</v>
      </c>
      <c r="N79" s="357">
        <f>TblRezone[[#This Row],[Hour]]</f>
        <v>76</v>
      </c>
      <c r="O79" s="179"/>
      <c r="P79" s="179"/>
      <c r="Q79" s="179"/>
      <c r="R79" s="179"/>
      <c r="S79" s="179"/>
      <c r="T79" s="179"/>
      <c r="U79" s="179"/>
      <c r="V79" s="179"/>
      <c r="W79" s="179"/>
      <c r="X79" s="179"/>
      <c r="Y79" s="179"/>
      <c r="Z79" s="179"/>
      <c r="AA79" s="179"/>
      <c r="AB79" s="179"/>
      <c r="AC79" s="179"/>
      <c r="AD79" s="179"/>
      <c r="AE79" s="179"/>
      <c r="AF79" s="179"/>
      <c r="AG79" s="179"/>
      <c r="AH79" s="53">
        <f ca="1">TblImps[[#This Row],[Time]]</f>
        <v>46323.124999999818</v>
      </c>
      <c r="AI79" s="180">
        <f ca="1">MIN(25%,(TblConstr[[#This Row],[Tot Fac]]+TblConstr[[#This Row],[Dest Fac]])/(TblConstr[[#This Row],[Land]]-TblExplore[[#This Row],[Land Bonus]]*20))</f>
        <v>0</v>
      </c>
      <c r="AJ79" s="180">
        <f ca="1">MIN(25%,(TblConstr[[#This Row],[Tot Fac]]+TblConstr[[#This Row],[Dest Fac]])/TblConstr[[#This Row],[Land]])</f>
        <v>0</v>
      </c>
      <c r="AK79" s="94">
        <f ca="1">TblProd[[#This Row],[Platinum]]</f>
        <v>187157</v>
      </c>
      <c r="AL79" s="94">
        <f ca="1">TblProd[[#This Row],[Lumber]]</f>
        <v>59998</v>
      </c>
      <c r="AM7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9" s="94">
        <f ca="1">ROUNDDOWN( MAX(1 - MIN(facs_constr_factor*TblConstr[[#This Row],[Facs -DB]],facs_constr_max) + tech_1_11*TblTech[[#This Row],[11-1]] + tech_6_3_2*TblTech[[#This Row],[6-3]] + tech_5_2_3*TblTech[[#This Row],[5-2]], 1-global_constr_cap) * TblConstr[[#This Row],[RCPA Lumber]],0)</f>
        <v>31</v>
      </c>
      <c r="AO7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9" s="94">
        <f ca="1">ROUNDDOWN( MAX(1 - MIN(facs_constr_factor*TblConstr[[#This Row],[Facs DB]],facs_constr_max) + tech_1_11*TblTech[[#This Row],[1-11]] + tech_6_3_2*TblTech[[#This Row],[6-3]] + tech_5_2_3*TblTech[[#This Row],[5-2]], 1-global_constr_cap) * ROUND((TblConstr[[#This Row],[Land]]-250)*0.285 + 87.5 + 0/4.25,0),0)</f>
        <v>31</v>
      </c>
      <c r="AQ79" s="45">
        <f ca="1">TblConstr[[#This Row],[build -db]]*TblConstr[[#This Row],[CPA Platinum -DB]] + TblConstr[[#This Row],[build db]]*TblConstr[[#This Row],[CPA Platinum DB]]</f>
        <v>0</v>
      </c>
      <c r="AR79" s="45">
        <f ca="1">TblConstr[[#This Row],[build -db]]*TblConstr[[#This Row],[CPA Lumber -DB]] + TblConstr[[#This Row],[build db]]*TblConstr[[#This Row],[CPA Lumber DB]]</f>
        <v>0</v>
      </c>
      <c r="AS79" s="94">
        <f ca="1">MIN(SUM(OFFSET(TblConstr[[#This Row],[Plain]:[Water]],-1,0))+SUM(TblConstr[[#This Row],[Dest Hom]:[Dest Doc]])+IF(TblConstr[[#This Row],[Hour]]&gt;12,SUM(OFFSET(TblExplore[[#This Row],[Plains Explore]:[Water Explore]],-12,0)),0),SUM(TblConstr[[#This Row],[Hom]:[Doc]]))</f>
        <v>0</v>
      </c>
      <c r="AT7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42"/>
      <c r="AV79" s="94">
        <f ca="1">ROUND((TblConstr[[#This Row],[Land]]-250 - IF(TblExplore[[#This Row],[Land Bonus]]&lt;&gt;0,20,0))*1.25 + 850 + 0,0)</f>
        <v>600</v>
      </c>
      <c r="AW79" s="94">
        <f ca="1">ROUND((TblConstr[[#This Row],[Land]]-250 - IF(TblExplore[[#This Row],[Land Bonus]]&lt;&gt;0,20,0))*0.285 + 87.5 + 0/4.25,0)</f>
        <v>31</v>
      </c>
      <c r="AX79" s="154"/>
      <c r="AY79" s="188" cm="1">
        <f t="array" aca="1" ref="AY79" ca="1">IF(TblConstr[[#This Row],[Hour]:[Hour]]&gt;12,OFFSET(TblConstr[[#This Row],[Hom]],-12,0),0)+OFFSET(TblConstr[[#This Row],[Tot Hom]],-1,0)-TblConstr[[#This Row],[Dest Hom]]</f>
        <v>0</v>
      </c>
      <c r="AZ79" s="189" cm="1">
        <f t="array" aca="1" ref="AZ79" ca="1">IF(TblConstr[[#This Row],[Hour]:[Hour]]&gt;12,OFFSET(TblConstr[[#This Row],[Alc]],-12,0),0)+OFFSET(TblConstr[[#This Row],[Tot Alc]],-1,0)-TblConstr[[#This Row],[Dest Alc]]</f>
        <v>0</v>
      </c>
      <c r="BA79" s="189" cm="1">
        <f t="array" aca="1" ref="BA79" ca="1">IF(TblConstr[[#This Row],[Hour]:[Hour]]&gt;12,OFFSET(TblConstr[[#This Row],[Far]],-12,0),0)+OFFSET(TblConstr[[#This Row],[Tot Farm]],-1,0)-TblConstr[[#This Row],[Dest Farm]]</f>
        <v>30</v>
      </c>
      <c r="BB79" s="189" cm="1">
        <f t="array" aca="1" ref="BB79" ca="1">IF(TblConstr[[#This Row],[Hour]:[Hour]]&gt;12,OFFSET(TblConstr[[#This Row],[Smi]],-12,0),0)+OFFSET(TblConstr[[#This Row],[Tot Smi]],-1,0)-TblConstr[[#This Row],[Dest Smi]]</f>
        <v>0</v>
      </c>
      <c r="BC79" s="189" cm="1">
        <f t="array" aca="1" ref="BC79" ca="1">IF(TblConstr[[#This Row],[Hour]:[Hour]]&gt;12,OFFSET(TblConstr[[#This Row],[Mas]],-12,0),0)+OFFSET(TblConstr[[#This Row],[Tot Mas]],-1,0)-TblConstr[[#This Row],[Dest Mas]]</f>
        <v>0</v>
      </c>
      <c r="BD79" s="190" cm="1">
        <f t="array" aca="1" ref="BD79" ca="1">IF(TblConstr[[#This Row],[Hour]:[Hour]]&gt;12,OFFSET(TblConstr[[#This Row],[Ly]],-12,0),0)+OFFSET(TblConstr[[#This Row],[Tot Ly]],-1,0)-TblConstr[[#This Row],[Dest Ly]]</f>
        <v>20</v>
      </c>
      <c r="BE79" s="190" cm="1">
        <f t="array" aca="1" ref="BE79" ca="1">IF(TblConstr[[#This Row],[Hour]:[Hour]]&gt;12,OFFSET(TblConstr[[#This Row],[Hav]],-12,0),0)+OFFSET(TblConstr[[#This Row],[Tot Hav]],-1,0)-TblConstr[[#This Row],[Dest Hav]]</f>
        <v>0</v>
      </c>
      <c r="BF79" s="361" cm="1">
        <f t="array" aca="1" ref="BF79" ca="1">IF(TblConstr[[#This Row],[Hour]:[Hour]]&gt;12,OFFSET(TblConstr[[#This Row],[OM]],-12,0),0)+OFFSET(TblConstr[[#This Row],[Tot OM]],-1,0)-TblConstr[[#This Row],[Dest OM]]</f>
        <v>0</v>
      </c>
      <c r="BG79" s="361" cm="1">
        <f t="array" aca="1" ref="BG79" ca="1">IF(TblConstr[[#This Row],[Hour]:[Hour]]&gt;12,OFFSET(TblConstr[[#This Row],[GN]],-12,0),0)+OFFSET(TblConstr[[#This Row],[Tot GN]],-1,0)-TblConstr[[#This Row],[Dest GN]]</f>
        <v>0</v>
      </c>
      <c r="BH79" s="365" cm="1">
        <f t="array" aca="1" ref="BH79" ca="1">IF(TblConstr[[#This Row],[Hour]:[Hour]]&gt;12,OFFSET(TblConstr[[#This Row],[Fac]],-12,0),0)+OFFSET(TblConstr[[#This Row],[Tot Fac]],-1,0)-TblConstr[[#This Row],[Dest Fac]]</f>
        <v>0</v>
      </c>
      <c r="BI79" s="365" cm="1">
        <f t="array" aca="1" ref="BI79" ca="1">IF(TblConstr[[#This Row],[Hour]:[Hour]]&gt;12,OFFSET(TblConstr[[#This Row],[GT]],-12,0),0)+OFFSET(TblConstr[[#This Row],[Tot GT]],-1,0)-TblConstr[[#This Row],[Dest GT]]</f>
        <v>0</v>
      </c>
      <c r="BJ79" s="365" cm="1">
        <f t="array" aca="1" ref="BJ79" ca="1">IF(TblConstr[[#This Row],[Hour]:[Hour]]&gt;12,OFFSET(TblConstr[[#This Row],[Bar]],-12,0),0)+OFFSET(TblConstr[[#This Row],[Tot Bar]],-1,0)-TblConstr[[#This Row],[Dest Bar]]</f>
        <v>0</v>
      </c>
      <c r="BK79" s="365" cm="1">
        <f t="array" aca="1" ref="BK79" ca="1">IF(TblConstr[[#This Row],[Hour]:[Hour]]&gt;12,OFFSET(TblConstr[[#This Row],[Shr]],-12,0),0)+OFFSET(TblConstr[[#This Row],[Tot Shr]],-1,0)-TblConstr[[#This Row],[Dest Shr]]</f>
        <v>0</v>
      </c>
      <c r="BL79" s="369" cm="1">
        <f t="array" aca="1" ref="BL79" ca="1">IF(TblConstr[[#This Row],[Hour]:[Hour]]&gt;12,OFFSET(TblConstr[[#This Row],[Tow]],-12,0),0)+OFFSET(TblConstr[[#This Row],[Tot Tow]],-1,0)-TblConstr[[#This Row],[Dest Tow]]</f>
        <v>0</v>
      </c>
      <c r="BM79" s="369" cm="1">
        <f t="array" aca="1" ref="BM79" ca="1">IF(TblConstr[[#This Row],[Hour]:[Hour]]&gt;12,OFFSET(TblConstr[[#This Row],[Tem]],-12,0),0)+OFFSET(TblConstr[[#This Row],[Tot Tem]],-1,0)-TblConstr[[#This Row],[Dest Tem]]</f>
        <v>0</v>
      </c>
      <c r="BN79" s="369" cm="1">
        <f t="array" aca="1" ref="BN79" ca="1">IF(TblConstr[[#This Row],[Hour]:[Hour]]&gt;12,OFFSET(TblConstr[[#This Row],[WG]],-12,0),0)+OFFSET(TblConstr[[#This Row],[Tot WG]],-1,0)-TblConstr[[#This Row],[Dest WG]]</f>
        <v>0</v>
      </c>
      <c r="BO79" s="191" cm="1">
        <f t="array" aca="1" ref="BO79" ca="1">IF(TblConstr[[#This Row],[Hour]:[Hour]]&gt;12,OFFSET(TblConstr[[#This Row],[DM]],-12,0),0)+OFFSET(TblConstr[[#This Row],[Tot DM]],-1,0)-TblConstr[[#This Row],[Dest DM]]</f>
        <v>0</v>
      </c>
      <c r="BP79" s="191" cm="1">
        <f t="array" aca="1" ref="BP79" ca="1">IF(TblConstr[[#This Row],[Hour]:[Hour]]&gt;12,OFFSET(TblConstr[[#This Row],[Sch]],-12,0),0)+OFFSET(TblConstr[[#This Row],[Tot Sch]],-1,0)-TblConstr[[#This Row],[Dest Sch]]</f>
        <v>0</v>
      </c>
      <c r="BQ79" s="192" cm="1">
        <f t="array" aca="1" ref="BQ79" ca="1">IF(TblConstr[[#This Row],[Hour]:[Hour]]&gt;12,OFFSET(TblConstr[[#This Row],[Doc]],-12,0),0)+OFFSET(TblConstr[[#This Row],[Tot Doc]],-1,0)-TblConstr[[#This Row],[Dest Doc]]</f>
        <v>0</v>
      </c>
      <c r="BR79" s="142"/>
      <c r="BS79" s="154"/>
      <c r="BT79" s="94">
        <f ca="1">TblConstr[[#This Row],[Land]]</f>
        <v>50</v>
      </c>
      <c r="BU79" s="159">
        <f ca="1">TblImps[[#This Row],[Time]]</f>
        <v>46323.124999999818</v>
      </c>
      <c r="BV79" s="142"/>
      <c r="BW79" s="179"/>
      <c r="BX79" s="179"/>
      <c r="BY79" s="179"/>
      <c r="BZ79" s="179"/>
      <c r="CA79" s="179"/>
      <c r="CB79" s="179"/>
      <c r="CC79" s="179"/>
      <c r="CD79" s="179"/>
      <c r="CE79" s="179"/>
      <c r="CF79" s="179"/>
      <c r="CG79" s="179"/>
      <c r="CH79" s="179"/>
      <c r="CI79" s="179"/>
      <c r="CJ79" s="179"/>
      <c r="CK79" s="179"/>
      <c r="CL79" s="179"/>
      <c r="CM79" s="179"/>
      <c r="CN79" s="179"/>
      <c r="CO79" s="179"/>
      <c r="CP79" s="142"/>
      <c r="CQ79" s="181">
        <f ca="1">-SUM(TblConstr[[#This Row],[Alc]:[Mas]])+SUM(TblConstr[[#This Row],[Dest Alc]:[Dest Mas]])+Rezone!L79+IF("Ch_"&amp; home_land=TblConstr[[#Headers],[Ch_Plain]],TblConstr[[#This Row],[Home Land]])+IF(TblConstr[[#This Row],[Hour]:[Hour]]&gt;12,OFFSET(TblExplore[[#This Row],[Plains Explore]],-12,0),0)</f>
        <v>0</v>
      </c>
      <c r="CR79" s="182">
        <f ca="1">-SUM(TblConstr[[#This Row],[Ly]:[Hav]])+SUM(TblConstr[[#This Row],[Dest Ly]:[Dest Hav]]) +Rezone!M79 + IF("Ch_"&amp; home_land=TblConstr[[#Headers],[Ch_Forest]],TblConstr[[#This Row],[Home Land]])+IF(TblConstr[[#This Row],[Hour]:[Hour]]&gt;12,OFFSET(TblExplore[[#This Row],[Forest Explore]],-12,0),0)</f>
        <v>0</v>
      </c>
      <c r="CS79" s="359">
        <f ca="1">-SUM(TblConstr[[#This Row],[OM]:[GN]])+SUM(TblConstr[[#This Row],[Dest OM]:[Dest GN]]) +Rezone!N79 + IF("Ch_"&amp; home_land=TblConstr[[#Headers],[Ch_Mountain]],TblConstr[[#This Row],[Home Land]])+IF(TblConstr[[#This Row],[Hour]:[Hour]]&gt;12,OFFSET(TblExplore[[#This Row],[Mountain Explore]],-12,0),0)</f>
        <v>0</v>
      </c>
      <c r="CT79" s="183">
        <f ca="1">-SUM(TblConstr[[#This Row],[Fac]:[Shr]])+SUM(TblConstr[[#This Row],[Dest Fac]:[Dest Shr]]) +Rezone!O79 + IF("Ch_" &amp; home_land=TblConstr[[#Headers],[Ch_Hill]],TblConstr[[#This Row],[Home Land]])+IF(TblConstr[[#This Row],[Hour]:[Hour]]&gt;12,OFFSET(TblExplore[[#This Row],[Hill Explore]],-12,0),0)</f>
        <v>0</v>
      </c>
      <c r="CU79" s="184">
        <f ca="1">-SUM(TblConstr[[#This Row],[Tow]:[WG]])+SUM(TblConstr[[#This Row],[Dest Tow]:[Dest WG]]) +Rezone!P79 + IF("Ch_" &amp; home_land=TblConstr[[#Headers],[Ch_Swamp]],TblConstr[[#This Row],[Home Land]])+IF(TblConstr[[#This Row],[Hour]:[Hour]]&gt;12,OFFSET(TblExplore[[#This Row],[Swamp Explore]],-12,0),0)</f>
        <v>0</v>
      </c>
      <c r="CV79" s="185">
        <f ca="1" xml:space="preserve"> - SUM(TblConstr[[#This Row],[DM]:[Sch]])+SUM(TblConstr[[#This Row],[Dest DM]:[Dest Sch]]) +Rezone!Q79 + IF("Ch_" &amp; home_land=TblConstr[[#Headers],[Ch_Cavern]],TblConstr[[#This Row],[Home Land]])+IF(TblConstr[[#This Row],[Hour]:[Hour]]&gt;12,OFFSET(TblExplore[[#This Row],[Cavern Explore]],-12,0),0)</f>
        <v>0</v>
      </c>
      <c r="CW79" s="186">
        <f ca="1">-TblConstr[[#This Row],[Doc]]+TblConstr[[#This Row],[Dest Doc]] +Rezone!R79 + IF("Ch_" &amp; home_land=TblConstr[[#Headers],[Ch_Water]],TblConstr[[#This Row],[Home Land]])+IF(TblConstr[[#This Row],[Hour]:[Hour]]&gt;12,OFFSET(TblExplore[[#This Row],[Water Explore]],-12,0),0)</f>
        <v>0</v>
      </c>
      <c r="CX79" s="45">
        <f>IF(Explore!S79=1,20) - TblConstr[[#This Row],[Hom]] + TblConstr[[#This Row],[Dest Hom]]</f>
        <v>0</v>
      </c>
      <c r="CY79" s="142"/>
      <c r="CZ79" s="94">
        <f t="shared" ca="1" si="12"/>
        <v>30</v>
      </c>
      <c r="DA79" s="94">
        <f t="shared" ca="1" si="13"/>
        <v>20</v>
      </c>
      <c r="DB79" s="45">
        <f t="shared" ca="1" si="14"/>
        <v>0</v>
      </c>
      <c r="DC79" s="94">
        <f t="shared" ca="1" si="15"/>
        <v>0</v>
      </c>
      <c r="DD79" s="94">
        <f t="shared" ca="1" si="16"/>
        <v>0</v>
      </c>
      <c r="DE79" s="45">
        <f t="shared" ca="1" si="17"/>
        <v>0</v>
      </c>
      <c r="DF79" s="94">
        <f t="shared" ca="1" si="18"/>
        <v>0</v>
      </c>
      <c r="DG79" s="94" cm="1">
        <f t="array" aca="1" ref="DG79" ca="1">INDEX(TblConstr[[Total Plain]:[Total Water]],ROW()-ROW(TblConstr[#Headers]),MATCH("Total "&amp;home_land,TblConstr[[#Headers],[Total Plain]:[Total Water]],0))+TblConstr[[#This Row],[Homes]]</f>
        <v>30</v>
      </c>
      <c r="DH79" s="45">
        <f t="shared" ca="1" si="22"/>
        <v>0</v>
      </c>
      <c r="DI79" s="45">
        <f t="shared" ca="1" si="19"/>
        <v>0</v>
      </c>
      <c r="DJ79" s="45">
        <f t="shared" ca="1" si="20"/>
        <v>0</v>
      </c>
    </row>
    <row r="80" spans="1:114" x14ac:dyDescent="0.2">
      <c r="A80" s="175">
        <f>TblRezone[[#This Row],[Hour]]</f>
        <v>77</v>
      </c>
      <c r="B80" s="176">
        <f ca="1">SUM(TblConstr[[#This Row],[Plain]:[Water]])</f>
        <v>0</v>
      </c>
      <c r="C80" s="177">
        <f ca="1">SUM(TblConstr[[#This Row],[Tot Hom]:[Tot Doc]])</f>
        <v>50</v>
      </c>
      <c r="D80" s="177">
        <f t="shared" si="21"/>
        <v>0</v>
      </c>
      <c r="E80" s="178"/>
      <c r="F80" s="61">
        <f ca="1">TblConstr[[#This Row],[Barren]]+TblConstr[[#This Row],[Buildings]]+TblConstr[[#This Row],[Incoming]]</f>
        <v>50</v>
      </c>
      <c r="G80" s="187">
        <f ca="1">OFFSET(TblConstr[[#This Row],[Plain]],-1,0)+TblConstr[[#This Row],[Ch_Plain]]</f>
        <v>0</v>
      </c>
      <c r="H80" s="182">
        <f ca="1">OFFSET(TblConstr[[#This Row],[Forest]],-1,0)+TblConstr[[#This Row],[Ch_Forest]]</f>
        <v>0</v>
      </c>
      <c r="I80" s="359">
        <f ca="1">OFFSET(TblConstr[[#This Row],[Mountain]],-1,0)+TblConstr[[#This Row],[Ch_Mountain]]</f>
        <v>0</v>
      </c>
      <c r="J80" s="363">
        <f ca="1">OFFSET(TblConstr[[#This Row],[Hill]],-1,0)+TblConstr[[#This Row],[Ch_Hill]]</f>
        <v>0</v>
      </c>
      <c r="K80" s="367">
        <f ca="1">OFFSET(TblConstr[[#This Row],[Swamp]],-1,0)+TblConstr[[#This Row],[Ch_Swamp]]</f>
        <v>0</v>
      </c>
      <c r="L80" s="185">
        <f ca="1">OFFSET(TblConstr[[#This Row],[Cavern]],-1,0)+TblConstr[[#This Row],[Ch_Cavern]]</f>
        <v>0</v>
      </c>
      <c r="M80" s="186">
        <f ca="1">OFFSET(TblConstr[[#This Row],[Water]],-1,0)+TblConstr[[#This Row],[Ch_Water]]</f>
        <v>0</v>
      </c>
      <c r="N80" s="357">
        <f>TblRezone[[#This Row],[Hour]]</f>
        <v>77</v>
      </c>
      <c r="O80" s="179"/>
      <c r="P80" s="179"/>
      <c r="Q80" s="179"/>
      <c r="R80" s="179"/>
      <c r="S80" s="179"/>
      <c r="T80" s="179"/>
      <c r="U80" s="179"/>
      <c r="V80" s="179"/>
      <c r="W80" s="179"/>
      <c r="X80" s="179"/>
      <c r="Y80" s="179"/>
      <c r="Z80" s="179"/>
      <c r="AA80" s="179"/>
      <c r="AB80" s="179"/>
      <c r="AC80" s="179"/>
      <c r="AD80" s="179"/>
      <c r="AE80" s="179"/>
      <c r="AF80" s="179"/>
      <c r="AG80" s="179"/>
      <c r="AH80" s="53">
        <f ca="1">TblImps[[#This Row],[Time]]</f>
        <v>46323.166666666482</v>
      </c>
      <c r="AI80" s="180">
        <f ca="1">MIN(25%,(TblConstr[[#This Row],[Tot Fac]]+TblConstr[[#This Row],[Dest Fac]])/(TblConstr[[#This Row],[Land]]-TblExplore[[#This Row],[Land Bonus]]*20))</f>
        <v>0</v>
      </c>
      <c r="AJ80" s="180">
        <f ca="1">MIN(25%,(TblConstr[[#This Row],[Tot Fac]]+TblConstr[[#This Row],[Dest Fac]])/TblConstr[[#This Row],[Land]])</f>
        <v>0</v>
      </c>
      <c r="AK80" s="94">
        <f ca="1">TblProd[[#This Row],[Platinum]]</f>
        <v>187759</v>
      </c>
      <c r="AL80" s="94">
        <f ca="1">TblProd[[#This Row],[Lumber]]</f>
        <v>60398</v>
      </c>
      <c r="AM8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0" s="94">
        <f ca="1">ROUNDDOWN( MAX(1 - MIN(facs_constr_factor*TblConstr[[#This Row],[Facs -DB]],facs_constr_max) + tech_1_11*TblTech[[#This Row],[11-1]] + tech_6_3_2*TblTech[[#This Row],[6-3]] + tech_5_2_3*TblTech[[#This Row],[5-2]], 1-global_constr_cap) * TblConstr[[#This Row],[RCPA Lumber]],0)</f>
        <v>31</v>
      </c>
      <c r="AO8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0" s="94">
        <f ca="1">ROUNDDOWN( MAX(1 - MIN(facs_constr_factor*TblConstr[[#This Row],[Facs DB]],facs_constr_max) + tech_1_11*TblTech[[#This Row],[1-11]] + tech_6_3_2*TblTech[[#This Row],[6-3]] + tech_5_2_3*TblTech[[#This Row],[5-2]], 1-global_constr_cap) * ROUND((TblConstr[[#This Row],[Land]]-250)*0.285 + 87.5 + 0/4.25,0),0)</f>
        <v>31</v>
      </c>
      <c r="AQ80" s="45">
        <f ca="1">TblConstr[[#This Row],[build -db]]*TblConstr[[#This Row],[CPA Platinum -DB]] + TblConstr[[#This Row],[build db]]*TblConstr[[#This Row],[CPA Platinum DB]]</f>
        <v>0</v>
      </c>
      <c r="AR80" s="45">
        <f ca="1">TblConstr[[#This Row],[build -db]]*TblConstr[[#This Row],[CPA Lumber -DB]] + TblConstr[[#This Row],[build db]]*TblConstr[[#This Row],[CPA Lumber DB]]</f>
        <v>0</v>
      </c>
      <c r="AS80" s="94">
        <f ca="1">MIN(SUM(OFFSET(TblConstr[[#This Row],[Plain]:[Water]],-1,0))+SUM(TblConstr[[#This Row],[Dest Hom]:[Dest Doc]])+IF(TblConstr[[#This Row],[Hour]]&gt;12,SUM(OFFSET(TblExplore[[#This Row],[Plains Explore]:[Water Explore]],-12,0)),0),SUM(TblConstr[[#This Row],[Hom]:[Doc]]))</f>
        <v>0</v>
      </c>
      <c r="AT8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42"/>
      <c r="AV80" s="94">
        <f ca="1">ROUND((TblConstr[[#This Row],[Land]]-250 - IF(TblExplore[[#This Row],[Land Bonus]]&lt;&gt;0,20,0))*1.25 + 850 + 0,0)</f>
        <v>600</v>
      </c>
      <c r="AW80" s="94">
        <f ca="1">ROUND((TblConstr[[#This Row],[Land]]-250 - IF(TblExplore[[#This Row],[Land Bonus]]&lt;&gt;0,20,0))*0.285 + 87.5 + 0/4.25,0)</f>
        <v>31</v>
      </c>
      <c r="AX80" s="154"/>
      <c r="AY80" s="188" cm="1">
        <f t="array" aca="1" ref="AY80" ca="1">IF(TblConstr[[#This Row],[Hour]:[Hour]]&gt;12,OFFSET(TblConstr[[#This Row],[Hom]],-12,0),0)+OFFSET(TblConstr[[#This Row],[Tot Hom]],-1,0)-TblConstr[[#This Row],[Dest Hom]]</f>
        <v>0</v>
      </c>
      <c r="AZ80" s="189" cm="1">
        <f t="array" aca="1" ref="AZ80" ca="1">IF(TblConstr[[#This Row],[Hour]:[Hour]]&gt;12,OFFSET(TblConstr[[#This Row],[Alc]],-12,0),0)+OFFSET(TblConstr[[#This Row],[Tot Alc]],-1,0)-TblConstr[[#This Row],[Dest Alc]]</f>
        <v>0</v>
      </c>
      <c r="BA80" s="189" cm="1">
        <f t="array" aca="1" ref="BA80" ca="1">IF(TblConstr[[#This Row],[Hour]:[Hour]]&gt;12,OFFSET(TblConstr[[#This Row],[Far]],-12,0),0)+OFFSET(TblConstr[[#This Row],[Tot Farm]],-1,0)-TblConstr[[#This Row],[Dest Farm]]</f>
        <v>30</v>
      </c>
      <c r="BB80" s="189" cm="1">
        <f t="array" aca="1" ref="BB80" ca="1">IF(TblConstr[[#This Row],[Hour]:[Hour]]&gt;12,OFFSET(TblConstr[[#This Row],[Smi]],-12,0),0)+OFFSET(TblConstr[[#This Row],[Tot Smi]],-1,0)-TblConstr[[#This Row],[Dest Smi]]</f>
        <v>0</v>
      </c>
      <c r="BC80" s="189" cm="1">
        <f t="array" aca="1" ref="BC80" ca="1">IF(TblConstr[[#This Row],[Hour]:[Hour]]&gt;12,OFFSET(TblConstr[[#This Row],[Mas]],-12,0),0)+OFFSET(TblConstr[[#This Row],[Tot Mas]],-1,0)-TblConstr[[#This Row],[Dest Mas]]</f>
        <v>0</v>
      </c>
      <c r="BD80" s="190" cm="1">
        <f t="array" aca="1" ref="BD80" ca="1">IF(TblConstr[[#This Row],[Hour]:[Hour]]&gt;12,OFFSET(TblConstr[[#This Row],[Ly]],-12,0),0)+OFFSET(TblConstr[[#This Row],[Tot Ly]],-1,0)-TblConstr[[#This Row],[Dest Ly]]</f>
        <v>20</v>
      </c>
      <c r="BE80" s="190" cm="1">
        <f t="array" aca="1" ref="BE80" ca="1">IF(TblConstr[[#This Row],[Hour]:[Hour]]&gt;12,OFFSET(TblConstr[[#This Row],[Hav]],-12,0),0)+OFFSET(TblConstr[[#This Row],[Tot Hav]],-1,0)-TblConstr[[#This Row],[Dest Hav]]</f>
        <v>0</v>
      </c>
      <c r="BF80" s="361" cm="1">
        <f t="array" aca="1" ref="BF80" ca="1">IF(TblConstr[[#This Row],[Hour]:[Hour]]&gt;12,OFFSET(TblConstr[[#This Row],[OM]],-12,0),0)+OFFSET(TblConstr[[#This Row],[Tot OM]],-1,0)-TblConstr[[#This Row],[Dest OM]]</f>
        <v>0</v>
      </c>
      <c r="BG80" s="361" cm="1">
        <f t="array" aca="1" ref="BG80" ca="1">IF(TblConstr[[#This Row],[Hour]:[Hour]]&gt;12,OFFSET(TblConstr[[#This Row],[GN]],-12,0),0)+OFFSET(TblConstr[[#This Row],[Tot GN]],-1,0)-TblConstr[[#This Row],[Dest GN]]</f>
        <v>0</v>
      </c>
      <c r="BH80" s="365" cm="1">
        <f t="array" aca="1" ref="BH80" ca="1">IF(TblConstr[[#This Row],[Hour]:[Hour]]&gt;12,OFFSET(TblConstr[[#This Row],[Fac]],-12,0),0)+OFFSET(TblConstr[[#This Row],[Tot Fac]],-1,0)-TblConstr[[#This Row],[Dest Fac]]</f>
        <v>0</v>
      </c>
      <c r="BI80" s="365" cm="1">
        <f t="array" aca="1" ref="BI80" ca="1">IF(TblConstr[[#This Row],[Hour]:[Hour]]&gt;12,OFFSET(TblConstr[[#This Row],[GT]],-12,0),0)+OFFSET(TblConstr[[#This Row],[Tot GT]],-1,0)-TblConstr[[#This Row],[Dest GT]]</f>
        <v>0</v>
      </c>
      <c r="BJ80" s="365" cm="1">
        <f t="array" aca="1" ref="BJ80" ca="1">IF(TblConstr[[#This Row],[Hour]:[Hour]]&gt;12,OFFSET(TblConstr[[#This Row],[Bar]],-12,0),0)+OFFSET(TblConstr[[#This Row],[Tot Bar]],-1,0)-TblConstr[[#This Row],[Dest Bar]]</f>
        <v>0</v>
      </c>
      <c r="BK80" s="365" cm="1">
        <f t="array" aca="1" ref="BK80" ca="1">IF(TblConstr[[#This Row],[Hour]:[Hour]]&gt;12,OFFSET(TblConstr[[#This Row],[Shr]],-12,0),0)+OFFSET(TblConstr[[#This Row],[Tot Shr]],-1,0)-TblConstr[[#This Row],[Dest Shr]]</f>
        <v>0</v>
      </c>
      <c r="BL80" s="369" cm="1">
        <f t="array" aca="1" ref="BL80" ca="1">IF(TblConstr[[#This Row],[Hour]:[Hour]]&gt;12,OFFSET(TblConstr[[#This Row],[Tow]],-12,0),0)+OFFSET(TblConstr[[#This Row],[Tot Tow]],-1,0)-TblConstr[[#This Row],[Dest Tow]]</f>
        <v>0</v>
      </c>
      <c r="BM80" s="369" cm="1">
        <f t="array" aca="1" ref="BM80" ca="1">IF(TblConstr[[#This Row],[Hour]:[Hour]]&gt;12,OFFSET(TblConstr[[#This Row],[Tem]],-12,0),0)+OFFSET(TblConstr[[#This Row],[Tot Tem]],-1,0)-TblConstr[[#This Row],[Dest Tem]]</f>
        <v>0</v>
      </c>
      <c r="BN80" s="369" cm="1">
        <f t="array" aca="1" ref="BN80" ca="1">IF(TblConstr[[#This Row],[Hour]:[Hour]]&gt;12,OFFSET(TblConstr[[#This Row],[WG]],-12,0),0)+OFFSET(TblConstr[[#This Row],[Tot WG]],-1,0)-TblConstr[[#This Row],[Dest WG]]</f>
        <v>0</v>
      </c>
      <c r="BO80" s="191" cm="1">
        <f t="array" aca="1" ref="BO80" ca="1">IF(TblConstr[[#This Row],[Hour]:[Hour]]&gt;12,OFFSET(TblConstr[[#This Row],[DM]],-12,0),0)+OFFSET(TblConstr[[#This Row],[Tot DM]],-1,0)-TblConstr[[#This Row],[Dest DM]]</f>
        <v>0</v>
      </c>
      <c r="BP80" s="191" cm="1">
        <f t="array" aca="1" ref="BP80" ca="1">IF(TblConstr[[#This Row],[Hour]:[Hour]]&gt;12,OFFSET(TblConstr[[#This Row],[Sch]],-12,0),0)+OFFSET(TblConstr[[#This Row],[Tot Sch]],-1,0)-TblConstr[[#This Row],[Dest Sch]]</f>
        <v>0</v>
      </c>
      <c r="BQ80" s="192" cm="1">
        <f t="array" aca="1" ref="BQ80" ca="1">IF(TblConstr[[#This Row],[Hour]:[Hour]]&gt;12,OFFSET(TblConstr[[#This Row],[Doc]],-12,0),0)+OFFSET(TblConstr[[#This Row],[Tot Doc]],-1,0)-TblConstr[[#This Row],[Dest Doc]]</f>
        <v>0</v>
      </c>
      <c r="BR80" s="142"/>
      <c r="BS80" s="154"/>
      <c r="BT80" s="94">
        <f ca="1">TblConstr[[#This Row],[Land]]</f>
        <v>50</v>
      </c>
      <c r="BU80" s="159">
        <f ca="1">TblImps[[#This Row],[Time]]</f>
        <v>46323.166666666482</v>
      </c>
      <c r="BV80" s="142"/>
      <c r="BW80" s="179"/>
      <c r="BX80" s="179"/>
      <c r="BY80" s="179"/>
      <c r="BZ80" s="179"/>
      <c r="CA80" s="179"/>
      <c r="CB80" s="179"/>
      <c r="CC80" s="179"/>
      <c r="CD80" s="179"/>
      <c r="CE80" s="179"/>
      <c r="CF80" s="179"/>
      <c r="CG80" s="179"/>
      <c r="CH80" s="179"/>
      <c r="CI80" s="179"/>
      <c r="CJ80" s="179"/>
      <c r="CK80" s="179"/>
      <c r="CL80" s="179"/>
      <c r="CM80" s="179"/>
      <c r="CN80" s="179"/>
      <c r="CO80" s="179"/>
      <c r="CP80" s="142"/>
      <c r="CQ80" s="181">
        <f ca="1">-SUM(TblConstr[[#This Row],[Alc]:[Mas]])+SUM(TblConstr[[#This Row],[Dest Alc]:[Dest Mas]])+Rezone!L80+IF("Ch_"&amp; home_land=TblConstr[[#Headers],[Ch_Plain]],TblConstr[[#This Row],[Home Land]])+IF(TblConstr[[#This Row],[Hour]:[Hour]]&gt;12,OFFSET(TblExplore[[#This Row],[Plains Explore]],-12,0),0)</f>
        <v>0</v>
      </c>
      <c r="CR80" s="182">
        <f ca="1">-SUM(TblConstr[[#This Row],[Ly]:[Hav]])+SUM(TblConstr[[#This Row],[Dest Ly]:[Dest Hav]]) +Rezone!M80 + IF("Ch_"&amp; home_land=TblConstr[[#Headers],[Ch_Forest]],TblConstr[[#This Row],[Home Land]])+IF(TblConstr[[#This Row],[Hour]:[Hour]]&gt;12,OFFSET(TblExplore[[#This Row],[Forest Explore]],-12,0),0)</f>
        <v>0</v>
      </c>
      <c r="CS80" s="359">
        <f ca="1">-SUM(TblConstr[[#This Row],[OM]:[GN]])+SUM(TblConstr[[#This Row],[Dest OM]:[Dest GN]]) +Rezone!N80 + IF("Ch_"&amp; home_land=TblConstr[[#Headers],[Ch_Mountain]],TblConstr[[#This Row],[Home Land]])+IF(TblConstr[[#This Row],[Hour]:[Hour]]&gt;12,OFFSET(TblExplore[[#This Row],[Mountain Explore]],-12,0),0)</f>
        <v>0</v>
      </c>
      <c r="CT80" s="183">
        <f ca="1">-SUM(TblConstr[[#This Row],[Fac]:[Shr]])+SUM(TblConstr[[#This Row],[Dest Fac]:[Dest Shr]]) +Rezone!O80 + IF("Ch_" &amp; home_land=TblConstr[[#Headers],[Ch_Hill]],TblConstr[[#This Row],[Home Land]])+IF(TblConstr[[#This Row],[Hour]:[Hour]]&gt;12,OFFSET(TblExplore[[#This Row],[Hill Explore]],-12,0),0)</f>
        <v>0</v>
      </c>
      <c r="CU80" s="184">
        <f ca="1">-SUM(TblConstr[[#This Row],[Tow]:[WG]])+SUM(TblConstr[[#This Row],[Dest Tow]:[Dest WG]]) +Rezone!P80 + IF("Ch_" &amp; home_land=TblConstr[[#Headers],[Ch_Swamp]],TblConstr[[#This Row],[Home Land]])+IF(TblConstr[[#This Row],[Hour]:[Hour]]&gt;12,OFFSET(TblExplore[[#This Row],[Swamp Explore]],-12,0),0)</f>
        <v>0</v>
      </c>
      <c r="CV80" s="185">
        <f ca="1" xml:space="preserve"> - SUM(TblConstr[[#This Row],[DM]:[Sch]])+SUM(TblConstr[[#This Row],[Dest DM]:[Dest Sch]]) +Rezone!Q80 + IF("Ch_" &amp; home_land=TblConstr[[#Headers],[Ch_Cavern]],TblConstr[[#This Row],[Home Land]])+IF(TblConstr[[#This Row],[Hour]:[Hour]]&gt;12,OFFSET(TblExplore[[#This Row],[Cavern Explore]],-12,0),0)</f>
        <v>0</v>
      </c>
      <c r="CW80" s="186">
        <f ca="1">-TblConstr[[#This Row],[Doc]]+TblConstr[[#This Row],[Dest Doc]] +Rezone!R80 + IF("Ch_" &amp; home_land=TblConstr[[#Headers],[Ch_Water]],TblConstr[[#This Row],[Home Land]])+IF(TblConstr[[#This Row],[Hour]:[Hour]]&gt;12,OFFSET(TblExplore[[#This Row],[Water Explore]],-12,0),0)</f>
        <v>0</v>
      </c>
      <c r="CX80" s="45">
        <f>IF(Explore!S80=1,20) - TblConstr[[#This Row],[Hom]] + TblConstr[[#This Row],[Dest Hom]]</f>
        <v>0</v>
      </c>
      <c r="CY80" s="142"/>
      <c r="CZ80" s="94">
        <f t="shared" ref="CZ80:CZ111" ca="1" si="23">G80+SUM(P69:S80)+SUM(AZ80:BC80)</f>
        <v>30</v>
      </c>
      <c r="DA80" s="94">
        <f t="shared" ref="DA80:DA111" ca="1" si="24">H80+SUM(T69:U80)+SUM(BD80:BE80)</f>
        <v>20</v>
      </c>
      <c r="DB80" s="45">
        <f t="shared" ref="DB80:DB111" ca="1" si="25">I80+SUM(V69:W80)+SUM(BF80:BG80)</f>
        <v>0</v>
      </c>
      <c r="DC80" s="94">
        <f t="shared" ref="DC80:DC111" ca="1" si="26">J80+SUM(X69:Y80)+SUM(BH80:BI80)</f>
        <v>0</v>
      </c>
      <c r="DD80" s="94">
        <f t="shared" ref="DD80:DD111" ca="1" si="27">K80+SUM(AB69:AD80)+SUM(BL80:BN80)</f>
        <v>0</v>
      </c>
      <c r="DE80" s="45">
        <f t="shared" ref="DE80:DE111" ca="1" si="28">L80+SUM(AE69:AE80)+BO80</f>
        <v>0</v>
      </c>
      <c r="DF80" s="94">
        <f t="shared" ref="DF80:DF111" ca="1" si="29">M80+SUM(AG69:AG80)+BQ80</f>
        <v>0</v>
      </c>
      <c r="DG80" s="94" cm="1">
        <f t="array" aca="1" ref="DG80" ca="1">INDEX(TblConstr[[Total Plain]:[Total Water]],ROW()-ROW(TblConstr[#Headers]),MATCH("Total "&amp;home_land,TblConstr[[#Headers],[Total Plain]:[Total Water]],0))+TblConstr[[#This Row],[Homes]]</f>
        <v>30</v>
      </c>
      <c r="DH80" s="45">
        <f t="shared" ca="1" si="22"/>
        <v>0</v>
      </c>
      <c r="DI80" s="45">
        <f t="shared" ca="1" si="19"/>
        <v>0</v>
      </c>
      <c r="DJ80" s="45">
        <f t="shared" ca="1" si="20"/>
        <v>0</v>
      </c>
    </row>
    <row r="81" spans="1:114" x14ac:dyDescent="0.2">
      <c r="A81" s="175">
        <f>TblRezone[[#This Row],[Hour]]</f>
        <v>78</v>
      </c>
      <c r="B81" s="176">
        <f ca="1">SUM(TblConstr[[#This Row],[Plain]:[Water]])</f>
        <v>0</v>
      </c>
      <c r="C81" s="177">
        <f ca="1">SUM(TblConstr[[#This Row],[Tot Hom]:[Tot Doc]])</f>
        <v>50</v>
      </c>
      <c r="D81" s="177">
        <f t="shared" si="21"/>
        <v>0</v>
      </c>
      <c r="E81" s="178"/>
      <c r="F81" s="61">
        <f ca="1">TblConstr[[#This Row],[Barren]]+TblConstr[[#This Row],[Buildings]]+TblConstr[[#This Row],[Incoming]]</f>
        <v>50</v>
      </c>
      <c r="G81" s="187">
        <f ca="1">OFFSET(TblConstr[[#This Row],[Plain]],-1,0)+TblConstr[[#This Row],[Ch_Plain]]</f>
        <v>0</v>
      </c>
      <c r="H81" s="182">
        <f ca="1">OFFSET(TblConstr[[#This Row],[Forest]],-1,0)+TblConstr[[#This Row],[Ch_Forest]]</f>
        <v>0</v>
      </c>
      <c r="I81" s="359">
        <f ca="1">OFFSET(TblConstr[[#This Row],[Mountain]],-1,0)+TblConstr[[#This Row],[Ch_Mountain]]</f>
        <v>0</v>
      </c>
      <c r="J81" s="363">
        <f ca="1">OFFSET(TblConstr[[#This Row],[Hill]],-1,0)+TblConstr[[#This Row],[Ch_Hill]]</f>
        <v>0</v>
      </c>
      <c r="K81" s="367">
        <f ca="1">OFFSET(TblConstr[[#This Row],[Swamp]],-1,0)+TblConstr[[#This Row],[Ch_Swamp]]</f>
        <v>0</v>
      </c>
      <c r="L81" s="185">
        <f ca="1">OFFSET(TblConstr[[#This Row],[Cavern]],-1,0)+TblConstr[[#This Row],[Ch_Cavern]]</f>
        <v>0</v>
      </c>
      <c r="M81" s="186">
        <f ca="1">OFFSET(TblConstr[[#This Row],[Water]],-1,0)+TblConstr[[#This Row],[Ch_Water]]</f>
        <v>0</v>
      </c>
      <c r="N81" s="357">
        <f>TblRezone[[#This Row],[Hour]]</f>
        <v>78</v>
      </c>
      <c r="O81" s="179"/>
      <c r="P81" s="179"/>
      <c r="Q81" s="179"/>
      <c r="R81" s="179"/>
      <c r="S81" s="179"/>
      <c r="T81" s="179"/>
      <c r="U81" s="179"/>
      <c r="V81" s="179"/>
      <c r="W81" s="179"/>
      <c r="X81" s="179"/>
      <c r="Y81" s="179"/>
      <c r="Z81" s="179"/>
      <c r="AA81" s="179"/>
      <c r="AB81" s="179"/>
      <c r="AC81" s="179"/>
      <c r="AD81" s="179"/>
      <c r="AE81" s="179"/>
      <c r="AF81" s="179"/>
      <c r="AG81" s="179"/>
      <c r="AH81" s="53">
        <f ca="1">TblImps[[#This Row],[Time]]</f>
        <v>46323.208333333147</v>
      </c>
      <c r="AI81" s="180">
        <f ca="1">MIN(25%,(TblConstr[[#This Row],[Tot Fac]]+TblConstr[[#This Row],[Dest Fac]])/(TblConstr[[#This Row],[Land]]-TblExplore[[#This Row],[Land Bonus]]*20))</f>
        <v>0</v>
      </c>
      <c r="AJ81" s="180">
        <f ca="1">MIN(25%,(TblConstr[[#This Row],[Tot Fac]]+TblConstr[[#This Row],[Dest Fac]])/TblConstr[[#This Row],[Land]])</f>
        <v>0</v>
      </c>
      <c r="AK81" s="94">
        <f ca="1">TblProd[[#This Row],[Platinum]]</f>
        <v>188355</v>
      </c>
      <c r="AL81" s="94">
        <f ca="1">TblProd[[#This Row],[Lumber]]</f>
        <v>60794</v>
      </c>
      <c r="AM8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1" s="94">
        <f ca="1">ROUNDDOWN( MAX(1 - MIN(facs_constr_factor*TblConstr[[#This Row],[Facs -DB]],facs_constr_max) + tech_1_11*TblTech[[#This Row],[11-1]] + tech_6_3_2*TblTech[[#This Row],[6-3]] + tech_5_2_3*TblTech[[#This Row],[5-2]], 1-global_constr_cap) * TblConstr[[#This Row],[RCPA Lumber]],0)</f>
        <v>31</v>
      </c>
      <c r="AO8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1" s="94">
        <f ca="1">ROUNDDOWN( MAX(1 - MIN(facs_constr_factor*TblConstr[[#This Row],[Facs DB]],facs_constr_max) + tech_1_11*TblTech[[#This Row],[1-11]] + tech_6_3_2*TblTech[[#This Row],[6-3]] + tech_5_2_3*TblTech[[#This Row],[5-2]], 1-global_constr_cap) * ROUND((TblConstr[[#This Row],[Land]]-250)*0.285 + 87.5 + 0/4.25,0),0)</f>
        <v>31</v>
      </c>
      <c r="AQ81" s="45">
        <f ca="1">TblConstr[[#This Row],[build -db]]*TblConstr[[#This Row],[CPA Platinum -DB]] + TblConstr[[#This Row],[build db]]*TblConstr[[#This Row],[CPA Platinum DB]]</f>
        <v>0</v>
      </c>
      <c r="AR81" s="45">
        <f ca="1">TblConstr[[#This Row],[build -db]]*TblConstr[[#This Row],[CPA Lumber -DB]] + TblConstr[[#This Row],[build db]]*TblConstr[[#This Row],[CPA Lumber DB]]</f>
        <v>0</v>
      </c>
      <c r="AS81" s="94">
        <f ca="1">MIN(SUM(OFFSET(TblConstr[[#This Row],[Plain]:[Water]],-1,0))+SUM(TblConstr[[#This Row],[Dest Hom]:[Dest Doc]])+IF(TblConstr[[#This Row],[Hour]]&gt;12,SUM(OFFSET(TblExplore[[#This Row],[Plains Explore]:[Water Explore]],-12,0)),0),SUM(TblConstr[[#This Row],[Hom]:[Doc]]))</f>
        <v>0</v>
      </c>
      <c r="AT8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42"/>
      <c r="AV81" s="94">
        <f ca="1">ROUND((TblConstr[[#This Row],[Land]]-250 - IF(TblExplore[[#This Row],[Land Bonus]]&lt;&gt;0,20,0))*1.25 + 850 + 0,0)</f>
        <v>600</v>
      </c>
      <c r="AW81" s="94">
        <f ca="1">ROUND((TblConstr[[#This Row],[Land]]-250 - IF(TblExplore[[#This Row],[Land Bonus]]&lt;&gt;0,20,0))*0.285 + 87.5 + 0/4.25,0)</f>
        <v>31</v>
      </c>
      <c r="AX81" s="154"/>
      <c r="AY81" s="188" cm="1">
        <f t="array" aca="1" ref="AY81" ca="1">IF(TblConstr[[#This Row],[Hour]:[Hour]]&gt;12,OFFSET(TblConstr[[#This Row],[Hom]],-12,0),0)+OFFSET(TblConstr[[#This Row],[Tot Hom]],-1,0)-TblConstr[[#This Row],[Dest Hom]]</f>
        <v>0</v>
      </c>
      <c r="AZ81" s="189" cm="1">
        <f t="array" aca="1" ref="AZ81" ca="1">IF(TblConstr[[#This Row],[Hour]:[Hour]]&gt;12,OFFSET(TblConstr[[#This Row],[Alc]],-12,0),0)+OFFSET(TblConstr[[#This Row],[Tot Alc]],-1,0)-TblConstr[[#This Row],[Dest Alc]]</f>
        <v>0</v>
      </c>
      <c r="BA81" s="189" cm="1">
        <f t="array" aca="1" ref="BA81" ca="1">IF(TblConstr[[#This Row],[Hour]:[Hour]]&gt;12,OFFSET(TblConstr[[#This Row],[Far]],-12,0),0)+OFFSET(TblConstr[[#This Row],[Tot Farm]],-1,0)-TblConstr[[#This Row],[Dest Farm]]</f>
        <v>30</v>
      </c>
      <c r="BB81" s="189" cm="1">
        <f t="array" aca="1" ref="BB81" ca="1">IF(TblConstr[[#This Row],[Hour]:[Hour]]&gt;12,OFFSET(TblConstr[[#This Row],[Smi]],-12,0),0)+OFFSET(TblConstr[[#This Row],[Tot Smi]],-1,0)-TblConstr[[#This Row],[Dest Smi]]</f>
        <v>0</v>
      </c>
      <c r="BC81" s="189" cm="1">
        <f t="array" aca="1" ref="BC81" ca="1">IF(TblConstr[[#This Row],[Hour]:[Hour]]&gt;12,OFFSET(TblConstr[[#This Row],[Mas]],-12,0),0)+OFFSET(TblConstr[[#This Row],[Tot Mas]],-1,0)-TblConstr[[#This Row],[Dest Mas]]</f>
        <v>0</v>
      </c>
      <c r="BD81" s="190" cm="1">
        <f t="array" aca="1" ref="BD81" ca="1">IF(TblConstr[[#This Row],[Hour]:[Hour]]&gt;12,OFFSET(TblConstr[[#This Row],[Ly]],-12,0),0)+OFFSET(TblConstr[[#This Row],[Tot Ly]],-1,0)-TblConstr[[#This Row],[Dest Ly]]</f>
        <v>20</v>
      </c>
      <c r="BE81" s="190" cm="1">
        <f t="array" aca="1" ref="BE81" ca="1">IF(TblConstr[[#This Row],[Hour]:[Hour]]&gt;12,OFFSET(TblConstr[[#This Row],[Hav]],-12,0),0)+OFFSET(TblConstr[[#This Row],[Tot Hav]],-1,0)-TblConstr[[#This Row],[Dest Hav]]</f>
        <v>0</v>
      </c>
      <c r="BF81" s="361" cm="1">
        <f t="array" aca="1" ref="BF81" ca="1">IF(TblConstr[[#This Row],[Hour]:[Hour]]&gt;12,OFFSET(TblConstr[[#This Row],[OM]],-12,0),0)+OFFSET(TblConstr[[#This Row],[Tot OM]],-1,0)-TblConstr[[#This Row],[Dest OM]]</f>
        <v>0</v>
      </c>
      <c r="BG81" s="361" cm="1">
        <f t="array" aca="1" ref="BG81" ca="1">IF(TblConstr[[#This Row],[Hour]:[Hour]]&gt;12,OFFSET(TblConstr[[#This Row],[GN]],-12,0),0)+OFFSET(TblConstr[[#This Row],[Tot GN]],-1,0)-TblConstr[[#This Row],[Dest GN]]</f>
        <v>0</v>
      </c>
      <c r="BH81" s="365" cm="1">
        <f t="array" aca="1" ref="BH81" ca="1">IF(TblConstr[[#This Row],[Hour]:[Hour]]&gt;12,OFFSET(TblConstr[[#This Row],[Fac]],-12,0),0)+OFFSET(TblConstr[[#This Row],[Tot Fac]],-1,0)-TblConstr[[#This Row],[Dest Fac]]</f>
        <v>0</v>
      </c>
      <c r="BI81" s="365" cm="1">
        <f t="array" aca="1" ref="BI81" ca="1">IF(TblConstr[[#This Row],[Hour]:[Hour]]&gt;12,OFFSET(TblConstr[[#This Row],[GT]],-12,0),0)+OFFSET(TblConstr[[#This Row],[Tot GT]],-1,0)-TblConstr[[#This Row],[Dest GT]]</f>
        <v>0</v>
      </c>
      <c r="BJ81" s="365" cm="1">
        <f t="array" aca="1" ref="BJ81" ca="1">IF(TblConstr[[#This Row],[Hour]:[Hour]]&gt;12,OFFSET(TblConstr[[#This Row],[Bar]],-12,0),0)+OFFSET(TblConstr[[#This Row],[Tot Bar]],-1,0)-TblConstr[[#This Row],[Dest Bar]]</f>
        <v>0</v>
      </c>
      <c r="BK81" s="365" cm="1">
        <f t="array" aca="1" ref="BK81" ca="1">IF(TblConstr[[#This Row],[Hour]:[Hour]]&gt;12,OFFSET(TblConstr[[#This Row],[Shr]],-12,0),0)+OFFSET(TblConstr[[#This Row],[Tot Shr]],-1,0)-TblConstr[[#This Row],[Dest Shr]]</f>
        <v>0</v>
      </c>
      <c r="BL81" s="369" cm="1">
        <f t="array" aca="1" ref="BL81" ca="1">IF(TblConstr[[#This Row],[Hour]:[Hour]]&gt;12,OFFSET(TblConstr[[#This Row],[Tow]],-12,0),0)+OFFSET(TblConstr[[#This Row],[Tot Tow]],-1,0)-TblConstr[[#This Row],[Dest Tow]]</f>
        <v>0</v>
      </c>
      <c r="BM81" s="369" cm="1">
        <f t="array" aca="1" ref="BM81" ca="1">IF(TblConstr[[#This Row],[Hour]:[Hour]]&gt;12,OFFSET(TblConstr[[#This Row],[Tem]],-12,0),0)+OFFSET(TblConstr[[#This Row],[Tot Tem]],-1,0)-TblConstr[[#This Row],[Dest Tem]]</f>
        <v>0</v>
      </c>
      <c r="BN81" s="369" cm="1">
        <f t="array" aca="1" ref="BN81" ca="1">IF(TblConstr[[#This Row],[Hour]:[Hour]]&gt;12,OFFSET(TblConstr[[#This Row],[WG]],-12,0),0)+OFFSET(TblConstr[[#This Row],[Tot WG]],-1,0)-TblConstr[[#This Row],[Dest WG]]</f>
        <v>0</v>
      </c>
      <c r="BO81" s="191" cm="1">
        <f t="array" aca="1" ref="BO81" ca="1">IF(TblConstr[[#This Row],[Hour]:[Hour]]&gt;12,OFFSET(TblConstr[[#This Row],[DM]],-12,0),0)+OFFSET(TblConstr[[#This Row],[Tot DM]],-1,0)-TblConstr[[#This Row],[Dest DM]]</f>
        <v>0</v>
      </c>
      <c r="BP81" s="191" cm="1">
        <f t="array" aca="1" ref="BP81" ca="1">IF(TblConstr[[#This Row],[Hour]:[Hour]]&gt;12,OFFSET(TblConstr[[#This Row],[Sch]],-12,0),0)+OFFSET(TblConstr[[#This Row],[Tot Sch]],-1,0)-TblConstr[[#This Row],[Dest Sch]]</f>
        <v>0</v>
      </c>
      <c r="BQ81" s="192" cm="1">
        <f t="array" aca="1" ref="BQ81" ca="1">IF(TblConstr[[#This Row],[Hour]:[Hour]]&gt;12,OFFSET(TblConstr[[#This Row],[Doc]],-12,0),0)+OFFSET(TblConstr[[#This Row],[Tot Doc]],-1,0)-TblConstr[[#This Row],[Dest Doc]]</f>
        <v>0</v>
      </c>
      <c r="BR81" s="142"/>
      <c r="BS81" s="154"/>
      <c r="BT81" s="94">
        <f ca="1">TblConstr[[#This Row],[Land]]</f>
        <v>50</v>
      </c>
      <c r="BU81" s="159">
        <f ca="1">TblImps[[#This Row],[Time]]</f>
        <v>46323.208333333147</v>
      </c>
      <c r="BV81" s="142"/>
      <c r="BW81" s="179"/>
      <c r="BX81" s="179"/>
      <c r="BY81" s="179"/>
      <c r="BZ81" s="179"/>
      <c r="CA81" s="179"/>
      <c r="CB81" s="179"/>
      <c r="CC81" s="179"/>
      <c r="CD81" s="179"/>
      <c r="CE81" s="179"/>
      <c r="CF81" s="179"/>
      <c r="CG81" s="179"/>
      <c r="CH81" s="179"/>
      <c r="CI81" s="179"/>
      <c r="CJ81" s="179"/>
      <c r="CK81" s="179"/>
      <c r="CL81" s="179"/>
      <c r="CM81" s="179"/>
      <c r="CN81" s="179"/>
      <c r="CO81" s="179"/>
      <c r="CP81" s="142"/>
      <c r="CQ81" s="181">
        <f ca="1">-SUM(TblConstr[[#This Row],[Alc]:[Mas]])+SUM(TblConstr[[#This Row],[Dest Alc]:[Dest Mas]])+Rezone!L81+IF("Ch_"&amp; home_land=TblConstr[[#Headers],[Ch_Plain]],TblConstr[[#This Row],[Home Land]])+IF(TblConstr[[#This Row],[Hour]:[Hour]]&gt;12,OFFSET(TblExplore[[#This Row],[Plains Explore]],-12,0),0)</f>
        <v>0</v>
      </c>
      <c r="CR81" s="182">
        <f ca="1">-SUM(TblConstr[[#This Row],[Ly]:[Hav]])+SUM(TblConstr[[#This Row],[Dest Ly]:[Dest Hav]]) +Rezone!M81 + IF("Ch_"&amp; home_land=TblConstr[[#Headers],[Ch_Forest]],TblConstr[[#This Row],[Home Land]])+IF(TblConstr[[#This Row],[Hour]:[Hour]]&gt;12,OFFSET(TblExplore[[#This Row],[Forest Explore]],-12,0),0)</f>
        <v>0</v>
      </c>
      <c r="CS81" s="359">
        <f ca="1">-SUM(TblConstr[[#This Row],[OM]:[GN]])+SUM(TblConstr[[#This Row],[Dest OM]:[Dest GN]]) +Rezone!N81 + IF("Ch_"&amp; home_land=TblConstr[[#Headers],[Ch_Mountain]],TblConstr[[#This Row],[Home Land]])+IF(TblConstr[[#This Row],[Hour]:[Hour]]&gt;12,OFFSET(TblExplore[[#This Row],[Mountain Explore]],-12,0),0)</f>
        <v>0</v>
      </c>
      <c r="CT81" s="183">
        <f ca="1">-SUM(TblConstr[[#This Row],[Fac]:[Shr]])+SUM(TblConstr[[#This Row],[Dest Fac]:[Dest Shr]]) +Rezone!O81 + IF("Ch_" &amp; home_land=TblConstr[[#Headers],[Ch_Hill]],TblConstr[[#This Row],[Home Land]])+IF(TblConstr[[#This Row],[Hour]:[Hour]]&gt;12,OFFSET(TblExplore[[#This Row],[Hill Explore]],-12,0),0)</f>
        <v>0</v>
      </c>
      <c r="CU81" s="184">
        <f ca="1">-SUM(TblConstr[[#This Row],[Tow]:[WG]])+SUM(TblConstr[[#This Row],[Dest Tow]:[Dest WG]]) +Rezone!P81 + IF("Ch_" &amp; home_land=TblConstr[[#Headers],[Ch_Swamp]],TblConstr[[#This Row],[Home Land]])+IF(TblConstr[[#This Row],[Hour]:[Hour]]&gt;12,OFFSET(TblExplore[[#This Row],[Swamp Explore]],-12,0),0)</f>
        <v>0</v>
      </c>
      <c r="CV81" s="185">
        <f ca="1" xml:space="preserve"> - SUM(TblConstr[[#This Row],[DM]:[Sch]])+SUM(TblConstr[[#This Row],[Dest DM]:[Dest Sch]]) +Rezone!Q81 + IF("Ch_" &amp; home_land=TblConstr[[#Headers],[Ch_Cavern]],TblConstr[[#This Row],[Home Land]])+IF(TblConstr[[#This Row],[Hour]:[Hour]]&gt;12,OFFSET(TblExplore[[#This Row],[Cavern Explore]],-12,0),0)</f>
        <v>0</v>
      </c>
      <c r="CW81" s="186">
        <f ca="1">-TblConstr[[#This Row],[Doc]]+TblConstr[[#This Row],[Dest Doc]] +Rezone!R81 + IF("Ch_" &amp; home_land=TblConstr[[#Headers],[Ch_Water]],TblConstr[[#This Row],[Home Land]])+IF(TblConstr[[#This Row],[Hour]:[Hour]]&gt;12,OFFSET(TblExplore[[#This Row],[Water Explore]],-12,0),0)</f>
        <v>0</v>
      </c>
      <c r="CX81" s="45">
        <f>IF(Explore!S81=1,20) - TblConstr[[#This Row],[Hom]] + TblConstr[[#This Row],[Dest Hom]]</f>
        <v>0</v>
      </c>
      <c r="CY81" s="142"/>
      <c r="CZ81" s="94">
        <f t="shared" ca="1" si="23"/>
        <v>30</v>
      </c>
      <c r="DA81" s="94">
        <f t="shared" ca="1" si="24"/>
        <v>20</v>
      </c>
      <c r="DB81" s="45">
        <f t="shared" ca="1" si="25"/>
        <v>0</v>
      </c>
      <c r="DC81" s="94">
        <f t="shared" ca="1" si="26"/>
        <v>0</v>
      </c>
      <c r="DD81" s="94">
        <f t="shared" ca="1" si="27"/>
        <v>0</v>
      </c>
      <c r="DE81" s="45">
        <f t="shared" ca="1" si="28"/>
        <v>0</v>
      </c>
      <c r="DF81" s="94">
        <f t="shared" ca="1" si="29"/>
        <v>0</v>
      </c>
      <c r="DG81" s="94" cm="1">
        <f t="array" aca="1" ref="DG81" ca="1">INDEX(TblConstr[[Total Plain]:[Total Water]],ROW()-ROW(TblConstr[#Headers]),MATCH("Total "&amp;home_land,TblConstr[[#Headers],[Total Plain]:[Total Water]],0))+TblConstr[[#This Row],[Homes]]</f>
        <v>30</v>
      </c>
      <c r="DH81" s="45">
        <f t="shared" ca="1" si="22"/>
        <v>0</v>
      </c>
      <c r="DI81" s="45">
        <f t="shared" ca="1" si="19"/>
        <v>0</v>
      </c>
      <c r="DJ81" s="45">
        <f t="shared" ca="1" si="20"/>
        <v>0</v>
      </c>
    </row>
    <row r="82" spans="1:114" x14ac:dyDescent="0.2">
      <c r="A82" s="175">
        <f>TblRezone[[#This Row],[Hour]]</f>
        <v>79</v>
      </c>
      <c r="B82" s="176">
        <f ca="1">SUM(TblConstr[[#This Row],[Plain]:[Water]])</f>
        <v>0</v>
      </c>
      <c r="C82" s="177">
        <f ca="1">SUM(TblConstr[[#This Row],[Tot Hom]:[Tot Doc]])</f>
        <v>50</v>
      </c>
      <c r="D82" s="177">
        <f t="shared" si="21"/>
        <v>0</v>
      </c>
      <c r="E82" s="178"/>
      <c r="F82" s="61">
        <f ca="1">TblConstr[[#This Row],[Barren]]+TblConstr[[#This Row],[Buildings]]+TblConstr[[#This Row],[Incoming]]</f>
        <v>50</v>
      </c>
      <c r="G82" s="187">
        <f ca="1">OFFSET(TblConstr[[#This Row],[Plain]],-1,0)+TblConstr[[#This Row],[Ch_Plain]]</f>
        <v>0</v>
      </c>
      <c r="H82" s="182">
        <f ca="1">OFFSET(TblConstr[[#This Row],[Forest]],-1,0)+TblConstr[[#This Row],[Ch_Forest]]</f>
        <v>0</v>
      </c>
      <c r="I82" s="359">
        <f ca="1">OFFSET(TblConstr[[#This Row],[Mountain]],-1,0)+TblConstr[[#This Row],[Ch_Mountain]]</f>
        <v>0</v>
      </c>
      <c r="J82" s="363">
        <f ca="1">OFFSET(TblConstr[[#This Row],[Hill]],-1,0)+TblConstr[[#This Row],[Ch_Hill]]</f>
        <v>0</v>
      </c>
      <c r="K82" s="367">
        <f ca="1">OFFSET(TblConstr[[#This Row],[Swamp]],-1,0)+TblConstr[[#This Row],[Ch_Swamp]]</f>
        <v>0</v>
      </c>
      <c r="L82" s="185">
        <f ca="1">OFFSET(TblConstr[[#This Row],[Cavern]],-1,0)+TblConstr[[#This Row],[Ch_Cavern]]</f>
        <v>0</v>
      </c>
      <c r="M82" s="186">
        <f ca="1">OFFSET(TblConstr[[#This Row],[Water]],-1,0)+TblConstr[[#This Row],[Ch_Water]]</f>
        <v>0</v>
      </c>
      <c r="N82" s="357">
        <f>TblRezone[[#This Row],[Hour]]</f>
        <v>79</v>
      </c>
      <c r="O82" s="179"/>
      <c r="P82" s="179"/>
      <c r="Q82" s="179"/>
      <c r="R82" s="179"/>
      <c r="S82" s="179"/>
      <c r="T82" s="179"/>
      <c r="U82" s="179"/>
      <c r="V82" s="179"/>
      <c r="W82" s="179"/>
      <c r="X82" s="179"/>
      <c r="Y82" s="179"/>
      <c r="Z82" s="179"/>
      <c r="AA82" s="179"/>
      <c r="AB82" s="179"/>
      <c r="AC82" s="179"/>
      <c r="AD82" s="179"/>
      <c r="AE82" s="179"/>
      <c r="AF82" s="179"/>
      <c r="AG82" s="179"/>
      <c r="AH82" s="53">
        <f ca="1">TblImps[[#This Row],[Time]]</f>
        <v>46323.249999999811</v>
      </c>
      <c r="AI82" s="180">
        <f ca="1">MIN(25%,(TblConstr[[#This Row],[Tot Fac]]+TblConstr[[#This Row],[Dest Fac]])/(TblConstr[[#This Row],[Land]]-TblExplore[[#This Row],[Land Bonus]]*20))</f>
        <v>0</v>
      </c>
      <c r="AJ82" s="180">
        <f ca="1">MIN(25%,(TblConstr[[#This Row],[Tot Fac]]+TblConstr[[#This Row],[Dest Fac]])/TblConstr[[#This Row],[Land]])</f>
        <v>0</v>
      </c>
      <c r="AK82" s="94">
        <f ca="1">TblProd[[#This Row],[Platinum]]</f>
        <v>188946</v>
      </c>
      <c r="AL82" s="94">
        <f ca="1">TblProd[[#This Row],[Lumber]]</f>
        <v>61186</v>
      </c>
      <c r="AM8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2" s="94">
        <f ca="1">ROUNDDOWN( MAX(1 - MIN(facs_constr_factor*TblConstr[[#This Row],[Facs -DB]],facs_constr_max) + tech_1_11*TblTech[[#This Row],[11-1]] + tech_6_3_2*TblTech[[#This Row],[6-3]] + tech_5_2_3*TblTech[[#This Row],[5-2]], 1-global_constr_cap) * TblConstr[[#This Row],[RCPA Lumber]],0)</f>
        <v>31</v>
      </c>
      <c r="AO8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2" s="94">
        <f ca="1">ROUNDDOWN( MAX(1 - MIN(facs_constr_factor*TblConstr[[#This Row],[Facs DB]],facs_constr_max) + tech_1_11*TblTech[[#This Row],[1-11]] + tech_6_3_2*TblTech[[#This Row],[6-3]] + tech_5_2_3*TblTech[[#This Row],[5-2]], 1-global_constr_cap) * ROUND((TblConstr[[#This Row],[Land]]-250)*0.285 + 87.5 + 0/4.25,0),0)</f>
        <v>31</v>
      </c>
      <c r="AQ82" s="45">
        <f ca="1">TblConstr[[#This Row],[build -db]]*TblConstr[[#This Row],[CPA Platinum -DB]] + TblConstr[[#This Row],[build db]]*TblConstr[[#This Row],[CPA Platinum DB]]</f>
        <v>0</v>
      </c>
      <c r="AR82" s="45">
        <f ca="1">TblConstr[[#This Row],[build -db]]*TblConstr[[#This Row],[CPA Lumber -DB]] + TblConstr[[#This Row],[build db]]*TblConstr[[#This Row],[CPA Lumber DB]]</f>
        <v>0</v>
      </c>
      <c r="AS82" s="94">
        <f ca="1">MIN(SUM(OFFSET(TblConstr[[#This Row],[Plain]:[Water]],-1,0))+SUM(TblConstr[[#This Row],[Dest Hom]:[Dest Doc]])+IF(TblConstr[[#This Row],[Hour]]&gt;12,SUM(OFFSET(TblExplore[[#This Row],[Plains Explore]:[Water Explore]],-12,0)),0),SUM(TblConstr[[#This Row],[Hom]:[Doc]]))</f>
        <v>0</v>
      </c>
      <c r="AT8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42"/>
      <c r="AV82" s="94">
        <f ca="1">ROUND((TblConstr[[#This Row],[Land]]-250 - IF(TblExplore[[#This Row],[Land Bonus]]&lt;&gt;0,20,0))*1.25 + 850 + 0,0)</f>
        <v>600</v>
      </c>
      <c r="AW82" s="94">
        <f ca="1">ROUND((TblConstr[[#This Row],[Land]]-250 - IF(TblExplore[[#This Row],[Land Bonus]]&lt;&gt;0,20,0))*0.285 + 87.5 + 0/4.25,0)</f>
        <v>31</v>
      </c>
      <c r="AX82" s="154"/>
      <c r="AY82" s="188" cm="1">
        <f t="array" aca="1" ref="AY82" ca="1">IF(TblConstr[[#This Row],[Hour]:[Hour]]&gt;12,OFFSET(TblConstr[[#This Row],[Hom]],-12,0),0)+OFFSET(TblConstr[[#This Row],[Tot Hom]],-1,0)-TblConstr[[#This Row],[Dest Hom]]</f>
        <v>0</v>
      </c>
      <c r="AZ82" s="189" cm="1">
        <f t="array" aca="1" ref="AZ82" ca="1">IF(TblConstr[[#This Row],[Hour]:[Hour]]&gt;12,OFFSET(TblConstr[[#This Row],[Alc]],-12,0),0)+OFFSET(TblConstr[[#This Row],[Tot Alc]],-1,0)-TblConstr[[#This Row],[Dest Alc]]</f>
        <v>0</v>
      </c>
      <c r="BA82" s="189" cm="1">
        <f t="array" aca="1" ref="BA82" ca="1">IF(TblConstr[[#This Row],[Hour]:[Hour]]&gt;12,OFFSET(TblConstr[[#This Row],[Far]],-12,0),0)+OFFSET(TblConstr[[#This Row],[Tot Farm]],-1,0)-TblConstr[[#This Row],[Dest Farm]]</f>
        <v>30</v>
      </c>
      <c r="BB82" s="189" cm="1">
        <f t="array" aca="1" ref="BB82" ca="1">IF(TblConstr[[#This Row],[Hour]:[Hour]]&gt;12,OFFSET(TblConstr[[#This Row],[Smi]],-12,0),0)+OFFSET(TblConstr[[#This Row],[Tot Smi]],-1,0)-TblConstr[[#This Row],[Dest Smi]]</f>
        <v>0</v>
      </c>
      <c r="BC82" s="189" cm="1">
        <f t="array" aca="1" ref="BC82" ca="1">IF(TblConstr[[#This Row],[Hour]:[Hour]]&gt;12,OFFSET(TblConstr[[#This Row],[Mas]],-12,0),0)+OFFSET(TblConstr[[#This Row],[Tot Mas]],-1,0)-TblConstr[[#This Row],[Dest Mas]]</f>
        <v>0</v>
      </c>
      <c r="BD82" s="190" cm="1">
        <f t="array" aca="1" ref="BD82" ca="1">IF(TblConstr[[#This Row],[Hour]:[Hour]]&gt;12,OFFSET(TblConstr[[#This Row],[Ly]],-12,0),0)+OFFSET(TblConstr[[#This Row],[Tot Ly]],-1,0)-TblConstr[[#This Row],[Dest Ly]]</f>
        <v>20</v>
      </c>
      <c r="BE82" s="190" cm="1">
        <f t="array" aca="1" ref="BE82" ca="1">IF(TblConstr[[#This Row],[Hour]:[Hour]]&gt;12,OFFSET(TblConstr[[#This Row],[Hav]],-12,0),0)+OFFSET(TblConstr[[#This Row],[Tot Hav]],-1,0)-TblConstr[[#This Row],[Dest Hav]]</f>
        <v>0</v>
      </c>
      <c r="BF82" s="361" cm="1">
        <f t="array" aca="1" ref="BF82" ca="1">IF(TblConstr[[#This Row],[Hour]:[Hour]]&gt;12,OFFSET(TblConstr[[#This Row],[OM]],-12,0),0)+OFFSET(TblConstr[[#This Row],[Tot OM]],-1,0)-TblConstr[[#This Row],[Dest OM]]</f>
        <v>0</v>
      </c>
      <c r="BG82" s="361" cm="1">
        <f t="array" aca="1" ref="BG82" ca="1">IF(TblConstr[[#This Row],[Hour]:[Hour]]&gt;12,OFFSET(TblConstr[[#This Row],[GN]],-12,0),0)+OFFSET(TblConstr[[#This Row],[Tot GN]],-1,0)-TblConstr[[#This Row],[Dest GN]]</f>
        <v>0</v>
      </c>
      <c r="BH82" s="365" cm="1">
        <f t="array" aca="1" ref="BH82" ca="1">IF(TblConstr[[#This Row],[Hour]:[Hour]]&gt;12,OFFSET(TblConstr[[#This Row],[Fac]],-12,0),0)+OFFSET(TblConstr[[#This Row],[Tot Fac]],-1,0)-TblConstr[[#This Row],[Dest Fac]]</f>
        <v>0</v>
      </c>
      <c r="BI82" s="365" cm="1">
        <f t="array" aca="1" ref="BI82" ca="1">IF(TblConstr[[#This Row],[Hour]:[Hour]]&gt;12,OFFSET(TblConstr[[#This Row],[GT]],-12,0),0)+OFFSET(TblConstr[[#This Row],[Tot GT]],-1,0)-TblConstr[[#This Row],[Dest GT]]</f>
        <v>0</v>
      </c>
      <c r="BJ82" s="365" cm="1">
        <f t="array" aca="1" ref="BJ82" ca="1">IF(TblConstr[[#This Row],[Hour]:[Hour]]&gt;12,OFFSET(TblConstr[[#This Row],[Bar]],-12,0),0)+OFFSET(TblConstr[[#This Row],[Tot Bar]],-1,0)-TblConstr[[#This Row],[Dest Bar]]</f>
        <v>0</v>
      </c>
      <c r="BK82" s="365" cm="1">
        <f t="array" aca="1" ref="BK82" ca="1">IF(TblConstr[[#This Row],[Hour]:[Hour]]&gt;12,OFFSET(TblConstr[[#This Row],[Shr]],-12,0),0)+OFFSET(TblConstr[[#This Row],[Tot Shr]],-1,0)-TblConstr[[#This Row],[Dest Shr]]</f>
        <v>0</v>
      </c>
      <c r="BL82" s="369" cm="1">
        <f t="array" aca="1" ref="BL82" ca="1">IF(TblConstr[[#This Row],[Hour]:[Hour]]&gt;12,OFFSET(TblConstr[[#This Row],[Tow]],-12,0),0)+OFFSET(TblConstr[[#This Row],[Tot Tow]],-1,0)-TblConstr[[#This Row],[Dest Tow]]</f>
        <v>0</v>
      </c>
      <c r="BM82" s="369" cm="1">
        <f t="array" aca="1" ref="BM82" ca="1">IF(TblConstr[[#This Row],[Hour]:[Hour]]&gt;12,OFFSET(TblConstr[[#This Row],[Tem]],-12,0),0)+OFFSET(TblConstr[[#This Row],[Tot Tem]],-1,0)-TblConstr[[#This Row],[Dest Tem]]</f>
        <v>0</v>
      </c>
      <c r="BN82" s="369" cm="1">
        <f t="array" aca="1" ref="BN82" ca="1">IF(TblConstr[[#This Row],[Hour]:[Hour]]&gt;12,OFFSET(TblConstr[[#This Row],[WG]],-12,0),0)+OFFSET(TblConstr[[#This Row],[Tot WG]],-1,0)-TblConstr[[#This Row],[Dest WG]]</f>
        <v>0</v>
      </c>
      <c r="BO82" s="191" cm="1">
        <f t="array" aca="1" ref="BO82" ca="1">IF(TblConstr[[#This Row],[Hour]:[Hour]]&gt;12,OFFSET(TblConstr[[#This Row],[DM]],-12,0),0)+OFFSET(TblConstr[[#This Row],[Tot DM]],-1,0)-TblConstr[[#This Row],[Dest DM]]</f>
        <v>0</v>
      </c>
      <c r="BP82" s="191" cm="1">
        <f t="array" aca="1" ref="BP82" ca="1">IF(TblConstr[[#This Row],[Hour]:[Hour]]&gt;12,OFFSET(TblConstr[[#This Row],[Sch]],-12,0),0)+OFFSET(TblConstr[[#This Row],[Tot Sch]],-1,0)-TblConstr[[#This Row],[Dest Sch]]</f>
        <v>0</v>
      </c>
      <c r="BQ82" s="192" cm="1">
        <f t="array" aca="1" ref="BQ82" ca="1">IF(TblConstr[[#This Row],[Hour]:[Hour]]&gt;12,OFFSET(TblConstr[[#This Row],[Doc]],-12,0),0)+OFFSET(TblConstr[[#This Row],[Tot Doc]],-1,0)-TblConstr[[#This Row],[Dest Doc]]</f>
        <v>0</v>
      </c>
      <c r="BR82" s="142"/>
      <c r="BS82" s="154"/>
      <c r="BT82" s="94">
        <f ca="1">TblConstr[[#This Row],[Land]]</f>
        <v>50</v>
      </c>
      <c r="BU82" s="159">
        <f ca="1">TblImps[[#This Row],[Time]]</f>
        <v>46323.249999999811</v>
      </c>
      <c r="BV82" s="142"/>
      <c r="BW82" s="179"/>
      <c r="BX82" s="179"/>
      <c r="BY82" s="179"/>
      <c r="BZ82" s="179"/>
      <c r="CA82" s="179"/>
      <c r="CB82" s="179"/>
      <c r="CC82" s="179"/>
      <c r="CD82" s="179"/>
      <c r="CE82" s="179"/>
      <c r="CF82" s="179"/>
      <c r="CG82" s="179"/>
      <c r="CH82" s="179"/>
      <c r="CI82" s="179"/>
      <c r="CJ82" s="179"/>
      <c r="CK82" s="179"/>
      <c r="CL82" s="179"/>
      <c r="CM82" s="179"/>
      <c r="CN82" s="179"/>
      <c r="CO82" s="179"/>
      <c r="CP82" s="142"/>
      <c r="CQ82" s="181">
        <f ca="1">-SUM(TblConstr[[#This Row],[Alc]:[Mas]])+SUM(TblConstr[[#This Row],[Dest Alc]:[Dest Mas]])+Rezone!L82+IF("Ch_"&amp; home_land=TblConstr[[#Headers],[Ch_Plain]],TblConstr[[#This Row],[Home Land]])+IF(TblConstr[[#This Row],[Hour]:[Hour]]&gt;12,OFFSET(TblExplore[[#This Row],[Plains Explore]],-12,0),0)</f>
        <v>0</v>
      </c>
      <c r="CR82" s="182">
        <f ca="1">-SUM(TblConstr[[#This Row],[Ly]:[Hav]])+SUM(TblConstr[[#This Row],[Dest Ly]:[Dest Hav]]) +Rezone!M82 + IF("Ch_"&amp; home_land=TblConstr[[#Headers],[Ch_Forest]],TblConstr[[#This Row],[Home Land]])+IF(TblConstr[[#This Row],[Hour]:[Hour]]&gt;12,OFFSET(TblExplore[[#This Row],[Forest Explore]],-12,0),0)</f>
        <v>0</v>
      </c>
      <c r="CS82" s="359">
        <f ca="1">-SUM(TblConstr[[#This Row],[OM]:[GN]])+SUM(TblConstr[[#This Row],[Dest OM]:[Dest GN]]) +Rezone!N82 + IF("Ch_"&amp; home_land=TblConstr[[#Headers],[Ch_Mountain]],TblConstr[[#This Row],[Home Land]])+IF(TblConstr[[#This Row],[Hour]:[Hour]]&gt;12,OFFSET(TblExplore[[#This Row],[Mountain Explore]],-12,0),0)</f>
        <v>0</v>
      </c>
      <c r="CT82" s="183">
        <f ca="1">-SUM(TblConstr[[#This Row],[Fac]:[Shr]])+SUM(TblConstr[[#This Row],[Dest Fac]:[Dest Shr]]) +Rezone!O82 + IF("Ch_" &amp; home_land=TblConstr[[#Headers],[Ch_Hill]],TblConstr[[#This Row],[Home Land]])+IF(TblConstr[[#This Row],[Hour]:[Hour]]&gt;12,OFFSET(TblExplore[[#This Row],[Hill Explore]],-12,0),0)</f>
        <v>0</v>
      </c>
      <c r="CU82" s="184">
        <f ca="1">-SUM(TblConstr[[#This Row],[Tow]:[WG]])+SUM(TblConstr[[#This Row],[Dest Tow]:[Dest WG]]) +Rezone!P82 + IF("Ch_" &amp; home_land=TblConstr[[#Headers],[Ch_Swamp]],TblConstr[[#This Row],[Home Land]])+IF(TblConstr[[#This Row],[Hour]:[Hour]]&gt;12,OFFSET(TblExplore[[#This Row],[Swamp Explore]],-12,0),0)</f>
        <v>0</v>
      </c>
      <c r="CV82" s="185">
        <f ca="1" xml:space="preserve"> - SUM(TblConstr[[#This Row],[DM]:[Sch]])+SUM(TblConstr[[#This Row],[Dest DM]:[Dest Sch]]) +Rezone!Q82 + IF("Ch_" &amp; home_land=TblConstr[[#Headers],[Ch_Cavern]],TblConstr[[#This Row],[Home Land]])+IF(TblConstr[[#This Row],[Hour]:[Hour]]&gt;12,OFFSET(TblExplore[[#This Row],[Cavern Explore]],-12,0),0)</f>
        <v>0</v>
      </c>
      <c r="CW82" s="186">
        <f ca="1">-TblConstr[[#This Row],[Doc]]+TblConstr[[#This Row],[Dest Doc]] +Rezone!R82 + IF("Ch_" &amp; home_land=TblConstr[[#Headers],[Ch_Water]],TblConstr[[#This Row],[Home Land]])+IF(TblConstr[[#This Row],[Hour]:[Hour]]&gt;12,OFFSET(TblExplore[[#This Row],[Water Explore]],-12,0),0)</f>
        <v>0</v>
      </c>
      <c r="CX82" s="45">
        <f>IF(Explore!S82=1,20) - TblConstr[[#This Row],[Hom]] + TblConstr[[#This Row],[Dest Hom]]</f>
        <v>0</v>
      </c>
      <c r="CY82" s="142"/>
      <c r="CZ82" s="94">
        <f t="shared" ca="1" si="23"/>
        <v>30</v>
      </c>
      <c r="DA82" s="94">
        <f t="shared" ca="1" si="24"/>
        <v>20</v>
      </c>
      <c r="DB82" s="45">
        <f t="shared" ca="1" si="25"/>
        <v>0</v>
      </c>
      <c r="DC82" s="94">
        <f t="shared" ca="1" si="26"/>
        <v>0</v>
      </c>
      <c r="DD82" s="94">
        <f t="shared" ca="1" si="27"/>
        <v>0</v>
      </c>
      <c r="DE82" s="45">
        <f t="shared" ca="1" si="28"/>
        <v>0</v>
      </c>
      <c r="DF82" s="94">
        <f t="shared" ca="1" si="29"/>
        <v>0</v>
      </c>
      <c r="DG82" s="94" cm="1">
        <f t="array" aca="1" ref="DG82" ca="1">INDEX(TblConstr[[Total Plain]:[Total Water]],ROW()-ROW(TblConstr[#Headers]),MATCH("Total "&amp;home_land,TblConstr[[#Headers],[Total Plain]:[Total Water]],0))+TblConstr[[#This Row],[Homes]]</f>
        <v>30</v>
      </c>
      <c r="DH82" s="45">
        <f t="shared" ca="1" si="22"/>
        <v>0</v>
      </c>
      <c r="DI82" s="45">
        <f t="shared" ca="1" si="19"/>
        <v>0</v>
      </c>
      <c r="DJ82" s="45">
        <f t="shared" ca="1" si="20"/>
        <v>0</v>
      </c>
    </row>
    <row r="83" spans="1:114" x14ac:dyDescent="0.2">
      <c r="A83" s="175">
        <f>TblRezone[[#This Row],[Hour]]</f>
        <v>80</v>
      </c>
      <c r="B83" s="176">
        <f ca="1">SUM(TblConstr[[#This Row],[Plain]:[Water]])</f>
        <v>0</v>
      </c>
      <c r="C83" s="177">
        <f ca="1">SUM(TblConstr[[#This Row],[Tot Hom]:[Tot Doc]])</f>
        <v>50</v>
      </c>
      <c r="D83" s="177">
        <f t="shared" si="21"/>
        <v>0</v>
      </c>
      <c r="E83" s="178"/>
      <c r="F83" s="61">
        <f ca="1">TblConstr[[#This Row],[Barren]]+TblConstr[[#This Row],[Buildings]]+TblConstr[[#This Row],[Incoming]]</f>
        <v>50</v>
      </c>
      <c r="G83" s="187">
        <f ca="1">OFFSET(TblConstr[[#This Row],[Plain]],-1,0)+TblConstr[[#This Row],[Ch_Plain]]</f>
        <v>0</v>
      </c>
      <c r="H83" s="182">
        <f ca="1">OFFSET(TblConstr[[#This Row],[Forest]],-1,0)+TblConstr[[#This Row],[Ch_Forest]]</f>
        <v>0</v>
      </c>
      <c r="I83" s="359">
        <f ca="1">OFFSET(TblConstr[[#This Row],[Mountain]],-1,0)+TblConstr[[#This Row],[Ch_Mountain]]</f>
        <v>0</v>
      </c>
      <c r="J83" s="363">
        <f ca="1">OFFSET(TblConstr[[#This Row],[Hill]],-1,0)+TblConstr[[#This Row],[Ch_Hill]]</f>
        <v>0</v>
      </c>
      <c r="K83" s="367">
        <f ca="1">OFFSET(TblConstr[[#This Row],[Swamp]],-1,0)+TblConstr[[#This Row],[Ch_Swamp]]</f>
        <v>0</v>
      </c>
      <c r="L83" s="185">
        <f ca="1">OFFSET(TblConstr[[#This Row],[Cavern]],-1,0)+TblConstr[[#This Row],[Ch_Cavern]]</f>
        <v>0</v>
      </c>
      <c r="M83" s="186">
        <f ca="1">OFFSET(TblConstr[[#This Row],[Water]],-1,0)+TblConstr[[#This Row],[Ch_Water]]</f>
        <v>0</v>
      </c>
      <c r="N83" s="357">
        <f>TblRezone[[#This Row],[Hour]]</f>
        <v>80</v>
      </c>
      <c r="O83" s="179"/>
      <c r="P83" s="179"/>
      <c r="Q83" s="179"/>
      <c r="R83" s="179"/>
      <c r="S83" s="179"/>
      <c r="T83" s="179"/>
      <c r="U83" s="179"/>
      <c r="V83" s="179"/>
      <c r="W83" s="179"/>
      <c r="X83" s="179"/>
      <c r="Y83" s="179"/>
      <c r="Z83" s="179"/>
      <c r="AA83" s="179"/>
      <c r="AB83" s="179"/>
      <c r="AC83" s="179"/>
      <c r="AD83" s="179"/>
      <c r="AE83" s="179"/>
      <c r="AF83" s="179"/>
      <c r="AG83" s="179"/>
      <c r="AH83" s="53">
        <f ca="1">TblImps[[#This Row],[Time]]</f>
        <v>46323.291666666475</v>
      </c>
      <c r="AI83" s="180">
        <f ca="1">MIN(25%,(TblConstr[[#This Row],[Tot Fac]]+TblConstr[[#This Row],[Dest Fac]])/(TblConstr[[#This Row],[Land]]-TblExplore[[#This Row],[Land Bonus]]*20))</f>
        <v>0</v>
      </c>
      <c r="AJ83" s="180">
        <f ca="1">MIN(25%,(TblConstr[[#This Row],[Tot Fac]]+TblConstr[[#This Row],[Dest Fac]])/TblConstr[[#This Row],[Land]])</f>
        <v>0</v>
      </c>
      <c r="AK83" s="94">
        <f ca="1">TblProd[[#This Row],[Platinum]]</f>
        <v>189531</v>
      </c>
      <c r="AL83" s="94">
        <f ca="1">TblProd[[#This Row],[Lumber]]</f>
        <v>61574</v>
      </c>
      <c r="AM8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3" s="94">
        <f ca="1">ROUNDDOWN( MAX(1 - MIN(facs_constr_factor*TblConstr[[#This Row],[Facs -DB]],facs_constr_max) + tech_1_11*TblTech[[#This Row],[11-1]] + tech_6_3_2*TblTech[[#This Row],[6-3]] + tech_5_2_3*TblTech[[#This Row],[5-2]], 1-global_constr_cap) * TblConstr[[#This Row],[RCPA Lumber]],0)</f>
        <v>31</v>
      </c>
      <c r="AO8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3" s="94">
        <f ca="1">ROUNDDOWN( MAX(1 - MIN(facs_constr_factor*TblConstr[[#This Row],[Facs DB]],facs_constr_max) + tech_1_11*TblTech[[#This Row],[1-11]] + tech_6_3_2*TblTech[[#This Row],[6-3]] + tech_5_2_3*TblTech[[#This Row],[5-2]], 1-global_constr_cap) * ROUND((TblConstr[[#This Row],[Land]]-250)*0.285 + 87.5 + 0/4.25,0),0)</f>
        <v>31</v>
      </c>
      <c r="AQ83" s="45">
        <f ca="1">TblConstr[[#This Row],[build -db]]*TblConstr[[#This Row],[CPA Platinum -DB]] + TblConstr[[#This Row],[build db]]*TblConstr[[#This Row],[CPA Platinum DB]]</f>
        <v>0</v>
      </c>
      <c r="AR83" s="45">
        <f ca="1">TblConstr[[#This Row],[build -db]]*TblConstr[[#This Row],[CPA Lumber -DB]] + TblConstr[[#This Row],[build db]]*TblConstr[[#This Row],[CPA Lumber DB]]</f>
        <v>0</v>
      </c>
      <c r="AS83" s="94">
        <f ca="1">MIN(SUM(OFFSET(TblConstr[[#This Row],[Plain]:[Water]],-1,0))+SUM(TblConstr[[#This Row],[Dest Hom]:[Dest Doc]])+IF(TblConstr[[#This Row],[Hour]]&gt;12,SUM(OFFSET(TblExplore[[#This Row],[Plains Explore]:[Water Explore]],-12,0)),0),SUM(TblConstr[[#This Row],[Hom]:[Doc]]))</f>
        <v>0</v>
      </c>
      <c r="AT8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42"/>
      <c r="AV83" s="94">
        <f ca="1">ROUND((TblConstr[[#This Row],[Land]]-250 - IF(TblExplore[[#This Row],[Land Bonus]]&lt;&gt;0,20,0))*1.25 + 850 + 0,0)</f>
        <v>600</v>
      </c>
      <c r="AW83" s="94">
        <f ca="1">ROUND((TblConstr[[#This Row],[Land]]-250 - IF(TblExplore[[#This Row],[Land Bonus]]&lt;&gt;0,20,0))*0.285 + 87.5 + 0/4.25,0)</f>
        <v>31</v>
      </c>
      <c r="AX83" s="154"/>
      <c r="AY83" s="188" cm="1">
        <f t="array" aca="1" ref="AY83" ca="1">IF(TblConstr[[#This Row],[Hour]:[Hour]]&gt;12,OFFSET(TblConstr[[#This Row],[Hom]],-12,0),0)+OFFSET(TblConstr[[#This Row],[Tot Hom]],-1,0)-TblConstr[[#This Row],[Dest Hom]]</f>
        <v>0</v>
      </c>
      <c r="AZ83" s="189" cm="1">
        <f t="array" aca="1" ref="AZ83" ca="1">IF(TblConstr[[#This Row],[Hour]:[Hour]]&gt;12,OFFSET(TblConstr[[#This Row],[Alc]],-12,0),0)+OFFSET(TblConstr[[#This Row],[Tot Alc]],-1,0)-TblConstr[[#This Row],[Dest Alc]]</f>
        <v>0</v>
      </c>
      <c r="BA83" s="189" cm="1">
        <f t="array" aca="1" ref="BA83" ca="1">IF(TblConstr[[#This Row],[Hour]:[Hour]]&gt;12,OFFSET(TblConstr[[#This Row],[Far]],-12,0),0)+OFFSET(TblConstr[[#This Row],[Tot Farm]],-1,0)-TblConstr[[#This Row],[Dest Farm]]</f>
        <v>30</v>
      </c>
      <c r="BB83" s="189" cm="1">
        <f t="array" aca="1" ref="BB83" ca="1">IF(TblConstr[[#This Row],[Hour]:[Hour]]&gt;12,OFFSET(TblConstr[[#This Row],[Smi]],-12,0),0)+OFFSET(TblConstr[[#This Row],[Tot Smi]],-1,0)-TblConstr[[#This Row],[Dest Smi]]</f>
        <v>0</v>
      </c>
      <c r="BC83" s="189" cm="1">
        <f t="array" aca="1" ref="BC83" ca="1">IF(TblConstr[[#This Row],[Hour]:[Hour]]&gt;12,OFFSET(TblConstr[[#This Row],[Mas]],-12,0),0)+OFFSET(TblConstr[[#This Row],[Tot Mas]],-1,0)-TblConstr[[#This Row],[Dest Mas]]</f>
        <v>0</v>
      </c>
      <c r="BD83" s="190" cm="1">
        <f t="array" aca="1" ref="BD83" ca="1">IF(TblConstr[[#This Row],[Hour]:[Hour]]&gt;12,OFFSET(TblConstr[[#This Row],[Ly]],-12,0),0)+OFFSET(TblConstr[[#This Row],[Tot Ly]],-1,0)-TblConstr[[#This Row],[Dest Ly]]</f>
        <v>20</v>
      </c>
      <c r="BE83" s="190" cm="1">
        <f t="array" aca="1" ref="BE83" ca="1">IF(TblConstr[[#This Row],[Hour]:[Hour]]&gt;12,OFFSET(TblConstr[[#This Row],[Hav]],-12,0),0)+OFFSET(TblConstr[[#This Row],[Tot Hav]],-1,0)-TblConstr[[#This Row],[Dest Hav]]</f>
        <v>0</v>
      </c>
      <c r="BF83" s="361" cm="1">
        <f t="array" aca="1" ref="BF83" ca="1">IF(TblConstr[[#This Row],[Hour]:[Hour]]&gt;12,OFFSET(TblConstr[[#This Row],[OM]],-12,0),0)+OFFSET(TblConstr[[#This Row],[Tot OM]],-1,0)-TblConstr[[#This Row],[Dest OM]]</f>
        <v>0</v>
      </c>
      <c r="BG83" s="361" cm="1">
        <f t="array" aca="1" ref="BG83" ca="1">IF(TblConstr[[#This Row],[Hour]:[Hour]]&gt;12,OFFSET(TblConstr[[#This Row],[GN]],-12,0),0)+OFFSET(TblConstr[[#This Row],[Tot GN]],-1,0)-TblConstr[[#This Row],[Dest GN]]</f>
        <v>0</v>
      </c>
      <c r="BH83" s="365" cm="1">
        <f t="array" aca="1" ref="BH83" ca="1">IF(TblConstr[[#This Row],[Hour]:[Hour]]&gt;12,OFFSET(TblConstr[[#This Row],[Fac]],-12,0),0)+OFFSET(TblConstr[[#This Row],[Tot Fac]],-1,0)-TblConstr[[#This Row],[Dest Fac]]</f>
        <v>0</v>
      </c>
      <c r="BI83" s="365" cm="1">
        <f t="array" aca="1" ref="BI83" ca="1">IF(TblConstr[[#This Row],[Hour]:[Hour]]&gt;12,OFFSET(TblConstr[[#This Row],[GT]],-12,0),0)+OFFSET(TblConstr[[#This Row],[Tot GT]],-1,0)-TblConstr[[#This Row],[Dest GT]]</f>
        <v>0</v>
      </c>
      <c r="BJ83" s="365" cm="1">
        <f t="array" aca="1" ref="BJ83" ca="1">IF(TblConstr[[#This Row],[Hour]:[Hour]]&gt;12,OFFSET(TblConstr[[#This Row],[Bar]],-12,0),0)+OFFSET(TblConstr[[#This Row],[Tot Bar]],-1,0)-TblConstr[[#This Row],[Dest Bar]]</f>
        <v>0</v>
      </c>
      <c r="BK83" s="365" cm="1">
        <f t="array" aca="1" ref="BK83" ca="1">IF(TblConstr[[#This Row],[Hour]:[Hour]]&gt;12,OFFSET(TblConstr[[#This Row],[Shr]],-12,0),0)+OFFSET(TblConstr[[#This Row],[Tot Shr]],-1,0)-TblConstr[[#This Row],[Dest Shr]]</f>
        <v>0</v>
      </c>
      <c r="BL83" s="369" cm="1">
        <f t="array" aca="1" ref="BL83" ca="1">IF(TblConstr[[#This Row],[Hour]:[Hour]]&gt;12,OFFSET(TblConstr[[#This Row],[Tow]],-12,0),0)+OFFSET(TblConstr[[#This Row],[Tot Tow]],-1,0)-TblConstr[[#This Row],[Dest Tow]]</f>
        <v>0</v>
      </c>
      <c r="BM83" s="369" cm="1">
        <f t="array" aca="1" ref="BM83" ca="1">IF(TblConstr[[#This Row],[Hour]:[Hour]]&gt;12,OFFSET(TblConstr[[#This Row],[Tem]],-12,0),0)+OFFSET(TblConstr[[#This Row],[Tot Tem]],-1,0)-TblConstr[[#This Row],[Dest Tem]]</f>
        <v>0</v>
      </c>
      <c r="BN83" s="369" cm="1">
        <f t="array" aca="1" ref="BN83" ca="1">IF(TblConstr[[#This Row],[Hour]:[Hour]]&gt;12,OFFSET(TblConstr[[#This Row],[WG]],-12,0),0)+OFFSET(TblConstr[[#This Row],[Tot WG]],-1,0)-TblConstr[[#This Row],[Dest WG]]</f>
        <v>0</v>
      </c>
      <c r="BO83" s="191" cm="1">
        <f t="array" aca="1" ref="BO83" ca="1">IF(TblConstr[[#This Row],[Hour]:[Hour]]&gt;12,OFFSET(TblConstr[[#This Row],[DM]],-12,0),0)+OFFSET(TblConstr[[#This Row],[Tot DM]],-1,0)-TblConstr[[#This Row],[Dest DM]]</f>
        <v>0</v>
      </c>
      <c r="BP83" s="191" cm="1">
        <f t="array" aca="1" ref="BP83" ca="1">IF(TblConstr[[#This Row],[Hour]:[Hour]]&gt;12,OFFSET(TblConstr[[#This Row],[Sch]],-12,0),0)+OFFSET(TblConstr[[#This Row],[Tot Sch]],-1,0)-TblConstr[[#This Row],[Dest Sch]]</f>
        <v>0</v>
      </c>
      <c r="BQ83" s="192" cm="1">
        <f t="array" aca="1" ref="BQ83" ca="1">IF(TblConstr[[#This Row],[Hour]:[Hour]]&gt;12,OFFSET(TblConstr[[#This Row],[Doc]],-12,0),0)+OFFSET(TblConstr[[#This Row],[Tot Doc]],-1,0)-TblConstr[[#This Row],[Dest Doc]]</f>
        <v>0</v>
      </c>
      <c r="BR83" s="142"/>
      <c r="BS83" s="154"/>
      <c r="BT83" s="94">
        <f ca="1">TblConstr[[#This Row],[Land]]</f>
        <v>50</v>
      </c>
      <c r="BU83" s="159">
        <f ca="1">TblImps[[#This Row],[Time]]</f>
        <v>46323.291666666475</v>
      </c>
      <c r="BV83" s="142"/>
      <c r="BW83" s="179"/>
      <c r="BX83" s="179"/>
      <c r="BY83" s="179"/>
      <c r="BZ83" s="179"/>
      <c r="CA83" s="179"/>
      <c r="CB83" s="179"/>
      <c r="CC83" s="179"/>
      <c r="CD83" s="179"/>
      <c r="CE83" s="179"/>
      <c r="CF83" s="179"/>
      <c r="CG83" s="179"/>
      <c r="CH83" s="179"/>
      <c r="CI83" s="179"/>
      <c r="CJ83" s="179"/>
      <c r="CK83" s="179"/>
      <c r="CL83" s="179"/>
      <c r="CM83" s="179"/>
      <c r="CN83" s="179"/>
      <c r="CO83" s="179"/>
      <c r="CP83" s="142"/>
      <c r="CQ83" s="181">
        <f ca="1">-SUM(TblConstr[[#This Row],[Alc]:[Mas]])+SUM(TblConstr[[#This Row],[Dest Alc]:[Dest Mas]])+Rezone!L83+IF("Ch_"&amp; home_land=TblConstr[[#Headers],[Ch_Plain]],TblConstr[[#This Row],[Home Land]])+IF(TblConstr[[#This Row],[Hour]:[Hour]]&gt;12,OFFSET(TblExplore[[#This Row],[Plains Explore]],-12,0),0)</f>
        <v>0</v>
      </c>
      <c r="CR83" s="182">
        <f ca="1">-SUM(TblConstr[[#This Row],[Ly]:[Hav]])+SUM(TblConstr[[#This Row],[Dest Ly]:[Dest Hav]]) +Rezone!M83 + IF("Ch_"&amp; home_land=TblConstr[[#Headers],[Ch_Forest]],TblConstr[[#This Row],[Home Land]])+IF(TblConstr[[#This Row],[Hour]:[Hour]]&gt;12,OFFSET(TblExplore[[#This Row],[Forest Explore]],-12,0),0)</f>
        <v>0</v>
      </c>
      <c r="CS83" s="359">
        <f ca="1">-SUM(TblConstr[[#This Row],[OM]:[GN]])+SUM(TblConstr[[#This Row],[Dest OM]:[Dest GN]]) +Rezone!N83 + IF("Ch_"&amp; home_land=TblConstr[[#Headers],[Ch_Mountain]],TblConstr[[#This Row],[Home Land]])+IF(TblConstr[[#This Row],[Hour]:[Hour]]&gt;12,OFFSET(TblExplore[[#This Row],[Mountain Explore]],-12,0),0)</f>
        <v>0</v>
      </c>
      <c r="CT83" s="183">
        <f ca="1">-SUM(TblConstr[[#This Row],[Fac]:[Shr]])+SUM(TblConstr[[#This Row],[Dest Fac]:[Dest Shr]]) +Rezone!O83 + IF("Ch_" &amp; home_land=TblConstr[[#Headers],[Ch_Hill]],TblConstr[[#This Row],[Home Land]])+IF(TblConstr[[#This Row],[Hour]:[Hour]]&gt;12,OFFSET(TblExplore[[#This Row],[Hill Explore]],-12,0),0)</f>
        <v>0</v>
      </c>
      <c r="CU83" s="184">
        <f ca="1">-SUM(TblConstr[[#This Row],[Tow]:[WG]])+SUM(TblConstr[[#This Row],[Dest Tow]:[Dest WG]]) +Rezone!P83 + IF("Ch_" &amp; home_land=TblConstr[[#Headers],[Ch_Swamp]],TblConstr[[#This Row],[Home Land]])+IF(TblConstr[[#This Row],[Hour]:[Hour]]&gt;12,OFFSET(TblExplore[[#This Row],[Swamp Explore]],-12,0),0)</f>
        <v>0</v>
      </c>
      <c r="CV83" s="185">
        <f ca="1" xml:space="preserve"> - SUM(TblConstr[[#This Row],[DM]:[Sch]])+SUM(TblConstr[[#This Row],[Dest DM]:[Dest Sch]]) +Rezone!Q83 + IF("Ch_" &amp; home_land=TblConstr[[#Headers],[Ch_Cavern]],TblConstr[[#This Row],[Home Land]])+IF(TblConstr[[#This Row],[Hour]:[Hour]]&gt;12,OFFSET(TblExplore[[#This Row],[Cavern Explore]],-12,0),0)</f>
        <v>0</v>
      </c>
      <c r="CW83" s="186">
        <f ca="1">-TblConstr[[#This Row],[Doc]]+TblConstr[[#This Row],[Dest Doc]] +Rezone!R83 + IF("Ch_" &amp; home_land=TblConstr[[#Headers],[Ch_Water]],TblConstr[[#This Row],[Home Land]])+IF(TblConstr[[#This Row],[Hour]:[Hour]]&gt;12,OFFSET(TblExplore[[#This Row],[Water Explore]],-12,0),0)</f>
        <v>0</v>
      </c>
      <c r="CX83" s="45">
        <f>IF(Explore!S83=1,20) - TblConstr[[#This Row],[Hom]] + TblConstr[[#This Row],[Dest Hom]]</f>
        <v>0</v>
      </c>
      <c r="CY83" s="142"/>
      <c r="CZ83" s="94">
        <f t="shared" ca="1" si="23"/>
        <v>30</v>
      </c>
      <c r="DA83" s="94">
        <f t="shared" ca="1" si="24"/>
        <v>20</v>
      </c>
      <c r="DB83" s="45">
        <f t="shared" ca="1" si="25"/>
        <v>0</v>
      </c>
      <c r="DC83" s="94">
        <f t="shared" ca="1" si="26"/>
        <v>0</v>
      </c>
      <c r="DD83" s="94">
        <f t="shared" ca="1" si="27"/>
        <v>0</v>
      </c>
      <c r="DE83" s="45">
        <f t="shared" ca="1" si="28"/>
        <v>0</v>
      </c>
      <c r="DF83" s="94">
        <f t="shared" ca="1" si="29"/>
        <v>0</v>
      </c>
      <c r="DG83" s="94" cm="1">
        <f t="array" aca="1" ref="DG83" ca="1">INDEX(TblConstr[[Total Plain]:[Total Water]],ROW()-ROW(TblConstr[#Headers]),MATCH("Total "&amp;home_land,TblConstr[[#Headers],[Total Plain]:[Total Water]],0))+TblConstr[[#This Row],[Homes]]</f>
        <v>30</v>
      </c>
      <c r="DH83" s="45">
        <f t="shared" ca="1" si="22"/>
        <v>0</v>
      </c>
      <c r="DI83" s="45">
        <f t="shared" ca="1" si="19"/>
        <v>0</v>
      </c>
      <c r="DJ83" s="45">
        <f t="shared" ca="1" si="20"/>
        <v>0</v>
      </c>
    </row>
    <row r="84" spans="1:114" x14ac:dyDescent="0.2">
      <c r="A84" s="175">
        <f>TblRezone[[#This Row],[Hour]]</f>
        <v>81</v>
      </c>
      <c r="B84" s="176">
        <f ca="1">SUM(TblConstr[[#This Row],[Plain]:[Water]])</f>
        <v>0</v>
      </c>
      <c r="C84" s="177">
        <f ca="1">SUM(TblConstr[[#This Row],[Tot Hom]:[Tot Doc]])</f>
        <v>50</v>
      </c>
      <c r="D84" s="177">
        <f t="shared" si="21"/>
        <v>0</v>
      </c>
      <c r="E84" s="178"/>
      <c r="F84" s="61">
        <f ca="1">TblConstr[[#This Row],[Barren]]+TblConstr[[#This Row],[Buildings]]+TblConstr[[#This Row],[Incoming]]</f>
        <v>50</v>
      </c>
      <c r="G84" s="187">
        <f ca="1">OFFSET(TblConstr[[#This Row],[Plain]],-1,0)+TblConstr[[#This Row],[Ch_Plain]]</f>
        <v>0</v>
      </c>
      <c r="H84" s="182">
        <f ca="1">OFFSET(TblConstr[[#This Row],[Forest]],-1,0)+TblConstr[[#This Row],[Ch_Forest]]</f>
        <v>0</v>
      </c>
      <c r="I84" s="359">
        <f ca="1">OFFSET(TblConstr[[#This Row],[Mountain]],-1,0)+TblConstr[[#This Row],[Ch_Mountain]]</f>
        <v>0</v>
      </c>
      <c r="J84" s="363">
        <f ca="1">OFFSET(TblConstr[[#This Row],[Hill]],-1,0)+TblConstr[[#This Row],[Ch_Hill]]</f>
        <v>0</v>
      </c>
      <c r="K84" s="367">
        <f ca="1">OFFSET(TblConstr[[#This Row],[Swamp]],-1,0)+TblConstr[[#This Row],[Ch_Swamp]]</f>
        <v>0</v>
      </c>
      <c r="L84" s="185">
        <f ca="1">OFFSET(TblConstr[[#This Row],[Cavern]],-1,0)+TblConstr[[#This Row],[Ch_Cavern]]</f>
        <v>0</v>
      </c>
      <c r="M84" s="186">
        <f ca="1">OFFSET(TblConstr[[#This Row],[Water]],-1,0)+TblConstr[[#This Row],[Ch_Water]]</f>
        <v>0</v>
      </c>
      <c r="N84" s="357">
        <f>TblRezone[[#This Row],[Hour]]</f>
        <v>81</v>
      </c>
      <c r="O84" s="179"/>
      <c r="P84" s="179"/>
      <c r="Q84" s="179"/>
      <c r="R84" s="158"/>
      <c r="S84" s="179"/>
      <c r="T84" s="179"/>
      <c r="U84" s="179"/>
      <c r="V84" s="179"/>
      <c r="W84" s="179"/>
      <c r="X84" s="179"/>
      <c r="Y84" s="179"/>
      <c r="Z84" s="179"/>
      <c r="AA84" s="179"/>
      <c r="AB84" s="179"/>
      <c r="AC84" s="179"/>
      <c r="AD84" s="179"/>
      <c r="AE84" s="179"/>
      <c r="AF84" s="179"/>
      <c r="AG84" s="179"/>
      <c r="AH84" s="53">
        <f ca="1">TblImps[[#This Row],[Time]]</f>
        <v>46323.333333333139</v>
      </c>
      <c r="AI84" s="180">
        <f ca="1">MIN(25%,(TblConstr[[#This Row],[Tot Fac]]+TblConstr[[#This Row],[Dest Fac]])/(TblConstr[[#This Row],[Land]]-TblExplore[[#This Row],[Land Bonus]]*20))</f>
        <v>0</v>
      </c>
      <c r="AJ84" s="180">
        <f ca="1">MIN(25%,(TblConstr[[#This Row],[Tot Fac]]+TblConstr[[#This Row],[Dest Fac]])/TblConstr[[#This Row],[Land]])</f>
        <v>0</v>
      </c>
      <c r="AK84" s="94">
        <f ca="1">TblProd[[#This Row],[Platinum]]</f>
        <v>190111</v>
      </c>
      <c r="AL84" s="94">
        <f ca="1">TblProd[[#This Row],[Lumber]]</f>
        <v>61958</v>
      </c>
      <c r="AM8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4" s="94">
        <f ca="1">ROUNDDOWN( MAX(1 - MIN(facs_constr_factor*TblConstr[[#This Row],[Facs -DB]],facs_constr_max) + tech_1_11*TblTech[[#This Row],[11-1]] + tech_6_3_2*TblTech[[#This Row],[6-3]] + tech_5_2_3*TblTech[[#This Row],[5-2]], 1-global_constr_cap) * TblConstr[[#This Row],[RCPA Lumber]],0)</f>
        <v>31</v>
      </c>
      <c r="AO8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4" s="94">
        <f ca="1">ROUNDDOWN( MAX(1 - MIN(facs_constr_factor*TblConstr[[#This Row],[Facs DB]],facs_constr_max) + tech_1_11*TblTech[[#This Row],[1-11]] + tech_6_3_2*TblTech[[#This Row],[6-3]] + tech_5_2_3*TblTech[[#This Row],[5-2]], 1-global_constr_cap) * ROUND((TblConstr[[#This Row],[Land]]-250)*0.285 + 87.5 + 0/4.25,0),0)</f>
        <v>31</v>
      </c>
      <c r="AQ84" s="45">
        <f ca="1">TblConstr[[#This Row],[build -db]]*TblConstr[[#This Row],[CPA Platinum -DB]] + TblConstr[[#This Row],[build db]]*TblConstr[[#This Row],[CPA Platinum DB]]</f>
        <v>0</v>
      </c>
      <c r="AR84" s="45">
        <f ca="1">TblConstr[[#This Row],[build -db]]*TblConstr[[#This Row],[CPA Lumber -DB]] + TblConstr[[#This Row],[build db]]*TblConstr[[#This Row],[CPA Lumber DB]]</f>
        <v>0</v>
      </c>
      <c r="AS84" s="94">
        <f ca="1">MIN(SUM(OFFSET(TblConstr[[#This Row],[Plain]:[Water]],-1,0))+SUM(TblConstr[[#This Row],[Dest Hom]:[Dest Doc]])+IF(TblConstr[[#This Row],[Hour]]&gt;12,SUM(OFFSET(TblExplore[[#This Row],[Plains Explore]:[Water Explore]],-12,0)),0),SUM(TblConstr[[#This Row],[Hom]:[Doc]]))</f>
        <v>0</v>
      </c>
      <c r="AT8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42"/>
      <c r="AV84" s="94">
        <f ca="1">ROUND((TblConstr[[#This Row],[Land]]-250 - IF(TblExplore[[#This Row],[Land Bonus]]&lt;&gt;0,20,0))*1.25 + 850 + 0,0)</f>
        <v>600</v>
      </c>
      <c r="AW84" s="94">
        <f ca="1">ROUND((TblConstr[[#This Row],[Land]]-250 - IF(TblExplore[[#This Row],[Land Bonus]]&lt;&gt;0,20,0))*0.285 + 87.5 + 0/4.25,0)</f>
        <v>31</v>
      </c>
      <c r="AX84" s="154"/>
      <c r="AY84" s="188" cm="1">
        <f t="array" aca="1" ref="AY84" ca="1">IF(TblConstr[[#This Row],[Hour]:[Hour]]&gt;12,OFFSET(TblConstr[[#This Row],[Hom]],-12,0),0)+OFFSET(TblConstr[[#This Row],[Tot Hom]],-1,0)-TblConstr[[#This Row],[Dest Hom]]</f>
        <v>0</v>
      </c>
      <c r="AZ84" s="189" cm="1">
        <f t="array" aca="1" ref="AZ84" ca="1">IF(TblConstr[[#This Row],[Hour]:[Hour]]&gt;12,OFFSET(TblConstr[[#This Row],[Alc]],-12,0),0)+OFFSET(TblConstr[[#This Row],[Tot Alc]],-1,0)-TblConstr[[#This Row],[Dest Alc]]</f>
        <v>0</v>
      </c>
      <c r="BA84" s="189" cm="1">
        <f t="array" aca="1" ref="BA84" ca="1">IF(TblConstr[[#This Row],[Hour]:[Hour]]&gt;12,OFFSET(TblConstr[[#This Row],[Far]],-12,0),0)+OFFSET(TblConstr[[#This Row],[Tot Farm]],-1,0)-TblConstr[[#This Row],[Dest Farm]]</f>
        <v>30</v>
      </c>
      <c r="BB84" s="189" cm="1">
        <f t="array" aca="1" ref="BB84" ca="1">IF(TblConstr[[#This Row],[Hour]:[Hour]]&gt;12,OFFSET(TblConstr[[#This Row],[Smi]],-12,0),0)+OFFSET(TblConstr[[#This Row],[Tot Smi]],-1,0)-TblConstr[[#This Row],[Dest Smi]]</f>
        <v>0</v>
      </c>
      <c r="BC84" s="189" cm="1">
        <f t="array" aca="1" ref="BC84" ca="1">IF(TblConstr[[#This Row],[Hour]:[Hour]]&gt;12,OFFSET(TblConstr[[#This Row],[Mas]],-12,0),0)+OFFSET(TblConstr[[#This Row],[Tot Mas]],-1,0)-TblConstr[[#This Row],[Dest Mas]]</f>
        <v>0</v>
      </c>
      <c r="BD84" s="190" cm="1">
        <f t="array" aca="1" ref="BD84" ca="1">IF(TblConstr[[#This Row],[Hour]:[Hour]]&gt;12,OFFSET(TblConstr[[#This Row],[Ly]],-12,0),0)+OFFSET(TblConstr[[#This Row],[Tot Ly]],-1,0)-TblConstr[[#This Row],[Dest Ly]]</f>
        <v>20</v>
      </c>
      <c r="BE84" s="190" cm="1">
        <f t="array" aca="1" ref="BE84" ca="1">IF(TblConstr[[#This Row],[Hour]:[Hour]]&gt;12,OFFSET(TblConstr[[#This Row],[Hav]],-12,0),0)+OFFSET(TblConstr[[#This Row],[Tot Hav]],-1,0)-TblConstr[[#This Row],[Dest Hav]]</f>
        <v>0</v>
      </c>
      <c r="BF84" s="361" cm="1">
        <f t="array" aca="1" ref="BF84" ca="1">IF(TblConstr[[#This Row],[Hour]:[Hour]]&gt;12,OFFSET(TblConstr[[#This Row],[OM]],-12,0),0)+OFFSET(TblConstr[[#This Row],[Tot OM]],-1,0)-TblConstr[[#This Row],[Dest OM]]</f>
        <v>0</v>
      </c>
      <c r="BG84" s="361" cm="1">
        <f t="array" aca="1" ref="BG84" ca="1">IF(TblConstr[[#This Row],[Hour]:[Hour]]&gt;12,OFFSET(TblConstr[[#This Row],[GN]],-12,0),0)+OFFSET(TblConstr[[#This Row],[Tot GN]],-1,0)-TblConstr[[#This Row],[Dest GN]]</f>
        <v>0</v>
      </c>
      <c r="BH84" s="365" cm="1">
        <f t="array" aca="1" ref="BH84" ca="1">IF(TblConstr[[#This Row],[Hour]:[Hour]]&gt;12,OFFSET(TblConstr[[#This Row],[Fac]],-12,0),0)+OFFSET(TblConstr[[#This Row],[Tot Fac]],-1,0)-TblConstr[[#This Row],[Dest Fac]]</f>
        <v>0</v>
      </c>
      <c r="BI84" s="365" cm="1">
        <f t="array" aca="1" ref="BI84" ca="1">IF(TblConstr[[#This Row],[Hour]:[Hour]]&gt;12,OFFSET(TblConstr[[#This Row],[GT]],-12,0),0)+OFFSET(TblConstr[[#This Row],[Tot GT]],-1,0)-TblConstr[[#This Row],[Dest GT]]</f>
        <v>0</v>
      </c>
      <c r="BJ84" s="365" cm="1">
        <f t="array" aca="1" ref="BJ84" ca="1">IF(TblConstr[[#This Row],[Hour]:[Hour]]&gt;12,OFFSET(TblConstr[[#This Row],[Bar]],-12,0),0)+OFFSET(TblConstr[[#This Row],[Tot Bar]],-1,0)-TblConstr[[#This Row],[Dest Bar]]</f>
        <v>0</v>
      </c>
      <c r="BK84" s="365" cm="1">
        <f t="array" aca="1" ref="BK84" ca="1">IF(TblConstr[[#This Row],[Hour]:[Hour]]&gt;12,OFFSET(TblConstr[[#This Row],[Shr]],-12,0),0)+OFFSET(TblConstr[[#This Row],[Tot Shr]],-1,0)-TblConstr[[#This Row],[Dest Shr]]</f>
        <v>0</v>
      </c>
      <c r="BL84" s="369" cm="1">
        <f t="array" aca="1" ref="BL84" ca="1">IF(TblConstr[[#This Row],[Hour]:[Hour]]&gt;12,OFFSET(TblConstr[[#This Row],[Tow]],-12,0),0)+OFFSET(TblConstr[[#This Row],[Tot Tow]],-1,0)-TblConstr[[#This Row],[Dest Tow]]</f>
        <v>0</v>
      </c>
      <c r="BM84" s="369" cm="1">
        <f t="array" aca="1" ref="BM84" ca="1">IF(TblConstr[[#This Row],[Hour]:[Hour]]&gt;12,OFFSET(TblConstr[[#This Row],[Tem]],-12,0),0)+OFFSET(TblConstr[[#This Row],[Tot Tem]],-1,0)-TblConstr[[#This Row],[Dest Tem]]</f>
        <v>0</v>
      </c>
      <c r="BN84" s="369" cm="1">
        <f t="array" aca="1" ref="BN84" ca="1">IF(TblConstr[[#This Row],[Hour]:[Hour]]&gt;12,OFFSET(TblConstr[[#This Row],[WG]],-12,0),0)+OFFSET(TblConstr[[#This Row],[Tot WG]],-1,0)-TblConstr[[#This Row],[Dest WG]]</f>
        <v>0</v>
      </c>
      <c r="BO84" s="191" cm="1">
        <f t="array" aca="1" ref="BO84" ca="1">IF(TblConstr[[#This Row],[Hour]:[Hour]]&gt;12,OFFSET(TblConstr[[#This Row],[DM]],-12,0),0)+OFFSET(TblConstr[[#This Row],[Tot DM]],-1,0)-TblConstr[[#This Row],[Dest DM]]</f>
        <v>0</v>
      </c>
      <c r="BP84" s="191" cm="1">
        <f t="array" aca="1" ref="BP84" ca="1">IF(TblConstr[[#This Row],[Hour]:[Hour]]&gt;12,OFFSET(TblConstr[[#This Row],[Sch]],-12,0),0)+OFFSET(TblConstr[[#This Row],[Tot Sch]],-1,0)-TblConstr[[#This Row],[Dest Sch]]</f>
        <v>0</v>
      </c>
      <c r="BQ84" s="192" cm="1">
        <f t="array" aca="1" ref="BQ84" ca="1">IF(TblConstr[[#This Row],[Hour]:[Hour]]&gt;12,OFFSET(TblConstr[[#This Row],[Doc]],-12,0),0)+OFFSET(TblConstr[[#This Row],[Tot Doc]],-1,0)-TblConstr[[#This Row],[Dest Doc]]</f>
        <v>0</v>
      </c>
      <c r="BR84" s="142"/>
      <c r="BS84" s="154"/>
      <c r="BT84" s="94">
        <f ca="1">TblConstr[[#This Row],[Land]]</f>
        <v>50</v>
      </c>
      <c r="BU84" s="159">
        <f ca="1">TblImps[[#This Row],[Time]]</f>
        <v>46323.333333333139</v>
      </c>
      <c r="BV84" s="142"/>
      <c r="BW84" s="179"/>
      <c r="BX84" s="179"/>
      <c r="BY84" s="179"/>
      <c r="BZ84" s="179"/>
      <c r="CA84" s="179"/>
      <c r="CB84" s="179"/>
      <c r="CC84" s="179"/>
      <c r="CD84" s="179"/>
      <c r="CE84" s="179"/>
      <c r="CF84" s="179"/>
      <c r="CG84" s="179"/>
      <c r="CH84" s="179"/>
      <c r="CI84" s="179"/>
      <c r="CJ84" s="179"/>
      <c r="CK84" s="179"/>
      <c r="CL84" s="179"/>
      <c r="CM84" s="179"/>
      <c r="CN84" s="179"/>
      <c r="CO84" s="179"/>
      <c r="CP84" s="142"/>
      <c r="CQ84" s="181">
        <f ca="1">-SUM(TblConstr[[#This Row],[Alc]:[Mas]])+SUM(TblConstr[[#This Row],[Dest Alc]:[Dest Mas]])+Rezone!L84+IF("Ch_"&amp; home_land=TblConstr[[#Headers],[Ch_Plain]],TblConstr[[#This Row],[Home Land]])+IF(TblConstr[[#This Row],[Hour]:[Hour]]&gt;12,OFFSET(TblExplore[[#This Row],[Plains Explore]],-12,0),0)</f>
        <v>0</v>
      </c>
      <c r="CR84" s="182">
        <f ca="1">-SUM(TblConstr[[#This Row],[Ly]:[Hav]])+SUM(TblConstr[[#This Row],[Dest Ly]:[Dest Hav]]) +Rezone!M84 + IF("Ch_"&amp; home_land=TblConstr[[#Headers],[Ch_Forest]],TblConstr[[#This Row],[Home Land]])+IF(TblConstr[[#This Row],[Hour]:[Hour]]&gt;12,OFFSET(TblExplore[[#This Row],[Forest Explore]],-12,0),0)</f>
        <v>0</v>
      </c>
      <c r="CS84" s="359">
        <f ca="1">-SUM(TblConstr[[#This Row],[OM]:[GN]])+SUM(TblConstr[[#This Row],[Dest OM]:[Dest GN]]) +Rezone!N84 + IF("Ch_"&amp; home_land=TblConstr[[#Headers],[Ch_Mountain]],TblConstr[[#This Row],[Home Land]])+IF(TblConstr[[#This Row],[Hour]:[Hour]]&gt;12,OFFSET(TblExplore[[#This Row],[Mountain Explore]],-12,0),0)</f>
        <v>0</v>
      </c>
      <c r="CT84" s="183">
        <f ca="1">-SUM(TblConstr[[#This Row],[Fac]:[Shr]])+SUM(TblConstr[[#This Row],[Dest Fac]:[Dest Shr]]) +Rezone!O84 + IF("Ch_" &amp; home_land=TblConstr[[#Headers],[Ch_Hill]],TblConstr[[#This Row],[Home Land]])+IF(TblConstr[[#This Row],[Hour]:[Hour]]&gt;12,OFFSET(TblExplore[[#This Row],[Hill Explore]],-12,0),0)</f>
        <v>0</v>
      </c>
      <c r="CU84" s="184">
        <f ca="1">-SUM(TblConstr[[#This Row],[Tow]:[WG]])+SUM(TblConstr[[#This Row],[Dest Tow]:[Dest WG]]) +Rezone!P84 + IF("Ch_" &amp; home_land=TblConstr[[#Headers],[Ch_Swamp]],TblConstr[[#This Row],[Home Land]])+IF(TblConstr[[#This Row],[Hour]:[Hour]]&gt;12,OFFSET(TblExplore[[#This Row],[Swamp Explore]],-12,0),0)</f>
        <v>0</v>
      </c>
      <c r="CV84" s="185">
        <f ca="1" xml:space="preserve"> - SUM(TblConstr[[#This Row],[DM]:[Sch]])+SUM(TblConstr[[#This Row],[Dest DM]:[Dest Sch]]) +Rezone!Q84 + IF("Ch_" &amp; home_land=TblConstr[[#Headers],[Ch_Cavern]],TblConstr[[#This Row],[Home Land]])+IF(TblConstr[[#This Row],[Hour]:[Hour]]&gt;12,OFFSET(TblExplore[[#This Row],[Cavern Explore]],-12,0),0)</f>
        <v>0</v>
      </c>
      <c r="CW84" s="186">
        <f ca="1">-TblConstr[[#This Row],[Doc]]+TblConstr[[#This Row],[Dest Doc]] +Rezone!R84 + IF("Ch_" &amp; home_land=TblConstr[[#Headers],[Ch_Water]],TblConstr[[#This Row],[Home Land]])+IF(TblConstr[[#This Row],[Hour]:[Hour]]&gt;12,OFFSET(TblExplore[[#This Row],[Water Explore]],-12,0),0)</f>
        <v>0</v>
      </c>
      <c r="CX84" s="45">
        <f>IF(Explore!S84=1,20) - TblConstr[[#This Row],[Hom]] + TblConstr[[#This Row],[Dest Hom]]</f>
        <v>0</v>
      </c>
      <c r="CY84" s="142"/>
      <c r="CZ84" s="94">
        <f t="shared" ca="1" si="23"/>
        <v>30</v>
      </c>
      <c r="DA84" s="94">
        <f t="shared" ca="1" si="24"/>
        <v>20</v>
      </c>
      <c r="DB84" s="45">
        <f t="shared" ca="1" si="25"/>
        <v>0</v>
      </c>
      <c r="DC84" s="94">
        <f t="shared" ca="1" si="26"/>
        <v>0</v>
      </c>
      <c r="DD84" s="94">
        <f t="shared" ca="1" si="27"/>
        <v>0</v>
      </c>
      <c r="DE84" s="45">
        <f t="shared" ca="1" si="28"/>
        <v>0</v>
      </c>
      <c r="DF84" s="94">
        <f t="shared" ca="1" si="29"/>
        <v>0</v>
      </c>
      <c r="DG84" s="94" cm="1">
        <f t="array" aca="1" ref="DG84" ca="1">INDEX(TblConstr[[Total Plain]:[Total Water]],ROW()-ROW(TblConstr[#Headers]),MATCH("Total "&amp;home_land,TblConstr[[#Headers],[Total Plain]:[Total Water]],0))+TblConstr[[#This Row],[Homes]]</f>
        <v>30</v>
      </c>
      <c r="DH84" s="45">
        <f t="shared" ca="1" si="22"/>
        <v>0</v>
      </c>
      <c r="DI84" s="45">
        <f t="shared" ca="1" si="19"/>
        <v>0</v>
      </c>
      <c r="DJ84" s="45">
        <f t="shared" ca="1" si="20"/>
        <v>0</v>
      </c>
    </row>
    <row r="85" spans="1:114" x14ac:dyDescent="0.2">
      <c r="A85" s="175">
        <f>TblRezone[[#This Row],[Hour]]</f>
        <v>82</v>
      </c>
      <c r="B85" s="176">
        <f ca="1">SUM(TblConstr[[#This Row],[Plain]:[Water]])</f>
        <v>0</v>
      </c>
      <c r="C85" s="177">
        <f ca="1">SUM(TblConstr[[#This Row],[Tot Hom]:[Tot Doc]])</f>
        <v>50</v>
      </c>
      <c r="D85" s="177">
        <f t="shared" si="21"/>
        <v>0</v>
      </c>
      <c r="E85" s="178"/>
      <c r="F85" s="61">
        <f ca="1">TblConstr[[#This Row],[Barren]]+TblConstr[[#This Row],[Buildings]]+TblConstr[[#This Row],[Incoming]]</f>
        <v>50</v>
      </c>
      <c r="G85" s="187">
        <f ca="1">OFFSET(TblConstr[[#This Row],[Plain]],-1,0)+TblConstr[[#This Row],[Ch_Plain]]</f>
        <v>0</v>
      </c>
      <c r="H85" s="182">
        <f ca="1">OFFSET(TblConstr[[#This Row],[Forest]],-1,0)+TblConstr[[#This Row],[Ch_Forest]]</f>
        <v>0</v>
      </c>
      <c r="I85" s="359">
        <f ca="1">OFFSET(TblConstr[[#This Row],[Mountain]],-1,0)+TblConstr[[#This Row],[Ch_Mountain]]</f>
        <v>0</v>
      </c>
      <c r="J85" s="363">
        <f ca="1">OFFSET(TblConstr[[#This Row],[Hill]],-1,0)+TblConstr[[#This Row],[Ch_Hill]]</f>
        <v>0</v>
      </c>
      <c r="K85" s="367">
        <f ca="1">OFFSET(TblConstr[[#This Row],[Swamp]],-1,0)+TblConstr[[#This Row],[Ch_Swamp]]</f>
        <v>0</v>
      </c>
      <c r="L85" s="185">
        <f ca="1">OFFSET(TblConstr[[#This Row],[Cavern]],-1,0)+TblConstr[[#This Row],[Ch_Cavern]]</f>
        <v>0</v>
      </c>
      <c r="M85" s="186">
        <f ca="1">OFFSET(TblConstr[[#This Row],[Water]],-1,0)+TblConstr[[#This Row],[Ch_Water]]</f>
        <v>0</v>
      </c>
      <c r="N85" s="357">
        <f>TblRezone[[#This Row],[Hour]]</f>
        <v>82</v>
      </c>
      <c r="O85" s="179"/>
      <c r="P85" s="179"/>
      <c r="Q85" s="179"/>
      <c r="R85" s="158"/>
      <c r="S85" s="179"/>
      <c r="T85" s="179"/>
      <c r="U85" s="179"/>
      <c r="V85" s="179"/>
      <c r="W85" s="179"/>
      <c r="X85" s="179"/>
      <c r="Y85" s="179"/>
      <c r="Z85" s="179"/>
      <c r="AA85" s="179"/>
      <c r="AB85" s="179"/>
      <c r="AC85" s="179"/>
      <c r="AD85" s="179"/>
      <c r="AE85" s="179"/>
      <c r="AF85" s="179"/>
      <c r="AG85" s="179"/>
      <c r="AH85" s="53">
        <f ca="1">TblImps[[#This Row],[Time]]</f>
        <v>46323.374999999804</v>
      </c>
      <c r="AI85" s="180">
        <f ca="1">MIN(25%,(TblConstr[[#This Row],[Tot Fac]]+TblConstr[[#This Row],[Dest Fac]])/(TblConstr[[#This Row],[Land]]-TblExplore[[#This Row],[Land Bonus]]*20))</f>
        <v>0</v>
      </c>
      <c r="AJ85" s="180">
        <f ca="1">MIN(25%,(TblConstr[[#This Row],[Tot Fac]]+TblConstr[[#This Row],[Dest Fac]])/TblConstr[[#This Row],[Land]])</f>
        <v>0</v>
      </c>
      <c r="AK85" s="94">
        <f ca="1">TblProd[[#This Row],[Platinum]]</f>
        <v>190686</v>
      </c>
      <c r="AL85" s="94">
        <f ca="1">TblProd[[#This Row],[Lumber]]</f>
        <v>62338</v>
      </c>
      <c r="AM8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5" s="94">
        <f ca="1">ROUNDDOWN( MAX(1 - MIN(facs_constr_factor*TblConstr[[#This Row],[Facs -DB]],facs_constr_max) + tech_1_11*TblTech[[#This Row],[11-1]] + tech_6_3_2*TblTech[[#This Row],[6-3]] + tech_5_2_3*TblTech[[#This Row],[5-2]], 1-global_constr_cap) * TblConstr[[#This Row],[RCPA Lumber]],0)</f>
        <v>31</v>
      </c>
      <c r="AO8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5" s="94">
        <f ca="1">ROUNDDOWN( MAX(1 - MIN(facs_constr_factor*TblConstr[[#This Row],[Facs DB]],facs_constr_max) + tech_1_11*TblTech[[#This Row],[1-11]] + tech_6_3_2*TblTech[[#This Row],[6-3]] + tech_5_2_3*TblTech[[#This Row],[5-2]], 1-global_constr_cap) * ROUND((TblConstr[[#This Row],[Land]]-250)*0.285 + 87.5 + 0/4.25,0),0)</f>
        <v>31</v>
      </c>
      <c r="AQ85" s="45">
        <f ca="1">TblConstr[[#This Row],[build -db]]*TblConstr[[#This Row],[CPA Platinum -DB]] + TblConstr[[#This Row],[build db]]*TblConstr[[#This Row],[CPA Platinum DB]]</f>
        <v>0</v>
      </c>
      <c r="AR85" s="45">
        <f ca="1">TblConstr[[#This Row],[build -db]]*TblConstr[[#This Row],[CPA Lumber -DB]] + TblConstr[[#This Row],[build db]]*TblConstr[[#This Row],[CPA Lumber DB]]</f>
        <v>0</v>
      </c>
      <c r="AS85" s="94">
        <f ca="1">MIN(SUM(OFFSET(TblConstr[[#This Row],[Plain]:[Water]],-1,0))+SUM(TblConstr[[#This Row],[Dest Hom]:[Dest Doc]])+IF(TblConstr[[#This Row],[Hour]]&gt;12,SUM(OFFSET(TblExplore[[#This Row],[Plains Explore]:[Water Explore]],-12,0)),0),SUM(TblConstr[[#This Row],[Hom]:[Doc]]))</f>
        <v>0</v>
      </c>
      <c r="AT8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42"/>
      <c r="AV85" s="94">
        <f ca="1">ROUND((TblConstr[[#This Row],[Land]]-250 - IF(TblExplore[[#This Row],[Land Bonus]]&lt;&gt;0,20,0))*1.25 + 850 + 0,0)</f>
        <v>600</v>
      </c>
      <c r="AW85" s="94">
        <f ca="1">ROUND((TblConstr[[#This Row],[Land]]-250 - IF(TblExplore[[#This Row],[Land Bonus]]&lt;&gt;0,20,0))*0.285 + 87.5 + 0/4.25,0)</f>
        <v>31</v>
      </c>
      <c r="AX85" s="154"/>
      <c r="AY85" s="188" cm="1">
        <f t="array" aca="1" ref="AY85" ca="1">IF(TblConstr[[#This Row],[Hour]:[Hour]]&gt;12,OFFSET(TblConstr[[#This Row],[Hom]],-12,0),0)+OFFSET(TblConstr[[#This Row],[Tot Hom]],-1,0)-TblConstr[[#This Row],[Dest Hom]]</f>
        <v>0</v>
      </c>
      <c r="AZ85" s="189" cm="1">
        <f t="array" aca="1" ref="AZ85" ca="1">IF(TblConstr[[#This Row],[Hour]:[Hour]]&gt;12,OFFSET(TblConstr[[#This Row],[Alc]],-12,0),0)+OFFSET(TblConstr[[#This Row],[Tot Alc]],-1,0)-TblConstr[[#This Row],[Dest Alc]]</f>
        <v>0</v>
      </c>
      <c r="BA85" s="189" cm="1">
        <f t="array" aca="1" ref="BA85" ca="1">IF(TblConstr[[#This Row],[Hour]:[Hour]]&gt;12,OFFSET(TblConstr[[#This Row],[Far]],-12,0),0)+OFFSET(TblConstr[[#This Row],[Tot Farm]],-1,0)-TblConstr[[#This Row],[Dest Farm]]</f>
        <v>30</v>
      </c>
      <c r="BB85" s="189" cm="1">
        <f t="array" aca="1" ref="BB85" ca="1">IF(TblConstr[[#This Row],[Hour]:[Hour]]&gt;12,OFFSET(TblConstr[[#This Row],[Smi]],-12,0),0)+OFFSET(TblConstr[[#This Row],[Tot Smi]],-1,0)-TblConstr[[#This Row],[Dest Smi]]</f>
        <v>0</v>
      </c>
      <c r="BC85" s="189" cm="1">
        <f t="array" aca="1" ref="BC85" ca="1">IF(TblConstr[[#This Row],[Hour]:[Hour]]&gt;12,OFFSET(TblConstr[[#This Row],[Mas]],-12,0),0)+OFFSET(TblConstr[[#This Row],[Tot Mas]],-1,0)-TblConstr[[#This Row],[Dest Mas]]</f>
        <v>0</v>
      </c>
      <c r="BD85" s="190" cm="1">
        <f t="array" aca="1" ref="BD85" ca="1">IF(TblConstr[[#This Row],[Hour]:[Hour]]&gt;12,OFFSET(TblConstr[[#This Row],[Ly]],-12,0),0)+OFFSET(TblConstr[[#This Row],[Tot Ly]],-1,0)-TblConstr[[#This Row],[Dest Ly]]</f>
        <v>20</v>
      </c>
      <c r="BE85" s="190" cm="1">
        <f t="array" aca="1" ref="BE85" ca="1">IF(TblConstr[[#This Row],[Hour]:[Hour]]&gt;12,OFFSET(TblConstr[[#This Row],[Hav]],-12,0),0)+OFFSET(TblConstr[[#This Row],[Tot Hav]],-1,0)-TblConstr[[#This Row],[Dest Hav]]</f>
        <v>0</v>
      </c>
      <c r="BF85" s="361" cm="1">
        <f t="array" aca="1" ref="BF85" ca="1">IF(TblConstr[[#This Row],[Hour]:[Hour]]&gt;12,OFFSET(TblConstr[[#This Row],[OM]],-12,0),0)+OFFSET(TblConstr[[#This Row],[Tot OM]],-1,0)-TblConstr[[#This Row],[Dest OM]]</f>
        <v>0</v>
      </c>
      <c r="BG85" s="361" cm="1">
        <f t="array" aca="1" ref="BG85" ca="1">IF(TblConstr[[#This Row],[Hour]:[Hour]]&gt;12,OFFSET(TblConstr[[#This Row],[GN]],-12,0),0)+OFFSET(TblConstr[[#This Row],[Tot GN]],-1,0)-TblConstr[[#This Row],[Dest GN]]</f>
        <v>0</v>
      </c>
      <c r="BH85" s="365" cm="1">
        <f t="array" aca="1" ref="BH85" ca="1">IF(TblConstr[[#This Row],[Hour]:[Hour]]&gt;12,OFFSET(TblConstr[[#This Row],[Fac]],-12,0),0)+OFFSET(TblConstr[[#This Row],[Tot Fac]],-1,0)-TblConstr[[#This Row],[Dest Fac]]</f>
        <v>0</v>
      </c>
      <c r="BI85" s="365" cm="1">
        <f t="array" aca="1" ref="BI85" ca="1">IF(TblConstr[[#This Row],[Hour]:[Hour]]&gt;12,OFFSET(TblConstr[[#This Row],[GT]],-12,0),0)+OFFSET(TblConstr[[#This Row],[Tot GT]],-1,0)-TblConstr[[#This Row],[Dest GT]]</f>
        <v>0</v>
      </c>
      <c r="BJ85" s="365" cm="1">
        <f t="array" aca="1" ref="BJ85" ca="1">IF(TblConstr[[#This Row],[Hour]:[Hour]]&gt;12,OFFSET(TblConstr[[#This Row],[Bar]],-12,0),0)+OFFSET(TblConstr[[#This Row],[Tot Bar]],-1,0)-TblConstr[[#This Row],[Dest Bar]]</f>
        <v>0</v>
      </c>
      <c r="BK85" s="365" cm="1">
        <f t="array" aca="1" ref="BK85" ca="1">IF(TblConstr[[#This Row],[Hour]:[Hour]]&gt;12,OFFSET(TblConstr[[#This Row],[Shr]],-12,0),0)+OFFSET(TblConstr[[#This Row],[Tot Shr]],-1,0)-TblConstr[[#This Row],[Dest Shr]]</f>
        <v>0</v>
      </c>
      <c r="BL85" s="369" cm="1">
        <f t="array" aca="1" ref="BL85" ca="1">IF(TblConstr[[#This Row],[Hour]:[Hour]]&gt;12,OFFSET(TblConstr[[#This Row],[Tow]],-12,0),0)+OFFSET(TblConstr[[#This Row],[Tot Tow]],-1,0)-TblConstr[[#This Row],[Dest Tow]]</f>
        <v>0</v>
      </c>
      <c r="BM85" s="369" cm="1">
        <f t="array" aca="1" ref="BM85" ca="1">IF(TblConstr[[#This Row],[Hour]:[Hour]]&gt;12,OFFSET(TblConstr[[#This Row],[Tem]],-12,0),0)+OFFSET(TblConstr[[#This Row],[Tot Tem]],-1,0)-TblConstr[[#This Row],[Dest Tem]]</f>
        <v>0</v>
      </c>
      <c r="BN85" s="369" cm="1">
        <f t="array" aca="1" ref="BN85" ca="1">IF(TblConstr[[#This Row],[Hour]:[Hour]]&gt;12,OFFSET(TblConstr[[#This Row],[WG]],-12,0),0)+OFFSET(TblConstr[[#This Row],[Tot WG]],-1,0)-TblConstr[[#This Row],[Dest WG]]</f>
        <v>0</v>
      </c>
      <c r="BO85" s="191" cm="1">
        <f t="array" aca="1" ref="BO85" ca="1">IF(TblConstr[[#This Row],[Hour]:[Hour]]&gt;12,OFFSET(TblConstr[[#This Row],[DM]],-12,0),0)+OFFSET(TblConstr[[#This Row],[Tot DM]],-1,0)-TblConstr[[#This Row],[Dest DM]]</f>
        <v>0</v>
      </c>
      <c r="BP85" s="191" cm="1">
        <f t="array" aca="1" ref="BP85" ca="1">IF(TblConstr[[#This Row],[Hour]:[Hour]]&gt;12,OFFSET(TblConstr[[#This Row],[Sch]],-12,0),0)+OFFSET(TblConstr[[#This Row],[Tot Sch]],-1,0)-TblConstr[[#This Row],[Dest Sch]]</f>
        <v>0</v>
      </c>
      <c r="BQ85" s="192" cm="1">
        <f t="array" aca="1" ref="BQ85" ca="1">IF(TblConstr[[#This Row],[Hour]:[Hour]]&gt;12,OFFSET(TblConstr[[#This Row],[Doc]],-12,0),0)+OFFSET(TblConstr[[#This Row],[Tot Doc]],-1,0)-TblConstr[[#This Row],[Dest Doc]]</f>
        <v>0</v>
      </c>
      <c r="BR85" s="142"/>
      <c r="BS85" s="154"/>
      <c r="BT85" s="94">
        <f ca="1">TblConstr[[#This Row],[Land]]</f>
        <v>50</v>
      </c>
      <c r="BU85" s="159">
        <f ca="1">TblImps[[#This Row],[Time]]</f>
        <v>46323.374999999804</v>
      </c>
      <c r="BV85" s="142"/>
      <c r="BW85" s="179"/>
      <c r="BX85" s="179"/>
      <c r="BY85" s="179"/>
      <c r="BZ85" s="179"/>
      <c r="CA85" s="179"/>
      <c r="CB85" s="179"/>
      <c r="CC85" s="179"/>
      <c r="CD85" s="179"/>
      <c r="CE85" s="179"/>
      <c r="CF85" s="179"/>
      <c r="CG85" s="179"/>
      <c r="CH85" s="179"/>
      <c r="CI85" s="179"/>
      <c r="CJ85" s="179"/>
      <c r="CK85" s="179"/>
      <c r="CL85" s="179"/>
      <c r="CM85" s="179"/>
      <c r="CN85" s="179"/>
      <c r="CO85" s="179"/>
      <c r="CP85" s="142"/>
      <c r="CQ85" s="181">
        <f ca="1">-SUM(TblConstr[[#This Row],[Alc]:[Mas]])+SUM(TblConstr[[#This Row],[Dest Alc]:[Dest Mas]])+Rezone!L85+IF("Ch_"&amp; home_land=TblConstr[[#Headers],[Ch_Plain]],TblConstr[[#This Row],[Home Land]])+IF(TblConstr[[#This Row],[Hour]:[Hour]]&gt;12,OFFSET(TblExplore[[#This Row],[Plains Explore]],-12,0),0)</f>
        <v>0</v>
      </c>
      <c r="CR85" s="182">
        <f ca="1">-SUM(TblConstr[[#This Row],[Ly]:[Hav]])+SUM(TblConstr[[#This Row],[Dest Ly]:[Dest Hav]]) +Rezone!M85 + IF("Ch_"&amp; home_land=TblConstr[[#Headers],[Ch_Forest]],TblConstr[[#This Row],[Home Land]])+IF(TblConstr[[#This Row],[Hour]:[Hour]]&gt;12,OFFSET(TblExplore[[#This Row],[Forest Explore]],-12,0),0)</f>
        <v>0</v>
      </c>
      <c r="CS85" s="359">
        <f ca="1">-SUM(TblConstr[[#This Row],[OM]:[GN]])+SUM(TblConstr[[#This Row],[Dest OM]:[Dest GN]]) +Rezone!N85 + IF("Ch_"&amp; home_land=TblConstr[[#Headers],[Ch_Mountain]],TblConstr[[#This Row],[Home Land]])+IF(TblConstr[[#This Row],[Hour]:[Hour]]&gt;12,OFFSET(TblExplore[[#This Row],[Mountain Explore]],-12,0),0)</f>
        <v>0</v>
      </c>
      <c r="CT85" s="183">
        <f ca="1">-SUM(TblConstr[[#This Row],[Fac]:[Shr]])+SUM(TblConstr[[#This Row],[Dest Fac]:[Dest Shr]]) +Rezone!O85 + IF("Ch_" &amp; home_land=TblConstr[[#Headers],[Ch_Hill]],TblConstr[[#This Row],[Home Land]])+IF(TblConstr[[#This Row],[Hour]:[Hour]]&gt;12,OFFSET(TblExplore[[#This Row],[Hill Explore]],-12,0),0)</f>
        <v>0</v>
      </c>
      <c r="CU85" s="184">
        <f ca="1">-SUM(TblConstr[[#This Row],[Tow]:[WG]])+SUM(TblConstr[[#This Row],[Dest Tow]:[Dest WG]]) +Rezone!P85 + IF("Ch_" &amp; home_land=TblConstr[[#Headers],[Ch_Swamp]],TblConstr[[#This Row],[Home Land]])+IF(TblConstr[[#This Row],[Hour]:[Hour]]&gt;12,OFFSET(TblExplore[[#This Row],[Swamp Explore]],-12,0),0)</f>
        <v>0</v>
      </c>
      <c r="CV85" s="185">
        <f ca="1" xml:space="preserve"> - SUM(TblConstr[[#This Row],[DM]:[Sch]])+SUM(TblConstr[[#This Row],[Dest DM]:[Dest Sch]]) +Rezone!Q85 + IF("Ch_" &amp; home_land=TblConstr[[#Headers],[Ch_Cavern]],TblConstr[[#This Row],[Home Land]])+IF(TblConstr[[#This Row],[Hour]:[Hour]]&gt;12,OFFSET(TblExplore[[#This Row],[Cavern Explore]],-12,0),0)</f>
        <v>0</v>
      </c>
      <c r="CW85" s="186">
        <f ca="1">-TblConstr[[#This Row],[Doc]]+TblConstr[[#This Row],[Dest Doc]] +Rezone!R85 + IF("Ch_" &amp; home_land=TblConstr[[#Headers],[Ch_Water]],TblConstr[[#This Row],[Home Land]])+IF(TblConstr[[#This Row],[Hour]:[Hour]]&gt;12,OFFSET(TblExplore[[#This Row],[Water Explore]],-12,0),0)</f>
        <v>0</v>
      </c>
      <c r="CX85" s="45">
        <f>IF(Explore!S85=1,20) - TblConstr[[#This Row],[Hom]] + TblConstr[[#This Row],[Dest Hom]]</f>
        <v>0</v>
      </c>
      <c r="CY85" s="142"/>
      <c r="CZ85" s="94">
        <f t="shared" ca="1" si="23"/>
        <v>30</v>
      </c>
      <c r="DA85" s="94">
        <f t="shared" ca="1" si="24"/>
        <v>20</v>
      </c>
      <c r="DB85" s="45">
        <f t="shared" ca="1" si="25"/>
        <v>0</v>
      </c>
      <c r="DC85" s="94">
        <f t="shared" ca="1" si="26"/>
        <v>0</v>
      </c>
      <c r="DD85" s="94">
        <f t="shared" ca="1" si="27"/>
        <v>0</v>
      </c>
      <c r="DE85" s="45">
        <f t="shared" ca="1" si="28"/>
        <v>0</v>
      </c>
      <c r="DF85" s="94">
        <f t="shared" ca="1" si="29"/>
        <v>0</v>
      </c>
      <c r="DG85" s="94" cm="1">
        <f t="array" aca="1" ref="DG85" ca="1">INDEX(TblConstr[[Total Plain]:[Total Water]],ROW()-ROW(TblConstr[#Headers]),MATCH("Total "&amp;home_land,TblConstr[[#Headers],[Total Plain]:[Total Water]],0))+TblConstr[[#This Row],[Homes]]</f>
        <v>30</v>
      </c>
      <c r="DH85" s="45">
        <f t="shared" ca="1" si="22"/>
        <v>0</v>
      </c>
      <c r="DI85" s="45">
        <f t="shared" ca="1" si="19"/>
        <v>0</v>
      </c>
      <c r="DJ85" s="45">
        <f t="shared" ca="1" si="20"/>
        <v>0</v>
      </c>
    </row>
    <row r="86" spans="1:114" x14ac:dyDescent="0.2">
      <c r="A86" s="175">
        <f>TblRezone[[#This Row],[Hour]]</f>
        <v>83</v>
      </c>
      <c r="B86" s="176">
        <f ca="1">SUM(TblConstr[[#This Row],[Plain]:[Water]])</f>
        <v>0</v>
      </c>
      <c r="C86" s="177">
        <f ca="1">SUM(TblConstr[[#This Row],[Tot Hom]:[Tot Doc]])</f>
        <v>50</v>
      </c>
      <c r="D86" s="177">
        <f t="shared" si="21"/>
        <v>0</v>
      </c>
      <c r="E86" s="178"/>
      <c r="F86" s="61">
        <f ca="1">TblConstr[[#This Row],[Barren]]+TblConstr[[#This Row],[Buildings]]+TblConstr[[#This Row],[Incoming]]</f>
        <v>50</v>
      </c>
      <c r="G86" s="187">
        <f ca="1">OFFSET(TblConstr[[#This Row],[Plain]],-1,0)+TblConstr[[#This Row],[Ch_Plain]]</f>
        <v>0</v>
      </c>
      <c r="H86" s="182">
        <f ca="1">OFFSET(TblConstr[[#This Row],[Forest]],-1,0)+TblConstr[[#This Row],[Ch_Forest]]</f>
        <v>0</v>
      </c>
      <c r="I86" s="359">
        <f ca="1">OFFSET(TblConstr[[#This Row],[Mountain]],-1,0)+TblConstr[[#This Row],[Ch_Mountain]]</f>
        <v>0</v>
      </c>
      <c r="J86" s="363">
        <f ca="1">OFFSET(TblConstr[[#This Row],[Hill]],-1,0)+TblConstr[[#This Row],[Ch_Hill]]</f>
        <v>0</v>
      </c>
      <c r="K86" s="367">
        <f ca="1">OFFSET(TblConstr[[#This Row],[Swamp]],-1,0)+TblConstr[[#This Row],[Ch_Swamp]]</f>
        <v>0</v>
      </c>
      <c r="L86" s="185">
        <f ca="1">OFFSET(TblConstr[[#This Row],[Cavern]],-1,0)+TblConstr[[#This Row],[Ch_Cavern]]</f>
        <v>0</v>
      </c>
      <c r="M86" s="186">
        <f ca="1">OFFSET(TblConstr[[#This Row],[Water]],-1,0)+TblConstr[[#This Row],[Ch_Water]]</f>
        <v>0</v>
      </c>
      <c r="N86" s="357">
        <f>TblRezone[[#This Row],[Hour]]</f>
        <v>83</v>
      </c>
      <c r="O86" s="179"/>
      <c r="P86" s="179"/>
      <c r="Q86" s="179"/>
      <c r="R86" s="158"/>
      <c r="S86" s="179"/>
      <c r="T86" s="179"/>
      <c r="U86" s="179"/>
      <c r="V86" s="179"/>
      <c r="W86" s="179"/>
      <c r="X86" s="179"/>
      <c r="Y86" s="179"/>
      <c r="Z86" s="179"/>
      <c r="AA86" s="179"/>
      <c r="AB86" s="179"/>
      <c r="AC86" s="179"/>
      <c r="AD86" s="179"/>
      <c r="AE86" s="179"/>
      <c r="AF86" s="179"/>
      <c r="AG86" s="179"/>
      <c r="AH86" s="53">
        <f ca="1">TblImps[[#This Row],[Time]]</f>
        <v>46323.416666666468</v>
      </c>
      <c r="AI86" s="180">
        <f ca="1">MIN(25%,(TblConstr[[#This Row],[Tot Fac]]+TblConstr[[#This Row],[Dest Fac]])/(TblConstr[[#This Row],[Land]]-TblExplore[[#This Row],[Land Bonus]]*20))</f>
        <v>0</v>
      </c>
      <c r="AJ86" s="180">
        <f ca="1">MIN(25%,(TblConstr[[#This Row],[Tot Fac]]+TblConstr[[#This Row],[Dest Fac]])/TblConstr[[#This Row],[Land]])</f>
        <v>0</v>
      </c>
      <c r="AK86" s="94">
        <f ca="1">TblProd[[#This Row],[Platinum]]</f>
        <v>191255</v>
      </c>
      <c r="AL86" s="94">
        <f ca="1">TblProd[[#This Row],[Lumber]]</f>
        <v>62715</v>
      </c>
      <c r="AM8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6" s="94">
        <f ca="1">ROUNDDOWN( MAX(1 - MIN(facs_constr_factor*TblConstr[[#This Row],[Facs -DB]],facs_constr_max) + tech_1_11*TblTech[[#This Row],[11-1]] + tech_6_3_2*TblTech[[#This Row],[6-3]] + tech_5_2_3*TblTech[[#This Row],[5-2]], 1-global_constr_cap) * TblConstr[[#This Row],[RCPA Lumber]],0)</f>
        <v>31</v>
      </c>
      <c r="AO8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6" s="94">
        <f ca="1">ROUNDDOWN( MAX(1 - MIN(facs_constr_factor*TblConstr[[#This Row],[Facs DB]],facs_constr_max) + tech_1_11*TblTech[[#This Row],[1-11]] + tech_6_3_2*TblTech[[#This Row],[6-3]] + tech_5_2_3*TblTech[[#This Row],[5-2]], 1-global_constr_cap) * ROUND((TblConstr[[#This Row],[Land]]-250)*0.285 + 87.5 + 0/4.25,0),0)</f>
        <v>31</v>
      </c>
      <c r="AQ86" s="45">
        <f ca="1">TblConstr[[#This Row],[build -db]]*TblConstr[[#This Row],[CPA Platinum -DB]] + TblConstr[[#This Row],[build db]]*TblConstr[[#This Row],[CPA Platinum DB]]</f>
        <v>0</v>
      </c>
      <c r="AR86" s="45">
        <f ca="1">TblConstr[[#This Row],[build -db]]*TblConstr[[#This Row],[CPA Lumber -DB]] + TblConstr[[#This Row],[build db]]*TblConstr[[#This Row],[CPA Lumber DB]]</f>
        <v>0</v>
      </c>
      <c r="AS86" s="94">
        <f ca="1">MIN(SUM(OFFSET(TblConstr[[#This Row],[Plain]:[Water]],-1,0))+SUM(TblConstr[[#This Row],[Dest Hom]:[Dest Doc]])+IF(TblConstr[[#This Row],[Hour]]&gt;12,SUM(OFFSET(TblExplore[[#This Row],[Plains Explore]:[Water Explore]],-12,0)),0),SUM(TblConstr[[#This Row],[Hom]:[Doc]]))</f>
        <v>0</v>
      </c>
      <c r="AT8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42"/>
      <c r="AV86" s="94">
        <f ca="1">ROUND((TblConstr[[#This Row],[Land]]-250 - IF(TblExplore[[#This Row],[Land Bonus]]&lt;&gt;0,20,0))*1.25 + 850 + 0,0)</f>
        <v>600</v>
      </c>
      <c r="AW86" s="94">
        <f ca="1">ROUND((TblConstr[[#This Row],[Land]]-250 - IF(TblExplore[[#This Row],[Land Bonus]]&lt;&gt;0,20,0))*0.285 + 87.5 + 0/4.25,0)</f>
        <v>31</v>
      </c>
      <c r="AX86" s="154"/>
      <c r="AY86" s="188" cm="1">
        <f t="array" aca="1" ref="AY86" ca="1">IF(TblConstr[[#This Row],[Hour]:[Hour]]&gt;12,OFFSET(TblConstr[[#This Row],[Hom]],-12,0),0)+OFFSET(TblConstr[[#This Row],[Tot Hom]],-1,0)-TblConstr[[#This Row],[Dest Hom]]</f>
        <v>0</v>
      </c>
      <c r="AZ86" s="189" cm="1">
        <f t="array" aca="1" ref="AZ86" ca="1">IF(TblConstr[[#This Row],[Hour]:[Hour]]&gt;12,OFFSET(TblConstr[[#This Row],[Alc]],-12,0),0)+OFFSET(TblConstr[[#This Row],[Tot Alc]],-1,0)-TblConstr[[#This Row],[Dest Alc]]</f>
        <v>0</v>
      </c>
      <c r="BA86" s="189" cm="1">
        <f t="array" aca="1" ref="BA86" ca="1">IF(TblConstr[[#This Row],[Hour]:[Hour]]&gt;12,OFFSET(TblConstr[[#This Row],[Far]],-12,0),0)+OFFSET(TblConstr[[#This Row],[Tot Farm]],-1,0)-TblConstr[[#This Row],[Dest Farm]]</f>
        <v>30</v>
      </c>
      <c r="BB86" s="189" cm="1">
        <f t="array" aca="1" ref="BB86" ca="1">IF(TblConstr[[#This Row],[Hour]:[Hour]]&gt;12,OFFSET(TblConstr[[#This Row],[Smi]],-12,0),0)+OFFSET(TblConstr[[#This Row],[Tot Smi]],-1,0)-TblConstr[[#This Row],[Dest Smi]]</f>
        <v>0</v>
      </c>
      <c r="BC86" s="189" cm="1">
        <f t="array" aca="1" ref="BC86" ca="1">IF(TblConstr[[#This Row],[Hour]:[Hour]]&gt;12,OFFSET(TblConstr[[#This Row],[Mas]],-12,0),0)+OFFSET(TblConstr[[#This Row],[Tot Mas]],-1,0)-TblConstr[[#This Row],[Dest Mas]]</f>
        <v>0</v>
      </c>
      <c r="BD86" s="190" cm="1">
        <f t="array" aca="1" ref="BD86" ca="1">IF(TblConstr[[#This Row],[Hour]:[Hour]]&gt;12,OFFSET(TblConstr[[#This Row],[Ly]],-12,0),0)+OFFSET(TblConstr[[#This Row],[Tot Ly]],-1,0)-TblConstr[[#This Row],[Dest Ly]]</f>
        <v>20</v>
      </c>
      <c r="BE86" s="190" cm="1">
        <f t="array" aca="1" ref="BE86" ca="1">IF(TblConstr[[#This Row],[Hour]:[Hour]]&gt;12,OFFSET(TblConstr[[#This Row],[Hav]],-12,0),0)+OFFSET(TblConstr[[#This Row],[Tot Hav]],-1,0)-TblConstr[[#This Row],[Dest Hav]]</f>
        <v>0</v>
      </c>
      <c r="BF86" s="361" cm="1">
        <f t="array" aca="1" ref="BF86" ca="1">IF(TblConstr[[#This Row],[Hour]:[Hour]]&gt;12,OFFSET(TblConstr[[#This Row],[OM]],-12,0),0)+OFFSET(TblConstr[[#This Row],[Tot OM]],-1,0)-TblConstr[[#This Row],[Dest OM]]</f>
        <v>0</v>
      </c>
      <c r="BG86" s="361" cm="1">
        <f t="array" aca="1" ref="BG86" ca="1">IF(TblConstr[[#This Row],[Hour]:[Hour]]&gt;12,OFFSET(TblConstr[[#This Row],[GN]],-12,0),0)+OFFSET(TblConstr[[#This Row],[Tot GN]],-1,0)-TblConstr[[#This Row],[Dest GN]]</f>
        <v>0</v>
      </c>
      <c r="BH86" s="365" cm="1">
        <f t="array" aca="1" ref="BH86" ca="1">IF(TblConstr[[#This Row],[Hour]:[Hour]]&gt;12,OFFSET(TblConstr[[#This Row],[Fac]],-12,0),0)+OFFSET(TblConstr[[#This Row],[Tot Fac]],-1,0)-TblConstr[[#This Row],[Dest Fac]]</f>
        <v>0</v>
      </c>
      <c r="BI86" s="365" cm="1">
        <f t="array" aca="1" ref="BI86" ca="1">IF(TblConstr[[#This Row],[Hour]:[Hour]]&gt;12,OFFSET(TblConstr[[#This Row],[GT]],-12,0),0)+OFFSET(TblConstr[[#This Row],[Tot GT]],-1,0)-TblConstr[[#This Row],[Dest GT]]</f>
        <v>0</v>
      </c>
      <c r="BJ86" s="365" cm="1">
        <f t="array" aca="1" ref="BJ86" ca="1">IF(TblConstr[[#This Row],[Hour]:[Hour]]&gt;12,OFFSET(TblConstr[[#This Row],[Bar]],-12,0),0)+OFFSET(TblConstr[[#This Row],[Tot Bar]],-1,0)-TblConstr[[#This Row],[Dest Bar]]</f>
        <v>0</v>
      </c>
      <c r="BK86" s="365" cm="1">
        <f t="array" aca="1" ref="BK86" ca="1">IF(TblConstr[[#This Row],[Hour]:[Hour]]&gt;12,OFFSET(TblConstr[[#This Row],[Shr]],-12,0),0)+OFFSET(TblConstr[[#This Row],[Tot Shr]],-1,0)-TblConstr[[#This Row],[Dest Shr]]</f>
        <v>0</v>
      </c>
      <c r="BL86" s="369" cm="1">
        <f t="array" aca="1" ref="BL86" ca="1">IF(TblConstr[[#This Row],[Hour]:[Hour]]&gt;12,OFFSET(TblConstr[[#This Row],[Tow]],-12,0),0)+OFFSET(TblConstr[[#This Row],[Tot Tow]],-1,0)-TblConstr[[#This Row],[Dest Tow]]</f>
        <v>0</v>
      </c>
      <c r="BM86" s="369" cm="1">
        <f t="array" aca="1" ref="BM86" ca="1">IF(TblConstr[[#This Row],[Hour]:[Hour]]&gt;12,OFFSET(TblConstr[[#This Row],[Tem]],-12,0),0)+OFFSET(TblConstr[[#This Row],[Tot Tem]],-1,0)-TblConstr[[#This Row],[Dest Tem]]</f>
        <v>0</v>
      </c>
      <c r="BN86" s="369" cm="1">
        <f t="array" aca="1" ref="BN86" ca="1">IF(TblConstr[[#This Row],[Hour]:[Hour]]&gt;12,OFFSET(TblConstr[[#This Row],[WG]],-12,0),0)+OFFSET(TblConstr[[#This Row],[Tot WG]],-1,0)-TblConstr[[#This Row],[Dest WG]]</f>
        <v>0</v>
      </c>
      <c r="BO86" s="191" cm="1">
        <f t="array" aca="1" ref="BO86" ca="1">IF(TblConstr[[#This Row],[Hour]:[Hour]]&gt;12,OFFSET(TblConstr[[#This Row],[DM]],-12,0),0)+OFFSET(TblConstr[[#This Row],[Tot DM]],-1,0)-TblConstr[[#This Row],[Dest DM]]</f>
        <v>0</v>
      </c>
      <c r="BP86" s="191" cm="1">
        <f t="array" aca="1" ref="BP86" ca="1">IF(TblConstr[[#This Row],[Hour]:[Hour]]&gt;12,OFFSET(TblConstr[[#This Row],[Sch]],-12,0),0)+OFFSET(TblConstr[[#This Row],[Tot Sch]],-1,0)-TblConstr[[#This Row],[Dest Sch]]</f>
        <v>0</v>
      </c>
      <c r="BQ86" s="192" cm="1">
        <f t="array" aca="1" ref="BQ86" ca="1">IF(TblConstr[[#This Row],[Hour]:[Hour]]&gt;12,OFFSET(TblConstr[[#This Row],[Doc]],-12,0),0)+OFFSET(TblConstr[[#This Row],[Tot Doc]],-1,0)-TblConstr[[#This Row],[Dest Doc]]</f>
        <v>0</v>
      </c>
      <c r="BR86" s="142"/>
      <c r="BS86" s="154"/>
      <c r="BT86" s="94">
        <f ca="1">TblConstr[[#This Row],[Land]]</f>
        <v>50</v>
      </c>
      <c r="BU86" s="159">
        <f ca="1">TblImps[[#This Row],[Time]]</f>
        <v>46323.416666666468</v>
      </c>
      <c r="BV86" s="142"/>
      <c r="BW86" s="179"/>
      <c r="BX86" s="179"/>
      <c r="BY86" s="179"/>
      <c r="BZ86" s="179"/>
      <c r="CA86" s="179"/>
      <c r="CB86" s="179"/>
      <c r="CC86" s="179"/>
      <c r="CD86" s="179"/>
      <c r="CE86" s="179"/>
      <c r="CF86" s="179"/>
      <c r="CG86" s="179"/>
      <c r="CH86" s="179"/>
      <c r="CI86" s="179"/>
      <c r="CJ86" s="179"/>
      <c r="CK86" s="179"/>
      <c r="CL86" s="179"/>
      <c r="CM86" s="179"/>
      <c r="CN86" s="179"/>
      <c r="CO86" s="179"/>
      <c r="CP86" s="142"/>
      <c r="CQ86" s="181">
        <f ca="1">-SUM(TblConstr[[#This Row],[Alc]:[Mas]])+SUM(TblConstr[[#This Row],[Dest Alc]:[Dest Mas]])+Rezone!L86+IF("Ch_"&amp; home_land=TblConstr[[#Headers],[Ch_Plain]],TblConstr[[#This Row],[Home Land]])+IF(TblConstr[[#This Row],[Hour]:[Hour]]&gt;12,OFFSET(TblExplore[[#This Row],[Plains Explore]],-12,0),0)</f>
        <v>0</v>
      </c>
      <c r="CR86" s="182">
        <f ca="1">-SUM(TblConstr[[#This Row],[Ly]:[Hav]])+SUM(TblConstr[[#This Row],[Dest Ly]:[Dest Hav]]) +Rezone!M86 + IF("Ch_"&amp; home_land=TblConstr[[#Headers],[Ch_Forest]],TblConstr[[#This Row],[Home Land]])+IF(TblConstr[[#This Row],[Hour]:[Hour]]&gt;12,OFFSET(TblExplore[[#This Row],[Forest Explore]],-12,0),0)</f>
        <v>0</v>
      </c>
      <c r="CS86" s="359">
        <f ca="1">-SUM(TblConstr[[#This Row],[OM]:[GN]])+SUM(TblConstr[[#This Row],[Dest OM]:[Dest GN]]) +Rezone!N86 + IF("Ch_"&amp; home_land=TblConstr[[#Headers],[Ch_Mountain]],TblConstr[[#This Row],[Home Land]])+IF(TblConstr[[#This Row],[Hour]:[Hour]]&gt;12,OFFSET(TblExplore[[#This Row],[Mountain Explore]],-12,0),0)</f>
        <v>0</v>
      </c>
      <c r="CT86" s="183">
        <f ca="1">-SUM(TblConstr[[#This Row],[Fac]:[Shr]])+SUM(TblConstr[[#This Row],[Dest Fac]:[Dest Shr]]) +Rezone!O86 + IF("Ch_" &amp; home_land=TblConstr[[#Headers],[Ch_Hill]],TblConstr[[#This Row],[Home Land]])+IF(TblConstr[[#This Row],[Hour]:[Hour]]&gt;12,OFFSET(TblExplore[[#This Row],[Hill Explore]],-12,0),0)</f>
        <v>0</v>
      </c>
      <c r="CU86" s="184">
        <f ca="1">-SUM(TblConstr[[#This Row],[Tow]:[WG]])+SUM(TblConstr[[#This Row],[Dest Tow]:[Dest WG]]) +Rezone!P86 + IF("Ch_" &amp; home_land=TblConstr[[#Headers],[Ch_Swamp]],TblConstr[[#This Row],[Home Land]])+IF(TblConstr[[#This Row],[Hour]:[Hour]]&gt;12,OFFSET(TblExplore[[#This Row],[Swamp Explore]],-12,0),0)</f>
        <v>0</v>
      </c>
      <c r="CV86" s="185">
        <f ca="1" xml:space="preserve"> - SUM(TblConstr[[#This Row],[DM]:[Sch]])+SUM(TblConstr[[#This Row],[Dest DM]:[Dest Sch]]) +Rezone!Q86 + IF("Ch_" &amp; home_land=TblConstr[[#Headers],[Ch_Cavern]],TblConstr[[#This Row],[Home Land]])+IF(TblConstr[[#This Row],[Hour]:[Hour]]&gt;12,OFFSET(TblExplore[[#This Row],[Cavern Explore]],-12,0),0)</f>
        <v>0</v>
      </c>
      <c r="CW86" s="186">
        <f ca="1">-TblConstr[[#This Row],[Doc]]+TblConstr[[#This Row],[Dest Doc]] +Rezone!R86 + IF("Ch_" &amp; home_land=TblConstr[[#Headers],[Ch_Water]],TblConstr[[#This Row],[Home Land]])+IF(TblConstr[[#This Row],[Hour]:[Hour]]&gt;12,OFFSET(TblExplore[[#This Row],[Water Explore]],-12,0),0)</f>
        <v>0</v>
      </c>
      <c r="CX86" s="45">
        <f>IF(Explore!S86=1,20) - TblConstr[[#This Row],[Hom]] + TblConstr[[#This Row],[Dest Hom]]</f>
        <v>0</v>
      </c>
      <c r="CY86" s="142"/>
      <c r="CZ86" s="94">
        <f t="shared" ca="1" si="23"/>
        <v>30</v>
      </c>
      <c r="DA86" s="94">
        <f t="shared" ca="1" si="24"/>
        <v>20</v>
      </c>
      <c r="DB86" s="45">
        <f t="shared" ca="1" si="25"/>
        <v>0</v>
      </c>
      <c r="DC86" s="94">
        <f t="shared" ca="1" si="26"/>
        <v>0</v>
      </c>
      <c r="DD86" s="94">
        <f t="shared" ca="1" si="27"/>
        <v>0</v>
      </c>
      <c r="DE86" s="45">
        <f t="shared" ca="1" si="28"/>
        <v>0</v>
      </c>
      <c r="DF86" s="94">
        <f t="shared" ca="1" si="29"/>
        <v>0</v>
      </c>
      <c r="DG86" s="94" cm="1">
        <f t="array" aca="1" ref="DG86" ca="1">INDEX(TblConstr[[Total Plain]:[Total Water]],ROW()-ROW(TblConstr[#Headers]),MATCH("Total "&amp;home_land,TblConstr[[#Headers],[Total Plain]:[Total Water]],0))+TblConstr[[#This Row],[Homes]]</f>
        <v>30</v>
      </c>
      <c r="DH86" s="45">
        <f t="shared" ca="1" si="22"/>
        <v>0</v>
      </c>
      <c r="DI86" s="45">
        <f t="shared" ca="1" si="19"/>
        <v>0</v>
      </c>
      <c r="DJ86" s="45">
        <f t="shared" ca="1" si="20"/>
        <v>0</v>
      </c>
    </row>
    <row r="87" spans="1:114" x14ac:dyDescent="0.2">
      <c r="A87" s="175">
        <f>TblRezone[[#This Row],[Hour]]</f>
        <v>84</v>
      </c>
      <c r="B87" s="176">
        <f ca="1">SUM(TblConstr[[#This Row],[Plain]:[Water]])</f>
        <v>0</v>
      </c>
      <c r="C87" s="177">
        <f ca="1">SUM(TblConstr[[#This Row],[Tot Hom]:[Tot Doc]])</f>
        <v>50</v>
      </c>
      <c r="D87" s="177">
        <f t="shared" si="21"/>
        <v>0</v>
      </c>
      <c r="E87" s="178"/>
      <c r="F87" s="61">
        <f ca="1">TblConstr[[#This Row],[Barren]]+TblConstr[[#This Row],[Buildings]]+TblConstr[[#This Row],[Incoming]]</f>
        <v>50</v>
      </c>
      <c r="G87" s="187">
        <f ca="1">OFFSET(TblConstr[[#This Row],[Plain]],-1,0)+TblConstr[[#This Row],[Ch_Plain]]</f>
        <v>0</v>
      </c>
      <c r="H87" s="182">
        <f ca="1">OFFSET(TblConstr[[#This Row],[Forest]],-1,0)+TblConstr[[#This Row],[Ch_Forest]]</f>
        <v>0</v>
      </c>
      <c r="I87" s="359">
        <f ca="1">OFFSET(TblConstr[[#This Row],[Mountain]],-1,0)+TblConstr[[#This Row],[Ch_Mountain]]</f>
        <v>0</v>
      </c>
      <c r="J87" s="363">
        <f ca="1">OFFSET(TblConstr[[#This Row],[Hill]],-1,0)+TblConstr[[#This Row],[Ch_Hill]]</f>
        <v>0</v>
      </c>
      <c r="K87" s="367">
        <f ca="1">OFFSET(TblConstr[[#This Row],[Swamp]],-1,0)+TblConstr[[#This Row],[Ch_Swamp]]</f>
        <v>0</v>
      </c>
      <c r="L87" s="185">
        <f ca="1">OFFSET(TblConstr[[#This Row],[Cavern]],-1,0)+TblConstr[[#This Row],[Ch_Cavern]]</f>
        <v>0</v>
      </c>
      <c r="M87" s="186">
        <f ca="1">OFFSET(TblConstr[[#This Row],[Water]],-1,0)+TblConstr[[#This Row],[Ch_Water]]</f>
        <v>0</v>
      </c>
      <c r="N87" s="357">
        <f>TblRezone[[#This Row],[Hour]]</f>
        <v>84</v>
      </c>
      <c r="O87" s="179"/>
      <c r="P87" s="179"/>
      <c r="Q87" s="179"/>
      <c r="R87" s="179"/>
      <c r="S87" s="179"/>
      <c r="T87" s="179"/>
      <c r="U87" s="179"/>
      <c r="V87" s="179"/>
      <c r="W87" s="179"/>
      <c r="X87" s="179"/>
      <c r="Y87" s="179"/>
      <c r="Z87" s="179"/>
      <c r="AA87" s="179"/>
      <c r="AB87" s="179"/>
      <c r="AC87" s="179"/>
      <c r="AD87" s="179"/>
      <c r="AE87" s="179"/>
      <c r="AF87" s="179"/>
      <c r="AG87" s="179"/>
      <c r="AH87" s="53">
        <f ca="1">TblImps[[#This Row],[Time]]</f>
        <v>46323.458333333132</v>
      </c>
      <c r="AI87" s="180">
        <f ca="1">MIN(25%,(TblConstr[[#This Row],[Tot Fac]]+TblConstr[[#This Row],[Dest Fac]])/(TblConstr[[#This Row],[Land]]-TblExplore[[#This Row],[Land Bonus]]*20))</f>
        <v>0</v>
      </c>
      <c r="AJ87" s="180">
        <f ca="1">MIN(25%,(TblConstr[[#This Row],[Tot Fac]]+TblConstr[[#This Row],[Dest Fac]])/TblConstr[[#This Row],[Land]])</f>
        <v>0</v>
      </c>
      <c r="AK87" s="94">
        <f ca="1">TblProd[[#This Row],[Platinum]]</f>
        <v>191819</v>
      </c>
      <c r="AL87" s="94">
        <f ca="1">TblProd[[#This Row],[Lumber]]</f>
        <v>63088</v>
      </c>
      <c r="AM8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7" s="94">
        <f ca="1">ROUNDDOWN( MAX(1 - MIN(facs_constr_factor*TblConstr[[#This Row],[Facs -DB]],facs_constr_max) + tech_1_11*TblTech[[#This Row],[11-1]] + tech_6_3_2*TblTech[[#This Row],[6-3]] + tech_5_2_3*TblTech[[#This Row],[5-2]], 1-global_constr_cap) * TblConstr[[#This Row],[RCPA Lumber]],0)</f>
        <v>31</v>
      </c>
      <c r="AO8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7" s="94">
        <f ca="1">ROUNDDOWN( MAX(1 - MIN(facs_constr_factor*TblConstr[[#This Row],[Facs DB]],facs_constr_max) + tech_1_11*TblTech[[#This Row],[1-11]] + tech_6_3_2*TblTech[[#This Row],[6-3]] + tech_5_2_3*TblTech[[#This Row],[5-2]], 1-global_constr_cap) * ROUND((TblConstr[[#This Row],[Land]]-250)*0.285 + 87.5 + 0/4.25,0),0)</f>
        <v>31</v>
      </c>
      <c r="AQ87" s="45">
        <f ca="1">TblConstr[[#This Row],[build -db]]*TblConstr[[#This Row],[CPA Platinum -DB]] + TblConstr[[#This Row],[build db]]*TblConstr[[#This Row],[CPA Platinum DB]]</f>
        <v>0</v>
      </c>
      <c r="AR87" s="45">
        <f ca="1">TblConstr[[#This Row],[build -db]]*TblConstr[[#This Row],[CPA Lumber -DB]] + TblConstr[[#This Row],[build db]]*TblConstr[[#This Row],[CPA Lumber DB]]</f>
        <v>0</v>
      </c>
      <c r="AS87" s="94">
        <f ca="1">MIN(SUM(OFFSET(TblConstr[[#This Row],[Plain]:[Water]],-1,0))+SUM(TblConstr[[#This Row],[Dest Hom]:[Dest Doc]])+IF(TblConstr[[#This Row],[Hour]]&gt;12,SUM(OFFSET(TblExplore[[#This Row],[Plains Explore]:[Water Explore]],-12,0)),0),SUM(TblConstr[[#This Row],[Hom]:[Doc]]))</f>
        <v>0</v>
      </c>
      <c r="AT8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42"/>
      <c r="AV87" s="94">
        <f ca="1">ROUND((TblConstr[[#This Row],[Land]]-250 - IF(TblExplore[[#This Row],[Land Bonus]]&lt;&gt;0,20,0))*1.25 + 850 + 0,0)</f>
        <v>600</v>
      </c>
      <c r="AW87" s="94">
        <f ca="1">ROUND((TblConstr[[#This Row],[Land]]-250 - IF(TblExplore[[#This Row],[Land Bonus]]&lt;&gt;0,20,0))*0.285 + 87.5 + 0/4.25,0)</f>
        <v>31</v>
      </c>
      <c r="AX87" s="154"/>
      <c r="AY87" s="188" cm="1">
        <f t="array" aca="1" ref="AY87" ca="1">IF(TblConstr[[#This Row],[Hour]:[Hour]]&gt;12,OFFSET(TblConstr[[#This Row],[Hom]],-12,0),0)+OFFSET(TblConstr[[#This Row],[Tot Hom]],-1,0)-TblConstr[[#This Row],[Dest Hom]]</f>
        <v>0</v>
      </c>
      <c r="AZ87" s="189" cm="1">
        <f t="array" aca="1" ref="AZ87" ca="1">IF(TblConstr[[#This Row],[Hour]:[Hour]]&gt;12,OFFSET(TblConstr[[#This Row],[Alc]],-12,0),0)+OFFSET(TblConstr[[#This Row],[Tot Alc]],-1,0)-TblConstr[[#This Row],[Dest Alc]]</f>
        <v>0</v>
      </c>
      <c r="BA87" s="189" cm="1">
        <f t="array" aca="1" ref="BA87" ca="1">IF(TblConstr[[#This Row],[Hour]:[Hour]]&gt;12,OFFSET(TblConstr[[#This Row],[Far]],-12,0),0)+OFFSET(TblConstr[[#This Row],[Tot Farm]],-1,0)-TblConstr[[#This Row],[Dest Farm]]</f>
        <v>30</v>
      </c>
      <c r="BB87" s="189" cm="1">
        <f t="array" aca="1" ref="BB87" ca="1">IF(TblConstr[[#This Row],[Hour]:[Hour]]&gt;12,OFFSET(TblConstr[[#This Row],[Smi]],-12,0),0)+OFFSET(TblConstr[[#This Row],[Tot Smi]],-1,0)-TblConstr[[#This Row],[Dest Smi]]</f>
        <v>0</v>
      </c>
      <c r="BC87" s="189" cm="1">
        <f t="array" aca="1" ref="BC87" ca="1">IF(TblConstr[[#This Row],[Hour]:[Hour]]&gt;12,OFFSET(TblConstr[[#This Row],[Mas]],-12,0),0)+OFFSET(TblConstr[[#This Row],[Tot Mas]],-1,0)-TblConstr[[#This Row],[Dest Mas]]</f>
        <v>0</v>
      </c>
      <c r="BD87" s="190" cm="1">
        <f t="array" aca="1" ref="BD87" ca="1">IF(TblConstr[[#This Row],[Hour]:[Hour]]&gt;12,OFFSET(TblConstr[[#This Row],[Ly]],-12,0),0)+OFFSET(TblConstr[[#This Row],[Tot Ly]],-1,0)-TblConstr[[#This Row],[Dest Ly]]</f>
        <v>20</v>
      </c>
      <c r="BE87" s="190" cm="1">
        <f t="array" aca="1" ref="BE87" ca="1">IF(TblConstr[[#This Row],[Hour]:[Hour]]&gt;12,OFFSET(TblConstr[[#This Row],[Hav]],-12,0),0)+OFFSET(TblConstr[[#This Row],[Tot Hav]],-1,0)-TblConstr[[#This Row],[Dest Hav]]</f>
        <v>0</v>
      </c>
      <c r="BF87" s="361" cm="1">
        <f t="array" aca="1" ref="BF87" ca="1">IF(TblConstr[[#This Row],[Hour]:[Hour]]&gt;12,OFFSET(TblConstr[[#This Row],[OM]],-12,0),0)+OFFSET(TblConstr[[#This Row],[Tot OM]],-1,0)-TblConstr[[#This Row],[Dest OM]]</f>
        <v>0</v>
      </c>
      <c r="BG87" s="361" cm="1">
        <f t="array" aca="1" ref="BG87" ca="1">IF(TblConstr[[#This Row],[Hour]:[Hour]]&gt;12,OFFSET(TblConstr[[#This Row],[GN]],-12,0),0)+OFFSET(TblConstr[[#This Row],[Tot GN]],-1,0)-TblConstr[[#This Row],[Dest GN]]</f>
        <v>0</v>
      </c>
      <c r="BH87" s="365" cm="1">
        <f t="array" aca="1" ref="BH87" ca="1">IF(TblConstr[[#This Row],[Hour]:[Hour]]&gt;12,OFFSET(TblConstr[[#This Row],[Fac]],-12,0),0)+OFFSET(TblConstr[[#This Row],[Tot Fac]],-1,0)-TblConstr[[#This Row],[Dest Fac]]</f>
        <v>0</v>
      </c>
      <c r="BI87" s="365" cm="1">
        <f t="array" aca="1" ref="BI87" ca="1">IF(TblConstr[[#This Row],[Hour]:[Hour]]&gt;12,OFFSET(TblConstr[[#This Row],[GT]],-12,0),0)+OFFSET(TblConstr[[#This Row],[Tot GT]],-1,0)-TblConstr[[#This Row],[Dest GT]]</f>
        <v>0</v>
      </c>
      <c r="BJ87" s="365" cm="1">
        <f t="array" aca="1" ref="BJ87" ca="1">IF(TblConstr[[#This Row],[Hour]:[Hour]]&gt;12,OFFSET(TblConstr[[#This Row],[Bar]],-12,0),0)+OFFSET(TblConstr[[#This Row],[Tot Bar]],-1,0)-TblConstr[[#This Row],[Dest Bar]]</f>
        <v>0</v>
      </c>
      <c r="BK87" s="365" cm="1">
        <f t="array" aca="1" ref="BK87" ca="1">IF(TblConstr[[#This Row],[Hour]:[Hour]]&gt;12,OFFSET(TblConstr[[#This Row],[Shr]],-12,0),0)+OFFSET(TblConstr[[#This Row],[Tot Shr]],-1,0)-TblConstr[[#This Row],[Dest Shr]]</f>
        <v>0</v>
      </c>
      <c r="BL87" s="369" cm="1">
        <f t="array" aca="1" ref="BL87" ca="1">IF(TblConstr[[#This Row],[Hour]:[Hour]]&gt;12,OFFSET(TblConstr[[#This Row],[Tow]],-12,0),0)+OFFSET(TblConstr[[#This Row],[Tot Tow]],-1,0)-TblConstr[[#This Row],[Dest Tow]]</f>
        <v>0</v>
      </c>
      <c r="BM87" s="369" cm="1">
        <f t="array" aca="1" ref="BM87" ca="1">IF(TblConstr[[#This Row],[Hour]:[Hour]]&gt;12,OFFSET(TblConstr[[#This Row],[Tem]],-12,0),0)+OFFSET(TblConstr[[#This Row],[Tot Tem]],-1,0)-TblConstr[[#This Row],[Dest Tem]]</f>
        <v>0</v>
      </c>
      <c r="BN87" s="369" cm="1">
        <f t="array" aca="1" ref="BN87" ca="1">IF(TblConstr[[#This Row],[Hour]:[Hour]]&gt;12,OFFSET(TblConstr[[#This Row],[WG]],-12,0),0)+OFFSET(TblConstr[[#This Row],[Tot WG]],-1,0)-TblConstr[[#This Row],[Dest WG]]</f>
        <v>0</v>
      </c>
      <c r="BO87" s="191" cm="1">
        <f t="array" aca="1" ref="BO87" ca="1">IF(TblConstr[[#This Row],[Hour]:[Hour]]&gt;12,OFFSET(TblConstr[[#This Row],[DM]],-12,0),0)+OFFSET(TblConstr[[#This Row],[Tot DM]],-1,0)-TblConstr[[#This Row],[Dest DM]]</f>
        <v>0</v>
      </c>
      <c r="BP87" s="191" cm="1">
        <f t="array" aca="1" ref="BP87" ca="1">IF(TblConstr[[#This Row],[Hour]:[Hour]]&gt;12,OFFSET(TblConstr[[#This Row],[Sch]],-12,0),0)+OFFSET(TblConstr[[#This Row],[Tot Sch]],-1,0)-TblConstr[[#This Row],[Dest Sch]]</f>
        <v>0</v>
      </c>
      <c r="BQ87" s="192" cm="1">
        <f t="array" aca="1" ref="BQ87" ca="1">IF(TblConstr[[#This Row],[Hour]:[Hour]]&gt;12,OFFSET(TblConstr[[#This Row],[Doc]],-12,0),0)+OFFSET(TblConstr[[#This Row],[Tot Doc]],-1,0)-TblConstr[[#This Row],[Dest Doc]]</f>
        <v>0</v>
      </c>
      <c r="BR87" s="142"/>
      <c r="BS87" s="154"/>
      <c r="BT87" s="94">
        <f ca="1">TblConstr[[#This Row],[Land]]</f>
        <v>50</v>
      </c>
      <c r="BU87" s="159">
        <f ca="1">TblImps[[#This Row],[Time]]</f>
        <v>46323.458333333132</v>
      </c>
      <c r="BV87" s="142"/>
      <c r="BW87" s="179"/>
      <c r="BX87" s="179"/>
      <c r="BY87" s="179"/>
      <c r="BZ87" s="179"/>
      <c r="CA87" s="179"/>
      <c r="CB87" s="179"/>
      <c r="CC87" s="179"/>
      <c r="CD87" s="179"/>
      <c r="CE87" s="179"/>
      <c r="CF87" s="179"/>
      <c r="CG87" s="179"/>
      <c r="CH87" s="179"/>
      <c r="CI87" s="179"/>
      <c r="CJ87" s="179"/>
      <c r="CK87" s="179"/>
      <c r="CL87" s="179"/>
      <c r="CM87" s="179"/>
      <c r="CN87" s="179"/>
      <c r="CO87" s="179"/>
      <c r="CP87" s="142"/>
      <c r="CQ87" s="181">
        <f ca="1">-SUM(TblConstr[[#This Row],[Alc]:[Mas]])+SUM(TblConstr[[#This Row],[Dest Alc]:[Dest Mas]])+Rezone!L87+IF("Ch_"&amp; home_land=TblConstr[[#Headers],[Ch_Plain]],TblConstr[[#This Row],[Home Land]])+IF(TblConstr[[#This Row],[Hour]:[Hour]]&gt;12,OFFSET(TblExplore[[#This Row],[Plains Explore]],-12,0),0)</f>
        <v>0</v>
      </c>
      <c r="CR87" s="182">
        <f ca="1">-SUM(TblConstr[[#This Row],[Ly]:[Hav]])+SUM(TblConstr[[#This Row],[Dest Ly]:[Dest Hav]]) +Rezone!M87 + IF("Ch_"&amp; home_land=TblConstr[[#Headers],[Ch_Forest]],TblConstr[[#This Row],[Home Land]])+IF(TblConstr[[#This Row],[Hour]:[Hour]]&gt;12,OFFSET(TblExplore[[#This Row],[Forest Explore]],-12,0),0)</f>
        <v>0</v>
      </c>
      <c r="CS87" s="359">
        <f ca="1">-SUM(TblConstr[[#This Row],[OM]:[GN]])+SUM(TblConstr[[#This Row],[Dest OM]:[Dest GN]]) +Rezone!N87 + IF("Ch_"&amp; home_land=TblConstr[[#Headers],[Ch_Mountain]],TblConstr[[#This Row],[Home Land]])+IF(TblConstr[[#This Row],[Hour]:[Hour]]&gt;12,OFFSET(TblExplore[[#This Row],[Mountain Explore]],-12,0),0)</f>
        <v>0</v>
      </c>
      <c r="CT87" s="183">
        <f ca="1">-SUM(TblConstr[[#This Row],[Fac]:[Shr]])+SUM(TblConstr[[#This Row],[Dest Fac]:[Dest Shr]]) +Rezone!O87 + IF("Ch_" &amp; home_land=TblConstr[[#Headers],[Ch_Hill]],TblConstr[[#This Row],[Home Land]])+IF(TblConstr[[#This Row],[Hour]:[Hour]]&gt;12,OFFSET(TblExplore[[#This Row],[Hill Explore]],-12,0),0)</f>
        <v>0</v>
      </c>
      <c r="CU87" s="184">
        <f ca="1">-SUM(TblConstr[[#This Row],[Tow]:[WG]])+SUM(TblConstr[[#This Row],[Dest Tow]:[Dest WG]]) +Rezone!P87 + IF("Ch_" &amp; home_land=TblConstr[[#Headers],[Ch_Swamp]],TblConstr[[#This Row],[Home Land]])+IF(TblConstr[[#This Row],[Hour]:[Hour]]&gt;12,OFFSET(TblExplore[[#This Row],[Swamp Explore]],-12,0),0)</f>
        <v>0</v>
      </c>
      <c r="CV87" s="185">
        <f ca="1" xml:space="preserve"> - SUM(TblConstr[[#This Row],[DM]:[Sch]])+SUM(TblConstr[[#This Row],[Dest DM]:[Dest Sch]]) +Rezone!Q87 + IF("Ch_" &amp; home_land=TblConstr[[#Headers],[Ch_Cavern]],TblConstr[[#This Row],[Home Land]])+IF(TblConstr[[#This Row],[Hour]:[Hour]]&gt;12,OFFSET(TblExplore[[#This Row],[Cavern Explore]],-12,0),0)</f>
        <v>0</v>
      </c>
      <c r="CW87" s="186">
        <f ca="1">-TblConstr[[#This Row],[Doc]]+TblConstr[[#This Row],[Dest Doc]] +Rezone!R87 + IF("Ch_" &amp; home_land=TblConstr[[#Headers],[Ch_Water]],TblConstr[[#This Row],[Home Land]])+IF(TblConstr[[#This Row],[Hour]:[Hour]]&gt;12,OFFSET(TblExplore[[#This Row],[Water Explore]],-12,0),0)</f>
        <v>0</v>
      </c>
      <c r="CX87" s="45">
        <f>IF(Explore!S87=1,20) - TblConstr[[#This Row],[Hom]] + TblConstr[[#This Row],[Dest Hom]]</f>
        <v>0</v>
      </c>
      <c r="CY87" s="142"/>
      <c r="CZ87" s="94">
        <f t="shared" ca="1" si="23"/>
        <v>30</v>
      </c>
      <c r="DA87" s="94">
        <f t="shared" ca="1" si="24"/>
        <v>20</v>
      </c>
      <c r="DB87" s="45">
        <f t="shared" ca="1" si="25"/>
        <v>0</v>
      </c>
      <c r="DC87" s="94">
        <f t="shared" ca="1" si="26"/>
        <v>0</v>
      </c>
      <c r="DD87" s="94">
        <f t="shared" ca="1" si="27"/>
        <v>0</v>
      </c>
      <c r="DE87" s="45">
        <f t="shared" ca="1" si="28"/>
        <v>0</v>
      </c>
      <c r="DF87" s="94">
        <f t="shared" ca="1" si="29"/>
        <v>0</v>
      </c>
      <c r="DG87" s="94" cm="1">
        <f t="array" aca="1" ref="DG87" ca="1">INDEX(TblConstr[[Total Plain]:[Total Water]],ROW()-ROW(TblConstr[#Headers]),MATCH("Total "&amp;home_land,TblConstr[[#Headers],[Total Plain]:[Total Water]],0))+TblConstr[[#This Row],[Homes]]</f>
        <v>30</v>
      </c>
      <c r="DH87" s="45">
        <f t="shared" ca="1" si="22"/>
        <v>0</v>
      </c>
      <c r="DI87" s="45">
        <f t="shared" ca="1" si="19"/>
        <v>0</v>
      </c>
      <c r="DJ87" s="45">
        <f t="shared" ca="1" si="20"/>
        <v>0</v>
      </c>
    </row>
    <row r="88" spans="1:114" x14ac:dyDescent="0.2">
      <c r="A88" s="175">
        <f>TblRezone[[#This Row],[Hour]]</f>
        <v>85</v>
      </c>
      <c r="B88" s="176">
        <f ca="1">SUM(TblConstr[[#This Row],[Plain]:[Water]])</f>
        <v>0</v>
      </c>
      <c r="C88" s="177">
        <f ca="1">SUM(TblConstr[[#This Row],[Tot Hom]:[Tot Doc]])</f>
        <v>50</v>
      </c>
      <c r="D88" s="177">
        <f t="shared" si="21"/>
        <v>0</v>
      </c>
      <c r="E88" s="178"/>
      <c r="F88" s="61">
        <f ca="1">TblConstr[[#This Row],[Barren]]+TblConstr[[#This Row],[Buildings]]+TblConstr[[#This Row],[Incoming]]</f>
        <v>50</v>
      </c>
      <c r="G88" s="187">
        <f ca="1">OFFSET(TblConstr[[#This Row],[Plain]],-1,0)+TblConstr[[#This Row],[Ch_Plain]]</f>
        <v>0</v>
      </c>
      <c r="H88" s="182">
        <f ca="1">OFFSET(TblConstr[[#This Row],[Forest]],-1,0)+TblConstr[[#This Row],[Ch_Forest]]</f>
        <v>0</v>
      </c>
      <c r="I88" s="359">
        <f ca="1">OFFSET(TblConstr[[#This Row],[Mountain]],-1,0)+TblConstr[[#This Row],[Ch_Mountain]]</f>
        <v>0</v>
      </c>
      <c r="J88" s="363">
        <f ca="1">OFFSET(TblConstr[[#This Row],[Hill]],-1,0)+TblConstr[[#This Row],[Ch_Hill]]</f>
        <v>0</v>
      </c>
      <c r="K88" s="367">
        <f ca="1">OFFSET(TblConstr[[#This Row],[Swamp]],-1,0)+TblConstr[[#This Row],[Ch_Swamp]]</f>
        <v>0</v>
      </c>
      <c r="L88" s="185">
        <f ca="1">OFFSET(TblConstr[[#This Row],[Cavern]],-1,0)+TblConstr[[#This Row],[Ch_Cavern]]</f>
        <v>0</v>
      </c>
      <c r="M88" s="186">
        <f ca="1">OFFSET(TblConstr[[#This Row],[Water]],-1,0)+TblConstr[[#This Row],[Ch_Water]]</f>
        <v>0</v>
      </c>
      <c r="N88" s="357">
        <f>TblRezone[[#This Row],[Hour]]</f>
        <v>85</v>
      </c>
      <c r="O88" s="179"/>
      <c r="P88" s="158"/>
      <c r="Q88" s="179"/>
      <c r="R88" s="179"/>
      <c r="S88" s="179"/>
      <c r="T88" s="179"/>
      <c r="U88" s="179"/>
      <c r="V88" s="179"/>
      <c r="W88" s="179"/>
      <c r="X88" s="179"/>
      <c r="Y88" s="179"/>
      <c r="Z88" s="179"/>
      <c r="AA88" s="179"/>
      <c r="AB88" s="179"/>
      <c r="AC88" s="179"/>
      <c r="AD88" s="179"/>
      <c r="AE88" s="179"/>
      <c r="AF88" s="179"/>
      <c r="AG88" s="158"/>
      <c r="AH88" s="53">
        <f ca="1">TblImps[[#This Row],[Time]]</f>
        <v>46323.499999999796</v>
      </c>
      <c r="AI88" s="180">
        <f ca="1">MIN(25%,(TblConstr[[#This Row],[Tot Fac]]+TblConstr[[#This Row],[Dest Fac]])/(TblConstr[[#This Row],[Land]]-TblExplore[[#This Row],[Land Bonus]]*20))</f>
        <v>0</v>
      </c>
      <c r="AJ88" s="180">
        <f ca="1">MIN(25%,(TblConstr[[#This Row],[Tot Fac]]+TblConstr[[#This Row],[Dest Fac]])/TblConstr[[#This Row],[Land]])</f>
        <v>0</v>
      </c>
      <c r="AK88" s="94">
        <f ca="1">TblProd[[#This Row],[Platinum]]</f>
        <v>192377</v>
      </c>
      <c r="AL88" s="94">
        <f ca="1">TblProd[[#This Row],[Lumber]]</f>
        <v>63457</v>
      </c>
      <c r="AM8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8" s="94">
        <f ca="1">ROUNDDOWN( MAX(1 - MIN(facs_constr_factor*TblConstr[[#This Row],[Facs -DB]],facs_constr_max) + tech_1_11*TblTech[[#This Row],[11-1]] + tech_6_3_2*TblTech[[#This Row],[6-3]] + tech_5_2_3*TblTech[[#This Row],[5-2]], 1-global_constr_cap) * TblConstr[[#This Row],[RCPA Lumber]],0)</f>
        <v>31</v>
      </c>
      <c r="AO8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8" s="94">
        <f ca="1">ROUNDDOWN( MAX(1 - MIN(facs_constr_factor*TblConstr[[#This Row],[Facs DB]],facs_constr_max) + tech_1_11*TblTech[[#This Row],[1-11]] + tech_6_3_2*TblTech[[#This Row],[6-3]] + tech_5_2_3*TblTech[[#This Row],[5-2]], 1-global_constr_cap) * ROUND((TblConstr[[#This Row],[Land]]-250)*0.285 + 87.5 + 0/4.25,0),0)</f>
        <v>31</v>
      </c>
      <c r="AQ88" s="45">
        <f ca="1">TblConstr[[#This Row],[build -db]]*TblConstr[[#This Row],[CPA Platinum -DB]] + TblConstr[[#This Row],[build db]]*TblConstr[[#This Row],[CPA Platinum DB]]</f>
        <v>0</v>
      </c>
      <c r="AR88" s="45">
        <f ca="1">TblConstr[[#This Row],[build -db]]*TblConstr[[#This Row],[CPA Lumber -DB]] + TblConstr[[#This Row],[build db]]*TblConstr[[#This Row],[CPA Lumber DB]]</f>
        <v>0</v>
      </c>
      <c r="AS88" s="94">
        <f ca="1">MIN(SUM(OFFSET(TblConstr[[#This Row],[Plain]:[Water]],-1,0))+SUM(TblConstr[[#This Row],[Dest Hom]:[Dest Doc]])+IF(TblConstr[[#This Row],[Hour]]&gt;12,SUM(OFFSET(TblExplore[[#This Row],[Plains Explore]:[Water Explore]],-12,0)),0),SUM(TblConstr[[#This Row],[Hom]:[Doc]]))</f>
        <v>0</v>
      </c>
      <c r="AT8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42"/>
      <c r="AV88" s="94">
        <f ca="1">ROUND((TblConstr[[#This Row],[Land]]-250 - IF(TblExplore[[#This Row],[Land Bonus]]&lt;&gt;0,20,0))*1.25 + 850 + 0,0)</f>
        <v>600</v>
      </c>
      <c r="AW88" s="94">
        <f ca="1">ROUND((TblConstr[[#This Row],[Land]]-250 - IF(TblExplore[[#This Row],[Land Bonus]]&lt;&gt;0,20,0))*0.285 + 87.5 + 0/4.25,0)</f>
        <v>31</v>
      </c>
      <c r="AX88" s="154"/>
      <c r="AY88" s="188" cm="1">
        <f t="array" aca="1" ref="AY88" ca="1">IF(TblConstr[[#This Row],[Hour]:[Hour]]&gt;12,OFFSET(TblConstr[[#This Row],[Hom]],-12,0),0)+OFFSET(TblConstr[[#This Row],[Tot Hom]],-1,0)-TblConstr[[#This Row],[Dest Hom]]</f>
        <v>0</v>
      </c>
      <c r="AZ88" s="189" cm="1">
        <f t="array" aca="1" ref="AZ88" ca="1">IF(TblConstr[[#This Row],[Hour]:[Hour]]&gt;12,OFFSET(TblConstr[[#This Row],[Alc]],-12,0),0)+OFFSET(TblConstr[[#This Row],[Tot Alc]],-1,0)-TblConstr[[#This Row],[Dest Alc]]</f>
        <v>0</v>
      </c>
      <c r="BA88" s="189" cm="1">
        <f t="array" aca="1" ref="BA88" ca="1">IF(TblConstr[[#This Row],[Hour]:[Hour]]&gt;12,OFFSET(TblConstr[[#This Row],[Far]],-12,0),0)+OFFSET(TblConstr[[#This Row],[Tot Farm]],-1,0)-TblConstr[[#This Row],[Dest Farm]]</f>
        <v>30</v>
      </c>
      <c r="BB88" s="189" cm="1">
        <f t="array" aca="1" ref="BB88" ca="1">IF(TblConstr[[#This Row],[Hour]:[Hour]]&gt;12,OFFSET(TblConstr[[#This Row],[Smi]],-12,0),0)+OFFSET(TblConstr[[#This Row],[Tot Smi]],-1,0)-TblConstr[[#This Row],[Dest Smi]]</f>
        <v>0</v>
      </c>
      <c r="BC88" s="189" cm="1">
        <f t="array" aca="1" ref="BC88" ca="1">IF(TblConstr[[#This Row],[Hour]:[Hour]]&gt;12,OFFSET(TblConstr[[#This Row],[Mas]],-12,0),0)+OFFSET(TblConstr[[#This Row],[Tot Mas]],-1,0)-TblConstr[[#This Row],[Dest Mas]]</f>
        <v>0</v>
      </c>
      <c r="BD88" s="190" cm="1">
        <f t="array" aca="1" ref="BD88" ca="1">IF(TblConstr[[#This Row],[Hour]:[Hour]]&gt;12,OFFSET(TblConstr[[#This Row],[Ly]],-12,0),0)+OFFSET(TblConstr[[#This Row],[Tot Ly]],-1,0)-TblConstr[[#This Row],[Dest Ly]]</f>
        <v>20</v>
      </c>
      <c r="BE88" s="190" cm="1">
        <f t="array" aca="1" ref="BE88" ca="1">IF(TblConstr[[#This Row],[Hour]:[Hour]]&gt;12,OFFSET(TblConstr[[#This Row],[Hav]],-12,0),0)+OFFSET(TblConstr[[#This Row],[Tot Hav]],-1,0)-TblConstr[[#This Row],[Dest Hav]]</f>
        <v>0</v>
      </c>
      <c r="BF88" s="361" cm="1">
        <f t="array" aca="1" ref="BF88" ca="1">IF(TblConstr[[#This Row],[Hour]:[Hour]]&gt;12,OFFSET(TblConstr[[#This Row],[OM]],-12,0),0)+OFFSET(TblConstr[[#This Row],[Tot OM]],-1,0)-TblConstr[[#This Row],[Dest OM]]</f>
        <v>0</v>
      </c>
      <c r="BG88" s="361" cm="1">
        <f t="array" aca="1" ref="BG88" ca="1">IF(TblConstr[[#This Row],[Hour]:[Hour]]&gt;12,OFFSET(TblConstr[[#This Row],[GN]],-12,0),0)+OFFSET(TblConstr[[#This Row],[Tot GN]],-1,0)-TblConstr[[#This Row],[Dest GN]]</f>
        <v>0</v>
      </c>
      <c r="BH88" s="365" cm="1">
        <f t="array" aca="1" ref="BH88" ca="1">IF(TblConstr[[#This Row],[Hour]:[Hour]]&gt;12,OFFSET(TblConstr[[#This Row],[Fac]],-12,0),0)+OFFSET(TblConstr[[#This Row],[Tot Fac]],-1,0)-TblConstr[[#This Row],[Dest Fac]]</f>
        <v>0</v>
      </c>
      <c r="BI88" s="365" cm="1">
        <f t="array" aca="1" ref="BI88" ca="1">IF(TblConstr[[#This Row],[Hour]:[Hour]]&gt;12,OFFSET(TblConstr[[#This Row],[GT]],-12,0),0)+OFFSET(TblConstr[[#This Row],[Tot GT]],-1,0)-TblConstr[[#This Row],[Dest GT]]</f>
        <v>0</v>
      </c>
      <c r="BJ88" s="365" cm="1">
        <f t="array" aca="1" ref="BJ88" ca="1">IF(TblConstr[[#This Row],[Hour]:[Hour]]&gt;12,OFFSET(TblConstr[[#This Row],[Bar]],-12,0),0)+OFFSET(TblConstr[[#This Row],[Tot Bar]],-1,0)-TblConstr[[#This Row],[Dest Bar]]</f>
        <v>0</v>
      </c>
      <c r="BK88" s="365" cm="1">
        <f t="array" aca="1" ref="BK88" ca="1">IF(TblConstr[[#This Row],[Hour]:[Hour]]&gt;12,OFFSET(TblConstr[[#This Row],[Shr]],-12,0),0)+OFFSET(TblConstr[[#This Row],[Tot Shr]],-1,0)-TblConstr[[#This Row],[Dest Shr]]</f>
        <v>0</v>
      </c>
      <c r="BL88" s="369" cm="1">
        <f t="array" aca="1" ref="BL88" ca="1">IF(TblConstr[[#This Row],[Hour]:[Hour]]&gt;12,OFFSET(TblConstr[[#This Row],[Tow]],-12,0),0)+OFFSET(TblConstr[[#This Row],[Tot Tow]],-1,0)-TblConstr[[#This Row],[Dest Tow]]</f>
        <v>0</v>
      </c>
      <c r="BM88" s="369" cm="1">
        <f t="array" aca="1" ref="BM88" ca="1">IF(TblConstr[[#This Row],[Hour]:[Hour]]&gt;12,OFFSET(TblConstr[[#This Row],[Tem]],-12,0),0)+OFFSET(TblConstr[[#This Row],[Tot Tem]],-1,0)-TblConstr[[#This Row],[Dest Tem]]</f>
        <v>0</v>
      </c>
      <c r="BN88" s="369" cm="1">
        <f t="array" aca="1" ref="BN88" ca="1">IF(TblConstr[[#This Row],[Hour]:[Hour]]&gt;12,OFFSET(TblConstr[[#This Row],[WG]],-12,0),0)+OFFSET(TblConstr[[#This Row],[Tot WG]],-1,0)-TblConstr[[#This Row],[Dest WG]]</f>
        <v>0</v>
      </c>
      <c r="BO88" s="191" cm="1">
        <f t="array" aca="1" ref="BO88" ca="1">IF(TblConstr[[#This Row],[Hour]:[Hour]]&gt;12,OFFSET(TblConstr[[#This Row],[DM]],-12,0),0)+OFFSET(TblConstr[[#This Row],[Tot DM]],-1,0)-TblConstr[[#This Row],[Dest DM]]</f>
        <v>0</v>
      </c>
      <c r="BP88" s="191" cm="1">
        <f t="array" aca="1" ref="BP88" ca="1">IF(TblConstr[[#This Row],[Hour]:[Hour]]&gt;12,OFFSET(TblConstr[[#This Row],[Sch]],-12,0),0)+OFFSET(TblConstr[[#This Row],[Tot Sch]],-1,0)-TblConstr[[#This Row],[Dest Sch]]</f>
        <v>0</v>
      </c>
      <c r="BQ88" s="192" cm="1">
        <f t="array" aca="1" ref="BQ88" ca="1">IF(TblConstr[[#This Row],[Hour]:[Hour]]&gt;12,OFFSET(TblConstr[[#This Row],[Doc]],-12,0),0)+OFFSET(TblConstr[[#This Row],[Tot Doc]],-1,0)-TblConstr[[#This Row],[Dest Doc]]</f>
        <v>0</v>
      </c>
      <c r="BR88" s="142"/>
      <c r="BS88" s="154"/>
      <c r="BT88" s="94">
        <f ca="1">TblConstr[[#This Row],[Land]]</f>
        <v>50</v>
      </c>
      <c r="BU88" s="159">
        <f ca="1">TblImps[[#This Row],[Time]]</f>
        <v>46323.499999999796</v>
      </c>
      <c r="BV88" s="142"/>
      <c r="BW88" s="179"/>
      <c r="BX88" s="179"/>
      <c r="BY88" s="179"/>
      <c r="BZ88" s="179"/>
      <c r="CA88" s="179"/>
      <c r="CB88" s="179"/>
      <c r="CC88" s="179"/>
      <c r="CD88" s="179"/>
      <c r="CE88" s="179"/>
      <c r="CF88" s="179"/>
      <c r="CG88" s="179"/>
      <c r="CH88" s="179"/>
      <c r="CI88" s="179"/>
      <c r="CJ88" s="179"/>
      <c r="CK88" s="179"/>
      <c r="CL88" s="179"/>
      <c r="CM88" s="179"/>
      <c r="CN88" s="179"/>
      <c r="CO88" s="179"/>
      <c r="CP88" s="142"/>
      <c r="CQ88" s="181">
        <f ca="1">-SUM(TblConstr[[#This Row],[Alc]:[Mas]])+SUM(TblConstr[[#This Row],[Dest Alc]:[Dest Mas]])+Rezone!L88+IF("Ch_"&amp; home_land=TblConstr[[#Headers],[Ch_Plain]],TblConstr[[#This Row],[Home Land]])+IF(TblConstr[[#This Row],[Hour]:[Hour]]&gt;12,OFFSET(TblExplore[[#This Row],[Plains Explore]],-12,0),0)</f>
        <v>0</v>
      </c>
      <c r="CR88" s="182">
        <f ca="1">-SUM(TblConstr[[#This Row],[Ly]:[Hav]])+SUM(TblConstr[[#This Row],[Dest Ly]:[Dest Hav]]) +Rezone!M88 + IF("Ch_"&amp; home_land=TblConstr[[#Headers],[Ch_Forest]],TblConstr[[#This Row],[Home Land]])+IF(TblConstr[[#This Row],[Hour]:[Hour]]&gt;12,OFFSET(TblExplore[[#This Row],[Forest Explore]],-12,0),0)</f>
        <v>0</v>
      </c>
      <c r="CS88" s="359">
        <f ca="1">-SUM(TblConstr[[#This Row],[OM]:[GN]])+SUM(TblConstr[[#This Row],[Dest OM]:[Dest GN]]) +Rezone!N88 + IF("Ch_"&amp; home_land=TblConstr[[#Headers],[Ch_Mountain]],TblConstr[[#This Row],[Home Land]])+IF(TblConstr[[#This Row],[Hour]:[Hour]]&gt;12,OFFSET(TblExplore[[#This Row],[Mountain Explore]],-12,0),0)</f>
        <v>0</v>
      </c>
      <c r="CT88" s="183">
        <f ca="1">-SUM(TblConstr[[#This Row],[Fac]:[Shr]])+SUM(TblConstr[[#This Row],[Dest Fac]:[Dest Shr]]) +Rezone!O88 + IF("Ch_" &amp; home_land=TblConstr[[#Headers],[Ch_Hill]],TblConstr[[#This Row],[Home Land]])+IF(TblConstr[[#This Row],[Hour]:[Hour]]&gt;12,OFFSET(TblExplore[[#This Row],[Hill Explore]],-12,0),0)</f>
        <v>0</v>
      </c>
      <c r="CU88" s="184">
        <f ca="1">-SUM(TblConstr[[#This Row],[Tow]:[WG]])+SUM(TblConstr[[#This Row],[Dest Tow]:[Dest WG]]) +Rezone!P88 + IF("Ch_" &amp; home_land=TblConstr[[#Headers],[Ch_Swamp]],TblConstr[[#This Row],[Home Land]])+IF(TblConstr[[#This Row],[Hour]:[Hour]]&gt;12,OFFSET(TblExplore[[#This Row],[Swamp Explore]],-12,0),0)</f>
        <v>0</v>
      </c>
      <c r="CV88" s="185">
        <f ca="1" xml:space="preserve"> - SUM(TblConstr[[#This Row],[DM]:[Sch]])+SUM(TblConstr[[#This Row],[Dest DM]:[Dest Sch]]) +Rezone!Q88 + IF("Ch_" &amp; home_land=TblConstr[[#Headers],[Ch_Cavern]],TblConstr[[#This Row],[Home Land]])+IF(TblConstr[[#This Row],[Hour]:[Hour]]&gt;12,OFFSET(TblExplore[[#This Row],[Cavern Explore]],-12,0),0)</f>
        <v>0</v>
      </c>
      <c r="CW88" s="186">
        <f ca="1">-TblConstr[[#This Row],[Doc]]+TblConstr[[#This Row],[Dest Doc]] +Rezone!R88 + IF("Ch_" &amp; home_land=TblConstr[[#Headers],[Ch_Water]],TblConstr[[#This Row],[Home Land]])+IF(TblConstr[[#This Row],[Hour]:[Hour]]&gt;12,OFFSET(TblExplore[[#This Row],[Water Explore]],-12,0),0)</f>
        <v>0</v>
      </c>
      <c r="CX88" s="45">
        <f>IF(Explore!S88=1,20) - TblConstr[[#This Row],[Hom]] + TblConstr[[#This Row],[Dest Hom]]</f>
        <v>0</v>
      </c>
      <c r="CY88" s="142"/>
      <c r="CZ88" s="94">
        <f t="shared" ca="1" si="23"/>
        <v>30</v>
      </c>
      <c r="DA88" s="94">
        <f t="shared" ca="1" si="24"/>
        <v>20</v>
      </c>
      <c r="DB88" s="45">
        <f t="shared" ca="1" si="25"/>
        <v>0</v>
      </c>
      <c r="DC88" s="94">
        <f t="shared" ca="1" si="26"/>
        <v>0</v>
      </c>
      <c r="DD88" s="94">
        <f t="shared" ca="1" si="27"/>
        <v>0</v>
      </c>
      <c r="DE88" s="45">
        <f t="shared" ca="1" si="28"/>
        <v>0</v>
      </c>
      <c r="DF88" s="94">
        <f t="shared" ca="1" si="29"/>
        <v>0</v>
      </c>
      <c r="DG88" s="94" cm="1">
        <f t="array" aca="1" ref="DG88" ca="1">INDEX(TblConstr[[Total Plain]:[Total Water]],ROW()-ROW(TblConstr[#Headers]),MATCH("Total "&amp;home_land,TblConstr[[#Headers],[Total Plain]:[Total Water]],0))+TblConstr[[#This Row],[Homes]]</f>
        <v>30</v>
      </c>
      <c r="DH88" s="45">
        <f t="shared" ca="1" si="22"/>
        <v>0</v>
      </c>
      <c r="DI88" s="45">
        <f t="shared" ca="1" si="19"/>
        <v>0</v>
      </c>
      <c r="DJ88" s="45">
        <f t="shared" ca="1" si="20"/>
        <v>0</v>
      </c>
    </row>
    <row r="89" spans="1:114" x14ac:dyDescent="0.2">
      <c r="A89" s="175">
        <f>TblRezone[[#This Row],[Hour]]</f>
        <v>86</v>
      </c>
      <c r="B89" s="176">
        <f ca="1">SUM(TblConstr[[#This Row],[Plain]:[Water]])</f>
        <v>0</v>
      </c>
      <c r="C89" s="177">
        <f ca="1">SUM(TblConstr[[#This Row],[Tot Hom]:[Tot Doc]])</f>
        <v>50</v>
      </c>
      <c r="D89" s="177">
        <f t="shared" si="21"/>
        <v>0</v>
      </c>
      <c r="E89" s="178"/>
      <c r="F89" s="61">
        <f ca="1">TblConstr[[#This Row],[Barren]]+TblConstr[[#This Row],[Buildings]]+TblConstr[[#This Row],[Incoming]]</f>
        <v>50</v>
      </c>
      <c r="G89" s="187">
        <f ca="1">OFFSET(TblConstr[[#This Row],[Plain]],-1,0)+TblConstr[[#This Row],[Ch_Plain]]</f>
        <v>0</v>
      </c>
      <c r="H89" s="182">
        <f ca="1">OFFSET(TblConstr[[#This Row],[Forest]],-1,0)+TblConstr[[#This Row],[Ch_Forest]]</f>
        <v>0</v>
      </c>
      <c r="I89" s="359">
        <f ca="1">OFFSET(TblConstr[[#This Row],[Mountain]],-1,0)+TblConstr[[#This Row],[Ch_Mountain]]</f>
        <v>0</v>
      </c>
      <c r="J89" s="363">
        <f ca="1">OFFSET(TblConstr[[#This Row],[Hill]],-1,0)+TblConstr[[#This Row],[Ch_Hill]]</f>
        <v>0</v>
      </c>
      <c r="K89" s="367">
        <f ca="1">OFFSET(TblConstr[[#This Row],[Swamp]],-1,0)+TblConstr[[#This Row],[Ch_Swamp]]</f>
        <v>0</v>
      </c>
      <c r="L89" s="185">
        <f ca="1">OFFSET(TblConstr[[#This Row],[Cavern]],-1,0)+TblConstr[[#This Row],[Ch_Cavern]]</f>
        <v>0</v>
      </c>
      <c r="M89" s="186">
        <f ca="1">OFFSET(TblConstr[[#This Row],[Water]],-1,0)+TblConstr[[#This Row],[Ch_Water]]</f>
        <v>0</v>
      </c>
      <c r="N89" s="357">
        <f>TblRezone[[#This Row],[Hour]]</f>
        <v>86</v>
      </c>
      <c r="O89" s="179"/>
      <c r="P89" s="179"/>
      <c r="Q89" s="179"/>
      <c r="R89" s="179"/>
      <c r="S89" s="179"/>
      <c r="T89" s="179"/>
      <c r="U89" s="179"/>
      <c r="V89" s="179"/>
      <c r="W89" s="179"/>
      <c r="X89" s="158"/>
      <c r="Y89" s="179"/>
      <c r="Z89" s="179"/>
      <c r="AA89" s="179"/>
      <c r="AB89" s="179"/>
      <c r="AC89" s="179"/>
      <c r="AD89" s="179"/>
      <c r="AE89" s="179"/>
      <c r="AF89" s="179"/>
      <c r="AG89" s="179"/>
      <c r="AH89" s="53">
        <f ca="1">TblImps[[#This Row],[Time]]</f>
        <v>46323.541666666461</v>
      </c>
      <c r="AI89" s="180">
        <f ca="1">MIN(25%,(TblConstr[[#This Row],[Tot Fac]]+TblConstr[[#This Row],[Dest Fac]])/(TblConstr[[#This Row],[Land]]-TblExplore[[#This Row],[Land Bonus]]*20))</f>
        <v>0</v>
      </c>
      <c r="AJ89" s="180">
        <f ca="1">MIN(25%,(TblConstr[[#This Row],[Tot Fac]]+TblConstr[[#This Row],[Dest Fac]])/TblConstr[[#This Row],[Land]])</f>
        <v>0</v>
      </c>
      <c r="AK89" s="94">
        <f ca="1">TblProd[[#This Row],[Platinum]]</f>
        <v>192930</v>
      </c>
      <c r="AL89" s="94">
        <f ca="1">TblProd[[#This Row],[Lumber]]</f>
        <v>63822</v>
      </c>
      <c r="AM8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9" s="94">
        <f ca="1">ROUNDDOWN( MAX(1 - MIN(facs_constr_factor*TblConstr[[#This Row],[Facs -DB]],facs_constr_max) + tech_1_11*TblTech[[#This Row],[11-1]] + tech_6_3_2*TblTech[[#This Row],[6-3]] + tech_5_2_3*TblTech[[#This Row],[5-2]], 1-global_constr_cap) * TblConstr[[#This Row],[RCPA Lumber]],0)</f>
        <v>31</v>
      </c>
      <c r="AO8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9" s="94">
        <f ca="1">ROUNDDOWN( MAX(1 - MIN(facs_constr_factor*TblConstr[[#This Row],[Facs DB]],facs_constr_max) + tech_1_11*TblTech[[#This Row],[1-11]] + tech_6_3_2*TblTech[[#This Row],[6-3]] + tech_5_2_3*TblTech[[#This Row],[5-2]], 1-global_constr_cap) * ROUND((TblConstr[[#This Row],[Land]]-250)*0.285 + 87.5 + 0/4.25,0),0)</f>
        <v>31</v>
      </c>
      <c r="AQ89" s="45">
        <f ca="1">TblConstr[[#This Row],[build -db]]*TblConstr[[#This Row],[CPA Platinum -DB]] + TblConstr[[#This Row],[build db]]*TblConstr[[#This Row],[CPA Platinum DB]]</f>
        <v>0</v>
      </c>
      <c r="AR89" s="45">
        <f ca="1">TblConstr[[#This Row],[build -db]]*TblConstr[[#This Row],[CPA Lumber -DB]] + TblConstr[[#This Row],[build db]]*TblConstr[[#This Row],[CPA Lumber DB]]</f>
        <v>0</v>
      </c>
      <c r="AS89" s="94">
        <f ca="1">MIN(SUM(OFFSET(TblConstr[[#This Row],[Plain]:[Water]],-1,0))+SUM(TblConstr[[#This Row],[Dest Hom]:[Dest Doc]])+IF(TblConstr[[#This Row],[Hour]]&gt;12,SUM(OFFSET(TblExplore[[#This Row],[Plains Explore]:[Water Explore]],-12,0)),0),SUM(TblConstr[[#This Row],[Hom]:[Doc]]))</f>
        <v>0</v>
      </c>
      <c r="AT8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42"/>
      <c r="AV89" s="94">
        <f ca="1">ROUND((TblConstr[[#This Row],[Land]]-250 - IF(TblExplore[[#This Row],[Land Bonus]]&lt;&gt;0,20,0))*1.25 + 850 + 0,0)</f>
        <v>600</v>
      </c>
      <c r="AW89" s="94">
        <f ca="1">ROUND((TblConstr[[#This Row],[Land]]-250 - IF(TblExplore[[#This Row],[Land Bonus]]&lt;&gt;0,20,0))*0.285 + 87.5 + 0/4.25,0)</f>
        <v>31</v>
      </c>
      <c r="AX89" s="154"/>
      <c r="AY89" s="188" cm="1">
        <f t="array" aca="1" ref="AY89" ca="1">IF(TblConstr[[#This Row],[Hour]:[Hour]]&gt;12,OFFSET(TblConstr[[#This Row],[Hom]],-12,0),0)+OFFSET(TblConstr[[#This Row],[Tot Hom]],-1,0)-TblConstr[[#This Row],[Dest Hom]]</f>
        <v>0</v>
      </c>
      <c r="AZ89" s="189" cm="1">
        <f t="array" aca="1" ref="AZ89" ca="1">IF(TblConstr[[#This Row],[Hour]:[Hour]]&gt;12,OFFSET(TblConstr[[#This Row],[Alc]],-12,0),0)+OFFSET(TblConstr[[#This Row],[Tot Alc]],-1,0)-TblConstr[[#This Row],[Dest Alc]]</f>
        <v>0</v>
      </c>
      <c r="BA89" s="189" cm="1">
        <f t="array" aca="1" ref="BA89" ca="1">IF(TblConstr[[#This Row],[Hour]:[Hour]]&gt;12,OFFSET(TblConstr[[#This Row],[Far]],-12,0),0)+OFFSET(TblConstr[[#This Row],[Tot Farm]],-1,0)-TblConstr[[#This Row],[Dest Farm]]</f>
        <v>30</v>
      </c>
      <c r="BB89" s="189" cm="1">
        <f t="array" aca="1" ref="BB89" ca="1">IF(TblConstr[[#This Row],[Hour]:[Hour]]&gt;12,OFFSET(TblConstr[[#This Row],[Smi]],-12,0),0)+OFFSET(TblConstr[[#This Row],[Tot Smi]],-1,0)-TblConstr[[#This Row],[Dest Smi]]</f>
        <v>0</v>
      </c>
      <c r="BC89" s="189" cm="1">
        <f t="array" aca="1" ref="BC89" ca="1">IF(TblConstr[[#This Row],[Hour]:[Hour]]&gt;12,OFFSET(TblConstr[[#This Row],[Mas]],-12,0),0)+OFFSET(TblConstr[[#This Row],[Tot Mas]],-1,0)-TblConstr[[#This Row],[Dest Mas]]</f>
        <v>0</v>
      </c>
      <c r="BD89" s="190" cm="1">
        <f t="array" aca="1" ref="BD89" ca="1">IF(TblConstr[[#This Row],[Hour]:[Hour]]&gt;12,OFFSET(TblConstr[[#This Row],[Ly]],-12,0),0)+OFFSET(TblConstr[[#This Row],[Tot Ly]],-1,0)-TblConstr[[#This Row],[Dest Ly]]</f>
        <v>20</v>
      </c>
      <c r="BE89" s="190" cm="1">
        <f t="array" aca="1" ref="BE89" ca="1">IF(TblConstr[[#This Row],[Hour]:[Hour]]&gt;12,OFFSET(TblConstr[[#This Row],[Hav]],-12,0),0)+OFFSET(TblConstr[[#This Row],[Tot Hav]],-1,0)-TblConstr[[#This Row],[Dest Hav]]</f>
        <v>0</v>
      </c>
      <c r="BF89" s="361" cm="1">
        <f t="array" aca="1" ref="BF89" ca="1">IF(TblConstr[[#This Row],[Hour]:[Hour]]&gt;12,OFFSET(TblConstr[[#This Row],[OM]],-12,0),0)+OFFSET(TblConstr[[#This Row],[Tot OM]],-1,0)-TblConstr[[#This Row],[Dest OM]]</f>
        <v>0</v>
      </c>
      <c r="BG89" s="361" cm="1">
        <f t="array" aca="1" ref="BG89" ca="1">IF(TblConstr[[#This Row],[Hour]:[Hour]]&gt;12,OFFSET(TblConstr[[#This Row],[GN]],-12,0),0)+OFFSET(TblConstr[[#This Row],[Tot GN]],-1,0)-TblConstr[[#This Row],[Dest GN]]</f>
        <v>0</v>
      </c>
      <c r="BH89" s="365" cm="1">
        <f t="array" aca="1" ref="BH89" ca="1">IF(TblConstr[[#This Row],[Hour]:[Hour]]&gt;12,OFFSET(TblConstr[[#This Row],[Fac]],-12,0),0)+OFFSET(TblConstr[[#This Row],[Tot Fac]],-1,0)-TblConstr[[#This Row],[Dest Fac]]</f>
        <v>0</v>
      </c>
      <c r="BI89" s="365" cm="1">
        <f t="array" aca="1" ref="BI89" ca="1">IF(TblConstr[[#This Row],[Hour]:[Hour]]&gt;12,OFFSET(TblConstr[[#This Row],[GT]],-12,0),0)+OFFSET(TblConstr[[#This Row],[Tot GT]],-1,0)-TblConstr[[#This Row],[Dest GT]]</f>
        <v>0</v>
      </c>
      <c r="BJ89" s="365" cm="1">
        <f t="array" aca="1" ref="BJ89" ca="1">IF(TblConstr[[#This Row],[Hour]:[Hour]]&gt;12,OFFSET(TblConstr[[#This Row],[Bar]],-12,0),0)+OFFSET(TblConstr[[#This Row],[Tot Bar]],-1,0)-TblConstr[[#This Row],[Dest Bar]]</f>
        <v>0</v>
      </c>
      <c r="BK89" s="365" cm="1">
        <f t="array" aca="1" ref="BK89" ca="1">IF(TblConstr[[#This Row],[Hour]:[Hour]]&gt;12,OFFSET(TblConstr[[#This Row],[Shr]],-12,0),0)+OFFSET(TblConstr[[#This Row],[Tot Shr]],-1,0)-TblConstr[[#This Row],[Dest Shr]]</f>
        <v>0</v>
      </c>
      <c r="BL89" s="369" cm="1">
        <f t="array" aca="1" ref="BL89" ca="1">IF(TblConstr[[#This Row],[Hour]:[Hour]]&gt;12,OFFSET(TblConstr[[#This Row],[Tow]],-12,0),0)+OFFSET(TblConstr[[#This Row],[Tot Tow]],-1,0)-TblConstr[[#This Row],[Dest Tow]]</f>
        <v>0</v>
      </c>
      <c r="BM89" s="369" cm="1">
        <f t="array" aca="1" ref="BM89" ca="1">IF(TblConstr[[#This Row],[Hour]:[Hour]]&gt;12,OFFSET(TblConstr[[#This Row],[Tem]],-12,0),0)+OFFSET(TblConstr[[#This Row],[Tot Tem]],-1,0)-TblConstr[[#This Row],[Dest Tem]]</f>
        <v>0</v>
      </c>
      <c r="BN89" s="369" cm="1">
        <f t="array" aca="1" ref="BN89" ca="1">IF(TblConstr[[#This Row],[Hour]:[Hour]]&gt;12,OFFSET(TblConstr[[#This Row],[WG]],-12,0),0)+OFFSET(TblConstr[[#This Row],[Tot WG]],-1,0)-TblConstr[[#This Row],[Dest WG]]</f>
        <v>0</v>
      </c>
      <c r="BO89" s="191" cm="1">
        <f t="array" aca="1" ref="BO89" ca="1">IF(TblConstr[[#This Row],[Hour]:[Hour]]&gt;12,OFFSET(TblConstr[[#This Row],[DM]],-12,0),0)+OFFSET(TblConstr[[#This Row],[Tot DM]],-1,0)-TblConstr[[#This Row],[Dest DM]]</f>
        <v>0</v>
      </c>
      <c r="BP89" s="191" cm="1">
        <f t="array" aca="1" ref="BP89" ca="1">IF(TblConstr[[#This Row],[Hour]:[Hour]]&gt;12,OFFSET(TblConstr[[#This Row],[Sch]],-12,0),0)+OFFSET(TblConstr[[#This Row],[Tot Sch]],-1,0)-TblConstr[[#This Row],[Dest Sch]]</f>
        <v>0</v>
      </c>
      <c r="BQ89" s="192" cm="1">
        <f t="array" aca="1" ref="BQ89" ca="1">IF(TblConstr[[#This Row],[Hour]:[Hour]]&gt;12,OFFSET(TblConstr[[#This Row],[Doc]],-12,0),0)+OFFSET(TblConstr[[#This Row],[Tot Doc]],-1,0)-TblConstr[[#This Row],[Dest Doc]]</f>
        <v>0</v>
      </c>
      <c r="BR89" s="142"/>
      <c r="BS89" s="154"/>
      <c r="BT89" s="94">
        <f ca="1">TblConstr[[#This Row],[Land]]</f>
        <v>50</v>
      </c>
      <c r="BU89" s="159">
        <f ca="1">TblImps[[#This Row],[Time]]</f>
        <v>46323.541666666461</v>
      </c>
      <c r="BV89" s="142"/>
      <c r="BW89" s="179"/>
      <c r="BX89" s="179"/>
      <c r="BY89" s="179"/>
      <c r="BZ89" s="179"/>
      <c r="CA89" s="179"/>
      <c r="CB89" s="179"/>
      <c r="CC89" s="179"/>
      <c r="CD89" s="179"/>
      <c r="CE89" s="179"/>
      <c r="CF89" s="179"/>
      <c r="CG89" s="179"/>
      <c r="CH89" s="179"/>
      <c r="CI89" s="179"/>
      <c r="CJ89" s="179"/>
      <c r="CK89" s="179"/>
      <c r="CL89" s="179"/>
      <c r="CM89" s="179"/>
      <c r="CN89" s="179"/>
      <c r="CO89" s="179"/>
      <c r="CP89" s="142"/>
      <c r="CQ89" s="181">
        <f ca="1">-SUM(TblConstr[[#This Row],[Alc]:[Mas]])+SUM(TblConstr[[#This Row],[Dest Alc]:[Dest Mas]])+Rezone!L89+IF("Ch_"&amp; home_land=TblConstr[[#Headers],[Ch_Plain]],TblConstr[[#This Row],[Home Land]])+IF(TblConstr[[#This Row],[Hour]:[Hour]]&gt;12,OFFSET(TblExplore[[#This Row],[Plains Explore]],-12,0),0)</f>
        <v>0</v>
      </c>
      <c r="CR89" s="182">
        <f ca="1">-SUM(TblConstr[[#This Row],[Ly]:[Hav]])+SUM(TblConstr[[#This Row],[Dest Ly]:[Dest Hav]]) +Rezone!M89 + IF("Ch_"&amp; home_land=TblConstr[[#Headers],[Ch_Forest]],TblConstr[[#This Row],[Home Land]])+IF(TblConstr[[#This Row],[Hour]:[Hour]]&gt;12,OFFSET(TblExplore[[#This Row],[Forest Explore]],-12,0),0)</f>
        <v>0</v>
      </c>
      <c r="CS89" s="359">
        <f ca="1">-SUM(TblConstr[[#This Row],[OM]:[GN]])+SUM(TblConstr[[#This Row],[Dest OM]:[Dest GN]]) +Rezone!N89 + IF("Ch_"&amp; home_land=TblConstr[[#Headers],[Ch_Mountain]],TblConstr[[#This Row],[Home Land]])+IF(TblConstr[[#This Row],[Hour]:[Hour]]&gt;12,OFFSET(TblExplore[[#This Row],[Mountain Explore]],-12,0),0)</f>
        <v>0</v>
      </c>
      <c r="CT89" s="183">
        <f ca="1">-SUM(TblConstr[[#This Row],[Fac]:[Shr]])+SUM(TblConstr[[#This Row],[Dest Fac]:[Dest Shr]]) +Rezone!O89 + IF("Ch_" &amp; home_land=TblConstr[[#Headers],[Ch_Hill]],TblConstr[[#This Row],[Home Land]])+IF(TblConstr[[#This Row],[Hour]:[Hour]]&gt;12,OFFSET(TblExplore[[#This Row],[Hill Explore]],-12,0),0)</f>
        <v>0</v>
      </c>
      <c r="CU89" s="184">
        <f ca="1">-SUM(TblConstr[[#This Row],[Tow]:[WG]])+SUM(TblConstr[[#This Row],[Dest Tow]:[Dest WG]]) +Rezone!P89 + IF("Ch_" &amp; home_land=TblConstr[[#Headers],[Ch_Swamp]],TblConstr[[#This Row],[Home Land]])+IF(TblConstr[[#This Row],[Hour]:[Hour]]&gt;12,OFFSET(TblExplore[[#This Row],[Swamp Explore]],-12,0),0)</f>
        <v>0</v>
      </c>
      <c r="CV89" s="185">
        <f ca="1" xml:space="preserve"> - SUM(TblConstr[[#This Row],[DM]:[Sch]])+SUM(TblConstr[[#This Row],[Dest DM]:[Dest Sch]]) +Rezone!Q89 + IF("Ch_" &amp; home_land=TblConstr[[#Headers],[Ch_Cavern]],TblConstr[[#This Row],[Home Land]])+IF(TblConstr[[#This Row],[Hour]:[Hour]]&gt;12,OFFSET(TblExplore[[#This Row],[Cavern Explore]],-12,0),0)</f>
        <v>0</v>
      </c>
      <c r="CW89" s="186">
        <f ca="1">-TblConstr[[#This Row],[Doc]]+TblConstr[[#This Row],[Dest Doc]] +Rezone!R89 + IF("Ch_" &amp; home_land=TblConstr[[#Headers],[Ch_Water]],TblConstr[[#This Row],[Home Land]])+IF(TblConstr[[#This Row],[Hour]:[Hour]]&gt;12,OFFSET(TblExplore[[#This Row],[Water Explore]],-12,0),0)</f>
        <v>0</v>
      </c>
      <c r="CX89" s="45">
        <f>IF(Explore!S89=1,20) - TblConstr[[#This Row],[Hom]] + TblConstr[[#This Row],[Dest Hom]]</f>
        <v>0</v>
      </c>
      <c r="CY89" s="142"/>
      <c r="CZ89" s="94">
        <f t="shared" ca="1" si="23"/>
        <v>30</v>
      </c>
      <c r="DA89" s="94">
        <f t="shared" ca="1" si="24"/>
        <v>20</v>
      </c>
      <c r="DB89" s="45">
        <f t="shared" ca="1" si="25"/>
        <v>0</v>
      </c>
      <c r="DC89" s="94">
        <f t="shared" ca="1" si="26"/>
        <v>0</v>
      </c>
      <c r="DD89" s="94">
        <f t="shared" ca="1" si="27"/>
        <v>0</v>
      </c>
      <c r="DE89" s="45">
        <f t="shared" ca="1" si="28"/>
        <v>0</v>
      </c>
      <c r="DF89" s="94">
        <f t="shared" ca="1" si="29"/>
        <v>0</v>
      </c>
      <c r="DG89" s="94" cm="1">
        <f t="array" aca="1" ref="DG89" ca="1">INDEX(TblConstr[[Total Plain]:[Total Water]],ROW()-ROW(TblConstr[#Headers]),MATCH("Total "&amp;home_land,TblConstr[[#Headers],[Total Plain]:[Total Water]],0))+TblConstr[[#This Row],[Homes]]</f>
        <v>30</v>
      </c>
      <c r="DH89" s="45">
        <f t="shared" ca="1" si="22"/>
        <v>0</v>
      </c>
      <c r="DI89" s="45">
        <f t="shared" ca="1" si="19"/>
        <v>0</v>
      </c>
      <c r="DJ89" s="45">
        <f t="shared" ca="1" si="20"/>
        <v>0</v>
      </c>
    </row>
    <row r="90" spans="1:114" x14ac:dyDescent="0.2">
      <c r="A90" s="175">
        <f>TblRezone[[#This Row],[Hour]]</f>
        <v>87</v>
      </c>
      <c r="B90" s="176">
        <f ca="1">SUM(TblConstr[[#This Row],[Plain]:[Water]])</f>
        <v>0</v>
      </c>
      <c r="C90" s="177">
        <f ca="1">SUM(TblConstr[[#This Row],[Tot Hom]:[Tot Doc]])</f>
        <v>50</v>
      </c>
      <c r="D90" s="177">
        <f t="shared" si="21"/>
        <v>0</v>
      </c>
      <c r="E90" s="178"/>
      <c r="F90" s="61">
        <f ca="1">TblConstr[[#This Row],[Barren]]+TblConstr[[#This Row],[Buildings]]+TblConstr[[#This Row],[Incoming]]</f>
        <v>50</v>
      </c>
      <c r="G90" s="187">
        <f ca="1">OFFSET(TblConstr[[#This Row],[Plain]],-1,0)+TblConstr[[#This Row],[Ch_Plain]]</f>
        <v>0</v>
      </c>
      <c r="H90" s="182">
        <f ca="1">OFFSET(TblConstr[[#This Row],[Forest]],-1,0)+TblConstr[[#This Row],[Ch_Forest]]</f>
        <v>0</v>
      </c>
      <c r="I90" s="359">
        <f ca="1">OFFSET(TblConstr[[#This Row],[Mountain]],-1,0)+TblConstr[[#This Row],[Ch_Mountain]]</f>
        <v>0</v>
      </c>
      <c r="J90" s="363">
        <f ca="1">OFFSET(TblConstr[[#This Row],[Hill]],-1,0)+TblConstr[[#This Row],[Ch_Hill]]</f>
        <v>0</v>
      </c>
      <c r="K90" s="367">
        <f ca="1">OFFSET(TblConstr[[#This Row],[Swamp]],-1,0)+TblConstr[[#This Row],[Ch_Swamp]]</f>
        <v>0</v>
      </c>
      <c r="L90" s="185">
        <f ca="1">OFFSET(TblConstr[[#This Row],[Cavern]],-1,0)+TblConstr[[#This Row],[Ch_Cavern]]</f>
        <v>0</v>
      </c>
      <c r="M90" s="186">
        <f ca="1">OFFSET(TblConstr[[#This Row],[Water]],-1,0)+TblConstr[[#This Row],[Ch_Water]]</f>
        <v>0</v>
      </c>
      <c r="N90" s="357">
        <f>TblRezone[[#This Row],[Hour]]</f>
        <v>87</v>
      </c>
      <c r="O90" s="179"/>
      <c r="P90" s="179"/>
      <c r="Q90" s="179"/>
      <c r="R90" s="179"/>
      <c r="S90" s="179"/>
      <c r="T90" s="179"/>
      <c r="U90" s="179"/>
      <c r="V90" s="179"/>
      <c r="W90" s="179"/>
      <c r="X90" s="179"/>
      <c r="Y90" s="179"/>
      <c r="Z90" s="179"/>
      <c r="AA90" s="179"/>
      <c r="AB90" s="179"/>
      <c r="AC90" s="179"/>
      <c r="AD90" s="179"/>
      <c r="AE90" s="179"/>
      <c r="AF90" s="179"/>
      <c r="AG90" s="179"/>
      <c r="AH90" s="53">
        <f ca="1">TblImps[[#This Row],[Time]]</f>
        <v>46323.583333333125</v>
      </c>
      <c r="AI90" s="180">
        <f ca="1">MIN(25%,(TblConstr[[#This Row],[Tot Fac]]+TblConstr[[#This Row],[Dest Fac]])/(TblConstr[[#This Row],[Land]]-TblExplore[[#This Row],[Land Bonus]]*20))</f>
        <v>0</v>
      </c>
      <c r="AJ90" s="180">
        <f ca="1">MIN(25%,(TblConstr[[#This Row],[Tot Fac]]+TblConstr[[#This Row],[Dest Fac]])/TblConstr[[#This Row],[Land]])</f>
        <v>0</v>
      </c>
      <c r="AK90" s="94">
        <f ca="1">TblProd[[#This Row],[Platinum]]</f>
        <v>193478</v>
      </c>
      <c r="AL90" s="94">
        <f ca="1">TblProd[[#This Row],[Lumber]]</f>
        <v>64184</v>
      </c>
      <c r="AM9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0" s="94">
        <f ca="1">ROUNDDOWN( MAX(1 - MIN(facs_constr_factor*TblConstr[[#This Row],[Facs -DB]],facs_constr_max) + tech_1_11*TblTech[[#This Row],[11-1]] + tech_6_3_2*TblTech[[#This Row],[6-3]] + tech_5_2_3*TblTech[[#This Row],[5-2]], 1-global_constr_cap) * TblConstr[[#This Row],[RCPA Lumber]],0)</f>
        <v>31</v>
      </c>
      <c r="AO9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0" s="94">
        <f ca="1">ROUNDDOWN( MAX(1 - MIN(facs_constr_factor*TblConstr[[#This Row],[Facs DB]],facs_constr_max) + tech_1_11*TblTech[[#This Row],[1-11]] + tech_6_3_2*TblTech[[#This Row],[6-3]] + tech_5_2_3*TblTech[[#This Row],[5-2]], 1-global_constr_cap) * ROUND((TblConstr[[#This Row],[Land]]-250)*0.285 + 87.5 + 0/4.25,0),0)</f>
        <v>31</v>
      </c>
      <c r="AQ90" s="45">
        <f ca="1">TblConstr[[#This Row],[build -db]]*TblConstr[[#This Row],[CPA Platinum -DB]] + TblConstr[[#This Row],[build db]]*TblConstr[[#This Row],[CPA Platinum DB]]</f>
        <v>0</v>
      </c>
      <c r="AR90" s="45">
        <f ca="1">TblConstr[[#This Row],[build -db]]*TblConstr[[#This Row],[CPA Lumber -DB]] + TblConstr[[#This Row],[build db]]*TblConstr[[#This Row],[CPA Lumber DB]]</f>
        <v>0</v>
      </c>
      <c r="AS90" s="94">
        <f ca="1">MIN(SUM(OFFSET(TblConstr[[#This Row],[Plain]:[Water]],-1,0))+SUM(TblConstr[[#This Row],[Dest Hom]:[Dest Doc]])+IF(TblConstr[[#This Row],[Hour]]&gt;12,SUM(OFFSET(TblExplore[[#This Row],[Plains Explore]:[Water Explore]],-12,0)),0),SUM(TblConstr[[#This Row],[Hom]:[Doc]]))</f>
        <v>0</v>
      </c>
      <c r="AT9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42"/>
      <c r="AV90" s="94">
        <f ca="1">ROUND((TblConstr[[#This Row],[Land]]-250 - IF(TblExplore[[#This Row],[Land Bonus]]&lt;&gt;0,20,0))*1.25 + 850 + 0,0)</f>
        <v>600</v>
      </c>
      <c r="AW90" s="94">
        <f ca="1">ROUND((TblConstr[[#This Row],[Land]]-250 - IF(TblExplore[[#This Row],[Land Bonus]]&lt;&gt;0,20,0))*0.285 + 87.5 + 0/4.25,0)</f>
        <v>31</v>
      </c>
      <c r="AX90" s="154"/>
      <c r="AY90" s="188" cm="1">
        <f t="array" aca="1" ref="AY90" ca="1">IF(TblConstr[[#This Row],[Hour]:[Hour]]&gt;12,OFFSET(TblConstr[[#This Row],[Hom]],-12,0),0)+OFFSET(TblConstr[[#This Row],[Tot Hom]],-1,0)-TblConstr[[#This Row],[Dest Hom]]</f>
        <v>0</v>
      </c>
      <c r="AZ90" s="189" cm="1">
        <f t="array" aca="1" ref="AZ90" ca="1">IF(TblConstr[[#This Row],[Hour]:[Hour]]&gt;12,OFFSET(TblConstr[[#This Row],[Alc]],-12,0),0)+OFFSET(TblConstr[[#This Row],[Tot Alc]],-1,0)-TblConstr[[#This Row],[Dest Alc]]</f>
        <v>0</v>
      </c>
      <c r="BA90" s="189" cm="1">
        <f t="array" aca="1" ref="BA90" ca="1">IF(TblConstr[[#This Row],[Hour]:[Hour]]&gt;12,OFFSET(TblConstr[[#This Row],[Far]],-12,0),0)+OFFSET(TblConstr[[#This Row],[Tot Farm]],-1,0)-TblConstr[[#This Row],[Dest Farm]]</f>
        <v>30</v>
      </c>
      <c r="BB90" s="189" cm="1">
        <f t="array" aca="1" ref="BB90" ca="1">IF(TblConstr[[#This Row],[Hour]:[Hour]]&gt;12,OFFSET(TblConstr[[#This Row],[Smi]],-12,0),0)+OFFSET(TblConstr[[#This Row],[Tot Smi]],-1,0)-TblConstr[[#This Row],[Dest Smi]]</f>
        <v>0</v>
      </c>
      <c r="BC90" s="189" cm="1">
        <f t="array" aca="1" ref="BC90" ca="1">IF(TblConstr[[#This Row],[Hour]:[Hour]]&gt;12,OFFSET(TblConstr[[#This Row],[Mas]],-12,0),0)+OFFSET(TblConstr[[#This Row],[Tot Mas]],-1,0)-TblConstr[[#This Row],[Dest Mas]]</f>
        <v>0</v>
      </c>
      <c r="BD90" s="190" cm="1">
        <f t="array" aca="1" ref="BD90" ca="1">IF(TblConstr[[#This Row],[Hour]:[Hour]]&gt;12,OFFSET(TblConstr[[#This Row],[Ly]],-12,0),0)+OFFSET(TblConstr[[#This Row],[Tot Ly]],-1,0)-TblConstr[[#This Row],[Dest Ly]]</f>
        <v>20</v>
      </c>
      <c r="BE90" s="190" cm="1">
        <f t="array" aca="1" ref="BE90" ca="1">IF(TblConstr[[#This Row],[Hour]:[Hour]]&gt;12,OFFSET(TblConstr[[#This Row],[Hav]],-12,0),0)+OFFSET(TblConstr[[#This Row],[Tot Hav]],-1,0)-TblConstr[[#This Row],[Dest Hav]]</f>
        <v>0</v>
      </c>
      <c r="BF90" s="361" cm="1">
        <f t="array" aca="1" ref="BF90" ca="1">IF(TblConstr[[#This Row],[Hour]:[Hour]]&gt;12,OFFSET(TblConstr[[#This Row],[OM]],-12,0),0)+OFFSET(TblConstr[[#This Row],[Tot OM]],-1,0)-TblConstr[[#This Row],[Dest OM]]</f>
        <v>0</v>
      </c>
      <c r="BG90" s="361" cm="1">
        <f t="array" aca="1" ref="BG90" ca="1">IF(TblConstr[[#This Row],[Hour]:[Hour]]&gt;12,OFFSET(TblConstr[[#This Row],[GN]],-12,0),0)+OFFSET(TblConstr[[#This Row],[Tot GN]],-1,0)-TblConstr[[#This Row],[Dest GN]]</f>
        <v>0</v>
      </c>
      <c r="BH90" s="365" cm="1">
        <f t="array" aca="1" ref="BH90" ca="1">IF(TblConstr[[#This Row],[Hour]:[Hour]]&gt;12,OFFSET(TblConstr[[#This Row],[Fac]],-12,0),0)+OFFSET(TblConstr[[#This Row],[Tot Fac]],-1,0)-TblConstr[[#This Row],[Dest Fac]]</f>
        <v>0</v>
      </c>
      <c r="BI90" s="365" cm="1">
        <f t="array" aca="1" ref="BI90" ca="1">IF(TblConstr[[#This Row],[Hour]:[Hour]]&gt;12,OFFSET(TblConstr[[#This Row],[GT]],-12,0),0)+OFFSET(TblConstr[[#This Row],[Tot GT]],-1,0)-TblConstr[[#This Row],[Dest GT]]</f>
        <v>0</v>
      </c>
      <c r="BJ90" s="365" cm="1">
        <f t="array" aca="1" ref="BJ90" ca="1">IF(TblConstr[[#This Row],[Hour]:[Hour]]&gt;12,OFFSET(TblConstr[[#This Row],[Bar]],-12,0),0)+OFFSET(TblConstr[[#This Row],[Tot Bar]],-1,0)-TblConstr[[#This Row],[Dest Bar]]</f>
        <v>0</v>
      </c>
      <c r="BK90" s="365" cm="1">
        <f t="array" aca="1" ref="BK90" ca="1">IF(TblConstr[[#This Row],[Hour]:[Hour]]&gt;12,OFFSET(TblConstr[[#This Row],[Shr]],-12,0),0)+OFFSET(TblConstr[[#This Row],[Tot Shr]],-1,0)-TblConstr[[#This Row],[Dest Shr]]</f>
        <v>0</v>
      </c>
      <c r="BL90" s="369" cm="1">
        <f t="array" aca="1" ref="BL90" ca="1">IF(TblConstr[[#This Row],[Hour]:[Hour]]&gt;12,OFFSET(TblConstr[[#This Row],[Tow]],-12,0),0)+OFFSET(TblConstr[[#This Row],[Tot Tow]],-1,0)-TblConstr[[#This Row],[Dest Tow]]</f>
        <v>0</v>
      </c>
      <c r="BM90" s="369" cm="1">
        <f t="array" aca="1" ref="BM90" ca="1">IF(TblConstr[[#This Row],[Hour]:[Hour]]&gt;12,OFFSET(TblConstr[[#This Row],[Tem]],-12,0),0)+OFFSET(TblConstr[[#This Row],[Tot Tem]],-1,0)-TblConstr[[#This Row],[Dest Tem]]</f>
        <v>0</v>
      </c>
      <c r="BN90" s="369" cm="1">
        <f t="array" aca="1" ref="BN90" ca="1">IF(TblConstr[[#This Row],[Hour]:[Hour]]&gt;12,OFFSET(TblConstr[[#This Row],[WG]],-12,0),0)+OFFSET(TblConstr[[#This Row],[Tot WG]],-1,0)-TblConstr[[#This Row],[Dest WG]]</f>
        <v>0</v>
      </c>
      <c r="BO90" s="191" cm="1">
        <f t="array" aca="1" ref="BO90" ca="1">IF(TblConstr[[#This Row],[Hour]:[Hour]]&gt;12,OFFSET(TblConstr[[#This Row],[DM]],-12,0),0)+OFFSET(TblConstr[[#This Row],[Tot DM]],-1,0)-TblConstr[[#This Row],[Dest DM]]</f>
        <v>0</v>
      </c>
      <c r="BP90" s="191" cm="1">
        <f t="array" aca="1" ref="BP90" ca="1">IF(TblConstr[[#This Row],[Hour]:[Hour]]&gt;12,OFFSET(TblConstr[[#This Row],[Sch]],-12,0),0)+OFFSET(TblConstr[[#This Row],[Tot Sch]],-1,0)-TblConstr[[#This Row],[Dest Sch]]</f>
        <v>0</v>
      </c>
      <c r="BQ90" s="192" cm="1">
        <f t="array" aca="1" ref="BQ90" ca="1">IF(TblConstr[[#This Row],[Hour]:[Hour]]&gt;12,OFFSET(TblConstr[[#This Row],[Doc]],-12,0),0)+OFFSET(TblConstr[[#This Row],[Tot Doc]],-1,0)-TblConstr[[#This Row],[Dest Doc]]</f>
        <v>0</v>
      </c>
      <c r="BR90" s="142"/>
      <c r="BS90" s="154"/>
      <c r="BT90" s="94">
        <f ca="1">TblConstr[[#This Row],[Land]]</f>
        <v>50</v>
      </c>
      <c r="BU90" s="159">
        <f ca="1">TblImps[[#This Row],[Time]]</f>
        <v>46323.583333333125</v>
      </c>
      <c r="BV90" s="142"/>
      <c r="BW90" s="179"/>
      <c r="BX90" s="179"/>
      <c r="BY90" s="179"/>
      <c r="BZ90" s="179"/>
      <c r="CA90" s="179"/>
      <c r="CB90" s="179"/>
      <c r="CC90" s="179"/>
      <c r="CD90" s="179"/>
      <c r="CE90" s="179"/>
      <c r="CF90" s="179"/>
      <c r="CG90" s="179"/>
      <c r="CH90" s="179"/>
      <c r="CI90" s="179"/>
      <c r="CJ90" s="179"/>
      <c r="CK90" s="179"/>
      <c r="CL90" s="179"/>
      <c r="CM90" s="179"/>
      <c r="CN90" s="179"/>
      <c r="CO90" s="179"/>
      <c r="CP90" s="142"/>
      <c r="CQ90" s="181">
        <f ca="1">-SUM(TblConstr[[#This Row],[Alc]:[Mas]])+SUM(TblConstr[[#This Row],[Dest Alc]:[Dest Mas]])+Rezone!L90+IF("Ch_"&amp; home_land=TblConstr[[#Headers],[Ch_Plain]],TblConstr[[#This Row],[Home Land]])+IF(TblConstr[[#This Row],[Hour]:[Hour]]&gt;12,OFFSET(TblExplore[[#This Row],[Plains Explore]],-12,0),0)</f>
        <v>0</v>
      </c>
      <c r="CR90" s="182">
        <f ca="1">-SUM(TblConstr[[#This Row],[Ly]:[Hav]])+SUM(TblConstr[[#This Row],[Dest Ly]:[Dest Hav]]) +Rezone!M90 + IF("Ch_"&amp; home_land=TblConstr[[#Headers],[Ch_Forest]],TblConstr[[#This Row],[Home Land]])+IF(TblConstr[[#This Row],[Hour]:[Hour]]&gt;12,OFFSET(TblExplore[[#This Row],[Forest Explore]],-12,0),0)</f>
        <v>0</v>
      </c>
      <c r="CS90" s="359">
        <f ca="1">-SUM(TblConstr[[#This Row],[OM]:[GN]])+SUM(TblConstr[[#This Row],[Dest OM]:[Dest GN]]) +Rezone!N90 + IF("Ch_"&amp; home_land=TblConstr[[#Headers],[Ch_Mountain]],TblConstr[[#This Row],[Home Land]])+IF(TblConstr[[#This Row],[Hour]:[Hour]]&gt;12,OFFSET(TblExplore[[#This Row],[Mountain Explore]],-12,0),0)</f>
        <v>0</v>
      </c>
      <c r="CT90" s="183">
        <f ca="1">-SUM(TblConstr[[#This Row],[Fac]:[Shr]])+SUM(TblConstr[[#This Row],[Dest Fac]:[Dest Shr]]) +Rezone!O90 + IF("Ch_" &amp; home_land=TblConstr[[#Headers],[Ch_Hill]],TblConstr[[#This Row],[Home Land]])+IF(TblConstr[[#This Row],[Hour]:[Hour]]&gt;12,OFFSET(TblExplore[[#This Row],[Hill Explore]],-12,0),0)</f>
        <v>0</v>
      </c>
      <c r="CU90" s="184">
        <f ca="1">-SUM(TblConstr[[#This Row],[Tow]:[WG]])+SUM(TblConstr[[#This Row],[Dest Tow]:[Dest WG]]) +Rezone!P90 + IF("Ch_" &amp; home_land=TblConstr[[#Headers],[Ch_Swamp]],TblConstr[[#This Row],[Home Land]])+IF(TblConstr[[#This Row],[Hour]:[Hour]]&gt;12,OFFSET(TblExplore[[#This Row],[Swamp Explore]],-12,0),0)</f>
        <v>0</v>
      </c>
      <c r="CV90" s="185">
        <f ca="1" xml:space="preserve"> - SUM(TblConstr[[#This Row],[DM]:[Sch]])+SUM(TblConstr[[#This Row],[Dest DM]:[Dest Sch]]) +Rezone!Q90 + IF("Ch_" &amp; home_land=TblConstr[[#Headers],[Ch_Cavern]],TblConstr[[#This Row],[Home Land]])+IF(TblConstr[[#This Row],[Hour]:[Hour]]&gt;12,OFFSET(TblExplore[[#This Row],[Cavern Explore]],-12,0),0)</f>
        <v>0</v>
      </c>
      <c r="CW90" s="186">
        <f ca="1">-TblConstr[[#This Row],[Doc]]+TblConstr[[#This Row],[Dest Doc]] +Rezone!R90 + IF("Ch_" &amp; home_land=TblConstr[[#Headers],[Ch_Water]],TblConstr[[#This Row],[Home Land]])+IF(TblConstr[[#This Row],[Hour]:[Hour]]&gt;12,OFFSET(TblExplore[[#This Row],[Water Explore]],-12,0),0)</f>
        <v>0</v>
      </c>
      <c r="CX90" s="45">
        <f>IF(Explore!S90=1,20) - TblConstr[[#This Row],[Hom]] + TblConstr[[#This Row],[Dest Hom]]</f>
        <v>0</v>
      </c>
      <c r="CY90" s="142"/>
      <c r="CZ90" s="94">
        <f t="shared" ca="1" si="23"/>
        <v>30</v>
      </c>
      <c r="DA90" s="94">
        <f t="shared" ca="1" si="24"/>
        <v>20</v>
      </c>
      <c r="DB90" s="45">
        <f t="shared" ca="1" si="25"/>
        <v>0</v>
      </c>
      <c r="DC90" s="94">
        <f t="shared" ca="1" si="26"/>
        <v>0</v>
      </c>
      <c r="DD90" s="94">
        <f t="shared" ca="1" si="27"/>
        <v>0</v>
      </c>
      <c r="DE90" s="45">
        <f t="shared" ca="1" si="28"/>
        <v>0</v>
      </c>
      <c r="DF90" s="94">
        <f t="shared" ca="1" si="29"/>
        <v>0</v>
      </c>
      <c r="DG90" s="94" cm="1">
        <f t="array" aca="1" ref="DG90" ca="1">INDEX(TblConstr[[Total Plain]:[Total Water]],ROW()-ROW(TblConstr[#Headers]),MATCH("Total "&amp;home_land,TblConstr[[#Headers],[Total Plain]:[Total Water]],0))+TblConstr[[#This Row],[Homes]]</f>
        <v>30</v>
      </c>
      <c r="DH90" s="45">
        <f t="shared" ca="1" si="22"/>
        <v>0</v>
      </c>
      <c r="DI90" s="45">
        <f t="shared" ca="1" si="19"/>
        <v>0</v>
      </c>
      <c r="DJ90" s="45">
        <f t="shared" ca="1" si="20"/>
        <v>0</v>
      </c>
    </row>
    <row r="91" spans="1:114" x14ac:dyDescent="0.2">
      <c r="A91" s="175">
        <f>TblRezone[[#This Row],[Hour]]</f>
        <v>88</v>
      </c>
      <c r="B91" s="176">
        <f ca="1">SUM(TblConstr[[#This Row],[Plain]:[Water]])</f>
        <v>0</v>
      </c>
      <c r="C91" s="177">
        <f ca="1">SUM(TblConstr[[#This Row],[Tot Hom]:[Tot Doc]])</f>
        <v>50</v>
      </c>
      <c r="D91" s="177">
        <f t="shared" si="21"/>
        <v>0</v>
      </c>
      <c r="E91" s="178"/>
      <c r="F91" s="61">
        <f ca="1">TblConstr[[#This Row],[Barren]]+TblConstr[[#This Row],[Buildings]]+TblConstr[[#This Row],[Incoming]]</f>
        <v>50</v>
      </c>
      <c r="G91" s="187">
        <f ca="1">OFFSET(TblConstr[[#This Row],[Plain]],-1,0)+TblConstr[[#This Row],[Ch_Plain]]</f>
        <v>0</v>
      </c>
      <c r="H91" s="182">
        <f ca="1">OFFSET(TblConstr[[#This Row],[Forest]],-1,0)+TblConstr[[#This Row],[Ch_Forest]]</f>
        <v>0</v>
      </c>
      <c r="I91" s="359">
        <f ca="1">OFFSET(TblConstr[[#This Row],[Mountain]],-1,0)+TblConstr[[#This Row],[Ch_Mountain]]</f>
        <v>0</v>
      </c>
      <c r="J91" s="363">
        <f ca="1">OFFSET(TblConstr[[#This Row],[Hill]],-1,0)+TblConstr[[#This Row],[Ch_Hill]]</f>
        <v>0</v>
      </c>
      <c r="K91" s="367">
        <f ca="1">OFFSET(TblConstr[[#This Row],[Swamp]],-1,0)+TblConstr[[#This Row],[Ch_Swamp]]</f>
        <v>0</v>
      </c>
      <c r="L91" s="185">
        <f ca="1">OFFSET(TblConstr[[#This Row],[Cavern]],-1,0)+TblConstr[[#This Row],[Ch_Cavern]]</f>
        <v>0</v>
      </c>
      <c r="M91" s="186">
        <f ca="1">OFFSET(TblConstr[[#This Row],[Water]],-1,0)+TblConstr[[#This Row],[Ch_Water]]</f>
        <v>0</v>
      </c>
      <c r="N91" s="357">
        <f>TblRezone[[#This Row],[Hour]]</f>
        <v>88</v>
      </c>
      <c r="O91" s="179"/>
      <c r="P91" s="179"/>
      <c r="Q91" s="179"/>
      <c r="R91" s="179"/>
      <c r="S91" s="179"/>
      <c r="T91" s="179"/>
      <c r="U91" s="179"/>
      <c r="V91" s="179"/>
      <c r="W91" s="179"/>
      <c r="X91" s="179"/>
      <c r="Y91" s="179"/>
      <c r="Z91" s="179"/>
      <c r="AA91" s="179"/>
      <c r="AB91" s="179"/>
      <c r="AC91" s="179"/>
      <c r="AD91" s="179"/>
      <c r="AE91" s="179"/>
      <c r="AF91" s="179"/>
      <c r="AG91" s="179"/>
      <c r="AH91" s="53">
        <f ca="1">TblImps[[#This Row],[Time]]</f>
        <v>46323.624999999789</v>
      </c>
      <c r="AI91" s="180">
        <f ca="1">MIN(25%,(TblConstr[[#This Row],[Tot Fac]]+TblConstr[[#This Row],[Dest Fac]])/(TblConstr[[#This Row],[Land]]-TblExplore[[#This Row],[Land Bonus]]*20))</f>
        <v>0</v>
      </c>
      <c r="AJ91" s="180">
        <f ca="1">MIN(25%,(TblConstr[[#This Row],[Tot Fac]]+TblConstr[[#This Row],[Dest Fac]])/TblConstr[[#This Row],[Land]])</f>
        <v>0</v>
      </c>
      <c r="AK91" s="94">
        <f ca="1">TblProd[[#This Row],[Platinum]]</f>
        <v>194020</v>
      </c>
      <c r="AL91" s="94">
        <f ca="1">TblProd[[#This Row],[Lumber]]</f>
        <v>64542</v>
      </c>
      <c r="AM9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1" s="94">
        <f ca="1">ROUNDDOWN( MAX(1 - MIN(facs_constr_factor*TblConstr[[#This Row],[Facs -DB]],facs_constr_max) + tech_1_11*TblTech[[#This Row],[11-1]] + tech_6_3_2*TblTech[[#This Row],[6-3]] + tech_5_2_3*TblTech[[#This Row],[5-2]], 1-global_constr_cap) * TblConstr[[#This Row],[RCPA Lumber]],0)</f>
        <v>31</v>
      </c>
      <c r="AO9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1" s="94">
        <f ca="1">ROUNDDOWN( MAX(1 - MIN(facs_constr_factor*TblConstr[[#This Row],[Facs DB]],facs_constr_max) + tech_1_11*TblTech[[#This Row],[1-11]] + tech_6_3_2*TblTech[[#This Row],[6-3]] + tech_5_2_3*TblTech[[#This Row],[5-2]], 1-global_constr_cap) * ROUND((TblConstr[[#This Row],[Land]]-250)*0.285 + 87.5 + 0/4.25,0),0)</f>
        <v>31</v>
      </c>
      <c r="AQ91" s="45">
        <f ca="1">TblConstr[[#This Row],[build -db]]*TblConstr[[#This Row],[CPA Platinum -DB]] + TblConstr[[#This Row],[build db]]*TblConstr[[#This Row],[CPA Platinum DB]]</f>
        <v>0</v>
      </c>
      <c r="AR91" s="45">
        <f ca="1">TblConstr[[#This Row],[build -db]]*TblConstr[[#This Row],[CPA Lumber -DB]] + TblConstr[[#This Row],[build db]]*TblConstr[[#This Row],[CPA Lumber DB]]</f>
        <v>0</v>
      </c>
      <c r="AS91" s="94">
        <f ca="1">MIN(SUM(OFFSET(TblConstr[[#This Row],[Plain]:[Water]],-1,0))+SUM(TblConstr[[#This Row],[Dest Hom]:[Dest Doc]])+IF(TblConstr[[#This Row],[Hour]]&gt;12,SUM(OFFSET(TblExplore[[#This Row],[Plains Explore]:[Water Explore]],-12,0)),0),SUM(TblConstr[[#This Row],[Hom]:[Doc]]))</f>
        <v>0</v>
      </c>
      <c r="AT9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42"/>
      <c r="AV91" s="94">
        <f ca="1">ROUND((TblConstr[[#This Row],[Land]]-250 - IF(TblExplore[[#This Row],[Land Bonus]]&lt;&gt;0,20,0))*1.25 + 850 + 0,0)</f>
        <v>600</v>
      </c>
      <c r="AW91" s="94">
        <f ca="1">ROUND((TblConstr[[#This Row],[Land]]-250 - IF(TblExplore[[#This Row],[Land Bonus]]&lt;&gt;0,20,0))*0.285 + 87.5 + 0/4.25,0)</f>
        <v>31</v>
      </c>
      <c r="AX91" s="154"/>
      <c r="AY91" s="188" cm="1">
        <f t="array" aca="1" ref="AY91" ca="1">IF(TblConstr[[#This Row],[Hour]:[Hour]]&gt;12,OFFSET(TblConstr[[#This Row],[Hom]],-12,0),0)+OFFSET(TblConstr[[#This Row],[Tot Hom]],-1,0)-TblConstr[[#This Row],[Dest Hom]]</f>
        <v>0</v>
      </c>
      <c r="AZ91" s="189" cm="1">
        <f t="array" aca="1" ref="AZ91" ca="1">IF(TblConstr[[#This Row],[Hour]:[Hour]]&gt;12,OFFSET(TblConstr[[#This Row],[Alc]],-12,0),0)+OFFSET(TblConstr[[#This Row],[Tot Alc]],-1,0)-TblConstr[[#This Row],[Dest Alc]]</f>
        <v>0</v>
      </c>
      <c r="BA91" s="189" cm="1">
        <f t="array" aca="1" ref="BA91" ca="1">IF(TblConstr[[#This Row],[Hour]:[Hour]]&gt;12,OFFSET(TblConstr[[#This Row],[Far]],-12,0),0)+OFFSET(TblConstr[[#This Row],[Tot Farm]],-1,0)-TblConstr[[#This Row],[Dest Farm]]</f>
        <v>30</v>
      </c>
      <c r="BB91" s="189" cm="1">
        <f t="array" aca="1" ref="BB91" ca="1">IF(TblConstr[[#This Row],[Hour]:[Hour]]&gt;12,OFFSET(TblConstr[[#This Row],[Smi]],-12,0),0)+OFFSET(TblConstr[[#This Row],[Tot Smi]],-1,0)-TblConstr[[#This Row],[Dest Smi]]</f>
        <v>0</v>
      </c>
      <c r="BC91" s="189" cm="1">
        <f t="array" aca="1" ref="BC91" ca="1">IF(TblConstr[[#This Row],[Hour]:[Hour]]&gt;12,OFFSET(TblConstr[[#This Row],[Mas]],-12,0),0)+OFFSET(TblConstr[[#This Row],[Tot Mas]],-1,0)-TblConstr[[#This Row],[Dest Mas]]</f>
        <v>0</v>
      </c>
      <c r="BD91" s="190" cm="1">
        <f t="array" aca="1" ref="BD91" ca="1">IF(TblConstr[[#This Row],[Hour]:[Hour]]&gt;12,OFFSET(TblConstr[[#This Row],[Ly]],-12,0),0)+OFFSET(TblConstr[[#This Row],[Tot Ly]],-1,0)-TblConstr[[#This Row],[Dest Ly]]</f>
        <v>20</v>
      </c>
      <c r="BE91" s="190" cm="1">
        <f t="array" aca="1" ref="BE91" ca="1">IF(TblConstr[[#This Row],[Hour]:[Hour]]&gt;12,OFFSET(TblConstr[[#This Row],[Hav]],-12,0),0)+OFFSET(TblConstr[[#This Row],[Tot Hav]],-1,0)-TblConstr[[#This Row],[Dest Hav]]</f>
        <v>0</v>
      </c>
      <c r="BF91" s="361" cm="1">
        <f t="array" aca="1" ref="BF91" ca="1">IF(TblConstr[[#This Row],[Hour]:[Hour]]&gt;12,OFFSET(TblConstr[[#This Row],[OM]],-12,0),0)+OFFSET(TblConstr[[#This Row],[Tot OM]],-1,0)-TblConstr[[#This Row],[Dest OM]]</f>
        <v>0</v>
      </c>
      <c r="BG91" s="361" cm="1">
        <f t="array" aca="1" ref="BG91" ca="1">IF(TblConstr[[#This Row],[Hour]:[Hour]]&gt;12,OFFSET(TblConstr[[#This Row],[GN]],-12,0),0)+OFFSET(TblConstr[[#This Row],[Tot GN]],-1,0)-TblConstr[[#This Row],[Dest GN]]</f>
        <v>0</v>
      </c>
      <c r="BH91" s="365" cm="1">
        <f t="array" aca="1" ref="BH91" ca="1">IF(TblConstr[[#This Row],[Hour]:[Hour]]&gt;12,OFFSET(TblConstr[[#This Row],[Fac]],-12,0),0)+OFFSET(TblConstr[[#This Row],[Tot Fac]],-1,0)-TblConstr[[#This Row],[Dest Fac]]</f>
        <v>0</v>
      </c>
      <c r="BI91" s="365" cm="1">
        <f t="array" aca="1" ref="BI91" ca="1">IF(TblConstr[[#This Row],[Hour]:[Hour]]&gt;12,OFFSET(TblConstr[[#This Row],[GT]],-12,0),0)+OFFSET(TblConstr[[#This Row],[Tot GT]],-1,0)-TblConstr[[#This Row],[Dest GT]]</f>
        <v>0</v>
      </c>
      <c r="BJ91" s="365" cm="1">
        <f t="array" aca="1" ref="BJ91" ca="1">IF(TblConstr[[#This Row],[Hour]:[Hour]]&gt;12,OFFSET(TblConstr[[#This Row],[Bar]],-12,0),0)+OFFSET(TblConstr[[#This Row],[Tot Bar]],-1,0)-TblConstr[[#This Row],[Dest Bar]]</f>
        <v>0</v>
      </c>
      <c r="BK91" s="365" cm="1">
        <f t="array" aca="1" ref="BK91" ca="1">IF(TblConstr[[#This Row],[Hour]:[Hour]]&gt;12,OFFSET(TblConstr[[#This Row],[Shr]],-12,0),0)+OFFSET(TblConstr[[#This Row],[Tot Shr]],-1,0)-TblConstr[[#This Row],[Dest Shr]]</f>
        <v>0</v>
      </c>
      <c r="BL91" s="369" cm="1">
        <f t="array" aca="1" ref="BL91" ca="1">IF(TblConstr[[#This Row],[Hour]:[Hour]]&gt;12,OFFSET(TblConstr[[#This Row],[Tow]],-12,0),0)+OFFSET(TblConstr[[#This Row],[Tot Tow]],-1,0)-TblConstr[[#This Row],[Dest Tow]]</f>
        <v>0</v>
      </c>
      <c r="BM91" s="369" cm="1">
        <f t="array" aca="1" ref="BM91" ca="1">IF(TblConstr[[#This Row],[Hour]:[Hour]]&gt;12,OFFSET(TblConstr[[#This Row],[Tem]],-12,0),0)+OFFSET(TblConstr[[#This Row],[Tot Tem]],-1,0)-TblConstr[[#This Row],[Dest Tem]]</f>
        <v>0</v>
      </c>
      <c r="BN91" s="369" cm="1">
        <f t="array" aca="1" ref="BN91" ca="1">IF(TblConstr[[#This Row],[Hour]:[Hour]]&gt;12,OFFSET(TblConstr[[#This Row],[WG]],-12,0),0)+OFFSET(TblConstr[[#This Row],[Tot WG]],-1,0)-TblConstr[[#This Row],[Dest WG]]</f>
        <v>0</v>
      </c>
      <c r="BO91" s="191" cm="1">
        <f t="array" aca="1" ref="BO91" ca="1">IF(TblConstr[[#This Row],[Hour]:[Hour]]&gt;12,OFFSET(TblConstr[[#This Row],[DM]],-12,0),0)+OFFSET(TblConstr[[#This Row],[Tot DM]],-1,0)-TblConstr[[#This Row],[Dest DM]]</f>
        <v>0</v>
      </c>
      <c r="BP91" s="191" cm="1">
        <f t="array" aca="1" ref="BP91" ca="1">IF(TblConstr[[#This Row],[Hour]:[Hour]]&gt;12,OFFSET(TblConstr[[#This Row],[Sch]],-12,0),0)+OFFSET(TblConstr[[#This Row],[Tot Sch]],-1,0)-TblConstr[[#This Row],[Dest Sch]]</f>
        <v>0</v>
      </c>
      <c r="BQ91" s="192" cm="1">
        <f t="array" aca="1" ref="BQ91" ca="1">IF(TblConstr[[#This Row],[Hour]:[Hour]]&gt;12,OFFSET(TblConstr[[#This Row],[Doc]],-12,0),0)+OFFSET(TblConstr[[#This Row],[Tot Doc]],-1,0)-TblConstr[[#This Row],[Dest Doc]]</f>
        <v>0</v>
      </c>
      <c r="BR91" s="142"/>
      <c r="BS91" s="154"/>
      <c r="BT91" s="94">
        <f ca="1">TblConstr[[#This Row],[Land]]</f>
        <v>50</v>
      </c>
      <c r="BU91" s="159">
        <f ca="1">TblImps[[#This Row],[Time]]</f>
        <v>46323.624999999789</v>
      </c>
      <c r="BV91" s="142"/>
      <c r="BW91" s="179"/>
      <c r="BX91" s="179"/>
      <c r="BY91" s="179"/>
      <c r="BZ91" s="179"/>
      <c r="CA91" s="179"/>
      <c r="CB91" s="179"/>
      <c r="CC91" s="179"/>
      <c r="CD91" s="179"/>
      <c r="CE91" s="179"/>
      <c r="CF91" s="179"/>
      <c r="CG91" s="179"/>
      <c r="CH91" s="179"/>
      <c r="CI91" s="179"/>
      <c r="CJ91" s="179"/>
      <c r="CK91" s="179"/>
      <c r="CL91" s="179"/>
      <c r="CM91" s="179"/>
      <c r="CN91" s="179"/>
      <c r="CO91" s="179"/>
      <c r="CP91" s="142"/>
      <c r="CQ91" s="181">
        <f ca="1">-SUM(TblConstr[[#This Row],[Alc]:[Mas]])+SUM(TblConstr[[#This Row],[Dest Alc]:[Dest Mas]])+Rezone!L91+IF("Ch_"&amp; home_land=TblConstr[[#Headers],[Ch_Plain]],TblConstr[[#This Row],[Home Land]])+IF(TblConstr[[#This Row],[Hour]:[Hour]]&gt;12,OFFSET(TblExplore[[#This Row],[Plains Explore]],-12,0),0)</f>
        <v>0</v>
      </c>
      <c r="CR91" s="182">
        <f ca="1">-SUM(TblConstr[[#This Row],[Ly]:[Hav]])+SUM(TblConstr[[#This Row],[Dest Ly]:[Dest Hav]]) +Rezone!M91 + IF("Ch_"&amp; home_land=TblConstr[[#Headers],[Ch_Forest]],TblConstr[[#This Row],[Home Land]])+IF(TblConstr[[#This Row],[Hour]:[Hour]]&gt;12,OFFSET(TblExplore[[#This Row],[Forest Explore]],-12,0),0)</f>
        <v>0</v>
      </c>
      <c r="CS91" s="359">
        <f ca="1">-SUM(TblConstr[[#This Row],[OM]:[GN]])+SUM(TblConstr[[#This Row],[Dest OM]:[Dest GN]]) +Rezone!N91 + IF("Ch_"&amp; home_land=TblConstr[[#Headers],[Ch_Mountain]],TblConstr[[#This Row],[Home Land]])+IF(TblConstr[[#This Row],[Hour]:[Hour]]&gt;12,OFFSET(TblExplore[[#This Row],[Mountain Explore]],-12,0),0)</f>
        <v>0</v>
      </c>
      <c r="CT91" s="183">
        <f ca="1">-SUM(TblConstr[[#This Row],[Fac]:[Shr]])+SUM(TblConstr[[#This Row],[Dest Fac]:[Dest Shr]]) +Rezone!O91 + IF("Ch_" &amp; home_land=TblConstr[[#Headers],[Ch_Hill]],TblConstr[[#This Row],[Home Land]])+IF(TblConstr[[#This Row],[Hour]:[Hour]]&gt;12,OFFSET(TblExplore[[#This Row],[Hill Explore]],-12,0),0)</f>
        <v>0</v>
      </c>
      <c r="CU91" s="184">
        <f ca="1">-SUM(TblConstr[[#This Row],[Tow]:[WG]])+SUM(TblConstr[[#This Row],[Dest Tow]:[Dest WG]]) +Rezone!P91 + IF("Ch_" &amp; home_land=TblConstr[[#Headers],[Ch_Swamp]],TblConstr[[#This Row],[Home Land]])+IF(TblConstr[[#This Row],[Hour]:[Hour]]&gt;12,OFFSET(TblExplore[[#This Row],[Swamp Explore]],-12,0),0)</f>
        <v>0</v>
      </c>
      <c r="CV91" s="185">
        <f ca="1" xml:space="preserve"> - SUM(TblConstr[[#This Row],[DM]:[Sch]])+SUM(TblConstr[[#This Row],[Dest DM]:[Dest Sch]]) +Rezone!Q91 + IF("Ch_" &amp; home_land=TblConstr[[#Headers],[Ch_Cavern]],TblConstr[[#This Row],[Home Land]])+IF(TblConstr[[#This Row],[Hour]:[Hour]]&gt;12,OFFSET(TblExplore[[#This Row],[Cavern Explore]],-12,0),0)</f>
        <v>0</v>
      </c>
      <c r="CW91" s="186">
        <f ca="1">-TblConstr[[#This Row],[Doc]]+TblConstr[[#This Row],[Dest Doc]] +Rezone!R91 + IF("Ch_" &amp; home_land=TblConstr[[#Headers],[Ch_Water]],TblConstr[[#This Row],[Home Land]])+IF(TblConstr[[#This Row],[Hour]:[Hour]]&gt;12,OFFSET(TblExplore[[#This Row],[Water Explore]],-12,0),0)</f>
        <v>0</v>
      </c>
      <c r="CX91" s="45">
        <f>IF(Explore!S91=1,20) - TblConstr[[#This Row],[Hom]] + TblConstr[[#This Row],[Dest Hom]]</f>
        <v>0</v>
      </c>
      <c r="CY91" s="142"/>
      <c r="CZ91" s="94">
        <f t="shared" ca="1" si="23"/>
        <v>30</v>
      </c>
      <c r="DA91" s="94">
        <f t="shared" ca="1" si="24"/>
        <v>20</v>
      </c>
      <c r="DB91" s="45">
        <f t="shared" ca="1" si="25"/>
        <v>0</v>
      </c>
      <c r="DC91" s="94">
        <f t="shared" ca="1" si="26"/>
        <v>0</v>
      </c>
      <c r="DD91" s="94">
        <f t="shared" ca="1" si="27"/>
        <v>0</v>
      </c>
      <c r="DE91" s="45">
        <f t="shared" ca="1" si="28"/>
        <v>0</v>
      </c>
      <c r="DF91" s="94">
        <f t="shared" ca="1" si="29"/>
        <v>0</v>
      </c>
      <c r="DG91" s="94" cm="1">
        <f t="array" aca="1" ref="DG91" ca="1">INDEX(TblConstr[[Total Plain]:[Total Water]],ROW()-ROW(TblConstr[#Headers]),MATCH("Total "&amp;home_land,TblConstr[[#Headers],[Total Plain]:[Total Water]],0))+TblConstr[[#This Row],[Homes]]</f>
        <v>30</v>
      </c>
      <c r="DH91" s="45">
        <f t="shared" ca="1" si="22"/>
        <v>0</v>
      </c>
      <c r="DI91" s="45">
        <f t="shared" ca="1" si="19"/>
        <v>0</v>
      </c>
      <c r="DJ91" s="45">
        <f t="shared" ca="1" si="20"/>
        <v>0</v>
      </c>
    </row>
    <row r="92" spans="1:114" x14ac:dyDescent="0.2">
      <c r="A92" s="175">
        <f>TblRezone[[#This Row],[Hour]]</f>
        <v>89</v>
      </c>
      <c r="B92" s="176">
        <f ca="1">SUM(TblConstr[[#This Row],[Plain]:[Water]])</f>
        <v>0</v>
      </c>
      <c r="C92" s="177">
        <f ca="1">SUM(TblConstr[[#This Row],[Tot Hom]:[Tot Doc]])</f>
        <v>50</v>
      </c>
      <c r="D92" s="177">
        <f t="shared" si="21"/>
        <v>0</v>
      </c>
      <c r="E92" s="178"/>
      <c r="F92" s="61">
        <f ca="1">TblConstr[[#This Row],[Barren]]+TblConstr[[#This Row],[Buildings]]+TblConstr[[#This Row],[Incoming]]</f>
        <v>50</v>
      </c>
      <c r="G92" s="187">
        <f ca="1">OFFSET(TblConstr[[#This Row],[Plain]],-1,0)+TblConstr[[#This Row],[Ch_Plain]]</f>
        <v>0</v>
      </c>
      <c r="H92" s="182">
        <f ca="1">OFFSET(TblConstr[[#This Row],[Forest]],-1,0)+TblConstr[[#This Row],[Ch_Forest]]</f>
        <v>0</v>
      </c>
      <c r="I92" s="359">
        <f ca="1">OFFSET(TblConstr[[#This Row],[Mountain]],-1,0)+TblConstr[[#This Row],[Ch_Mountain]]</f>
        <v>0</v>
      </c>
      <c r="J92" s="363">
        <f ca="1">OFFSET(TblConstr[[#This Row],[Hill]],-1,0)+TblConstr[[#This Row],[Ch_Hill]]</f>
        <v>0</v>
      </c>
      <c r="K92" s="367">
        <f ca="1">OFFSET(TblConstr[[#This Row],[Swamp]],-1,0)+TblConstr[[#This Row],[Ch_Swamp]]</f>
        <v>0</v>
      </c>
      <c r="L92" s="185">
        <f ca="1">OFFSET(TblConstr[[#This Row],[Cavern]],-1,0)+TblConstr[[#This Row],[Ch_Cavern]]</f>
        <v>0</v>
      </c>
      <c r="M92" s="186">
        <f ca="1">OFFSET(TblConstr[[#This Row],[Water]],-1,0)+TblConstr[[#This Row],[Ch_Water]]</f>
        <v>0</v>
      </c>
      <c r="N92" s="357">
        <f>TblRezone[[#This Row],[Hour]]</f>
        <v>89</v>
      </c>
      <c r="O92" s="179"/>
      <c r="P92" s="179"/>
      <c r="Q92" s="179"/>
      <c r="R92" s="179"/>
      <c r="S92" s="179"/>
      <c r="T92" s="179"/>
      <c r="U92" s="179"/>
      <c r="V92" s="179"/>
      <c r="W92" s="179"/>
      <c r="X92" s="179"/>
      <c r="Y92" s="179"/>
      <c r="Z92" s="179"/>
      <c r="AA92" s="179"/>
      <c r="AB92" s="179"/>
      <c r="AC92" s="179"/>
      <c r="AD92" s="179"/>
      <c r="AE92" s="179"/>
      <c r="AF92" s="179"/>
      <c r="AG92" s="179"/>
      <c r="AH92" s="53">
        <f ca="1">TblImps[[#This Row],[Time]]</f>
        <v>46323.666666666453</v>
      </c>
      <c r="AI92" s="180">
        <f ca="1">MIN(25%,(TblConstr[[#This Row],[Tot Fac]]+TblConstr[[#This Row],[Dest Fac]])/(TblConstr[[#This Row],[Land]]-TblExplore[[#This Row],[Land Bonus]]*20))</f>
        <v>0</v>
      </c>
      <c r="AJ92" s="180">
        <f ca="1">MIN(25%,(TblConstr[[#This Row],[Tot Fac]]+TblConstr[[#This Row],[Dest Fac]])/TblConstr[[#This Row],[Land]])</f>
        <v>0</v>
      </c>
      <c r="AK92" s="94">
        <f ca="1">TblProd[[#This Row],[Platinum]]</f>
        <v>194557</v>
      </c>
      <c r="AL92" s="94">
        <f ca="1">TblProd[[#This Row],[Lumber]]</f>
        <v>64897</v>
      </c>
      <c r="AM9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2" s="94">
        <f ca="1">ROUNDDOWN( MAX(1 - MIN(facs_constr_factor*TblConstr[[#This Row],[Facs -DB]],facs_constr_max) + tech_1_11*TblTech[[#This Row],[11-1]] + tech_6_3_2*TblTech[[#This Row],[6-3]] + tech_5_2_3*TblTech[[#This Row],[5-2]], 1-global_constr_cap) * TblConstr[[#This Row],[RCPA Lumber]],0)</f>
        <v>31</v>
      </c>
      <c r="AO9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2" s="94">
        <f ca="1">ROUNDDOWN( MAX(1 - MIN(facs_constr_factor*TblConstr[[#This Row],[Facs DB]],facs_constr_max) + tech_1_11*TblTech[[#This Row],[1-11]] + tech_6_3_2*TblTech[[#This Row],[6-3]] + tech_5_2_3*TblTech[[#This Row],[5-2]], 1-global_constr_cap) * ROUND((TblConstr[[#This Row],[Land]]-250)*0.285 + 87.5 + 0/4.25,0),0)</f>
        <v>31</v>
      </c>
      <c r="AQ92" s="45">
        <f ca="1">TblConstr[[#This Row],[build -db]]*TblConstr[[#This Row],[CPA Platinum -DB]] + TblConstr[[#This Row],[build db]]*TblConstr[[#This Row],[CPA Platinum DB]]</f>
        <v>0</v>
      </c>
      <c r="AR92" s="45">
        <f ca="1">TblConstr[[#This Row],[build -db]]*TblConstr[[#This Row],[CPA Lumber -DB]] + TblConstr[[#This Row],[build db]]*TblConstr[[#This Row],[CPA Lumber DB]]</f>
        <v>0</v>
      </c>
      <c r="AS92" s="94">
        <f ca="1">MIN(SUM(OFFSET(TblConstr[[#This Row],[Plain]:[Water]],-1,0))+SUM(TblConstr[[#This Row],[Dest Hom]:[Dest Doc]])+IF(TblConstr[[#This Row],[Hour]]&gt;12,SUM(OFFSET(TblExplore[[#This Row],[Plains Explore]:[Water Explore]],-12,0)),0),SUM(TblConstr[[#This Row],[Hom]:[Doc]]))</f>
        <v>0</v>
      </c>
      <c r="AT9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42"/>
      <c r="AV92" s="94">
        <f ca="1">ROUND((TblConstr[[#This Row],[Land]]-250 - IF(TblExplore[[#This Row],[Land Bonus]]&lt;&gt;0,20,0))*1.25 + 850 + 0,0)</f>
        <v>600</v>
      </c>
      <c r="AW92" s="94">
        <f ca="1">ROUND((TblConstr[[#This Row],[Land]]-250 - IF(TblExplore[[#This Row],[Land Bonus]]&lt;&gt;0,20,0))*0.285 + 87.5 + 0/4.25,0)</f>
        <v>31</v>
      </c>
      <c r="AX92" s="154"/>
      <c r="AY92" s="188" cm="1">
        <f t="array" aca="1" ref="AY92" ca="1">IF(TblConstr[[#This Row],[Hour]:[Hour]]&gt;12,OFFSET(TblConstr[[#This Row],[Hom]],-12,0),0)+OFFSET(TblConstr[[#This Row],[Tot Hom]],-1,0)-TblConstr[[#This Row],[Dest Hom]]</f>
        <v>0</v>
      </c>
      <c r="AZ92" s="189" cm="1">
        <f t="array" aca="1" ref="AZ92" ca="1">IF(TblConstr[[#This Row],[Hour]:[Hour]]&gt;12,OFFSET(TblConstr[[#This Row],[Alc]],-12,0),0)+OFFSET(TblConstr[[#This Row],[Tot Alc]],-1,0)-TblConstr[[#This Row],[Dest Alc]]</f>
        <v>0</v>
      </c>
      <c r="BA92" s="189" cm="1">
        <f t="array" aca="1" ref="BA92" ca="1">IF(TblConstr[[#This Row],[Hour]:[Hour]]&gt;12,OFFSET(TblConstr[[#This Row],[Far]],-12,0),0)+OFFSET(TblConstr[[#This Row],[Tot Farm]],-1,0)-TblConstr[[#This Row],[Dest Farm]]</f>
        <v>30</v>
      </c>
      <c r="BB92" s="189" cm="1">
        <f t="array" aca="1" ref="BB92" ca="1">IF(TblConstr[[#This Row],[Hour]:[Hour]]&gt;12,OFFSET(TblConstr[[#This Row],[Smi]],-12,0),0)+OFFSET(TblConstr[[#This Row],[Tot Smi]],-1,0)-TblConstr[[#This Row],[Dest Smi]]</f>
        <v>0</v>
      </c>
      <c r="BC92" s="189" cm="1">
        <f t="array" aca="1" ref="BC92" ca="1">IF(TblConstr[[#This Row],[Hour]:[Hour]]&gt;12,OFFSET(TblConstr[[#This Row],[Mas]],-12,0),0)+OFFSET(TblConstr[[#This Row],[Tot Mas]],-1,0)-TblConstr[[#This Row],[Dest Mas]]</f>
        <v>0</v>
      </c>
      <c r="BD92" s="190" cm="1">
        <f t="array" aca="1" ref="BD92" ca="1">IF(TblConstr[[#This Row],[Hour]:[Hour]]&gt;12,OFFSET(TblConstr[[#This Row],[Ly]],-12,0),0)+OFFSET(TblConstr[[#This Row],[Tot Ly]],-1,0)-TblConstr[[#This Row],[Dest Ly]]</f>
        <v>20</v>
      </c>
      <c r="BE92" s="190" cm="1">
        <f t="array" aca="1" ref="BE92" ca="1">IF(TblConstr[[#This Row],[Hour]:[Hour]]&gt;12,OFFSET(TblConstr[[#This Row],[Hav]],-12,0),0)+OFFSET(TblConstr[[#This Row],[Tot Hav]],-1,0)-TblConstr[[#This Row],[Dest Hav]]</f>
        <v>0</v>
      </c>
      <c r="BF92" s="361" cm="1">
        <f t="array" aca="1" ref="BF92" ca="1">IF(TblConstr[[#This Row],[Hour]:[Hour]]&gt;12,OFFSET(TblConstr[[#This Row],[OM]],-12,0),0)+OFFSET(TblConstr[[#This Row],[Tot OM]],-1,0)-TblConstr[[#This Row],[Dest OM]]</f>
        <v>0</v>
      </c>
      <c r="BG92" s="361" cm="1">
        <f t="array" aca="1" ref="BG92" ca="1">IF(TblConstr[[#This Row],[Hour]:[Hour]]&gt;12,OFFSET(TblConstr[[#This Row],[GN]],-12,0),0)+OFFSET(TblConstr[[#This Row],[Tot GN]],-1,0)-TblConstr[[#This Row],[Dest GN]]</f>
        <v>0</v>
      </c>
      <c r="BH92" s="365" cm="1">
        <f t="array" aca="1" ref="BH92" ca="1">IF(TblConstr[[#This Row],[Hour]:[Hour]]&gt;12,OFFSET(TblConstr[[#This Row],[Fac]],-12,0),0)+OFFSET(TblConstr[[#This Row],[Tot Fac]],-1,0)-TblConstr[[#This Row],[Dest Fac]]</f>
        <v>0</v>
      </c>
      <c r="BI92" s="365" cm="1">
        <f t="array" aca="1" ref="BI92" ca="1">IF(TblConstr[[#This Row],[Hour]:[Hour]]&gt;12,OFFSET(TblConstr[[#This Row],[GT]],-12,0),0)+OFFSET(TblConstr[[#This Row],[Tot GT]],-1,0)-TblConstr[[#This Row],[Dest GT]]</f>
        <v>0</v>
      </c>
      <c r="BJ92" s="365" cm="1">
        <f t="array" aca="1" ref="BJ92" ca="1">IF(TblConstr[[#This Row],[Hour]:[Hour]]&gt;12,OFFSET(TblConstr[[#This Row],[Bar]],-12,0),0)+OFFSET(TblConstr[[#This Row],[Tot Bar]],-1,0)-TblConstr[[#This Row],[Dest Bar]]</f>
        <v>0</v>
      </c>
      <c r="BK92" s="365" cm="1">
        <f t="array" aca="1" ref="BK92" ca="1">IF(TblConstr[[#This Row],[Hour]:[Hour]]&gt;12,OFFSET(TblConstr[[#This Row],[Shr]],-12,0),0)+OFFSET(TblConstr[[#This Row],[Tot Shr]],-1,0)-TblConstr[[#This Row],[Dest Shr]]</f>
        <v>0</v>
      </c>
      <c r="BL92" s="369" cm="1">
        <f t="array" aca="1" ref="BL92" ca="1">IF(TblConstr[[#This Row],[Hour]:[Hour]]&gt;12,OFFSET(TblConstr[[#This Row],[Tow]],-12,0),0)+OFFSET(TblConstr[[#This Row],[Tot Tow]],-1,0)-TblConstr[[#This Row],[Dest Tow]]</f>
        <v>0</v>
      </c>
      <c r="BM92" s="369" cm="1">
        <f t="array" aca="1" ref="BM92" ca="1">IF(TblConstr[[#This Row],[Hour]:[Hour]]&gt;12,OFFSET(TblConstr[[#This Row],[Tem]],-12,0),0)+OFFSET(TblConstr[[#This Row],[Tot Tem]],-1,0)-TblConstr[[#This Row],[Dest Tem]]</f>
        <v>0</v>
      </c>
      <c r="BN92" s="369" cm="1">
        <f t="array" aca="1" ref="BN92" ca="1">IF(TblConstr[[#This Row],[Hour]:[Hour]]&gt;12,OFFSET(TblConstr[[#This Row],[WG]],-12,0),0)+OFFSET(TblConstr[[#This Row],[Tot WG]],-1,0)-TblConstr[[#This Row],[Dest WG]]</f>
        <v>0</v>
      </c>
      <c r="BO92" s="191" cm="1">
        <f t="array" aca="1" ref="BO92" ca="1">IF(TblConstr[[#This Row],[Hour]:[Hour]]&gt;12,OFFSET(TblConstr[[#This Row],[DM]],-12,0),0)+OFFSET(TblConstr[[#This Row],[Tot DM]],-1,0)-TblConstr[[#This Row],[Dest DM]]</f>
        <v>0</v>
      </c>
      <c r="BP92" s="191" cm="1">
        <f t="array" aca="1" ref="BP92" ca="1">IF(TblConstr[[#This Row],[Hour]:[Hour]]&gt;12,OFFSET(TblConstr[[#This Row],[Sch]],-12,0),0)+OFFSET(TblConstr[[#This Row],[Tot Sch]],-1,0)-TblConstr[[#This Row],[Dest Sch]]</f>
        <v>0</v>
      </c>
      <c r="BQ92" s="192" cm="1">
        <f t="array" aca="1" ref="BQ92" ca="1">IF(TblConstr[[#This Row],[Hour]:[Hour]]&gt;12,OFFSET(TblConstr[[#This Row],[Doc]],-12,0),0)+OFFSET(TblConstr[[#This Row],[Tot Doc]],-1,0)-TblConstr[[#This Row],[Dest Doc]]</f>
        <v>0</v>
      </c>
      <c r="BR92" s="142"/>
      <c r="BS92" s="154"/>
      <c r="BT92" s="94">
        <f ca="1">TblConstr[[#This Row],[Land]]</f>
        <v>50</v>
      </c>
      <c r="BU92" s="159">
        <f ca="1">TblImps[[#This Row],[Time]]</f>
        <v>46323.666666666453</v>
      </c>
      <c r="BV92" s="142"/>
      <c r="BW92" s="179"/>
      <c r="BX92" s="179"/>
      <c r="BY92" s="179"/>
      <c r="BZ92" s="179"/>
      <c r="CA92" s="179"/>
      <c r="CB92" s="179"/>
      <c r="CC92" s="179"/>
      <c r="CD92" s="179"/>
      <c r="CE92" s="179"/>
      <c r="CF92" s="179"/>
      <c r="CG92" s="179"/>
      <c r="CH92" s="179"/>
      <c r="CI92" s="179"/>
      <c r="CJ92" s="179"/>
      <c r="CK92" s="179"/>
      <c r="CL92" s="179"/>
      <c r="CM92" s="179"/>
      <c r="CN92" s="179"/>
      <c r="CO92" s="179"/>
      <c r="CP92" s="142"/>
      <c r="CQ92" s="181">
        <f ca="1">-SUM(TblConstr[[#This Row],[Alc]:[Mas]])+SUM(TblConstr[[#This Row],[Dest Alc]:[Dest Mas]])+Rezone!L92+IF("Ch_"&amp; home_land=TblConstr[[#Headers],[Ch_Plain]],TblConstr[[#This Row],[Home Land]])+IF(TblConstr[[#This Row],[Hour]:[Hour]]&gt;12,OFFSET(TblExplore[[#This Row],[Plains Explore]],-12,0),0)</f>
        <v>0</v>
      </c>
      <c r="CR92" s="182">
        <f ca="1">-SUM(TblConstr[[#This Row],[Ly]:[Hav]])+SUM(TblConstr[[#This Row],[Dest Ly]:[Dest Hav]]) +Rezone!M92 + IF("Ch_"&amp; home_land=TblConstr[[#Headers],[Ch_Forest]],TblConstr[[#This Row],[Home Land]])+IF(TblConstr[[#This Row],[Hour]:[Hour]]&gt;12,OFFSET(TblExplore[[#This Row],[Forest Explore]],-12,0),0)</f>
        <v>0</v>
      </c>
      <c r="CS92" s="359">
        <f ca="1">-SUM(TblConstr[[#This Row],[OM]:[GN]])+SUM(TblConstr[[#This Row],[Dest OM]:[Dest GN]]) +Rezone!N92 + IF("Ch_"&amp; home_land=TblConstr[[#Headers],[Ch_Mountain]],TblConstr[[#This Row],[Home Land]])+IF(TblConstr[[#This Row],[Hour]:[Hour]]&gt;12,OFFSET(TblExplore[[#This Row],[Mountain Explore]],-12,0),0)</f>
        <v>0</v>
      </c>
      <c r="CT92" s="183">
        <f ca="1">-SUM(TblConstr[[#This Row],[Fac]:[Shr]])+SUM(TblConstr[[#This Row],[Dest Fac]:[Dest Shr]]) +Rezone!O92 + IF("Ch_" &amp; home_land=TblConstr[[#Headers],[Ch_Hill]],TblConstr[[#This Row],[Home Land]])+IF(TblConstr[[#This Row],[Hour]:[Hour]]&gt;12,OFFSET(TblExplore[[#This Row],[Hill Explore]],-12,0),0)</f>
        <v>0</v>
      </c>
      <c r="CU92" s="184">
        <f ca="1">-SUM(TblConstr[[#This Row],[Tow]:[WG]])+SUM(TblConstr[[#This Row],[Dest Tow]:[Dest WG]]) +Rezone!P92 + IF("Ch_" &amp; home_land=TblConstr[[#Headers],[Ch_Swamp]],TblConstr[[#This Row],[Home Land]])+IF(TblConstr[[#This Row],[Hour]:[Hour]]&gt;12,OFFSET(TblExplore[[#This Row],[Swamp Explore]],-12,0),0)</f>
        <v>0</v>
      </c>
      <c r="CV92" s="185">
        <f ca="1" xml:space="preserve"> - SUM(TblConstr[[#This Row],[DM]:[Sch]])+SUM(TblConstr[[#This Row],[Dest DM]:[Dest Sch]]) +Rezone!Q92 + IF("Ch_" &amp; home_land=TblConstr[[#Headers],[Ch_Cavern]],TblConstr[[#This Row],[Home Land]])+IF(TblConstr[[#This Row],[Hour]:[Hour]]&gt;12,OFFSET(TblExplore[[#This Row],[Cavern Explore]],-12,0),0)</f>
        <v>0</v>
      </c>
      <c r="CW92" s="186">
        <f ca="1">-TblConstr[[#This Row],[Doc]]+TblConstr[[#This Row],[Dest Doc]] +Rezone!R92 + IF("Ch_" &amp; home_land=TblConstr[[#Headers],[Ch_Water]],TblConstr[[#This Row],[Home Land]])+IF(TblConstr[[#This Row],[Hour]:[Hour]]&gt;12,OFFSET(TblExplore[[#This Row],[Water Explore]],-12,0),0)</f>
        <v>0</v>
      </c>
      <c r="CX92" s="45">
        <f>IF(Explore!S92=1,20) - TblConstr[[#This Row],[Hom]] + TblConstr[[#This Row],[Dest Hom]]</f>
        <v>0</v>
      </c>
      <c r="CY92" s="142"/>
      <c r="CZ92" s="94">
        <f t="shared" ca="1" si="23"/>
        <v>30</v>
      </c>
      <c r="DA92" s="94">
        <f t="shared" ca="1" si="24"/>
        <v>20</v>
      </c>
      <c r="DB92" s="45">
        <f t="shared" ca="1" si="25"/>
        <v>0</v>
      </c>
      <c r="DC92" s="94">
        <f t="shared" ca="1" si="26"/>
        <v>0</v>
      </c>
      <c r="DD92" s="94">
        <f t="shared" ca="1" si="27"/>
        <v>0</v>
      </c>
      <c r="DE92" s="45">
        <f t="shared" ca="1" si="28"/>
        <v>0</v>
      </c>
      <c r="DF92" s="94">
        <f t="shared" ca="1" si="29"/>
        <v>0</v>
      </c>
      <c r="DG92" s="94" cm="1">
        <f t="array" aca="1" ref="DG92" ca="1">INDEX(TblConstr[[Total Plain]:[Total Water]],ROW()-ROW(TblConstr[#Headers]),MATCH("Total "&amp;home_land,TblConstr[[#Headers],[Total Plain]:[Total Water]],0))+TblConstr[[#This Row],[Homes]]</f>
        <v>30</v>
      </c>
      <c r="DH92" s="45">
        <f t="shared" ca="1" si="22"/>
        <v>0</v>
      </c>
      <c r="DI92" s="45">
        <f t="shared" ca="1" si="19"/>
        <v>0</v>
      </c>
      <c r="DJ92" s="45">
        <f t="shared" ca="1" si="20"/>
        <v>0</v>
      </c>
    </row>
    <row r="93" spans="1:114" x14ac:dyDescent="0.2">
      <c r="A93" s="175">
        <f>TblRezone[[#This Row],[Hour]]</f>
        <v>90</v>
      </c>
      <c r="B93" s="176">
        <f ca="1">SUM(TblConstr[[#This Row],[Plain]:[Water]])</f>
        <v>0</v>
      </c>
      <c r="C93" s="177">
        <f ca="1">SUM(TblConstr[[#This Row],[Tot Hom]:[Tot Doc]])</f>
        <v>50</v>
      </c>
      <c r="D93" s="177">
        <f t="shared" si="21"/>
        <v>0</v>
      </c>
      <c r="E93" s="178"/>
      <c r="F93" s="61">
        <f ca="1">TblConstr[[#This Row],[Barren]]+TblConstr[[#This Row],[Buildings]]+TblConstr[[#This Row],[Incoming]]</f>
        <v>50</v>
      </c>
      <c r="G93" s="187">
        <f ca="1">OFFSET(TblConstr[[#This Row],[Plain]],-1,0)+TblConstr[[#This Row],[Ch_Plain]]</f>
        <v>0</v>
      </c>
      <c r="H93" s="182">
        <f ca="1">OFFSET(TblConstr[[#This Row],[Forest]],-1,0)+TblConstr[[#This Row],[Ch_Forest]]</f>
        <v>0</v>
      </c>
      <c r="I93" s="359">
        <f ca="1">OFFSET(TblConstr[[#This Row],[Mountain]],-1,0)+TblConstr[[#This Row],[Ch_Mountain]]</f>
        <v>0</v>
      </c>
      <c r="J93" s="363">
        <f ca="1">OFFSET(TblConstr[[#This Row],[Hill]],-1,0)+TblConstr[[#This Row],[Ch_Hill]]</f>
        <v>0</v>
      </c>
      <c r="K93" s="367">
        <f ca="1">OFFSET(TblConstr[[#This Row],[Swamp]],-1,0)+TblConstr[[#This Row],[Ch_Swamp]]</f>
        <v>0</v>
      </c>
      <c r="L93" s="185">
        <f ca="1">OFFSET(TblConstr[[#This Row],[Cavern]],-1,0)+TblConstr[[#This Row],[Ch_Cavern]]</f>
        <v>0</v>
      </c>
      <c r="M93" s="186">
        <f ca="1">OFFSET(TblConstr[[#This Row],[Water]],-1,0)+TblConstr[[#This Row],[Ch_Water]]</f>
        <v>0</v>
      </c>
      <c r="N93" s="357">
        <f>TblRezone[[#This Row],[Hour]]</f>
        <v>90</v>
      </c>
      <c r="O93" s="179"/>
      <c r="P93" s="179"/>
      <c r="Q93" s="179"/>
      <c r="R93" s="179"/>
      <c r="S93" s="179"/>
      <c r="T93" s="179"/>
      <c r="U93" s="179"/>
      <c r="V93" s="179"/>
      <c r="W93" s="179"/>
      <c r="X93" s="179"/>
      <c r="Y93" s="179"/>
      <c r="Z93" s="179"/>
      <c r="AA93" s="179"/>
      <c r="AB93" s="179"/>
      <c r="AC93" s="179"/>
      <c r="AD93" s="179"/>
      <c r="AE93" s="179"/>
      <c r="AF93" s="179"/>
      <c r="AG93" s="179"/>
      <c r="AH93" s="53">
        <f ca="1">TblImps[[#This Row],[Time]]</f>
        <v>46323.708333333117</v>
      </c>
      <c r="AI93" s="180">
        <f ca="1">MIN(25%,(TblConstr[[#This Row],[Tot Fac]]+TblConstr[[#This Row],[Dest Fac]])/(TblConstr[[#This Row],[Land]]-TblExplore[[#This Row],[Land Bonus]]*20))</f>
        <v>0</v>
      </c>
      <c r="AJ93" s="180">
        <f ca="1">MIN(25%,(TblConstr[[#This Row],[Tot Fac]]+TblConstr[[#This Row],[Dest Fac]])/TblConstr[[#This Row],[Land]])</f>
        <v>0</v>
      </c>
      <c r="AK93" s="94">
        <f ca="1">TblProd[[#This Row],[Platinum]]</f>
        <v>195088</v>
      </c>
      <c r="AL93" s="94">
        <f ca="1">TblProd[[#This Row],[Lumber]]</f>
        <v>65248</v>
      </c>
      <c r="AM9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3" s="94">
        <f ca="1">ROUNDDOWN( MAX(1 - MIN(facs_constr_factor*TblConstr[[#This Row],[Facs -DB]],facs_constr_max) + tech_1_11*TblTech[[#This Row],[11-1]] + tech_6_3_2*TblTech[[#This Row],[6-3]] + tech_5_2_3*TblTech[[#This Row],[5-2]], 1-global_constr_cap) * TblConstr[[#This Row],[RCPA Lumber]],0)</f>
        <v>31</v>
      </c>
      <c r="AO9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3" s="94">
        <f ca="1">ROUNDDOWN( MAX(1 - MIN(facs_constr_factor*TblConstr[[#This Row],[Facs DB]],facs_constr_max) + tech_1_11*TblTech[[#This Row],[1-11]] + tech_6_3_2*TblTech[[#This Row],[6-3]] + tech_5_2_3*TblTech[[#This Row],[5-2]], 1-global_constr_cap) * ROUND((TblConstr[[#This Row],[Land]]-250)*0.285 + 87.5 + 0/4.25,0),0)</f>
        <v>31</v>
      </c>
      <c r="AQ93" s="45">
        <f ca="1">TblConstr[[#This Row],[build -db]]*TblConstr[[#This Row],[CPA Platinum -DB]] + TblConstr[[#This Row],[build db]]*TblConstr[[#This Row],[CPA Platinum DB]]</f>
        <v>0</v>
      </c>
      <c r="AR93" s="45">
        <f ca="1">TblConstr[[#This Row],[build -db]]*TblConstr[[#This Row],[CPA Lumber -DB]] + TblConstr[[#This Row],[build db]]*TblConstr[[#This Row],[CPA Lumber DB]]</f>
        <v>0</v>
      </c>
      <c r="AS93" s="94">
        <f ca="1">MIN(SUM(OFFSET(TblConstr[[#This Row],[Plain]:[Water]],-1,0))+SUM(TblConstr[[#This Row],[Dest Hom]:[Dest Doc]])+IF(TblConstr[[#This Row],[Hour]]&gt;12,SUM(OFFSET(TblExplore[[#This Row],[Plains Explore]:[Water Explore]],-12,0)),0),SUM(TblConstr[[#This Row],[Hom]:[Doc]]))</f>
        <v>0</v>
      </c>
      <c r="AT9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42"/>
      <c r="AV93" s="94">
        <f ca="1">ROUND((TblConstr[[#This Row],[Land]]-250 - IF(TblExplore[[#This Row],[Land Bonus]]&lt;&gt;0,20,0))*1.25 + 850 + 0,0)</f>
        <v>600</v>
      </c>
      <c r="AW93" s="94">
        <f ca="1">ROUND((TblConstr[[#This Row],[Land]]-250 - IF(TblExplore[[#This Row],[Land Bonus]]&lt;&gt;0,20,0))*0.285 + 87.5 + 0/4.25,0)</f>
        <v>31</v>
      </c>
      <c r="AX93" s="154"/>
      <c r="AY93" s="188" cm="1">
        <f t="array" aca="1" ref="AY93" ca="1">IF(TblConstr[[#This Row],[Hour]:[Hour]]&gt;12,OFFSET(TblConstr[[#This Row],[Hom]],-12,0),0)+OFFSET(TblConstr[[#This Row],[Tot Hom]],-1,0)-TblConstr[[#This Row],[Dest Hom]]</f>
        <v>0</v>
      </c>
      <c r="AZ93" s="189" cm="1">
        <f t="array" aca="1" ref="AZ93" ca="1">IF(TblConstr[[#This Row],[Hour]:[Hour]]&gt;12,OFFSET(TblConstr[[#This Row],[Alc]],-12,0),0)+OFFSET(TblConstr[[#This Row],[Tot Alc]],-1,0)-TblConstr[[#This Row],[Dest Alc]]</f>
        <v>0</v>
      </c>
      <c r="BA93" s="189" cm="1">
        <f t="array" aca="1" ref="BA93" ca="1">IF(TblConstr[[#This Row],[Hour]:[Hour]]&gt;12,OFFSET(TblConstr[[#This Row],[Far]],-12,0),0)+OFFSET(TblConstr[[#This Row],[Tot Farm]],-1,0)-TblConstr[[#This Row],[Dest Farm]]</f>
        <v>30</v>
      </c>
      <c r="BB93" s="189" cm="1">
        <f t="array" aca="1" ref="BB93" ca="1">IF(TblConstr[[#This Row],[Hour]:[Hour]]&gt;12,OFFSET(TblConstr[[#This Row],[Smi]],-12,0),0)+OFFSET(TblConstr[[#This Row],[Tot Smi]],-1,0)-TblConstr[[#This Row],[Dest Smi]]</f>
        <v>0</v>
      </c>
      <c r="BC93" s="189" cm="1">
        <f t="array" aca="1" ref="BC93" ca="1">IF(TblConstr[[#This Row],[Hour]:[Hour]]&gt;12,OFFSET(TblConstr[[#This Row],[Mas]],-12,0),0)+OFFSET(TblConstr[[#This Row],[Tot Mas]],-1,0)-TblConstr[[#This Row],[Dest Mas]]</f>
        <v>0</v>
      </c>
      <c r="BD93" s="190" cm="1">
        <f t="array" aca="1" ref="BD93" ca="1">IF(TblConstr[[#This Row],[Hour]:[Hour]]&gt;12,OFFSET(TblConstr[[#This Row],[Ly]],-12,0),0)+OFFSET(TblConstr[[#This Row],[Tot Ly]],-1,0)-TblConstr[[#This Row],[Dest Ly]]</f>
        <v>20</v>
      </c>
      <c r="BE93" s="190" cm="1">
        <f t="array" aca="1" ref="BE93" ca="1">IF(TblConstr[[#This Row],[Hour]:[Hour]]&gt;12,OFFSET(TblConstr[[#This Row],[Hav]],-12,0),0)+OFFSET(TblConstr[[#This Row],[Tot Hav]],-1,0)-TblConstr[[#This Row],[Dest Hav]]</f>
        <v>0</v>
      </c>
      <c r="BF93" s="361" cm="1">
        <f t="array" aca="1" ref="BF93" ca="1">IF(TblConstr[[#This Row],[Hour]:[Hour]]&gt;12,OFFSET(TblConstr[[#This Row],[OM]],-12,0),0)+OFFSET(TblConstr[[#This Row],[Tot OM]],-1,0)-TblConstr[[#This Row],[Dest OM]]</f>
        <v>0</v>
      </c>
      <c r="BG93" s="361" cm="1">
        <f t="array" aca="1" ref="BG93" ca="1">IF(TblConstr[[#This Row],[Hour]:[Hour]]&gt;12,OFFSET(TblConstr[[#This Row],[GN]],-12,0),0)+OFFSET(TblConstr[[#This Row],[Tot GN]],-1,0)-TblConstr[[#This Row],[Dest GN]]</f>
        <v>0</v>
      </c>
      <c r="BH93" s="365" cm="1">
        <f t="array" aca="1" ref="BH93" ca="1">IF(TblConstr[[#This Row],[Hour]:[Hour]]&gt;12,OFFSET(TblConstr[[#This Row],[Fac]],-12,0),0)+OFFSET(TblConstr[[#This Row],[Tot Fac]],-1,0)-TblConstr[[#This Row],[Dest Fac]]</f>
        <v>0</v>
      </c>
      <c r="BI93" s="365" cm="1">
        <f t="array" aca="1" ref="BI93" ca="1">IF(TblConstr[[#This Row],[Hour]:[Hour]]&gt;12,OFFSET(TblConstr[[#This Row],[GT]],-12,0),0)+OFFSET(TblConstr[[#This Row],[Tot GT]],-1,0)-TblConstr[[#This Row],[Dest GT]]</f>
        <v>0</v>
      </c>
      <c r="BJ93" s="365" cm="1">
        <f t="array" aca="1" ref="BJ93" ca="1">IF(TblConstr[[#This Row],[Hour]:[Hour]]&gt;12,OFFSET(TblConstr[[#This Row],[Bar]],-12,0),0)+OFFSET(TblConstr[[#This Row],[Tot Bar]],-1,0)-TblConstr[[#This Row],[Dest Bar]]</f>
        <v>0</v>
      </c>
      <c r="BK93" s="365" cm="1">
        <f t="array" aca="1" ref="BK93" ca="1">IF(TblConstr[[#This Row],[Hour]:[Hour]]&gt;12,OFFSET(TblConstr[[#This Row],[Shr]],-12,0),0)+OFFSET(TblConstr[[#This Row],[Tot Shr]],-1,0)-TblConstr[[#This Row],[Dest Shr]]</f>
        <v>0</v>
      </c>
      <c r="BL93" s="369" cm="1">
        <f t="array" aca="1" ref="BL93" ca="1">IF(TblConstr[[#This Row],[Hour]:[Hour]]&gt;12,OFFSET(TblConstr[[#This Row],[Tow]],-12,0),0)+OFFSET(TblConstr[[#This Row],[Tot Tow]],-1,0)-TblConstr[[#This Row],[Dest Tow]]</f>
        <v>0</v>
      </c>
      <c r="BM93" s="369" cm="1">
        <f t="array" aca="1" ref="BM93" ca="1">IF(TblConstr[[#This Row],[Hour]:[Hour]]&gt;12,OFFSET(TblConstr[[#This Row],[Tem]],-12,0),0)+OFFSET(TblConstr[[#This Row],[Tot Tem]],-1,0)-TblConstr[[#This Row],[Dest Tem]]</f>
        <v>0</v>
      </c>
      <c r="BN93" s="369" cm="1">
        <f t="array" aca="1" ref="BN93" ca="1">IF(TblConstr[[#This Row],[Hour]:[Hour]]&gt;12,OFFSET(TblConstr[[#This Row],[WG]],-12,0),0)+OFFSET(TblConstr[[#This Row],[Tot WG]],-1,0)-TblConstr[[#This Row],[Dest WG]]</f>
        <v>0</v>
      </c>
      <c r="BO93" s="191" cm="1">
        <f t="array" aca="1" ref="BO93" ca="1">IF(TblConstr[[#This Row],[Hour]:[Hour]]&gt;12,OFFSET(TblConstr[[#This Row],[DM]],-12,0),0)+OFFSET(TblConstr[[#This Row],[Tot DM]],-1,0)-TblConstr[[#This Row],[Dest DM]]</f>
        <v>0</v>
      </c>
      <c r="BP93" s="191" cm="1">
        <f t="array" aca="1" ref="BP93" ca="1">IF(TblConstr[[#This Row],[Hour]:[Hour]]&gt;12,OFFSET(TblConstr[[#This Row],[Sch]],-12,0),0)+OFFSET(TblConstr[[#This Row],[Tot Sch]],-1,0)-TblConstr[[#This Row],[Dest Sch]]</f>
        <v>0</v>
      </c>
      <c r="BQ93" s="192" cm="1">
        <f t="array" aca="1" ref="BQ93" ca="1">IF(TblConstr[[#This Row],[Hour]:[Hour]]&gt;12,OFFSET(TblConstr[[#This Row],[Doc]],-12,0),0)+OFFSET(TblConstr[[#This Row],[Tot Doc]],-1,0)-TblConstr[[#This Row],[Dest Doc]]</f>
        <v>0</v>
      </c>
      <c r="BR93" s="142"/>
      <c r="BS93" s="154"/>
      <c r="BT93" s="94">
        <f ca="1">TblConstr[[#This Row],[Land]]</f>
        <v>50</v>
      </c>
      <c r="BU93" s="159">
        <f ca="1">TblImps[[#This Row],[Time]]</f>
        <v>46323.708333333117</v>
      </c>
      <c r="BV93" s="142"/>
      <c r="BW93" s="179"/>
      <c r="BX93" s="179"/>
      <c r="BY93" s="179"/>
      <c r="BZ93" s="179"/>
      <c r="CA93" s="179"/>
      <c r="CB93" s="179"/>
      <c r="CC93" s="179"/>
      <c r="CD93" s="179"/>
      <c r="CE93" s="179"/>
      <c r="CF93" s="179"/>
      <c r="CG93" s="179"/>
      <c r="CH93" s="179"/>
      <c r="CI93" s="179"/>
      <c r="CJ93" s="179"/>
      <c r="CK93" s="179"/>
      <c r="CL93" s="179"/>
      <c r="CM93" s="179"/>
      <c r="CN93" s="179"/>
      <c r="CO93" s="179"/>
      <c r="CP93" s="142"/>
      <c r="CQ93" s="181">
        <f ca="1">-SUM(TblConstr[[#This Row],[Alc]:[Mas]])+SUM(TblConstr[[#This Row],[Dest Alc]:[Dest Mas]])+Rezone!L93+IF("Ch_"&amp; home_land=TblConstr[[#Headers],[Ch_Plain]],TblConstr[[#This Row],[Home Land]])+IF(TblConstr[[#This Row],[Hour]:[Hour]]&gt;12,OFFSET(TblExplore[[#This Row],[Plains Explore]],-12,0),0)</f>
        <v>0</v>
      </c>
      <c r="CR93" s="182">
        <f ca="1">-SUM(TblConstr[[#This Row],[Ly]:[Hav]])+SUM(TblConstr[[#This Row],[Dest Ly]:[Dest Hav]]) +Rezone!M93 + IF("Ch_"&amp; home_land=TblConstr[[#Headers],[Ch_Forest]],TblConstr[[#This Row],[Home Land]])+IF(TblConstr[[#This Row],[Hour]:[Hour]]&gt;12,OFFSET(TblExplore[[#This Row],[Forest Explore]],-12,0),0)</f>
        <v>0</v>
      </c>
      <c r="CS93" s="359">
        <f ca="1">-SUM(TblConstr[[#This Row],[OM]:[GN]])+SUM(TblConstr[[#This Row],[Dest OM]:[Dest GN]]) +Rezone!N93 + IF("Ch_"&amp; home_land=TblConstr[[#Headers],[Ch_Mountain]],TblConstr[[#This Row],[Home Land]])+IF(TblConstr[[#This Row],[Hour]:[Hour]]&gt;12,OFFSET(TblExplore[[#This Row],[Mountain Explore]],-12,0),0)</f>
        <v>0</v>
      </c>
      <c r="CT93" s="183">
        <f ca="1">-SUM(TblConstr[[#This Row],[Fac]:[Shr]])+SUM(TblConstr[[#This Row],[Dest Fac]:[Dest Shr]]) +Rezone!O93 + IF("Ch_" &amp; home_land=TblConstr[[#Headers],[Ch_Hill]],TblConstr[[#This Row],[Home Land]])+IF(TblConstr[[#This Row],[Hour]:[Hour]]&gt;12,OFFSET(TblExplore[[#This Row],[Hill Explore]],-12,0),0)</f>
        <v>0</v>
      </c>
      <c r="CU93" s="184">
        <f ca="1">-SUM(TblConstr[[#This Row],[Tow]:[WG]])+SUM(TblConstr[[#This Row],[Dest Tow]:[Dest WG]]) +Rezone!P93 + IF("Ch_" &amp; home_land=TblConstr[[#Headers],[Ch_Swamp]],TblConstr[[#This Row],[Home Land]])+IF(TblConstr[[#This Row],[Hour]:[Hour]]&gt;12,OFFSET(TblExplore[[#This Row],[Swamp Explore]],-12,0),0)</f>
        <v>0</v>
      </c>
      <c r="CV93" s="185">
        <f ca="1" xml:space="preserve"> - SUM(TblConstr[[#This Row],[DM]:[Sch]])+SUM(TblConstr[[#This Row],[Dest DM]:[Dest Sch]]) +Rezone!Q93 + IF("Ch_" &amp; home_land=TblConstr[[#Headers],[Ch_Cavern]],TblConstr[[#This Row],[Home Land]])+IF(TblConstr[[#This Row],[Hour]:[Hour]]&gt;12,OFFSET(TblExplore[[#This Row],[Cavern Explore]],-12,0),0)</f>
        <v>0</v>
      </c>
      <c r="CW93" s="186">
        <f ca="1">-TblConstr[[#This Row],[Doc]]+TblConstr[[#This Row],[Dest Doc]] +Rezone!R93 + IF("Ch_" &amp; home_land=TblConstr[[#Headers],[Ch_Water]],TblConstr[[#This Row],[Home Land]])+IF(TblConstr[[#This Row],[Hour]:[Hour]]&gt;12,OFFSET(TblExplore[[#This Row],[Water Explore]],-12,0),0)</f>
        <v>0</v>
      </c>
      <c r="CX93" s="45">
        <f>IF(Explore!S93=1,20) - TblConstr[[#This Row],[Hom]] + TblConstr[[#This Row],[Dest Hom]]</f>
        <v>0</v>
      </c>
      <c r="CY93" s="142"/>
      <c r="CZ93" s="94">
        <f t="shared" ca="1" si="23"/>
        <v>30</v>
      </c>
      <c r="DA93" s="94">
        <f t="shared" ca="1" si="24"/>
        <v>20</v>
      </c>
      <c r="DB93" s="45">
        <f t="shared" ca="1" si="25"/>
        <v>0</v>
      </c>
      <c r="DC93" s="94">
        <f t="shared" ca="1" si="26"/>
        <v>0</v>
      </c>
      <c r="DD93" s="94">
        <f t="shared" ca="1" si="27"/>
        <v>0</v>
      </c>
      <c r="DE93" s="45">
        <f t="shared" ca="1" si="28"/>
        <v>0</v>
      </c>
      <c r="DF93" s="94">
        <f t="shared" ca="1" si="29"/>
        <v>0</v>
      </c>
      <c r="DG93" s="94" cm="1">
        <f t="array" aca="1" ref="DG93" ca="1">INDEX(TblConstr[[Total Plain]:[Total Water]],ROW()-ROW(TblConstr[#Headers]),MATCH("Total "&amp;home_land,TblConstr[[#Headers],[Total Plain]:[Total Water]],0))+TblConstr[[#This Row],[Homes]]</f>
        <v>30</v>
      </c>
      <c r="DH93" s="45">
        <f t="shared" ca="1" si="22"/>
        <v>0</v>
      </c>
      <c r="DI93" s="45">
        <f t="shared" ca="1" si="19"/>
        <v>0</v>
      </c>
      <c r="DJ93" s="45">
        <f t="shared" ca="1" si="20"/>
        <v>0</v>
      </c>
    </row>
    <row r="94" spans="1:114" x14ac:dyDescent="0.2">
      <c r="A94" s="175">
        <f>TblRezone[[#This Row],[Hour]]</f>
        <v>91</v>
      </c>
      <c r="B94" s="176">
        <f ca="1">SUM(TblConstr[[#This Row],[Plain]:[Water]])</f>
        <v>0</v>
      </c>
      <c r="C94" s="177">
        <f ca="1">SUM(TblConstr[[#This Row],[Tot Hom]:[Tot Doc]])</f>
        <v>50</v>
      </c>
      <c r="D94" s="177">
        <f t="shared" si="21"/>
        <v>0</v>
      </c>
      <c r="E94" s="178"/>
      <c r="F94" s="61">
        <f ca="1">TblConstr[[#This Row],[Barren]]+TblConstr[[#This Row],[Buildings]]+TblConstr[[#This Row],[Incoming]]</f>
        <v>50</v>
      </c>
      <c r="G94" s="187">
        <f ca="1">OFFSET(TblConstr[[#This Row],[Plain]],-1,0)+TblConstr[[#This Row],[Ch_Plain]]</f>
        <v>0</v>
      </c>
      <c r="H94" s="182">
        <f ca="1">OFFSET(TblConstr[[#This Row],[Forest]],-1,0)+TblConstr[[#This Row],[Ch_Forest]]</f>
        <v>0</v>
      </c>
      <c r="I94" s="359">
        <f ca="1">OFFSET(TblConstr[[#This Row],[Mountain]],-1,0)+TblConstr[[#This Row],[Ch_Mountain]]</f>
        <v>0</v>
      </c>
      <c r="J94" s="363">
        <f ca="1">OFFSET(TblConstr[[#This Row],[Hill]],-1,0)+TblConstr[[#This Row],[Ch_Hill]]</f>
        <v>0</v>
      </c>
      <c r="K94" s="367">
        <f ca="1">OFFSET(TblConstr[[#This Row],[Swamp]],-1,0)+TblConstr[[#This Row],[Ch_Swamp]]</f>
        <v>0</v>
      </c>
      <c r="L94" s="185">
        <f ca="1">OFFSET(TblConstr[[#This Row],[Cavern]],-1,0)+TblConstr[[#This Row],[Ch_Cavern]]</f>
        <v>0</v>
      </c>
      <c r="M94" s="186">
        <f ca="1">OFFSET(TblConstr[[#This Row],[Water]],-1,0)+TblConstr[[#This Row],[Ch_Water]]</f>
        <v>0</v>
      </c>
      <c r="N94" s="357">
        <f>TblRezone[[#This Row],[Hour]]</f>
        <v>91</v>
      </c>
      <c r="O94" s="179"/>
      <c r="P94" s="179"/>
      <c r="Q94" s="179"/>
      <c r="R94" s="179"/>
      <c r="S94" s="179"/>
      <c r="T94" s="179"/>
      <c r="U94" s="179"/>
      <c r="V94" s="179"/>
      <c r="W94" s="179"/>
      <c r="X94" s="179"/>
      <c r="Y94" s="179"/>
      <c r="Z94" s="179"/>
      <c r="AA94" s="179"/>
      <c r="AB94" s="179"/>
      <c r="AC94" s="179"/>
      <c r="AD94" s="179"/>
      <c r="AE94" s="179"/>
      <c r="AF94" s="179"/>
      <c r="AG94" s="179"/>
      <c r="AH94" s="53">
        <f ca="1">TblImps[[#This Row],[Time]]</f>
        <v>46323.749999999782</v>
      </c>
      <c r="AI94" s="180">
        <f ca="1">MIN(25%,(TblConstr[[#This Row],[Tot Fac]]+TblConstr[[#This Row],[Dest Fac]])/(TblConstr[[#This Row],[Land]]-TblExplore[[#This Row],[Land Bonus]]*20))</f>
        <v>0</v>
      </c>
      <c r="AJ94" s="180">
        <f ca="1">MIN(25%,(TblConstr[[#This Row],[Tot Fac]]+TblConstr[[#This Row],[Dest Fac]])/TblConstr[[#This Row],[Land]])</f>
        <v>0</v>
      </c>
      <c r="AK94" s="94">
        <f ca="1">TblProd[[#This Row],[Platinum]]</f>
        <v>195614</v>
      </c>
      <c r="AL94" s="94">
        <f ca="1">TblProd[[#This Row],[Lumber]]</f>
        <v>65596</v>
      </c>
      <c r="AM9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4" s="94">
        <f ca="1">ROUNDDOWN( MAX(1 - MIN(facs_constr_factor*TblConstr[[#This Row],[Facs -DB]],facs_constr_max) + tech_1_11*TblTech[[#This Row],[11-1]] + tech_6_3_2*TblTech[[#This Row],[6-3]] + tech_5_2_3*TblTech[[#This Row],[5-2]], 1-global_constr_cap) * TblConstr[[#This Row],[RCPA Lumber]],0)</f>
        <v>31</v>
      </c>
      <c r="AO9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4" s="94">
        <f ca="1">ROUNDDOWN( MAX(1 - MIN(facs_constr_factor*TblConstr[[#This Row],[Facs DB]],facs_constr_max) + tech_1_11*TblTech[[#This Row],[1-11]] + tech_6_3_2*TblTech[[#This Row],[6-3]] + tech_5_2_3*TblTech[[#This Row],[5-2]], 1-global_constr_cap) * ROUND((TblConstr[[#This Row],[Land]]-250)*0.285 + 87.5 + 0/4.25,0),0)</f>
        <v>31</v>
      </c>
      <c r="AQ94" s="45">
        <f ca="1">TblConstr[[#This Row],[build -db]]*TblConstr[[#This Row],[CPA Platinum -DB]] + TblConstr[[#This Row],[build db]]*TblConstr[[#This Row],[CPA Platinum DB]]</f>
        <v>0</v>
      </c>
      <c r="AR94" s="45">
        <f ca="1">TblConstr[[#This Row],[build -db]]*TblConstr[[#This Row],[CPA Lumber -DB]] + TblConstr[[#This Row],[build db]]*TblConstr[[#This Row],[CPA Lumber DB]]</f>
        <v>0</v>
      </c>
      <c r="AS94" s="94">
        <f ca="1">MIN(SUM(OFFSET(TblConstr[[#This Row],[Plain]:[Water]],-1,0))+SUM(TblConstr[[#This Row],[Dest Hom]:[Dest Doc]])+IF(TblConstr[[#This Row],[Hour]]&gt;12,SUM(OFFSET(TblExplore[[#This Row],[Plains Explore]:[Water Explore]],-12,0)),0),SUM(TblConstr[[#This Row],[Hom]:[Doc]]))</f>
        <v>0</v>
      </c>
      <c r="AT9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42"/>
      <c r="AV94" s="94">
        <f ca="1">ROUND((TblConstr[[#This Row],[Land]]-250 - IF(TblExplore[[#This Row],[Land Bonus]]&lt;&gt;0,20,0))*1.25 + 850 + 0,0)</f>
        <v>600</v>
      </c>
      <c r="AW94" s="94">
        <f ca="1">ROUND((TblConstr[[#This Row],[Land]]-250 - IF(TblExplore[[#This Row],[Land Bonus]]&lt;&gt;0,20,0))*0.285 + 87.5 + 0/4.25,0)</f>
        <v>31</v>
      </c>
      <c r="AX94" s="154"/>
      <c r="AY94" s="188" cm="1">
        <f t="array" aca="1" ref="AY94" ca="1">IF(TblConstr[[#This Row],[Hour]:[Hour]]&gt;12,OFFSET(TblConstr[[#This Row],[Hom]],-12,0),0)+OFFSET(TblConstr[[#This Row],[Tot Hom]],-1,0)-TblConstr[[#This Row],[Dest Hom]]</f>
        <v>0</v>
      </c>
      <c r="AZ94" s="189" cm="1">
        <f t="array" aca="1" ref="AZ94" ca="1">IF(TblConstr[[#This Row],[Hour]:[Hour]]&gt;12,OFFSET(TblConstr[[#This Row],[Alc]],-12,0),0)+OFFSET(TblConstr[[#This Row],[Tot Alc]],-1,0)-TblConstr[[#This Row],[Dest Alc]]</f>
        <v>0</v>
      </c>
      <c r="BA94" s="189" cm="1">
        <f t="array" aca="1" ref="BA94" ca="1">IF(TblConstr[[#This Row],[Hour]:[Hour]]&gt;12,OFFSET(TblConstr[[#This Row],[Far]],-12,0),0)+OFFSET(TblConstr[[#This Row],[Tot Farm]],-1,0)-TblConstr[[#This Row],[Dest Farm]]</f>
        <v>30</v>
      </c>
      <c r="BB94" s="189" cm="1">
        <f t="array" aca="1" ref="BB94" ca="1">IF(TblConstr[[#This Row],[Hour]:[Hour]]&gt;12,OFFSET(TblConstr[[#This Row],[Smi]],-12,0),0)+OFFSET(TblConstr[[#This Row],[Tot Smi]],-1,0)-TblConstr[[#This Row],[Dest Smi]]</f>
        <v>0</v>
      </c>
      <c r="BC94" s="189" cm="1">
        <f t="array" aca="1" ref="BC94" ca="1">IF(TblConstr[[#This Row],[Hour]:[Hour]]&gt;12,OFFSET(TblConstr[[#This Row],[Mas]],-12,0),0)+OFFSET(TblConstr[[#This Row],[Tot Mas]],-1,0)-TblConstr[[#This Row],[Dest Mas]]</f>
        <v>0</v>
      </c>
      <c r="BD94" s="190" cm="1">
        <f t="array" aca="1" ref="BD94" ca="1">IF(TblConstr[[#This Row],[Hour]:[Hour]]&gt;12,OFFSET(TblConstr[[#This Row],[Ly]],-12,0),0)+OFFSET(TblConstr[[#This Row],[Tot Ly]],-1,0)-TblConstr[[#This Row],[Dest Ly]]</f>
        <v>20</v>
      </c>
      <c r="BE94" s="190" cm="1">
        <f t="array" aca="1" ref="BE94" ca="1">IF(TblConstr[[#This Row],[Hour]:[Hour]]&gt;12,OFFSET(TblConstr[[#This Row],[Hav]],-12,0),0)+OFFSET(TblConstr[[#This Row],[Tot Hav]],-1,0)-TblConstr[[#This Row],[Dest Hav]]</f>
        <v>0</v>
      </c>
      <c r="BF94" s="361" cm="1">
        <f t="array" aca="1" ref="BF94" ca="1">IF(TblConstr[[#This Row],[Hour]:[Hour]]&gt;12,OFFSET(TblConstr[[#This Row],[OM]],-12,0),0)+OFFSET(TblConstr[[#This Row],[Tot OM]],-1,0)-TblConstr[[#This Row],[Dest OM]]</f>
        <v>0</v>
      </c>
      <c r="BG94" s="361" cm="1">
        <f t="array" aca="1" ref="BG94" ca="1">IF(TblConstr[[#This Row],[Hour]:[Hour]]&gt;12,OFFSET(TblConstr[[#This Row],[GN]],-12,0),0)+OFFSET(TblConstr[[#This Row],[Tot GN]],-1,0)-TblConstr[[#This Row],[Dest GN]]</f>
        <v>0</v>
      </c>
      <c r="BH94" s="365" cm="1">
        <f t="array" aca="1" ref="BH94" ca="1">IF(TblConstr[[#This Row],[Hour]:[Hour]]&gt;12,OFFSET(TblConstr[[#This Row],[Fac]],-12,0),0)+OFFSET(TblConstr[[#This Row],[Tot Fac]],-1,0)-TblConstr[[#This Row],[Dest Fac]]</f>
        <v>0</v>
      </c>
      <c r="BI94" s="365" cm="1">
        <f t="array" aca="1" ref="BI94" ca="1">IF(TblConstr[[#This Row],[Hour]:[Hour]]&gt;12,OFFSET(TblConstr[[#This Row],[GT]],-12,0),0)+OFFSET(TblConstr[[#This Row],[Tot GT]],-1,0)-TblConstr[[#This Row],[Dest GT]]</f>
        <v>0</v>
      </c>
      <c r="BJ94" s="365" cm="1">
        <f t="array" aca="1" ref="BJ94" ca="1">IF(TblConstr[[#This Row],[Hour]:[Hour]]&gt;12,OFFSET(TblConstr[[#This Row],[Bar]],-12,0),0)+OFFSET(TblConstr[[#This Row],[Tot Bar]],-1,0)-TblConstr[[#This Row],[Dest Bar]]</f>
        <v>0</v>
      </c>
      <c r="BK94" s="365" cm="1">
        <f t="array" aca="1" ref="BK94" ca="1">IF(TblConstr[[#This Row],[Hour]:[Hour]]&gt;12,OFFSET(TblConstr[[#This Row],[Shr]],-12,0),0)+OFFSET(TblConstr[[#This Row],[Tot Shr]],-1,0)-TblConstr[[#This Row],[Dest Shr]]</f>
        <v>0</v>
      </c>
      <c r="BL94" s="369" cm="1">
        <f t="array" aca="1" ref="BL94" ca="1">IF(TblConstr[[#This Row],[Hour]:[Hour]]&gt;12,OFFSET(TblConstr[[#This Row],[Tow]],-12,0),0)+OFFSET(TblConstr[[#This Row],[Tot Tow]],-1,0)-TblConstr[[#This Row],[Dest Tow]]</f>
        <v>0</v>
      </c>
      <c r="BM94" s="369" cm="1">
        <f t="array" aca="1" ref="BM94" ca="1">IF(TblConstr[[#This Row],[Hour]:[Hour]]&gt;12,OFFSET(TblConstr[[#This Row],[Tem]],-12,0),0)+OFFSET(TblConstr[[#This Row],[Tot Tem]],-1,0)-TblConstr[[#This Row],[Dest Tem]]</f>
        <v>0</v>
      </c>
      <c r="BN94" s="369" cm="1">
        <f t="array" aca="1" ref="BN94" ca="1">IF(TblConstr[[#This Row],[Hour]:[Hour]]&gt;12,OFFSET(TblConstr[[#This Row],[WG]],-12,0),0)+OFFSET(TblConstr[[#This Row],[Tot WG]],-1,0)-TblConstr[[#This Row],[Dest WG]]</f>
        <v>0</v>
      </c>
      <c r="BO94" s="191" cm="1">
        <f t="array" aca="1" ref="BO94" ca="1">IF(TblConstr[[#This Row],[Hour]:[Hour]]&gt;12,OFFSET(TblConstr[[#This Row],[DM]],-12,0),0)+OFFSET(TblConstr[[#This Row],[Tot DM]],-1,0)-TblConstr[[#This Row],[Dest DM]]</f>
        <v>0</v>
      </c>
      <c r="BP94" s="191" cm="1">
        <f t="array" aca="1" ref="BP94" ca="1">IF(TblConstr[[#This Row],[Hour]:[Hour]]&gt;12,OFFSET(TblConstr[[#This Row],[Sch]],-12,0),0)+OFFSET(TblConstr[[#This Row],[Tot Sch]],-1,0)-TblConstr[[#This Row],[Dest Sch]]</f>
        <v>0</v>
      </c>
      <c r="BQ94" s="192" cm="1">
        <f t="array" aca="1" ref="BQ94" ca="1">IF(TblConstr[[#This Row],[Hour]:[Hour]]&gt;12,OFFSET(TblConstr[[#This Row],[Doc]],-12,0),0)+OFFSET(TblConstr[[#This Row],[Tot Doc]],-1,0)-TblConstr[[#This Row],[Dest Doc]]</f>
        <v>0</v>
      </c>
      <c r="BR94" s="142"/>
      <c r="BS94" s="154"/>
      <c r="BT94" s="94">
        <f ca="1">TblConstr[[#This Row],[Land]]</f>
        <v>50</v>
      </c>
      <c r="BU94" s="159">
        <f ca="1">TblImps[[#This Row],[Time]]</f>
        <v>46323.749999999782</v>
      </c>
      <c r="BV94" s="142"/>
      <c r="BW94" s="179"/>
      <c r="BX94" s="179"/>
      <c r="BY94" s="179"/>
      <c r="BZ94" s="179"/>
      <c r="CA94" s="179"/>
      <c r="CB94" s="179"/>
      <c r="CC94" s="179"/>
      <c r="CD94" s="179"/>
      <c r="CE94" s="179"/>
      <c r="CF94" s="179"/>
      <c r="CG94" s="179"/>
      <c r="CH94" s="179"/>
      <c r="CI94" s="179"/>
      <c r="CJ94" s="179"/>
      <c r="CK94" s="179"/>
      <c r="CL94" s="179"/>
      <c r="CM94" s="179"/>
      <c r="CN94" s="179"/>
      <c r="CO94" s="179"/>
      <c r="CP94" s="142"/>
      <c r="CQ94" s="181">
        <f ca="1">-SUM(TblConstr[[#This Row],[Alc]:[Mas]])+SUM(TblConstr[[#This Row],[Dest Alc]:[Dest Mas]])+Rezone!L94+IF("Ch_"&amp; home_land=TblConstr[[#Headers],[Ch_Plain]],TblConstr[[#This Row],[Home Land]])+IF(TblConstr[[#This Row],[Hour]:[Hour]]&gt;12,OFFSET(TblExplore[[#This Row],[Plains Explore]],-12,0),0)</f>
        <v>0</v>
      </c>
      <c r="CR94" s="182">
        <f ca="1">-SUM(TblConstr[[#This Row],[Ly]:[Hav]])+SUM(TblConstr[[#This Row],[Dest Ly]:[Dest Hav]]) +Rezone!M94 + IF("Ch_"&amp; home_land=TblConstr[[#Headers],[Ch_Forest]],TblConstr[[#This Row],[Home Land]])+IF(TblConstr[[#This Row],[Hour]:[Hour]]&gt;12,OFFSET(TblExplore[[#This Row],[Forest Explore]],-12,0),0)</f>
        <v>0</v>
      </c>
      <c r="CS94" s="359">
        <f ca="1">-SUM(TblConstr[[#This Row],[OM]:[GN]])+SUM(TblConstr[[#This Row],[Dest OM]:[Dest GN]]) +Rezone!N94 + IF("Ch_"&amp; home_land=TblConstr[[#Headers],[Ch_Mountain]],TblConstr[[#This Row],[Home Land]])+IF(TblConstr[[#This Row],[Hour]:[Hour]]&gt;12,OFFSET(TblExplore[[#This Row],[Mountain Explore]],-12,0),0)</f>
        <v>0</v>
      </c>
      <c r="CT94" s="183">
        <f ca="1">-SUM(TblConstr[[#This Row],[Fac]:[Shr]])+SUM(TblConstr[[#This Row],[Dest Fac]:[Dest Shr]]) +Rezone!O94 + IF("Ch_" &amp; home_land=TblConstr[[#Headers],[Ch_Hill]],TblConstr[[#This Row],[Home Land]])+IF(TblConstr[[#This Row],[Hour]:[Hour]]&gt;12,OFFSET(TblExplore[[#This Row],[Hill Explore]],-12,0),0)</f>
        <v>0</v>
      </c>
      <c r="CU94" s="184">
        <f ca="1">-SUM(TblConstr[[#This Row],[Tow]:[WG]])+SUM(TblConstr[[#This Row],[Dest Tow]:[Dest WG]]) +Rezone!P94 + IF("Ch_" &amp; home_land=TblConstr[[#Headers],[Ch_Swamp]],TblConstr[[#This Row],[Home Land]])+IF(TblConstr[[#This Row],[Hour]:[Hour]]&gt;12,OFFSET(TblExplore[[#This Row],[Swamp Explore]],-12,0),0)</f>
        <v>0</v>
      </c>
      <c r="CV94" s="185">
        <f ca="1" xml:space="preserve"> - SUM(TblConstr[[#This Row],[DM]:[Sch]])+SUM(TblConstr[[#This Row],[Dest DM]:[Dest Sch]]) +Rezone!Q94 + IF("Ch_" &amp; home_land=TblConstr[[#Headers],[Ch_Cavern]],TblConstr[[#This Row],[Home Land]])+IF(TblConstr[[#This Row],[Hour]:[Hour]]&gt;12,OFFSET(TblExplore[[#This Row],[Cavern Explore]],-12,0),0)</f>
        <v>0</v>
      </c>
      <c r="CW94" s="186">
        <f ca="1">-TblConstr[[#This Row],[Doc]]+TblConstr[[#This Row],[Dest Doc]] +Rezone!R94 + IF("Ch_" &amp; home_land=TblConstr[[#Headers],[Ch_Water]],TblConstr[[#This Row],[Home Land]])+IF(TblConstr[[#This Row],[Hour]:[Hour]]&gt;12,OFFSET(TblExplore[[#This Row],[Water Explore]],-12,0),0)</f>
        <v>0</v>
      </c>
      <c r="CX94" s="45">
        <f>IF(Explore!S94=1,20) - TblConstr[[#This Row],[Hom]] + TblConstr[[#This Row],[Dest Hom]]</f>
        <v>0</v>
      </c>
      <c r="CY94" s="142"/>
      <c r="CZ94" s="94">
        <f t="shared" ca="1" si="23"/>
        <v>30</v>
      </c>
      <c r="DA94" s="94">
        <f t="shared" ca="1" si="24"/>
        <v>20</v>
      </c>
      <c r="DB94" s="45">
        <f t="shared" ca="1" si="25"/>
        <v>0</v>
      </c>
      <c r="DC94" s="94">
        <f t="shared" ca="1" si="26"/>
        <v>0</v>
      </c>
      <c r="DD94" s="94">
        <f t="shared" ca="1" si="27"/>
        <v>0</v>
      </c>
      <c r="DE94" s="45">
        <f t="shared" ca="1" si="28"/>
        <v>0</v>
      </c>
      <c r="DF94" s="94">
        <f t="shared" ca="1" si="29"/>
        <v>0</v>
      </c>
      <c r="DG94" s="94" cm="1">
        <f t="array" aca="1" ref="DG94" ca="1">INDEX(TblConstr[[Total Plain]:[Total Water]],ROW()-ROW(TblConstr[#Headers]),MATCH("Total "&amp;home_land,TblConstr[[#Headers],[Total Plain]:[Total Water]],0))+TblConstr[[#This Row],[Homes]]</f>
        <v>30</v>
      </c>
      <c r="DH94" s="45">
        <f t="shared" ca="1" si="22"/>
        <v>0</v>
      </c>
      <c r="DI94" s="45">
        <f t="shared" ca="1" si="19"/>
        <v>0</v>
      </c>
      <c r="DJ94" s="45">
        <f t="shared" ca="1" si="20"/>
        <v>0</v>
      </c>
    </row>
    <row r="95" spans="1:114" x14ac:dyDescent="0.2">
      <c r="A95" s="175">
        <f>TblRezone[[#This Row],[Hour]]</f>
        <v>92</v>
      </c>
      <c r="B95" s="176">
        <f ca="1">SUM(TblConstr[[#This Row],[Plain]:[Water]])</f>
        <v>0</v>
      </c>
      <c r="C95" s="177">
        <f ca="1">SUM(TblConstr[[#This Row],[Tot Hom]:[Tot Doc]])</f>
        <v>50</v>
      </c>
      <c r="D95" s="177">
        <f t="shared" si="21"/>
        <v>0</v>
      </c>
      <c r="E95" s="178"/>
      <c r="F95" s="61">
        <f ca="1">TblConstr[[#This Row],[Barren]]+TblConstr[[#This Row],[Buildings]]+TblConstr[[#This Row],[Incoming]]</f>
        <v>50</v>
      </c>
      <c r="G95" s="187">
        <f ca="1">OFFSET(TblConstr[[#This Row],[Plain]],-1,0)+TblConstr[[#This Row],[Ch_Plain]]</f>
        <v>0</v>
      </c>
      <c r="H95" s="182">
        <f ca="1">OFFSET(TblConstr[[#This Row],[Forest]],-1,0)+TblConstr[[#This Row],[Ch_Forest]]</f>
        <v>0</v>
      </c>
      <c r="I95" s="359">
        <f ca="1">OFFSET(TblConstr[[#This Row],[Mountain]],-1,0)+TblConstr[[#This Row],[Ch_Mountain]]</f>
        <v>0</v>
      </c>
      <c r="J95" s="363">
        <f ca="1">OFFSET(TblConstr[[#This Row],[Hill]],-1,0)+TblConstr[[#This Row],[Ch_Hill]]</f>
        <v>0</v>
      </c>
      <c r="K95" s="367">
        <f ca="1">OFFSET(TblConstr[[#This Row],[Swamp]],-1,0)+TblConstr[[#This Row],[Ch_Swamp]]</f>
        <v>0</v>
      </c>
      <c r="L95" s="185">
        <f ca="1">OFFSET(TblConstr[[#This Row],[Cavern]],-1,0)+TblConstr[[#This Row],[Ch_Cavern]]</f>
        <v>0</v>
      </c>
      <c r="M95" s="186">
        <f ca="1">OFFSET(TblConstr[[#This Row],[Water]],-1,0)+TblConstr[[#This Row],[Ch_Water]]</f>
        <v>0</v>
      </c>
      <c r="N95" s="357">
        <f>TblRezone[[#This Row],[Hour]]</f>
        <v>92</v>
      </c>
      <c r="O95" s="179"/>
      <c r="P95" s="179"/>
      <c r="Q95" s="179"/>
      <c r="R95" s="179"/>
      <c r="S95" s="179"/>
      <c r="T95" s="179"/>
      <c r="U95" s="179"/>
      <c r="V95" s="179"/>
      <c r="W95" s="179"/>
      <c r="X95" s="179"/>
      <c r="Y95" s="179"/>
      <c r="Z95" s="179"/>
      <c r="AA95" s="179"/>
      <c r="AB95" s="179"/>
      <c r="AC95" s="179"/>
      <c r="AD95" s="179"/>
      <c r="AE95" s="179"/>
      <c r="AF95" s="179"/>
      <c r="AG95" s="179"/>
      <c r="AH95" s="53">
        <f ca="1">TblImps[[#This Row],[Time]]</f>
        <v>46323.791666666446</v>
      </c>
      <c r="AI95" s="180">
        <f ca="1">MIN(25%,(TblConstr[[#This Row],[Tot Fac]]+TblConstr[[#This Row],[Dest Fac]])/(TblConstr[[#This Row],[Land]]-TblExplore[[#This Row],[Land Bonus]]*20))</f>
        <v>0</v>
      </c>
      <c r="AJ95" s="180">
        <f ca="1">MIN(25%,(TblConstr[[#This Row],[Tot Fac]]+TblConstr[[#This Row],[Dest Fac]])/TblConstr[[#This Row],[Land]])</f>
        <v>0</v>
      </c>
      <c r="AK95" s="94">
        <f ca="1">TblProd[[#This Row],[Platinum]]</f>
        <v>196135</v>
      </c>
      <c r="AL95" s="94">
        <f ca="1">TblProd[[#This Row],[Lumber]]</f>
        <v>65940</v>
      </c>
      <c r="AM9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5" s="94">
        <f ca="1">ROUNDDOWN( MAX(1 - MIN(facs_constr_factor*TblConstr[[#This Row],[Facs -DB]],facs_constr_max) + tech_1_11*TblTech[[#This Row],[11-1]] + tech_6_3_2*TblTech[[#This Row],[6-3]] + tech_5_2_3*TblTech[[#This Row],[5-2]], 1-global_constr_cap) * TblConstr[[#This Row],[RCPA Lumber]],0)</f>
        <v>31</v>
      </c>
      <c r="AO9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5" s="94">
        <f ca="1">ROUNDDOWN( MAX(1 - MIN(facs_constr_factor*TblConstr[[#This Row],[Facs DB]],facs_constr_max) + tech_1_11*TblTech[[#This Row],[1-11]] + tech_6_3_2*TblTech[[#This Row],[6-3]] + tech_5_2_3*TblTech[[#This Row],[5-2]], 1-global_constr_cap) * ROUND((TblConstr[[#This Row],[Land]]-250)*0.285 + 87.5 + 0/4.25,0),0)</f>
        <v>31</v>
      </c>
      <c r="AQ95" s="45">
        <f ca="1">TblConstr[[#This Row],[build -db]]*TblConstr[[#This Row],[CPA Platinum -DB]] + TblConstr[[#This Row],[build db]]*TblConstr[[#This Row],[CPA Platinum DB]]</f>
        <v>0</v>
      </c>
      <c r="AR95" s="45">
        <f ca="1">TblConstr[[#This Row],[build -db]]*TblConstr[[#This Row],[CPA Lumber -DB]] + TblConstr[[#This Row],[build db]]*TblConstr[[#This Row],[CPA Lumber DB]]</f>
        <v>0</v>
      </c>
      <c r="AS95" s="94">
        <f ca="1">MIN(SUM(OFFSET(TblConstr[[#This Row],[Plain]:[Water]],-1,0))+SUM(TblConstr[[#This Row],[Dest Hom]:[Dest Doc]])+IF(TblConstr[[#This Row],[Hour]]&gt;12,SUM(OFFSET(TblExplore[[#This Row],[Plains Explore]:[Water Explore]],-12,0)),0),SUM(TblConstr[[#This Row],[Hom]:[Doc]]))</f>
        <v>0</v>
      </c>
      <c r="AT9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42"/>
      <c r="AV95" s="94">
        <f ca="1">ROUND((TblConstr[[#This Row],[Land]]-250 - IF(TblExplore[[#This Row],[Land Bonus]]&lt;&gt;0,20,0))*1.25 + 850 + 0,0)</f>
        <v>600</v>
      </c>
      <c r="AW95" s="94">
        <f ca="1">ROUND((TblConstr[[#This Row],[Land]]-250 - IF(TblExplore[[#This Row],[Land Bonus]]&lt;&gt;0,20,0))*0.285 + 87.5 + 0/4.25,0)</f>
        <v>31</v>
      </c>
      <c r="AX95" s="154"/>
      <c r="AY95" s="188" cm="1">
        <f t="array" aca="1" ref="AY95" ca="1">IF(TblConstr[[#This Row],[Hour]:[Hour]]&gt;12,OFFSET(TblConstr[[#This Row],[Hom]],-12,0),0)+OFFSET(TblConstr[[#This Row],[Tot Hom]],-1,0)-TblConstr[[#This Row],[Dest Hom]]</f>
        <v>0</v>
      </c>
      <c r="AZ95" s="189" cm="1">
        <f t="array" aca="1" ref="AZ95" ca="1">IF(TblConstr[[#This Row],[Hour]:[Hour]]&gt;12,OFFSET(TblConstr[[#This Row],[Alc]],-12,0),0)+OFFSET(TblConstr[[#This Row],[Tot Alc]],-1,0)-TblConstr[[#This Row],[Dest Alc]]</f>
        <v>0</v>
      </c>
      <c r="BA95" s="189" cm="1">
        <f t="array" aca="1" ref="BA95" ca="1">IF(TblConstr[[#This Row],[Hour]:[Hour]]&gt;12,OFFSET(TblConstr[[#This Row],[Far]],-12,0),0)+OFFSET(TblConstr[[#This Row],[Tot Farm]],-1,0)-TblConstr[[#This Row],[Dest Farm]]</f>
        <v>30</v>
      </c>
      <c r="BB95" s="189" cm="1">
        <f t="array" aca="1" ref="BB95" ca="1">IF(TblConstr[[#This Row],[Hour]:[Hour]]&gt;12,OFFSET(TblConstr[[#This Row],[Smi]],-12,0),0)+OFFSET(TblConstr[[#This Row],[Tot Smi]],-1,0)-TblConstr[[#This Row],[Dest Smi]]</f>
        <v>0</v>
      </c>
      <c r="BC95" s="189" cm="1">
        <f t="array" aca="1" ref="BC95" ca="1">IF(TblConstr[[#This Row],[Hour]:[Hour]]&gt;12,OFFSET(TblConstr[[#This Row],[Mas]],-12,0),0)+OFFSET(TblConstr[[#This Row],[Tot Mas]],-1,0)-TblConstr[[#This Row],[Dest Mas]]</f>
        <v>0</v>
      </c>
      <c r="BD95" s="190" cm="1">
        <f t="array" aca="1" ref="BD95" ca="1">IF(TblConstr[[#This Row],[Hour]:[Hour]]&gt;12,OFFSET(TblConstr[[#This Row],[Ly]],-12,0),0)+OFFSET(TblConstr[[#This Row],[Tot Ly]],-1,0)-TblConstr[[#This Row],[Dest Ly]]</f>
        <v>20</v>
      </c>
      <c r="BE95" s="190" cm="1">
        <f t="array" aca="1" ref="BE95" ca="1">IF(TblConstr[[#This Row],[Hour]:[Hour]]&gt;12,OFFSET(TblConstr[[#This Row],[Hav]],-12,0),0)+OFFSET(TblConstr[[#This Row],[Tot Hav]],-1,0)-TblConstr[[#This Row],[Dest Hav]]</f>
        <v>0</v>
      </c>
      <c r="BF95" s="361" cm="1">
        <f t="array" aca="1" ref="BF95" ca="1">IF(TblConstr[[#This Row],[Hour]:[Hour]]&gt;12,OFFSET(TblConstr[[#This Row],[OM]],-12,0),0)+OFFSET(TblConstr[[#This Row],[Tot OM]],-1,0)-TblConstr[[#This Row],[Dest OM]]</f>
        <v>0</v>
      </c>
      <c r="BG95" s="361" cm="1">
        <f t="array" aca="1" ref="BG95" ca="1">IF(TblConstr[[#This Row],[Hour]:[Hour]]&gt;12,OFFSET(TblConstr[[#This Row],[GN]],-12,0),0)+OFFSET(TblConstr[[#This Row],[Tot GN]],-1,0)-TblConstr[[#This Row],[Dest GN]]</f>
        <v>0</v>
      </c>
      <c r="BH95" s="365" cm="1">
        <f t="array" aca="1" ref="BH95" ca="1">IF(TblConstr[[#This Row],[Hour]:[Hour]]&gt;12,OFFSET(TblConstr[[#This Row],[Fac]],-12,0),0)+OFFSET(TblConstr[[#This Row],[Tot Fac]],-1,0)-TblConstr[[#This Row],[Dest Fac]]</f>
        <v>0</v>
      </c>
      <c r="BI95" s="365" cm="1">
        <f t="array" aca="1" ref="BI95" ca="1">IF(TblConstr[[#This Row],[Hour]:[Hour]]&gt;12,OFFSET(TblConstr[[#This Row],[GT]],-12,0),0)+OFFSET(TblConstr[[#This Row],[Tot GT]],-1,0)-TblConstr[[#This Row],[Dest GT]]</f>
        <v>0</v>
      </c>
      <c r="BJ95" s="365" cm="1">
        <f t="array" aca="1" ref="BJ95" ca="1">IF(TblConstr[[#This Row],[Hour]:[Hour]]&gt;12,OFFSET(TblConstr[[#This Row],[Bar]],-12,0),0)+OFFSET(TblConstr[[#This Row],[Tot Bar]],-1,0)-TblConstr[[#This Row],[Dest Bar]]</f>
        <v>0</v>
      </c>
      <c r="BK95" s="365" cm="1">
        <f t="array" aca="1" ref="BK95" ca="1">IF(TblConstr[[#This Row],[Hour]:[Hour]]&gt;12,OFFSET(TblConstr[[#This Row],[Shr]],-12,0),0)+OFFSET(TblConstr[[#This Row],[Tot Shr]],-1,0)-TblConstr[[#This Row],[Dest Shr]]</f>
        <v>0</v>
      </c>
      <c r="BL95" s="369" cm="1">
        <f t="array" aca="1" ref="BL95" ca="1">IF(TblConstr[[#This Row],[Hour]:[Hour]]&gt;12,OFFSET(TblConstr[[#This Row],[Tow]],-12,0),0)+OFFSET(TblConstr[[#This Row],[Tot Tow]],-1,0)-TblConstr[[#This Row],[Dest Tow]]</f>
        <v>0</v>
      </c>
      <c r="BM95" s="369" cm="1">
        <f t="array" aca="1" ref="BM95" ca="1">IF(TblConstr[[#This Row],[Hour]:[Hour]]&gt;12,OFFSET(TblConstr[[#This Row],[Tem]],-12,0),0)+OFFSET(TblConstr[[#This Row],[Tot Tem]],-1,0)-TblConstr[[#This Row],[Dest Tem]]</f>
        <v>0</v>
      </c>
      <c r="BN95" s="369" cm="1">
        <f t="array" aca="1" ref="BN95" ca="1">IF(TblConstr[[#This Row],[Hour]:[Hour]]&gt;12,OFFSET(TblConstr[[#This Row],[WG]],-12,0),0)+OFFSET(TblConstr[[#This Row],[Tot WG]],-1,0)-TblConstr[[#This Row],[Dest WG]]</f>
        <v>0</v>
      </c>
      <c r="BO95" s="191" cm="1">
        <f t="array" aca="1" ref="BO95" ca="1">IF(TblConstr[[#This Row],[Hour]:[Hour]]&gt;12,OFFSET(TblConstr[[#This Row],[DM]],-12,0),0)+OFFSET(TblConstr[[#This Row],[Tot DM]],-1,0)-TblConstr[[#This Row],[Dest DM]]</f>
        <v>0</v>
      </c>
      <c r="BP95" s="191" cm="1">
        <f t="array" aca="1" ref="BP95" ca="1">IF(TblConstr[[#This Row],[Hour]:[Hour]]&gt;12,OFFSET(TblConstr[[#This Row],[Sch]],-12,0),0)+OFFSET(TblConstr[[#This Row],[Tot Sch]],-1,0)-TblConstr[[#This Row],[Dest Sch]]</f>
        <v>0</v>
      </c>
      <c r="BQ95" s="192" cm="1">
        <f t="array" aca="1" ref="BQ95" ca="1">IF(TblConstr[[#This Row],[Hour]:[Hour]]&gt;12,OFFSET(TblConstr[[#This Row],[Doc]],-12,0),0)+OFFSET(TblConstr[[#This Row],[Tot Doc]],-1,0)-TblConstr[[#This Row],[Dest Doc]]</f>
        <v>0</v>
      </c>
      <c r="BR95" s="142"/>
      <c r="BS95" s="154"/>
      <c r="BT95" s="94">
        <f ca="1">TblConstr[[#This Row],[Land]]</f>
        <v>50</v>
      </c>
      <c r="BU95" s="159">
        <f ca="1">TblImps[[#This Row],[Time]]</f>
        <v>46323.791666666446</v>
      </c>
      <c r="BV95" s="142"/>
      <c r="BW95" s="179"/>
      <c r="BX95" s="179"/>
      <c r="BY95" s="179"/>
      <c r="BZ95" s="179"/>
      <c r="CA95" s="179"/>
      <c r="CB95" s="179"/>
      <c r="CC95" s="179"/>
      <c r="CD95" s="179"/>
      <c r="CE95" s="179"/>
      <c r="CF95" s="179"/>
      <c r="CG95" s="179"/>
      <c r="CH95" s="179"/>
      <c r="CI95" s="179"/>
      <c r="CJ95" s="179"/>
      <c r="CK95" s="179"/>
      <c r="CL95" s="179"/>
      <c r="CM95" s="179"/>
      <c r="CN95" s="179"/>
      <c r="CO95" s="179"/>
      <c r="CP95" s="142"/>
      <c r="CQ95" s="181">
        <f ca="1">-SUM(TblConstr[[#This Row],[Alc]:[Mas]])+SUM(TblConstr[[#This Row],[Dest Alc]:[Dest Mas]])+Rezone!L95+IF("Ch_"&amp; home_land=TblConstr[[#Headers],[Ch_Plain]],TblConstr[[#This Row],[Home Land]])+IF(TblConstr[[#This Row],[Hour]:[Hour]]&gt;12,OFFSET(TblExplore[[#This Row],[Plains Explore]],-12,0),0)</f>
        <v>0</v>
      </c>
      <c r="CR95" s="182">
        <f ca="1">-SUM(TblConstr[[#This Row],[Ly]:[Hav]])+SUM(TblConstr[[#This Row],[Dest Ly]:[Dest Hav]]) +Rezone!M95 + IF("Ch_"&amp; home_land=TblConstr[[#Headers],[Ch_Forest]],TblConstr[[#This Row],[Home Land]])+IF(TblConstr[[#This Row],[Hour]:[Hour]]&gt;12,OFFSET(TblExplore[[#This Row],[Forest Explore]],-12,0),0)</f>
        <v>0</v>
      </c>
      <c r="CS95" s="359">
        <f ca="1">-SUM(TblConstr[[#This Row],[OM]:[GN]])+SUM(TblConstr[[#This Row],[Dest OM]:[Dest GN]]) +Rezone!N95 + IF("Ch_"&amp; home_land=TblConstr[[#Headers],[Ch_Mountain]],TblConstr[[#This Row],[Home Land]])+IF(TblConstr[[#This Row],[Hour]:[Hour]]&gt;12,OFFSET(TblExplore[[#This Row],[Mountain Explore]],-12,0),0)</f>
        <v>0</v>
      </c>
      <c r="CT95" s="183">
        <f ca="1">-SUM(TblConstr[[#This Row],[Fac]:[Shr]])+SUM(TblConstr[[#This Row],[Dest Fac]:[Dest Shr]]) +Rezone!O95 + IF("Ch_" &amp; home_land=TblConstr[[#Headers],[Ch_Hill]],TblConstr[[#This Row],[Home Land]])+IF(TblConstr[[#This Row],[Hour]:[Hour]]&gt;12,OFFSET(TblExplore[[#This Row],[Hill Explore]],-12,0),0)</f>
        <v>0</v>
      </c>
      <c r="CU95" s="184">
        <f ca="1">-SUM(TblConstr[[#This Row],[Tow]:[WG]])+SUM(TblConstr[[#This Row],[Dest Tow]:[Dest WG]]) +Rezone!P95 + IF("Ch_" &amp; home_land=TblConstr[[#Headers],[Ch_Swamp]],TblConstr[[#This Row],[Home Land]])+IF(TblConstr[[#This Row],[Hour]:[Hour]]&gt;12,OFFSET(TblExplore[[#This Row],[Swamp Explore]],-12,0),0)</f>
        <v>0</v>
      </c>
      <c r="CV95" s="185">
        <f ca="1" xml:space="preserve"> - SUM(TblConstr[[#This Row],[DM]:[Sch]])+SUM(TblConstr[[#This Row],[Dest DM]:[Dest Sch]]) +Rezone!Q95 + IF("Ch_" &amp; home_land=TblConstr[[#Headers],[Ch_Cavern]],TblConstr[[#This Row],[Home Land]])+IF(TblConstr[[#This Row],[Hour]:[Hour]]&gt;12,OFFSET(TblExplore[[#This Row],[Cavern Explore]],-12,0),0)</f>
        <v>0</v>
      </c>
      <c r="CW95" s="186">
        <f ca="1">-TblConstr[[#This Row],[Doc]]+TblConstr[[#This Row],[Dest Doc]] +Rezone!R95 + IF("Ch_" &amp; home_land=TblConstr[[#Headers],[Ch_Water]],TblConstr[[#This Row],[Home Land]])+IF(TblConstr[[#This Row],[Hour]:[Hour]]&gt;12,OFFSET(TblExplore[[#This Row],[Water Explore]],-12,0),0)</f>
        <v>0</v>
      </c>
      <c r="CX95" s="45">
        <f>IF(Explore!S95=1,20) - TblConstr[[#This Row],[Hom]] + TblConstr[[#This Row],[Dest Hom]]</f>
        <v>0</v>
      </c>
      <c r="CY95" s="142"/>
      <c r="CZ95" s="94">
        <f t="shared" ca="1" si="23"/>
        <v>30</v>
      </c>
      <c r="DA95" s="94">
        <f t="shared" ca="1" si="24"/>
        <v>20</v>
      </c>
      <c r="DB95" s="45">
        <f t="shared" ca="1" si="25"/>
        <v>0</v>
      </c>
      <c r="DC95" s="94">
        <f t="shared" ca="1" si="26"/>
        <v>0</v>
      </c>
      <c r="DD95" s="94">
        <f t="shared" ca="1" si="27"/>
        <v>0</v>
      </c>
      <c r="DE95" s="45">
        <f t="shared" ca="1" si="28"/>
        <v>0</v>
      </c>
      <c r="DF95" s="94">
        <f t="shared" ca="1" si="29"/>
        <v>0</v>
      </c>
      <c r="DG95" s="94" cm="1">
        <f t="array" aca="1" ref="DG95" ca="1">INDEX(TblConstr[[Total Plain]:[Total Water]],ROW()-ROW(TblConstr[#Headers]),MATCH("Total "&amp;home_land,TblConstr[[#Headers],[Total Plain]:[Total Water]],0))+TblConstr[[#This Row],[Homes]]</f>
        <v>30</v>
      </c>
      <c r="DH95" s="45">
        <f t="shared" ca="1" si="22"/>
        <v>0</v>
      </c>
      <c r="DI95" s="45">
        <f t="shared" ca="1" si="19"/>
        <v>0</v>
      </c>
      <c r="DJ95" s="45">
        <f t="shared" ca="1" si="20"/>
        <v>0</v>
      </c>
    </row>
    <row r="96" spans="1:114" x14ac:dyDescent="0.2">
      <c r="A96" s="175">
        <f>TblRezone[[#This Row],[Hour]]</f>
        <v>93</v>
      </c>
      <c r="B96" s="176">
        <f ca="1">SUM(TblConstr[[#This Row],[Plain]:[Water]])</f>
        <v>0</v>
      </c>
      <c r="C96" s="177">
        <f ca="1">SUM(TblConstr[[#This Row],[Tot Hom]:[Tot Doc]])</f>
        <v>50</v>
      </c>
      <c r="D96" s="177">
        <f t="shared" si="21"/>
        <v>0</v>
      </c>
      <c r="E96" s="178"/>
      <c r="F96" s="61">
        <f ca="1">TblConstr[[#This Row],[Barren]]+TblConstr[[#This Row],[Buildings]]+TblConstr[[#This Row],[Incoming]]</f>
        <v>50</v>
      </c>
      <c r="G96" s="187">
        <f ca="1">OFFSET(TblConstr[[#This Row],[Plain]],-1,0)+TblConstr[[#This Row],[Ch_Plain]]</f>
        <v>0</v>
      </c>
      <c r="H96" s="182">
        <f ca="1">OFFSET(TblConstr[[#This Row],[Forest]],-1,0)+TblConstr[[#This Row],[Ch_Forest]]</f>
        <v>0</v>
      </c>
      <c r="I96" s="359">
        <f ca="1">OFFSET(TblConstr[[#This Row],[Mountain]],-1,0)+TblConstr[[#This Row],[Ch_Mountain]]</f>
        <v>0</v>
      </c>
      <c r="J96" s="363">
        <f ca="1">OFFSET(TblConstr[[#This Row],[Hill]],-1,0)+TblConstr[[#This Row],[Ch_Hill]]</f>
        <v>0</v>
      </c>
      <c r="K96" s="367">
        <f ca="1">OFFSET(TblConstr[[#This Row],[Swamp]],-1,0)+TblConstr[[#This Row],[Ch_Swamp]]</f>
        <v>0</v>
      </c>
      <c r="L96" s="185">
        <f ca="1">OFFSET(TblConstr[[#This Row],[Cavern]],-1,0)+TblConstr[[#This Row],[Ch_Cavern]]</f>
        <v>0</v>
      </c>
      <c r="M96" s="186">
        <f ca="1">OFFSET(TblConstr[[#This Row],[Water]],-1,0)+TblConstr[[#This Row],[Ch_Water]]</f>
        <v>0</v>
      </c>
      <c r="N96" s="357">
        <f>TblRezone[[#This Row],[Hour]]</f>
        <v>93</v>
      </c>
      <c r="O96" s="179"/>
      <c r="P96" s="179"/>
      <c r="Q96" s="179"/>
      <c r="R96" s="158"/>
      <c r="S96" s="179"/>
      <c r="T96" s="179"/>
      <c r="U96" s="179"/>
      <c r="V96" s="179"/>
      <c r="W96" s="179"/>
      <c r="X96" s="179"/>
      <c r="Y96" s="179"/>
      <c r="Z96" s="179"/>
      <c r="AA96" s="179"/>
      <c r="AB96" s="179"/>
      <c r="AC96" s="179"/>
      <c r="AD96" s="179"/>
      <c r="AE96" s="179"/>
      <c r="AF96" s="179"/>
      <c r="AG96" s="179"/>
      <c r="AH96" s="53">
        <f ca="1">TblImps[[#This Row],[Time]]</f>
        <v>46323.83333333311</v>
      </c>
      <c r="AI96" s="180">
        <f ca="1">MIN(25%,(TblConstr[[#This Row],[Tot Fac]]+TblConstr[[#This Row],[Dest Fac]])/(TblConstr[[#This Row],[Land]]-TblExplore[[#This Row],[Land Bonus]]*20))</f>
        <v>0</v>
      </c>
      <c r="AJ96" s="180">
        <f ca="1">MIN(25%,(TblConstr[[#This Row],[Tot Fac]]+TblConstr[[#This Row],[Dest Fac]])/TblConstr[[#This Row],[Land]])</f>
        <v>0</v>
      </c>
      <c r="AK96" s="94">
        <f ca="1">TblProd[[#This Row],[Platinum]]</f>
        <v>196650</v>
      </c>
      <c r="AL96" s="94">
        <f ca="1">TblProd[[#This Row],[Lumber]]</f>
        <v>66281</v>
      </c>
      <c r="AM9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6" s="94">
        <f ca="1">ROUNDDOWN( MAX(1 - MIN(facs_constr_factor*TblConstr[[#This Row],[Facs -DB]],facs_constr_max) + tech_1_11*TblTech[[#This Row],[11-1]] + tech_6_3_2*TblTech[[#This Row],[6-3]] + tech_5_2_3*TblTech[[#This Row],[5-2]], 1-global_constr_cap) * TblConstr[[#This Row],[RCPA Lumber]],0)</f>
        <v>31</v>
      </c>
      <c r="AO9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6" s="94">
        <f ca="1">ROUNDDOWN( MAX(1 - MIN(facs_constr_factor*TblConstr[[#This Row],[Facs DB]],facs_constr_max) + tech_1_11*TblTech[[#This Row],[1-11]] + tech_6_3_2*TblTech[[#This Row],[6-3]] + tech_5_2_3*TblTech[[#This Row],[5-2]], 1-global_constr_cap) * ROUND((TblConstr[[#This Row],[Land]]-250)*0.285 + 87.5 + 0/4.25,0),0)</f>
        <v>31</v>
      </c>
      <c r="AQ96" s="45">
        <f ca="1">TblConstr[[#This Row],[build -db]]*TblConstr[[#This Row],[CPA Platinum -DB]] + TblConstr[[#This Row],[build db]]*TblConstr[[#This Row],[CPA Platinum DB]]</f>
        <v>0</v>
      </c>
      <c r="AR96" s="45">
        <f ca="1">TblConstr[[#This Row],[build -db]]*TblConstr[[#This Row],[CPA Lumber -DB]] + TblConstr[[#This Row],[build db]]*TblConstr[[#This Row],[CPA Lumber DB]]</f>
        <v>0</v>
      </c>
      <c r="AS96" s="94">
        <f ca="1">MIN(SUM(OFFSET(TblConstr[[#This Row],[Plain]:[Water]],-1,0))+SUM(TblConstr[[#This Row],[Dest Hom]:[Dest Doc]])+IF(TblConstr[[#This Row],[Hour]]&gt;12,SUM(OFFSET(TblExplore[[#This Row],[Plains Explore]:[Water Explore]],-12,0)),0),SUM(TblConstr[[#This Row],[Hom]:[Doc]]))</f>
        <v>0</v>
      </c>
      <c r="AT9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42"/>
      <c r="AV96" s="94">
        <f ca="1">ROUND((TblConstr[[#This Row],[Land]]-250 - IF(TblExplore[[#This Row],[Land Bonus]]&lt;&gt;0,20,0))*1.25 + 850 + 0,0)</f>
        <v>600</v>
      </c>
      <c r="AW96" s="94">
        <f ca="1">ROUND((TblConstr[[#This Row],[Land]]-250 - IF(TblExplore[[#This Row],[Land Bonus]]&lt;&gt;0,20,0))*0.285 + 87.5 + 0/4.25,0)</f>
        <v>31</v>
      </c>
      <c r="AX96" s="154"/>
      <c r="AY96" s="188" cm="1">
        <f t="array" aca="1" ref="AY96" ca="1">IF(TblConstr[[#This Row],[Hour]:[Hour]]&gt;12,OFFSET(TblConstr[[#This Row],[Hom]],-12,0),0)+OFFSET(TblConstr[[#This Row],[Tot Hom]],-1,0)-TblConstr[[#This Row],[Dest Hom]]</f>
        <v>0</v>
      </c>
      <c r="AZ96" s="189" cm="1">
        <f t="array" aca="1" ref="AZ96" ca="1">IF(TblConstr[[#This Row],[Hour]:[Hour]]&gt;12,OFFSET(TblConstr[[#This Row],[Alc]],-12,0),0)+OFFSET(TblConstr[[#This Row],[Tot Alc]],-1,0)-TblConstr[[#This Row],[Dest Alc]]</f>
        <v>0</v>
      </c>
      <c r="BA96" s="189" cm="1">
        <f t="array" aca="1" ref="BA96" ca="1">IF(TblConstr[[#This Row],[Hour]:[Hour]]&gt;12,OFFSET(TblConstr[[#This Row],[Far]],-12,0),0)+OFFSET(TblConstr[[#This Row],[Tot Farm]],-1,0)-TblConstr[[#This Row],[Dest Farm]]</f>
        <v>30</v>
      </c>
      <c r="BB96" s="189" cm="1">
        <f t="array" aca="1" ref="BB96" ca="1">IF(TblConstr[[#This Row],[Hour]:[Hour]]&gt;12,OFFSET(TblConstr[[#This Row],[Smi]],-12,0),0)+OFFSET(TblConstr[[#This Row],[Tot Smi]],-1,0)-TblConstr[[#This Row],[Dest Smi]]</f>
        <v>0</v>
      </c>
      <c r="BC96" s="189" cm="1">
        <f t="array" aca="1" ref="BC96" ca="1">IF(TblConstr[[#This Row],[Hour]:[Hour]]&gt;12,OFFSET(TblConstr[[#This Row],[Mas]],-12,0),0)+OFFSET(TblConstr[[#This Row],[Tot Mas]],-1,0)-TblConstr[[#This Row],[Dest Mas]]</f>
        <v>0</v>
      </c>
      <c r="BD96" s="190" cm="1">
        <f t="array" aca="1" ref="BD96" ca="1">IF(TblConstr[[#This Row],[Hour]:[Hour]]&gt;12,OFFSET(TblConstr[[#This Row],[Ly]],-12,0),0)+OFFSET(TblConstr[[#This Row],[Tot Ly]],-1,0)-TblConstr[[#This Row],[Dest Ly]]</f>
        <v>20</v>
      </c>
      <c r="BE96" s="190" cm="1">
        <f t="array" aca="1" ref="BE96" ca="1">IF(TblConstr[[#This Row],[Hour]:[Hour]]&gt;12,OFFSET(TblConstr[[#This Row],[Hav]],-12,0),0)+OFFSET(TblConstr[[#This Row],[Tot Hav]],-1,0)-TblConstr[[#This Row],[Dest Hav]]</f>
        <v>0</v>
      </c>
      <c r="BF96" s="361" cm="1">
        <f t="array" aca="1" ref="BF96" ca="1">IF(TblConstr[[#This Row],[Hour]:[Hour]]&gt;12,OFFSET(TblConstr[[#This Row],[OM]],-12,0),0)+OFFSET(TblConstr[[#This Row],[Tot OM]],-1,0)-TblConstr[[#This Row],[Dest OM]]</f>
        <v>0</v>
      </c>
      <c r="BG96" s="361" cm="1">
        <f t="array" aca="1" ref="BG96" ca="1">IF(TblConstr[[#This Row],[Hour]:[Hour]]&gt;12,OFFSET(TblConstr[[#This Row],[GN]],-12,0),0)+OFFSET(TblConstr[[#This Row],[Tot GN]],-1,0)-TblConstr[[#This Row],[Dest GN]]</f>
        <v>0</v>
      </c>
      <c r="BH96" s="365" cm="1">
        <f t="array" aca="1" ref="BH96" ca="1">IF(TblConstr[[#This Row],[Hour]:[Hour]]&gt;12,OFFSET(TblConstr[[#This Row],[Fac]],-12,0),0)+OFFSET(TblConstr[[#This Row],[Tot Fac]],-1,0)-TblConstr[[#This Row],[Dest Fac]]</f>
        <v>0</v>
      </c>
      <c r="BI96" s="365" cm="1">
        <f t="array" aca="1" ref="BI96" ca="1">IF(TblConstr[[#This Row],[Hour]:[Hour]]&gt;12,OFFSET(TblConstr[[#This Row],[GT]],-12,0),0)+OFFSET(TblConstr[[#This Row],[Tot GT]],-1,0)-TblConstr[[#This Row],[Dest GT]]</f>
        <v>0</v>
      </c>
      <c r="BJ96" s="365" cm="1">
        <f t="array" aca="1" ref="BJ96" ca="1">IF(TblConstr[[#This Row],[Hour]:[Hour]]&gt;12,OFFSET(TblConstr[[#This Row],[Bar]],-12,0),0)+OFFSET(TblConstr[[#This Row],[Tot Bar]],-1,0)-TblConstr[[#This Row],[Dest Bar]]</f>
        <v>0</v>
      </c>
      <c r="BK96" s="365" cm="1">
        <f t="array" aca="1" ref="BK96" ca="1">IF(TblConstr[[#This Row],[Hour]:[Hour]]&gt;12,OFFSET(TblConstr[[#This Row],[Shr]],-12,0),0)+OFFSET(TblConstr[[#This Row],[Tot Shr]],-1,0)-TblConstr[[#This Row],[Dest Shr]]</f>
        <v>0</v>
      </c>
      <c r="BL96" s="369" cm="1">
        <f t="array" aca="1" ref="BL96" ca="1">IF(TblConstr[[#This Row],[Hour]:[Hour]]&gt;12,OFFSET(TblConstr[[#This Row],[Tow]],-12,0),0)+OFFSET(TblConstr[[#This Row],[Tot Tow]],-1,0)-TblConstr[[#This Row],[Dest Tow]]</f>
        <v>0</v>
      </c>
      <c r="BM96" s="369" cm="1">
        <f t="array" aca="1" ref="BM96" ca="1">IF(TblConstr[[#This Row],[Hour]:[Hour]]&gt;12,OFFSET(TblConstr[[#This Row],[Tem]],-12,0),0)+OFFSET(TblConstr[[#This Row],[Tot Tem]],-1,0)-TblConstr[[#This Row],[Dest Tem]]</f>
        <v>0</v>
      </c>
      <c r="BN96" s="369" cm="1">
        <f t="array" aca="1" ref="BN96" ca="1">IF(TblConstr[[#This Row],[Hour]:[Hour]]&gt;12,OFFSET(TblConstr[[#This Row],[WG]],-12,0),0)+OFFSET(TblConstr[[#This Row],[Tot WG]],-1,0)-TblConstr[[#This Row],[Dest WG]]</f>
        <v>0</v>
      </c>
      <c r="BO96" s="191" cm="1">
        <f t="array" aca="1" ref="BO96" ca="1">IF(TblConstr[[#This Row],[Hour]:[Hour]]&gt;12,OFFSET(TblConstr[[#This Row],[DM]],-12,0),0)+OFFSET(TblConstr[[#This Row],[Tot DM]],-1,0)-TblConstr[[#This Row],[Dest DM]]</f>
        <v>0</v>
      </c>
      <c r="BP96" s="191" cm="1">
        <f t="array" aca="1" ref="BP96" ca="1">IF(TblConstr[[#This Row],[Hour]:[Hour]]&gt;12,OFFSET(TblConstr[[#This Row],[Sch]],-12,0),0)+OFFSET(TblConstr[[#This Row],[Tot Sch]],-1,0)-TblConstr[[#This Row],[Dest Sch]]</f>
        <v>0</v>
      </c>
      <c r="BQ96" s="192" cm="1">
        <f t="array" aca="1" ref="BQ96" ca="1">IF(TblConstr[[#This Row],[Hour]:[Hour]]&gt;12,OFFSET(TblConstr[[#This Row],[Doc]],-12,0),0)+OFFSET(TblConstr[[#This Row],[Tot Doc]],-1,0)-TblConstr[[#This Row],[Dest Doc]]</f>
        <v>0</v>
      </c>
      <c r="BR96" s="142"/>
      <c r="BS96" s="154"/>
      <c r="BT96" s="94">
        <f ca="1">TblConstr[[#This Row],[Land]]</f>
        <v>50</v>
      </c>
      <c r="BU96" s="159">
        <f ca="1">TblImps[[#This Row],[Time]]</f>
        <v>46323.83333333311</v>
      </c>
      <c r="BV96" s="142"/>
      <c r="BW96" s="179"/>
      <c r="BX96" s="179"/>
      <c r="BY96" s="179"/>
      <c r="BZ96" s="179"/>
      <c r="CA96" s="179"/>
      <c r="CB96" s="179"/>
      <c r="CC96" s="179"/>
      <c r="CD96" s="179"/>
      <c r="CE96" s="179"/>
      <c r="CF96" s="179"/>
      <c r="CG96" s="179"/>
      <c r="CH96" s="179"/>
      <c r="CI96" s="179"/>
      <c r="CJ96" s="179"/>
      <c r="CK96" s="179"/>
      <c r="CL96" s="179"/>
      <c r="CM96" s="179"/>
      <c r="CN96" s="179"/>
      <c r="CO96" s="179"/>
      <c r="CP96" s="142"/>
      <c r="CQ96" s="181">
        <f ca="1">-SUM(TblConstr[[#This Row],[Alc]:[Mas]])+SUM(TblConstr[[#This Row],[Dest Alc]:[Dest Mas]])+Rezone!L96+IF("Ch_"&amp; home_land=TblConstr[[#Headers],[Ch_Plain]],TblConstr[[#This Row],[Home Land]])+IF(TblConstr[[#This Row],[Hour]:[Hour]]&gt;12,OFFSET(TblExplore[[#This Row],[Plains Explore]],-12,0),0)</f>
        <v>0</v>
      </c>
      <c r="CR96" s="182">
        <f ca="1">-SUM(TblConstr[[#This Row],[Ly]:[Hav]])+SUM(TblConstr[[#This Row],[Dest Ly]:[Dest Hav]]) +Rezone!M96 + IF("Ch_"&amp; home_land=TblConstr[[#Headers],[Ch_Forest]],TblConstr[[#This Row],[Home Land]])+IF(TblConstr[[#This Row],[Hour]:[Hour]]&gt;12,OFFSET(TblExplore[[#This Row],[Forest Explore]],-12,0),0)</f>
        <v>0</v>
      </c>
      <c r="CS96" s="359">
        <f ca="1">-SUM(TblConstr[[#This Row],[OM]:[GN]])+SUM(TblConstr[[#This Row],[Dest OM]:[Dest GN]]) +Rezone!N96 + IF("Ch_"&amp; home_land=TblConstr[[#Headers],[Ch_Mountain]],TblConstr[[#This Row],[Home Land]])+IF(TblConstr[[#This Row],[Hour]:[Hour]]&gt;12,OFFSET(TblExplore[[#This Row],[Mountain Explore]],-12,0),0)</f>
        <v>0</v>
      </c>
      <c r="CT96" s="183">
        <f ca="1">-SUM(TblConstr[[#This Row],[Fac]:[Shr]])+SUM(TblConstr[[#This Row],[Dest Fac]:[Dest Shr]]) +Rezone!O96 + IF("Ch_" &amp; home_land=TblConstr[[#Headers],[Ch_Hill]],TblConstr[[#This Row],[Home Land]])+IF(TblConstr[[#This Row],[Hour]:[Hour]]&gt;12,OFFSET(TblExplore[[#This Row],[Hill Explore]],-12,0),0)</f>
        <v>0</v>
      </c>
      <c r="CU96" s="184">
        <f ca="1">-SUM(TblConstr[[#This Row],[Tow]:[WG]])+SUM(TblConstr[[#This Row],[Dest Tow]:[Dest WG]]) +Rezone!P96 + IF("Ch_" &amp; home_land=TblConstr[[#Headers],[Ch_Swamp]],TblConstr[[#This Row],[Home Land]])+IF(TblConstr[[#This Row],[Hour]:[Hour]]&gt;12,OFFSET(TblExplore[[#This Row],[Swamp Explore]],-12,0),0)</f>
        <v>0</v>
      </c>
      <c r="CV96" s="185">
        <f ca="1" xml:space="preserve"> - SUM(TblConstr[[#This Row],[DM]:[Sch]])+SUM(TblConstr[[#This Row],[Dest DM]:[Dest Sch]]) +Rezone!Q96 + IF("Ch_" &amp; home_land=TblConstr[[#Headers],[Ch_Cavern]],TblConstr[[#This Row],[Home Land]])+IF(TblConstr[[#This Row],[Hour]:[Hour]]&gt;12,OFFSET(TblExplore[[#This Row],[Cavern Explore]],-12,0),0)</f>
        <v>0</v>
      </c>
      <c r="CW96" s="186">
        <f ca="1">-TblConstr[[#This Row],[Doc]]+TblConstr[[#This Row],[Dest Doc]] +Rezone!R96 + IF("Ch_" &amp; home_land=TblConstr[[#Headers],[Ch_Water]],TblConstr[[#This Row],[Home Land]])+IF(TblConstr[[#This Row],[Hour]:[Hour]]&gt;12,OFFSET(TblExplore[[#This Row],[Water Explore]],-12,0),0)</f>
        <v>0</v>
      </c>
      <c r="CX96" s="45">
        <f>IF(Explore!S96=1,20) - TblConstr[[#This Row],[Hom]] + TblConstr[[#This Row],[Dest Hom]]</f>
        <v>0</v>
      </c>
      <c r="CY96" s="142"/>
      <c r="CZ96" s="94">
        <f t="shared" ca="1" si="23"/>
        <v>30</v>
      </c>
      <c r="DA96" s="94">
        <f t="shared" ca="1" si="24"/>
        <v>20</v>
      </c>
      <c r="DB96" s="45">
        <f t="shared" ca="1" si="25"/>
        <v>0</v>
      </c>
      <c r="DC96" s="94">
        <f t="shared" ca="1" si="26"/>
        <v>0</v>
      </c>
      <c r="DD96" s="94">
        <f t="shared" ca="1" si="27"/>
        <v>0</v>
      </c>
      <c r="DE96" s="45">
        <f t="shared" ca="1" si="28"/>
        <v>0</v>
      </c>
      <c r="DF96" s="94">
        <f t="shared" ca="1" si="29"/>
        <v>0</v>
      </c>
      <c r="DG96" s="94" cm="1">
        <f t="array" aca="1" ref="DG96" ca="1">INDEX(TblConstr[[Total Plain]:[Total Water]],ROW()-ROW(TblConstr[#Headers]),MATCH("Total "&amp;home_land,TblConstr[[#Headers],[Total Plain]:[Total Water]],0))+TblConstr[[#This Row],[Homes]]</f>
        <v>30</v>
      </c>
      <c r="DH96" s="45">
        <f t="shared" ca="1" si="22"/>
        <v>0</v>
      </c>
      <c r="DI96" s="45">
        <f t="shared" ca="1" si="19"/>
        <v>0</v>
      </c>
      <c r="DJ96" s="45">
        <f t="shared" ca="1" si="20"/>
        <v>0</v>
      </c>
    </row>
    <row r="97" spans="1:114" x14ac:dyDescent="0.2">
      <c r="A97" s="175">
        <f>TblRezone[[#This Row],[Hour]]</f>
        <v>94</v>
      </c>
      <c r="B97" s="176">
        <f ca="1">SUM(TblConstr[[#This Row],[Plain]:[Water]])</f>
        <v>0</v>
      </c>
      <c r="C97" s="177">
        <f ca="1">SUM(TblConstr[[#This Row],[Tot Hom]:[Tot Doc]])</f>
        <v>50</v>
      </c>
      <c r="D97" s="177">
        <f t="shared" si="21"/>
        <v>0</v>
      </c>
      <c r="E97" s="178"/>
      <c r="F97" s="61">
        <f ca="1">TblConstr[[#This Row],[Barren]]+TblConstr[[#This Row],[Buildings]]+TblConstr[[#This Row],[Incoming]]</f>
        <v>50</v>
      </c>
      <c r="G97" s="187">
        <f ca="1">OFFSET(TblConstr[[#This Row],[Plain]],-1,0)+TblConstr[[#This Row],[Ch_Plain]]</f>
        <v>0</v>
      </c>
      <c r="H97" s="182">
        <f ca="1">OFFSET(TblConstr[[#This Row],[Forest]],-1,0)+TblConstr[[#This Row],[Ch_Forest]]</f>
        <v>0</v>
      </c>
      <c r="I97" s="359">
        <f ca="1">OFFSET(TblConstr[[#This Row],[Mountain]],-1,0)+TblConstr[[#This Row],[Ch_Mountain]]</f>
        <v>0</v>
      </c>
      <c r="J97" s="363">
        <f ca="1">OFFSET(TblConstr[[#This Row],[Hill]],-1,0)+TblConstr[[#This Row],[Ch_Hill]]</f>
        <v>0</v>
      </c>
      <c r="K97" s="367">
        <f ca="1">OFFSET(TblConstr[[#This Row],[Swamp]],-1,0)+TblConstr[[#This Row],[Ch_Swamp]]</f>
        <v>0</v>
      </c>
      <c r="L97" s="185">
        <f ca="1">OFFSET(TblConstr[[#This Row],[Cavern]],-1,0)+TblConstr[[#This Row],[Ch_Cavern]]</f>
        <v>0</v>
      </c>
      <c r="M97" s="186">
        <f ca="1">OFFSET(TblConstr[[#This Row],[Water]],-1,0)+TblConstr[[#This Row],[Ch_Water]]</f>
        <v>0</v>
      </c>
      <c r="N97" s="357">
        <f>TblRezone[[#This Row],[Hour]]</f>
        <v>94</v>
      </c>
      <c r="O97" s="179"/>
      <c r="P97" s="179"/>
      <c r="Q97" s="179"/>
      <c r="R97" s="158"/>
      <c r="S97" s="179"/>
      <c r="T97" s="179"/>
      <c r="U97" s="179"/>
      <c r="V97" s="179"/>
      <c r="W97" s="179"/>
      <c r="X97" s="179"/>
      <c r="Y97" s="179"/>
      <c r="Z97" s="179"/>
      <c r="AA97" s="179"/>
      <c r="AB97" s="179"/>
      <c r="AC97" s="179"/>
      <c r="AD97" s="179"/>
      <c r="AE97" s="179"/>
      <c r="AF97" s="179"/>
      <c r="AG97" s="179"/>
      <c r="AH97" s="53">
        <f ca="1">TblImps[[#This Row],[Time]]</f>
        <v>46323.874999999774</v>
      </c>
      <c r="AI97" s="180">
        <f ca="1">MIN(25%,(TblConstr[[#This Row],[Tot Fac]]+TblConstr[[#This Row],[Dest Fac]])/(TblConstr[[#This Row],[Land]]-TblExplore[[#This Row],[Land Bonus]]*20))</f>
        <v>0</v>
      </c>
      <c r="AJ97" s="180">
        <f ca="1">MIN(25%,(TblConstr[[#This Row],[Tot Fac]]+TblConstr[[#This Row],[Dest Fac]])/TblConstr[[#This Row],[Land]])</f>
        <v>0</v>
      </c>
      <c r="AK97" s="94">
        <f ca="1">TblProd[[#This Row],[Platinum]]</f>
        <v>197160</v>
      </c>
      <c r="AL97" s="94">
        <f ca="1">TblProd[[#This Row],[Lumber]]</f>
        <v>66618</v>
      </c>
      <c r="AM9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7" s="94">
        <f ca="1">ROUNDDOWN( MAX(1 - MIN(facs_constr_factor*TblConstr[[#This Row],[Facs -DB]],facs_constr_max) + tech_1_11*TblTech[[#This Row],[11-1]] + tech_6_3_2*TblTech[[#This Row],[6-3]] + tech_5_2_3*TblTech[[#This Row],[5-2]], 1-global_constr_cap) * TblConstr[[#This Row],[RCPA Lumber]],0)</f>
        <v>31</v>
      </c>
      <c r="AO9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7" s="94">
        <f ca="1">ROUNDDOWN( MAX(1 - MIN(facs_constr_factor*TblConstr[[#This Row],[Facs DB]],facs_constr_max) + tech_1_11*TblTech[[#This Row],[1-11]] + tech_6_3_2*TblTech[[#This Row],[6-3]] + tech_5_2_3*TblTech[[#This Row],[5-2]], 1-global_constr_cap) * ROUND((TblConstr[[#This Row],[Land]]-250)*0.285 + 87.5 + 0/4.25,0),0)</f>
        <v>31</v>
      </c>
      <c r="AQ97" s="45">
        <f ca="1">TblConstr[[#This Row],[build -db]]*TblConstr[[#This Row],[CPA Platinum -DB]] + TblConstr[[#This Row],[build db]]*TblConstr[[#This Row],[CPA Platinum DB]]</f>
        <v>0</v>
      </c>
      <c r="AR97" s="45">
        <f ca="1">TblConstr[[#This Row],[build -db]]*TblConstr[[#This Row],[CPA Lumber -DB]] + TblConstr[[#This Row],[build db]]*TblConstr[[#This Row],[CPA Lumber DB]]</f>
        <v>0</v>
      </c>
      <c r="AS97" s="94">
        <f ca="1">MIN(SUM(OFFSET(TblConstr[[#This Row],[Plain]:[Water]],-1,0))+SUM(TblConstr[[#This Row],[Dest Hom]:[Dest Doc]])+IF(TblConstr[[#This Row],[Hour]]&gt;12,SUM(OFFSET(TblExplore[[#This Row],[Plains Explore]:[Water Explore]],-12,0)),0),SUM(TblConstr[[#This Row],[Hom]:[Doc]]))</f>
        <v>0</v>
      </c>
      <c r="AT9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42"/>
      <c r="AV97" s="94">
        <f ca="1">ROUND((TblConstr[[#This Row],[Land]]-250 - IF(TblExplore[[#This Row],[Land Bonus]]&lt;&gt;0,20,0))*1.25 + 850 + 0,0)</f>
        <v>600</v>
      </c>
      <c r="AW97" s="94">
        <f ca="1">ROUND((TblConstr[[#This Row],[Land]]-250 - IF(TblExplore[[#This Row],[Land Bonus]]&lt;&gt;0,20,0))*0.285 + 87.5 + 0/4.25,0)</f>
        <v>31</v>
      </c>
      <c r="AX97" s="154"/>
      <c r="AY97" s="188" cm="1">
        <f t="array" aca="1" ref="AY97" ca="1">IF(TblConstr[[#This Row],[Hour]:[Hour]]&gt;12,OFFSET(TblConstr[[#This Row],[Hom]],-12,0),0)+OFFSET(TblConstr[[#This Row],[Tot Hom]],-1,0)-TblConstr[[#This Row],[Dest Hom]]</f>
        <v>0</v>
      </c>
      <c r="AZ97" s="189" cm="1">
        <f t="array" aca="1" ref="AZ97" ca="1">IF(TblConstr[[#This Row],[Hour]:[Hour]]&gt;12,OFFSET(TblConstr[[#This Row],[Alc]],-12,0),0)+OFFSET(TblConstr[[#This Row],[Tot Alc]],-1,0)-TblConstr[[#This Row],[Dest Alc]]</f>
        <v>0</v>
      </c>
      <c r="BA97" s="189" cm="1">
        <f t="array" aca="1" ref="BA97" ca="1">IF(TblConstr[[#This Row],[Hour]:[Hour]]&gt;12,OFFSET(TblConstr[[#This Row],[Far]],-12,0),0)+OFFSET(TblConstr[[#This Row],[Tot Farm]],-1,0)-TblConstr[[#This Row],[Dest Farm]]</f>
        <v>30</v>
      </c>
      <c r="BB97" s="189" cm="1">
        <f t="array" aca="1" ref="BB97" ca="1">IF(TblConstr[[#This Row],[Hour]:[Hour]]&gt;12,OFFSET(TblConstr[[#This Row],[Smi]],-12,0),0)+OFFSET(TblConstr[[#This Row],[Tot Smi]],-1,0)-TblConstr[[#This Row],[Dest Smi]]</f>
        <v>0</v>
      </c>
      <c r="BC97" s="189" cm="1">
        <f t="array" aca="1" ref="BC97" ca="1">IF(TblConstr[[#This Row],[Hour]:[Hour]]&gt;12,OFFSET(TblConstr[[#This Row],[Mas]],-12,0),0)+OFFSET(TblConstr[[#This Row],[Tot Mas]],-1,0)-TblConstr[[#This Row],[Dest Mas]]</f>
        <v>0</v>
      </c>
      <c r="BD97" s="190" cm="1">
        <f t="array" aca="1" ref="BD97" ca="1">IF(TblConstr[[#This Row],[Hour]:[Hour]]&gt;12,OFFSET(TblConstr[[#This Row],[Ly]],-12,0),0)+OFFSET(TblConstr[[#This Row],[Tot Ly]],-1,0)-TblConstr[[#This Row],[Dest Ly]]</f>
        <v>20</v>
      </c>
      <c r="BE97" s="190" cm="1">
        <f t="array" aca="1" ref="BE97" ca="1">IF(TblConstr[[#This Row],[Hour]:[Hour]]&gt;12,OFFSET(TblConstr[[#This Row],[Hav]],-12,0),0)+OFFSET(TblConstr[[#This Row],[Tot Hav]],-1,0)-TblConstr[[#This Row],[Dest Hav]]</f>
        <v>0</v>
      </c>
      <c r="BF97" s="361" cm="1">
        <f t="array" aca="1" ref="BF97" ca="1">IF(TblConstr[[#This Row],[Hour]:[Hour]]&gt;12,OFFSET(TblConstr[[#This Row],[OM]],-12,0),0)+OFFSET(TblConstr[[#This Row],[Tot OM]],-1,0)-TblConstr[[#This Row],[Dest OM]]</f>
        <v>0</v>
      </c>
      <c r="BG97" s="361" cm="1">
        <f t="array" aca="1" ref="BG97" ca="1">IF(TblConstr[[#This Row],[Hour]:[Hour]]&gt;12,OFFSET(TblConstr[[#This Row],[GN]],-12,0),0)+OFFSET(TblConstr[[#This Row],[Tot GN]],-1,0)-TblConstr[[#This Row],[Dest GN]]</f>
        <v>0</v>
      </c>
      <c r="BH97" s="365" cm="1">
        <f t="array" aca="1" ref="BH97" ca="1">IF(TblConstr[[#This Row],[Hour]:[Hour]]&gt;12,OFFSET(TblConstr[[#This Row],[Fac]],-12,0),0)+OFFSET(TblConstr[[#This Row],[Tot Fac]],-1,0)-TblConstr[[#This Row],[Dest Fac]]</f>
        <v>0</v>
      </c>
      <c r="BI97" s="365" cm="1">
        <f t="array" aca="1" ref="BI97" ca="1">IF(TblConstr[[#This Row],[Hour]:[Hour]]&gt;12,OFFSET(TblConstr[[#This Row],[GT]],-12,0),0)+OFFSET(TblConstr[[#This Row],[Tot GT]],-1,0)-TblConstr[[#This Row],[Dest GT]]</f>
        <v>0</v>
      </c>
      <c r="BJ97" s="365" cm="1">
        <f t="array" aca="1" ref="BJ97" ca="1">IF(TblConstr[[#This Row],[Hour]:[Hour]]&gt;12,OFFSET(TblConstr[[#This Row],[Bar]],-12,0),0)+OFFSET(TblConstr[[#This Row],[Tot Bar]],-1,0)-TblConstr[[#This Row],[Dest Bar]]</f>
        <v>0</v>
      </c>
      <c r="BK97" s="365" cm="1">
        <f t="array" aca="1" ref="BK97" ca="1">IF(TblConstr[[#This Row],[Hour]:[Hour]]&gt;12,OFFSET(TblConstr[[#This Row],[Shr]],-12,0),0)+OFFSET(TblConstr[[#This Row],[Tot Shr]],-1,0)-TblConstr[[#This Row],[Dest Shr]]</f>
        <v>0</v>
      </c>
      <c r="BL97" s="369" cm="1">
        <f t="array" aca="1" ref="BL97" ca="1">IF(TblConstr[[#This Row],[Hour]:[Hour]]&gt;12,OFFSET(TblConstr[[#This Row],[Tow]],-12,0),0)+OFFSET(TblConstr[[#This Row],[Tot Tow]],-1,0)-TblConstr[[#This Row],[Dest Tow]]</f>
        <v>0</v>
      </c>
      <c r="BM97" s="369" cm="1">
        <f t="array" aca="1" ref="BM97" ca="1">IF(TblConstr[[#This Row],[Hour]:[Hour]]&gt;12,OFFSET(TblConstr[[#This Row],[Tem]],-12,0),0)+OFFSET(TblConstr[[#This Row],[Tot Tem]],-1,0)-TblConstr[[#This Row],[Dest Tem]]</f>
        <v>0</v>
      </c>
      <c r="BN97" s="369" cm="1">
        <f t="array" aca="1" ref="BN97" ca="1">IF(TblConstr[[#This Row],[Hour]:[Hour]]&gt;12,OFFSET(TblConstr[[#This Row],[WG]],-12,0),0)+OFFSET(TblConstr[[#This Row],[Tot WG]],-1,0)-TblConstr[[#This Row],[Dest WG]]</f>
        <v>0</v>
      </c>
      <c r="BO97" s="191" cm="1">
        <f t="array" aca="1" ref="BO97" ca="1">IF(TblConstr[[#This Row],[Hour]:[Hour]]&gt;12,OFFSET(TblConstr[[#This Row],[DM]],-12,0),0)+OFFSET(TblConstr[[#This Row],[Tot DM]],-1,0)-TblConstr[[#This Row],[Dest DM]]</f>
        <v>0</v>
      </c>
      <c r="BP97" s="191" cm="1">
        <f t="array" aca="1" ref="BP97" ca="1">IF(TblConstr[[#This Row],[Hour]:[Hour]]&gt;12,OFFSET(TblConstr[[#This Row],[Sch]],-12,0),0)+OFFSET(TblConstr[[#This Row],[Tot Sch]],-1,0)-TblConstr[[#This Row],[Dest Sch]]</f>
        <v>0</v>
      </c>
      <c r="BQ97" s="192" cm="1">
        <f t="array" aca="1" ref="BQ97" ca="1">IF(TblConstr[[#This Row],[Hour]:[Hour]]&gt;12,OFFSET(TblConstr[[#This Row],[Doc]],-12,0),0)+OFFSET(TblConstr[[#This Row],[Tot Doc]],-1,0)-TblConstr[[#This Row],[Dest Doc]]</f>
        <v>0</v>
      </c>
      <c r="BR97" s="142"/>
      <c r="BS97" s="154"/>
      <c r="BT97" s="94">
        <f ca="1">TblConstr[[#This Row],[Land]]</f>
        <v>50</v>
      </c>
      <c r="BU97" s="159">
        <f ca="1">TblImps[[#This Row],[Time]]</f>
        <v>46323.874999999774</v>
      </c>
      <c r="BV97" s="142"/>
      <c r="BW97" s="179"/>
      <c r="BX97" s="179"/>
      <c r="BY97" s="179"/>
      <c r="BZ97" s="179"/>
      <c r="CA97" s="179"/>
      <c r="CB97" s="179"/>
      <c r="CC97" s="179"/>
      <c r="CD97" s="179"/>
      <c r="CE97" s="179"/>
      <c r="CF97" s="179"/>
      <c r="CG97" s="179"/>
      <c r="CH97" s="179"/>
      <c r="CI97" s="179"/>
      <c r="CJ97" s="179"/>
      <c r="CK97" s="179"/>
      <c r="CL97" s="179"/>
      <c r="CM97" s="179"/>
      <c r="CN97" s="179"/>
      <c r="CO97" s="179"/>
      <c r="CP97" s="142"/>
      <c r="CQ97" s="181">
        <f ca="1">-SUM(TblConstr[[#This Row],[Alc]:[Mas]])+SUM(TblConstr[[#This Row],[Dest Alc]:[Dest Mas]])+Rezone!L97+IF("Ch_"&amp; home_land=TblConstr[[#Headers],[Ch_Plain]],TblConstr[[#This Row],[Home Land]])+IF(TblConstr[[#This Row],[Hour]:[Hour]]&gt;12,OFFSET(TblExplore[[#This Row],[Plains Explore]],-12,0),0)</f>
        <v>0</v>
      </c>
      <c r="CR97" s="182">
        <f ca="1">-SUM(TblConstr[[#This Row],[Ly]:[Hav]])+SUM(TblConstr[[#This Row],[Dest Ly]:[Dest Hav]]) +Rezone!M97 + IF("Ch_"&amp; home_land=TblConstr[[#Headers],[Ch_Forest]],TblConstr[[#This Row],[Home Land]])+IF(TblConstr[[#This Row],[Hour]:[Hour]]&gt;12,OFFSET(TblExplore[[#This Row],[Forest Explore]],-12,0),0)</f>
        <v>0</v>
      </c>
      <c r="CS97" s="359">
        <f ca="1">-SUM(TblConstr[[#This Row],[OM]:[GN]])+SUM(TblConstr[[#This Row],[Dest OM]:[Dest GN]]) +Rezone!N97 + IF("Ch_"&amp; home_land=TblConstr[[#Headers],[Ch_Mountain]],TblConstr[[#This Row],[Home Land]])+IF(TblConstr[[#This Row],[Hour]:[Hour]]&gt;12,OFFSET(TblExplore[[#This Row],[Mountain Explore]],-12,0),0)</f>
        <v>0</v>
      </c>
      <c r="CT97" s="183">
        <f ca="1">-SUM(TblConstr[[#This Row],[Fac]:[Shr]])+SUM(TblConstr[[#This Row],[Dest Fac]:[Dest Shr]]) +Rezone!O97 + IF("Ch_" &amp; home_land=TblConstr[[#Headers],[Ch_Hill]],TblConstr[[#This Row],[Home Land]])+IF(TblConstr[[#This Row],[Hour]:[Hour]]&gt;12,OFFSET(TblExplore[[#This Row],[Hill Explore]],-12,0),0)</f>
        <v>0</v>
      </c>
      <c r="CU97" s="184">
        <f ca="1">-SUM(TblConstr[[#This Row],[Tow]:[WG]])+SUM(TblConstr[[#This Row],[Dest Tow]:[Dest WG]]) +Rezone!P97 + IF("Ch_" &amp; home_land=TblConstr[[#Headers],[Ch_Swamp]],TblConstr[[#This Row],[Home Land]])+IF(TblConstr[[#This Row],[Hour]:[Hour]]&gt;12,OFFSET(TblExplore[[#This Row],[Swamp Explore]],-12,0),0)</f>
        <v>0</v>
      </c>
      <c r="CV97" s="185">
        <f ca="1" xml:space="preserve"> - SUM(TblConstr[[#This Row],[DM]:[Sch]])+SUM(TblConstr[[#This Row],[Dest DM]:[Dest Sch]]) +Rezone!Q97 + IF("Ch_" &amp; home_land=TblConstr[[#Headers],[Ch_Cavern]],TblConstr[[#This Row],[Home Land]])+IF(TblConstr[[#This Row],[Hour]:[Hour]]&gt;12,OFFSET(TblExplore[[#This Row],[Cavern Explore]],-12,0),0)</f>
        <v>0</v>
      </c>
      <c r="CW97" s="186">
        <f ca="1">-TblConstr[[#This Row],[Doc]]+TblConstr[[#This Row],[Dest Doc]] +Rezone!R97 + IF("Ch_" &amp; home_land=TblConstr[[#Headers],[Ch_Water]],TblConstr[[#This Row],[Home Land]])+IF(TblConstr[[#This Row],[Hour]:[Hour]]&gt;12,OFFSET(TblExplore[[#This Row],[Water Explore]],-12,0),0)</f>
        <v>0</v>
      </c>
      <c r="CX97" s="45">
        <f>IF(Explore!S97=1,20) - TblConstr[[#This Row],[Hom]] + TblConstr[[#This Row],[Dest Hom]]</f>
        <v>0</v>
      </c>
      <c r="CY97" s="142"/>
      <c r="CZ97" s="94">
        <f t="shared" ca="1" si="23"/>
        <v>30</v>
      </c>
      <c r="DA97" s="94">
        <f t="shared" ca="1" si="24"/>
        <v>20</v>
      </c>
      <c r="DB97" s="45">
        <f t="shared" ca="1" si="25"/>
        <v>0</v>
      </c>
      <c r="DC97" s="94">
        <f t="shared" ca="1" si="26"/>
        <v>0</v>
      </c>
      <c r="DD97" s="94">
        <f t="shared" ca="1" si="27"/>
        <v>0</v>
      </c>
      <c r="DE97" s="45">
        <f t="shared" ca="1" si="28"/>
        <v>0</v>
      </c>
      <c r="DF97" s="94">
        <f t="shared" ca="1" si="29"/>
        <v>0</v>
      </c>
      <c r="DG97" s="94" cm="1">
        <f t="array" aca="1" ref="DG97" ca="1">INDEX(TblConstr[[Total Plain]:[Total Water]],ROW()-ROW(TblConstr[#Headers]),MATCH("Total "&amp;home_land,TblConstr[[#Headers],[Total Plain]:[Total Water]],0))+TblConstr[[#This Row],[Homes]]</f>
        <v>30</v>
      </c>
      <c r="DH97" s="45">
        <f t="shared" ca="1" si="22"/>
        <v>0</v>
      </c>
      <c r="DI97" s="45">
        <f t="shared" ca="1" si="19"/>
        <v>0</v>
      </c>
      <c r="DJ97" s="45">
        <f t="shared" ca="1" si="20"/>
        <v>0</v>
      </c>
    </row>
    <row r="98" spans="1:114" x14ac:dyDescent="0.2">
      <c r="A98" s="175">
        <f>TblRezone[[#This Row],[Hour]]</f>
        <v>95</v>
      </c>
      <c r="B98" s="176">
        <f ca="1">SUM(TblConstr[[#This Row],[Plain]:[Water]])</f>
        <v>0</v>
      </c>
      <c r="C98" s="177">
        <f ca="1">SUM(TblConstr[[#This Row],[Tot Hom]:[Tot Doc]])</f>
        <v>50</v>
      </c>
      <c r="D98" s="177">
        <f t="shared" si="21"/>
        <v>0</v>
      </c>
      <c r="E98" s="178"/>
      <c r="F98" s="61">
        <f ca="1">TblConstr[[#This Row],[Barren]]+TblConstr[[#This Row],[Buildings]]+TblConstr[[#This Row],[Incoming]]</f>
        <v>50</v>
      </c>
      <c r="G98" s="187">
        <f ca="1">OFFSET(TblConstr[[#This Row],[Plain]],-1,0)+TblConstr[[#This Row],[Ch_Plain]]</f>
        <v>0</v>
      </c>
      <c r="H98" s="182">
        <f ca="1">OFFSET(TblConstr[[#This Row],[Forest]],-1,0)+TblConstr[[#This Row],[Ch_Forest]]</f>
        <v>0</v>
      </c>
      <c r="I98" s="359">
        <f ca="1">OFFSET(TblConstr[[#This Row],[Mountain]],-1,0)+TblConstr[[#This Row],[Ch_Mountain]]</f>
        <v>0</v>
      </c>
      <c r="J98" s="363">
        <f ca="1">OFFSET(TblConstr[[#This Row],[Hill]],-1,0)+TblConstr[[#This Row],[Ch_Hill]]</f>
        <v>0</v>
      </c>
      <c r="K98" s="367">
        <f ca="1">OFFSET(TblConstr[[#This Row],[Swamp]],-1,0)+TblConstr[[#This Row],[Ch_Swamp]]</f>
        <v>0</v>
      </c>
      <c r="L98" s="185">
        <f ca="1">OFFSET(TblConstr[[#This Row],[Cavern]],-1,0)+TblConstr[[#This Row],[Ch_Cavern]]</f>
        <v>0</v>
      </c>
      <c r="M98" s="186">
        <f ca="1">OFFSET(TblConstr[[#This Row],[Water]],-1,0)+TblConstr[[#This Row],[Ch_Water]]</f>
        <v>0</v>
      </c>
      <c r="N98" s="357">
        <f>TblRezone[[#This Row],[Hour]]</f>
        <v>95</v>
      </c>
      <c r="O98" s="179"/>
      <c r="P98" s="179"/>
      <c r="Q98" s="179"/>
      <c r="R98" s="158"/>
      <c r="S98" s="179"/>
      <c r="T98" s="179"/>
      <c r="U98" s="179"/>
      <c r="V98" s="179"/>
      <c r="W98" s="179"/>
      <c r="X98" s="179"/>
      <c r="Y98" s="179"/>
      <c r="Z98" s="179"/>
      <c r="AA98" s="179"/>
      <c r="AB98" s="179"/>
      <c r="AC98" s="179"/>
      <c r="AD98" s="179"/>
      <c r="AE98" s="179"/>
      <c r="AF98" s="179"/>
      <c r="AG98" s="179"/>
      <c r="AH98" s="53">
        <f ca="1">TblImps[[#This Row],[Time]]</f>
        <v>46323.916666666439</v>
      </c>
      <c r="AI98" s="180">
        <f ca="1">MIN(25%,(TblConstr[[#This Row],[Tot Fac]]+TblConstr[[#This Row],[Dest Fac]])/(TblConstr[[#This Row],[Land]]-TblExplore[[#This Row],[Land Bonus]]*20))</f>
        <v>0</v>
      </c>
      <c r="AJ98" s="180">
        <f ca="1">MIN(25%,(TblConstr[[#This Row],[Tot Fac]]+TblConstr[[#This Row],[Dest Fac]])/TblConstr[[#This Row],[Land]])</f>
        <v>0</v>
      </c>
      <c r="AK98" s="94">
        <f ca="1">TblProd[[#This Row],[Platinum]]</f>
        <v>197664</v>
      </c>
      <c r="AL98" s="94">
        <f ca="1">TblProd[[#This Row],[Lumber]]</f>
        <v>66952</v>
      </c>
      <c r="AM9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8" s="94">
        <f ca="1">ROUNDDOWN( MAX(1 - MIN(facs_constr_factor*TblConstr[[#This Row],[Facs -DB]],facs_constr_max) + tech_1_11*TblTech[[#This Row],[11-1]] + tech_6_3_2*TblTech[[#This Row],[6-3]] + tech_5_2_3*TblTech[[#This Row],[5-2]], 1-global_constr_cap) * TblConstr[[#This Row],[RCPA Lumber]],0)</f>
        <v>31</v>
      </c>
      <c r="AO9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8" s="94">
        <f ca="1">ROUNDDOWN( MAX(1 - MIN(facs_constr_factor*TblConstr[[#This Row],[Facs DB]],facs_constr_max) + tech_1_11*TblTech[[#This Row],[1-11]] + tech_6_3_2*TblTech[[#This Row],[6-3]] + tech_5_2_3*TblTech[[#This Row],[5-2]], 1-global_constr_cap) * ROUND((TblConstr[[#This Row],[Land]]-250)*0.285 + 87.5 + 0/4.25,0),0)</f>
        <v>31</v>
      </c>
      <c r="AQ98" s="45">
        <f ca="1">TblConstr[[#This Row],[build -db]]*TblConstr[[#This Row],[CPA Platinum -DB]] + TblConstr[[#This Row],[build db]]*TblConstr[[#This Row],[CPA Platinum DB]]</f>
        <v>0</v>
      </c>
      <c r="AR98" s="45">
        <f ca="1">TblConstr[[#This Row],[build -db]]*TblConstr[[#This Row],[CPA Lumber -DB]] + TblConstr[[#This Row],[build db]]*TblConstr[[#This Row],[CPA Lumber DB]]</f>
        <v>0</v>
      </c>
      <c r="AS98" s="94">
        <f ca="1">MIN(SUM(OFFSET(TblConstr[[#This Row],[Plain]:[Water]],-1,0))+SUM(TblConstr[[#This Row],[Dest Hom]:[Dest Doc]])+IF(TblConstr[[#This Row],[Hour]]&gt;12,SUM(OFFSET(TblExplore[[#This Row],[Plains Explore]:[Water Explore]],-12,0)),0),SUM(TblConstr[[#This Row],[Hom]:[Doc]]))</f>
        <v>0</v>
      </c>
      <c r="AT9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42"/>
      <c r="AV98" s="94">
        <f ca="1">ROUND((TblConstr[[#This Row],[Land]]-250 - IF(TblExplore[[#This Row],[Land Bonus]]&lt;&gt;0,20,0))*1.25 + 850 + 0,0)</f>
        <v>600</v>
      </c>
      <c r="AW98" s="94">
        <f ca="1">ROUND((TblConstr[[#This Row],[Land]]-250 - IF(TblExplore[[#This Row],[Land Bonus]]&lt;&gt;0,20,0))*0.285 + 87.5 + 0/4.25,0)</f>
        <v>31</v>
      </c>
      <c r="AX98" s="154"/>
      <c r="AY98" s="188" cm="1">
        <f t="array" aca="1" ref="AY98" ca="1">IF(TblConstr[[#This Row],[Hour]:[Hour]]&gt;12,OFFSET(TblConstr[[#This Row],[Hom]],-12,0),0)+OFFSET(TblConstr[[#This Row],[Tot Hom]],-1,0)-TblConstr[[#This Row],[Dest Hom]]</f>
        <v>0</v>
      </c>
      <c r="AZ98" s="189" cm="1">
        <f t="array" aca="1" ref="AZ98" ca="1">IF(TblConstr[[#This Row],[Hour]:[Hour]]&gt;12,OFFSET(TblConstr[[#This Row],[Alc]],-12,0),0)+OFFSET(TblConstr[[#This Row],[Tot Alc]],-1,0)-TblConstr[[#This Row],[Dest Alc]]</f>
        <v>0</v>
      </c>
      <c r="BA98" s="189" cm="1">
        <f t="array" aca="1" ref="BA98" ca="1">IF(TblConstr[[#This Row],[Hour]:[Hour]]&gt;12,OFFSET(TblConstr[[#This Row],[Far]],-12,0),0)+OFFSET(TblConstr[[#This Row],[Tot Farm]],-1,0)-TblConstr[[#This Row],[Dest Farm]]</f>
        <v>30</v>
      </c>
      <c r="BB98" s="189" cm="1">
        <f t="array" aca="1" ref="BB98" ca="1">IF(TblConstr[[#This Row],[Hour]:[Hour]]&gt;12,OFFSET(TblConstr[[#This Row],[Smi]],-12,0),0)+OFFSET(TblConstr[[#This Row],[Tot Smi]],-1,0)-TblConstr[[#This Row],[Dest Smi]]</f>
        <v>0</v>
      </c>
      <c r="BC98" s="189" cm="1">
        <f t="array" aca="1" ref="BC98" ca="1">IF(TblConstr[[#This Row],[Hour]:[Hour]]&gt;12,OFFSET(TblConstr[[#This Row],[Mas]],-12,0),0)+OFFSET(TblConstr[[#This Row],[Tot Mas]],-1,0)-TblConstr[[#This Row],[Dest Mas]]</f>
        <v>0</v>
      </c>
      <c r="BD98" s="190" cm="1">
        <f t="array" aca="1" ref="BD98" ca="1">IF(TblConstr[[#This Row],[Hour]:[Hour]]&gt;12,OFFSET(TblConstr[[#This Row],[Ly]],-12,0),0)+OFFSET(TblConstr[[#This Row],[Tot Ly]],-1,0)-TblConstr[[#This Row],[Dest Ly]]</f>
        <v>20</v>
      </c>
      <c r="BE98" s="190" cm="1">
        <f t="array" aca="1" ref="BE98" ca="1">IF(TblConstr[[#This Row],[Hour]:[Hour]]&gt;12,OFFSET(TblConstr[[#This Row],[Hav]],-12,0),0)+OFFSET(TblConstr[[#This Row],[Tot Hav]],-1,0)-TblConstr[[#This Row],[Dest Hav]]</f>
        <v>0</v>
      </c>
      <c r="BF98" s="361" cm="1">
        <f t="array" aca="1" ref="BF98" ca="1">IF(TblConstr[[#This Row],[Hour]:[Hour]]&gt;12,OFFSET(TblConstr[[#This Row],[OM]],-12,0),0)+OFFSET(TblConstr[[#This Row],[Tot OM]],-1,0)-TblConstr[[#This Row],[Dest OM]]</f>
        <v>0</v>
      </c>
      <c r="BG98" s="361" cm="1">
        <f t="array" aca="1" ref="BG98" ca="1">IF(TblConstr[[#This Row],[Hour]:[Hour]]&gt;12,OFFSET(TblConstr[[#This Row],[GN]],-12,0),0)+OFFSET(TblConstr[[#This Row],[Tot GN]],-1,0)-TblConstr[[#This Row],[Dest GN]]</f>
        <v>0</v>
      </c>
      <c r="BH98" s="365" cm="1">
        <f t="array" aca="1" ref="BH98" ca="1">IF(TblConstr[[#This Row],[Hour]:[Hour]]&gt;12,OFFSET(TblConstr[[#This Row],[Fac]],-12,0),0)+OFFSET(TblConstr[[#This Row],[Tot Fac]],-1,0)-TblConstr[[#This Row],[Dest Fac]]</f>
        <v>0</v>
      </c>
      <c r="BI98" s="365" cm="1">
        <f t="array" aca="1" ref="BI98" ca="1">IF(TblConstr[[#This Row],[Hour]:[Hour]]&gt;12,OFFSET(TblConstr[[#This Row],[GT]],-12,0),0)+OFFSET(TblConstr[[#This Row],[Tot GT]],-1,0)-TblConstr[[#This Row],[Dest GT]]</f>
        <v>0</v>
      </c>
      <c r="BJ98" s="365" cm="1">
        <f t="array" aca="1" ref="BJ98" ca="1">IF(TblConstr[[#This Row],[Hour]:[Hour]]&gt;12,OFFSET(TblConstr[[#This Row],[Bar]],-12,0),0)+OFFSET(TblConstr[[#This Row],[Tot Bar]],-1,0)-TblConstr[[#This Row],[Dest Bar]]</f>
        <v>0</v>
      </c>
      <c r="BK98" s="365" cm="1">
        <f t="array" aca="1" ref="BK98" ca="1">IF(TblConstr[[#This Row],[Hour]:[Hour]]&gt;12,OFFSET(TblConstr[[#This Row],[Shr]],-12,0),0)+OFFSET(TblConstr[[#This Row],[Tot Shr]],-1,0)-TblConstr[[#This Row],[Dest Shr]]</f>
        <v>0</v>
      </c>
      <c r="BL98" s="369" cm="1">
        <f t="array" aca="1" ref="BL98" ca="1">IF(TblConstr[[#This Row],[Hour]:[Hour]]&gt;12,OFFSET(TblConstr[[#This Row],[Tow]],-12,0),0)+OFFSET(TblConstr[[#This Row],[Tot Tow]],-1,0)-TblConstr[[#This Row],[Dest Tow]]</f>
        <v>0</v>
      </c>
      <c r="BM98" s="369" cm="1">
        <f t="array" aca="1" ref="BM98" ca="1">IF(TblConstr[[#This Row],[Hour]:[Hour]]&gt;12,OFFSET(TblConstr[[#This Row],[Tem]],-12,0),0)+OFFSET(TblConstr[[#This Row],[Tot Tem]],-1,0)-TblConstr[[#This Row],[Dest Tem]]</f>
        <v>0</v>
      </c>
      <c r="BN98" s="369" cm="1">
        <f t="array" aca="1" ref="BN98" ca="1">IF(TblConstr[[#This Row],[Hour]:[Hour]]&gt;12,OFFSET(TblConstr[[#This Row],[WG]],-12,0),0)+OFFSET(TblConstr[[#This Row],[Tot WG]],-1,0)-TblConstr[[#This Row],[Dest WG]]</f>
        <v>0</v>
      </c>
      <c r="BO98" s="191" cm="1">
        <f t="array" aca="1" ref="BO98" ca="1">IF(TblConstr[[#This Row],[Hour]:[Hour]]&gt;12,OFFSET(TblConstr[[#This Row],[DM]],-12,0),0)+OFFSET(TblConstr[[#This Row],[Tot DM]],-1,0)-TblConstr[[#This Row],[Dest DM]]</f>
        <v>0</v>
      </c>
      <c r="BP98" s="191" cm="1">
        <f t="array" aca="1" ref="BP98" ca="1">IF(TblConstr[[#This Row],[Hour]:[Hour]]&gt;12,OFFSET(TblConstr[[#This Row],[Sch]],-12,0),0)+OFFSET(TblConstr[[#This Row],[Tot Sch]],-1,0)-TblConstr[[#This Row],[Dest Sch]]</f>
        <v>0</v>
      </c>
      <c r="BQ98" s="192" cm="1">
        <f t="array" aca="1" ref="BQ98" ca="1">IF(TblConstr[[#This Row],[Hour]:[Hour]]&gt;12,OFFSET(TblConstr[[#This Row],[Doc]],-12,0),0)+OFFSET(TblConstr[[#This Row],[Tot Doc]],-1,0)-TblConstr[[#This Row],[Dest Doc]]</f>
        <v>0</v>
      </c>
      <c r="BR98" s="142"/>
      <c r="BS98" s="154"/>
      <c r="BT98" s="94">
        <f ca="1">TblConstr[[#This Row],[Land]]</f>
        <v>50</v>
      </c>
      <c r="BU98" s="159">
        <f ca="1">TblImps[[#This Row],[Time]]</f>
        <v>46323.916666666439</v>
      </c>
      <c r="BV98" s="142"/>
      <c r="BW98" s="179"/>
      <c r="BX98" s="179"/>
      <c r="BY98" s="179"/>
      <c r="BZ98" s="179"/>
      <c r="CA98" s="179"/>
      <c r="CB98" s="179"/>
      <c r="CC98" s="179"/>
      <c r="CD98" s="179"/>
      <c r="CE98" s="179"/>
      <c r="CF98" s="179"/>
      <c r="CG98" s="179"/>
      <c r="CH98" s="179"/>
      <c r="CI98" s="179"/>
      <c r="CJ98" s="179"/>
      <c r="CK98" s="179"/>
      <c r="CL98" s="179"/>
      <c r="CM98" s="179"/>
      <c r="CN98" s="179"/>
      <c r="CO98" s="179"/>
      <c r="CP98" s="142"/>
      <c r="CQ98" s="181">
        <f ca="1">-SUM(TblConstr[[#This Row],[Alc]:[Mas]])+SUM(TblConstr[[#This Row],[Dest Alc]:[Dest Mas]])+Rezone!L98+IF("Ch_"&amp; home_land=TblConstr[[#Headers],[Ch_Plain]],TblConstr[[#This Row],[Home Land]])+IF(TblConstr[[#This Row],[Hour]:[Hour]]&gt;12,OFFSET(TblExplore[[#This Row],[Plains Explore]],-12,0),0)</f>
        <v>0</v>
      </c>
      <c r="CR98" s="182">
        <f ca="1">-SUM(TblConstr[[#This Row],[Ly]:[Hav]])+SUM(TblConstr[[#This Row],[Dest Ly]:[Dest Hav]]) +Rezone!M98 + IF("Ch_"&amp; home_land=TblConstr[[#Headers],[Ch_Forest]],TblConstr[[#This Row],[Home Land]])+IF(TblConstr[[#This Row],[Hour]:[Hour]]&gt;12,OFFSET(TblExplore[[#This Row],[Forest Explore]],-12,0),0)</f>
        <v>0</v>
      </c>
      <c r="CS98" s="359">
        <f ca="1">-SUM(TblConstr[[#This Row],[OM]:[GN]])+SUM(TblConstr[[#This Row],[Dest OM]:[Dest GN]]) +Rezone!N98 + IF("Ch_"&amp; home_land=TblConstr[[#Headers],[Ch_Mountain]],TblConstr[[#This Row],[Home Land]])+IF(TblConstr[[#This Row],[Hour]:[Hour]]&gt;12,OFFSET(TblExplore[[#This Row],[Mountain Explore]],-12,0),0)</f>
        <v>0</v>
      </c>
      <c r="CT98" s="183">
        <f ca="1">-SUM(TblConstr[[#This Row],[Fac]:[Shr]])+SUM(TblConstr[[#This Row],[Dest Fac]:[Dest Shr]]) +Rezone!O98 + IF("Ch_" &amp; home_land=TblConstr[[#Headers],[Ch_Hill]],TblConstr[[#This Row],[Home Land]])+IF(TblConstr[[#This Row],[Hour]:[Hour]]&gt;12,OFFSET(TblExplore[[#This Row],[Hill Explore]],-12,0),0)</f>
        <v>0</v>
      </c>
      <c r="CU98" s="184">
        <f ca="1">-SUM(TblConstr[[#This Row],[Tow]:[WG]])+SUM(TblConstr[[#This Row],[Dest Tow]:[Dest WG]]) +Rezone!P98 + IF("Ch_" &amp; home_land=TblConstr[[#Headers],[Ch_Swamp]],TblConstr[[#This Row],[Home Land]])+IF(TblConstr[[#This Row],[Hour]:[Hour]]&gt;12,OFFSET(TblExplore[[#This Row],[Swamp Explore]],-12,0),0)</f>
        <v>0</v>
      </c>
      <c r="CV98" s="185">
        <f ca="1" xml:space="preserve"> - SUM(TblConstr[[#This Row],[DM]:[Sch]])+SUM(TblConstr[[#This Row],[Dest DM]:[Dest Sch]]) +Rezone!Q98 + IF("Ch_" &amp; home_land=TblConstr[[#Headers],[Ch_Cavern]],TblConstr[[#This Row],[Home Land]])+IF(TblConstr[[#This Row],[Hour]:[Hour]]&gt;12,OFFSET(TblExplore[[#This Row],[Cavern Explore]],-12,0),0)</f>
        <v>0</v>
      </c>
      <c r="CW98" s="186">
        <f ca="1">-TblConstr[[#This Row],[Doc]]+TblConstr[[#This Row],[Dest Doc]] +Rezone!R98 + IF("Ch_" &amp; home_land=TblConstr[[#Headers],[Ch_Water]],TblConstr[[#This Row],[Home Land]])+IF(TblConstr[[#This Row],[Hour]:[Hour]]&gt;12,OFFSET(TblExplore[[#This Row],[Water Explore]],-12,0),0)</f>
        <v>0</v>
      </c>
      <c r="CX98" s="45">
        <f>IF(Explore!S98=1,20) - TblConstr[[#This Row],[Hom]] + TblConstr[[#This Row],[Dest Hom]]</f>
        <v>0</v>
      </c>
      <c r="CY98" s="142"/>
      <c r="CZ98" s="94">
        <f t="shared" ca="1" si="23"/>
        <v>30</v>
      </c>
      <c r="DA98" s="94">
        <f t="shared" ca="1" si="24"/>
        <v>20</v>
      </c>
      <c r="DB98" s="45">
        <f t="shared" ca="1" si="25"/>
        <v>0</v>
      </c>
      <c r="DC98" s="94">
        <f t="shared" ca="1" si="26"/>
        <v>0</v>
      </c>
      <c r="DD98" s="94">
        <f t="shared" ca="1" si="27"/>
        <v>0</v>
      </c>
      <c r="DE98" s="45">
        <f t="shared" ca="1" si="28"/>
        <v>0</v>
      </c>
      <c r="DF98" s="94">
        <f t="shared" ca="1" si="29"/>
        <v>0</v>
      </c>
      <c r="DG98" s="94" cm="1">
        <f t="array" aca="1" ref="DG98" ca="1">INDEX(TblConstr[[Total Plain]:[Total Water]],ROW()-ROW(TblConstr[#Headers]),MATCH("Total "&amp;home_land,TblConstr[[#Headers],[Total Plain]:[Total Water]],0))+TblConstr[[#This Row],[Homes]]</f>
        <v>30</v>
      </c>
      <c r="DH98" s="45">
        <f t="shared" ca="1" si="22"/>
        <v>0</v>
      </c>
      <c r="DI98" s="45">
        <f t="shared" ca="1" si="19"/>
        <v>0</v>
      </c>
      <c r="DJ98" s="45">
        <f t="shared" ca="1" si="20"/>
        <v>0</v>
      </c>
    </row>
    <row r="99" spans="1:114" x14ac:dyDescent="0.2">
      <c r="A99" s="175">
        <f>TblRezone[[#This Row],[Hour]]</f>
        <v>96</v>
      </c>
      <c r="B99" s="176">
        <f ca="1">SUM(TblConstr[[#This Row],[Plain]:[Water]])</f>
        <v>0</v>
      </c>
      <c r="C99" s="177">
        <f ca="1">SUM(TblConstr[[#This Row],[Tot Hom]:[Tot Doc]])</f>
        <v>50</v>
      </c>
      <c r="D99" s="177">
        <f t="shared" si="21"/>
        <v>0</v>
      </c>
      <c r="E99" s="178"/>
      <c r="F99" s="61">
        <f ca="1">TblConstr[[#This Row],[Barren]]+TblConstr[[#This Row],[Buildings]]+TblConstr[[#This Row],[Incoming]]</f>
        <v>50</v>
      </c>
      <c r="G99" s="187">
        <f ca="1">OFFSET(TblConstr[[#This Row],[Plain]],-1,0)+TblConstr[[#This Row],[Ch_Plain]]</f>
        <v>0</v>
      </c>
      <c r="H99" s="182">
        <f ca="1">OFFSET(TblConstr[[#This Row],[Forest]],-1,0)+TblConstr[[#This Row],[Ch_Forest]]</f>
        <v>0</v>
      </c>
      <c r="I99" s="359">
        <f ca="1">OFFSET(TblConstr[[#This Row],[Mountain]],-1,0)+TblConstr[[#This Row],[Ch_Mountain]]</f>
        <v>0</v>
      </c>
      <c r="J99" s="363">
        <f ca="1">OFFSET(TblConstr[[#This Row],[Hill]],-1,0)+TblConstr[[#This Row],[Ch_Hill]]</f>
        <v>0</v>
      </c>
      <c r="K99" s="367">
        <f ca="1">OFFSET(TblConstr[[#This Row],[Swamp]],-1,0)+TblConstr[[#This Row],[Ch_Swamp]]</f>
        <v>0</v>
      </c>
      <c r="L99" s="185">
        <f ca="1">OFFSET(TblConstr[[#This Row],[Cavern]],-1,0)+TblConstr[[#This Row],[Ch_Cavern]]</f>
        <v>0</v>
      </c>
      <c r="M99" s="186">
        <f ca="1">OFFSET(TblConstr[[#This Row],[Water]],-1,0)+TblConstr[[#This Row],[Ch_Water]]</f>
        <v>0</v>
      </c>
      <c r="N99" s="357">
        <f>TblRezone[[#This Row],[Hour]]</f>
        <v>96</v>
      </c>
      <c r="O99" s="179"/>
      <c r="P99" s="158"/>
      <c r="Q99" s="179"/>
      <c r="R99" s="179"/>
      <c r="S99" s="179"/>
      <c r="T99" s="179"/>
      <c r="U99" s="179"/>
      <c r="V99" s="179"/>
      <c r="W99" s="179"/>
      <c r="X99" s="179"/>
      <c r="Y99" s="179"/>
      <c r="Z99" s="179"/>
      <c r="AA99" s="179"/>
      <c r="AB99" s="179"/>
      <c r="AC99" s="179"/>
      <c r="AD99" s="179"/>
      <c r="AE99" s="179"/>
      <c r="AF99" s="179"/>
      <c r="AG99" s="179"/>
      <c r="AH99" s="53">
        <f ca="1">TblImps[[#This Row],[Time]]</f>
        <v>46323.958333333103</v>
      </c>
      <c r="AI99" s="180">
        <f ca="1">MIN(25%,(TblConstr[[#This Row],[Tot Fac]]+TblConstr[[#This Row],[Dest Fac]])/(TblConstr[[#This Row],[Land]]-TblExplore[[#This Row],[Land Bonus]]*20))</f>
        <v>0</v>
      </c>
      <c r="AJ99" s="180">
        <f ca="1">MIN(25%,(TblConstr[[#This Row],[Tot Fac]]+TblConstr[[#This Row],[Dest Fac]])/TblConstr[[#This Row],[Land]])</f>
        <v>0</v>
      </c>
      <c r="AK99" s="94">
        <f ca="1">TblProd[[#This Row],[Platinum]]</f>
        <v>198163</v>
      </c>
      <c r="AL99" s="94">
        <f ca="1">TblProd[[#This Row],[Lumber]]</f>
        <v>67282</v>
      </c>
      <c r="AM9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9" s="94">
        <f ca="1">ROUNDDOWN( MAX(1 - MIN(facs_constr_factor*TblConstr[[#This Row],[Facs -DB]],facs_constr_max) + tech_1_11*TblTech[[#This Row],[11-1]] + tech_6_3_2*TblTech[[#This Row],[6-3]] + tech_5_2_3*TblTech[[#This Row],[5-2]], 1-global_constr_cap) * TblConstr[[#This Row],[RCPA Lumber]],0)</f>
        <v>31</v>
      </c>
      <c r="AO9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9" s="94">
        <f ca="1">ROUNDDOWN( MAX(1 - MIN(facs_constr_factor*TblConstr[[#This Row],[Facs DB]],facs_constr_max) + tech_1_11*TblTech[[#This Row],[1-11]] + tech_6_3_2*TblTech[[#This Row],[6-3]] + tech_5_2_3*TblTech[[#This Row],[5-2]], 1-global_constr_cap) * ROUND((TblConstr[[#This Row],[Land]]-250)*0.285 + 87.5 + 0/4.25,0),0)</f>
        <v>31</v>
      </c>
      <c r="AQ99" s="45">
        <f ca="1">TblConstr[[#This Row],[build -db]]*TblConstr[[#This Row],[CPA Platinum -DB]] + TblConstr[[#This Row],[build db]]*TblConstr[[#This Row],[CPA Platinum DB]]</f>
        <v>0</v>
      </c>
      <c r="AR99" s="45">
        <f ca="1">TblConstr[[#This Row],[build -db]]*TblConstr[[#This Row],[CPA Lumber -DB]] + TblConstr[[#This Row],[build db]]*TblConstr[[#This Row],[CPA Lumber DB]]</f>
        <v>0</v>
      </c>
      <c r="AS99" s="94">
        <f ca="1">MIN(SUM(OFFSET(TblConstr[[#This Row],[Plain]:[Water]],-1,0))+SUM(TblConstr[[#This Row],[Dest Hom]:[Dest Doc]])+IF(TblConstr[[#This Row],[Hour]]&gt;12,SUM(OFFSET(TblExplore[[#This Row],[Plains Explore]:[Water Explore]],-12,0)),0),SUM(TblConstr[[#This Row],[Hom]:[Doc]]))</f>
        <v>0</v>
      </c>
      <c r="AT9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42"/>
      <c r="AV99" s="94">
        <f ca="1">ROUND((TblConstr[[#This Row],[Land]]-250 - IF(TblExplore[[#This Row],[Land Bonus]]&lt;&gt;0,20,0))*1.25 + 850 + 0,0)</f>
        <v>600</v>
      </c>
      <c r="AW99" s="94">
        <f ca="1">ROUND((TblConstr[[#This Row],[Land]]-250 - IF(TblExplore[[#This Row],[Land Bonus]]&lt;&gt;0,20,0))*0.285 + 87.5 + 0/4.25,0)</f>
        <v>31</v>
      </c>
      <c r="AX99" s="154"/>
      <c r="AY99" s="188" cm="1">
        <f t="array" aca="1" ref="AY99" ca="1">IF(TblConstr[[#This Row],[Hour]:[Hour]]&gt;12,OFFSET(TblConstr[[#This Row],[Hom]],-12,0),0)+OFFSET(TblConstr[[#This Row],[Tot Hom]],-1,0)-TblConstr[[#This Row],[Dest Hom]]</f>
        <v>0</v>
      </c>
      <c r="AZ99" s="189" cm="1">
        <f t="array" aca="1" ref="AZ99" ca="1">IF(TblConstr[[#This Row],[Hour]:[Hour]]&gt;12,OFFSET(TblConstr[[#This Row],[Alc]],-12,0),0)+OFFSET(TblConstr[[#This Row],[Tot Alc]],-1,0)-TblConstr[[#This Row],[Dest Alc]]</f>
        <v>0</v>
      </c>
      <c r="BA99" s="189" cm="1">
        <f t="array" aca="1" ref="BA99" ca="1">IF(TblConstr[[#This Row],[Hour]:[Hour]]&gt;12,OFFSET(TblConstr[[#This Row],[Far]],-12,0),0)+OFFSET(TblConstr[[#This Row],[Tot Farm]],-1,0)-TblConstr[[#This Row],[Dest Farm]]</f>
        <v>30</v>
      </c>
      <c r="BB99" s="189" cm="1">
        <f t="array" aca="1" ref="BB99" ca="1">IF(TblConstr[[#This Row],[Hour]:[Hour]]&gt;12,OFFSET(TblConstr[[#This Row],[Smi]],-12,0),0)+OFFSET(TblConstr[[#This Row],[Tot Smi]],-1,0)-TblConstr[[#This Row],[Dest Smi]]</f>
        <v>0</v>
      </c>
      <c r="BC99" s="189" cm="1">
        <f t="array" aca="1" ref="BC99" ca="1">IF(TblConstr[[#This Row],[Hour]:[Hour]]&gt;12,OFFSET(TblConstr[[#This Row],[Mas]],-12,0),0)+OFFSET(TblConstr[[#This Row],[Tot Mas]],-1,0)-TblConstr[[#This Row],[Dest Mas]]</f>
        <v>0</v>
      </c>
      <c r="BD99" s="190" cm="1">
        <f t="array" aca="1" ref="BD99" ca="1">IF(TblConstr[[#This Row],[Hour]:[Hour]]&gt;12,OFFSET(TblConstr[[#This Row],[Ly]],-12,0),0)+OFFSET(TblConstr[[#This Row],[Tot Ly]],-1,0)-TblConstr[[#This Row],[Dest Ly]]</f>
        <v>20</v>
      </c>
      <c r="BE99" s="190" cm="1">
        <f t="array" aca="1" ref="BE99" ca="1">IF(TblConstr[[#This Row],[Hour]:[Hour]]&gt;12,OFFSET(TblConstr[[#This Row],[Hav]],-12,0),0)+OFFSET(TblConstr[[#This Row],[Tot Hav]],-1,0)-TblConstr[[#This Row],[Dest Hav]]</f>
        <v>0</v>
      </c>
      <c r="BF99" s="361" cm="1">
        <f t="array" aca="1" ref="BF99" ca="1">IF(TblConstr[[#This Row],[Hour]:[Hour]]&gt;12,OFFSET(TblConstr[[#This Row],[OM]],-12,0),0)+OFFSET(TblConstr[[#This Row],[Tot OM]],-1,0)-TblConstr[[#This Row],[Dest OM]]</f>
        <v>0</v>
      </c>
      <c r="BG99" s="361" cm="1">
        <f t="array" aca="1" ref="BG99" ca="1">IF(TblConstr[[#This Row],[Hour]:[Hour]]&gt;12,OFFSET(TblConstr[[#This Row],[GN]],-12,0),0)+OFFSET(TblConstr[[#This Row],[Tot GN]],-1,0)-TblConstr[[#This Row],[Dest GN]]</f>
        <v>0</v>
      </c>
      <c r="BH99" s="365" cm="1">
        <f t="array" aca="1" ref="BH99" ca="1">IF(TblConstr[[#This Row],[Hour]:[Hour]]&gt;12,OFFSET(TblConstr[[#This Row],[Fac]],-12,0),0)+OFFSET(TblConstr[[#This Row],[Tot Fac]],-1,0)-TblConstr[[#This Row],[Dest Fac]]</f>
        <v>0</v>
      </c>
      <c r="BI99" s="365" cm="1">
        <f t="array" aca="1" ref="BI99" ca="1">IF(TblConstr[[#This Row],[Hour]:[Hour]]&gt;12,OFFSET(TblConstr[[#This Row],[GT]],-12,0),0)+OFFSET(TblConstr[[#This Row],[Tot GT]],-1,0)-TblConstr[[#This Row],[Dest GT]]</f>
        <v>0</v>
      </c>
      <c r="BJ99" s="365" cm="1">
        <f t="array" aca="1" ref="BJ99" ca="1">IF(TblConstr[[#This Row],[Hour]:[Hour]]&gt;12,OFFSET(TblConstr[[#This Row],[Bar]],-12,0),0)+OFFSET(TblConstr[[#This Row],[Tot Bar]],-1,0)-TblConstr[[#This Row],[Dest Bar]]</f>
        <v>0</v>
      </c>
      <c r="BK99" s="365" cm="1">
        <f t="array" aca="1" ref="BK99" ca="1">IF(TblConstr[[#This Row],[Hour]:[Hour]]&gt;12,OFFSET(TblConstr[[#This Row],[Shr]],-12,0),0)+OFFSET(TblConstr[[#This Row],[Tot Shr]],-1,0)-TblConstr[[#This Row],[Dest Shr]]</f>
        <v>0</v>
      </c>
      <c r="BL99" s="369" cm="1">
        <f t="array" aca="1" ref="BL99" ca="1">IF(TblConstr[[#This Row],[Hour]:[Hour]]&gt;12,OFFSET(TblConstr[[#This Row],[Tow]],-12,0),0)+OFFSET(TblConstr[[#This Row],[Tot Tow]],-1,0)-TblConstr[[#This Row],[Dest Tow]]</f>
        <v>0</v>
      </c>
      <c r="BM99" s="369" cm="1">
        <f t="array" aca="1" ref="BM99" ca="1">IF(TblConstr[[#This Row],[Hour]:[Hour]]&gt;12,OFFSET(TblConstr[[#This Row],[Tem]],-12,0),0)+OFFSET(TblConstr[[#This Row],[Tot Tem]],-1,0)-TblConstr[[#This Row],[Dest Tem]]</f>
        <v>0</v>
      </c>
      <c r="BN99" s="369" cm="1">
        <f t="array" aca="1" ref="BN99" ca="1">IF(TblConstr[[#This Row],[Hour]:[Hour]]&gt;12,OFFSET(TblConstr[[#This Row],[WG]],-12,0),0)+OFFSET(TblConstr[[#This Row],[Tot WG]],-1,0)-TblConstr[[#This Row],[Dest WG]]</f>
        <v>0</v>
      </c>
      <c r="BO99" s="191" cm="1">
        <f t="array" aca="1" ref="BO99" ca="1">IF(TblConstr[[#This Row],[Hour]:[Hour]]&gt;12,OFFSET(TblConstr[[#This Row],[DM]],-12,0),0)+OFFSET(TblConstr[[#This Row],[Tot DM]],-1,0)-TblConstr[[#This Row],[Dest DM]]</f>
        <v>0</v>
      </c>
      <c r="BP99" s="191" cm="1">
        <f t="array" aca="1" ref="BP99" ca="1">IF(TblConstr[[#This Row],[Hour]:[Hour]]&gt;12,OFFSET(TblConstr[[#This Row],[Sch]],-12,0),0)+OFFSET(TblConstr[[#This Row],[Tot Sch]],-1,0)-TblConstr[[#This Row],[Dest Sch]]</f>
        <v>0</v>
      </c>
      <c r="BQ99" s="192" cm="1">
        <f t="array" aca="1" ref="BQ99" ca="1">IF(TblConstr[[#This Row],[Hour]:[Hour]]&gt;12,OFFSET(TblConstr[[#This Row],[Doc]],-12,0),0)+OFFSET(TblConstr[[#This Row],[Tot Doc]],-1,0)-TblConstr[[#This Row],[Dest Doc]]</f>
        <v>0</v>
      </c>
      <c r="BR99" s="142"/>
      <c r="BS99" s="154"/>
      <c r="BT99" s="94">
        <f ca="1">TblConstr[[#This Row],[Land]]</f>
        <v>50</v>
      </c>
      <c r="BU99" s="159">
        <f ca="1">TblImps[[#This Row],[Time]]</f>
        <v>46323.958333333103</v>
      </c>
      <c r="BV99" s="142"/>
      <c r="BW99" s="179"/>
      <c r="BX99" s="179"/>
      <c r="BY99" s="179"/>
      <c r="BZ99" s="179"/>
      <c r="CA99" s="179"/>
      <c r="CB99" s="179"/>
      <c r="CC99" s="179"/>
      <c r="CD99" s="179"/>
      <c r="CE99" s="179"/>
      <c r="CF99" s="179"/>
      <c r="CG99" s="179"/>
      <c r="CH99" s="179"/>
      <c r="CI99" s="179"/>
      <c r="CJ99" s="179"/>
      <c r="CK99" s="179"/>
      <c r="CL99" s="179"/>
      <c r="CM99" s="179"/>
      <c r="CN99" s="179"/>
      <c r="CO99" s="179"/>
      <c r="CP99" s="142"/>
      <c r="CQ99" s="181">
        <f ca="1">-SUM(TblConstr[[#This Row],[Alc]:[Mas]])+SUM(TblConstr[[#This Row],[Dest Alc]:[Dest Mas]])+Rezone!L99+IF("Ch_"&amp; home_land=TblConstr[[#Headers],[Ch_Plain]],TblConstr[[#This Row],[Home Land]])+IF(TblConstr[[#This Row],[Hour]:[Hour]]&gt;12,OFFSET(TblExplore[[#This Row],[Plains Explore]],-12,0),0)</f>
        <v>0</v>
      </c>
      <c r="CR99" s="182">
        <f ca="1">-SUM(TblConstr[[#This Row],[Ly]:[Hav]])+SUM(TblConstr[[#This Row],[Dest Ly]:[Dest Hav]]) +Rezone!M99 + IF("Ch_"&amp; home_land=TblConstr[[#Headers],[Ch_Forest]],TblConstr[[#This Row],[Home Land]])+IF(TblConstr[[#This Row],[Hour]:[Hour]]&gt;12,OFFSET(TblExplore[[#This Row],[Forest Explore]],-12,0),0)</f>
        <v>0</v>
      </c>
      <c r="CS99" s="359">
        <f ca="1">-SUM(TblConstr[[#This Row],[OM]:[GN]])+SUM(TblConstr[[#This Row],[Dest OM]:[Dest GN]]) +Rezone!N99 + IF("Ch_"&amp; home_land=TblConstr[[#Headers],[Ch_Mountain]],TblConstr[[#This Row],[Home Land]])+IF(TblConstr[[#This Row],[Hour]:[Hour]]&gt;12,OFFSET(TblExplore[[#This Row],[Mountain Explore]],-12,0),0)</f>
        <v>0</v>
      </c>
      <c r="CT99" s="183">
        <f ca="1">-SUM(TblConstr[[#This Row],[Fac]:[Shr]])+SUM(TblConstr[[#This Row],[Dest Fac]:[Dest Shr]]) +Rezone!O99 + IF("Ch_" &amp; home_land=TblConstr[[#Headers],[Ch_Hill]],TblConstr[[#This Row],[Home Land]])+IF(TblConstr[[#This Row],[Hour]:[Hour]]&gt;12,OFFSET(TblExplore[[#This Row],[Hill Explore]],-12,0),0)</f>
        <v>0</v>
      </c>
      <c r="CU99" s="184">
        <f ca="1">-SUM(TblConstr[[#This Row],[Tow]:[WG]])+SUM(TblConstr[[#This Row],[Dest Tow]:[Dest WG]]) +Rezone!P99 + IF("Ch_" &amp; home_land=TblConstr[[#Headers],[Ch_Swamp]],TblConstr[[#This Row],[Home Land]])+IF(TblConstr[[#This Row],[Hour]:[Hour]]&gt;12,OFFSET(TblExplore[[#This Row],[Swamp Explore]],-12,0),0)</f>
        <v>0</v>
      </c>
      <c r="CV99" s="185">
        <f ca="1" xml:space="preserve"> - SUM(TblConstr[[#This Row],[DM]:[Sch]])+SUM(TblConstr[[#This Row],[Dest DM]:[Dest Sch]]) +Rezone!Q99 + IF("Ch_" &amp; home_land=TblConstr[[#Headers],[Ch_Cavern]],TblConstr[[#This Row],[Home Land]])+IF(TblConstr[[#This Row],[Hour]:[Hour]]&gt;12,OFFSET(TblExplore[[#This Row],[Cavern Explore]],-12,0),0)</f>
        <v>0</v>
      </c>
      <c r="CW99" s="186">
        <f ca="1">-TblConstr[[#This Row],[Doc]]+TblConstr[[#This Row],[Dest Doc]] +Rezone!R99 + IF("Ch_" &amp; home_land=TblConstr[[#Headers],[Ch_Water]],TblConstr[[#This Row],[Home Land]])+IF(TblConstr[[#This Row],[Hour]:[Hour]]&gt;12,OFFSET(TblExplore[[#This Row],[Water Explore]],-12,0),0)</f>
        <v>0</v>
      </c>
      <c r="CX99" s="45">
        <f>IF(Explore!S99=1,20) - TblConstr[[#This Row],[Hom]] + TblConstr[[#This Row],[Dest Hom]]</f>
        <v>0</v>
      </c>
      <c r="CY99" s="142"/>
      <c r="CZ99" s="94">
        <f t="shared" ca="1" si="23"/>
        <v>30</v>
      </c>
      <c r="DA99" s="94">
        <f t="shared" ca="1" si="24"/>
        <v>20</v>
      </c>
      <c r="DB99" s="45">
        <f t="shared" ca="1" si="25"/>
        <v>0</v>
      </c>
      <c r="DC99" s="94">
        <f t="shared" ca="1" si="26"/>
        <v>0</v>
      </c>
      <c r="DD99" s="94">
        <f t="shared" ca="1" si="27"/>
        <v>0</v>
      </c>
      <c r="DE99" s="45">
        <f t="shared" ca="1" si="28"/>
        <v>0</v>
      </c>
      <c r="DF99" s="94">
        <f t="shared" ca="1" si="29"/>
        <v>0</v>
      </c>
      <c r="DG99" s="94" cm="1">
        <f t="array" aca="1" ref="DG99" ca="1">INDEX(TblConstr[[Total Plain]:[Total Water]],ROW()-ROW(TblConstr[#Headers]),MATCH("Total "&amp;home_land,TblConstr[[#Headers],[Total Plain]:[Total Water]],0))+TblConstr[[#This Row],[Homes]]</f>
        <v>30</v>
      </c>
      <c r="DH99" s="45">
        <f t="shared" ca="1" si="22"/>
        <v>0</v>
      </c>
      <c r="DI99" s="45">
        <f t="shared" ca="1" si="19"/>
        <v>0</v>
      </c>
      <c r="DJ99" s="45">
        <f t="shared" ca="1" si="20"/>
        <v>0</v>
      </c>
    </row>
    <row r="100" spans="1:114" x14ac:dyDescent="0.2">
      <c r="A100" s="175">
        <f>TblRezone[[#This Row],[Hour]]</f>
        <v>97</v>
      </c>
      <c r="B100" s="176">
        <f ca="1">SUM(TblConstr[[#This Row],[Plain]:[Water]])</f>
        <v>0</v>
      </c>
      <c r="C100" s="177">
        <f ca="1">SUM(TblConstr[[#This Row],[Tot Hom]:[Tot Doc]])</f>
        <v>50</v>
      </c>
      <c r="D100" s="177">
        <f t="shared" si="21"/>
        <v>0</v>
      </c>
      <c r="E100" s="178"/>
      <c r="F100" s="61">
        <f ca="1">TblConstr[[#This Row],[Barren]]+TblConstr[[#This Row],[Buildings]]+TblConstr[[#This Row],[Incoming]]</f>
        <v>50</v>
      </c>
      <c r="G100" s="187">
        <f ca="1">OFFSET(TblConstr[[#This Row],[Plain]],-1,0)+TblConstr[[#This Row],[Ch_Plain]]</f>
        <v>0</v>
      </c>
      <c r="H100" s="182">
        <f ca="1">OFFSET(TblConstr[[#This Row],[Forest]],-1,0)+TblConstr[[#This Row],[Ch_Forest]]</f>
        <v>0</v>
      </c>
      <c r="I100" s="359">
        <f ca="1">OFFSET(TblConstr[[#This Row],[Mountain]],-1,0)+TblConstr[[#This Row],[Ch_Mountain]]</f>
        <v>0</v>
      </c>
      <c r="J100" s="363">
        <f ca="1">OFFSET(TblConstr[[#This Row],[Hill]],-1,0)+TblConstr[[#This Row],[Ch_Hill]]</f>
        <v>0</v>
      </c>
      <c r="K100" s="367">
        <f ca="1">OFFSET(TblConstr[[#This Row],[Swamp]],-1,0)+TblConstr[[#This Row],[Ch_Swamp]]</f>
        <v>0</v>
      </c>
      <c r="L100" s="185">
        <f ca="1">OFFSET(TblConstr[[#This Row],[Cavern]],-1,0)+TblConstr[[#This Row],[Ch_Cavern]]</f>
        <v>0</v>
      </c>
      <c r="M100" s="186">
        <f ca="1">OFFSET(TblConstr[[#This Row],[Water]],-1,0)+TblConstr[[#This Row],[Ch_Water]]</f>
        <v>0</v>
      </c>
      <c r="N100" s="357">
        <f>TblRezone[[#This Row],[Hour]]</f>
        <v>97</v>
      </c>
      <c r="O100" s="179"/>
      <c r="P100" s="179"/>
      <c r="Q100" s="179"/>
      <c r="R100" s="179"/>
      <c r="S100" s="179"/>
      <c r="T100" s="179"/>
      <c r="U100" s="179"/>
      <c r="V100" s="179"/>
      <c r="W100" s="179"/>
      <c r="X100" s="179"/>
      <c r="Y100" s="179"/>
      <c r="Z100" s="179"/>
      <c r="AA100" s="179"/>
      <c r="AB100" s="179"/>
      <c r="AC100" s="179"/>
      <c r="AD100" s="179"/>
      <c r="AE100" s="179"/>
      <c r="AF100" s="179"/>
      <c r="AG100" s="179"/>
      <c r="AH100" s="53">
        <f ca="1">TblImps[[#This Row],[Time]]</f>
        <v>46323.999999999767</v>
      </c>
      <c r="AI100" s="180">
        <f ca="1">MIN(25%,(TblConstr[[#This Row],[Tot Fac]]+TblConstr[[#This Row],[Dest Fac]])/(TblConstr[[#This Row],[Land]]-TblExplore[[#This Row],[Land Bonus]]*20))</f>
        <v>0</v>
      </c>
      <c r="AJ100" s="180">
        <f ca="1">MIN(25%,(TblConstr[[#This Row],[Tot Fac]]+TblConstr[[#This Row],[Dest Fac]])/TblConstr[[#This Row],[Land]])</f>
        <v>0</v>
      </c>
      <c r="AK100" s="94">
        <f ca="1">TblProd[[#This Row],[Platinum]]</f>
        <v>198657</v>
      </c>
      <c r="AL100" s="94">
        <f ca="1">TblProd[[#This Row],[Lumber]]</f>
        <v>67609</v>
      </c>
      <c r="AM10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0" s="94">
        <f ca="1">ROUNDDOWN( MAX(1 - MIN(facs_constr_factor*TblConstr[[#This Row],[Facs -DB]],facs_constr_max) + tech_1_11*TblTech[[#This Row],[11-1]] + tech_6_3_2*TblTech[[#This Row],[6-3]] + tech_5_2_3*TblTech[[#This Row],[5-2]], 1-global_constr_cap) * TblConstr[[#This Row],[RCPA Lumber]],0)</f>
        <v>31</v>
      </c>
      <c r="AO10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0" s="94">
        <f ca="1">ROUNDDOWN( MAX(1 - MIN(facs_constr_factor*TblConstr[[#This Row],[Facs DB]],facs_constr_max) + tech_1_11*TblTech[[#This Row],[1-11]] + tech_6_3_2*TblTech[[#This Row],[6-3]] + tech_5_2_3*TblTech[[#This Row],[5-2]], 1-global_constr_cap) * ROUND((TblConstr[[#This Row],[Land]]-250)*0.285 + 87.5 + 0/4.25,0),0)</f>
        <v>31</v>
      </c>
      <c r="AQ100" s="45">
        <f ca="1">TblConstr[[#This Row],[build -db]]*TblConstr[[#This Row],[CPA Platinum -DB]] + TblConstr[[#This Row],[build db]]*TblConstr[[#This Row],[CPA Platinum DB]]</f>
        <v>0</v>
      </c>
      <c r="AR100" s="45">
        <f ca="1">TblConstr[[#This Row],[build -db]]*TblConstr[[#This Row],[CPA Lumber -DB]] + TblConstr[[#This Row],[build db]]*TblConstr[[#This Row],[CPA Lumber DB]]</f>
        <v>0</v>
      </c>
      <c r="AS100" s="94">
        <f ca="1">MIN(SUM(OFFSET(TblConstr[[#This Row],[Plain]:[Water]],-1,0))+SUM(TblConstr[[#This Row],[Dest Hom]:[Dest Doc]])+IF(TblConstr[[#This Row],[Hour]]&gt;12,SUM(OFFSET(TblExplore[[#This Row],[Plains Explore]:[Water Explore]],-12,0)),0),SUM(TblConstr[[#This Row],[Hom]:[Doc]]))</f>
        <v>0</v>
      </c>
      <c r="AT10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42"/>
      <c r="AV100" s="94">
        <f ca="1">ROUND((TblConstr[[#This Row],[Land]]-250 - IF(TblExplore[[#This Row],[Land Bonus]]&lt;&gt;0,20,0))*1.25 + 850 + 0,0)</f>
        <v>600</v>
      </c>
      <c r="AW100" s="94">
        <f ca="1">ROUND((TblConstr[[#This Row],[Land]]-250 - IF(TblExplore[[#This Row],[Land Bonus]]&lt;&gt;0,20,0))*0.285 + 87.5 + 0/4.25,0)</f>
        <v>31</v>
      </c>
      <c r="AX100" s="154"/>
      <c r="AY100" s="188" cm="1">
        <f t="array" aca="1" ref="AY100" ca="1">IF(TblConstr[[#This Row],[Hour]:[Hour]]&gt;12,OFFSET(TblConstr[[#This Row],[Hom]],-12,0),0)+OFFSET(TblConstr[[#This Row],[Tot Hom]],-1,0)-TblConstr[[#This Row],[Dest Hom]]</f>
        <v>0</v>
      </c>
      <c r="AZ100" s="189" cm="1">
        <f t="array" aca="1" ref="AZ100" ca="1">IF(TblConstr[[#This Row],[Hour]:[Hour]]&gt;12,OFFSET(TblConstr[[#This Row],[Alc]],-12,0),0)+OFFSET(TblConstr[[#This Row],[Tot Alc]],-1,0)-TblConstr[[#This Row],[Dest Alc]]</f>
        <v>0</v>
      </c>
      <c r="BA100" s="189" cm="1">
        <f t="array" aca="1" ref="BA100" ca="1">IF(TblConstr[[#This Row],[Hour]:[Hour]]&gt;12,OFFSET(TblConstr[[#This Row],[Far]],-12,0),0)+OFFSET(TblConstr[[#This Row],[Tot Farm]],-1,0)-TblConstr[[#This Row],[Dest Farm]]</f>
        <v>30</v>
      </c>
      <c r="BB100" s="189" cm="1">
        <f t="array" aca="1" ref="BB100" ca="1">IF(TblConstr[[#This Row],[Hour]:[Hour]]&gt;12,OFFSET(TblConstr[[#This Row],[Smi]],-12,0),0)+OFFSET(TblConstr[[#This Row],[Tot Smi]],-1,0)-TblConstr[[#This Row],[Dest Smi]]</f>
        <v>0</v>
      </c>
      <c r="BC100" s="189" cm="1">
        <f t="array" aca="1" ref="BC100" ca="1">IF(TblConstr[[#This Row],[Hour]:[Hour]]&gt;12,OFFSET(TblConstr[[#This Row],[Mas]],-12,0),0)+OFFSET(TblConstr[[#This Row],[Tot Mas]],-1,0)-TblConstr[[#This Row],[Dest Mas]]</f>
        <v>0</v>
      </c>
      <c r="BD100" s="190" cm="1">
        <f t="array" aca="1" ref="BD100" ca="1">IF(TblConstr[[#This Row],[Hour]:[Hour]]&gt;12,OFFSET(TblConstr[[#This Row],[Ly]],-12,0),0)+OFFSET(TblConstr[[#This Row],[Tot Ly]],-1,0)-TblConstr[[#This Row],[Dest Ly]]</f>
        <v>20</v>
      </c>
      <c r="BE100" s="190" cm="1">
        <f t="array" aca="1" ref="BE100" ca="1">IF(TblConstr[[#This Row],[Hour]:[Hour]]&gt;12,OFFSET(TblConstr[[#This Row],[Hav]],-12,0),0)+OFFSET(TblConstr[[#This Row],[Tot Hav]],-1,0)-TblConstr[[#This Row],[Dest Hav]]</f>
        <v>0</v>
      </c>
      <c r="BF100" s="361" cm="1">
        <f t="array" aca="1" ref="BF100" ca="1">IF(TblConstr[[#This Row],[Hour]:[Hour]]&gt;12,OFFSET(TblConstr[[#This Row],[OM]],-12,0),0)+OFFSET(TblConstr[[#This Row],[Tot OM]],-1,0)-TblConstr[[#This Row],[Dest OM]]</f>
        <v>0</v>
      </c>
      <c r="BG100" s="361" cm="1">
        <f t="array" aca="1" ref="BG100" ca="1">IF(TblConstr[[#This Row],[Hour]:[Hour]]&gt;12,OFFSET(TblConstr[[#This Row],[GN]],-12,0),0)+OFFSET(TblConstr[[#This Row],[Tot GN]],-1,0)-TblConstr[[#This Row],[Dest GN]]</f>
        <v>0</v>
      </c>
      <c r="BH100" s="365" cm="1">
        <f t="array" aca="1" ref="BH100" ca="1">IF(TblConstr[[#This Row],[Hour]:[Hour]]&gt;12,OFFSET(TblConstr[[#This Row],[Fac]],-12,0),0)+OFFSET(TblConstr[[#This Row],[Tot Fac]],-1,0)-TblConstr[[#This Row],[Dest Fac]]</f>
        <v>0</v>
      </c>
      <c r="BI100" s="365" cm="1">
        <f t="array" aca="1" ref="BI100" ca="1">IF(TblConstr[[#This Row],[Hour]:[Hour]]&gt;12,OFFSET(TblConstr[[#This Row],[GT]],-12,0),0)+OFFSET(TblConstr[[#This Row],[Tot GT]],-1,0)-TblConstr[[#This Row],[Dest GT]]</f>
        <v>0</v>
      </c>
      <c r="BJ100" s="365" cm="1">
        <f t="array" aca="1" ref="BJ100" ca="1">IF(TblConstr[[#This Row],[Hour]:[Hour]]&gt;12,OFFSET(TblConstr[[#This Row],[Bar]],-12,0),0)+OFFSET(TblConstr[[#This Row],[Tot Bar]],-1,0)-TblConstr[[#This Row],[Dest Bar]]</f>
        <v>0</v>
      </c>
      <c r="BK100" s="365" cm="1">
        <f t="array" aca="1" ref="BK100" ca="1">IF(TblConstr[[#This Row],[Hour]:[Hour]]&gt;12,OFFSET(TblConstr[[#This Row],[Shr]],-12,0),0)+OFFSET(TblConstr[[#This Row],[Tot Shr]],-1,0)-TblConstr[[#This Row],[Dest Shr]]</f>
        <v>0</v>
      </c>
      <c r="BL100" s="369" cm="1">
        <f t="array" aca="1" ref="BL100" ca="1">IF(TblConstr[[#This Row],[Hour]:[Hour]]&gt;12,OFFSET(TblConstr[[#This Row],[Tow]],-12,0),0)+OFFSET(TblConstr[[#This Row],[Tot Tow]],-1,0)-TblConstr[[#This Row],[Dest Tow]]</f>
        <v>0</v>
      </c>
      <c r="BM100" s="369" cm="1">
        <f t="array" aca="1" ref="BM100" ca="1">IF(TblConstr[[#This Row],[Hour]:[Hour]]&gt;12,OFFSET(TblConstr[[#This Row],[Tem]],-12,0),0)+OFFSET(TblConstr[[#This Row],[Tot Tem]],-1,0)-TblConstr[[#This Row],[Dest Tem]]</f>
        <v>0</v>
      </c>
      <c r="BN100" s="369" cm="1">
        <f t="array" aca="1" ref="BN100" ca="1">IF(TblConstr[[#This Row],[Hour]:[Hour]]&gt;12,OFFSET(TblConstr[[#This Row],[WG]],-12,0),0)+OFFSET(TblConstr[[#This Row],[Tot WG]],-1,0)-TblConstr[[#This Row],[Dest WG]]</f>
        <v>0</v>
      </c>
      <c r="BO100" s="191" cm="1">
        <f t="array" aca="1" ref="BO100" ca="1">IF(TblConstr[[#This Row],[Hour]:[Hour]]&gt;12,OFFSET(TblConstr[[#This Row],[DM]],-12,0),0)+OFFSET(TblConstr[[#This Row],[Tot DM]],-1,0)-TblConstr[[#This Row],[Dest DM]]</f>
        <v>0</v>
      </c>
      <c r="BP100" s="191" cm="1">
        <f t="array" aca="1" ref="BP100" ca="1">IF(TblConstr[[#This Row],[Hour]:[Hour]]&gt;12,OFFSET(TblConstr[[#This Row],[Sch]],-12,0),0)+OFFSET(TblConstr[[#This Row],[Tot Sch]],-1,0)-TblConstr[[#This Row],[Dest Sch]]</f>
        <v>0</v>
      </c>
      <c r="BQ100" s="192" cm="1">
        <f t="array" aca="1" ref="BQ100" ca="1">IF(TblConstr[[#This Row],[Hour]:[Hour]]&gt;12,OFFSET(TblConstr[[#This Row],[Doc]],-12,0),0)+OFFSET(TblConstr[[#This Row],[Tot Doc]],-1,0)-TblConstr[[#This Row],[Dest Doc]]</f>
        <v>0</v>
      </c>
      <c r="BR100" s="142"/>
      <c r="BS100" s="154"/>
      <c r="BT100" s="94">
        <f ca="1">TblConstr[[#This Row],[Land]]</f>
        <v>50</v>
      </c>
      <c r="BU100" s="159">
        <f ca="1">TblImps[[#This Row],[Time]]</f>
        <v>46323.999999999767</v>
      </c>
      <c r="BV100" s="142"/>
      <c r="BW100" s="179"/>
      <c r="BX100" s="179"/>
      <c r="BY100" s="179"/>
      <c r="BZ100" s="179"/>
      <c r="CA100" s="179"/>
      <c r="CB100" s="179"/>
      <c r="CC100" s="179"/>
      <c r="CD100" s="179"/>
      <c r="CE100" s="179"/>
      <c r="CF100" s="179"/>
      <c r="CG100" s="179"/>
      <c r="CH100" s="179"/>
      <c r="CI100" s="179"/>
      <c r="CJ100" s="179"/>
      <c r="CK100" s="179"/>
      <c r="CL100" s="179"/>
      <c r="CM100" s="179"/>
      <c r="CN100" s="179"/>
      <c r="CO100" s="179"/>
      <c r="CP100" s="142"/>
      <c r="CQ100" s="181">
        <f ca="1">-SUM(TblConstr[[#This Row],[Alc]:[Mas]])+SUM(TblConstr[[#This Row],[Dest Alc]:[Dest Mas]])+Rezone!L100+IF("Ch_"&amp; home_land=TblConstr[[#Headers],[Ch_Plain]],TblConstr[[#This Row],[Home Land]])+IF(TblConstr[[#This Row],[Hour]:[Hour]]&gt;12,OFFSET(TblExplore[[#This Row],[Plains Explore]],-12,0),0)</f>
        <v>0</v>
      </c>
      <c r="CR100" s="182">
        <f ca="1">-SUM(TblConstr[[#This Row],[Ly]:[Hav]])+SUM(TblConstr[[#This Row],[Dest Ly]:[Dest Hav]]) +Rezone!M100 + IF("Ch_"&amp; home_land=TblConstr[[#Headers],[Ch_Forest]],TblConstr[[#This Row],[Home Land]])+IF(TblConstr[[#This Row],[Hour]:[Hour]]&gt;12,OFFSET(TblExplore[[#This Row],[Forest Explore]],-12,0),0)</f>
        <v>0</v>
      </c>
      <c r="CS100" s="359">
        <f ca="1">-SUM(TblConstr[[#This Row],[OM]:[GN]])+SUM(TblConstr[[#This Row],[Dest OM]:[Dest GN]]) +Rezone!N100 + IF("Ch_"&amp; home_land=TblConstr[[#Headers],[Ch_Mountain]],TblConstr[[#This Row],[Home Land]])+IF(TblConstr[[#This Row],[Hour]:[Hour]]&gt;12,OFFSET(TblExplore[[#This Row],[Mountain Explore]],-12,0),0)</f>
        <v>0</v>
      </c>
      <c r="CT100" s="183">
        <f ca="1">-SUM(TblConstr[[#This Row],[Fac]:[Shr]])+SUM(TblConstr[[#This Row],[Dest Fac]:[Dest Shr]]) +Rezone!O100 + IF("Ch_" &amp; home_land=TblConstr[[#Headers],[Ch_Hill]],TblConstr[[#This Row],[Home Land]])+IF(TblConstr[[#This Row],[Hour]:[Hour]]&gt;12,OFFSET(TblExplore[[#This Row],[Hill Explore]],-12,0),0)</f>
        <v>0</v>
      </c>
      <c r="CU100" s="184">
        <f ca="1">-SUM(TblConstr[[#This Row],[Tow]:[WG]])+SUM(TblConstr[[#This Row],[Dest Tow]:[Dest WG]]) +Rezone!P100 + IF("Ch_" &amp; home_land=TblConstr[[#Headers],[Ch_Swamp]],TblConstr[[#This Row],[Home Land]])+IF(TblConstr[[#This Row],[Hour]:[Hour]]&gt;12,OFFSET(TblExplore[[#This Row],[Swamp Explore]],-12,0),0)</f>
        <v>0</v>
      </c>
      <c r="CV100" s="185">
        <f ca="1" xml:space="preserve"> - SUM(TblConstr[[#This Row],[DM]:[Sch]])+SUM(TblConstr[[#This Row],[Dest DM]:[Dest Sch]]) +Rezone!Q100 + IF("Ch_" &amp; home_land=TblConstr[[#Headers],[Ch_Cavern]],TblConstr[[#This Row],[Home Land]])+IF(TblConstr[[#This Row],[Hour]:[Hour]]&gt;12,OFFSET(TblExplore[[#This Row],[Cavern Explore]],-12,0),0)</f>
        <v>0</v>
      </c>
      <c r="CW100" s="186">
        <f ca="1">-TblConstr[[#This Row],[Doc]]+TblConstr[[#This Row],[Dest Doc]] +Rezone!R100 + IF("Ch_" &amp; home_land=TblConstr[[#Headers],[Ch_Water]],TblConstr[[#This Row],[Home Land]])+IF(TblConstr[[#This Row],[Hour]:[Hour]]&gt;12,OFFSET(TblExplore[[#This Row],[Water Explore]],-12,0),0)</f>
        <v>0</v>
      </c>
      <c r="CX100" s="45">
        <f>IF(Explore!S100=1,20) - TblConstr[[#This Row],[Hom]] + TblConstr[[#This Row],[Dest Hom]]</f>
        <v>0</v>
      </c>
      <c r="CY100" s="142"/>
      <c r="CZ100" s="94">
        <f t="shared" ca="1" si="23"/>
        <v>30</v>
      </c>
      <c r="DA100" s="94">
        <f t="shared" ca="1" si="24"/>
        <v>20</v>
      </c>
      <c r="DB100" s="45">
        <f t="shared" ca="1" si="25"/>
        <v>0</v>
      </c>
      <c r="DC100" s="94">
        <f t="shared" ca="1" si="26"/>
        <v>0</v>
      </c>
      <c r="DD100" s="94">
        <f t="shared" ca="1" si="27"/>
        <v>0</v>
      </c>
      <c r="DE100" s="45">
        <f t="shared" ca="1" si="28"/>
        <v>0</v>
      </c>
      <c r="DF100" s="94">
        <f t="shared" ca="1" si="29"/>
        <v>0</v>
      </c>
      <c r="DG100" s="94" cm="1">
        <f t="array" aca="1" ref="DG100" ca="1">INDEX(TblConstr[[Total Plain]:[Total Water]],ROW()-ROW(TblConstr[#Headers]),MATCH("Total "&amp;home_land,TblConstr[[#Headers],[Total Plain]:[Total Water]],0))+TblConstr[[#This Row],[Homes]]</f>
        <v>30</v>
      </c>
      <c r="DH100" s="45">
        <f t="shared" ca="1" si="22"/>
        <v>0</v>
      </c>
      <c r="DI100" s="45">
        <f t="shared" ca="1" si="19"/>
        <v>0</v>
      </c>
      <c r="DJ100" s="45">
        <f t="shared" ca="1" si="20"/>
        <v>0</v>
      </c>
    </row>
    <row r="101" spans="1:114" x14ac:dyDescent="0.2">
      <c r="A101" s="175">
        <f>TblRezone[[#This Row],[Hour]]</f>
        <v>98</v>
      </c>
      <c r="B101" s="176">
        <f ca="1">SUM(TblConstr[[#This Row],[Plain]:[Water]])</f>
        <v>0</v>
      </c>
      <c r="C101" s="177">
        <f ca="1">SUM(TblConstr[[#This Row],[Tot Hom]:[Tot Doc]])</f>
        <v>50</v>
      </c>
      <c r="D101" s="177">
        <f t="shared" si="21"/>
        <v>0</v>
      </c>
      <c r="E101" s="178"/>
      <c r="F101" s="61">
        <f ca="1">TblConstr[[#This Row],[Barren]]+TblConstr[[#This Row],[Buildings]]+TblConstr[[#This Row],[Incoming]]</f>
        <v>50</v>
      </c>
      <c r="G101" s="187">
        <f ca="1">OFFSET(TblConstr[[#This Row],[Plain]],-1,0)+TblConstr[[#This Row],[Ch_Plain]]</f>
        <v>0</v>
      </c>
      <c r="H101" s="182">
        <f ca="1">OFFSET(TblConstr[[#This Row],[Forest]],-1,0)+TblConstr[[#This Row],[Ch_Forest]]</f>
        <v>0</v>
      </c>
      <c r="I101" s="359">
        <f ca="1">OFFSET(TblConstr[[#This Row],[Mountain]],-1,0)+TblConstr[[#This Row],[Ch_Mountain]]</f>
        <v>0</v>
      </c>
      <c r="J101" s="363">
        <f ca="1">OFFSET(TblConstr[[#This Row],[Hill]],-1,0)+TblConstr[[#This Row],[Ch_Hill]]</f>
        <v>0</v>
      </c>
      <c r="K101" s="367">
        <f ca="1">OFFSET(TblConstr[[#This Row],[Swamp]],-1,0)+TblConstr[[#This Row],[Ch_Swamp]]</f>
        <v>0</v>
      </c>
      <c r="L101" s="185">
        <f ca="1">OFFSET(TblConstr[[#This Row],[Cavern]],-1,0)+TblConstr[[#This Row],[Ch_Cavern]]</f>
        <v>0</v>
      </c>
      <c r="M101" s="186">
        <f ca="1">OFFSET(TblConstr[[#This Row],[Water]],-1,0)+TblConstr[[#This Row],[Ch_Water]]</f>
        <v>0</v>
      </c>
      <c r="N101" s="357">
        <f>TblRezone[[#This Row],[Hour]]</f>
        <v>98</v>
      </c>
      <c r="O101" s="179"/>
      <c r="P101" s="179"/>
      <c r="Q101" s="179"/>
      <c r="R101" s="179"/>
      <c r="S101" s="179"/>
      <c r="T101" s="179"/>
      <c r="U101" s="179"/>
      <c r="V101" s="179"/>
      <c r="W101" s="179"/>
      <c r="X101" s="179"/>
      <c r="Y101" s="179"/>
      <c r="Z101" s="179"/>
      <c r="AA101" s="179"/>
      <c r="AB101" s="179"/>
      <c r="AC101" s="179"/>
      <c r="AD101" s="179"/>
      <c r="AE101" s="179"/>
      <c r="AF101" s="179"/>
      <c r="AG101" s="179"/>
      <c r="AH101" s="53">
        <f ca="1">TblImps[[#This Row],[Time]]</f>
        <v>46324.041666666431</v>
      </c>
      <c r="AI101" s="180">
        <f ca="1">MIN(25%,(TblConstr[[#This Row],[Tot Fac]]+TblConstr[[#This Row],[Dest Fac]])/(TblConstr[[#This Row],[Land]]-TblExplore[[#This Row],[Land Bonus]]*20))</f>
        <v>0</v>
      </c>
      <c r="AJ101" s="180">
        <f ca="1">MIN(25%,(TblConstr[[#This Row],[Tot Fac]]+TblConstr[[#This Row],[Dest Fac]])/TblConstr[[#This Row],[Land]])</f>
        <v>0</v>
      </c>
      <c r="AK101" s="94">
        <f ca="1">TblProd[[#This Row],[Platinum]]</f>
        <v>199145</v>
      </c>
      <c r="AL101" s="94">
        <f ca="1">TblProd[[#This Row],[Lumber]]</f>
        <v>67933</v>
      </c>
      <c r="AM10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1" s="94">
        <f ca="1">ROUNDDOWN( MAX(1 - MIN(facs_constr_factor*TblConstr[[#This Row],[Facs -DB]],facs_constr_max) + tech_1_11*TblTech[[#This Row],[11-1]] + tech_6_3_2*TblTech[[#This Row],[6-3]] + tech_5_2_3*TblTech[[#This Row],[5-2]], 1-global_constr_cap) * TblConstr[[#This Row],[RCPA Lumber]],0)</f>
        <v>31</v>
      </c>
      <c r="AO10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1" s="94">
        <f ca="1">ROUNDDOWN( MAX(1 - MIN(facs_constr_factor*TblConstr[[#This Row],[Facs DB]],facs_constr_max) + tech_1_11*TblTech[[#This Row],[1-11]] + tech_6_3_2*TblTech[[#This Row],[6-3]] + tech_5_2_3*TblTech[[#This Row],[5-2]], 1-global_constr_cap) * ROUND((TblConstr[[#This Row],[Land]]-250)*0.285 + 87.5 + 0/4.25,0),0)</f>
        <v>31</v>
      </c>
      <c r="AQ101" s="45">
        <f ca="1">TblConstr[[#This Row],[build -db]]*TblConstr[[#This Row],[CPA Platinum -DB]] + TblConstr[[#This Row],[build db]]*TblConstr[[#This Row],[CPA Platinum DB]]</f>
        <v>0</v>
      </c>
      <c r="AR101" s="45">
        <f ca="1">TblConstr[[#This Row],[build -db]]*TblConstr[[#This Row],[CPA Lumber -DB]] + TblConstr[[#This Row],[build db]]*TblConstr[[#This Row],[CPA Lumber DB]]</f>
        <v>0</v>
      </c>
      <c r="AS101" s="94">
        <f ca="1">MIN(SUM(OFFSET(TblConstr[[#This Row],[Plain]:[Water]],-1,0))+SUM(TblConstr[[#This Row],[Dest Hom]:[Dest Doc]])+IF(TblConstr[[#This Row],[Hour]]&gt;12,SUM(OFFSET(TblExplore[[#This Row],[Plains Explore]:[Water Explore]],-12,0)),0),SUM(TblConstr[[#This Row],[Hom]:[Doc]]))</f>
        <v>0</v>
      </c>
      <c r="AT10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42"/>
      <c r="AV101" s="94">
        <f ca="1">ROUND((TblConstr[[#This Row],[Land]]-250 - IF(TblExplore[[#This Row],[Land Bonus]]&lt;&gt;0,20,0))*1.25 + 850 + 0,0)</f>
        <v>600</v>
      </c>
      <c r="AW101" s="94">
        <f ca="1">ROUND((TblConstr[[#This Row],[Land]]-250 - IF(TblExplore[[#This Row],[Land Bonus]]&lt;&gt;0,20,0))*0.285 + 87.5 + 0/4.25,0)</f>
        <v>31</v>
      </c>
      <c r="AX101" s="154"/>
      <c r="AY101" s="188" cm="1">
        <f t="array" aca="1" ref="AY101" ca="1">IF(TblConstr[[#This Row],[Hour]:[Hour]]&gt;12,OFFSET(TblConstr[[#This Row],[Hom]],-12,0),0)+OFFSET(TblConstr[[#This Row],[Tot Hom]],-1,0)-TblConstr[[#This Row],[Dest Hom]]</f>
        <v>0</v>
      </c>
      <c r="AZ101" s="189" cm="1">
        <f t="array" aca="1" ref="AZ101" ca="1">IF(TblConstr[[#This Row],[Hour]:[Hour]]&gt;12,OFFSET(TblConstr[[#This Row],[Alc]],-12,0),0)+OFFSET(TblConstr[[#This Row],[Tot Alc]],-1,0)-TblConstr[[#This Row],[Dest Alc]]</f>
        <v>0</v>
      </c>
      <c r="BA101" s="189" cm="1">
        <f t="array" aca="1" ref="BA101" ca="1">IF(TblConstr[[#This Row],[Hour]:[Hour]]&gt;12,OFFSET(TblConstr[[#This Row],[Far]],-12,0),0)+OFFSET(TblConstr[[#This Row],[Tot Farm]],-1,0)-TblConstr[[#This Row],[Dest Farm]]</f>
        <v>30</v>
      </c>
      <c r="BB101" s="189" cm="1">
        <f t="array" aca="1" ref="BB101" ca="1">IF(TblConstr[[#This Row],[Hour]:[Hour]]&gt;12,OFFSET(TblConstr[[#This Row],[Smi]],-12,0),0)+OFFSET(TblConstr[[#This Row],[Tot Smi]],-1,0)-TblConstr[[#This Row],[Dest Smi]]</f>
        <v>0</v>
      </c>
      <c r="BC101" s="189" cm="1">
        <f t="array" aca="1" ref="BC101" ca="1">IF(TblConstr[[#This Row],[Hour]:[Hour]]&gt;12,OFFSET(TblConstr[[#This Row],[Mas]],-12,0),0)+OFFSET(TblConstr[[#This Row],[Tot Mas]],-1,0)-TblConstr[[#This Row],[Dest Mas]]</f>
        <v>0</v>
      </c>
      <c r="BD101" s="190" cm="1">
        <f t="array" aca="1" ref="BD101" ca="1">IF(TblConstr[[#This Row],[Hour]:[Hour]]&gt;12,OFFSET(TblConstr[[#This Row],[Ly]],-12,0),0)+OFFSET(TblConstr[[#This Row],[Tot Ly]],-1,0)-TblConstr[[#This Row],[Dest Ly]]</f>
        <v>20</v>
      </c>
      <c r="BE101" s="190" cm="1">
        <f t="array" aca="1" ref="BE101" ca="1">IF(TblConstr[[#This Row],[Hour]:[Hour]]&gt;12,OFFSET(TblConstr[[#This Row],[Hav]],-12,0),0)+OFFSET(TblConstr[[#This Row],[Tot Hav]],-1,0)-TblConstr[[#This Row],[Dest Hav]]</f>
        <v>0</v>
      </c>
      <c r="BF101" s="361" cm="1">
        <f t="array" aca="1" ref="BF101" ca="1">IF(TblConstr[[#This Row],[Hour]:[Hour]]&gt;12,OFFSET(TblConstr[[#This Row],[OM]],-12,0),0)+OFFSET(TblConstr[[#This Row],[Tot OM]],-1,0)-TblConstr[[#This Row],[Dest OM]]</f>
        <v>0</v>
      </c>
      <c r="BG101" s="361" cm="1">
        <f t="array" aca="1" ref="BG101" ca="1">IF(TblConstr[[#This Row],[Hour]:[Hour]]&gt;12,OFFSET(TblConstr[[#This Row],[GN]],-12,0),0)+OFFSET(TblConstr[[#This Row],[Tot GN]],-1,0)-TblConstr[[#This Row],[Dest GN]]</f>
        <v>0</v>
      </c>
      <c r="BH101" s="365" cm="1">
        <f t="array" aca="1" ref="BH101" ca="1">IF(TblConstr[[#This Row],[Hour]:[Hour]]&gt;12,OFFSET(TblConstr[[#This Row],[Fac]],-12,0),0)+OFFSET(TblConstr[[#This Row],[Tot Fac]],-1,0)-TblConstr[[#This Row],[Dest Fac]]</f>
        <v>0</v>
      </c>
      <c r="BI101" s="365" cm="1">
        <f t="array" aca="1" ref="BI101" ca="1">IF(TblConstr[[#This Row],[Hour]:[Hour]]&gt;12,OFFSET(TblConstr[[#This Row],[GT]],-12,0),0)+OFFSET(TblConstr[[#This Row],[Tot GT]],-1,0)-TblConstr[[#This Row],[Dest GT]]</f>
        <v>0</v>
      </c>
      <c r="BJ101" s="365" cm="1">
        <f t="array" aca="1" ref="BJ101" ca="1">IF(TblConstr[[#This Row],[Hour]:[Hour]]&gt;12,OFFSET(TblConstr[[#This Row],[Bar]],-12,0),0)+OFFSET(TblConstr[[#This Row],[Tot Bar]],-1,0)-TblConstr[[#This Row],[Dest Bar]]</f>
        <v>0</v>
      </c>
      <c r="BK101" s="365" cm="1">
        <f t="array" aca="1" ref="BK101" ca="1">IF(TblConstr[[#This Row],[Hour]:[Hour]]&gt;12,OFFSET(TblConstr[[#This Row],[Shr]],-12,0),0)+OFFSET(TblConstr[[#This Row],[Tot Shr]],-1,0)-TblConstr[[#This Row],[Dest Shr]]</f>
        <v>0</v>
      </c>
      <c r="BL101" s="369" cm="1">
        <f t="array" aca="1" ref="BL101" ca="1">IF(TblConstr[[#This Row],[Hour]:[Hour]]&gt;12,OFFSET(TblConstr[[#This Row],[Tow]],-12,0),0)+OFFSET(TblConstr[[#This Row],[Tot Tow]],-1,0)-TblConstr[[#This Row],[Dest Tow]]</f>
        <v>0</v>
      </c>
      <c r="BM101" s="369" cm="1">
        <f t="array" aca="1" ref="BM101" ca="1">IF(TblConstr[[#This Row],[Hour]:[Hour]]&gt;12,OFFSET(TblConstr[[#This Row],[Tem]],-12,0),0)+OFFSET(TblConstr[[#This Row],[Tot Tem]],-1,0)-TblConstr[[#This Row],[Dest Tem]]</f>
        <v>0</v>
      </c>
      <c r="BN101" s="369" cm="1">
        <f t="array" aca="1" ref="BN101" ca="1">IF(TblConstr[[#This Row],[Hour]:[Hour]]&gt;12,OFFSET(TblConstr[[#This Row],[WG]],-12,0),0)+OFFSET(TblConstr[[#This Row],[Tot WG]],-1,0)-TblConstr[[#This Row],[Dest WG]]</f>
        <v>0</v>
      </c>
      <c r="BO101" s="191" cm="1">
        <f t="array" aca="1" ref="BO101" ca="1">IF(TblConstr[[#This Row],[Hour]:[Hour]]&gt;12,OFFSET(TblConstr[[#This Row],[DM]],-12,0),0)+OFFSET(TblConstr[[#This Row],[Tot DM]],-1,0)-TblConstr[[#This Row],[Dest DM]]</f>
        <v>0</v>
      </c>
      <c r="BP101" s="191" cm="1">
        <f t="array" aca="1" ref="BP101" ca="1">IF(TblConstr[[#This Row],[Hour]:[Hour]]&gt;12,OFFSET(TblConstr[[#This Row],[Sch]],-12,0),0)+OFFSET(TblConstr[[#This Row],[Tot Sch]],-1,0)-TblConstr[[#This Row],[Dest Sch]]</f>
        <v>0</v>
      </c>
      <c r="BQ101" s="192" cm="1">
        <f t="array" aca="1" ref="BQ101" ca="1">IF(TblConstr[[#This Row],[Hour]:[Hour]]&gt;12,OFFSET(TblConstr[[#This Row],[Doc]],-12,0),0)+OFFSET(TblConstr[[#This Row],[Tot Doc]],-1,0)-TblConstr[[#This Row],[Dest Doc]]</f>
        <v>0</v>
      </c>
      <c r="BR101" s="142"/>
      <c r="BS101" s="154"/>
      <c r="BT101" s="94">
        <f ca="1">TblConstr[[#This Row],[Land]]</f>
        <v>50</v>
      </c>
      <c r="BU101" s="159">
        <f ca="1">TblImps[[#This Row],[Time]]</f>
        <v>46324.041666666431</v>
      </c>
      <c r="BV101" s="142"/>
      <c r="BW101" s="179"/>
      <c r="BX101" s="179"/>
      <c r="BY101" s="179"/>
      <c r="BZ101" s="179"/>
      <c r="CA101" s="179"/>
      <c r="CB101" s="179"/>
      <c r="CC101" s="179"/>
      <c r="CD101" s="179"/>
      <c r="CE101" s="179"/>
      <c r="CF101" s="179"/>
      <c r="CG101" s="179"/>
      <c r="CH101" s="179"/>
      <c r="CI101" s="179"/>
      <c r="CJ101" s="179"/>
      <c r="CK101" s="179"/>
      <c r="CL101" s="179"/>
      <c r="CM101" s="179"/>
      <c r="CN101" s="179"/>
      <c r="CO101" s="179"/>
      <c r="CP101" s="142"/>
      <c r="CQ101" s="181">
        <f ca="1">-SUM(TblConstr[[#This Row],[Alc]:[Mas]])+SUM(TblConstr[[#This Row],[Dest Alc]:[Dest Mas]])+Rezone!L101+IF("Ch_"&amp; home_land=TblConstr[[#Headers],[Ch_Plain]],TblConstr[[#This Row],[Home Land]])+IF(TblConstr[[#This Row],[Hour]:[Hour]]&gt;12,OFFSET(TblExplore[[#This Row],[Plains Explore]],-12,0),0)</f>
        <v>0</v>
      </c>
      <c r="CR101" s="182">
        <f ca="1">-SUM(TblConstr[[#This Row],[Ly]:[Hav]])+SUM(TblConstr[[#This Row],[Dest Ly]:[Dest Hav]]) +Rezone!M101 + IF("Ch_"&amp; home_land=TblConstr[[#Headers],[Ch_Forest]],TblConstr[[#This Row],[Home Land]])+IF(TblConstr[[#This Row],[Hour]:[Hour]]&gt;12,OFFSET(TblExplore[[#This Row],[Forest Explore]],-12,0),0)</f>
        <v>0</v>
      </c>
      <c r="CS101" s="359">
        <f ca="1">-SUM(TblConstr[[#This Row],[OM]:[GN]])+SUM(TblConstr[[#This Row],[Dest OM]:[Dest GN]]) +Rezone!N101 + IF("Ch_"&amp; home_land=TblConstr[[#Headers],[Ch_Mountain]],TblConstr[[#This Row],[Home Land]])+IF(TblConstr[[#This Row],[Hour]:[Hour]]&gt;12,OFFSET(TblExplore[[#This Row],[Mountain Explore]],-12,0),0)</f>
        <v>0</v>
      </c>
      <c r="CT101" s="183">
        <f ca="1">-SUM(TblConstr[[#This Row],[Fac]:[Shr]])+SUM(TblConstr[[#This Row],[Dest Fac]:[Dest Shr]]) +Rezone!O101 + IF("Ch_" &amp; home_land=TblConstr[[#Headers],[Ch_Hill]],TblConstr[[#This Row],[Home Land]])+IF(TblConstr[[#This Row],[Hour]:[Hour]]&gt;12,OFFSET(TblExplore[[#This Row],[Hill Explore]],-12,0),0)</f>
        <v>0</v>
      </c>
      <c r="CU101" s="184">
        <f ca="1">-SUM(TblConstr[[#This Row],[Tow]:[WG]])+SUM(TblConstr[[#This Row],[Dest Tow]:[Dest WG]]) +Rezone!P101 + IF("Ch_" &amp; home_land=TblConstr[[#Headers],[Ch_Swamp]],TblConstr[[#This Row],[Home Land]])+IF(TblConstr[[#This Row],[Hour]:[Hour]]&gt;12,OFFSET(TblExplore[[#This Row],[Swamp Explore]],-12,0),0)</f>
        <v>0</v>
      </c>
      <c r="CV101" s="185">
        <f ca="1" xml:space="preserve"> - SUM(TblConstr[[#This Row],[DM]:[Sch]])+SUM(TblConstr[[#This Row],[Dest DM]:[Dest Sch]]) +Rezone!Q101 + IF("Ch_" &amp; home_land=TblConstr[[#Headers],[Ch_Cavern]],TblConstr[[#This Row],[Home Land]])+IF(TblConstr[[#This Row],[Hour]:[Hour]]&gt;12,OFFSET(TblExplore[[#This Row],[Cavern Explore]],-12,0),0)</f>
        <v>0</v>
      </c>
      <c r="CW101" s="186">
        <f ca="1">-TblConstr[[#This Row],[Doc]]+TblConstr[[#This Row],[Dest Doc]] +Rezone!R101 + IF("Ch_" &amp; home_land=TblConstr[[#Headers],[Ch_Water]],TblConstr[[#This Row],[Home Land]])+IF(TblConstr[[#This Row],[Hour]:[Hour]]&gt;12,OFFSET(TblExplore[[#This Row],[Water Explore]],-12,0),0)</f>
        <v>0</v>
      </c>
      <c r="CX101" s="45">
        <f>IF(Explore!S101=1,20) - TblConstr[[#This Row],[Hom]] + TblConstr[[#This Row],[Dest Hom]]</f>
        <v>0</v>
      </c>
      <c r="CY101" s="142"/>
      <c r="CZ101" s="94">
        <f t="shared" ca="1" si="23"/>
        <v>30</v>
      </c>
      <c r="DA101" s="94">
        <f t="shared" ca="1" si="24"/>
        <v>20</v>
      </c>
      <c r="DB101" s="45">
        <f t="shared" ca="1" si="25"/>
        <v>0</v>
      </c>
      <c r="DC101" s="94">
        <f t="shared" ca="1" si="26"/>
        <v>0</v>
      </c>
      <c r="DD101" s="94">
        <f t="shared" ca="1" si="27"/>
        <v>0</v>
      </c>
      <c r="DE101" s="45">
        <f t="shared" ca="1" si="28"/>
        <v>0</v>
      </c>
      <c r="DF101" s="94">
        <f t="shared" ca="1" si="29"/>
        <v>0</v>
      </c>
      <c r="DG101" s="94" cm="1">
        <f t="array" aca="1" ref="DG101" ca="1">INDEX(TblConstr[[Total Plain]:[Total Water]],ROW()-ROW(TblConstr[#Headers]),MATCH("Total "&amp;home_land,TblConstr[[#Headers],[Total Plain]:[Total Water]],0))+TblConstr[[#This Row],[Homes]]</f>
        <v>30</v>
      </c>
      <c r="DH101" s="45">
        <f t="shared" ca="1" si="22"/>
        <v>0</v>
      </c>
      <c r="DI101" s="45">
        <f t="shared" ca="1" si="19"/>
        <v>0</v>
      </c>
      <c r="DJ101" s="45">
        <f t="shared" ca="1" si="20"/>
        <v>0</v>
      </c>
    </row>
    <row r="102" spans="1:114" x14ac:dyDescent="0.2">
      <c r="A102" s="175">
        <f>TblRezone[[#This Row],[Hour]]</f>
        <v>99</v>
      </c>
      <c r="B102" s="176">
        <f ca="1">SUM(TblConstr[[#This Row],[Plain]:[Water]])</f>
        <v>0</v>
      </c>
      <c r="C102" s="177">
        <f ca="1">SUM(TblConstr[[#This Row],[Tot Hom]:[Tot Doc]])</f>
        <v>50</v>
      </c>
      <c r="D102" s="177">
        <f t="shared" si="21"/>
        <v>0</v>
      </c>
      <c r="E102" s="178"/>
      <c r="F102" s="61">
        <f ca="1">TblConstr[[#This Row],[Barren]]+TblConstr[[#This Row],[Buildings]]+TblConstr[[#This Row],[Incoming]]</f>
        <v>50</v>
      </c>
      <c r="G102" s="187">
        <f ca="1">OFFSET(TblConstr[[#This Row],[Plain]],-1,0)+TblConstr[[#This Row],[Ch_Plain]]</f>
        <v>0</v>
      </c>
      <c r="H102" s="182">
        <f ca="1">OFFSET(TblConstr[[#This Row],[Forest]],-1,0)+TblConstr[[#This Row],[Ch_Forest]]</f>
        <v>0</v>
      </c>
      <c r="I102" s="359">
        <f ca="1">OFFSET(TblConstr[[#This Row],[Mountain]],-1,0)+TblConstr[[#This Row],[Ch_Mountain]]</f>
        <v>0</v>
      </c>
      <c r="J102" s="363">
        <f ca="1">OFFSET(TblConstr[[#This Row],[Hill]],-1,0)+TblConstr[[#This Row],[Ch_Hill]]</f>
        <v>0</v>
      </c>
      <c r="K102" s="367">
        <f ca="1">OFFSET(TblConstr[[#This Row],[Swamp]],-1,0)+TblConstr[[#This Row],[Ch_Swamp]]</f>
        <v>0</v>
      </c>
      <c r="L102" s="185">
        <f ca="1">OFFSET(TblConstr[[#This Row],[Cavern]],-1,0)+TblConstr[[#This Row],[Ch_Cavern]]</f>
        <v>0</v>
      </c>
      <c r="M102" s="186">
        <f ca="1">OFFSET(TblConstr[[#This Row],[Water]],-1,0)+TblConstr[[#This Row],[Ch_Water]]</f>
        <v>0</v>
      </c>
      <c r="N102" s="357">
        <f>TblRezone[[#This Row],[Hour]]</f>
        <v>99</v>
      </c>
      <c r="O102" s="179"/>
      <c r="P102" s="179"/>
      <c r="Q102" s="179"/>
      <c r="R102" s="179"/>
      <c r="S102" s="179"/>
      <c r="T102" s="179"/>
      <c r="U102" s="179"/>
      <c r="V102" s="179"/>
      <c r="W102" s="179"/>
      <c r="X102" s="179"/>
      <c r="Y102" s="179"/>
      <c r="Z102" s="179"/>
      <c r="AA102" s="179"/>
      <c r="AB102" s="179"/>
      <c r="AC102" s="179"/>
      <c r="AD102" s="179"/>
      <c r="AE102" s="179"/>
      <c r="AF102" s="179"/>
      <c r="AG102" s="179"/>
      <c r="AH102" s="53">
        <f ca="1">TblImps[[#This Row],[Time]]</f>
        <v>46324.083333333096</v>
      </c>
      <c r="AI102" s="180">
        <f ca="1">MIN(25%,(TblConstr[[#This Row],[Tot Fac]]+TblConstr[[#This Row],[Dest Fac]])/(TblConstr[[#This Row],[Land]]-TblExplore[[#This Row],[Land Bonus]]*20))</f>
        <v>0</v>
      </c>
      <c r="AJ102" s="180">
        <f ca="1">MIN(25%,(TblConstr[[#This Row],[Tot Fac]]+TblConstr[[#This Row],[Dest Fac]])/TblConstr[[#This Row],[Land]])</f>
        <v>0</v>
      </c>
      <c r="AK102" s="94">
        <f ca="1">TblProd[[#This Row],[Platinum]]</f>
        <v>199628</v>
      </c>
      <c r="AL102" s="94">
        <f ca="1">TblProd[[#This Row],[Lumber]]</f>
        <v>68254</v>
      </c>
      <c r="AM10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2" s="94">
        <f ca="1">ROUNDDOWN( MAX(1 - MIN(facs_constr_factor*TblConstr[[#This Row],[Facs -DB]],facs_constr_max) + tech_1_11*TblTech[[#This Row],[11-1]] + tech_6_3_2*TblTech[[#This Row],[6-3]] + tech_5_2_3*TblTech[[#This Row],[5-2]], 1-global_constr_cap) * TblConstr[[#This Row],[RCPA Lumber]],0)</f>
        <v>31</v>
      </c>
      <c r="AO10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2" s="94">
        <f ca="1">ROUNDDOWN( MAX(1 - MIN(facs_constr_factor*TblConstr[[#This Row],[Facs DB]],facs_constr_max) + tech_1_11*TblTech[[#This Row],[1-11]] + tech_6_3_2*TblTech[[#This Row],[6-3]] + tech_5_2_3*TblTech[[#This Row],[5-2]], 1-global_constr_cap) * ROUND((TblConstr[[#This Row],[Land]]-250)*0.285 + 87.5 + 0/4.25,0),0)</f>
        <v>31</v>
      </c>
      <c r="AQ102" s="45">
        <f ca="1">TblConstr[[#This Row],[build -db]]*TblConstr[[#This Row],[CPA Platinum -DB]] + TblConstr[[#This Row],[build db]]*TblConstr[[#This Row],[CPA Platinum DB]]</f>
        <v>0</v>
      </c>
      <c r="AR102" s="45">
        <f ca="1">TblConstr[[#This Row],[build -db]]*TblConstr[[#This Row],[CPA Lumber -DB]] + TblConstr[[#This Row],[build db]]*TblConstr[[#This Row],[CPA Lumber DB]]</f>
        <v>0</v>
      </c>
      <c r="AS102" s="94">
        <f ca="1">MIN(SUM(OFFSET(TblConstr[[#This Row],[Plain]:[Water]],-1,0))+SUM(TblConstr[[#This Row],[Dest Hom]:[Dest Doc]])+IF(TblConstr[[#This Row],[Hour]]&gt;12,SUM(OFFSET(TblExplore[[#This Row],[Plains Explore]:[Water Explore]],-12,0)),0),SUM(TblConstr[[#This Row],[Hom]:[Doc]]))</f>
        <v>0</v>
      </c>
      <c r="AT10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42"/>
      <c r="AV102" s="94">
        <f ca="1">ROUND((TblConstr[[#This Row],[Land]]-250 - IF(TblExplore[[#This Row],[Land Bonus]]&lt;&gt;0,20,0))*1.25 + 850 + 0,0)</f>
        <v>600</v>
      </c>
      <c r="AW102" s="94">
        <f ca="1">ROUND((TblConstr[[#This Row],[Land]]-250 - IF(TblExplore[[#This Row],[Land Bonus]]&lt;&gt;0,20,0))*0.285 + 87.5 + 0/4.25,0)</f>
        <v>31</v>
      </c>
      <c r="AX102" s="154"/>
      <c r="AY102" s="188" cm="1">
        <f t="array" aca="1" ref="AY102" ca="1">IF(TblConstr[[#This Row],[Hour]:[Hour]]&gt;12,OFFSET(TblConstr[[#This Row],[Hom]],-12,0),0)+OFFSET(TblConstr[[#This Row],[Tot Hom]],-1,0)-TblConstr[[#This Row],[Dest Hom]]</f>
        <v>0</v>
      </c>
      <c r="AZ102" s="189" cm="1">
        <f t="array" aca="1" ref="AZ102" ca="1">IF(TblConstr[[#This Row],[Hour]:[Hour]]&gt;12,OFFSET(TblConstr[[#This Row],[Alc]],-12,0),0)+OFFSET(TblConstr[[#This Row],[Tot Alc]],-1,0)-TblConstr[[#This Row],[Dest Alc]]</f>
        <v>0</v>
      </c>
      <c r="BA102" s="189" cm="1">
        <f t="array" aca="1" ref="BA102" ca="1">IF(TblConstr[[#This Row],[Hour]:[Hour]]&gt;12,OFFSET(TblConstr[[#This Row],[Far]],-12,0),0)+OFFSET(TblConstr[[#This Row],[Tot Farm]],-1,0)-TblConstr[[#This Row],[Dest Farm]]</f>
        <v>30</v>
      </c>
      <c r="BB102" s="189" cm="1">
        <f t="array" aca="1" ref="BB102" ca="1">IF(TblConstr[[#This Row],[Hour]:[Hour]]&gt;12,OFFSET(TblConstr[[#This Row],[Smi]],-12,0),0)+OFFSET(TblConstr[[#This Row],[Tot Smi]],-1,0)-TblConstr[[#This Row],[Dest Smi]]</f>
        <v>0</v>
      </c>
      <c r="BC102" s="189" cm="1">
        <f t="array" aca="1" ref="BC102" ca="1">IF(TblConstr[[#This Row],[Hour]:[Hour]]&gt;12,OFFSET(TblConstr[[#This Row],[Mas]],-12,0),0)+OFFSET(TblConstr[[#This Row],[Tot Mas]],-1,0)-TblConstr[[#This Row],[Dest Mas]]</f>
        <v>0</v>
      </c>
      <c r="BD102" s="190" cm="1">
        <f t="array" aca="1" ref="BD102" ca="1">IF(TblConstr[[#This Row],[Hour]:[Hour]]&gt;12,OFFSET(TblConstr[[#This Row],[Ly]],-12,0),0)+OFFSET(TblConstr[[#This Row],[Tot Ly]],-1,0)-TblConstr[[#This Row],[Dest Ly]]</f>
        <v>20</v>
      </c>
      <c r="BE102" s="190" cm="1">
        <f t="array" aca="1" ref="BE102" ca="1">IF(TblConstr[[#This Row],[Hour]:[Hour]]&gt;12,OFFSET(TblConstr[[#This Row],[Hav]],-12,0),0)+OFFSET(TblConstr[[#This Row],[Tot Hav]],-1,0)-TblConstr[[#This Row],[Dest Hav]]</f>
        <v>0</v>
      </c>
      <c r="BF102" s="361" cm="1">
        <f t="array" aca="1" ref="BF102" ca="1">IF(TblConstr[[#This Row],[Hour]:[Hour]]&gt;12,OFFSET(TblConstr[[#This Row],[OM]],-12,0),0)+OFFSET(TblConstr[[#This Row],[Tot OM]],-1,0)-TblConstr[[#This Row],[Dest OM]]</f>
        <v>0</v>
      </c>
      <c r="BG102" s="361" cm="1">
        <f t="array" aca="1" ref="BG102" ca="1">IF(TblConstr[[#This Row],[Hour]:[Hour]]&gt;12,OFFSET(TblConstr[[#This Row],[GN]],-12,0),0)+OFFSET(TblConstr[[#This Row],[Tot GN]],-1,0)-TblConstr[[#This Row],[Dest GN]]</f>
        <v>0</v>
      </c>
      <c r="BH102" s="365" cm="1">
        <f t="array" aca="1" ref="BH102" ca="1">IF(TblConstr[[#This Row],[Hour]:[Hour]]&gt;12,OFFSET(TblConstr[[#This Row],[Fac]],-12,0),0)+OFFSET(TblConstr[[#This Row],[Tot Fac]],-1,0)-TblConstr[[#This Row],[Dest Fac]]</f>
        <v>0</v>
      </c>
      <c r="BI102" s="365" cm="1">
        <f t="array" aca="1" ref="BI102" ca="1">IF(TblConstr[[#This Row],[Hour]:[Hour]]&gt;12,OFFSET(TblConstr[[#This Row],[GT]],-12,0),0)+OFFSET(TblConstr[[#This Row],[Tot GT]],-1,0)-TblConstr[[#This Row],[Dest GT]]</f>
        <v>0</v>
      </c>
      <c r="BJ102" s="365" cm="1">
        <f t="array" aca="1" ref="BJ102" ca="1">IF(TblConstr[[#This Row],[Hour]:[Hour]]&gt;12,OFFSET(TblConstr[[#This Row],[Bar]],-12,0),0)+OFFSET(TblConstr[[#This Row],[Tot Bar]],-1,0)-TblConstr[[#This Row],[Dest Bar]]</f>
        <v>0</v>
      </c>
      <c r="BK102" s="365" cm="1">
        <f t="array" aca="1" ref="BK102" ca="1">IF(TblConstr[[#This Row],[Hour]:[Hour]]&gt;12,OFFSET(TblConstr[[#This Row],[Shr]],-12,0),0)+OFFSET(TblConstr[[#This Row],[Tot Shr]],-1,0)-TblConstr[[#This Row],[Dest Shr]]</f>
        <v>0</v>
      </c>
      <c r="BL102" s="369" cm="1">
        <f t="array" aca="1" ref="BL102" ca="1">IF(TblConstr[[#This Row],[Hour]:[Hour]]&gt;12,OFFSET(TblConstr[[#This Row],[Tow]],-12,0),0)+OFFSET(TblConstr[[#This Row],[Tot Tow]],-1,0)-TblConstr[[#This Row],[Dest Tow]]</f>
        <v>0</v>
      </c>
      <c r="BM102" s="369" cm="1">
        <f t="array" aca="1" ref="BM102" ca="1">IF(TblConstr[[#This Row],[Hour]:[Hour]]&gt;12,OFFSET(TblConstr[[#This Row],[Tem]],-12,0),0)+OFFSET(TblConstr[[#This Row],[Tot Tem]],-1,0)-TblConstr[[#This Row],[Dest Tem]]</f>
        <v>0</v>
      </c>
      <c r="BN102" s="369" cm="1">
        <f t="array" aca="1" ref="BN102" ca="1">IF(TblConstr[[#This Row],[Hour]:[Hour]]&gt;12,OFFSET(TblConstr[[#This Row],[WG]],-12,0),0)+OFFSET(TblConstr[[#This Row],[Tot WG]],-1,0)-TblConstr[[#This Row],[Dest WG]]</f>
        <v>0</v>
      </c>
      <c r="BO102" s="191" cm="1">
        <f t="array" aca="1" ref="BO102" ca="1">IF(TblConstr[[#This Row],[Hour]:[Hour]]&gt;12,OFFSET(TblConstr[[#This Row],[DM]],-12,0),0)+OFFSET(TblConstr[[#This Row],[Tot DM]],-1,0)-TblConstr[[#This Row],[Dest DM]]</f>
        <v>0</v>
      </c>
      <c r="BP102" s="191" cm="1">
        <f t="array" aca="1" ref="BP102" ca="1">IF(TblConstr[[#This Row],[Hour]:[Hour]]&gt;12,OFFSET(TblConstr[[#This Row],[Sch]],-12,0),0)+OFFSET(TblConstr[[#This Row],[Tot Sch]],-1,0)-TblConstr[[#This Row],[Dest Sch]]</f>
        <v>0</v>
      </c>
      <c r="BQ102" s="192" cm="1">
        <f t="array" aca="1" ref="BQ102" ca="1">IF(TblConstr[[#This Row],[Hour]:[Hour]]&gt;12,OFFSET(TblConstr[[#This Row],[Doc]],-12,0),0)+OFFSET(TblConstr[[#This Row],[Tot Doc]],-1,0)-TblConstr[[#This Row],[Dest Doc]]</f>
        <v>0</v>
      </c>
      <c r="BR102" s="142"/>
      <c r="BS102" s="154"/>
      <c r="BT102" s="94">
        <f ca="1">TblConstr[[#This Row],[Land]]</f>
        <v>50</v>
      </c>
      <c r="BU102" s="159">
        <f ca="1">TblImps[[#This Row],[Time]]</f>
        <v>46324.083333333096</v>
      </c>
      <c r="BV102" s="142"/>
      <c r="BW102" s="179"/>
      <c r="BX102" s="179"/>
      <c r="BY102" s="179"/>
      <c r="BZ102" s="179"/>
      <c r="CA102" s="179"/>
      <c r="CB102" s="179"/>
      <c r="CC102" s="179"/>
      <c r="CD102" s="179"/>
      <c r="CE102" s="179"/>
      <c r="CF102" s="179"/>
      <c r="CG102" s="179"/>
      <c r="CH102" s="179"/>
      <c r="CI102" s="179"/>
      <c r="CJ102" s="179"/>
      <c r="CK102" s="179"/>
      <c r="CL102" s="179"/>
      <c r="CM102" s="179"/>
      <c r="CN102" s="179"/>
      <c r="CO102" s="179"/>
      <c r="CP102" s="142"/>
      <c r="CQ102" s="181">
        <f ca="1">-SUM(TblConstr[[#This Row],[Alc]:[Mas]])+SUM(TblConstr[[#This Row],[Dest Alc]:[Dest Mas]])+Rezone!L102+IF("Ch_"&amp; home_land=TblConstr[[#Headers],[Ch_Plain]],TblConstr[[#This Row],[Home Land]])+IF(TblConstr[[#This Row],[Hour]:[Hour]]&gt;12,OFFSET(TblExplore[[#This Row],[Plains Explore]],-12,0),0)</f>
        <v>0</v>
      </c>
      <c r="CR102" s="182">
        <f ca="1">-SUM(TblConstr[[#This Row],[Ly]:[Hav]])+SUM(TblConstr[[#This Row],[Dest Ly]:[Dest Hav]]) +Rezone!M102 + IF("Ch_"&amp; home_land=TblConstr[[#Headers],[Ch_Forest]],TblConstr[[#This Row],[Home Land]])+IF(TblConstr[[#This Row],[Hour]:[Hour]]&gt;12,OFFSET(TblExplore[[#This Row],[Forest Explore]],-12,0),0)</f>
        <v>0</v>
      </c>
      <c r="CS102" s="359">
        <f ca="1">-SUM(TblConstr[[#This Row],[OM]:[GN]])+SUM(TblConstr[[#This Row],[Dest OM]:[Dest GN]]) +Rezone!N102 + IF("Ch_"&amp; home_land=TblConstr[[#Headers],[Ch_Mountain]],TblConstr[[#This Row],[Home Land]])+IF(TblConstr[[#This Row],[Hour]:[Hour]]&gt;12,OFFSET(TblExplore[[#This Row],[Mountain Explore]],-12,0),0)</f>
        <v>0</v>
      </c>
      <c r="CT102" s="183">
        <f ca="1">-SUM(TblConstr[[#This Row],[Fac]:[Shr]])+SUM(TblConstr[[#This Row],[Dest Fac]:[Dest Shr]]) +Rezone!O102 + IF("Ch_" &amp; home_land=TblConstr[[#Headers],[Ch_Hill]],TblConstr[[#This Row],[Home Land]])+IF(TblConstr[[#This Row],[Hour]:[Hour]]&gt;12,OFFSET(TblExplore[[#This Row],[Hill Explore]],-12,0),0)</f>
        <v>0</v>
      </c>
      <c r="CU102" s="184">
        <f ca="1">-SUM(TblConstr[[#This Row],[Tow]:[WG]])+SUM(TblConstr[[#This Row],[Dest Tow]:[Dest WG]]) +Rezone!P102 + IF("Ch_" &amp; home_land=TblConstr[[#Headers],[Ch_Swamp]],TblConstr[[#This Row],[Home Land]])+IF(TblConstr[[#This Row],[Hour]:[Hour]]&gt;12,OFFSET(TblExplore[[#This Row],[Swamp Explore]],-12,0),0)</f>
        <v>0</v>
      </c>
      <c r="CV102" s="185">
        <f ca="1" xml:space="preserve"> - SUM(TblConstr[[#This Row],[DM]:[Sch]])+SUM(TblConstr[[#This Row],[Dest DM]:[Dest Sch]]) +Rezone!Q102 + IF("Ch_" &amp; home_land=TblConstr[[#Headers],[Ch_Cavern]],TblConstr[[#This Row],[Home Land]])+IF(TblConstr[[#This Row],[Hour]:[Hour]]&gt;12,OFFSET(TblExplore[[#This Row],[Cavern Explore]],-12,0),0)</f>
        <v>0</v>
      </c>
      <c r="CW102" s="186">
        <f ca="1">-TblConstr[[#This Row],[Doc]]+TblConstr[[#This Row],[Dest Doc]] +Rezone!R102 + IF("Ch_" &amp; home_land=TblConstr[[#Headers],[Ch_Water]],TblConstr[[#This Row],[Home Land]])+IF(TblConstr[[#This Row],[Hour]:[Hour]]&gt;12,OFFSET(TblExplore[[#This Row],[Water Explore]],-12,0),0)</f>
        <v>0</v>
      </c>
      <c r="CX102" s="45">
        <f>IF(Explore!S102=1,20) - TblConstr[[#This Row],[Hom]] + TblConstr[[#This Row],[Dest Hom]]</f>
        <v>0</v>
      </c>
      <c r="CY102" s="142"/>
      <c r="CZ102" s="94">
        <f t="shared" ca="1" si="23"/>
        <v>30</v>
      </c>
      <c r="DA102" s="94">
        <f t="shared" ca="1" si="24"/>
        <v>20</v>
      </c>
      <c r="DB102" s="45">
        <f t="shared" ca="1" si="25"/>
        <v>0</v>
      </c>
      <c r="DC102" s="94">
        <f t="shared" ca="1" si="26"/>
        <v>0</v>
      </c>
      <c r="DD102" s="94">
        <f t="shared" ca="1" si="27"/>
        <v>0</v>
      </c>
      <c r="DE102" s="45">
        <f t="shared" ca="1" si="28"/>
        <v>0</v>
      </c>
      <c r="DF102" s="94">
        <f t="shared" ca="1" si="29"/>
        <v>0</v>
      </c>
      <c r="DG102" s="94" cm="1">
        <f t="array" aca="1" ref="DG102" ca="1">INDEX(TblConstr[[Total Plain]:[Total Water]],ROW()-ROW(TblConstr[#Headers]),MATCH("Total "&amp;home_land,TblConstr[[#Headers],[Total Plain]:[Total Water]],0))+TblConstr[[#This Row],[Homes]]</f>
        <v>30</v>
      </c>
      <c r="DH102" s="45">
        <f t="shared" ca="1" si="22"/>
        <v>0</v>
      </c>
      <c r="DI102" s="45">
        <f t="shared" ca="1" si="19"/>
        <v>0</v>
      </c>
      <c r="DJ102" s="45">
        <f t="shared" ca="1" si="20"/>
        <v>0</v>
      </c>
    </row>
    <row r="103" spans="1:114" x14ac:dyDescent="0.2">
      <c r="A103" s="175">
        <f>TblRezone[[#This Row],[Hour]]</f>
        <v>100</v>
      </c>
      <c r="B103" s="176">
        <f ca="1">SUM(TblConstr[[#This Row],[Plain]:[Water]])</f>
        <v>0</v>
      </c>
      <c r="C103" s="177">
        <f ca="1">SUM(TblConstr[[#This Row],[Tot Hom]:[Tot Doc]])</f>
        <v>50</v>
      </c>
      <c r="D103" s="177">
        <f t="shared" si="21"/>
        <v>0</v>
      </c>
      <c r="E103" s="178"/>
      <c r="F103" s="61">
        <f ca="1">TblConstr[[#This Row],[Barren]]+TblConstr[[#This Row],[Buildings]]+TblConstr[[#This Row],[Incoming]]</f>
        <v>50</v>
      </c>
      <c r="G103" s="187">
        <f ca="1">OFFSET(TblConstr[[#This Row],[Plain]],-1,0)+TblConstr[[#This Row],[Ch_Plain]]</f>
        <v>0</v>
      </c>
      <c r="H103" s="182">
        <f ca="1">OFFSET(TblConstr[[#This Row],[Forest]],-1,0)+TblConstr[[#This Row],[Ch_Forest]]</f>
        <v>0</v>
      </c>
      <c r="I103" s="359">
        <f ca="1">OFFSET(TblConstr[[#This Row],[Mountain]],-1,0)+TblConstr[[#This Row],[Ch_Mountain]]</f>
        <v>0</v>
      </c>
      <c r="J103" s="363">
        <f ca="1">OFFSET(TblConstr[[#This Row],[Hill]],-1,0)+TblConstr[[#This Row],[Ch_Hill]]</f>
        <v>0</v>
      </c>
      <c r="K103" s="367">
        <f ca="1">OFFSET(TblConstr[[#This Row],[Swamp]],-1,0)+TblConstr[[#This Row],[Ch_Swamp]]</f>
        <v>0</v>
      </c>
      <c r="L103" s="185">
        <f ca="1">OFFSET(TblConstr[[#This Row],[Cavern]],-1,0)+TblConstr[[#This Row],[Ch_Cavern]]</f>
        <v>0</v>
      </c>
      <c r="M103" s="186">
        <f ca="1">OFFSET(TblConstr[[#This Row],[Water]],-1,0)+TblConstr[[#This Row],[Ch_Water]]</f>
        <v>0</v>
      </c>
      <c r="N103" s="357">
        <f>TblRezone[[#This Row],[Hour]]</f>
        <v>100</v>
      </c>
      <c r="O103" s="179"/>
      <c r="P103" s="179"/>
      <c r="Q103" s="179"/>
      <c r="R103" s="179"/>
      <c r="S103" s="179"/>
      <c r="T103" s="179"/>
      <c r="U103" s="179"/>
      <c r="V103" s="179"/>
      <c r="W103" s="179"/>
      <c r="X103" s="179"/>
      <c r="Y103" s="179"/>
      <c r="Z103" s="179"/>
      <c r="AA103" s="179"/>
      <c r="AB103" s="179"/>
      <c r="AC103" s="179"/>
      <c r="AD103" s="179"/>
      <c r="AE103" s="179"/>
      <c r="AF103" s="179"/>
      <c r="AG103" s="179"/>
      <c r="AH103" s="53">
        <f ca="1">TblImps[[#This Row],[Time]]</f>
        <v>46324.12499999976</v>
      </c>
      <c r="AI103" s="180">
        <f ca="1">MIN(25%,(TblConstr[[#This Row],[Tot Fac]]+TblConstr[[#This Row],[Dest Fac]])/(TblConstr[[#This Row],[Land]]-TblExplore[[#This Row],[Land Bonus]]*20))</f>
        <v>0</v>
      </c>
      <c r="AJ103" s="180">
        <f ca="1">MIN(25%,(TblConstr[[#This Row],[Tot Fac]]+TblConstr[[#This Row],[Dest Fac]])/TblConstr[[#This Row],[Land]])</f>
        <v>0</v>
      </c>
      <c r="AK103" s="94">
        <f ca="1">TblProd[[#This Row],[Platinum]]</f>
        <v>200105</v>
      </c>
      <c r="AL103" s="94">
        <f ca="1">TblProd[[#This Row],[Lumber]]</f>
        <v>68571</v>
      </c>
      <c r="AM10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3" s="94">
        <f ca="1">ROUNDDOWN( MAX(1 - MIN(facs_constr_factor*TblConstr[[#This Row],[Facs -DB]],facs_constr_max) + tech_1_11*TblTech[[#This Row],[11-1]] + tech_6_3_2*TblTech[[#This Row],[6-3]] + tech_5_2_3*TblTech[[#This Row],[5-2]], 1-global_constr_cap) * TblConstr[[#This Row],[RCPA Lumber]],0)</f>
        <v>31</v>
      </c>
      <c r="AO10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3" s="94">
        <f ca="1">ROUNDDOWN( MAX(1 - MIN(facs_constr_factor*TblConstr[[#This Row],[Facs DB]],facs_constr_max) + tech_1_11*TblTech[[#This Row],[1-11]] + tech_6_3_2*TblTech[[#This Row],[6-3]] + tech_5_2_3*TblTech[[#This Row],[5-2]], 1-global_constr_cap) * ROUND((TblConstr[[#This Row],[Land]]-250)*0.285 + 87.5 + 0/4.25,0),0)</f>
        <v>31</v>
      </c>
      <c r="AQ103" s="45">
        <f ca="1">TblConstr[[#This Row],[build -db]]*TblConstr[[#This Row],[CPA Platinum -DB]] + TblConstr[[#This Row],[build db]]*TblConstr[[#This Row],[CPA Platinum DB]]</f>
        <v>0</v>
      </c>
      <c r="AR103" s="45">
        <f ca="1">TblConstr[[#This Row],[build -db]]*TblConstr[[#This Row],[CPA Lumber -DB]] + TblConstr[[#This Row],[build db]]*TblConstr[[#This Row],[CPA Lumber DB]]</f>
        <v>0</v>
      </c>
      <c r="AS103" s="94">
        <f ca="1">MIN(SUM(OFFSET(TblConstr[[#This Row],[Plain]:[Water]],-1,0))+SUM(TblConstr[[#This Row],[Dest Hom]:[Dest Doc]])+IF(TblConstr[[#This Row],[Hour]]&gt;12,SUM(OFFSET(TblExplore[[#This Row],[Plains Explore]:[Water Explore]],-12,0)),0),SUM(TblConstr[[#This Row],[Hom]:[Doc]]))</f>
        <v>0</v>
      </c>
      <c r="AT10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42"/>
      <c r="AV103" s="94">
        <f ca="1">ROUND((TblConstr[[#This Row],[Land]]-250 - IF(TblExplore[[#This Row],[Land Bonus]]&lt;&gt;0,20,0))*1.25 + 850 + 0,0)</f>
        <v>600</v>
      </c>
      <c r="AW103" s="94">
        <f ca="1">ROUND((TblConstr[[#This Row],[Land]]-250 - IF(TblExplore[[#This Row],[Land Bonus]]&lt;&gt;0,20,0))*0.285 + 87.5 + 0/4.25,0)</f>
        <v>31</v>
      </c>
      <c r="AX103" s="154"/>
      <c r="AY103" s="188" cm="1">
        <f t="array" aca="1" ref="AY103" ca="1">IF(TblConstr[[#This Row],[Hour]:[Hour]]&gt;12,OFFSET(TblConstr[[#This Row],[Hom]],-12,0),0)+OFFSET(TblConstr[[#This Row],[Tot Hom]],-1,0)-TblConstr[[#This Row],[Dest Hom]]</f>
        <v>0</v>
      </c>
      <c r="AZ103" s="189" cm="1">
        <f t="array" aca="1" ref="AZ103" ca="1">IF(TblConstr[[#This Row],[Hour]:[Hour]]&gt;12,OFFSET(TblConstr[[#This Row],[Alc]],-12,0),0)+OFFSET(TblConstr[[#This Row],[Tot Alc]],-1,0)-TblConstr[[#This Row],[Dest Alc]]</f>
        <v>0</v>
      </c>
      <c r="BA103" s="189" cm="1">
        <f t="array" aca="1" ref="BA103" ca="1">IF(TblConstr[[#This Row],[Hour]:[Hour]]&gt;12,OFFSET(TblConstr[[#This Row],[Far]],-12,0),0)+OFFSET(TblConstr[[#This Row],[Tot Farm]],-1,0)-TblConstr[[#This Row],[Dest Farm]]</f>
        <v>30</v>
      </c>
      <c r="BB103" s="189" cm="1">
        <f t="array" aca="1" ref="BB103" ca="1">IF(TblConstr[[#This Row],[Hour]:[Hour]]&gt;12,OFFSET(TblConstr[[#This Row],[Smi]],-12,0),0)+OFFSET(TblConstr[[#This Row],[Tot Smi]],-1,0)-TblConstr[[#This Row],[Dest Smi]]</f>
        <v>0</v>
      </c>
      <c r="BC103" s="189" cm="1">
        <f t="array" aca="1" ref="BC103" ca="1">IF(TblConstr[[#This Row],[Hour]:[Hour]]&gt;12,OFFSET(TblConstr[[#This Row],[Mas]],-12,0),0)+OFFSET(TblConstr[[#This Row],[Tot Mas]],-1,0)-TblConstr[[#This Row],[Dest Mas]]</f>
        <v>0</v>
      </c>
      <c r="BD103" s="190" cm="1">
        <f t="array" aca="1" ref="BD103" ca="1">IF(TblConstr[[#This Row],[Hour]:[Hour]]&gt;12,OFFSET(TblConstr[[#This Row],[Ly]],-12,0),0)+OFFSET(TblConstr[[#This Row],[Tot Ly]],-1,0)-TblConstr[[#This Row],[Dest Ly]]</f>
        <v>20</v>
      </c>
      <c r="BE103" s="190" cm="1">
        <f t="array" aca="1" ref="BE103" ca="1">IF(TblConstr[[#This Row],[Hour]:[Hour]]&gt;12,OFFSET(TblConstr[[#This Row],[Hav]],-12,0),0)+OFFSET(TblConstr[[#This Row],[Tot Hav]],-1,0)-TblConstr[[#This Row],[Dest Hav]]</f>
        <v>0</v>
      </c>
      <c r="BF103" s="361" cm="1">
        <f t="array" aca="1" ref="BF103" ca="1">IF(TblConstr[[#This Row],[Hour]:[Hour]]&gt;12,OFFSET(TblConstr[[#This Row],[OM]],-12,0),0)+OFFSET(TblConstr[[#This Row],[Tot OM]],-1,0)-TblConstr[[#This Row],[Dest OM]]</f>
        <v>0</v>
      </c>
      <c r="BG103" s="361" cm="1">
        <f t="array" aca="1" ref="BG103" ca="1">IF(TblConstr[[#This Row],[Hour]:[Hour]]&gt;12,OFFSET(TblConstr[[#This Row],[GN]],-12,0),0)+OFFSET(TblConstr[[#This Row],[Tot GN]],-1,0)-TblConstr[[#This Row],[Dest GN]]</f>
        <v>0</v>
      </c>
      <c r="BH103" s="365" cm="1">
        <f t="array" aca="1" ref="BH103" ca="1">IF(TblConstr[[#This Row],[Hour]:[Hour]]&gt;12,OFFSET(TblConstr[[#This Row],[Fac]],-12,0),0)+OFFSET(TblConstr[[#This Row],[Tot Fac]],-1,0)-TblConstr[[#This Row],[Dest Fac]]</f>
        <v>0</v>
      </c>
      <c r="BI103" s="365" cm="1">
        <f t="array" aca="1" ref="BI103" ca="1">IF(TblConstr[[#This Row],[Hour]:[Hour]]&gt;12,OFFSET(TblConstr[[#This Row],[GT]],-12,0),0)+OFFSET(TblConstr[[#This Row],[Tot GT]],-1,0)-TblConstr[[#This Row],[Dest GT]]</f>
        <v>0</v>
      </c>
      <c r="BJ103" s="365" cm="1">
        <f t="array" aca="1" ref="BJ103" ca="1">IF(TblConstr[[#This Row],[Hour]:[Hour]]&gt;12,OFFSET(TblConstr[[#This Row],[Bar]],-12,0),0)+OFFSET(TblConstr[[#This Row],[Tot Bar]],-1,0)-TblConstr[[#This Row],[Dest Bar]]</f>
        <v>0</v>
      </c>
      <c r="BK103" s="365" cm="1">
        <f t="array" aca="1" ref="BK103" ca="1">IF(TblConstr[[#This Row],[Hour]:[Hour]]&gt;12,OFFSET(TblConstr[[#This Row],[Shr]],-12,0),0)+OFFSET(TblConstr[[#This Row],[Tot Shr]],-1,0)-TblConstr[[#This Row],[Dest Shr]]</f>
        <v>0</v>
      </c>
      <c r="BL103" s="369" cm="1">
        <f t="array" aca="1" ref="BL103" ca="1">IF(TblConstr[[#This Row],[Hour]:[Hour]]&gt;12,OFFSET(TblConstr[[#This Row],[Tow]],-12,0),0)+OFFSET(TblConstr[[#This Row],[Tot Tow]],-1,0)-TblConstr[[#This Row],[Dest Tow]]</f>
        <v>0</v>
      </c>
      <c r="BM103" s="369" cm="1">
        <f t="array" aca="1" ref="BM103" ca="1">IF(TblConstr[[#This Row],[Hour]:[Hour]]&gt;12,OFFSET(TblConstr[[#This Row],[Tem]],-12,0),0)+OFFSET(TblConstr[[#This Row],[Tot Tem]],-1,0)-TblConstr[[#This Row],[Dest Tem]]</f>
        <v>0</v>
      </c>
      <c r="BN103" s="369" cm="1">
        <f t="array" aca="1" ref="BN103" ca="1">IF(TblConstr[[#This Row],[Hour]:[Hour]]&gt;12,OFFSET(TblConstr[[#This Row],[WG]],-12,0),0)+OFFSET(TblConstr[[#This Row],[Tot WG]],-1,0)-TblConstr[[#This Row],[Dest WG]]</f>
        <v>0</v>
      </c>
      <c r="BO103" s="191" cm="1">
        <f t="array" aca="1" ref="BO103" ca="1">IF(TblConstr[[#This Row],[Hour]:[Hour]]&gt;12,OFFSET(TblConstr[[#This Row],[DM]],-12,0),0)+OFFSET(TblConstr[[#This Row],[Tot DM]],-1,0)-TblConstr[[#This Row],[Dest DM]]</f>
        <v>0</v>
      </c>
      <c r="BP103" s="191" cm="1">
        <f t="array" aca="1" ref="BP103" ca="1">IF(TblConstr[[#This Row],[Hour]:[Hour]]&gt;12,OFFSET(TblConstr[[#This Row],[Sch]],-12,0),0)+OFFSET(TblConstr[[#This Row],[Tot Sch]],-1,0)-TblConstr[[#This Row],[Dest Sch]]</f>
        <v>0</v>
      </c>
      <c r="BQ103" s="192" cm="1">
        <f t="array" aca="1" ref="BQ103" ca="1">IF(TblConstr[[#This Row],[Hour]:[Hour]]&gt;12,OFFSET(TblConstr[[#This Row],[Doc]],-12,0),0)+OFFSET(TblConstr[[#This Row],[Tot Doc]],-1,0)-TblConstr[[#This Row],[Dest Doc]]</f>
        <v>0</v>
      </c>
      <c r="BR103" s="142"/>
      <c r="BS103" s="154"/>
      <c r="BT103" s="94">
        <f ca="1">TblConstr[[#This Row],[Land]]</f>
        <v>50</v>
      </c>
      <c r="BU103" s="159">
        <f ca="1">TblImps[[#This Row],[Time]]</f>
        <v>46324.12499999976</v>
      </c>
      <c r="BV103" s="142"/>
      <c r="BW103" s="179"/>
      <c r="BX103" s="179"/>
      <c r="BY103" s="179"/>
      <c r="BZ103" s="179"/>
      <c r="CA103" s="179"/>
      <c r="CB103" s="179"/>
      <c r="CC103" s="179"/>
      <c r="CD103" s="179"/>
      <c r="CE103" s="179"/>
      <c r="CF103" s="179"/>
      <c r="CG103" s="179"/>
      <c r="CH103" s="179"/>
      <c r="CI103" s="179"/>
      <c r="CJ103" s="179"/>
      <c r="CK103" s="179"/>
      <c r="CL103" s="179"/>
      <c r="CM103" s="179"/>
      <c r="CN103" s="179"/>
      <c r="CO103" s="179"/>
      <c r="CP103" s="142"/>
      <c r="CQ103" s="181">
        <f ca="1">-SUM(TblConstr[[#This Row],[Alc]:[Mas]])+SUM(TblConstr[[#This Row],[Dest Alc]:[Dest Mas]])+Rezone!L103+IF("Ch_"&amp; home_land=TblConstr[[#Headers],[Ch_Plain]],TblConstr[[#This Row],[Home Land]])+IF(TblConstr[[#This Row],[Hour]:[Hour]]&gt;12,OFFSET(TblExplore[[#This Row],[Plains Explore]],-12,0),0)</f>
        <v>0</v>
      </c>
      <c r="CR103" s="182">
        <f ca="1">-SUM(TblConstr[[#This Row],[Ly]:[Hav]])+SUM(TblConstr[[#This Row],[Dest Ly]:[Dest Hav]]) +Rezone!M103 + IF("Ch_"&amp; home_land=TblConstr[[#Headers],[Ch_Forest]],TblConstr[[#This Row],[Home Land]])+IF(TblConstr[[#This Row],[Hour]:[Hour]]&gt;12,OFFSET(TblExplore[[#This Row],[Forest Explore]],-12,0),0)</f>
        <v>0</v>
      </c>
      <c r="CS103" s="359">
        <f ca="1">-SUM(TblConstr[[#This Row],[OM]:[GN]])+SUM(TblConstr[[#This Row],[Dest OM]:[Dest GN]]) +Rezone!N103 + IF("Ch_"&amp; home_land=TblConstr[[#Headers],[Ch_Mountain]],TblConstr[[#This Row],[Home Land]])+IF(TblConstr[[#This Row],[Hour]:[Hour]]&gt;12,OFFSET(TblExplore[[#This Row],[Mountain Explore]],-12,0),0)</f>
        <v>0</v>
      </c>
      <c r="CT103" s="183">
        <f ca="1">-SUM(TblConstr[[#This Row],[Fac]:[Shr]])+SUM(TblConstr[[#This Row],[Dest Fac]:[Dest Shr]]) +Rezone!O103 + IF("Ch_" &amp; home_land=TblConstr[[#Headers],[Ch_Hill]],TblConstr[[#This Row],[Home Land]])+IF(TblConstr[[#This Row],[Hour]:[Hour]]&gt;12,OFFSET(TblExplore[[#This Row],[Hill Explore]],-12,0),0)</f>
        <v>0</v>
      </c>
      <c r="CU103" s="184">
        <f ca="1">-SUM(TblConstr[[#This Row],[Tow]:[WG]])+SUM(TblConstr[[#This Row],[Dest Tow]:[Dest WG]]) +Rezone!P103 + IF("Ch_" &amp; home_land=TblConstr[[#Headers],[Ch_Swamp]],TblConstr[[#This Row],[Home Land]])+IF(TblConstr[[#This Row],[Hour]:[Hour]]&gt;12,OFFSET(TblExplore[[#This Row],[Swamp Explore]],-12,0),0)</f>
        <v>0</v>
      </c>
      <c r="CV103" s="185">
        <f ca="1" xml:space="preserve"> - SUM(TblConstr[[#This Row],[DM]:[Sch]])+SUM(TblConstr[[#This Row],[Dest DM]:[Dest Sch]]) +Rezone!Q103 + IF("Ch_" &amp; home_land=TblConstr[[#Headers],[Ch_Cavern]],TblConstr[[#This Row],[Home Land]])+IF(TblConstr[[#This Row],[Hour]:[Hour]]&gt;12,OFFSET(TblExplore[[#This Row],[Cavern Explore]],-12,0),0)</f>
        <v>0</v>
      </c>
      <c r="CW103" s="186">
        <f ca="1">-TblConstr[[#This Row],[Doc]]+TblConstr[[#This Row],[Dest Doc]] +Rezone!R103 + IF("Ch_" &amp; home_land=TblConstr[[#Headers],[Ch_Water]],TblConstr[[#This Row],[Home Land]])+IF(TblConstr[[#This Row],[Hour]:[Hour]]&gt;12,OFFSET(TblExplore[[#This Row],[Water Explore]],-12,0),0)</f>
        <v>0</v>
      </c>
      <c r="CX103" s="45">
        <f>IF(Explore!S103=1,20) - TblConstr[[#This Row],[Hom]] + TblConstr[[#This Row],[Dest Hom]]</f>
        <v>0</v>
      </c>
      <c r="CY103" s="142"/>
      <c r="CZ103" s="94">
        <f t="shared" ca="1" si="23"/>
        <v>30</v>
      </c>
      <c r="DA103" s="94">
        <f t="shared" ca="1" si="24"/>
        <v>20</v>
      </c>
      <c r="DB103" s="45">
        <f t="shared" ca="1" si="25"/>
        <v>0</v>
      </c>
      <c r="DC103" s="94">
        <f t="shared" ca="1" si="26"/>
        <v>0</v>
      </c>
      <c r="DD103" s="94">
        <f t="shared" ca="1" si="27"/>
        <v>0</v>
      </c>
      <c r="DE103" s="45">
        <f t="shared" ca="1" si="28"/>
        <v>0</v>
      </c>
      <c r="DF103" s="94">
        <f t="shared" ca="1" si="29"/>
        <v>0</v>
      </c>
      <c r="DG103" s="94" cm="1">
        <f t="array" aca="1" ref="DG103" ca="1">INDEX(TblConstr[[Total Plain]:[Total Water]],ROW()-ROW(TblConstr[#Headers]),MATCH("Total "&amp;home_land,TblConstr[[#Headers],[Total Plain]:[Total Water]],0))+TblConstr[[#This Row],[Homes]]</f>
        <v>30</v>
      </c>
      <c r="DH103" s="45">
        <f t="shared" ca="1" si="22"/>
        <v>0</v>
      </c>
      <c r="DI103" s="45">
        <f t="shared" ca="1" si="19"/>
        <v>0</v>
      </c>
      <c r="DJ103" s="45">
        <f t="shared" ca="1" si="20"/>
        <v>0</v>
      </c>
    </row>
    <row r="104" spans="1:114" x14ac:dyDescent="0.2">
      <c r="A104" s="175">
        <f>TblRezone[[#This Row],[Hour]]</f>
        <v>101</v>
      </c>
      <c r="B104" s="176">
        <f ca="1">SUM(TblConstr[[#This Row],[Plain]:[Water]])</f>
        <v>0</v>
      </c>
      <c r="C104" s="177">
        <f ca="1">SUM(TblConstr[[#This Row],[Tot Hom]:[Tot Doc]])</f>
        <v>50</v>
      </c>
      <c r="D104" s="177">
        <f t="shared" si="21"/>
        <v>0</v>
      </c>
      <c r="E104" s="178"/>
      <c r="F104" s="61">
        <f ca="1">TblConstr[[#This Row],[Barren]]+TblConstr[[#This Row],[Buildings]]+TblConstr[[#This Row],[Incoming]]</f>
        <v>50</v>
      </c>
      <c r="G104" s="187">
        <f ca="1">OFFSET(TblConstr[[#This Row],[Plain]],-1,0)+TblConstr[[#This Row],[Ch_Plain]]</f>
        <v>0</v>
      </c>
      <c r="H104" s="182">
        <f ca="1">OFFSET(TblConstr[[#This Row],[Forest]],-1,0)+TblConstr[[#This Row],[Ch_Forest]]</f>
        <v>0</v>
      </c>
      <c r="I104" s="359">
        <f ca="1">OFFSET(TblConstr[[#This Row],[Mountain]],-1,0)+TblConstr[[#This Row],[Ch_Mountain]]</f>
        <v>0</v>
      </c>
      <c r="J104" s="363">
        <f ca="1">OFFSET(TblConstr[[#This Row],[Hill]],-1,0)+TblConstr[[#This Row],[Ch_Hill]]</f>
        <v>0</v>
      </c>
      <c r="K104" s="367">
        <f ca="1">OFFSET(TblConstr[[#This Row],[Swamp]],-1,0)+TblConstr[[#This Row],[Ch_Swamp]]</f>
        <v>0</v>
      </c>
      <c r="L104" s="185">
        <f ca="1">OFFSET(TblConstr[[#This Row],[Cavern]],-1,0)+TblConstr[[#This Row],[Ch_Cavern]]</f>
        <v>0</v>
      </c>
      <c r="M104" s="186">
        <f ca="1">OFFSET(TblConstr[[#This Row],[Water]],-1,0)+TblConstr[[#This Row],[Ch_Water]]</f>
        <v>0</v>
      </c>
      <c r="N104" s="357">
        <f>TblRezone[[#This Row],[Hour]]</f>
        <v>101</v>
      </c>
      <c r="O104" s="179"/>
      <c r="P104" s="179"/>
      <c r="Q104" s="179"/>
      <c r="R104" s="179"/>
      <c r="S104" s="179"/>
      <c r="T104" s="179"/>
      <c r="U104" s="179"/>
      <c r="V104" s="179"/>
      <c r="W104" s="179"/>
      <c r="X104" s="179"/>
      <c r="Y104" s="179"/>
      <c r="Z104" s="179"/>
      <c r="AA104" s="179"/>
      <c r="AB104" s="179"/>
      <c r="AC104" s="179"/>
      <c r="AD104" s="179"/>
      <c r="AE104" s="179"/>
      <c r="AF104" s="179"/>
      <c r="AG104" s="179"/>
      <c r="AH104" s="53">
        <f ca="1">TblImps[[#This Row],[Time]]</f>
        <v>46324.166666666424</v>
      </c>
      <c r="AI104" s="180">
        <f ca="1">MIN(25%,(TblConstr[[#This Row],[Tot Fac]]+TblConstr[[#This Row],[Dest Fac]])/(TblConstr[[#This Row],[Land]]-TblExplore[[#This Row],[Land Bonus]]*20))</f>
        <v>0</v>
      </c>
      <c r="AJ104" s="180">
        <f ca="1">MIN(25%,(TblConstr[[#This Row],[Tot Fac]]+TblConstr[[#This Row],[Dest Fac]])/TblConstr[[#This Row],[Land]])</f>
        <v>0</v>
      </c>
      <c r="AK104" s="94">
        <f ca="1">TblProd[[#This Row],[Platinum]]</f>
        <v>200577</v>
      </c>
      <c r="AL104" s="94">
        <f ca="1">TblProd[[#This Row],[Lumber]]</f>
        <v>68885</v>
      </c>
      <c r="AM10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4" s="94">
        <f ca="1">ROUNDDOWN( MAX(1 - MIN(facs_constr_factor*TblConstr[[#This Row],[Facs -DB]],facs_constr_max) + tech_1_11*TblTech[[#This Row],[11-1]] + tech_6_3_2*TblTech[[#This Row],[6-3]] + tech_5_2_3*TblTech[[#This Row],[5-2]], 1-global_constr_cap) * TblConstr[[#This Row],[RCPA Lumber]],0)</f>
        <v>31</v>
      </c>
      <c r="AO10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4" s="94">
        <f ca="1">ROUNDDOWN( MAX(1 - MIN(facs_constr_factor*TblConstr[[#This Row],[Facs DB]],facs_constr_max) + tech_1_11*TblTech[[#This Row],[1-11]] + tech_6_3_2*TblTech[[#This Row],[6-3]] + tech_5_2_3*TblTech[[#This Row],[5-2]], 1-global_constr_cap) * ROUND((TblConstr[[#This Row],[Land]]-250)*0.285 + 87.5 + 0/4.25,0),0)</f>
        <v>31</v>
      </c>
      <c r="AQ104" s="45">
        <f ca="1">TblConstr[[#This Row],[build -db]]*TblConstr[[#This Row],[CPA Platinum -DB]] + TblConstr[[#This Row],[build db]]*TblConstr[[#This Row],[CPA Platinum DB]]</f>
        <v>0</v>
      </c>
      <c r="AR104" s="45">
        <f ca="1">TblConstr[[#This Row],[build -db]]*TblConstr[[#This Row],[CPA Lumber -DB]] + TblConstr[[#This Row],[build db]]*TblConstr[[#This Row],[CPA Lumber DB]]</f>
        <v>0</v>
      </c>
      <c r="AS104" s="94">
        <f ca="1">MIN(SUM(OFFSET(TblConstr[[#This Row],[Plain]:[Water]],-1,0))+SUM(TblConstr[[#This Row],[Dest Hom]:[Dest Doc]])+IF(TblConstr[[#This Row],[Hour]]&gt;12,SUM(OFFSET(TblExplore[[#This Row],[Plains Explore]:[Water Explore]],-12,0)),0),SUM(TblConstr[[#This Row],[Hom]:[Doc]]))</f>
        <v>0</v>
      </c>
      <c r="AT10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42"/>
      <c r="AV104" s="94">
        <f ca="1">ROUND((TblConstr[[#This Row],[Land]]-250 - IF(TblExplore[[#This Row],[Land Bonus]]&lt;&gt;0,20,0))*1.25 + 850 + 0,0)</f>
        <v>600</v>
      </c>
      <c r="AW104" s="94">
        <f ca="1">ROUND((TblConstr[[#This Row],[Land]]-250 - IF(TblExplore[[#This Row],[Land Bonus]]&lt;&gt;0,20,0))*0.285 + 87.5 + 0/4.25,0)</f>
        <v>31</v>
      </c>
      <c r="AX104" s="154"/>
      <c r="AY104" s="188" cm="1">
        <f t="array" aca="1" ref="AY104" ca="1">IF(TblConstr[[#This Row],[Hour]:[Hour]]&gt;12,OFFSET(TblConstr[[#This Row],[Hom]],-12,0),0)+OFFSET(TblConstr[[#This Row],[Tot Hom]],-1,0)-TblConstr[[#This Row],[Dest Hom]]</f>
        <v>0</v>
      </c>
      <c r="AZ104" s="189" cm="1">
        <f t="array" aca="1" ref="AZ104" ca="1">IF(TblConstr[[#This Row],[Hour]:[Hour]]&gt;12,OFFSET(TblConstr[[#This Row],[Alc]],-12,0),0)+OFFSET(TblConstr[[#This Row],[Tot Alc]],-1,0)-TblConstr[[#This Row],[Dest Alc]]</f>
        <v>0</v>
      </c>
      <c r="BA104" s="189" cm="1">
        <f t="array" aca="1" ref="BA104" ca="1">IF(TblConstr[[#This Row],[Hour]:[Hour]]&gt;12,OFFSET(TblConstr[[#This Row],[Far]],-12,0),0)+OFFSET(TblConstr[[#This Row],[Tot Farm]],-1,0)-TblConstr[[#This Row],[Dest Farm]]</f>
        <v>30</v>
      </c>
      <c r="BB104" s="189" cm="1">
        <f t="array" aca="1" ref="BB104" ca="1">IF(TblConstr[[#This Row],[Hour]:[Hour]]&gt;12,OFFSET(TblConstr[[#This Row],[Smi]],-12,0),0)+OFFSET(TblConstr[[#This Row],[Tot Smi]],-1,0)-TblConstr[[#This Row],[Dest Smi]]</f>
        <v>0</v>
      </c>
      <c r="BC104" s="189" cm="1">
        <f t="array" aca="1" ref="BC104" ca="1">IF(TblConstr[[#This Row],[Hour]:[Hour]]&gt;12,OFFSET(TblConstr[[#This Row],[Mas]],-12,0),0)+OFFSET(TblConstr[[#This Row],[Tot Mas]],-1,0)-TblConstr[[#This Row],[Dest Mas]]</f>
        <v>0</v>
      </c>
      <c r="BD104" s="190" cm="1">
        <f t="array" aca="1" ref="BD104" ca="1">IF(TblConstr[[#This Row],[Hour]:[Hour]]&gt;12,OFFSET(TblConstr[[#This Row],[Ly]],-12,0),0)+OFFSET(TblConstr[[#This Row],[Tot Ly]],-1,0)-TblConstr[[#This Row],[Dest Ly]]</f>
        <v>20</v>
      </c>
      <c r="BE104" s="190" cm="1">
        <f t="array" aca="1" ref="BE104" ca="1">IF(TblConstr[[#This Row],[Hour]:[Hour]]&gt;12,OFFSET(TblConstr[[#This Row],[Hav]],-12,0),0)+OFFSET(TblConstr[[#This Row],[Tot Hav]],-1,0)-TblConstr[[#This Row],[Dest Hav]]</f>
        <v>0</v>
      </c>
      <c r="BF104" s="361" cm="1">
        <f t="array" aca="1" ref="BF104" ca="1">IF(TblConstr[[#This Row],[Hour]:[Hour]]&gt;12,OFFSET(TblConstr[[#This Row],[OM]],-12,0),0)+OFFSET(TblConstr[[#This Row],[Tot OM]],-1,0)-TblConstr[[#This Row],[Dest OM]]</f>
        <v>0</v>
      </c>
      <c r="BG104" s="361" cm="1">
        <f t="array" aca="1" ref="BG104" ca="1">IF(TblConstr[[#This Row],[Hour]:[Hour]]&gt;12,OFFSET(TblConstr[[#This Row],[GN]],-12,0),0)+OFFSET(TblConstr[[#This Row],[Tot GN]],-1,0)-TblConstr[[#This Row],[Dest GN]]</f>
        <v>0</v>
      </c>
      <c r="BH104" s="365" cm="1">
        <f t="array" aca="1" ref="BH104" ca="1">IF(TblConstr[[#This Row],[Hour]:[Hour]]&gt;12,OFFSET(TblConstr[[#This Row],[Fac]],-12,0),0)+OFFSET(TblConstr[[#This Row],[Tot Fac]],-1,0)-TblConstr[[#This Row],[Dest Fac]]</f>
        <v>0</v>
      </c>
      <c r="BI104" s="365" cm="1">
        <f t="array" aca="1" ref="BI104" ca="1">IF(TblConstr[[#This Row],[Hour]:[Hour]]&gt;12,OFFSET(TblConstr[[#This Row],[GT]],-12,0),0)+OFFSET(TblConstr[[#This Row],[Tot GT]],-1,0)-TblConstr[[#This Row],[Dest GT]]</f>
        <v>0</v>
      </c>
      <c r="BJ104" s="365" cm="1">
        <f t="array" aca="1" ref="BJ104" ca="1">IF(TblConstr[[#This Row],[Hour]:[Hour]]&gt;12,OFFSET(TblConstr[[#This Row],[Bar]],-12,0),0)+OFFSET(TblConstr[[#This Row],[Tot Bar]],-1,0)-TblConstr[[#This Row],[Dest Bar]]</f>
        <v>0</v>
      </c>
      <c r="BK104" s="365" cm="1">
        <f t="array" aca="1" ref="BK104" ca="1">IF(TblConstr[[#This Row],[Hour]:[Hour]]&gt;12,OFFSET(TblConstr[[#This Row],[Shr]],-12,0),0)+OFFSET(TblConstr[[#This Row],[Tot Shr]],-1,0)-TblConstr[[#This Row],[Dest Shr]]</f>
        <v>0</v>
      </c>
      <c r="BL104" s="369" cm="1">
        <f t="array" aca="1" ref="BL104" ca="1">IF(TblConstr[[#This Row],[Hour]:[Hour]]&gt;12,OFFSET(TblConstr[[#This Row],[Tow]],-12,0),0)+OFFSET(TblConstr[[#This Row],[Tot Tow]],-1,0)-TblConstr[[#This Row],[Dest Tow]]</f>
        <v>0</v>
      </c>
      <c r="BM104" s="369" cm="1">
        <f t="array" aca="1" ref="BM104" ca="1">IF(TblConstr[[#This Row],[Hour]:[Hour]]&gt;12,OFFSET(TblConstr[[#This Row],[Tem]],-12,0),0)+OFFSET(TblConstr[[#This Row],[Tot Tem]],-1,0)-TblConstr[[#This Row],[Dest Tem]]</f>
        <v>0</v>
      </c>
      <c r="BN104" s="369" cm="1">
        <f t="array" aca="1" ref="BN104" ca="1">IF(TblConstr[[#This Row],[Hour]:[Hour]]&gt;12,OFFSET(TblConstr[[#This Row],[WG]],-12,0),0)+OFFSET(TblConstr[[#This Row],[Tot WG]],-1,0)-TblConstr[[#This Row],[Dest WG]]</f>
        <v>0</v>
      </c>
      <c r="BO104" s="191" cm="1">
        <f t="array" aca="1" ref="BO104" ca="1">IF(TblConstr[[#This Row],[Hour]:[Hour]]&gt;12,OFFSET(TblConstr[[#This Row],[DM]],-12,0),0)+OFFSET(TblConstr[[#This Row],[Tot DM]],-1,0)-TblConstr[[#This Row],[Dest DM]]</f>
        <v>0</v>
      </c>
      <c r="BP104" s="191" cm="1">
        <f t="array" aca="1" ref="BP104" ca="1">IF(TblConstr[[#This Row],[Hour]:[Hour]]&gt;12,OFFSET(TblConstr[[#This Row],[Sch]],-12,0),0)+OFFSET(TblConstr[[#This Row],[Tot Sch]],-1,0)-TblConstr[[#This Row],[Dest Sch]]</f>
        <v>0</v>
      </c>
      <c r="BQ104" s="192" cm="1">
        <f t="array" aca="1" ref="BQ104" ca="1">IF(TblConstr[[#This Row],[Hour]:[Hour]]&gt;12,OFFSET(TblConstr[[#This Row],[Doc]],-12,0),0)+OFFSET(TblConstr[[#This Row],[Tot Doc]],-1,0)-TblConstr[[#This Row],[Dest Doc]]</f>
        <v>0</v>
      </c>
      <c r="BR104" s="142"/>
      <c r="BS104" s="154"/>
      <c r="BT104" s="94">
        <f ca="1">TblConstr[[#This Row],[Land]]</f>
        <v>50</v>
      </c>
      <c r="BU104" s="159">
        <f ca="1">TblImps[[#This Row],[Time]]</f>
        <v>46324.166666666424</v>
      </c>
      <c r="BV104" s="142"/>
      <c r="BW104" s="179"/>
      <c r="BX104" s="179"/>
      <c r="BY104" s="179"/>
      <c r="BZ104" s="179"/>
      <c r="CA104" s="179"/>
      <c r="CB104" s="179"/>
      <c r="CC104" s="179"/>
      <c r="CD104" s="179"/>
      <c r="CE104" s="179"/>
      <c r="CF104" s="179"/>
      <c r="CG104" s="179"/>
      <c r="CH104" s="179"/>
      <c r="CI104" s="179"/>
      <c r="CJ104" s="179"/>
      <c r="CK104" s="179"/>
      <c r="CL104" s="179"/>
      <c r="CM104" s="179"/>
      <c r="CN104" s="179"/>
      <c r="CO104" s="179"/>
      <c r="CP104" s="142"/>
      <c r="CQ104" s="181">
        <f ca="1">-SUM(TblConstr[[#This Row],[Alc]:[Mas]])+SUM(TblConstr[[#This Row],[Dest Alc]:[Dest Mas]])+Rezone!L104+IF("Ch_"&amp; home_land=TblConstr[[#Headers],[Ch_Plain]],TblConstr[[#This Row],[Home Land]])+IF(TblConstr[[#This Row],[Hour]:[Hour]]&gt;12,OFFSET(TblExplore[[#This Row],[Plains Explore]],-12,0),0)</f>
        <v>0</v>
      </c>
      <c r="CR104" s="182">
        <f ca="1">-SUM(TblConstr[[#This Row],[Ly]:[Hav]])+SUM(TblConstr[[#This Row],[Dest Ly]:[Dest Hav]]) +Rezone!M104 + IF("Ch_"&amp; home_land=TblConstr[[#Headers],[Ch_Forest]],TblConstr[[#This Row],[Home Land]])+IF(TblConstr[[#This Row],[Hour]:[Hour]]&gt;12,OFFSET(TblExplore[[#This Row],[Forest Explore]],-12,0),0)</f>
        <v>0</v>
      </c>
      <c r="CS104" s="359">
        <f ca="1">-SUM(TblConstr[[#This Row],[OM]:[GN]])+SUM(TblConstr[[#This Row],[Dest OM]:[Dest GN]]) +Rezone!N104 + IF("Ch_"&amp; home_land=TblConstr[[#Headers],[Ch_Mountain]],TblConstr[[#This Row],[Home Land]])+IF(TblConstr[[#This Row],[Hour]:[Hour]]&gt;12,OFFSET(TblExplore[[#This Row],[Mountain Explore]],-12,0),0)</f>
        <v>0</v>
      </c>
      <c r="CT104" s="183">
        <f ca="1">-SUM(TblConstr[[#This Row],[Fac]:[Shr]])+SUM(TblConstr[[#This Row],[Dest Fac]:[Dest Shr]]) +Rezone!O104 + IF("Ch_" &amp; home_land=TblConstr[[#Headers],[Ch_Hill]],TblConstr[[#This Row],[Home Land]])+IF(TblConstr[[#This Row],[Hour]:[Hour]]&gt;12,OFFSET(TblExplore[[#This Row],[Hill Explore]],-12,0),0)</f>
        <v>0</v>
      </c>
      <c r="CU104" s="184">
        <f ca="1">-SUM(TblConstr[[#This Row],[Tow]:[WG]])+SUM(TblConstr[[#This Row],[Dest Tow]:[Dest WG]]) +Rezone!P104 + IF("Ch_" &amp; home_land=TblConstr[[#Headers],[Ch_Swamp]],TblConstr[[#This Row],[Home Land]])+IF(TblConstr[[#This Row],[Hour]:[Hour]]&gt;12,OFFSET(TblExplore[[#This Row],[Swamp Explore]],-12,0),0)</f>
        <v>0</v>
      </c>
      <c r="CV104" s="185">
        <f ca="1" xml:space="preserve"> - SUM(TblConstr[[#This Row],[DM]:[Sch]])+SUM(TblConstr[[#This Row],[Dest DM]:[Dest Sch]]) +Rezone!Q104 + IF("Ch_" &amp; home_land=TblConstr[[#Headers],[Ch_Cavern]],TblConstr[[#This Row],[Home Land]])+IF(TblConstr[[#This Row],[Hour]:[Hour]]&gt;12,OFFSET(TblExplore[[#This Row],[Cavern Explore]],-12,0),0)</f>
        <v>0</v>
      </c>
      <c r="CW104" s="186">
        <f ca="1">-TblConstr[[#This Row],[Doc]]+TblConstr[[#This Row],[Dest Doc]] +Rezone!R104 + IF("Ch_" &amp; home_land=TblConstr[[#Headers],[Ch_Water]],TblConstr[[#This Row],[Home Land]])+IF(TblConstr[[#This Row],[Hour]:[Hour]]&gt;12,OFFSET(TblExplore[[#This Row],[Water Explore]],-12,0),0)</f>
        <v>0</v>
      </c>
      <c r="CX104" s="45">
        <f>IF(Explore!S104=1,20) - TblConstr[[#This Row],[Hom]] + TblConstr[[#This Row],[Dest Hom]]</f>
        <v>0</v>
      </c>
      <c r="CY104" s="142"/>
      <c r="CZ104" s="94">
        <f t="shared" ca="1" si="23"/>
        <v>30</v>
      </c>
      <c r="DA104" s="94">
        <f t="shared" ca="1" si="24"/>
        <v>20</v>
      </c>
      <c r="DB104" s="45">
        <f t="shared" ca="1" si="25"/>
        <v>0</v>
      </c>
      <c r="DC104" s="94">
        <f t="shared" ca="1" si="26"/>
        <v>0</v>
      </c>
      <c r="DD104" s="94">
        <f t="shared" ca="1" si="27"/>
        <v>0</v>
      </c>
      <c r="DE104" s="45">
        <f t="shared" ca="1" si="28"/>
        <v>0</v>
      </c>
      <c r="DF104" s="94">
        <f t="shared" ca="1" si="29"/>
        <v>0</v>
      </c>
      <c r="DG104" s="94" cm="1">
        <f t="array" aca="1" ref="DG104" ca="1">INDEX(TblConstr[[Total Plain]:[Total Water]],ROW()-ROW(TblConstr[#Headers]),MATCH("Total "&amp;home_land,TblConstr[[#Headers],[Total Plain]:[Total Water]],0))+TblConstr[[#This Row],[Homes]]</f>
        <v>30</v>
      </c>
      <c r="DH104" s="45">
        <f t="shared" ca="1" si="22"/>
        <v>0</v>
      </c>
      <c r="DI104" s="45">
        <f t="shared" ca="1" si="19"/>
        <v>0</v>
      </c>
      <c r="DJ104" s="45">
        <f t="shared" ca="1" si="20"/>
        <v>0</v>
      </c>
    </row>
    <row r="105" spans="1:114" x14ac:dyDescent="0.2">
      <c r="A105" s="175">
        <f>TblRezone[[#This Row],[Hour]]</f>
        <v>102</v>
      </c>
      <c r="B105" s="176">
        <f ca="1">SUM(TblConstr[[#This Row],[Plain]:[Water]])</f>
        <v>0</v>
      </c>
      <c r="C105" s="177">
        <f ca="1">SUM(TblConstr[[#This Row],[Tot Hom]:[Tot Doc]])</f>
        <v>50</v>
      </c>
      <c r="D105" s="177">
        <f t="shared" si="21"/>
        <v>0</v>
      </c>
      <c r="E105" s="178"/>
      <c r="F105" s="61">
        <f ca="1">TblConstr[[#This Row],[Barren]]+TblConstr[[#This Row],[Buildings]]+TblConstr[[#This Row],[Incoming]]</f>
        <v>50</v>
      </c>
      <c r="G105" s="187">
        <f ca="1">OFFSET(TblConstr[[#This Row],[Plain]],-1,0)+TblConstr[[#This Row],[Ch_Plain]]</f>
        <v>0</v>
      </c>
      <c r="H105" s="182">
        <f ca="1">OFFSET(TblConstr[[#This Row],[Forest]],-1,0)+TblConstr[[#This Row],[Ch_Forest]]</f>
        <v>0</v>
      </c>
      <c r="I105" s="359">
        <f ca="1">OFFSET(TblConstr[[#This Row],[Mountain]],-1,0)+TblConstr[[#This Row],[Ch_Mountain]]</f>
        <v>0</v>
      </c>
      <c r="J105" s="363">
        <f ca="1">OFFSET(TblConstr[[#This Row],[Hill]],-1,0)+TblConstr[[#This Row],[Ch_Hill]]</f>
        <v>0</v>
      </c>
      <c r="K105" s="367">
        <f ca="1">OFFSET(TblConstr[[#This Row],[Swamp]],-1,0)+TblConstr[[#This Row],[Ch_Swamp]]</f>
        <v>0</v>
      </c>
      <c r="L105" s="185">
        <f ca="1">OFFSET(TblConstr[[#This Row],[Cavern]],-1,0)+TblConstr[[#This Row],[Ch_Cavern]]</f>
        <v>0</v>
      </c>
      <c r="M105" s="186">
        <f ca="1">OFFSET(TblConstr[[#This Row],[Water]],-1,0)+TblConstr[[#This Row],[Ch_Water]]</f>
        <v>0</v>
      </c>
      <c r="N105" s="357">
        <f>TblRezone[[#This Row],[Hour]]</f>
        <v>102</v>
      </c>
      <c r="O105" s="179"/>
      <c r="P105" s="179"/>
      <c r="Q105" s="179"/>
      <c r="R105" s="179"/>
      <c r="S105" s="179"/>
      <c r="T105" s="179"/>
      <c r="U105" s="179"/>
      <c r="V105" s="179"/>
      <c r="W105" s="179"/>
      <c r="X105" s="179"/>
      <c r="Y105" s="179"/>
      <c r="Z105" s="179"/>
      <c r="AA105" s="179"/>
      <c r="AB105" s="179"/>
      <c r="AC105" s="179"/>
      <c r="AD105" s="179"/>
      <c r="AE105" s="179"/>
      <c r="AF105" s="179"/>
      <c r="AG105" s="179"/>
      <c r="AH105" s="53">
        <f ca="1">TblImps[[#This Row],[Time]]</f>
        <v>46324.208333333088</v>
      </c>
      <c r="AI105" s="180">
        <f ca="1">MIN(25%,(TblConstr[[#This Row],[Tot Fac]]+TblConstr[[#This Row],[Dest Fac]])/(TblConstr[[#This Row],[Land]]-TblExplore[[#This Row],[Land Bonus]]*20))</f>
        <v>0</v>
      </c>
      <c r="AJ105" s="180">
        <f ca="1">MIN(25%,(TblConstr[[#This Row],[Tot Fac]]+TblConstr[[#This Row],[Dest Fac]])/TblConstr[[#This Row],[Land]])</f>
        <v>0</v>
      </c>
      <c r="AK105" s="94">
        <f ca="1">TblProd[[#This Row],[Platinum]]</f>
        <v>201044</v>
      </c>
      <c r="AL105" s="94">
        <f ca="1">TblProd[[#This Row],[Lumber]]</f>
        <v>69196</v>
      </c>
      <c r="AM10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5" s="94">
        <f ca="1">ROUNDDOWN( MAX(1 - MIN(facs_constr_factor*TblConstr[[#This Row],[Facs -DB]],facs_constr_max) + tech_1_11*TblTech[[#This Row],[11-1]] + tech_6_3_2*TblTech[[#This Row],[6-3]] + tech_5_2_3*TblTech[[#This Row],[5-2]], 1-global_constr_cap) * TblConstr[[#This Row],[RCPA Lumber]],0)</f>
        <v>31</v>
      </c>
      <c r="AO10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5" s="94">
        <f ca="1">ROUNDDOWN( MAX(1 - MIN(facs_constr_factor*TblConstr[[#This Row],[Facs DB]],facs_constr_max) + tech_1_11*TblTech[[#This Row],[1-11]] + tech_6_3_2*TblTech[[#This Row],[6-3]] + tech_5_2_3*TblTech[[#This Row],[5-2]], 1-global_constr_cap) * ROUND((TblConstr[[#This Row],[Land]]-250)*0.285 + 87.5 + 0/4.25,0),0)</f>
        <v>31</v>
      </c>
      <c r="AQ105" s="45">
        <f ca="1">TblConstr[[#This Row],[build -db]]*TblConstr[[#This Row],[CPA Platinum -DB]] + TblConstr[[#This Row],[build db]]*TblConstr[[#This Row],[CPA Platinum DB]]</f>
        <v>0</v>
      </c>
      <c r="AR105" s="45">
        <f ca="1">TblConstr[[#This Row],[build -db]]*TblConstr[[#This Row],[CPA Lumber -DB]] + TblConstr[[#This Row],[build db]]*TblConstr[[#This Row],[CPA Lumber DB]]</f>
        <v>0</v>
      </c>
      <c r="AS105" s="94">
        <f ca="1">MIN(SUM(OFFSET(TblConstr[[#This Row],[Plain]:[Water]],-1,0))+SUM(TblConstr[[#This Row],[Dest Hom]:[Dest Doc]])+IF(TblConstr[[#This Row],[Hour]]&gt;12,SUM(OFFSET(TblExplore[[#This Row],[Plains Explore]:[Water Explore]],-12,0)),0),SUM(TblConstr[[#This Row],[Hom]:[Doc]]))</f>
        <v>0</v>
      </c>
      <c r="AT10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42"/>
      <c r="AV105" s="94">
        <f ca="1">ROUND((TblConstr[[#This Row],[Land]]-250 - IF(TblExplore[[#This Row],[Land Bonus]]&lt;&gt;0,20,0))*1.25 + 850 + 0,0)</f>
        <v>600</v>
      </c>
      <c r="AW105" s="94">
        <f ca="1">ROUND((TblConstr[[#This Row],[Land]]-250 - IF(TblExplore[[#This Row],[Land Bonus]]&lt;&gt;0,20,0))*0.285 + 87.5 + 0/4.25,0)</f>
        <v>31</v>
      </c>
      <c r="AX105" s="154"/>
      <c r="AY105" s="188" cm="1">
        <f t="array" aca="1" ref="AY105" ca="1">IF(TblConstr[[#This Row],[Hour]:[Hour]]&gt;12,OFFSET(TblConstr[[#This Row],[Hom]],-12,0),0)+OFFSET(TblConstr[[#This Row],[Tot Hom]],-1,0)-TblConstr[[#This Row],[Dest Hom]]</f>
        <v>0</v>
      </c>
      <c r="AZ105" s="189" cm="1">
        <f t="array" aca="1" ref="AZ105" ca="1">IF(TblConstr[[#This Row],[Hour]:[Hour]]&gt;12,OFFSET(TblConstr[[#This Row],[Alc]],-12,0),0)+OFFSET(TblConstr[[#This Row],[Tot Alc]],-1,0)-TblConstr[[#This Row],[Dest Alc]]</f>
        <v>0</v>
      </c>
      <c r="BA105" s="189" cm="1">
        <f t="array" aca="1" ref="BA105" ca="1">IF(TblConstr[[#This Row],[Hour]:[Hour]]&gt;12,OFFSET(TblConstr[[#This Row],[Far]],-12,0),0)+OFFSET(TblConstr[[#This Row],[Tot Farm]],-1,0)-TblConstr[[#This Row],[Dest Farm]]</f>
        <v>30</v>
      </c>
      <c r="BB105" s="189" cm="1">
        <f t="array" aca="1" ref="BB105" ca="1">IF(TblConstr[[#This Row],[Hour]:[Hour]]&gt;12,OFFSET(TblConstr[[#This Row],[Smi]],-12,0),0)+OFFSET(TblConstr[[#This Row],[Tot Smi]],-1,0)-TblConstr[[#This Row],[Dest Smi]]</f>
        <v>0</v>
      </c>
      <c r="BC105" s="189" cm="1">
        <f t="array" aca="1" ref="BC105" ca="1">IF(TblConstr[[#This Row],[Hour]:[Hour]]&gt;12,OFFSET(TblConstr[[#This Row],[Mas]],-12,0),0)+OFFSET(TblConstr[[#This Row],[Tot Mas]],-1,0)-TblConstr[[#This Row],[Dest Mas]]</f>
        <v>0</v>
      </c>
      <c r="BD105" s="190" cm="1">
        <f t="array" aca="1" ref="BD105" ca="1">IF(TblConstr[[#This Row],[Hour]:[Hour]]&gt;12,OFFSET(TblConstr[[#This Row],[Ly]],-12,0),0)+OFFSET(TblConstr[[#This Row],[Tot Ly]],-1,0)-TblConstr[[#This Row],[Dest Ly]]</f>
        <v>20</v>
      </c>
      <c r="BE105" s="190" cm="1">
        <f t="array" aca="1" ref="BE105" ca="1">IF(TblConstr[[#This Row],[Hour]:[Hour]]&gt;12,OFFSET(TblConstr[[#This Row],[Hav]],-12,0),0)+OFFSET(TblConstr[[#This Row],[Tot Hav]],-1,0)-TblConstr[[#This Row],[Dest Hav]]</f>
        <v>0</v>
      </c>
      <c r="BF105" s="361" cm="1">
        <f t="array" aca="1" ref="BF105" ca="1">IF(TblConstr[[#This Row],[Hour]:[Hour]]&gt;12,OFFSET(TblConstr[[#This Row],[OM]],-12,0),0)+OFFSET(TblConstr[[#This Row],[Tot OM]],-1,0)-TblConstr[[#This Row],[Dest OM]]</f>
        <v>0</v>
      </c>
      <c r="BG105" s="361" cm="1">
        <f t="array" aca="1" ref="BG105" ca="1">IF(TblConstr[[#This Row],[Hour]:[Hour]]&gt;12,OFFSET(TblConstr[[#This Row],[GN]],-12,0),0)+OFFSET(TblConstr[[#This Row],[Tot GN]],-1,0)-TblConstr[[#This Row],[Dest GN]]</f>
        <v>0</v>
      </c>
      <c r="BH105" s="365" cm="1">
        <f t="array" aca="1" ref="BH105" ca="1">IF(TblConstr[[#This Row],[Hour]:[Hour]]&gt;12,OFFSET(TblConstr[[#This Row],[Fac]],-12,0),0)+OFFSET(TblConstr[[#This Row],[Tot Fac]],-1,0)-TblConstr[[#This Row],[Dest Fac]]</f>
        <v>0</v>
      </c>
      <c r="BI105" s="365" cm="1">
        <f t="array" aca="1" ref="BI105" ca="1">IF(TblConstr[[#This Row],[Hour]:[Hour]]&gt;12,OFFSET(TblConstr[[#This Row],[GT]],-12,0),0)+OFFSET(TblConstr[[#This Row],[Tot GT]],-1,0)-TblConstr[[#This Row],[Dest GT]]</f>
        <v>0</v>
      </c>
      <c r="BJ105" s="365" cm="1">
        <f t="array" aca="1" ref="BJ105" ca="1">IF(TblConstr[[#This Row],[Hour]:[Hour]]&gt;12,OFFSET(TblConstr[[#This Row],[Bar]],-12,0),0)+OFFSET(TblConstr[[#This Row],[Tot Bar]],-1,0)-TblConstr[[#This Row],[Dest Bar]]</f>
        <v>0</v>
      </c>
      <c r="BK105" s="365" cm="1">
        <f t="array" aca="1" ref="BK105" ca="1">IF(TblConstr[[#This Row],[Hour]:[Hour]]&gt;12,OFFSET(TblConstr[[#This Row],[Shr]],-12,0),0)+OFFSET(TblConstr[[#This Row],[Tot Shr]],-1,0)-TblConstr[[#This Row],[Dest Shr]]</f>
        <v>0</v>
      </c>
      <c r="BL105" s="369" cm="1">
        <f t="array" aca="1" ref="BL105" ca="1">IF(TblConstr[[#This Row],[Hour]:[Hour]]&gt;12,OFFSET(TblConstr[[#This Row],[Tow]],-12,0),0)+OFFSET(TblConstr[[#This Row],[Tot Tow]],-1,0)-TblConstr[[#This Row],[Dest Tow]]</f>
        <v>0</v>
      </c>
      <c r="BM105" s="369" cm="1">
        <f t="array" aca="1" ref="BM105" ca="1">IF(TblConstr[[#This Row],[Hour]:[Hour]]&gt;12,OFFSET(TblConstr[[#This Row],[Tem]],-12,0),0)+OFFSET(TblConstr[[#This Row],[Tot Tem]],-1,0)-TblConstr[[#This Row],[Dest Tem]]</f>
        <v>0</v>
      </c>
      <c r="BN105" s="369" cm="1">
        <f t="array" aca="1" ref="BN105" ca="1">IF(TblConstr[[#This Row],[Hour]:[Hour]]&gt;12,OFFSET(TblConstr[[#This Row],[WG]],-12,0),0)+OFFSET(TblConstr[[#This Row],[Tot WG]],-1,0)-TblConstr[[#This Row],[Dest WG]]</f>
        <v>0</v>
      </c>
      <c r="BO105" s="191" cm="1">
        <f t="array" aca="1" ref="BO105" ca="1">IF(TblConstr[[#This Row],[Hour]:[Hour]]&gt;12,OFFSET(TblConstr[[#This Row],[DM]],-12,0),0)+OFFSET(TblConstr[[#This Row],[Tot DM]],-1,0)-TblConstr[[#This Row],[Dest DM]]</f>
        <v>0</v>
      </c>
      <c r="BP105" s="191" cm="1">
        <f t="array" aca="1" ref="BP105" ca="1">IF(TblConstr[[#This Row],[Hour]:[Hour]]&gt;12,OFFSET(TblConstr[[#This Row],[Sch]],-12,0),0)+OFFSET(TblConstr[[#This Row],[Tot Sch]],-1,0)-TblConstr[[#This Row],[Dest Sch]]</f>
        <v>0</v>
      </c>
      <c r="BQ105" s="192" cm="1">
        <f t="array" aca="1" ref="BQ105" ca="1">IF(TblConstr[[#This Row],[Hour]:[Hour]]&gt;12,OFFSET(TblConstr[[#This Row],[Doc]],-12,0),0)+OFFSET(TblConstr[[#This Row],[Tot Doc]],-1,0)-TblConstr[[#This Row],[Dest Doc]]</f>
        <v>0</v>
      </c>
      <c r="BR105" s="142"/>
      <c r="BS105" s="154"/>
      <c r="BT105" s="94">
        <f ca="1">TblConstr[[#This Row],[Land]]</f>
        <v>50</v>
      </c>
      <c r="BU105" s="159">
        <f ca="1">TblImps[[#This Row],[Time]]</f>
        <v>46324.208333333088</v>
      </c>
      <c r="BV105" s="142"/>
      <c r="BW105" s="179"/>
      <c r="BX105" s="179"/>
      <c r="BY105" s="179"/>
      <c r="BZ105" s="179"/>
      <c r="CA105" s="179"/>
      <c r="CB105" s="179"/>
      <c r="CC105" s="179"/>
      <c r="CD105" s="179"/>
      <c r="CE105" s="179"/>
      <c r="CF105" s="179"/>
      <c r="CG105" s="179"/>
      <c r="CH105" s="179"/>
      <c r="CI105" s="179"/>
      <c r="CJ105" s="179"/>
      <c r="CK105" s="179"/>
      <c r="CL105" s="179"/>
      <c r="CM105" s="179"/>
      <c r="CN105" s="179"/>
      <c r="CO105" s="179"/>
      <c r="CP105" s="142"/>
      <c r="CQ105" s="181">
        <f ca="1">-SUM(TblConstr[[#This Row],[Alc]:[Mas]])+SUM(TblConstr[[#This Row],[Dest Alc]:[Dest Mas]])+Rezone!L105+IF("Ch_"&amp; home_land=TblConstr[[#Headers],[Ch_Plain]],TblConstr[[#This Row],[Home Land]])+IF(TblConstr[[#This Row],[Hour]:[Hour]]&gt;12,OFFSET(TblExplore[[#This Row],[Plains Explore]],-12,0),0)</f>
        <v>0</v>
      </c>
      <c r="CR105" s="182">
        <f ca="1">-SUM(TblConstr[[#This Row],[Ly]:[Hav]])+SUM(TblConstr[[#This Row],[Dest Ly]:[Dest Hav]]) +Rezone!M105 + IF("Ch_"&amp; home_land=TblConstr[[#Headers],[Ch_Forest]],TblConstr[[#This Row],[Home Land]])+IF(TblConstr[[#This Row],[Hour]:[Hour]]&gt;12,OFFSET(TblExplore[[#This Row],[Forest Explore]],-12,0),0)</f>
        <v>0</v>
      </c>
      <c r="CS105" s="359">
        <f ca="1">-SUM(TblConstr[[#This Row],[OM]:[GN]])+SUM(TblConstr[[#This Row],[Dest OM]:[Dest GN]]) +Rezone!N105 + IF("Ch_"&amp; home_land=TblConstr[[#Headers],[Ch_Mountain]],TblConstr[[#This Row],[Home Land]])+IF(TblConstr[[#This Row],[Hour]:[Hour]]&gt;12,OFFSET(TblExplore[[#This Row],[Mountain Explore]],-12,0),0)</f>
        <v>0</v>
      </c>
      <c r="CT105" s="183">
        <f ca="1">-SUM(TblConstr[[#This Row],[Fac]:[Shr]])+SUM(TblConstr[[#This Row],[Dest Fac]:[Dest Shr]]) +Rezone!O105 + IF("Ch_" &amp; home_land=TblConstr[[#Headers],[Ch_Hill]],TblConstr[[#This Row],[Home Land]])+IF(TblConstr[[#This Row],[Hour]:[Hour]]&gt;12,OFFSET(TblExplore[[#This Row],[Hill Explore]],-12,0),0)</f>
        <v>0</v>
      </c>
      <c r="CU105" s="184">
        <f ca="1">-SUM(TblConstr[[#This Row],[Tow]:[WG]])+SUM(TblConstr[[#This Row],[Dest Tow]:[Dest WG]]) +Rezone!P105 + IF("Ch_" &amp; home_land=TblConstr[[#Headers],[Ch_Swamp]],TblConstr[[#This Row],[Home Land]])+IF(TblConstr[[#This Row],[Hour]:[Hour]]&gt;12,OFFSET(TblExplore[[#This Row],[Swamp Explore]],-12,0),0)</f>
        <v>0</v>
      </c>
      <c r="CV105" s="185">
        <f ca="1" xml:space="preserve"> - SUM(TblConstr[[#This Row],[DM]:[Sch]])+SUM(TblConstr[[#This Row],[Dest DM]:[Dest Sch]]) +Rezone!Q105 + IF("Ch_" &amp; home_land=TblConstr[[#Headers],[Ch_Cavern]],TblConstr[[#This Row],[Home Land]])+IF(TblConstr[[#This Row],[Hour]:[Hour]]&gt;12,OFFSET(TblExplore[[#This Row],[Cavern Explore]],-12,0),0)</f>
        <v>0</v>
      </c>
      <c r="CW105" s="186">
        <f ca="1">-TblConstr[[#This Row],[Doc]]+TblConstr[[#This Row],[Dest Doc]] +Rezone!R105 + IF("Ch_" &amp; home_land=TblConstr[[#Headers],[Ch_Water]],TblConstr[[#This Row],[Home Land]])+IF(TblConstr[[#This Row],[Hour]:[Hour]]&gt;12,OFFSET(TblExplore[[#This Row],[Water Explore]],-12,0),0)</f>
        <v>0</v>
      </c>
      <c r="CX105" s="45">
        <f>IF(Explore!S105=1,20) - TblConstr[[#This Row],[Hom]] + TblConstr[[#This Row],[Dest Hom]]</f>
        <v>0</v>
      </c>
      <c r="CY105" s="142"/>
      <c r="CZ105" s="94">
        <f t="shared" ca="1" si="23"/>
        <v>30</v>
      </c>
      <c r="DA105" s="94">
        <f t="shared" ca="1" si="24"/>
        <v>20</v>
      </c>
      <c r="DB105" s="45">
        <f t="shared" ca="1" si="25"/>
        <v>0</v>
      </c>
      <c r="DC105" s="94">
        <f t="shared" ca="1" si="26"/>
        <v>0</v>
      </c>
      <c r="DD105" s="94">
        <f t="shared" ca="1" si="27"/>
        <v>0</v>
      </c>
      <c r="DE105" s="45">
        <f t="shared" ca="1" si="28"/>
        <v>0</v>
      </c>
      <c r="DF105" s="94">
        <f t="shared" ca="1" si="29"/>
        <v>0</v>
      </c>
      <c r="DG105" s="94" cm="1">
        <f t="array" aca="1" ref="DG105" ca="1">INDEX(TblConstr[[Total Plain]:[Total Water]],ROW()-ROW(TblConstr[#Headers]),MATCH("Total "&amp;home_land,TblConstr[[#Headers],[Total Plain]:[Total Water]],0))+TblConstr[[#This Row],[Homes]]</f>
        <v>30</v>
      </c>
      <c r="DH105" s="45">
        <f t="shared" ca="1" si="22"/>
        <v>0</v>
      </c>
      <c r="DI105" s="45">
        <f t="shared" ca="1" si="19"/>
        <v>0</v>
      </c>
      <c r="DJ105" s="45">
        <f t="shared" ca="1" si="20"/>
        <v>0</v>
      </c>
    </row>
    <row r="106" spans="1:114" x14ac:dyDescent="0.2">
      <c r="A106" s="175">
        <f>TblRezone[[#This Row],[Hour]]</f>
        <v>103</v>
      </c>
      <c r="B106" s="176">
        <f ca="1">SUM(TblConstr[[#This Row],[Plain]:[Water]])</f>
        <v>0</v>
      </c>
      <c r="C106" s="177">
        <f ca="1">SUM(TblConstr[[#This Row],[Tot Hom]:[Tot Doc]])</f>
        <v>50</v>
      </c>
      <c r="D106" s="177">
        <f t="shared" si="21"/>
        <v>0</v>
      </c>
      <c r="E106" s="178"/>
      <c r="F106" s="61">
        <f ca="1">TblConstr[[#This Row],[Barren]]+TblConstr[[#This Row],[Buildings]]+TblConstr[[#This Row],[Incoming]]</f>
        <v>50</v>
      </c>
      <c r="G106" s="187">
        <f ca="1">OFFSET(TblConstr[[#This Row],[Plain]],-1,0)+TblConstr[[#This Row],[Ch_Plain]]</f>
        <v>0</v>
      </c>
      <c r="H106" s="182">
        <f ca="1">OFFSET(TblConstr[[#This Row],[Forest]],-1,0)+TblConstr[[#This Row],[Ch_Forest]]</f>
        <v>0</v>
      </c>
      <c r="I106" s="359">
        <f ca="1">OFFSET(TblConstr[[#This Row],[Mountain]],-1,0)+TblConstr[[#This Row],[Ch_Mountain]]</f>
        <v>0</v>
      </c>
      <c r="J106" s="363">
        <f ca="1">OFFSET(TblConstr[[#This Row],[Hill]],-1,0)+TblConstr[[#This Row],[Ch_Hill]]</f>
        <v>0</v>
      </c>
      <c r="K106" s="367">
        <f ca="1">OFFSET(TblConstr[[#This Row],[Swamp]],-1,0)+TblConstr[[#This Row],[Ch_Swamp]]</f>
        <v>0</v>
      </c>
      <c r="L106" s="185">
        <f ca="1">OFFSET(TblConstr[[#This Row],[Cavern]],-1,0)+TblConstr[[#This Row],[Ch_Cavern]]</f>
        <v>0</v>
      </c>
      <c r="M106" s="186">
        <f ca="1">OFFSET(TblConstr[[#This Row],[Water]],-1,0)+TblConstr[[#This Row],[Ch_Water]]</f>
        <v>0</v>
      </c>
      <c r="N106" s="357">
        <f>TblRezone[[#This Row],[Hour]]</f>
        <v>103</v>
      </c>
      <c r="O106" s="179"/>
      <c r="P106" s="179"/>
      <c r="Q106" s="179"/>
      <c r="R106" s="179"/>
      <c r="S106" s="179"/>
      <c r="T106" s="179"/>
      <c r="U106" s="179"/>
      <c r="V106" s="179"/>
      <c r="W106" s="179"/>
      <c r="X106" s="179"/>
      <c r="Y106" s="179"/>
      <c r="Z106" s="179"/>
      <c r="AA106" s="179"/>
      <c r="AB106" s="179"/>
      <c r="AC106" s="179"/>
      <c r="AD106" s="179"/>
      <c r="AE106" s="179"/>
      <c r="AF106" s="179"/>
      <c r="AG106" s="179"/>
      <c r="AH106" s="53">
        <f ca="1">TblImps[[#This Row],[Time]]</f>
        <v>46324.249999999753</v>
      </c>
      <c r="AI106" s="180">
        <f ca="1">MIN(25%,(TblConstr[[#This Row],[Tot Fac]]+TblConstr[[#This Row],[Dest Fac]])/(TblConstr[[#This Row],[Land]]-TblExplore[[#This Row],[Land Bonus]]*20))</f>
        <v>0</v>
      </c>
      <c r="AJ106" s="180">
        <f ca="1">MIN(25%,(TblConstr[[#This Row],[Tot Fac]]+TblConstr[[#This Row],[Dest Fac]])/TblConstr[[#This Row],[Land]])</f>
        <v>0</v>
      </c>
      <c r="AK106" s="94">
        <f ca="1">TblProd[[#This Row],[Platinum]]</f>
        <v>201505</v>
      </c>
      <c r="AL106" s="94">
        <f ca="1">TblProd[[#This Row],[Lumber]]</f>
        <v>69504</v>
      </c>
      <c r="AM10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6" s="94">
        <f ca="1">ROUNDDOWN( MAX(1 - MIN(facs_constr_factor*TblConstr[[#This Row],[Facs -DB]],facs_constr_max) + tech_1_11*TblTech[[#This Row],[11-1]] + tech_6_3_2*TblTech[[#This Row],[6-3]] + tech_5_2_3*TblTech[[#This Row],[5-2]], 1-global_constr_cap) * TblConstr[[#This Row],[RCPA Lumber]],0)</f>
        <v>31</v>
      </c>
      <c r="AO10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6" s="94">
        <f ca="1">ROUNDDOWN( MAX(1 - MIN(facs_constr_factor*TblConstr[[#This Row],[Facs DB]],facs_constr_max) + tech_1_11*TblTech[[#This Row],[1-11]] + tech_6_3_2*TblTech[[#This Row],[6-3]] + tech_5_2_3*TblTech[[#This Row],[5-2]], 1-global_constr_cap) * ROUND((TblConstr[[#This Row],[Land]]-250)*0.285 + 87.5 + 0/4.25,0),0)</f>
        <v>31</v>
      </c>
      <c r="AQ106" s="45">
        <f ca="1">TblConstr[[#This Row],[build -db]]*TblConstr[[#This Row],[CPA Platinum -DB]] + TblConstr[[#This Row],[build db]]*TblConstr[[#This Row],[CPA Platinum DB]]</f>
        <v>0</v>
      </c>
      <c r="AR106" s="45">
        <f ca="1">TblConstr[[#This Row],[build -db]]*TblConstr[[#This Row],[CPA Lumber -DB]] + TblConstr[[#This Row],[build db]]*TblConstr[[#This Row],[CPA Lumber DB]]</f>
        <v>0</v>
      </c>
      <c r="AS106" s="94">
        <f ca="1">MIN(SUM(OFFSET(TblConstr[[#This Row],[Plain]:[Water]],-1,0))+SUM(TblConstr[[#This Row],[Dest Hom]:[Dest Doc]])+IF(TblConstr[[#This Row],[Hour]]&gt;12,SUM(OFFSET(TblExplore[[#This Row],[Plains Explore]:[Water Explore]],-12,0)),0),SUM(TblConstr[[#This Row],[Hom]:[Doc]]))</f>
        <v>0</v>
      </c>
      <c r="AT10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42"/>
      <c r="AV106" s="94">
        <f ca="1">ROUND((TblConstr[[#This Row],[Land]]-250 - IF(TblExplore[[#This Row],[Land Bonus]]&lt;&gt;0,20,0))*1.25 + 850 + 0,0)</f>
        <v>600</v>
      </c>
      <c r="AW106" s="94">
        <f ca="1">ROUND((TblConstr[[#This Row],[Land]]-250 - IF(TblExplore[[#This Row],[Land Bonus]]&lt;&gt;0,20,0))*0.285 + 87.5 + 0/4.25,0)</f>
        <v>31</v>
      </c>
      <c r="AX106" s="154"/>
      <c r="AY106" s="188" cm="1">
        <f t="array" aca="1" ref="AY106" ca="1">IF(TblConstr[[#This Row],[Hour]:[Hour]]&gt;12,OFFSET(TblConstr[[#This Row],[Hom]],-12,0),0)+OFFSET(TblConstr[[#This Row],[Tot Hom]],-1,0)-TblConstr[[#This Row],[Dest Hom]]</f>
        <v>0</v>
      </c>
      <c r="AZ106" s="189" cm="1">
        <f t="array" aca="1" ref="AZ106" ca="1">IF(TblConstr[[#This Row],[Hour]:[Hour]]&gt;12,OFFSET(TblConstr[[#This Row],[Alc]],-12,0),0)+OFFSET(TblConstr[[#This Row],[Tot Alc]],-1,0)-TblConstr[[#This Row],[Dest Alc]]</f>
        <v>0</v>
      </c>
      <c r="BA106" s="189" cm="1">
        <f t="array" aca="1" ref="BA106" ca="1">IF(TblConstr[[#This Row],[Hour]:[Hour]]&gt;12,OFFSET(TblConstr[[#This Row],[Far]],-12,0),0)+OFFSET(TblConstr[[#This Row],[Tot Farm]],-1,0)-TblConstr[[#This Row],[Dest Farm]]</f>
        <v>30</v>
      </c>
      <c r="BB106" s="189" cm="1">
        <f t="array" aca="1" ref="BB106" ca="1">IF(TblConstr[[#This Row],[Hour]:[Hour]]&gt;12,OFFSET(TblConstr[[#This Row],[Smi]],-12,0),0)+OFFSET(TblConstr[[#This Row],[Tot Smi]],-1,0)-TblConstr[[#This Row],[Dest Smi]]</f>
        <v>0</v>
      </c>
      <c r="BC106" s="189" cm="1">
        <f t="array" aca="1" ref="BC106" ca="1">IF(TblConstr[[#This Row],[Hour]:[Hour]]&gt;12,OFFSET(TblConstr[[#This Row],[Mas]],-12,0),0)+OFFSET(TblConstr[[#This Row],[Tot Mas]],-1,0)-TblConstr[[#This Row],[Dest Mas]]</f>
        <v>0</v>
      </c>
      <c r="BD106" s="190" cm="1">
        <f t="array" aca="1" ref="BD106" ca="1">IF(TblConstr[[#This Row],[Hour]:[Hour]]&gt;12,OFFSET(TblConstr[[#This Row],[Ly]],-12,0),0)+OFFSET(TblConstr[[#This Row],[Tot Ly]],-1,0)-TblConstr[[#This Row],[Dest Ly]]</f>
        <v>20</v>
      </c>
      <c r="BE106" s="190" cm="1">
        <f t="array" aca="1" ref="BE106" ca="1">IF(TblConstr[[#This Row],[Hour]:[Hour]]&gt;12,OFFSET(TblConstr[[#This Row],[Hav]],-12,0),0)+OFFSET(TblConstr[[#This Row],[Tot Hav]],-1,0)-TblConstr[[#This Row],[Dest Hav]]</f>
        <v>0</v>
      </c>
      <c r="BF106" s="361" cm="1">
        <f t="array" aca="1" ref="BF106" ca="1">IF(TblConstr[[#This Row],[Hour]:[Hour]]&gt;12,OFFSET(TblConstr[[#This Row],[OM]],-12,0),0)+OFFSET(TblConstr[[#This Row],[Tot OM]],-1,0)-TblConstr[[#This Row],[Dest OM]]</f>
        <v>0</v>
      </c>
      <c r="BG106" s="361" cm="1">
        <f t="array" aca="1" ref="BG106" ca="1">IF(TblConstr[[#This Row],[Hour]:[Hour]]&gt;12,OFFSET(TblConstr[[#This Row],[GN]],-12,0),0)+OFFSET(TblConstr[[#This Row],[Tot GN]],-1,0)-TblConstr[[#This Row],[Dest GN]]</f>
        <v>0</v>
      </c>
      <c r="BH106" s="365" cm="1">
        <f t="array" aca="1" ref="BH106" ca="1">IF(TblConstr[[#This Row],[Hour]:[Hour]]&gt;12,OFFSET(TblConstr[[#This Row],[Fac]],-12,0),0)+OFFSET(TblConstr[[#This Row],[Tot Fac]],-1,0)-TblConstr[[#This Row],[Dest Fac]]</f>
        <v>0</v>
      </c>
      <c r="BI106" s="365" cm="1">
        <f t="array" aca="1" ref="BI106" ca="1">IF(TblConstr[[#This Row],[Hour]:[Hour]]&gt;12,OFFSET(TblConstr[[#This Row],[GT]],-12,0),0)+OFFSET(TblConstr[[#This Row],[Tot GT]],-1,0)-TblConstr[[#This Row],[Dest GT]]</f>
        <v>0</v>
      </c>
      <c r="BJ106" s="365" cm="1">
        <f t="array" aca="1" ref="BJ106" ca="1">IF(TblConstr[[#This Row],[Hour]:[Hour]]&gt;12,OFFSET(TblConstr[[#This Row],[Bar]],-12,0),0)+OFFSET(TblConstr[[#This Row],[Tot Bar]],-1,0)-TblConstr[[#This Row],[Dest Bar]]</f>
        <v>0</v>
      </c>
      <c r="BK106" s="365" cm="1">
        <f t="array" aca="1" ref="BK106" ca="1">IF(TblConstr[[#This Row],[Hour]:[Hour]]&gt;12,OFFSET(TblConstr[[#This Row],[Shr]],-12,0),0)+OFFSET(TblConstr[[#This Row],[Tot Shr]],-1,0)-TblConstr[[#This Row],[Dest Shr]]</f>
        <v>0</v>
      </c>
      <c r="BL106" s="369" cm="1">
        <f t="array" aca="1" ref="BL106" ca="1">IF(TblConstr[[#This Row],[Hour]:[Hour]]&gt;12,OFFSET(TblConstr[[#This Row],[Tow]],-12,0),0)+OFFSET(TblConstr[[#This Row],[Tot Tow]],-1,0)-TblConstr[[#This Row],[Dest Tow]]</f>
        <v>0</v>
      </c>
      <c r="BM106" s="369" cm="1">
        <f t="array" aca="1" ref="BM106" ca="1">IF(TblConstr[[#This Row],[Hour]:[Hour]]&gt;12,OFFSET(TblConstr[[#This Row],[Tem]],-12,0),0)+OFFSET(TblConstr[[#This Row],[Tot Tem]],-1,0)-TblConstr[[#This Row],[Dest Tem]]</f>
        <v>0</v>
      </c>
      <c r="BN106" s="369" cm="1">
        <f t="array" aca="1" ref="BN106" ca="1">IF(TblConstr[[#This Row],[Hour]:[Hour]]&gt;12,OFFSET(TblConstr[[#This Row],[WG]],-12,0),0)+OFFSET(TblConstr[[#This Row],[Tot WG]],-1,0)-TblConstr[[#This Row],[Dest WG]]</f>
        <v>0</v>
      </c>
      <c r="BO106" s="191" cm="1">
        <f t="array" aca="1" ref="BO106" ca="1">IF(TblConstr[[#This Row],[Hour]:[Hour]]&gt;12,OFFSET(TblConstr[[#This Row],[DM]],-12,0),0)+OFFSET(TblConstr[[#This Row],[Tot DM]],-1,0)-TblConstr[[#This Row],[Dest DM]]</f>
        <v>0</v>
      </c>
      <c r="BP106" s="191" cm="1">
        <f t="array" aca="1" ref="BP106" ca="1">IF(TblConstr[[#This Row],[Hour]:[Hour]]&gt;12,OFFSET(TblConstr[[#This Row],[Sch]],-12,0),0)+OFFSET(TblConstr[[#This Row],[Tot Sch]],-1,0)-TblConstr[[#This Row],[Dest Sch]]</f>
        <v>0</v>
      </c>
      <c r="BQ106" s="192" cm="1">
        <f t="array" aca="1" ref="BQ106" ca="1">IF(TblConstr[[#This Row],[Hour]:[Hour]]&gt;12,OFFSET(TblConstr[[#This Row],[Doc]],-12,0),0)+OFFSET(TblConstr[[#This Row],[Tot Doc]],-1,0)-TblConstr[[#This Row],[Dest Doc]]</f>
        <v>0</v>
      </c>
      <c r="BR106" s="142"/>
      <c r="BS106" s="154"/>
      <c r="BT106" s="94">
        <f ca="1">TblConstr[[#This Row],[Land]]</f>
        <v>50</v>
      </c>
      <c r="BU106" s="159">
        <f ca="1">TblImps[[#This Row],[Time]]</f>
        <v>46324.249999999753</v>
      </c>
      <c r="BV106" s="142"/>
      <c r="BW106" s="179"/>
      <c r="BX106" s="179"/>
      <c r="BY106" s="179"/>
      <c r="BZ106" s="179"/>
      <c r="CA106" s="179"/>
      <c r="CB106" s="179"/>
      <c r="CC106" s="179"/>
      <c r="CD106" s="179"/>
      <c r="CE106" s="179"/>
      <c r="CF106" s="179"/>
      <c r="CG106" s="179"/>
      <c r="CH106" s="179"/>
      <c r="CI106" s="179"/>
      <c r="CJ106" s="179"/>
      <c r="CK106" s="179"/>
      <c r="CL106" s="179"/>
      <c r="CM106" s="179"/>
      <c r="CN106" s="179"/>
      <c r="CO106" s="179"/>
      <c r="CP106" s="142"/>
      <c r="CQ106" s="181">
        <f ca="1">-SUM(TblConstr[[#This Row],[Alc]:[Mas]])+SUM(TblConstr[[#This Row],[Dest Alc]:[Dest Mas]])+Rezone!L106+IF("Ch_"&amp; home_land=TblConstr[[#Headers],[Ch_Plain]],TblConstr[[#This Row],[Home Land]])+IF(TblConstr[[#This Row],[Hour]:[Hour]]&gt;12,OFFSET(TblExplore[[#This Row],[Plains Explore]],-12,0),0)</f>
        <v>0</v>
      </c>
      <c r="CR106" s="182">
        <f ca="1">-SUM(TblConstr[[#This Row],[Ly]:[Hav]])+SUM(TblConstr[[#This Row],[Dest Ly]:[Dest Hav]]) +Rezone!M106 + IF("Ch_"&amp; home_land=TblConstr[[#Headers],[Ch_Forest]],TblConstr[[#This Row],[Home Land]])+IF(TblConstr[[#This Row],[Hour]:[Hour]]&gt;12,OFFSET(TblExplore[[#This Row],[Forest Explore]],-12,0),0)</f>
        <v>0</v>
      </c>
      <c r="CS106" s="359">
        <f ca="1">-SUM(TblConstr[[#This Row],[OM]:[GN]])+SUM(TblConstr[[#This Row],[Dest OM]:[Dest GN]]) +Rezone!N106 + IF("Ch_"&amp; home_land=TblConstr[[#Headers],[Ch_Mountain]],TblConstr[[#This Row],[Home Land]])+IF(TblConstr[[#This Row],[Hour]:[Hour]]&gt;12,OFFSET(TblExplore[[#This Row],[Mountain Explore]],-12,0),0)</f>
        <v>0</v>
      </c>
      <c r="CT106" s="183">
        <f ca="1">-SUM(TblConstr[[#This Row],[Fac]:[Shr]])+SUM(TblConstr[[#This Row],[Dest Fac]:[Dest Shr]]) +Rezone!O106 + IF("Ch_" &amp; home_land=TblConstr[[#Headers],[Ch_Hill]],TblConstr[[#This Row],[Home Land]])+IF(TblConstr[[#This Row],[Hour]:[Hour]]&gt;12,OFFSET(TblExplore[[#This Row],[Hill Explore]],-12,0),0)</f>
        <v>0</v>
      </c>
      <c r="CU106" s="184">
        <f ca="1">-SUM(TblConstr[[#This Row],[Tow]:[WG]])+SUM(TblConstr[[#This Row],[Dest Tow]:[Dest WG]]) +Rezone!P106 + IF("Ch_" &amp; home_land=TblConstr[[#Headers],[Ch_Swamp]],TblConstr[[#This Row],[Home Land]])+IF(TblConstr[[#This Row],[Hour]:[Hour]]&gt;12,OFFSET(TblExplore[[#This Row],[Swamp Explore]],-12,0),0)</f>
        <v>0</v>
      </c>
      <c r="CV106" s="185">
        <f ca="1" xml:space="preserve"> - SUM(TblConstr[[#This Row],[DM]:[Sch]])+SUM(TblConstr[[#This Row],[Dest DM]:[Dest Sch]]) +Rezone!Q106 + IF("Ch_" &amp; home_land=TblConstr[[#Headers],[Ch_Cavern]],TblConstr[[#This Row],[Home Land]])+IF(TblConstr[[#This Row],[Hour]:[Hour]]&gt;12,OFFSET(TblExplore[[#This Row],[Cavern Explore]],-12,0),0)</f>
        <v>0</v>
      </c>
      <c r="CW106" s="186">
        <f ca="1">-TblConstr[[#This Row],[Doc]]+TblConstr[[#This Row],[Dest Doc]] +Rezone!R106 + IF("Ch_" &amp; home_land=TblConstr[[#Headers],[Ch_Water]],TblConstr[[#This Row],[Home Land]])+IF(TblConstr[[#This Row],[Hour]:[Hour]]&gt;12,OFFSET(TblExplore[[#This Row],[Water Explore]],-12,0),0)</f>
        <v>0</v>
      </c>
      <c r="CX106" s="45">
        <f>IF(Explore!S106=1,20) - TblConstr[[#This Row],[Hom]] + TblConstr[[#This Row],[Dest Hom]]</f>
        <v>0</v>
      </c>
      <c r="CY106" s="142"/>
      <c r="CZ106" s="94">
        <f t="shared" ca="1" si="23"/>
        <v>30</v>
      </c>
      <c r="DA106" s="94">
        <f t="shared" ca="1" si="24"/>
        <v>20</v>
      </c>
      <c r="DB106" s="45">
        <f t="shared" ca="1" si="25"/>
        <v>0</v>
      </c>
      <c r="DC106" s="94">
        <f t="shared" ca="1" si="26"/>
        <v>0</v>
      </c>
      <c r="DD106" s="94">
        <f t="shared" ca="1" si="27"/>
        <v>0</v>
      </c>
      <c r="DE106" s="45">
        <f t="shared" ca="1" si="28"/>
        <v>0</v>
      </c>
      <c r="DF106" s="94">
        <f t="shared" ca="1" si="29"/>
        <v>0</v>
      </c>
      <c r="DG106" s="94" cm="1">
        <f t="array" aca="1" ref="DG106" ca="1">INDEX(TblConstr[[Total Plain]:[Total Water]],ROW()-ROW(TblConstr[#Headers]),MATCH("Total "&amp;home_land,TblConstr[[#Headers],[Total Plain]:[Total Water]],0))+TblConstr[[#This Row],[Homes]]</f>
        <v>30</v>
      </c>
      <c r="DH106" s="45">
        <f t="shared" ca="1" si="22"/>
        <v>0</v>
      </c>
      <c r="DI106" s="45">
        <f t="shared" ca="1" si="19"/>
        <v>0</v>
      </c>
      <c r="DJ106" s="45">
        <f t="shared" ca="1" si="20"/>
        <v>0</v>
      </c>
    </row>
    <row r="107" spans="1:114" x14ac:dyDescent="0.2">
      <c r="A107" s="175">
        <f>TblRezone[[#This Row],[Hour]]</f>
        <v>104</v>
      </c>
      <c r="B107" s="176">
        <f ca="1">SUM(TblConstr[[#This Row],[Plain]:[Water]])</f>
        <v>0</v>
      </c>
      <c r="C107" s="177">
        <f ca="1">SUM(TblConstr[[#This Row],[Tot Hom]:[Tot Doc]])</f>
        <v>50</v>
      </c>
      <c r="D107" s="177">
        <f t="shared" si="21"/>
        <v>0</v>
      </c>
      <c r="E107" s="178"/>
      <c r="F107" s="61">
        <f ca="1">TblConstr[[#This Row],[Barren]]+TblConstr[[#This Row],[Buildings]]+TblConstr[[#This Row],[Incoming]]</f>
        <v>50</v>
      </c>
      <c r="G107" s="187">
        <f ca="1">OFFSET(TblConstr[[#This Row],[Plain]],-1,0)+TblConstr[[#This Row],[Ch_Plain]]</f>
        <v>0</v>
      </c>
      <c r="H107" s="182">
        <f ca="1">OFFSET(TblConstr[[#This Row],[Forest]],-1,0)+TblConstr[[#This Row],[Ch_Forest]]</f>
        <v>0</v>
      </c>
      <c r="I107" s="359">
        <f ca="1">OFFSET(TblConstr[[#This Row],[Mountain]],-1,0)+TblConstr[[#This Row],[Ch_Mountain]]</f>
        <v>0</v>
      </c>
      <c r="J107" s="363">
        <f ca="1">OFFSET(TblConstr[[#This Row],[Hill]],-1,0)+TblConstr[[#This Row],[Ch_Hill]]</f>
        <v>0</v>
      </c>
      <c r="K107" s="367">
        <f ca="1">OFFSET(TblConstr[[#This Row],[Swamp]],-1,0)+TblConstr[[#This Row],[Ch_Swamp]]</f>
        <v>0</v>
      </c>
      <c r="L107" s="185">
        <f ca="1">OFFSET(TblConstr[[#This Row],[Cavern]],-1,0)+TblConstr[[#This Row],[Ch_Cavern]]</f>
        <v>0</v>
      </c>
      <c r="M107" s="186">
        <f ca="1">OFFSET(TblConstr[[#This Row],[Water]],-1,0)+TblConstr[[#This Row],[Ch_Water]]</f>
        <v>0</v>
      </c>
      <c r="N107" s="357">
        <f>TblRezone[[#This Row],[Hour]]</f>
        <v>104</v>
      </c>
      <c r="O107" s="179"/>
      <c r="P107" s="179"/>
      <c r="Q107" s="179"/>
      <c r="R107" s="179"/>
      <c r="S107" s="179"/>
      <c r="T107" s="179"/>
      <c r="U107" s="179"/>
      <c r="V107" s="179"/>
      <c r="W107" s="179"/>
      <c r="X107" s="158"/>
      <c r="Y107" s="179"/>
      <c r="Z107" s="179"/>
      <c r="AA107" s="179"/>
      <c r="AB107" s="179"/>
      <c r="AC107" s="179"/>
      <c r="AD107" s="179"/>
      <c r="AE107" s="179"/>
      <c r="AF107" s="179"/>
      <c r="AG107" s="179"/>
      <c r="AH107" s="53">
        <f ca="1">TblImps[[#This Row],[Time]]</f>
        <v>46324.291666666417</v>
      </c>
      <c r="AI107" s="180">
        <f ca="1">MIN(25%,(TblConstr[[#This Row],[Tot Fac]]+TblConstr[[#This Row],[Dest Fac]])/(TblConstr[[#This Row],[Land]]-TblExplore[[#This Row],[Land Bonus]]*20))</f>
        <v>0</v>
      </c>
      <c r="AJ107" s="180">
        <f ca="1">MIN(25%,(TblConstr[[#This Row],[Tot Fac]]+TblConstr[[#This Row],[Dest Fac]])/TblConstr[[#This Row],[Land]])</f>
        <v>0</v>
      </c>
      <c r="AK107" s="94">
        <f ca="1">TblProd[[#This Row],[Platinum]]</f>
        <v>201961</v>
      </c>
      <c r="AL107" s="94">
        <f ca="1">TblProd[[#This Row],[Lumber]]</f>
        <v>69809</v>
      </c>
      <c r="AM10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7" s="94">
        <f ca="1">ROUNDDOWN( MAX(1 - MIN(facs_constr_factor*TblConstr[[#This Row],[Facs -DB]],facs_constr_max) + tech_1_11*TblTech[[#This Row],[11-1]] + tech_6_3_2*TblTech[[#This Row],[6-3]] + tech_5_2_3*TblTech[[#This Row],[5-2]], 1-global_constr_cap) * TblConstr[[#This Row],[RCPA Lumber]],0)</f>
        <v>31</v>
      </c>
      <c r="AO10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7" s="94">
        <f ca="1">ROUNDDOWN( MAX(1 - MIN(facs_constr_factor*TblConstr[[#This Row],[Facs DB]],facs_constr_max) + tech_1_11*TblTech[[#This Row],[1-11]] + tech_6_3_2*TblTech[[#This Row],[6-3]] + tech_5_2_3*TblTech[[#This Row],[5-2]], 1-global_constr_cap) * ROUND((TblConstr[[#This Row],[Land]]-250)*0.285 + 87.5 + 0/4.25,0),0)</f>
        <v>31</v>
      </c>
      <c r="AQ107" s="45">
        <f ca="1">TblConstr[[#This Row],[build -db]]*TblConstr[[#This Row],[CPA Platinum -DB]] + TblConstr[[#This Row],[build db]]*TblConstr[[#This Row],[CPA Platinum DB]]</f>
        <v>0</v>
      </c>
      <c r="AR107" s="45">
        <f ca="1">TblConstr[[#This Row],[build -db]]*TblConstr[[#This Row],[CPA Lumber -DB]] + TblConstr[[#This Row],[build db]]*TblConstr[[#This Row],[CPA Lumber DB]]</f>
        <v>0</v>
      </c>
      <c r="AS107" s="94">
        <f ca="1">MIN(SUM(OFFSET(TblConstr[[#This Row],[Plain]:[Water]],-1,0))+SUM(TblConstr[[#This Row],[Dest Hom]:[Dest Doc]])+IF(TblConstr[[#This Row],[Hour]]&gt;12,SUM(OFFSET(TblExplore[[#This Row],[Plains Explore]:[Water Explore]],-12,0)),0),SUM(TblConstr[[#This Row],[Hom]:[Doc]]))</f>
        <v>0</v>
      </c>
      <c r="AT10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42"/>
      <c r="AV107" s="94">
        <f ca="1">ROUND((TblConstr[[#This Row],[Land]]-250 - IF(TblExplore[[#This Row],[Land Bonus]]&lt;&gt;0,20,0))*1.25 + 850 + 0,0)</f>
        <v>600</v>
      </c>
      <c r="AW107" s="94">
        <f ca="1">ROUND((TblConstr[[#This Row],[Land]]-250 - IF(TblExplore[[#This Row],[Land Bonus]]&lt;&gt;0,20,0))*0.285 + 87.5 + 0/4.25,0)</f>
        <v>31</v>
      </c>
      <c r="AX107" s="154"/>
      <c r="AY107" s="188" cm="1">
        <f t="array" aca="1" ref="AY107" ca="1">IF(TblConstr[[#This Row],[Hour]:[Hour]]&gt;12,OFFSET(TblConstr[[#This Row],[Hom]],-12,0),0)+OFFSET(TblConstr[[#This Row],[Tot Hom]],-1,0)-TblConstr[[#This Row],[Dest Hom]]</f>
        <v>0</v>
      </c>
      <c r="AZ107" s="189" cm="1">
        <f t="array" aca="1" ref="AZ107" ca="1">IF(TblConstr[[#This Row],[Hour]:[Hour]]&gt;12,OFFSET(TblConstr[[#This Row],[Alc]],-12,0),0)+OFFSET(TblConstr[[#This Row],[Tot Alc]],-1,0)-TblConstr[[#This Row],[Dest Alc]]</f>
        <v>0</v>
      </c>
      <c r="BA107" s="189" cm="1">
        <f t="array" aca="1" ref="BA107" ca="1">IF(TblConstr[[#This Row],[Hour]:[Hour]]&gt;12,OFFSET(TblConstr[[#This Row],[Far]],-12,0),0)+OFFSET(TblConstr[[#This Row],[Tot Farm]],-1,0)-TblConstr[[#This Row],[Dest Farm]]</f>
        <v>30</v>
      </c>
      <c r="BB107" s="189" cm="1">
        <f t="array" aca="1" ref="BB107" ca="1">IF(TblConstr[[#This Row],[Hour]:[Hour]]&gt;12,OFFSET(TblConstr[[#This Row],[Smi]],-12,0),0)+OFFSET(TblConstr[[#This Row],[Tot Smi]],-1,0)-TblConstr[[#This Row],[Dest Smi]]</f>
        <v>0</v>
      </c>
      <c r="BC107" s="189" cm="1">
        <f t="array" aca="1" ref="BC107" ca="1">IF(TblConstr[[#This Row],[Hour]:[Hour]]&gt;12,OFFSET(TblConstr[[#This Row],[Mas]],-12,0),0)+OFFSET(TblConstr[[#This Row],[Tot Mas]],-1,0)-TblConstr[[#This Row],[Dest Mas]]</f>
        <v>0</v>
      </c>
      <c r="BD107" s="190" cm="1">
        <f t="array" aca="1" ref="BD107" ca="1">IF(TblConstr[[#This Row],[Hour]:[Hour]]&gt;12,OFFSET(TblConstr[[#This Row],[Ly]],-12,0),0)+OFFSET(TblConstr[[#This Row],[Tot Ly]],-1,0)-TblConstr[[#This Row],[Dest Ly]]</f>
        <v>20</v>
      </c>
      <c r="BE107" s="190" cm="1">
        <f t="array" aca="1" ref="BE107" ca="1">IF(TblConstr[[#This Row],[Hour]:[Hour]]&gt;12,OFFSET(TblConstr[[#This Row],[Hav]],-12,0),0)+OFFSET(TblConstr[[#This Row],[Tot Hav]],-1,0)-TblConstr[[#This Row],[Dest Hav]]</f>
        <v>0</v>
      </c>
      <c r="BF107" s="361" cm="1">
        <f t="array" aca="1" ref="BF107" ca="1">IF(TblConstr[[#This Row],[Hour]:[Hour]]&gt;12,OFFSET(TblConstr[[#This Row],[OM]],-12,0),0)+OFFSET(TblConstr[[#This Row],[Tot OM]],-1,0)-TblConstr[[#This Row],[Dest OM]]</f>
        <v>0</v>
      </c>
      <c r="BG107" s="361" cm="1">
        <f t="array" aca="1" ref="BG107" ca="1">IF(TblConstr[[#This Row],[Hour]:[Hour]]&gt;12,OFFSET(TblConstr[[#This Row],[GN]],-12,0),0)+OFFSET(TblConstr[[#This Row],[Tot GN]],-1,0)-TblConstr[[#This Row],[Dest GN]]</f>
        <v>0</v>
      </c>
      <c r="BH107" s="365" cm="1">
        <f t="array" aca="1" ref="BH107" ca="1">IF(TblConstr[[#This Row],[Hour]:[Hour]]&gt;12,OFFSET(TblConstr[[#This Row],[Fac]],-12,0),0)+OFFSET(TblConstr[[#This Row],[Tot Fac]],-1,0)-TblConstr[[#This Row],[Dest Fac]]</f>
        <v>0</v>
      </c>
      <c r="BI107" s="365" cm="1">
        <f t="array" aca="1" ref="BI107" ca="1">IF(TblConstr[[#This Row],[Hour]:[Hour]]&gt;12,OFFSET(TblConstr[[#This Row],[GT]],-12,0),0)+OFFSET(TblConstr[[#This Row],[Tot GT]],-1,0)-TblConstr[[#This Row],[Dest GT]]</f>
        <v>0</v>
      </c>
      <c r="BJ107" s="365" cm="1">
        <f t="array" aca="1" ref="BJ107" ca="1">IF(TblConstr[[#This Row],[Hour]:[Hour]]&gt;12,OFFSET(TblConstr[[#This Row],[Bar]],-12,0),0)+OFFSET(TblConstr[[#This Row],[Tot Bar]],-1,0)-TblConstr[[#This Row],[Dest Bar]]</f>
        <v>0</v>
      </c>
      <c r="BK107" s="365" cm="1">
        <f t="array" aca="1" ref="BK107" ca="1">IF(TblConstr[[#This Row],[Hour]:[Hour]]&gt;12,OFFSET(TblConstr[[#This Row],[Shr]],-12,0),0)+OFFSET(TblConstr[[#This Row],[Tot Shr]],-1,0)-TblConstr[[#This Row],[Dest Shr]]</f>
        <v>0</v>
      </c>
      <c r="BL107" s="369" cm="1">
        <f t="array" aca="1" ref="BL107" ca="1">IF(TblConstr[[#This Row],[Hour]:[Hour]]&gt;12,OFFSET(TblConstr[[#This Row],[Tow]],-12,0),0)+OFFSET(TblConstr[[#This Row],[Tot Tow]],-1,0)-TblConstr[[#This Row],[Dest Tow]]</f>
        <v>0</v>
      </c>
      <c r="BM107" s="369" cm="1">
        <f t="array" aca="1" ref="BM107" ca="1">IF(TblConstr[[#This Row],[Hour]:[Hour]]&gt;12,OFFSET(TblConstr[[#This Row],[Tem]],-12,0),0)+OFFSET(TblConstr[[#This Row],[Tot Tem]],-1,0)-TblConstr[[#This Row],[Dest Tem]]</f>
        <v>0</v>
      </c>
      <c r="BN107" s="369" cm="1">
        <f t="array" aca="1" ref="BN107" ca="1">IF(TblConstr[[#This Row],[Hour]:[Hour]]&gt;12,OFFSET(TblConstr[[#This Row],[WG]],-12,0),0)+OFFSET(TblConstr[[#This Row],[Tot WG]],-1,0)-TblConstr[[#This Row],[Dest WG]]</f>
        <v>0</v>
      </c>
      <c r="BO107" s="191" cm="1">
        <f t="array" aca="1" ref="BO107" ca="1">IF(TblConstr[[#This Row],[Hour]:[Hour]]&gt;12,OFFSET(TblConstr[[#This Row],[DM]],-12,0),0)+OFFSET(TblConstr[[#This Row],[Tot DM]],-1,0)-TblConstr[[#This Row],[Dest DM]]</f>
        <v>0</v>
      </c>
      <c r="BP107" s="191" cm="1">
        <f t="array" aca="1" ref="BP107" ca="1">IF(TblConstr[[#This Row],[Hour]:[Hour]]&gt;12,OFFSET(TblConstr[[#This Row],[Sch]],-12,0),0)+OFFSET(TblConstr[[#This Row],[Tot Sch]],-1,0)-TblConstr[[#This Row],[Dest Sch]]</f>
        <v>0</v>
      </c>
      <c r="BQ107" s="192" cm="1">
        <f t="array" aca="1" ref="BQ107" ca="1">IF(TblConstr[[#This Row],[Hour]:[Hour]]&gt;12,OFFSET(TblConstr[[#This Row],[Doc]],-12,0),0)+OFFSET(TblConstr[[#This Row],[Tot Doc]],-1,0)-TblConstr[[#This Row],[Dest Doc]]</f>
        <v>0</v>
      </c>
      <c r="BR107" s="142"/>
      <c r="BS107" s="154"/>
      <c r="BT107" s="94">
        <f ca="1">TblConstr[[#This Row],[Land]]</f>
        <v>50</v>
      </c>
      <c r="BU107" s="159">
        <f ca="1">TblImps[[#This Row],[Time]]</f>
        <v>46324.291666666417</v>
      </c>
      <c r="BV107" s="142"/>
      <c r="BW107" s="179"/>
      <c r="BX107" s="179"/>
      <c r="BY107" s="179"/>
      <c r="BZ107" s="179"/>
      <c r="CA107" s="179"/>
      <c r="CB107" s="179"/>
      <c r="CC107" s="179"/>
      <c r="CD107" s="179"/>
      <c r="CE107" s="179"/>
      <c r="CF107" s="179"/>
      <c r="CG107" s="179"/>
      <c r="CH107" s="179"/>
      <c r="CI107" s="179"/>
      <c r="CJ107" s="179"/>
      <c r="CK107" s="179"/>
      <c r="CL107" s="179"/>
      <c r="CM107" s="179"/>
      <c r="CN107" s="179"/>
      <c r="CO107" s="179"/>
      <c r="CP107" s="142"/>
      <c r="CQ107" s="181">
        <f ca="1">-SUM(TblConstr[[#This Row],[Alc]:[Mas]])+SUM(TblConstr[[#This Row],[Dest Alc]:[Dest Mas]])+Rezone!L107+IF("Ch_"&amp; home_land=TblConstr[[#Headers],[Ch_Plain]],TblConstr[[#This Row],[Home Land]])+IF(TblConstr[[#This Row],[Hour]:[Hour]]&gt;12,OFFSET(TblExplore[[#This Row],[Plains Explore]],-12,0),0)</f>
        <v>0</v>
      </c>
      <c r="CR107" s="182">
        <f ca="1">-SUM(TblConstr[[#This Row],[Ly]:[Hav]])+SUM(TblConstr[[#This Row],[Dest Ly]:[Dest Hav]]) +Rezone!M107 + IF("Ch_"&amp; home_land=TblConstr[[#Headers],[Ch_Forest]],TblConstr[[#This Row],[Home Land]])+IF(TblConstr[[#This Row],[Hour]:[Hour]]&gt;12,OFFSET(TblExplore[[#This Row],[Forest Explore]],-12,0),0)</f>
        <v>0</v>
      </c>
      <c r="CS107" s="359">
        <f ca="1">-SUM(TblConstr[[#This Row],[OM]:[GN]])+SUM(TblConstr[[#This Row],[Dest OM]:[Dest GN]]) +Rezone!N107 + IF("Ch_"&amp; home_land=TblConstr[[#Headers],[Ch_Mountain]],TblConstr[[#This Row],[Home Land]])+IF(TblConstr[[#This Row],[Hour]:[Hour]]&gt;12,OFFSET(TblExplore[[#This Row],[Mountain Explore]],-12,0),0)</f>
        <v>0</v>
      </c>
      <c r="CT107" s="183">
        <f ca="1">-SUM(TblConstr[[#This Row],[Fac]:[Shr]])+SUM(TblConstr[[#This Row],[Dest Fac]:[Dest Shr]]) +Rezone!O107 + IF("Ch_" &amp; home_land=TblConstr[[#Headers],[Ch_Hill]],TblConstr[[#This Row],[Home Land]])+IF(TblConstr[[#This Row],[Hour]:[Hour]]&gt;12,OFFSET(TblExplore[[#This Row],[Hill Explore]],-12,0),0)</f>
        <v>0</v>
      </c>
      <c r="CU107" s="184">
        <f ca="1">-SUM(TblConstr[[#This Row],[Tow]:[WG]])+SUM(TblConstr[[#This Row],[Dest Tow]:[Dest WG]]) +Rezone!P107 + IF("Ch_" &amp; home_land=TblConstr[[#Headers],[Ch_Swamp]],TblConstr[[#This Row],[Home Land]])+IF(TblConstr[[#This Row],[Hour]:[Hour]]&gt;12,OFFSET(TblExplore[[#This Row],[Swamp Explore]],-12,0),0)</f>
        <v>0</v>
      </c>
      <c r="CV107" s="185">
        <f ca="1" xml:space="preserve"> - SUM(TblConstr[[#This Row],[DM]:[Sch]])+SUM(TblConstr[[#This Row],[Dest DM]:[Dest Sch]]) +Rezone!Q107 + IF("Ch_" &amp; home_land=TblConstr[[#Headers],[Ch_Cavern]],TblConstr[[#This Row],[Home Land]])+IF(TblConstr[[#This Row],[Hour]:[Hour]]&gt;12,OFFSET(TblExplore[[#This Row],[Cavern Explore]],-12,0),0)</f>
        <v>0</v>
      </c>
      <c r="CW107" s="186">
        <f ca="1">-TblConstr[[#This Row],[Doc]]+TblConstr[[#This Row],[Dest Doc]] +Rezone!R107 + IF("Ch_" &amp; home_land=TblConstr[[#Headers],[Ch_Water]],TblConstr[[#This Row],[Home Land]])+IF(TblConstr[[#This Row],[Hour]:[Hour]]&gt;12,OFFSET(TblExplore[[#This Row],[Water Explore]],-12,0),0)</f>
        <v>0</v>
      </c>
      <c r="CX107" s="45">
        <f>IF(Explore!S107=1,20) - TblConstr[[#This Row],[Hom]] + TblConstr[[#This Row],[Dest Hom]]</f>
        <v>0</v>
      </c>
      <c r="CY107" s="142"/>
      <c r="CZ107" s="94">
        <f t="shared" ca="1" si="23"/>
        <v>30</v>
      </c>
      <c r="DA107" s="94">
        <f t="shared" ca="1" si="24"/>
        <v>20</v>
      </c>
      <c r="DB107" s="45">
        <f t="shared" ca="1" si="25"/>
        <v>0</v>
      </c>
      <c r="DC107" s="94">
        <f t="shared" ca="1" si="26"/>
        <v>0</v>
      </c>
      <c r="DD107" s="94">
        <f t="shared" ca="1" si="27"/>
        <v>0</v>
      </c>
      <c r="DE107" s="45">
        <f t="shared" ca="1" si="28"/>
        <v>0</v>
      </c>
      <c r="DF107" s="94">
        <f t="shared" ca="1" si="29"/>
        <v>0</v>
      </c>
      <c r="DG107" s="94" cm="1">
        <f t="array" aca="1" ref="DG107" ca="1">INDEX(TblConstr[[Total Plain]:[Total Water]],ROW()-ROW(TblConstr[#Headers]),MATCH("Total "&amp;home_land,TblConstr[[#Headers],[Total Plain]:[Total Water]],0))+TblConstr[[#This Row],[Homes]]</f>
        <v>30</v>
      </c>
      <c r="DH107" s="45">
        <f t="shared" ca="1" si="22"/>
        <v>0</v>
      </c>
      <c r="DI107" s="45">
        <f t="shared" ca="1" si="19"/>
        <v>0</v>
      </c>
      <c r="DJ107" s="45">
        <f t="shared" ca="1" si="20"/>
        <v>0</v>
      </c>
    </row>
    <row r="108" spans="1:114" x14ac:dyDescent="0.2">
      <c r="A108" s="175">
        <f>TblRezone[[#This Row],[Hour]]</f>
        <v>105</v>
      </c>
      <c r="B108" s="176">
        <f ca="1">SUM(TblConstr[[#This Row],[Plain]:[Water]])</f>
        <v>0</v>
      </c>
      <c r="C108" s="177">
        <f ca="1">SUM(TblConstr[[#This Row],[Tot Hom]:[Tot Doc]])</f>
        <v>50</v>
      </c>
      <c r="D108" s="177">
        <f t="shared" si="21"/>
        <v>0</v>
      </c>
      <c r="E108" s="178"/>
      <c r="F108" s="61">
        <f ca="1">TblConstr[[#This Row],[Barren]]+TblConstr[[#This Row],[Buildings]]+TblConstr[[#This Row],[Incoming]]</f>
        <v>50</v>
      </c>
      <c r="G108" s="187">
        <f ca="1">OFFSET(TblConstr[[#This Row],[Plain]],-1,0)+TblConstr[[#This Row],[Ch_Plain]]</f>
        <v>0</v>
      </c>
      <c r="H108" s="182">
        <f ca="1">OFFSET(TblConstr[[#This Row],[Forest]],-1,0)+TblConstr[[#This Row],[Ch_Forest]]</f>
        <v>0</v>
      </c>
      <c r="I108" s="359">
        <f ca="1">OFFSET(TblConstr[[#This Row],[Mountain]],-1,0)+TblConstr[[#This Row],[Ch_Mountain]]</f>
        <v>0</v>
      </c>
      <c r="J108" s="363">
        <f ca="1">OFFSET(TblConstr[[#This Row],[Hill]],-1,0)+TblConstr[[#This Row],[Ch_Hill]]</f>
        <v>0</v>
      </c>
      <c r="K108" s="367">
        <f ca="1">OFFSET(TblConstr[[#This Row],[Swamp]],-1,0)+TblConstr[[#This Row],[Ch_Swamp]]</f>
        <v>0</v>
      </c>
      <c r="L108" s="185">
        <f ca="1">OFFSET(TblConstr[[#This Row],[Cavern]],-1,0)+TblConstr[[#This Row],[Ch_Cavern]]</f>
        <v>0</v>
      </c>
      <c r="M108" s="186">
        <f ca="1">OFFSET(TblConstr[[#This Row],[Water]],-1,0)+TblConstr[[#This Row],[Ch_Water]]</f>
        <v>0</v>
      </c>
      <c r="N108" s="357">
        <f>TblRezone[[#This Row],[Hour]]</f>
        <v>105</v>
      </c>
      <c r="O108" s="179"/>
      <c r="P108" s="179"/>
      <c r="Q108" s="179"/>
      <c r="R108" s="158"/>
      <c r="S108" s="179"/>
      <c r="T108" s="179"/>
      <c r="U108" s="179"/>
      <c r="V108" s="179"/>
      <c r="W108" s="179"/>
      <c r="X108" s="179"/>
      <c r="Y108" s="179"/>
      <c r="Z108" s="179"/>
      <c r="AA108" s="179"/>
      <c r="AB108" s="179"/>
      <c r="AC108" s="179"/>
      <c r="AD108" s="179"/>
      <c r="AE108" s="179"/>
      <c r="AF108" s="179"/>
      <c r="AG108" s="179"/>
      <c r="AH108" s="53">
        <f ca="1">TblImps[[#This Row],[Time]]</f>
        <v>46324.333333333081</v>
      </c>
      <c r="AI108" s="180">
        <f ca="1">MIN(25%,(TblConstr[[#This Row],[Tot Fac]]+TblConstr[[#This Row],[Dest Fac]])/(TblConstr[[#This Row],[Land]]-TblExplore[[#This Row],[Land Bonus]]*20))</f>
        <v>0</v>
      </c>
      <c r="AJ108" s="180">
        <f ca="1">MIN(25%,(TblConstr[[#This Row],[Tot Fac]]+TblConstr[[#This Row],[Dest Fac]])/TblConstr[[#This Row],[Land]])</f>
        <v>0</v>
      </c>
      <c r="AK108" s="94">
        <f ca="1">TblProd[[#This Row],[Platinum]]</f>
        <v>202411</v>
      </c>
      <c r="AL108" s="94">
        <f ca="1">TblProd[[#This Row],[Lumber]]</f>
        <v>70111</v>
      </c>
      <c r="AM10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8" s="94">
        <f ca="1">ROUNDDOWN( MAX(1 - MIN(facs_constr_factor*TblConstr[[#This Row],[Facs -DB]],facs_constr_max) + tech_1_11*TblTech[[#This Row],[11-1]] + tech_6_3_2*TblTech[[#This Row],[6-3]] + tech_5_2_3*TblTech[[#This Row],[5-2]], 1-global_constr_cap) * TblConstr[[#This Row],[RCPA Lumber]],0)</f>
        <v>31</v>
      </c>
      <c r="AO10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8" s="94">
        <f ca="1">ROUNDDOWN( MAX(1 - MIN(facs_constr_factor*TblConstr[[#This Row],[Facs DB]],facs_constr_max) + tech_1_11*TblTech[[#This Row],[1-11]] + tech_6_3_2*TblTech[[#This Row],[6-3]] + tech_5_2_3*TblTech[[#This Row],[5-2]], 1-global_constr_cap) * ROUND((TblConstr[[#This Row],[Land]]-250)*0.285 + 87.5 + 0/4.25,0),0)</f>
        <v>31</v>
      </c>
      <c r="AQ108" s="45">
        <f ca="1">TblConstr[[#This Row],[build -db]]*TblConstr[[#This Row],[CPA Platinum -DB]] + TblConstr[[#This Row],[build db]]*TblConstr[[#This Row],[CPA Platinum DB]]</f>
        <v>0</v>
      </c>
      <c r="AR108" s="45">
        <f ca="1">TblConstr[[#This Row],[build -db]]*TblConstr[[#This Row],[CPA Lumber -DB]] + TblConstr[[#This Row],[build db]]*TblConstr[[#This Row],[CPA Lumber DB]]</f>
        <v>0</v>
      </c>
      <c r="AS108" s="94">
        <f ca="1">MIN(SUM(OFFSET(TblConstr[[#This Row],[Plain]:[Water]],-1,0))+SUM(TblConstr[[#This Row],[Dest Hom]:[Dest Doc]])+IF(TblConstr[[#This Row],[Hour]]&gt;12,SUM(OFFSET(TblExplore[[#This Row],[Plains Explore]:[Water Explore]],-12,0)),0),SUM(TblConstr[[#This Row],[Hom]:[Doc]]))</f>
        <v>0</v>
      </c>
      <c r="AT10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42"/>
      <c r="AV108" s="94">
        <f ca="1">ROUND((TblConstr[[#This Row],[Land]]-250 - IF(TblExplore[[#This Row],[Land Bonus]]&lt;&gt;0,20,0))*1.25 + 850 + 0,0)</f>
        <v>600</v>
      </c>
      <c r="AW108" s="94">
        <f ca="1">ROUND((TblConstr[[#This Row],[Land]]-250 - IF(TblExplore[[#This Row],[Land Bonus]]&lt;&gt;0,20,0))*0.285 + 87.5 + 0/4.25,0)</f>
        <v>31</v>
      </c>
      <c r="AX108" s="154"/>
      <c r="AY108" s="188" cm="1">
        <f t="array" aca="1" ref="AY108" ca="1">IF(TblConstr[[#This Row],[Hour]:[Hour]]&gt;12,OFFSET(TblConstr[[#This Row],[Hom]],-12,0),0)+OFFSET(TblConstr[[#This Row],[Tot Hom]],-1,0)-TblConstr[[#This Row],[Dest Hom]]</f>
        <v>0</v>
      </c>
      <c r="AZ108" s="189" cm="1">
        <f t="array" aca="1" ref="AZ108" ca="1">IF(TblConstr[[#This Row],[Hour]:[Hour]]&gt;12,OFFSET(TblConstr[[#This Row],[Alc]],-12,0),0)+OFFSET(TblConstr[[#This Row],[Tot Alc]],-1,0)-TblConstr[[#This Row],[Dest Alc]]</f>
        <v>0</v>
      </c>
      <c r="BA108" s="189" cm="1">
        <f t="array" aca="1" ref="BA108" ca="1">IF(TblConstr[[#This Row],[Hour]:[Hour]]&gt;12,OFFSET(TblConstr[[#This Row],[Far]],-12,0),0)+OFFSET(TblConstr[[#This Row],[Tot Farm]],-1,0)-TblConstr[[#This Row],[Dest Farm]]</f>
        <v>30</v>
      </c>
      <c r="BB108" s="189" cm="1">
        <f t="array" aca="1" ref="BB108" ca="1">IF(TblConstr[[#This Row],[Hour]:[Hour]]&gt;12,OFFSET(TblConstr[[#This Row],[Smi]],-12,0),0)+OFFSET(TblConstr[[#This Row],[Tot Smi]],-1,0)-TblConstr[[#This Row],[Dest Smi]]</f>
        <v>0</v>
      </c>
      <c r="BC108" s="189" cm="1">
        <f t="array" aca="1" ref="BC108" ca="1">IF(TblConstr[[#This Row],[Hour]:[Hour]]&gt;12,OFFSET(TblConstr[[#This Row],[Mas]],-12,0),0)+OFFSET(TblConstr[[#This Row],[Tot Mas]],-1,0)-TblConstr[[#This Row],[Dest Mas]]</f>
        <v>0</v>
      </c>
      <c r="BD108" s="190" cm="1">
        <f t="array" aca="1" ref="BD108" ca="1">IF(TblConstr[[#This Row],[Hour]:[Hour]]&gt;12,OFFSET(TblConstr[[#This Row],[Ly]],-12,0),0)+OFFSET(TblConstr[[#This Row],[Tot Ly]],-1,0)-TblConstr[[#This Row],[Dest Ly]]</f>
        <v>20</v>
      </c>
      <c r="BE108" s="190" cm="1">
        <f t="array" aca="1" ref="BE108" ca="1">IF(TblConstr[[#This Row],[Hour]:[Hour]]&gt;12,OFFSET(TblConstr[[#This Row],[Hav]],-12,0),0)+OFFSET(TblConstr[[#This Row],[Tot Hav]],-1,0)-TblConstr[[#This Row],[Dest Hav]]</f>
        <v>0</v>
      </c>
      <c r="BF108" s="361" cm="1">
        <f t="array" aca="1" ref="BF108" ca="1">IF(TblConstr[[#This Row],[Hour]:[Hour]]&gt;12,OFFSET(TblConstr[[#This Row],[OM]],-12,0),0)+OFFSET(TblConstr[[#This Row],[Tot OM]],-1,0)-TblConstr[[#This Row],[Dest OM]]</f>
        <v>0</v>
      </c>
      <c r="BG108" s="361" cm="1">
        <f t="array" aca="1" ref="BG108" ca="1">IF(TblConstr[[#This Row],[Hour]:[Hour]]&gt;12,OFFSET(TblConstr[[#This Row],[GN]],-12,0),0)+OFFSET(TblConstr[[#This Row],[Tot GN]],-1,0)-TblConstr[[#This Row],[Dest GN]]</f>
        <v>0</v>
      </c>
      <c r="BH108" s="365" cm="1">
        <f t="array" aca="1" ref="BH108" ca="1">IF(TblConstr[[#This Row],[Hour]:[Hour]]&gt;12,OFFSET(TblConstr[[#This Row],[Fac]],-12,0),0)+OFFSET(TblConstr[[#This Row],[Tot Fac]],-1,0)-TblConstr[[#This Row],[Dest Fac]]</f>
        <v>0</v>
      </c>
      <c r="BI108" s="365" cm="1">
        <f t="array" aca="1" ref="BI108" ca="1">IF(TblConstr[[#This Row],[Hour]:[Hour]]&gt;12,OFFSET(TblConstr[[#This Row],[GT]],-12,0),0)+OFFSET(TblConstr[[#This Row],[Tot GT]],-1,0)-TblConstr[[#This Row],[Dest GT]]</f>
        <v>0</v>
      </c>
      <c r="BJ108" s="365" cm="1">
        <f t="array" aca="1" ref="BJ108" ca="1">IF(TblConstr[[#This Row],[Hour]:[Hour]]&gt;12,OFFSET(TblConstr[[#This Row],[Bar]],-12,0),0)+OFFSET(TblConstr[[#This Row],[Tot Bar]],-1,0)-TblConstr[[#This Row],[Dest Bar]]</f>
        <v>0</v>
      </c>
      <c r="BK108" s="365" cm="1">
        <f t="array" aca="1" ref="BK108" ca="1">IF(TblConstr[[#This Row],[Hour]:[Hour]]&gt;12,OFFSET(TblConstr[[#This Row],[Shr]],-12,0),0)+OFFSET(TblConstr[[#This Row],[Tot Shr]],-1,0)-TblConstr[[#This Row],[Dest Shr]]</f>
        <v>0</v>
      </c>
      <c r="BL108" s="369" cm="1">
        <f t="array" aca="1" ref="BL108" ca="1">IF(TblConstr[[#This Row],[Hour]:[Hour]]&gt;12,OFFSET(TblConstr[[#This Row],[Tow]],-12,0),0)+OFFSET(TblConstr[[#This Row],[Tot Tow]],-1,0)-TblConstr[[#This Row],[Dest Tow]]</f>
        <v>0</v>
      </c>
      <c r="BM108" s="369" cm="1">
        <f t="array" aca="1" ref="BM108" ca="1">IF(TblConstr[[#This Row],[Hour]:[Hour]]&gt;12,OFFSET(TblConstr[[#This Row],[Tem]],-12,0),0)+OFFSET(TblConstr[[#This Row],[Tot Tem]],-1,0)-TblConstr[[#This Row],[Dest Tem]]</f>
        <v>0</v>
      </c>
      <c r="BN108" s="369" cm="1">
        <f t="array" aca="1" ref="BN108" ca="1">IF(TblConstr[[#This Row],[Hour]:[Hour]]&gt;12,OFFSET(TblConstr[[#This Row],[WG]],-12,0),0)+OFFSET(TblConstr[[#This Row],[Tot WG]],-1,0)-TblConstr[[#This Row],[Dest WG]]</f>
        <v>0</v>
      </c>
      <c r="BO108" s="191" cm="1">
        <f t="array" aca="1" ref="BO108" ca="1">IF(TblConstr[[#This Row],[Hour]:[Hour]]&gt;12,OFFSET(TblConstr[[#This Row],[DM]],-12,0),0)+OFFSET(TblConstr[[#This Row],[Tot DM]],-1,0)-TblConstr[[#This Row],[Dest DM]]</f>
        <v>0</v>
      </c>
      <c r="BP108" s="191" cm="1">
        <f t="array" aca="1" ref="BP108" ca="1">IF(TblConstr[[#This Row],[Hour]:[Hour]]&gt;12,OFFSET(TblConstr[[#This Row],[Sch]],-12,0),0)+OFFSET(TblConstr[[#This Row],[Tot Sch]],-1,0)-TblConstr[[#This Row],[Dest Sch]]</f>
        <v>0</v>
      </c>
      <c r="BQ108" s="192" cm="1">
        <f t="array" aca="1" ref="BQ108" ca="1">IF(TblConstr[[#This Row],[Hour]:[Hour]]&gt;12,OFFSET(TblConstr[[#This Row],[Doc]],-12,0),0)+OFFSET(TblConstr[[#This Row],[Tot Doc]],-1,0)-TblConstr[[#This Row],[Dest Doc]]</f>
        <v>0</v>
      </c>
      <c r="BR108" s="142"/>
      <c r="BS108" s="154"/>
      <c r="BT108" s="94">
        <f ca="1">TblConstr[[#This Row],[Land]]</f>
        <v>50</v>
      </c>
      <c r="BU108" s="159">
        <f ca="1">TblImps[[#This Row],[Time]]</f>
        <v>46324.333333333081</v>
      </c>
      <c r="BV108" s="142"/>
      <c r="BW108" s="179"/>
      <c r="BX108" s="179"/>
      <c r="BY108" s="179"/>
      <c r="BZ108" s="179"/>
      <c r="CA108" s="179"/>
      <c r="CB108" s="179"/>
      <c r="CC108" s="179"/>
      <c r="CD108" s="179"/>
      <c r="CE108" s="179"/>
      <c r="CF108" s="179"/>
      <c r="CG108" s="179"/>
      <c r="CH108" s="179"/>
      <c r="CI108" s="179"/>
      <c r="CJ108" s="179"/>
      <c r="CK108" s="179"/>
      <c r="CL108" s="179"/>
      <c r="CM108" s="179"/>
      <c r="CN108" s="179"/>
      <c r="CO108" s="179"/>
      <c r="CP108" s="142"/>
      <c r="CQ108" s="181">
        <f ca="1">-SUM(TblConstr[[#This Row],[Alc]:[Mas]])+SUM(TblConstr[[#This Row],[Dest Alc]:[Dest Mas]])+Rezone!L108+IF("Ch_"&amp; home_land=TblConstr[[#Headers],[Ch_Plain]],TblConstr[[#This Row],[Home Land]])+IF(TblConstr[[#This Row],[Hour]:[Hour]]&gt;12,OFFSET(TblExplore[[#This Row],[Plains Explore]],-12,0),0)</f>
        <v>0</v>
      </c>
      <c r="CR108" s="182">
        <f ca="1">-SUM(TblConstr[[#This Row],[Ly]:[Hav]])+SUM(TblConstr[[#This Row],[Dest Ly]:[Dest Hav]]) +Rezone!M108 + IF("Ch_"&amp; home_land=TblConstr[[#Headers],[Ch_Forest]],TblConstr[[#This Row],[Home Land]])+IF(TblConstr[[#This Row],[Hour]:[Hour]]&gt;12,OFFSET(TblExplore[[#This Row],[Forest Explore]],-12,0),0)</f>
        <v>0</v>
      </c>
      <c r="CS108" s="359">
        <f ca="1">-SUM(TblConstr[[#This Row],[OM]:[GN]])+SUM(TblConstr[[#This Row],[Dest OM]:[Dest GN]]) +Rezone!N108 + IF("Ch_"&amp; home_land=TblConstr[[#Headers],[Ch_Mountain]],TblConstr[[#This Row],[Home Land]])+IF(TblConstr[[#This Row],[Hour]:[Hour]]&gt;12,OFFSET(TblExplore[[#This Row],[Mountain Explore]],-12,0),0)</f>
        <v>0</v>
      </c>
      <c r="CT108" s="183">
        <f ca="1">-SUM(TblConstr[[#This Row],[Fac]:[Shr]])+SUM(TblConstr[[#This Row],[Dest Fac]:[Dest Shr]]) +Rezone!O108 + IF("Ch_" &amp; home_land=TblConstr[[#Headers],[Ch_Hill]],TblConstr[[#This Row],[Home Land]])+IF(TblConstr[[#This Row],[Hour]:[Hour]]&gt;12,OFFSET(TblExplore[[#This Row],[Hill Explore]],-12,0),0)</f>
        <v>0</v>
      </c>
      <c r="CU108" s="184">
        <f ca="1">-SUM(TblConstr[[#This Row],[Tow]:[WG]])+SUM(TblConstr[[#This Row],[Dest Tow]:[Dest WG]]) +Rezone!P108 + IF("Ch_" &amp; home_land=TblConstr[[#Headers],[Ch_Swamp]],TblConstr[[#This Row],[Home Land]])+IF(TblConstr[[#This Row],[Hour]:[Hour]]&gt;12,OFFSET(TblExplore[[#This Row],[Swamp Explore]],-12,0),0)</f>
        <v>0</v>
      </c>
      <c r="CV108" s="185">
        <f ca="1" xml:space="preserve"> - SUM(TblConstr[[#This Row],[DM]:[Sch]])+SUM(TblConstr[[#This Row],[Dest DM]:[Dest Sch]]) +Rezone!Q108 + IF("Ch_" &amp; home_land=TblConstr[[#Headers],[Ch_Cavern]],TblConstr[[#This Row],[Home Land]])+IF(TblConstr[[#This Row],[Hour]:[Hour]]&gt;12,OFFSET(TblExplore[[#This Row],[Cavern Explore]],-12,0),0)</f>
        <v>0</v>
      </c>
      <c r="CW108" s="186">
        <f ca="1">-TblConstr[[#This Row],[Doc]]+TblConstr[[#This Row],[Dest Doc]] +Rezone!R108 + IF("Ch_" &amp; home_land=TblConstr[[#Headers],[Ch_Water]],TblConstr[[#This Row],[Home Land]])+IF(TblConstr[[#This Row],[Hour]:[Hour]]&gt;12,OFFSET(TblExplore[[#This Row],[Water Explore]],-12,0),0)</f>
        <v>0</v>
      </c>
      <c r="CX108" s="45">
        <f>IF(Explore!S108=1,20) - TblConstr[[#This Row],[Hom]] + TblConstr[[#This Row],[Dest Hom]]</f>
        <v>0</v>
      </c>
      <c r="CY108" s="142"/>
      <c r="CZ108" s="94">
        <f t="shared" ca="1" si="23"/>
        <v>30</v>
      </c>
      <c r="DA108" s="94">
        <f t="shared" ca="1" si="24"/>
        <v>20</v>
      </c>
      <c r="DB108" s="45">
        <f t="shared" ca="1" si="25"/>
        <v>0</v>
      </c>
      <c r="DC108" s="94">
        <f t="shared" ca="1" si="26"/>
        <v>0</v>
      </c>
      <c r="DD108" s="94">
        <f t="shared" ca="1" si="27"/>
        <v>0</v>
      </c>
      <c r="DE108" s="45">
        <f t="shared" ca="1" si="28"/>
        <v>0</v>
      </c>
      <c r="DF108" s="94">
        <f t="shared" ca="1" si="29"/>
        <v>0</v>
      </c>
      <c r="DG108" s="94" cm="1">
        <f t="array" aca="1" ref="DG108" ca="1">INDEX(TblConstr[[Total Plain]:[Total Water]],ROW()-ROW(TblConstr[#Headers]),MATCH("Total "&amp;home_land,TblConstr[[#Headers],[Total Plain]:[Total Water]],0))+TblConstr[[#This Row],[Homes]]</f>
        <v>30</v>
      </c>
      <c r="DH108" s="45">
        <f t="shared" ca="1" si="22"/>
        <v>0</v>
      </c>
      <c r="DI108" s="45">
        <f t="shared" ca="1" si="19"/>
        <v>0</v>
      </c>
      <c r="DJ108" s="45">
        <f t="shared" ca="1" si="20"/>
        <v>0</v>
      </c>
    </row>
    <row r="109" spans="1:114" x14ac:dyDescent="0.2">
      <c r="A109" s="175">
        <f>TblRezone[[#This Row],[Hour]]</f>
        <v>106</v>
      </c>
      <c r="B109" s="176">
        <f ca="1">SUM(TblConstr[[#This Row],[Plain]:[Water]])</f>
        <v>0</v>
      </c>
      <c r="C109" s="177">
        <f ca="1">SUM(TblConstr[[#This Row],[Tot Hom]:[Tot Doc]])</f>
        <v>50</v>
      </c>
      <c r="D109" s="177">
        <f t="shared" si="21"/>
        <v>0</v>
      </c>
      <c r="E109" s="178"/>
      <c r="F109" s="61">
        <f ca="1">TblConstr[[#This Row],[Barren]]+TblConstr[[#This Row],[Buildings]]+TblConstr[[#This Row],[Incoming]]</f>
        <v>50</v>
      </c>
      <c r="G109" s="187">
        <f ca="1">OFFSET(TblConstr[[#This Row],[Plain]],-1,0)+TblConstr[[#This Row],[Ch_Plain]]</f>
        <v>0</v>
      </c>
      <c r="H109" s="182">
        <f ca="1">OFFSET(TblConstr[[#This Row],[Forest]],-1,0)+TblConstr[[#This Row],[Ch_Forest]]</f>
        <v>0</v>
      </c>
      <c r="I109" s="359">
        <f ca="1">OFFSET(TblConstr[[#This Row],[Mountain]],-1,0)+TblConstr[[#This Row],[Ch_Mountain]]</f>
        <v>0</v>
      </c>
      <c r="J109" s="363">
        <f ca="1">OFFSET(TblConstr[[#This Row],[Hill]],-1,0)+TblConstr[[#This Row],[Ch_Hill]]</f>
        <v>0</v>
      </c>
      <c r="K109" s="367">
        <f ca="1">OFFSET(TblConstr[[#This Row],[Swamp]],-1,0)+TblConstr[[#This Row],[Ch_Swamp]]</f>
        <v>0</v>
      </c>
      <c r="L109" s="185">
        <f ca="1">OFFSET(TblConstr[[#This Row],[Cavern]],-1,0)+TblConstr[[#This Row],[Ch_Cavern]]</f>
        <v>0</v>
      </c>
      <c r="M109" s="186">
        <f ca="1">OFFSET(TblConstr[[#This Row],[Water]],-1,0)+TblConstr[[#This Row],[Ch_Water]]</f>
        <v>0</v>
      </c>
      <c r="N109" s="357">
        <f>TblRezone[[#This Row],[Hour]]</f>
        <v>106</v>
      </c>
      <c r="O109" s="179"/>
      <c r="P109" s="179"/>
      <c r="Q109" s="179"/>
      <c r="R109" s="158"/>
      <c r="S109" s="179"/>
      <c r="T109" s="179"/>
      <c r="U109" s="179"/>
      <c r="V109" s="179"/>
      <c r="W109" s="179"/>
      <c r="X109" s="179"/>
      <c r="Y109" s="179"/>
      <c r="Z109" s="179"/>
      <c r="AA109" s="179"/>
      <c r="AB109" s="179"/>
      <c r="AC109" s="179"/>
      <c r="AD109" s="179"/>
      <c r="AE109" s="179"/>
      <c r="AF109" s="179"/>
      <c r="AG109" s="179"/>
      <c r="AH109" s="53">
        <f ca="1">TblImps[[#This Row],[Time]]</f>
        <v>46324.374999999745</v>
      </c>
      <c r="AI109" s="180">
        <f ca="1">MIN(25%,(TblConstr[[#This Row],[Tot Fac]]+TblConstr[[#This Row],[Dest Fac]])/(TblConstr[[#This Row],[Land]]-TblExplore[[#This Row],[Land Bonus]]*20))</f>
        <v>0</v>
      </c>
      <c r="AJ109" s="180">
        <f ca="1">MIN(25%,(TblConstr[[#This Row],[Tot Fac]]+TblConstr[[#This Row],[Dest Fac]])/TblConstr[[#This Row],[Land]])</f>
        <v>0</v>
      </c>
      <c r="AK109" s="94">
        <f ca="1">TblProd[[#This Row],[Platinum]]</f>
        <v>202856</v>
      </c>
      <c r="AL109" s="94">
        <f ca="1">TblProd[[#This Row],[Lumber]]</f>
        <v>70410</v>
      </c>
      <c r="AM10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9" s="94">
        <f ca="1">ROUNDDOWN( MAX(1 - MIN(facs_constr_factor*TblConstr[[#This Row],[Facs -DB]],facs_constr_max) + tech_1_11*TblTech[[#This Row],[11-1]] + tech_6_3_2*TblTech[[#This Row],[6-3]] + tech_5_2_3*TblTech[[#This Row],[5-2]], 1-global_constr_cap) * TblConstr[[#This Row],[RCPA Lumber]],0)</f>
        <v>31</v>
      </c>
      <c r="AO10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9" s="94">
        <f ca="1">ROUNDDOWN( MAX(1 - MIN(facs_constr_factor*TblConstr[[#This Row],[Facs DB]],facs_constr_max) + tech_1_11*TblTech[[#This Row],[1-11]] + tech_6_3_2*TblTech[[#This Row],[6-3]] + tech_5_2_3*TblTech[[#This Row],[5-2]], 1-global_constr_cap) * ROUND((TblConstr[[#This Row],[Land]]-250)*0.285 + 87.5 + 0/4.25,0),0)</f>
        <v>31</v>
      </c>
      <c r="AQ109" s="45">
        <f ca="1">TblConstr[[#This Row],[build -db]]*TblConstr[[#This Row],[CPA Platinum -DB]] + TblConstr[[#This Row],[build db]]*TblConstr[[#This Row],[CPA Platinum DB]]</f>
        <v>0</v>
      </c>
      <c r="AR109" s="45">
        <f ca="1">TblConstr[[#This Row],[build -db]]*TblConstr[[#This Row],[CPA Lumber -DB]] + TblConstr[[#This Row],[build db]]*TblConstr[[#This Row],[CPA Lumber DB]]</f>
        <v>0</v>
      </c>
      <c r="AS109" s="94">
        <f ca="1">MIN(SUM(OFFSET(TblConstr[[#This Row],[Plain]:[Water]],-1,0))+SUM(TblConstr[[#This Row],[Dest Hom]:[Dest Doc]])+IF(TblConstr[[#This Row],[Hour]]&gt;12,SUM(OFFSET(TblExplore[[#This Row],[Plains Explore]:[Water Explore]],-12,0)),0),SUM(TblConstr[[#This Row],[Hom]:[Doc]]))</f>
        <v>0</v>
      </c>
      <c r="AT10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42"/>
      <c r="AV109" s="94">
        <f ca="1">ROUND((TblConstr[[#This Row],[Land]]-250 - IF(TblExplore[[#This Row],[Land Bonus]]&lt;&gt;0,20,0))*1.25 + 850 + 0,0)</f>
        <v>600</v>
      </c>
      <c r="AW109" s="94">
        <f ca="1">ROUND((TblConstr[[#This Row],[Land]]-250 - IF(TblExplore[[#This Row],[Land Bonus]]&lt;&gt;0,20,0))*0.285 + 87.5 + 0/4.25,0)</f>
        <v>31</v>
      </c>
      <c r="AX109" s="154"/>
      <c r="AY109" s="188" cm="1">
        <f t="array" aca="1" ref="AY109" ca="1">IF(TblConstr[[#This Row],[Hour]:[Hour]]&gt;12,OFFSET(TblConstr[[#This Row],[Hom]],-12,0),0)+OFFSET(TblConstr[[#This Row],[Tot Hom]],-1,0)-TblConstr[[#This Row],[Dest Hom]]</f>
        <v>0</v>
      </c>
      <c r="AZ109" s="189" cm="1">
        <f t="array" aca="1" ref="AZ109" ca="1">IF(TblConstr[[#This Row],[Hour]:[Hour]]&gt;12,OFFSET(TblConstr[[#This Row],[Alc]],-12,0),0)+OFFSET(TblConstr[[#This Row],[Tot Alc]],-1,0)-TblConstr[[#This Row],[Dest Alc]]</f>
        <v>0</v>
      </c>
      <c r="BA109" s="189" cm="1">
        <f t="array" aca="1" ref="BA109" ca="1">IF(TblConstr[[#This Row],[Hour]:[Hour]]&gt;12,OFFSET(TblConstr[[#This Row],[Far]],-12,0),0)+OFFSET(TblConstr[[#This Row],[Tot Farm]],-1,0)-TblConstr[[#This Row],[Dest Farm]]</f>
        <v>30</v>
      </c>
      <c r="BB109" s="189" cm="1">
        <f t="array" aca="1" ref="BB109" ca="1">IF(TblConstr[[#This Row],[Hour]:[Hour]]&gt;12,OFFSET(TblConstr[[#This Row],[Smi]],-12,0),0)+OFFSET(TblConstr[[#This Row],[Tot Smi]],-1,0)-TblConstr[[#This Row],[Dest Smi]]</f>
        <v>0</v>
      </c>
      <c r="BC109" s="189" cm="1">
        <f t="array" aca="1" ref="BC109" ca="1">IF(TblConstr[[#This Row],[Hour]:[Hour]]&gt;12,OFFSET(TblConstr[[#This Row],[Mas]],-12,0),0)+OFFSET(TblConstr[[#This Row],[Tot Mas]],-1,0)-TblConstr[[#This Row],[Dest Mas]]</f>
        <v>0</v>
      </c>
      <c r="BD109" s="190" cm="1">
        <f t="array" aca="1" ref="BD109" ca="1">IF(TblConstr[[#This Row],[Hour]:[Hour]]&gt;12,OFFSET(TblConstr[[#This Row],[Ly]],-12,0),0)+OFFSET(TblConstr[[#This Row],[Tot Ly]],-1,0)-TblConstr[[#This Row],[Dest Ly]]</f>
        <v>20</v>
      </c>
      <c r="BE109" s="190" cm="1">
        <f t="array" aca="1" ref="BE109" ca="1">IF(TblConstr[[#This Row],[Hour]:[Hour]]&gt;12,OFFSET(TblConstr[[#This Row],[Hav]],-12,0),0)+OFFSET(TblConstr[[#This Row],[Tot Hav]],-1,0)-TblConstr[[#This Row],[Dest Hav]]</f>
        <v>0</v>
      </c>
      <c r="BF109" s="361" cm="1">
        <f t="array" aca="1" ref="BF109" ca="1">IF(TblConstr[[#This Row],[Hour]:[Hour]]&gt;12,OFFSET(TblConstr[[#This Row],[OM]],-12,0),0)+OFFSET(TblConstr[[#This Row],[Tot OM]],-1,0)-TblConstr[[#This Row],[Dest OM]]</f>
        <v>0</v>
      </c>
      <c r="BG109" s="361" cm="1">
        <f t="array" aca="1" ref="BG109" ca="1">IF(TblConstr[[#This Row],[Hour]:[Hour]]&gt;12,OFFSET(TblConstr[[#This Row],[GN]],-12,0),0)+OFFSET(TblConstr[[#This Row],[Tot GN]],-1,0)-TblConstr[[#This Row],[Dest GN]]</f>
        <v>0</v>
      </c>
      <c r="BH109" s="365" cm="1">
        <f t="array" aca="1" ref="BH109" ca="1">IF(TblConstr[[#This Row],[Hour]:[Hour]]&gt;12,OFFSET(TblConstr[[#This Row],[Fac]],-12,0),0)+OFFSET(TblConstr[[#This Row],[Tot Fac]],-1,0)-TblConstr[[#This Row],[Dest Fac]]</f>
        <v>0</v>
      </c>
      <c r="BI109" s="365" cm="1">
        <f t="array" aca="1" ref="BI109" ca="1">IF(TblConstr[[#This Row],[Hour]:[Hour]]&gt;12,OFFSET(TblConstr[[#This Row],[GT]],-12,0),0)+OFFSET(TblConstr[[#This Row],[Tot GT]],-1,0)-TblConstr[[#This Row],[Dest GT]]</f>
        <v>0</v>
      </c>
      <c r="BJ109" s="365" cm="1">
        <f t="array" aca="1" ref="BJ109" ca="1">IF(TblConstr[[#This Row],[Hour]:[Hour]]&gt;12,OFFSET(TblConstr[[#This Row],[Bar]],-12,0),0)+OFFSET(TblConstr[[#This Row],[Tot Bar]],-1,0)-TblConstr[[#This Row],[Dest Bar]]</f>
        <v>0</v>
      </c>
      <c r="BK109" s="365" cm="1">
        <f t="array" aca="1" ref="BK109" ca="1">IF(TblConstr[[#This Row],[Hour]:[Hour]]&gt;12,OFFSET(TblConstr[[#This Row],[Shr]],-12,0),0)+OFFSET(TblConstr[[#This Row],[Tot Shr]],-1,0)-TblConstr[[#This Row],[Dest Shr]]</f>
        <v>0</v>
      </c>
      <c r="BL109" s="369" cm="1">
        <f t="array" aca="1" ref="BL109" ca="1">IF(TblConstr[[#This Row],[Hour]:[Hour]]&gt;12,OFFSET(TblConstr[[#This Row],[Tow]],-12,0),0)+OFFSET(TblConstr[[#This Row],[Tot Tow]],-1,0)-TblConstr[[#This Row],[Dest Tow]]</f>
        <v>0</v>
      </c>
      <c r="BM109" s="369" cm="1">
        <f t="array" aca="1" ref="BM109" ca="1">IF(TblConstr[[#This Row],[Hour]:[Hour]]&gt;12,OFFSET(TblConstr[[#This Row],[Tem]],-12,0),0)+OFFSET(TblConstr[[#This Row],[Tot Tem]],-1,0)-TblConstr[[#This Row],[Dest Tem]]</f>
        <v>0</v>
      </c>
      <c r="BN109" s="369" cm="1">
        <f t="array" aca="1" ref="BN109" ca="1">IF(TblConstr[[#This Row],[Hour]:[Hour]]&gt;12,OFFSET(TblConstr[[#This Row],[WG]],-12,0),0)+OFFSET(TblConstr[[#This Row],[Tot WG]],-1,0)-TblConstr[[#This Row],[Dest WG]]</f>
        <v>0</v>
      </c>
      <c r="BO109" s="191" cm="1">
        <f t="array" aca="1" ref="BO109" ca="1">IF(TblConstr[[#This Row],[Hour]:[Hour]]&gt;12,OFFSET(TblConstr[[#This Row],[DM]],-12,0),0)+OFFSET(TblConstr[[#This Row],[Tot DM]],-1,0)-TblConstr[[#This Row],[Dest DM]]</f>
        <v>0</v>
      </c>
      <c r="BP109" s="191" cm="1">
        <f t="array" aca="1" ref="BP109" ca="1">IF(TblConstr[[#This Row],[Hour]:[Hour]]&gt;12,OFFSET(TblConstr[[#This Row],[Sch]],-12,0),0)+OFFSET(TblConstr[[#This Row],[Tot Sch]],-1,0)-TblConstr[[#This Row],[Dest Sch]]</f>
        <v>0</v>
      </c>
      <c r="BQ109" s="192" cm="1">
        <f t="array" aca="1" ref="BQ109" ca="1">IF(TblConstr[[#This Row],[Hour]:[Hour]]&gt;12,OFFSET(TblConstr[[#This Row],[Doc]],-12,0),0)+OFFSET(TblConstr[[#This Row],[Tot Doc]],-1,0)-TblConstr[[#This Row],[Dest Doc]]</f>
        <v>0</v>
      </c>
      <c r="BR109" s="142"/>
      <c r="BS109" s="154"/>
      <c r="BT109" s="94">
        <f ca="1">TblConstr[[#This Row],[Land]]</f>
        <v>50</v>
      </c>
      <c r="BU109" s="159">
        <f ca="1">TblImps[[#This Row],[Time]]</f>
        <v>46324.374999999745</v>
      </c>
      <c r="BV109" s="142"/>
      <c r="BW109" s="179"/>
      <c r="BX109" s="179"/>
      <c r="BY109" s="179"/>
      <c r="BZ109" s="179"/>
      <c r="CA109" s="179"/>
      <c r="CB109" s="179"/>
      <c r="CC109" s="179"/>
      <c r="CD109" s="179"/>
      <c r="CE109" s="179"/>
      <c r="CF109" s="179"/>
      <c r="CG109" s="179"/>
      <c r="CH109" s="179"/>
      <c r="CI109" s="179"/>
      <c r="CJ109" s="179"/>
      <c r="CK109" s="179"/>
      <c r="CL109" s="179"/>
      <c r="CM109" s="179"/>
      <c r="CN109" s="179"/>
      <c r="CO109" s="179"/>
      <c r="CP109" s="142"/>
      <c r="CQ109" s="181">
        <f ca="1">-SUM(TblConstr[[#This Row],[Alc]:[Mas]])+SUM(TblConstr[[#This Row],[Dest Alc]:[Dest Mas]])+Rezone!L109+IF("Ch_"&amp; home_land=TblConstr[[#Headers],[Ch_Plain]],TblConstr[[#This Row],[Home Land]])+IF(TblConstr[[#This Row],[Hour]:[Hour]]&gt;12,OFFSET(TblExplore[[#This Row],[Plains Explore]],-12,0),0)</f>
        <v>0</v>
      </c>
      <c r="CR109" s="182">
        <f ca="1">-SUM(TblConstr[[#This Row],[Ly]:[Hav]])+SUM(TblConstr[[#This Row],[Dest Ly]:[Dest Hav]]) +Rezone!M109 + IF("Ch_"&amp; home_land=TblConstr[[#Headers],[Ch_Forest]],TblConstr[[#This Row],[Home Land]])+IF(TblConstr[[#This Row],[Hour]:[Hour]]&gt;12,OFFSET(TblExplore[[#This Row],[Forest Explore]],-12,0),0)</f>
        <v>0</v>
      </c>
      <c r="CS109" s="359">
        <f ca="1">-SUM(TblConstr[[#This Row],[OM]:[GN]])+SUM(TblConstr[[#This Row],[Dest OM]:[Dest GN]]) +Rezone!N109 + IF("Ch_"&amp; home_land=TblConstr[[#Headers],[Ch_Mountain]],TblConstr[[#This Row],[Home Land]])+IF(TblConstr[[#This Row],[Hour]:[Hour]]&gt;12,OFFSET(TblExplore[[#This Row],[Mountain Explore]],-12,0),0)</f>
        <v>0</v>
      </c>
      <c r="CT109" s="183">
        <f ca="1">-SUM(TblConstr[[#This Row],[Fac]:[Shr]])+SUM(TblConstr[[#This Row],[Dest Fac]:[Dest Shr]]) +Rezone!O109 + IF("Ch_" &amp; home_land=TblConstr[[#Headers],[Ch_Hill]],TblConstr[[#This Row],[Home Land]])+IF(TblConstr[[#This Row],[Hour]:[Hour]]&gt;12,OFFSET(TblExplore[[#This Row],[Hill Explore]],-12,0),0)</f>
        <v>0</v>
      </c>
      <c r="CU109" s="184">
        <f ca="1">-SUM(TblConstr[[#This Row],[Tow]:[WG]])+SUM(TblConstr[[#This Row],[Dest Tow]:[Dest WG]]) +Rezone!P109 + IF("Ch_" &amp; home_land=TblConstr[[#Headers],[Ch_Swamp]],TblConstr[[#This Row],[Home Land]])+IF(TblConstr[[#This Row],[Hour]:[Hour]]&gt;12,OFFSET(TblExplore[[#This Row],[Swamp Explore]],-12,0),0)</f>
        <v>0</v>
      </c>
      <c r="CV109" s="185">
        <f ca="1" xml:space="preserve"> - SUM(TblConstr[[#This Row],[DM]:[Sch]])+SUM(TblConstr[[#This Row],[Dest DM]:[Dest Sch]]) +Rezone!Q109 + IF("Ch_" &amp; home_land=TblConstr[[#Headers],[Ch_Cavern]],TblConstr[[#This Row],[Home Land]])+IF(TblConstr[[#This Row],[Hour]:[Hour]]&gt;12,OFFSET(TblExplore[[#This Row],[Cavern Explore]],-12,0),0)</f>
        <v>0</v>
      </c>
      <c r="CW109" s="186">
        <f ca="1">-TblConstr[[#This Row],[Doc]]+TblConstr[[#This Row],[Dest Doc]] +Rezone!R109 + IF("Ch_" &amp; home_land=TblConstr[[#Headers],[Ch_Water]],TblConstr[[#This Row],[Home Land]])+IF(TblConstr[[#This Row],[Hour]:[Hour]]&gt;12,OFFSET(TblExplore[[#This Row],[Water Explore]],-12,0),0)</f>
        <v>0</v>
      </c>
      <c r="CX109" s="45">
        <f>IF(Explore!S109=1,20) - TblConstr[[#This Row],[Hom]] + TblConstr[[#This Row],[Dest Hom]]</f>
        <v>0</v>
      </c>
      <c r="CY109" s="142"/>
      <c r="CZ109" s="94">
        <f t="shared" ca="1" si="23"/>
        <v>30</v>
      </c>
      <c r="DA109" s="94">
        <f t="shared" ca="1" si="24"/>
        <v>20</v>
      </c>
      <c r="DB109" s="45">
        <f t="shared" ca="1" si="25"/>
        <v>0</v>
      </c>
      <c r="DC109" s="94">
        <f t="shared" ca="1" si="26"/>
        <v>0</v>
      </c>
      <c r="DD109" s="94">
        <f t="shared" ca="1" si="27"/>
        <v>0</v>
      </c>
      <c r="DE109" s="45">
        <f t="shared" ca="1" si="28"/>
        <v>0</v>
      </c>
      <c r="DF109" s="94">
        <f t="shared" ca="1" si="29"/>
        <v>0</v>
      </c>
      <c r="DG109" s="94" cm="1">
        <f t="array" aca="1" ref="DG109" ca="1">INDEX(TblConstr[[Total Plain]:[Total Water]],ROW()-ROW(TblConstr[#Headers]),MATCH("Total "&amp;home_land,TblConstr[[#Headers],[Total Plain]:[Total Water]],0))+TblConstr[[#This Row],[Homes]]</f>
        <v>30</v>
      </c>
      <c r="DH109" s="45">
        <f t="shared" ca="1" si="22"/>
        <v>0</v>
      </c>
      <c r="DI109" s="45">
        <f t="shared" ca="1" si="19"/>
        <v>0</v>
      </c>
      <c r="DJ109" s="45">
        <f t="shared" ca="1" si="20"/>
        <v>0</v>
      </c>
    </row>
    <row r="110" spans="1:114" x14ac:dyDescent="0.2">
      <c r="A110" s="175">
        <f>TblRezone[[#This Row],[Hour]]</f>
        <v>107</v>
      </c>
      <c r="B110" s="176">
        <f ca="1">SUM(TblConstr[[#This Row],[Plain]:[Water]])</f>
        <v>0</v>
      </c>
      <c r="C110" s="177">
        <f ca="1">SUM(TblConstr[[#This Row],[Tot Hom]:[Tot Doc]])</f>
        <v>50</v>
      </c>
      <c r="D110" s="177">
        <f t="shared" si="21"/>
        <v>0</v>
      </c>
      <c r="E110" s="178"/>
      <c r="F110" s="61">
        <f ca="1">TblConstr[[#This Row],[Barren]]+TblConstr[[#This Row],[Buildings]]+TblConstr[[#This Row],[Incoming]]</f>
        <v>50</v>
      </c>
      <c r="G110" s="187">
        <f ca="1">OFFSET(TblConstr[[#This Row],[Plain]],-1,0)+TblConstr[[#This Row],[Ch_Plain]]</f>
        <v>0</v>
      </c>
      <c r="H110" s="182">
        <f ca="1">OFFSET(TblConstr[[#This Row],[Forest]],-1,0)+TblConstr[[#This Row],[Ch_Forest]]</f>
        <v>0</v>
      </c>
      <c r="I110" s="359">
        <f ca="1">OFFSET(TblConstr[[#This Row],[Mountain]],-1,0)+TblConstr[[#This Row],[Ch_Mountain]]</f>
        <v>0</v>
      </c>
      <c r="J110" s="363">
        <f ca="1">OFFSET(TblConstr[[#This Row],[Hill]],-1,0)+TblConstr[[#This Row],[Ch_Hill]]</f>
        <v>0</v>
      </c>
      <c r="K110" s="367">
        <f ca="1">OFFSET(TblConstr[[#This Row],[Swamp]],-1,0)+TblConstr[[#This Row],[Ch_Swamp]]</f>
        <v>0</v>
      </c>
      <c r="L110" s="185">
        <f ca="1">OFFSET(TblConstr[[#This Row],[Cavern]],-1,0)+TblConstr[[#This Row],[Ch_Cavern]]</f>
        <v>0</v>
      </c>
      <c r="M110" s="186">
        <f ca="1">OFFSET(TblConstr[[#This Row],[Water]],-1,0)+TblConstr[[#This Row],[Ch_Water]]</f>
        <v>0</v>
      </c>
      <c r="N110" s="357">
        <f>TblRezone[[#This Row],[Hour]]</f>
        <v>107</v>
      </c>
      <c r="O110" s="179"/>
      <c r="P110" s="179"/>
      <c r="Q110" s="179"/>
      <c r="R110" s="158"/>
      <c r="S110" s="179"/>
      <c r="T110" s="179"/>
      <c r="U110" s="179"/>
      <c r="V110" s="179"/>
      <c r="W110" s="179"/>
      <c r="X110" s="179"/>
      <c r="Y110" s="179"/>
      <c r="Z110" s="179"/>
      <c r="AA110" s="179"/>
      <c r="AB110" s="179"/>
      <c r="AC110" s="179"/>
      <c r="AD110" s="179"/>
      <c r="AE110" s="179"/>
      <c r="AF110" s="179"/>
      <c r="AG110" s="179"/>
      <c r="AH110" s="53">
        <f ca="1">TblImps[[#This Row],[Time]]</f>
        <v>46324.41666666641</v>
      </c>
      <c r="AI110" s="180">
        <f ca="1">MIN(25%,(TblConstr[[#This Row],[Tot Fac]]+TblConstr[[#This Row],[Dest Fac]])/(TblConstr[[#This Row],[Land]]-TblExplore[[#This Row],[Land Bonus]]*20))</f>
        <v>0</v>
      </c>
      <c r="AJ110" s="180">
        <f ca="1">MIN(25%,(TblConstr[[#This Row],[Tot Fac]]+TblConstr[[#This Row],[Dest Fac]])/TblConstr[[#This Row],[Land]])</f>
        <v>0</v>
      </c>
      <c r="AK110" s="94">
        <f ca="1">TblProd[[#This Row],[Platinum]]</f>
        <v>203296</v>
      </c>
      <c r="AL110" s="94">
        <f ca="1">TblProd[[#This Row],[Lumber]]</f>
        <v>70706</v>
      </c>
      <c r="AM1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0" s="94">
        <f ca="1">ROUNDDOWN( MAX(1 - MIN(facs_constr_factor*TblConstr[[#This Row],[Facs -DB]],facs_constr_max) + tech_1_11*TblTech[[#This Row],[11-1]] + tech_6_3_2*TblTech[[#This Row],[6-3]] + tech_5_2_3*TblTech[[#This Row],[5-2]], 1-global_constr_cap) * TblConstr[[#This Row],[RCPA Lumber]],0)</f>
        <v>31</v>
      </c>
      <c r="AO1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0" s="94">
        <f ca="1">ROUNDDOWN( MAX(1 - MIN(facs_constr_factor*TblConstr[[#This Row],[Facs DB]],facs_constr_max) + tech_1_11*TblTech[[#This Row],[1-11]] + tech_6_3_2*TblTech[[#This Row],[6-3]] + tech_5_2_3*TblTech[[#This Row],[5-2]], 1-global_constr_cap) * ROUND((TblConstr[[#This Row],[Land]]-250)*0.285 + 87.5 + 0/4.25,0),0)</f>
        <v>31</v>
      </c>
      <c r="AQ110" s="45">
        <f ca="1">TblConstr[[#This Row],[build -db]]*TblConstr[[#This Row],[CPA Platinum -DB]] + TblConstr[[#This Row],[build db]]*TblConstr[[#This Row],[CPA Platinum DB]]</f>
        <v>0</v>
      </c>
      <c r="AR110" s="45">
        <f ca="1">TblConstr[[#This Row],[build -db]]*TblConstr[[#This Row],[CPA Lumber -DB]] + TblConstr[[#This Row],[build db]]*TblConstr[[#This Row],[CPA Lumber DB]]</f>
        <v>0</v>
      </c>
      <c r="AS110" s="94">
        <f ca="1">MIN(SUM(OFFSET(TblConstr[[#This Row],[Plain]:[Water]],-1,0))+SUM(TblConstr[[#This Row],[Dest Hom]:[Dest Doc]])+IF(TblConstr[[#This Row],[Hour]]&gt;12,SUM(OFFSET(TblExplore[[#This Row],[Plains Explore]:[Water Explore]],-12,0)),0),SUM(TblConstr[[#This Row],[Hom]:[Doc]]))</f>
        <v>0</v>
      </c>
      <c r="AT1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42"/>
      <c r="AV110" s="94">
        <f ca="1">ROUND((TblConstr[[#This Row],[Land]]-250 - IF(TblExplore[[#This Row],[Land Bonus]]&lt;&gt;0,20,0))*1.25 + 850 + 0,0)</f>
        <v>600</v>
      </c>
      <c r="AW110" s="94">
        <f ca="1">ROUND((TblConstr[[#This Row],[Land]]-250 - IF(TblExplore[[#This Row],[Land Bonus]]&lt;&gt;0,20,0))*0.285 + 87.5 + 0/4.25,0)</f>
        <v>31</v>
      </c>
      <c r="AX110" s="154"/>
      <c r="AY110" s="188" cm="1">
        <f t="array" aca="1" ref="AY110" ca="1">IF(TblConstr[[#This Row],[Hour]:[Hour]]&gt;12,OFFSET(TblConstr[[#This Row],[Hom]],-12,0),0)+OFFSET(TblConstr[[#This Row],[Tot Hom]],-1,0)-TblConstr[[#This Row],[Dest Hom]]</f>
        <v>0</v>
      </c>
      <c r="AZ110" s="189" cm="1">
        <f t="array" aca="1" ref="AZ110" ca="1">IF(TblConstr[[#This Row],[Hour]:[Hour]]&gt;12,OFFSET(TblConstr[[#This Row],[Alc]],-12,0),0)+OFFSET(TblConstr[[#This Row],[Tot Alc]],-1,0)-TblConstr[[#This Row],[Dest Alc]]</f>
        <v>0</v>
      </c>
      <c r="BA110" s="189" cm="1">
        <f t="array" aca="1" ref="BA110" ca="1">IF(TblConstr[[#This Row],[Hour]:[Hour]]&gt;12,OFFSET(TblConstr[[#This Row],[Far]],-12,0),0)+OFFSET(TblConstr[[#This Row],[Tot Farm]],-1,0)-TblConstr[[#This Row],[Dest Farm]]</f>
        <v>30</v>
      </c>
      <c r="BB110" s="189" cm="1">
        <f t="array" aca="1" ref="BB110" ca="1">IF(TblConstr[[#This Row],[Hour]:[Hour]]&gt;12,OFFSET(TblConstr[[#This Row],[Smi]],-12,0),0)+OFFSET(TblConstr[[#This Row],[Tot Smi]],-1,0)-TblConstr[[#This Row],[Dest Smi]]</f>
        <v>0</v>
      </c>
      <c r="BC110" s="189" cm="1">
        <f t="array" aca="1" ref="BC110" ca="1">IF(TblConstr[[#This Row],[Hour]:[Hour]]&gt;12,OFFSET(TblConstr[[#This Row],[Mas]],-12,0),0)+OFFSET(TblConstr[[#This Row],[Tot Mas]],-1,0)-TblConstr[[#This Row],[Dest Mas]]</f>
        <v>0</v>
      </c>
      <c r="BD110" s="190" cm="1">
        <f t="array" aca="1" ref="BD110" ca="1">IF(TblConstr[[#This Row],[Hour]:[Hour]]&gt;12,OFFSET(TblConstr[[#This Row],[Ly]],-12,0),0)+OFFSET(TblConstr[[#This Row],[Tot Ly]],-1,0)-TblConstr[[#This Row],[Dest Ly]]</f>
        <v>20</v>
      </c>
      <c r="BE110" s="190" cm="1">
        <f t="array" aca="1" ref="BE110" ca="1">IF(TblConstr[[#This Row],[Hour]:[Hour]]&gt;12,OFFSET(TblConstr[[#This Row],[Hav]],-12,0),0)+OFFSET(TblConstr[[#This Row],[Tot Hav]],-1,0)-TblConstr[[#This Row],[Dest Hav]]</f>
        <v>0</v>
      </c>
      <c r="BF110" s="361" cm="1">
        <f t="array" aca="1" ref="BF110" ca="1">IF(TblConstr[[#This Row],[Hour]:[Hour]]&gt;12,OFFSET(TblConstr[[#This Row],[OM]],-12,0),0)+OFFSET(TblConstr[[#This Row],[Tot OM]],-1,0)-TblConstr[[#This Row],[Dest OM]]</f>
        <v>0</v>
      </c>
      <c r="BG110" s="361" cm="1">
        <f t="array" aca="1" ref="BG110" ca="1">IF(TblConstr[[#This Row],[Hour]:[Hour]]&gt;12,OFFSET(TblConstr[[#This Row],[GN]],-12,0),0)+OFFSET(TblConstr[[#This Row],[Tot GN]],-1,0)-TblConstr[[#This Row],[Dest GN]]</f>
        <v>0</v>
      </c>
      <c r="BH110" s="365" cm="1">
        <f t="array" aca="1" ref="BH110" ca="1">IF(TblConstr[[#This Row],[Hour]:[Hour]]&gt;12,OFFSET(TblConstr[[#This Row],[Fac]],-12,0),0)+OFFSET(TblConstr[[#This Row],[Tot Fac]],-1,0)-TblConstr[[#This Row],[Dest Fac]]</f>
        <v>0</v>
      </c>
      <c r="BI110" s="365" cm="1">
        <f t="array" aca="1" ref="BI110" ca="1">IF(TblConstr[[#This Row],[Hour]:[Hour]]&gt;12,OFFSET(TblConstr[[#This Row],[GT]],-12,0),0)+OFFSET(TblConstr[[#This Row],[Tot GT]],-1,0)-TblConstr[[#This Row],[Dest GT]]</f>
        <v>0</v>
      </c>
      <c r="BJ110" s="365" cm="1">
        <f t="array" aca="1" ref="BJ110" ca="1">IF(TblConstr[[#This Row],[Hour]:[Hour]]&gt;12,OFFSET(TblConstr[[#This Row],[Bar]],-12,0),0)+OFFSET(TblConstr[[#This Row],[Tot Bar]],-1,0)-TblConstr[[#This Row],[Dest Bar]]</f>
        <v>0</v>
      </c>
      <c r="BK110" s="365" cm="1">
        <f t="array" aca="1" ref="BK110" ca="1">IF(TblConstr[[#This Row],[Hour]:[Hour]]&gt;12,OFFSET(TblConstr[[#This Row],[Shr]],-12,0),0)+OFFSET(TblConstr[[#This Row],[Tot Shr]],-1,0)-TblConstr[[#This Row],[Dest Shr]]</f>
        <v>0</v>
      </c>
      <c r="BL110" s="369" cm="1">
        <f t="array" aca="1" ref="BL110" ca="1">IF(TblConstr[[#This Row],[Hour]:[Hour]]&gt;12,OFFSET(TblConstr[[#This Row],[Tow]],-12,0),0)+OFFSET(TblConstr[[#This Row],[Tot Tow]],-1,0)-TblConstr[[#This Row],[Dest Tow]]</f>
        <v>0</v>
      </c>
      <c r="BM110" s="369" cm="1">
        <f t="array" aca="1" ref="BM110" ca="1">IF(TblConstr[[#This Row],[Hour]:[Hour]]&gt;12,OFFSET(TblConstr[[#This Row],[Tem]],-12,0),0)+OFFSET(TblConstr[[#This Row],[Tot Tem]],-1,0)-TblConstr[[#This Row],[Dest Tem]]</f>
        <v>0</v>
      </c>
      <c r="BN110" s="369" cm="1">
        <f t="array" aca="1" ref="BN110" ca="1">IF(TblConstr[[#This Row],[Hour]:[Hour]]&gt;12,OFFSET(TblConstr[[#This Row],[WG]],-12,0),0)+OFFSET(TblConstr[[#This Row],[Tot WG]],-1,0)-TblConstr[[#This Row],[Dest WG]]</f>
        <v>0</v>
      </c>
      <c r="BO110" s="191" cm="1">
        <f t="array" aca="1" ref="BO110" ca="1">IF(TblConstr[[#This Row],[Hour]:[Hour]]&gt;12,OFFSET(TblConstr[[#This Row],[DM]],-12,0),0)+OFFSET(TblConstr[[#This Row],[Tot DM]],-1,0)-TblConstr[[#This Row],[Dest DM]]</f>
        <v>0</v>
      </c>
      <c r="BP110" s="191" cm="1">
        <f t="array" aca="1" ref="BP110" ca="1">IF(TblConstr[[#This Row],[Hour]:[Hour]]&gt;12,OFFSET(TblConstr[[#This Row],[Sch]],-12,0),0)+OFFSET(TblConstr[[#This Row],[Tot Sch]],-1,0)-TblConstr[[#This Row],[Dest Sch]]</f>
        <v>0</v>
      </c>
      <c r="BQ110" s="192" cm="1">
        <f t="array" aca="1" ref="BQ110" ca="1">IF(TblConstr[[#This Row],[Hour]:[Hour]]&gt;12,OFFSET(TblConstr[[#This Row],[Doc]],-12,0),0)+OFFSET(TblConstr[[#This Row],[Tot Doc]],-1,0)-TblConstr[[#This Row],[Dest Doc]]</f>
        <v>0</v>
      </c>
      <c r="BR110" s="142"/>
      <c r="BS110" s="154"/>
      <c r="BT110" s="94">
        <f ca="1">TblConstr[[#This Row],[Land]]</f>
        <v>50</v>
      </c>
      <c r="BU110" s="159">
        <f ca="1">TblImps[[#This Row],[Time]]</f>
        <v>46324.41666666641</v>
      </c>
      <c r="BV110" s="142"/>
      <c r="BW110" s="179"/>
      <c r="BX110" s="179"/>
      <c r="BY110" s="179"/>
      <c r="BZ110" s="179"/>
      <c r="CA110" s="179"/>
      <c r="CB110" s="179"/>
      <c r="CC110" s="179"/>
      <c r="CD110" s="179"/>
      <c r="CE110" s="179"/>
      <c r="CF110" s="179"/>
      <c r="CG110" s="179"/>
      <c r="CH110" s="179"/>
      <c r="CI110" s="179"/>
      <c r="CJ110" s="179"/>
      <c r="CK110" s="179"/>
      <c r="CL110" s="179"/>
      <c r="CM110" s="179"/>
      <c r="CN110" s="179"/>
      <c r="CO110" s="179"/>
      <c r="CP110" s="142"/>
      <c r="CQ110" s="181">
        <f ca="1">-SUM(TblConstr[[#This Row],[Alc]:[Mas]])+SUM(TblConstr[[#This Row],[Dest Alc]:[Dest Mas]])+Rezone!L110+IF("Ch_"&amp; home_land=TblConstr[[#Headers],[Ch_Plain]],TblConstr[[#This Row],[Home Land]])+IF(TblConstr[[#This Row],[Hour]:[Hour]]&gt;12,OFFSET(TblExplore[[#This Row],[Plains Explore]],-12,0),0)</f>
        <v>0</v>
      </c>
      <c r="CR110" s="182">
        <f ca="1">-SUM(TblConstr[[#This Row],[Ly]:[Hav]])+SUM(TblConstr[[#This Row],[Dest Ly]:[Dest Hav]]) +Rezone!M110 + IF("Ch_"&amp; home_land=TblConstr[[#Headers],[Ch_Forest]],TblConstr[[#This Row],[Home Land]])+IF(TblConstr[[#This Row],[Hour]:[Hour]]&gt;12,OFFSET(TblExplore[[#This Row],[Forest Explore]],-12,0),0)</f>
        <v>0</v>
      </c>
      <c r="CS110" s="359">
        <f ca="1">-SUM(TblConstr[[#This Row],[OM]:[GN]])+SUM(TblConstr[[#This Row],[Dest OM]:[Dest GN]]) +Rezone!N110 + IF("Ch_"&amp; home_land=TblConstr[[#Headers],[Ch_Mountain]],TblConstr[[#This Row],[Home Land]])+IF(TblConstr[[#This Row],[Hour]:[Hour]]&gt;12,OFFSET(TblExplore[[#This Row],[Mountain Explore]],-12,0),0)</f>
        <v>0</v>
      </c>
      <c r="CT110" s="183">
        <f ca="1">-SUM(TblConstr[[#This Row],[Fac]:[Shr]])+SUM(TblConstr[[#This Row],[Dest Fac]:[Dest Shr]]) +Rezone!O110 + IF("Ch_" &amp; home_land=TblConstr[[#Headers],[Ch_Hill]],TblConstr[[#This Row],[Home Land]])+IF(TblConstr[[#This Row],[Hour]:[Hour]]&gt;12,OFFSET(TblExplore[[#This Row],[Hill Explore]],-12,0),0)</f>
        <v>0</v>
      </c>
      <c r="CU110" s="184">
        <f ca="1">-SUM(TblConstr[[#This Row],[Tow]:[WG]])+SUM(TblConstr[[#This Row],[Dest Tow]:[Dest WG]]) +Rezone!P110 + IF("Ch_" &amp; home_land=TblConstr[[#Headers],[Ch_Swamp]],TblConstr[[#This Row],[Home Land]])+IF(TblConstr[[#This Row],[Hour]:[Hour]]&gt;12,OFFSET(TblExplore[[#This Row],[Swamp Explore]],-12,0),0)</f>
        <v>0</v>
      </c>
      <c r="CV110" s="185">
        <f ca="1" xml:space="preserve"> - SUM(TblConstr[[#This Row],[DM]:[Sch]])+SUM(TblConstr[[#This Row],[Dest DM]:[Dest Sch]]) +Rezone!Q110 + IF("Ch_" &amp; home_land=TblConstr[[#Headers],[Ch_Cavern]],TblConstr[[#This Row],[Home Land]])+IF(TblConstr[[#This Row],[Hour]:[Hour]]&gt;12,OFFSET(TblExplore[[#This Row],[Cavern Explore]],-12,0),0)</f>
        <v>0</v>
      </c>
      <c r="CW110" s="186">
        <f ca="1">-TblConstr[[#This Row],[Doc]]+TblConstr[[#This Row],[Dest Doc]] +Rezone!R110 + IF("Ch_" &amp; home_land=TblConstr[[#Headers],[Ch_Water]],TblConstr[[#This Row],[Home Land]])+IF(TblConstr[[#This Row],[Hour]:[Hour]]&gt;12,OFFSET(TblExplore[[#This Row],[Water Explore]],-12,0),0)</f>
        <v>0</v>
      </c>
      <c r="CX110" s="45">
        <f>IF(Explore!S110=1,20) - TblConstr[[#This Row],[Hom]] + TblConstr[[#This Row],[Dest Hom]]</f>
        <v>0</v>
      </c>
      <c r="CY110" s="142"/>
      <c r="CZ110" s="94">
        <f t="shared" ca="1" si="23"/>
        <v>30</v>
      </c>
      <c r="DA110" s="94">
        <f t="shared" ca="1" si="24"/>
        <v>20</v>
      </c>
      <c r="DB110" s="45">
        <f t="shared" ca="1" si="25"/>
        <v>0</v>
      </c>
      <c r="DC110" s="94">
        <f t="shared" ca="1" si="26"/>
        <v>0</v>
      </c>
      <c r="DD110" s="94">
        <f t="shared" ca="1" si="27"/>
        <v>0</v>
      </c>
      <c r="DE110" s="45">
        <f t="shared" ca="1" si="28"/>
        <v>0</v>
      </c>
      <c r="DF110" s="94">
        <f t="shared" ca="1" si="29"/>
        <v>0</v>
      </c>
      <c r="DG110" s="94" cm="1">
        <f t="array" aca="1" ref="DG110" ca="1">INDEX(TblConstr[[Total Plain]:[Total Water]],ROW()-ROW(TblConstr[#Headers]),MATCH("Total "&amp;home_land,TblConstr[[#Headers],[Total Plain]:[Total Water]],0))+TblConstr[[#This Row],[Homes]]</f>
        <v>30</v>
      </c>
      <c r="DH110" s="45">
        <f t="shared" ca="1" si="22"/>
        <v>0</v>
      </c>
      <c r="DI110" s="45">
        <f t="shared" ca="1" si="19"/>
        <v>0</v>
      </c>
      <c r="DJ110" s="45">
        <f t="shared" ca="1" si="20"/>
        <v>0</v>
      </c>
    </row>
    <row r="111" spans="1:114" x14ac:dyDescent="0.2">
      <c r="A111" s="175">
        <f>TblRezone[[#This Row],[Hour]]</f>
        <v>108</v>
      </c>
      <c r="B111" s="176">
        <f ca="1">SUM(TblConstr[[#This Row],[Plain]:[Water]])</f>
        <v>0</v>
      </c>
      <c r="C111" s="177">
        <f ca="1">SUM(TblConstr[[#This Row],[Tot Hom]:[Tot Doc]])</f>
        <v>50</v>
      </c>
      <c r="D111" s="177">
        <f t="shared" si="21"/>
        <v>0</v>
      </c>
      <c r="E111" s="178"/>
      <c r="F111" s="61">
        <f ca="1">TblConstr[[#This Row],[Barren]]+TblConstr[[#This Row],[Buildings]]+TblConstr[[#This Row],[Incoming]]</f>
        <v>50</v>
      </c>
      <c r="G111" s="187">
        <f ca="1">OFFSET(TblConstr[[#This Row],[Plain]],-1,0)+TblConstr[[#This Row],[Ch_Plain]]</f>
        <v>0</v>
      </c>
      <c r="H111" s="182">
        <f ca="1">OFFSET(TblConstr[[#This Row],[Forest]],-1,0)+TblConstr[[#This Row],[Ch_Forest]]</f>
        <v>0</v>
      </c>
      <c r="I111" s="359">
        <f ca="1">OFFSET(TblConstr[[#This Row],[Mountain]],-1,0)+TblConstr[[#This Row],[Ch_Mountain]]</f>
        <v>0</v>
      </c>
      <c r="J111" s="363">
        <f ca="1">OFFSET(TblConstr[[#This Row],[Hill]],-1,0)+TblConstr[[#This Row],[Ch_Hill]]</f>
        <v>0</v>
      </c>
      <c r="K111" s="367">
        <f ca="1">OFFSET(TblConstr[[#This Row],[Swamp]],-1,0)+TblConstr[[#This Row],[Ch_Swamp]]</f>
        <v>0</v>
      </c>
      <c r="L111" s="185">
        <f ca="1">OFFSET(TblConstr[[#This Row],[Cavern]],-1,0)+TblConstr[[#This Row],[Ch_Cavern]]</f>
        <v>0</v>
      </c>
      <c r="M111" s="186">
        <f ca="1">OFFSET(TblConstr[[#This Row],[Water]],-1,0)+TblConstr[[#This Row],[Ch_Water]]</f>
        <v>0</v>
      </c>
      <c r="N111" s="357">
        <f>TblRezone[[#This Row],[Hour]]</f>
        <v>108</v>
      </c>
      <c r="O111" s="179"/>
      <c r="P111" s="179"/>
      <c r="Q111" s="179"/>
      <c r="R111" s="158"/>
      <c r="S111" s="179"/>
      <c r="T111" s="179"/>
      <c r="U111" s="179"/>
      <c r="V111" s="179"/>
      <c r="W111" s="179"/>
      <c r="X111" s="179"/>
      <c r="Y111" s="179"/>
      <c r="Z111" s="179"/>
      <c r="AA111" s="179"/>
      <c r="AB111" s="179"/>
      <c r="AC111" s="179"/>
      <c r="AD111" s="179"/>
      <c r="AE111" s="179"/>
      <c r="AF111" s="179"/>
      <c r="AG111" s="179"/>
      <c r="AH111" s="53">
        <f ca="1">TblImps[[#This Row],[Time]]</f>
        <v>46324.458333333074</v>
      </c>
      <c r="AI111" s="180">
        <f ca="1">MIN(25%,(TblConstr[[#This Row],[Tot Fac]]+TblConstr[[#This Row],[Dest Fac]])/(TblConstr[[#This Row],[Land]]-TblExplore[[#This Row],[Land Bonus]]*20))</f>
        <v>0</v>
      </c>
      <c r="AJ111" s="180">
        <f ca="1">MIN(25%,(TblConstr[[#This Row],[Tot Fac]]+TblConstr[[#This Row],[Dest Fac]])/TblConstr[[#This Row],[Land]])</f>
        <v>0</v>
      </c>
      <c r="AK111" s="94">
        <f ca="1">TblProd[[#This Row],[Platinum]]</f>
        <v>203730</v>
      </c>
      <c r="AL111" s="94">
        <f ca="1">TblProd[[#This Row],[Lumber]]</f>
        <v>70999</v>
      </c>
      <c r="AM1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1" s="94">
        <f ca="1">ROUNDDOWN( MAX(1 - MIN(facs_constr_factor*TblConstr[[#This Row],[Facs -DB]],facs_constr_max) + tech_1_11*TblTech[[#This Row],[11-1]] + tech_6_3_2*TblTech[[#This Row],[6-3]] + tech_5_2_3*TblTech[[#This Row],[5-2]], 1-global_constr_cap) * TblConstr[[#This Row],[RCPA Lumber]],0)</f>
        <v>31</v>
      </c>
      <c r="AO1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1" s="94">
        <f ca="1">ROUNDDOWN( MAX(1 - MIN(facs_constr_factor*TblConstr[[#This Row],[Facs DB]],facs_constr_max) + tech_1_11*TblTech[[#This Row],[1-11]] + tech_6_3_2*TblTech[[#This Row],[6-3]] + tech_5_2_3*TblTech[[#This Row],[5-2]], 1-global_constr_cap) * ROUND((TblConstr[[#This Row],[Land]]-250)*0.285 + 87.5 + 0/4.25,0),0)</f>
        <v>31</v>
      </c>
      <c r="AQ111" s="45">
        <f ca="1">TblConstr[[#This Row],[build -db]]*TblConstr[[#This Row],[CPA Platinum -DB]] + TblConstr[[#This Row],[build db]]*TblConstr[[#This Row],[CPA Platinum DB]]</f>
        <v>0</v>
      </c>
      <c r="AR111" s="45">
        <f ca="1">TblConstr[[#This Row],[build -db]]*TblConstr[[#This Row],[CPA Lumber -DB]] + TblConstr[[#This Row],[build db]]*TblConstr[[#This Row],[CPA Lumber DB]]</f>
        <v>0</v>
      </c>
      <c r="AS111" s="94">
        <f ca="1">MIN(SUM(OFFSET(TblConstr[[#This Row],[Plain]:[Water]],-1,0))+SUM(TblConstr[[#This Row],[Dest Hom]:[Dest Doc]])+IF(TblConstr[[#This Row],[Hour]]&gt;12,SUM(OFFSET(TblExplore[[#This Row],[Plains Explore]:[Water Explore]],-12,0)),0),SUM(TblConstr[[#This Row],[Hom]:[Doc]]))</f>
        <v>0</v>
      </c>
      <c r="AT1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42"/>
      <c r="AV111" s="94">
        <f ca="1">ROUND((TblConstr[[#This Row],[Land]]-250 - IF(TblExplore[[#This Row],[Land Bonus]]&lt;&gt;0,20,0))*1.25 + 850 + 0,0)</f>
        <v>600</v>
      </c>
      <c r="AW111" s="94">
        <f ca="1">ROUND((TblConstr[[#This Row],[Land]]-250 - IF(TblExplore[[#This Row],[Land Bonus]]&lt;&gt;0,20,0))*0.285 + 87.5 + 0/4.25,0)</f>
        <v>31</v>
      </c>
      <c r="AX111" s="154"/>
      <c r="AY111" s="188" cm="1">
        <f t="array" aca="1" ref="AY111" ca="1">IF(TblConstr[[#This Row],[Hour]:[Hour]]&gt;12,OFFSET(TblConstr[[#This Row],[Hom]],-12,0),0)+OFFSET(TblConstr[[#This Row],[Tot Hom]],-1,0)-TblConstr[[#This Row],[Dest Hom]]</f>
        <v>0</v>
      </c>
      <c r="AZ111" s="189" cm="1">
        <f t="array" aca="1" ref="AZ111" ca="1">IF(TblConstr[[#This Row],[Hour]:[Hour]]&gt;12,OFFSET(TblConstr[[#This Row],[Alc]],-12,0),0)+OFFSET(TblConstr[[#This Row],[Tot Alc]],-1,0)-TblConstr[[#This Row],[Dest Alc]]</f>
        <v>0</v>
      </c>
      <c r="BA111" s="189" cm="1">
        <f t="array" aca="1" ref="BA111" ca="1">IF(TblConstr[[#This Row],[Hour]:[Hour]]&gt;12,OFFSET(TblConstr[[#This Row],[Far]],-12,0),0)+OFFSET(TblConstr[[#This Row],[Tot Farm]],-1,0)-TblConstr[[#This Row],[Dest Farm]]</f>
        <v>30</v>
      </c>
      <c r="BB111" s="189" cm="1">
        <f t="array" aca="1" ref="BB111" ca="1">IF(TblConstr[[#This Row],[Hour]:[Hour]]&gt;12,OFFSET(TblConstr[[#This Row],[Smi]],-12,0),0)+OFFSET(TblConstr[[#This Row],[Tot Smi]],-1,0)-TblConstr[[#This Row],[Dest Smi]]</f>
        <v>0</v>
      </c>
      <c r="BC111" s="189" cm="1">
        <f t="array" aca="1" ref="BC111" ca="1">IF(TblConstr[[#This Row],[Hour]:[Hour]]&gt;12,OFFSET(TblConstr[[#This Row],[Mas]],-12,0),0)+OFFSET(TblConstr[[#This Row],[Tot Mas]],-1,0)-TblConstr[[#This Row],[Dest Mas]]</f>
        <v>0</v>
      </c>
      <c r="BD111" s="190" cm="1">
        <f t="array" aca="1" ref="BD111" ca="1">IF(TblConstr[[#This Row],[Hour]:[Hour]]&gt;12,OFFSET(TblConstr[[#This Row],[Ly]],-12,0),0)+OFFSET(TblConstr[[#This Row],[Tot Ly]],-1,0)-TblConstr[[#This Row],[Dest Ly]]</f>
        <v>20</v>
      </c>
      <c r="BE111" s="190" cm="1">
        <f t="array" aca="1" ref="BE111" ca="1">IF(TblConstr[[#This Row],[Hour]:[Hour]]&gt;12,OFFSET(TblConstr[[#This Row],[Hav]],-12,0),0)+OFFSET(TblConstr[[#This Row],[Tot Hav]],-1,0)-TblConstr[[#This Row],[Dest Hav]]</f>
        <v>0</v>
      </c>
      <c r="BF111" s="361" cm="1">
        <f t="array" aca="1" ref="BF111" ca="1">IF(TblConstr[[#This Row],[Hour]:[Hour]]&gt;12,OFFSET(TblConstr[[#This Row],[OM]],-12,0),0)+OFFSET(TblConstr[[#This Row],[Tot OM]],-1,0)-TblConstr[[#This Row],[Dest OM]]</f>
        <v>0</v>
      </c>
      <c r="BG111" s="361" cm="1">
        <f t="array" aca="1" ref="BG111" ca="1">IF(TblConstr[[#This Row],[Hour]:[Hour]]&gt;12,OFFSET(TblConstr[[#This Row],[GN]],-12,0),0)+OFFSET(TblConstr[[#This Row],[Tot GN]],-1,0)-TblConstr[[#This Row],[Dest GN]]</f>
        <v>0</v>
      </c>
      <c r="BH111" s="365" cm="1">
        <f t="array" aca="1" ref="BH111" ca="1">IF(TblConstr[[#This Row],[Hour]:[Hour]]&gt;12,OFFSET(TblConstr[[#This Row],[Fac]],-12,0),0)+OFFSET(TblConstr[[#This Row],[Tot Fac]],-1,0)-TblConstr[[#This Row],[Dest Fac]]</f>
        <v>0</v>
      </c>
      <c r="BI111" s="365" cm="1">
        <f t="array" aca="1" ref="BI111" ca="1">IF(TblConstr[[#This Row],[Hour]:[Hour]]&gt;12,OFFSET(TblConstr[[#This Row],[GT]],-12,0),0)+OFFSET(TblConstr[[#This Row],[Tot GT]],-1,0)-TblConstr[[#This Row],[Dest GT]]</f>
        <v>0</v>
      </c>
      <c r="BJ111" s="365" cm="1">
        <f t="array" aca="1" ref="BJ111" ca="1">IF(TblConstr[[#This Row],[Hour]:[Hour]]&gt;12,OFFSET(TblConstr[[#This Row],[Bar]],-12,0),0)+OFFSET(TblConstr[[#This Row],[Tot Bar]],-1,0)-TblConstr[[#This Row],[Dest Bar]]</f>
        <v>0</v>
      </c>
      <c r="BK111" s="365" cm="1">
        <f t="array" aca="1" ref="BK111" ca="1">IF(TblConstr[[#This Row],[Hour]:[Hour]]&gt;12,OFFSET(TblConstr[[#This Row],[Shr]],-12,0),0)+OFFSET(TblConstr[[#This Row],[Tot Shr]],-1,0)-TblConstr[[#This Row],[Dest Shr]]</f>
        <v>0</v>
      </c>
      <c r="BL111" s="369" cm="1">
        <f t="array" aca="1" ref="BL111" ca="1">IF(TblConstr[[#This Row],[Hour]:[Hour]]&gt;12,OFFSET(TblConstr[[#This Row],[Tow]],-12,0),0)+OFFSET(TblConstr[[#This Row],[Tot Tow]],-1,0)-TblConstr[[#This Row],[Dest Tow]]</f>
        <v>0</v>
      </c>
      <c r="BM111" s="369" cm="1">
        <f t="array" aca="1" ref="BM111" ca="1">IF(TblConstr[[#This Row],[Hour]:[Hour]]&gt;12,OFFSET(TblConstr[[#This Row],[Tem]],-12,0),0)+OFFSET(TblConstr[[#This Row],[Tot Tem]],-1,0)-TblConstr[[#This Row],[Dest Tem]]</f>
        <v>0</v>
      </c>
      <c r="BN111" s="369" cm="1">
        <f t="array" aca="1" ref="BN111" ca="1">IF(TblConstr[[#This Row],[Hour]:[Hour]]&gt;12,OFFSET(TblConstr[[#This Row],[WG]],-12,0),0)+OFFSET(TblConstr[[#This Row],[Tot WG]],-1,0)-TblConstr[[#This Row],[Dest WG]]</f>
        <v>0</v>
      </c>
      <c r="BO111" s="191" cm="1">
        <f t="array" aca="1" ref="BO111" ca="1">IF(TblConstr[[#This Row],[Hour]:[Hour]]&gt;12,OFFSET(TblConstr[[#This Row],[DM]],-12,0),0)+OFFSET(TblConstr[[#This Row],[Tot DM]],-1,0)-TblConstr[[#This Row],[Dest DM]]</f>
        <v>0</v>
      </c>
      <c r="BP111" s="191" cm="1">
        <f t="array" aca="1" ref="BP111" ca="1">IF(TblConstr[[#This Row],[Hour]:[Hour]]&gt;12,OFFSET(TblConstr[[#This Row],[Sch]],-12,0),0)+OFFSET(TblConstr[[#This Row],[Tot Sch]],-1,0)-TblConstr[[#This Row],[Dest Sch]]</f>
        <v>0</v>
      </c>
      <c r="BQ111" s="192" cm="1">
        <f t="array" aca="1" ref="BQ111" ca="1">IF(TblConstr[[#This Row],[Hour]:[Hour]]&gt;12,OFFSET(TblConstr[[#This Row],[Doc]],-12,0),0)+OFFSET(TblConstr[[#This Row],[Tot Doc]],-1,0)-TblConstr[[#This Row],[Dest Doc]]</f>
        <v>0</v>
      </c>
      <c r="BR111" s="142"/>
      <c r="BS111" s="154"/>
      <c r="BT111" s="94">
        <f ca="1">TblConstr[[#This Row],[Land]]</f>
        <v>50</v>
      </c>
      <c r="BU111" s="159">
        <f ca="1">TblImps[[#This Row],[Time]]</f>
        <v>46324.458333333074</v>
      </c>
      <c r="BV111" s="142"/>
      <c r="BW111" s="179"/>
      <c r="BX111" s="179"/>
      <c r="BY111" s="179"/>
      <c r="BZ111" s="179"/>
      <c r="CA111" s="179"/>
      <c r="CB111" s="179"/>
      <c r="CC111" s="179"/>
      <c r="CD111" s="179"/>
      <c r="CE111" s="179"/>
      <c r="CF111" s="179"/>
      <c r="CG111" s="179"/>
      <c r="CH111" s="179"/>
      <c r="CI111" s="179"/>
      <c r="CJ111" s="179"/>
      <c r="CK111" s="179"/>
      <c r="CL111" s="179"/>
      <c r="CM111" s="179"/>
      <c r="CN111" s="179"/>
      <c r="CO111" s="179"/>
      <c r="CP111" s="142"/>
      <c r="CQ111" s="181">
        <f ca="1">-SUM(TblConstr[[#This Row],[Alc]:[Mas]])+SUM(TblConstr[[#This Row],[Dest Alc]:[Dest Mas]])+Rezone!L111+IF("Ch_"&amp; home_land=TblConstr[[#Headers],[Ch_Plain]],TblConstr[[#This Row],[Home Land]])+IF(TblConstr[[#This Row],[Hour]:[Hour]]&gt;12,OFFSET(TblExplore[[#This Row],[Plains Explore]],-12,0),0)</f>
        <v>0</v>
      </c>
      <c r="CR111" s="182">
        <f ca="1">-SUM(TblConstr[[#This Row],[Ly]:[Hav]])+SUM(TblConstr[[#This Row],[Dest Ly]:[Dest Hav]]) +Rezone!M111 + IF("Ch_"&amp; home_land=TblConstr[[#Headers],[Ch_Forest]],TblConstr[[#This Row],[Home Land]])+IF(TblConstr[[#This Row],[Hour]:[Hour]]&gt;12,OFFSET(TblExplore[[#This Row],[Forest Explore]],-12,0),0)</f>
        <v>0</v>
      </c>
      <c r="CS111" s="359">
        <f ca="1">-SUM(TblConstr[[#This Row],[OM]:[GN]])+SUM(TblConstr[[#This Row],[Dest OM]:[Dest GN]]) +Rezone!N111 + IF("Ch_"&amp; home_land=TblConstr[[#Headers],[Ch_Mountain]],TblConstr[[#This Row],[Home Land]])+IF(TblConstr[[#This Row],[Hour]:[Hour]]&gt;12,OFFSET(TblExplore[[#This Row],[Mountain Explore]],-12,0),0)</f>
        <v>0</v>
      </c>
      <c r="CT111" s="183">
        <f ca="1">-SUM(TblConstr[[#This Row],[Fac]:[Shr]])+SUM(TblConstr[[#This Row],[Dest Fac]:[Dest Shr]]) +Rezone!O111 + IF("Ch_" &amp; home_land=TblConstr[[#Headers],[Ch_Hill]],TblConstr[[#This Row],[Home Land]])+IF(TblConstr[[#This Row],[Hour]:[Hour]]&gt;12,OFFSET(TblExplore[[#This Row],[Hill Explore]],-12,0),0)</f>
        <v>0</v>
      </c>
      <c r="CU111" s="184">
        <f ca="1">-SUM(TblConstr[[#This Row],[Tow]:[WG]])+SUM(TblConstr[[#This Row],[Dest Tow]:[Dest WG]]) +Rezone!P111 + IF("Ch_" &amp; home_land=TblConstr[[#Headers],[Ch_Swamp]],TblConstr[[#This Row],[Home Land]])+IF(TblConstr[[#This Row],[Hour]:[Hour]]&gt;12,OFFSET(TblExplore[[#This Row],[Swamp Explore]],-12,0),0)</f>
        <v>0</v>
      </c>
      <c r="CV111" s="185">
        <f ca="1" xml:space="preserve"> - SUM(TblConstr[[#This Row],[DM]:[Sch]])+SUM(TblConstr[[#This Row],[Dest DM]:[Dest Sch]]) +Rezone!Q111 + IF("Ch_" &amp; home_land=TblConstr[[#Headers],[Ch_Cavern]],TblConstr[[#This Row],[Home Land]])+IF(TblConstr[[#This Row],[Hour]:[Hour]]&gt;12,OFFSET(TblExplore[[#This Row],[Cavern Explore]],-12,0),0)</f>
        <v>0</v>
      </c>
      <c r="CW111" s="186">
        <f ca="1">-TblConstr[[#This Row],[Doc]]+TblConstr[[#This Row],[Dest Doc]] +Rezone!R111 + IF("Ch_" &amp; home_land=TblConstr[[#Headers],[Ch_Water]],TblConstr[[#This Row],[Home Land]])+IF(TblConstr[[#This Row],[Hour]:[Hour]]&gt;12,OFFSET(TblExplore[[#This Row],[Water Explore]],-12,0),0)</f>
        <v>0</v>
      </c>
      <c r="CX111" s="45">
        <f>IF(Explore!S111=1,20) - TblConstr[[#This Row],[Hom]] + TblConstr[[#This Row],[Dest Hom]]</f>
        <v>0</v>
      </c>
      <c r="CY111" s="142"/>
      <c r="CZ111" s="94">
        <f t="shared" ca="1" si="23"/>
        <v>30</v>
      </c>
      <c r="DA111" s="94">
        <f t="shared" ca="1" si="24"/>
        <v>20</v>
      </c>
      <c r="DB111" s="45">
        <f t="shared" ca="1" si="25"/>
        <v>0</v>
      </c>
      <c r="DC111" s="94">
        <f t="shared" ca="1" si="26"/>
        <v>0</v>
      </c>
      <c r="DD111" s="94">
        <f t="shared" ca="1" si="27"/>
        <v>0</v>
      </c>
      <c r="DE111" s="45">
        <f t="shared" ca="1" si="28"/>
        <v>0</v>
      </c>
      <c r="DF111" s="94">
        <f t="shared" ca="1" si="29"/>
        <v>0</v>
      </c>
      <c r="DG111" s="94" cm="1">
        <f t="array" aca="1" ref="DG111" ca="1">INDEX(TblConstr[[Total Plain]:[Total Water]],ROW()-ROW(TblConstr[#Headers]),MATCH("Total "&amp;home_land,TblConstr[[#Headers],[Total Plain]:[Total Water]],0))+TblConstr[[#This Row],[Homes]]</f>
        <v>30</v>
      </c>
      <c r="DH111" s="45">
        <f t="shared" ca="1" si="22"/>
        <v>0</v>
      </c>
      <c r="DI111" s="45">
        <f t="shared" ca="1" si="19"/>
        <v>0</v>
      </c>
      <c r="DJ111" s="45">
        <f t="shared" ca="1" si="20"/>
        <v>0</v>
      </c>
    </row>
    <row r="112" spans="1:114" x14ac:dyDescent="0.2">
      <c r="A112" s="175">
        <f>TblRezone[[#This Row],[Hour]]</f>
        <v>109</v>
      </c>
      <c r="B112" s="176">
        <f ca="1">SUM(TblConstr[[#This Row],[Plain]:[Water]])</f>
        <v>0</v>
      </c>
      <c r="C112" s="177">
        <f ca="1">SUM(TblConstr[[#This Row],[Tot Hom]:[Tot Doc]])</f>
        <v>50</v>
      </c>
      <c r="D112" s="177">
        <f t="shared" si="21"/>
        <v>0</v>
      </c>
      <c r="E112" s="178"/>
      <c r="F112" s="61">
        <f ca="1">TblConstr[[#This Row],[Barren]]+TblConstr[[#This Row],[Buildings]]+TblConstr[[#This Row],[Incoming]]</f>
        <v>50</v>
      </c>
      <c r="G112" s="187">
        <f ca="1">OFFSET(TblConstr[[#This Row],[Plain]],-1,0)+TblConstr[[#This Row],[Ch_Plain]]</f>
        <v>0</v>
      </c>
      <c r="H112" s="182">
        <f ca="1">OFFSET(TblConstr[[#This Row],[Forest]],-1,0)+TblConstr[[#This Row],[Ch_Forest]]</f>
        <v>0</v>
      </c>
      <c r="I112" s="359">
        <f ca="1">OFFSET(TblConstr[[#This Row],[Mountain]],-1,0)+TblConstr[[#This Row],[Ch_Mountain]]</f>
        <v>0</v>
      </c>
      <c r="J112" s="363">
        <f ca="1">OFFSET(TblConstr[[#This Row],[Hill]],-1,0)+TblConstr[[#This Row],[Ch_Hill]]</f>
        <v>0</v>
      </c>
      <c r="K112" s="367">
        <f ca="1">OFFSET(TblConstr[[#This Row],[Swamp]],-1,0)+TblConstr[[#This Row],[Ch_Swamp]]</f>
        <v>0</v>
      </c>
      <c r="L112" s="185">
        <f ca="1">OFFSET(TblConstr[[#This Row],[Cavern]],-1,0)+TblConstr[[#This Row],[Ch_Cavern]]</f>
        <v>0</v>
      </c>
      <c r="M112" s="186">
        <f ca="1">OFFSET(TblConstr[[#This Row],[Water]],-1,0)+TblConstr[[#This Row],[Ch_Water]]</f>
        <v>0</v>
      </c>
      <c r="N112" s="357">
        <f>TblRezone[[#This Row],[Hour]]</f>
        <v>109</v>
      </c>
      <c r="O112" s="179"/>
      <c r="P112" s="179"/>
      <c r="Q112" s="179"/>
      <c r="R112" s="179"/>
      <c r="S112" s="179"/>
      <c r="T112" s="179"/>
      <c r="U112" s="179"/>
      <c r="V112" s="179"/>
      <c r="W112" s="179"/>
      <c r="X112" s="179"/>
      <c r="Y112" s="179"/>
      <c r="Z112" s="179"/>
      <c r="AA112" s="179"/>
      <c r="AB112" s="179"/>
      <c r="AC112" s="179"/>
      <c r="AD112" s="179"/>
      <c r="AE112" s="179"/>
      <c r="AF112" s="179"/>
      <c r="AG112" s="179"/>
      <c r="AH112" s="53">
        <f ca="1">TblImps[[#This Row],[Time]]</f>
        <v>46324.499999999738</v>
      </c>
      <c r="AI112" s="180">
        <f ca="1">MIN(25%,(TblConstr[[#This Row],[Tot Fac]]+TblConstr[[#This Row],[Dest Fac]])/(TblConstr[[#This Row],[Land]]-TblExplore[[#This Row],[Land Bonus]]*20))</f>
        <v>0</v>
      </c>
      <c r="AJ112" s="180">
        <f ca="1">MIN(25%,(TblConstr[[#This Row],[Tot Fac]]+TblConstr[[#This Row],[Dest Fac]])/TblConstr[[#This Row],[Land]])</f>
        <v>0</v>
      </c>
      <c r="AK112" s="94">
        <f ca="1">TblProd[[#This Row],[Platinum]]</f>
        <v>204159</v>
      </c>
      <c r="AL112" s="94">
        <f ca="1">TblProd[[#This Row],[Lumber]]</f>
        <v>71289</v>
      </c>
      <c r="AM1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2" s="94">
        <f ca="1">ROUNDDOWN( MAX(1 - MIN(facs_constr_factor*TblConstr[[#This Row],[Facs -DB]],facs_constr_max) + tech_1_11*TblTech[[#This Row],[11-1]] + tech_6_3_2*TblTech[[#This Row],[6-3]] + tech_5_2_3*TblTech[[#This Row],[5-2]], 1-global_constr_cap) * TblConstr[[#This Row],[RCPA Lumber]],0)</f>
        <v>31</v>
      </c>
      <c r="AO1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2" s="94">
        <f ca="1">ROUNDDOWN( MAX(1 - MIN(facs_constr_factor*TblConstr[[#This Row],[Facs DB]],facs_constr_max) + tech_1_11*TblTech[[#This Row],[1-11]] + tech_6_3_2*TblTech[[#This Row],[6-3]] + tech_5_2_3*TblTech[[#This Row],[5-2]], 1-global_constr_cap) * ROUND((TblConstr[[#This Row],[Land]]-250)*0.285 + 87.5 + 0/4.25,0),0)</f>
        <v>31</v>
      </c>
      <c r="AQ112" s="45">
        <f ca="1">TblConstr[[#This Row],[build -db]]*TblConstr[[#This Row],[CPA Platinum -DB]] + TblConstr[[#This Row],[build db]]*TblConstr[[#This Row],[CPA Platinum DB]]</f>
        <v>0</v>
      </c>
      <c r="AR112" s="45">
        <f ca="1">TblConstr[[#This Row],[build -db]]*TblConstr[[#This Row],[CPA Lumber -DB]] + TblConstr[[#This Row],[build db]]*TblConstr[[#This Row],[CPA Lumber DB]]</f>
        <v>0</v>
      </c>
      <c r="AS112" s="94">
        <f ca="1">MIN(SUM(OFFSET(TblConstr[[#This Row],[Plain]:[Water]],-1,0))+SUM(TblConstr[[#This Row],[Dest Hom]:[Dest Doc]])+IF(TblConstr[[#This Row],[Hour]]&gt;12,SUM(OFFSET(TblExplore[[#This Row],[Plains Explore]:[Water Explore]],-12,0)),0),SUM(TblConstr[[#This Row],[Hom]:[Doc]]))</f>
        <v>0</v>
      </c>
      <c r="AT1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42"/>
      <c r="AV112" s="94">
        <f ca="1">ROUND((TblConstr[[#This Row],[Land]]-250 - IF(TblExplore[[#This Row],[Land Bonus]]&lt;&gt;0,20,0))*1.25 + 850 + 0,0)</f>
        <v>600</v>
      </c>
      <c r="AW112" s="94">
        <f ca="1">ROUND((TblConstr[[#This Row],[Land]]-250 - IF(TblExplore[[#This Row],[Land Bonus]]&lt;&gt;0,20,0))*0.285 + 87.5 + 0/4.25,0)</f>
        <v>31</v>
      </c>
      <c r="AX112" s="154"/>
      <c r="AY112" s="188" cm="1">
        <f t="array" aca="1" ref="AY112" ca="1">IF(TblConstr[[#This Row],[Hour]:[Hour]]&gt;12,OFFSET(TblConstr[[#This Row],[Hom]],-12,0),0)+OFFSET(TblConstr[[#This Row],[Tot Hom]],-1,0)-TblConstr[[#This Row],[Dest Hom]]</f>
        <v>0</v>
      </c>
      <c r="AZ112" s="189" cm="1">
        <f t="array" aca="1" ref="AZ112" ca="1">IF(TblConstr[[#This Row],[Hour]:[Hour]]&gt;12,OFFSET(TblConstr[[#This Row],[Alc]],-12,0),0)+OFFSET(TblConstr[[#This Row],[Tot Alc]],-1,0)-TblConstr[[#This Row],[Dest Alc]]</f>
        <v>0</v>
      </c>
      <c r="BA112" s="189" cm="1">
        <f t="array" aca="1" ref="BA112" ca="1">IF(TblConstr[[#This Row],[Hour]:[Hour]]&gt;12,OFFSET(TblConstr[[#This Row],[Far]],-12,0),0)+OFFSET(TblConstr[[#This Row],[Tot Farm]],-1,0)-TblConstr[[#This Row],[Dest Farm]]</f>
        <v>30</v>
      </c>
      <c r="BB112" s="189" cm="1">
        <f t="array" aca="1" ref="BB112" ca="1">IF(TblConstr[[#This Row],[Hour]:[Hour]]&gt;12,OFFSET(TblConstr[[#This Row],[Smi]],-12,0),0)+OFFSET(TblConstr[[#This Row],[Tot Smi]],-1,0)-TblConstr[[#This Row],[Dest Smi]]</f>
        <v>0</v>
      </c>
      <c r="BC112" s="189" cm="1">
        <f t="array" aca="1" ref="BC112" ca="1">IF(TblConstr[[#This Row],[Hour]:[Hour]]&gt;12,OFFSET(TblConstr[[#This Row],[Mas]],-12,0),0)+OFFSET(TblConstr[[#This Row],[Tot Mas]],-1,0)-TblConstr[[#This Row],[Dest Mas]]</f>
        <v>0</v>
      </c>
      <c r="BD112" s="190" cm="1">
        <f t="array" aca="1" ref="BD112" ca="1">IF(TblConstr[[#This Row],[Hour]:[Hour]]&gt;12,OFFSET(TblConstr[[#This Row],[Ly]],-12,0),0)+OFFSET(TblConstr[[#This Row],[Tot Ly]],-1,0)-TblConstr[[#This Row],[Dest Ly]]</f>
        <v>20</v>
      </c>
      <c r="BE112" s="190" cm="1">
        <f t="array" aca="1" ref="BE112" ca="1">IF(TblConstr[[#This Row],[Hour]:[Hour]]&gt;12,OFFSET(TblConstr[[#This Row],[Hav]],-12,0),0)+OFFSET(TblConstr[[#This Row],[Tot Hav]],-1,0)-TblConstr[[#This Row],[Dest Hav]]</f>
        <v>0</v>
      </c>
      <c r="BF112" s="361" cm="1">
        <f t="array" aca="1" ref="BF112" ca="1">IF(TblConstr[[#This Row],[Hour]:[Hour]]&gt;12,OFFSET(TblConstr[[#This Row],[OM]],-12,0),0)+OFFSET(TblConstr[[#This Row],[Tot OM]],-1,0)-TblConstr[[#This Row],[Dest OM]]</f>
        <v>0</v>
      </c>
      <c r="BG112" s="361" cm="1">
        <f t="array" aca="1" ref="BG112" ca="1">IF(TblConstr[[#This Row],[Hour]:[Hour]]&gt;12,OFFSET(TblConstr[[#This Row],[GN]],-12,0),0)+OFFSET(TblConstr[[#This Row],[Tot GN]],-1,0)-TblConstr[[#This Row],[Dest GN]]</f>
        <v>0</v>
      </c>
      <c r="BH112" s="365" cm="1">
        <f t="array" aca="1" ref="BH112" ca="1">IF(TblConstr[[#This Row],[Hour]:[Hour]]&gt;12,OFFSET(TblConstr[[#This Row],[Fac]],-12,0),0)+OFFSET(TblConstr[[#This Row],[Tot Fac]],-1,0)-TblConstr[[#This Row],[Dest Fac]]</f>
        <v>0</v>
      </c>
      <c r="BI112" s="365" cm="1">
        <f t="array" aca="1" ref="BI112" ca="1">IF(TblConstr[[#This Row],[Hour]:[Hour]]&gt;12,OFFSET(TblConstr[[#This Row],[GT]],-12,0),0)+OFFSET(TblConstr[[#This Row],[Tot GT]],-1,0)-TblConstr[[#This Row],[Dest GT]]</f>
        <v>0</v>
      </c>
      <c r="BJ112" s="365" cm="1">
        <f t="array" aca="1" ref="BJ112" ca="1">IF(TblConstr[[#This Row],[Hour]:[Hour]]&gt;12,OFFSET(TblConstr[[#This Row],[Bar]],-12,0),0)+OFFSET(TblConstr[[#This Row],[Tot Bar]],-1,0)-TblConstr[[#This Row],[Dest Bar]]</f>
        <v>0</v>
      </c>
      <c r="BK112" s="365" cm="1">
        <f t="array" aca="1" ref="BK112" ca="1">IF(TblConstr[[#This Row],[Hour]:[Hour]]&gt;12,OFFSET(TblConstr[[#This Row],[Shr]],-12,0),0)+OFFSET(TblConstr[[#This Row],[Tot Shr]],-1,0)-TblConstr[[#This Row],[Dest Shr]]</f>
        <v>0</v>
      </c>
      <c r="BL112" s="369" cm="1">
        <f t="array" aca="1" ref="BL112" ca="1">IF(TblConstr[[#This Row],[Hour]:[Hour]]&gt;12,OFFSET(TblConstr[[#This Row],[Tow]],-12,0),0)+OFFSET(TblConstr[[#This Row],[Tot Tow]],-1,0)-TblConstr[[#This Row],[Dest Tow]]</f>
        <v>0</v>
      </c>
      <c r="BM112" s="369" cm="1">
        <f t="array" aca="1" ref="BM112" ca="1">IF(TblConstr[[#This Row],[Hour]:[Hour]]&gt;12,OFFSET(TblConstr[[#This Row],[Tem]],-12,0),0)+OFFSET(TblConstr[[#This Row],[Tot Tem]],-1,0)-TblConstr[[#This Row],[Dest Tem]]</f>
        <v>0</v>
      </c>
      <c r="BN112" s="369" cm="1">
        <f t="array" aca="1" ref="BN112" ca="1">IF(TblConstr[[#This Row],[Hour]:[Hour]]&gt;12,OFFSET(TblConstr[[#This Row],[WG]],-12,0),0)+OFFSET(TblConstr[[#This Row],[Tot WG]],-1,0)-TblConstr[[#This Row],[Dest WG]]</f>
        <v>0</v>
      </c>
      <c r="BO112" s="191" cm="1">
        <f t="array" aca="1" ref="BO112" ca="1">IF(TblConstr[[#This Row],[Hour]:[Hour]]&gt;12,OFFSET(TblConstr[[#This Row],[DM]],-12,0),0)+OFFSET(TblConstr[[#This Row],[Tot DM]],-1,0)-TblConstr[[#This Row],[Dest DM]]</f>
        <v>0</v>
      </c>
      <c r="BP112" s="191" cm="1">
        <f t="array" aca="1" ref="BP112" ca="1">IF(TblConstr[[#This Row],[Hour]:[Hour]]&gt;12,OFFSET(TblConstr[[#This Row],[Sch]],-12,0),0)+OFFSET(TblConstr[[#This Row],[Tot Sch]],-1,0)-TblConstr[[#This Row],[Dest Sch]]</f>
        <v>0</v>
      </c>
      <c r="BQ112" s="192" cm="1">
        <f t="array" aca="1" ref="BQ112" ca="1">IF(TblConstr[[#This Row],[Hour]:[Hour]]&gt;12,OFFSET(TblConstr[[#This Row],[Doc]],-12,0),0)+OFFSET(TblConstr[[#This Row],[Tot Doc]],-1,0)-TblConstr[[#This Row],[Dest Doc]]</f>
        <v>0</v>
      </c>
      <c r="BR112" s="142"/>
      <c r="BS112" s="154"/>
      <c r="BT112" s="94">
        <f ca="1">TblConstr[[#This Row],[Land]]</f>
        <v>50</v>
      </c>
      <c r="BU112" s="159">
        <f ca="1">TblImps[[#This Row],[Time]]</f>
        <v>46324.499999999738</v>
      </c>
      <c r="BV112" s="142"/>
      <c r="BW112" s="179"/>
      <c r="BX112" s="179"/>
      <c r="BY112" s="179"/>
      <c r="BZ112" s="179"/>
      <c r="CA112" s="179"/>
      <c r="CB112" s="179"/>
      <c r="CC112" s="179"/>
      <c r="CD112" s="179"/>
      <c r="CE112" s="179"/>
      <c r="CF112" s="179"/>
      <c r="CG112" s="179"/>
      <c r="CH112" s="179"/>
      <c r="CI112" s="179"/>
      <c r="CJ112" s="179"/>
      <c r="CK112" s="179"/>
      <c r="CL112" s="179"/>
      <c r="CM112" s="179"/>
      <c r="CN112" s="179"/>
      <c r="CO112" s="179"/>
      <c r="CP112" s="142"/>
      <c r="CQ112" s="181">
        <f ca="1">-SUM(TblConstr[[#This Row],[Alc]:[Mas]])+SUM(TblConstr[[#This Row],[Dest Alc]:[Dest Mas]])+Rezone!L112+IF("Ch_"&amp; home_land=TblConstr[[#Headers],[Ch_Plain]],TblConstr[[#This Row],[Home Land]])+IF(TblConstr[[#This Row],[Hour]:[Hour]]&gt;12,OFFSET(TblExplore[[#This Row],[Plains Explore]],-12,0),0)</f>
        <v>0</v>
      </c>
      <c r="CR112" s="182">
        <f ca="1">-SUM(TblConstr[[#This Row],[Ly]:[Hav]])+SUM(TblConstr[[#This Row],[Dest Ly]:[Dest Hav]]) +Rezone!M112 + IF("Ch_"&amp; home_land=TblConstr[[#Headers],[Ch_Forest]],TblConstr[[#This Row],[Home Land]])+IF(TblConstr[[#This Row],[Hour]:[Hour]]&gt;12,OFFSET(TblExplore[[#This Row],[Forest Explore]],-12,0),0)</f>
        <v>0</v>
      </c>
      <c r="CS112" s="359">
        <f ca="1">-SUM(TblConstr[[#This Row],[OM]:[GN]])+SUM(TblConstr[[#This Row],[Dest OM]:[Dest GN]]) +Rezone!N112 + IF("Ch_"&amp; home_land=TblConstr[[#Headers],[Ch_Mountain]],TblConstr[[#This Row],[Home Land]])+IF(TblConstr[[#This Row],[Hour]:[Hour]]&gt;12,OFFSET(TblExplore[[#This Row],[Mountain Explore]],-12,0),0)</f>
        <v>0</v>
      </c>
      <c r="CT112" s="183">
        <f ca="1">-SUM(TblConstr[[#This Row],[Fac]:[Shr]])+SUM(TblConstr[[#This Row],[Dest Fac]:[Dest Shr]]) +Rezone!O112 + IF("Ch_" &amp; home_land=TblConstr[[#Headers],[Ch_Hill]],TblConstr[[#This Row],[Home Land]])+IF(TblConstr[[#This Row],[Hour]:[Hour]]&gt;12,OFFSET(TblExplore[[#This Row],[Hill Explore]],-12,0),0)</f>
        <v>0</v>
      </c>
      <c r="CU112" s="184">
        <f ca="1">-SUM(TblConstr[[#This Row],[Tow]:[WG]])+SUM(TblConstr[[#This Row],[Dest Tow]:[Dest WG]]) +Rezone!P112 + IF("Ch_" &amp; home_land=TblConstr[[#Headers],[Ch_Swamp]],TblConstr[[#This Row],[Home Land]])+IF(TblConstr[[#This Row],[Hour]:[Hour]]&gt;12,OFFSET(TblExplore[[#This Row],[Swamp Explore]],-12,0),0)</f>
        <v>0</v>
      </c>
      <c r="CV112" s="185">
        <f ca="1" xml:space="preserve"> - SUM(TblConstr[[#This Row],[DM]:[Sch]])+SUM(TblConstr[[#This Row],[Dest DM]:[Dest Sch]]) +Rezone!Q112 + IF("Ch_" &amp; home_land=TblConstr[[#Headers],[Ch_Cavern]],TblConstr[[#This Row],[Home Land]])+IF(TblConstr[[#This Row],[Hour]:[Hour]]&gt;12,OFFSET(TblExplore[[#This Row],[Cavern Explore]],-12,0),0)</f>
        <v>0</v>
      </c>
      <c r="CW112" s="186">
        <f ca="1">-TblConstr[[#This Row],[Doc]]+TblConstr[[#This Row],[Dest Doc]] +Rezone!R112 + IF("Ch_" &amp; home_land=TblConstr[[#Headers],[Ch_Water]],TblConstr[[#This Row],[Home Land]])+IF(TblConstr[[#This Row],[Hour]:[Hour]]&gt;12,OFFSET(TblExplore[[#This Row],[Water Explore]],-12,0),0)</f>
        <v>0</v>
      </c>
      <c r="CX112" s="45">
        <f>IF(Explore!S112=1,20) - TblConstr[[#This Row],[Hom]] + TblConstr[[#This Row],[Dest Hom]]</f>
        <v>0</v>
      </c>
      <c r="CY112" s="142"/>
      <c r="CZ112" s="94">
        <f t="shared" ref="CZ112:CZ131" ca="1" si="30">G112+SUM(P101:S112)+SUM(AZ112:BC112)</f>
        <v>30</v>
      </c>
      <c r="DA112" s="94">
        <f t="shared" ref="DA112:DA131" ca="1" si="31">H112+SUM(T101:U112)+SUM(BD112:BE112)</f>
        <v>20</v>
      </c>
      <c r="DB112" s="45">
        <f t="shared" ref="DB112:DB131" ca="1" si="32">I112+SUM(V101:W112)+SUM(BF112:BG112)</f>
        <v>0</v>
      </c>
      <c r="DC112" s="94">
        <f t="shared" ref="DC112:DC131" ca="1" si="33">J112+SUM(X101:Y112)+SUM(BH112:BI112)</f>
        <v>0</v>
      </c>
      <c r="DD112" s="94">
        <f t="shared" ref="DD112:DD131" ca="1" si="34">K112+SUM(AB101:AD112)+SUM(BL112:BN112)</f>
        <v>0</v>
      </c>
      <c r="DE112" s="45">
        <f t="shared" ref="DE112:DE131" ca="1" si="35">L112+SUM(AE101:AE112)+BO112</f>
        <v>0</v>
      </c>
      <c r="DF112" s="94">
        <f t="shared" ref="DF112:DF131" ca="1" si="36">M112+SUM(AG101:AG112)+BQ112</f>
        <v>0</v>
      </c>
      <c r="DG112" s="94" cm="1">
        <f t="array" aca="1" ref="DG112" ca="1">INDEX(TblConstr[[Total Plain]:[Total Water]],ROW()-ROW(TblConstr[#Headers]),MATCH("Total "&amp;home_land,TblConstr[[#Headers],[Total Plain]:[Total Water]],0))+TblConstr[[#This Row],[Homes]]</f>
        <v>30</v>
      </c>
      <c r="DH112" s="45">
        <f t="shared" ca="1" si="22"/>
        <v>0</v>
      </c>
      <c r="DI112" s="45">
        <f t="shared" ca="1" si="19"/>
        <v>0</v>
      </c>
      <c r="DJ112" s="45">
        <f t="shared" ca="1" si="20"/>
        <v>0</v>
      </c>
    </row>
    <row r="113" spans="1:114" x14ac:dyDescent="0.2">
      <c r="A113" s="175">
        <f>TblRezone[[#This Row],[Hour]]</f>
        <v>110</v>
      </c>
      <c r="B113" s="176">
        <f ca="1">SUM(TblConstr[[#This Row],[Plain]:[Water]])</f>
        <v>0</v>
      </c>
      <c r="C113" s="177">
        <f ca="1">SUM(TblConstr[[#This Row],[Tot Hom]:[Tot Doc]])</f>
        <v>50</v>
      </c>
      <c r="D113" s="177">
        <f t="shared" si="21"/>
        <v>0</v>
      </c>
      <c r="E113" s="178"/>
      <c r="F113" s="61">
        <f ca="1">TblConstr[[#This Row],[Barren]]+TblConstr[[#This Row],[Buildings]]+TblConstr[[#This Row],[Incoming]]</f>
        <v>50</v>
      </c>
      <c r="G113" s="187">
        <f ca="1">OFFSET(TblConstr[[#This Row],[Plain]],-1,0)+TblConstr[[#This Row],[Ch_Plain]]</f>
        <v>0</v>
      </c>
      <c r="H113" s="182">
        <f ca="1">OFFSET(TblConstr[[#This Row],[Forest]],-1,0)+TblConstr[[#This Row],[Ch_Forest]]</f>
        <v>0</v>
      </c>
      <c r="I113" s="359">
        <f ca="1">OFFSET(TblConstr[[#This Row],[Mountain]],-1,0)+TblConstr[[#This Row],[Ch_Mountain]]</f>
        <v>0</v>
      </c>
      <c r="J113" s="363">
        <f ca="1">OFFSET(TblConstr[[#This Row],[Hill]],-1,0)+TblConstr[[#This Row],[Ch_Hill]]</f>
        <v>0</v>
      </c>
      <c r="K113" s="367">
        <f ca="1">OFFSET(TblConstr[[#This Row],[Swamp]],-1,0)+TblConstr[[#This Row],[Ch_Swamp]]</f>
        <v>0</v>
      </c>
      <c r="L113" s="185">
        <f ca="1">OFFSET(TblConstr[[#This Row],[Cavern]],-1,0)+TblConstr[[#This Row],[Ch_Cavern]]</f>
        <v>0</v>
      </c>
      <c r="M113" s="186">
        <f ca="1">OFFSET(TblConstr[[#This Row],[Water]],-1,0)+TblConstr[[#This Row],[Ch_Water]]</f>
        <v>0</v>
      </c>
      <c r="N113" s="357">
        <f>TblRezone[[#This Row],[Hour]]</f>
        <v>110</v>
      </c>
      <c r="O113" s="179"/>
      <c r="P113" s="179"/>
      <c r="Q113" s="179"/>
      <c r="R113" s="179"/>
      <c r="S113" s="179"/>
      <c r="T113" s="179"/>
      <c r="U113" s="179"/>
      <c r="V113" s="179"/>
      <c r="W113" s="179"/>
      <c r="X113" s="179"/>
      <c r="Y113" s="179"/>
      <c r="Z113" s="179"/>
      <c r="AA113" s="179"/>
      <c r="AB113" s="179"/>
      <c r="AC113" s="179"/>
      <c r="AD113" s="179"/>
      <c r="AE113" s="179"/>
      <c r="AF113" s="179"/>
      <c r="AG113" s="179"/>
      <c r="AH113" s="53">
        <f ca="1">TblImps[[#This Row],[Time]]</f>
        <v>46324.541666666402</v>
      </c>
      <c r="AI113" s="180">
        <f ca="1">MIN(25%,(TblConstr[[#This Row],[Tot Fac]]+TblConstr[[#This Row],[Dest Fac]])/(TblConstr[[#This Row],[Land]]-TblExplore[[#This Row],[Land Bonus]]*20))</f>
        <v>0</v>
      </c>
      <c r="AJ113" s="180">
        <f ca="1">MIN(25%,(TblConstr[[#This Row],[Tot Fac]]+TblConstr[[#This Row],[Dest Fac]])/TblConstr[[#This Row],[Land]])</f>
        <v>0</v>
      </c>
      <c r="AK113" s="94">
        <f ca="1">TblProd[[#This Row],[Platinum]]</f>
        <v>204582</v>
      </c>
      <c r="AL113" s="94">
        <f ca="1">TblProd[[#This Row],[Lumber]]</f>
        <v>71576</v>
      </c>
      <c r="AM1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3" s="94">
        <f ca="1">ROUNDDOWN( MAX(1 - MIN(facs_constr_factor*TblConstr[[#This Row],[Facs -DB]],facs_constr_max) + tech_1_11*TblTech[[#This Row],[11-1]] + tech_6_3_2*TblTech[[#This Row],[6-3]] + tech_5_2_3*TblTech[[#This Row],[5-2]], 1-global_constr_cap) * TblConstr[[#This Row],[RCPA Lumber]],0)</f>
        <v>31</v>
      </c>
      <c r="AO1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3" s="94">
        <f ca="1">ROUNDDOWN( MAX(1 - MIN(facs_constr_factor*TblConstr[[#This Row],[Facs DB]],facs_constr_max) + tech_1_11*TblTech[[#This Row],[1-11]] + tech_6_3_2*TblTech[[#This Row],[6-3]] + tech_5_2_3*TblTech[[#This Row],[5-2]], 1-global_constr_cap) * ROUND((TblConstr[[#This Row],[Land]]-250)*0.285 + 87.5 + 0/4.25,0),0)</f>
        <v>31</v>
      </c>
      <c r="AQ113" s="45">
        <f ca="1">TblConstr[[#This Row],[build -db]]*TblConstr[[#This Row],[CPA Platinum -DB]] + TblConstr[[#This Row],[build db]]*TblConstr[[#This Row],[CPA Platinum DB]]</f>
        <v>0</v>
      </c>
      <c r="AR113" s="45">
        <f ca="1">TblConstr[[#This Row],[build -db]]*TblConstr[[#This Row],[CPA Lumber -DB]] + TblConstr[[#This Row],[build db]]*TblConstr[[#This Row],[CPA Lumber DB]]</f>
        <v>0</v>
      </c>
      <c r="AS113" s="94">
        <f ca="1">MIN(SUM(OFFSET(TblConstr[[#This Row],[Plain]:[Water]],-1,0))+SUM(TblConstr[[#This Row],[Dest Hom]:[Dest Doc]])+IF(TblConstr[[#This Row],[Hour]]&gt;12,SUM(OFFSET(TblExplore[[#This Row],[Plains Explore]:[Water Explore]],-12,0)),0),SUM(TblConstr[[#This Row],[Hom]:[Doc]]))</f>
        <v>0</v>
      </c>
      <c r="AT1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42"/>
      <c r="AV113" s="94">
        <f ca="1">ROUND((TblConstr[[#This Row],[Land]]-250 - IF(TblExplore[[#This Row],[Land Bonus]]&lt;&gt;0,20,0))*1.25 + 850 + 0,0)</f>
        <v>600</v>
      </c>
      <c r="AW113" s="94">
        <f ca="1">ROUND((TblConstr[[#This Row],[Land]]-250 - IF(TblExplore[[#This Row],[Land Bonus]]&lt;&gt;0,20,0))*0.285 + 87.5 + 0/4.25,0)</f>
        <v>31</v>
      </c>
      <c r="AX113" s="154"/>
      <c r="AY113" s="188" cm="1">
        <f t="array" aca="1" ref="AY113" ca="1">IF(TblConstr[[#This Row],[Hour]:[Hour]]&gt;12,OFFSET(TblConstr[[#This Row],[Hom]],-12,0),0)+OFFSET(TblConstr[[#This Row],[Tot Hom]],-1,0)-TblConstr[[#This Row],[Dest Hom]]</f>
        <v>0</v>
      </c>
      <c r="AZ113" s="189" cm="1">
        <f t="array" aca="1" ref="AZ113" ca="1">IF(TblConstr[[#This Row],[Hour]:[Hour]]&gt;12,OFFSET(TblConstr[[#This Row],[Alc]],-12,0),0)+OFFSET(TblConstr[[#This Row],[Tot Alc]],-1,0)-TblConstr[[#This Row],[Dest Alc]]</f>
        <v>0</v>
      </c>
      <c r="BA113" s="189" cm="1">
        <f t="array" aca="1" ref="BA113" ca="1">IF(TblConstr[[#This Row],[Hour]:[Hour]]&gt;12,OFFSET(TblConstr[[#This Row],[Far]],-12,0),0)+OFFSET(TblConstr[[#This Row],[Tot Farm]],-1,0)-TblConstr[[#This Row],[Dest Farm]]</f>
        <v>30</v>
      </c>
      <c r="BB113" s="189" cm="1">
        <f t="array" aca="1" ref="BB113" ca="1">IF(TblConstr[[#This Row],[Hour]:[Hour]]&gt;12,OFFSET(TblConstr[[#This Row],[Smi]],-12,0),0)+OFFSET(TblConstr[[#This Row],[Tot Smi]],-1,0)-TblConstr[[#This Row],[Dest Smi]]</f>
        <v>0</v>
      </c>
      <c r="BC113" s="189" cm="1">
        <f t="array" aca="1" ref="BC113" ca="1">IF(TblConstr[[#This Row],[Hour]:[Hour]]&gt;12,OFFSET(TblConstr[[#This Row],[Mas]],-12,0),0)+OFFSET(TblConstr[[#This Row],[Tot Mas]],-1,0)-TblConstr[[#This Row],[Dest Mas]]</f>
        <v>0</v>
      </c>
      <c r="BD113" s="190" cm="1">
        <f t="array" aca="1" ref="BD113" ca="1">IF(TblConstr[[#This Row],[Hour]:[Hour]]&gt;12,OFFSET(TblConstr[[#This Row],[Ly]],-12,0),0)+OFFSET(TblConstr[[#This Row],[Tot Ly]],-1,0)-TblConstr[[#This Row],[Dest Ly]]</f>
        <v>20</v>
      </c>
      <c r="BE113" s="190" cm="1">
        <f t="array" aca="1" ref="BE113" ca="1">IF(TblConstr[[#This Row],[Hour]:[Hour]]&gt;12,OFFSET(TblConstr[[#This Row],[Hav]],-12,0),0)+OFFSET(TblConstr[[#This Row],[Tot Hav]],-1,0)-TblConstr[[#This Row],[Dest Hav]]</f>
        <v>0</v>
      </c>
      <c r="BF113" s="361" cm="1">
        <f t="array" aca="1" ref="BF113" ca="1">IF(TblConstr[[#This Row],[Hour]:[Hour]]&gt;12,OFFSET(TblConstr[[#This Row],[OM]],-12,0),0)+OFFSET(TblConstr[[#This Row],[Tot OM]],-1,0)-TblConstr[[#This Row],[Dest OM]]</f>
        <v>0</v>
      </c>
      <c r="BG113" s="361" cm="1">
        <f t="array" aca="1" ref="BG113" ca="1">IF(TblConstr[[#This Row],[Hour]:[Hour]]&gt;12,OFFSET(TblConstr[[#This Row],[GN]],-12,0),0)+OFFSET(TblConstr[[#This Row],[Tot GN]],-1,0)-TblConstr[[#This Row],[Dest GN]]</f>
        <v>0</v>
      </c>
      <c r="BH113" s="365" cm="1">
        <f t="array" aca="1" ref="BH113" ca="1">IF(TblConstr[[#This Row],[Hour]:[Hour]]&gt;12,OFFSET(TblConstr[[#This Row],[Fac]],-12,0),0)+OFFSET(TblConstr[[#This Row],[Tot Fac]],-1,0)-TblConstr[[#This Row],[Dest Fac]]</f>
        <v>0</v>
      </c>
      <c r="BI113" s="365" cm="1">
        <f t="array" aca="1" ref="BI113" ca="1">IF(TblConstr[[#This Row],[Hour]:[Hour]]&gt;12,OFFSET(TblConstr[[#This Row],[GT]],-12,0),0)+OFFSET(TblConstr[[#This Row],[Tot GT]],-1,0)-TblConstr[[#This Row],[Dest GT]]</f>
        <v>0</v>
      </c>
      <c r="BJ113" s="365" cm="1">
        <f t="array" aca="1" ref="BJ113" ca="1">IF(TblConstr[[#This Row],[Hour]:[Hour]]&gt;12,OFFSET(TblConstr[[#This Row],[Bar]],-12,0),0)+OFFSET(TblConstr[[#This Row],[Tot Bar]],-1,0)-TblConstr[[#This Row],[Dest Bar]]</f>
        <v>0</v>
      </c>
      <c r="BK113" s="365" cm="1">
        <f t="array" aca="1" ref="BK113" ca="1">IF(TblConstr[[#This Row],[Hour]:[Hour]]&gt;12,OFFSET(TblConstr[[#This Row],[Shr]],-12,0),0)+OFFSET(TblConstr[[#This Row],[Tot Shr]],-1,0)-TblConstr[[#This Row],[Dest Shr]]</f>
        <v>0</v>
      </c>
      <c r="BL113" s="369" cm="1">
        <f t="array" aca="1" ref="BL113" ca="1">IF(TblConstr[[#This Row],[Hour]:[Hour]]&gt;12,OFFSET(TblConstr[[#This Row],[Tow]],-12,0),0)+OFFSET(TblConstr[[#This Row],[Tot Tow]],-1,0)-TblConstr[[#This Row],[Dest Tow]]</f>
        <v>0</v>
      </c>
      <c r="BM113" s="369" cm="1">
        <f t="array" aca="1" ref="BM113" ca="1">IF(TblConstr[[#This Row],[Hour]:[Hour]]&gt;12,OFFSET(TblConstr[[#This Row],[Tem]],-12,0),0)+OFFSET(TblConstr[[#This Row],[Tot Tem]],-1,0)-TblConstr[[#This Row],[Dest Tem]]</f>
        <v>0</v>
      </c>
      <c r="BN113" s="369" cm="1">
        <f t="array" aca="1" ref="BN113" ca="1">IF(TblConstr[[#This Row],[Hour]:[Hour]]&gt;12,OFFSET(TblConstr[[#This Row],[WG]],-12,0),0)+OFFSET(TblConstr[[#This Row],[Tot WG]],-1,0)-TblConstr[[#This Row],[Dest WG]]</f>
        <v>0</v>
      </c>
      <c r="BO113" s="191" cm="1">
        <f t="array" aca="1" ref="BO113" ca="1">IF(TblConstr[[#This Row],[Hour]:[Hour]]&gt;12,OFFSET(TblConstr[[#This Row],[DM]],-12,0),0)+OFFSET(TblConstr[[#This Row],[Tot DM]],-1,0)-TblConstr[[#This Row],[Dest DM]]</f>
        <v>0</v>
      </c>
      <c r="BP113" s="191" cm="1">
        <f t="array" aca="1" ref="BP113" ca="1">IF(TblConstr[[#This Row],[Hour]:[Hour]]&gt;12,OFFSET(TblConstr[[#This Row],[Sch]],-12,0),0)+OFFSET(TblConstr[[#This Row],[Tot Sch]],-1,0)-TblConstr[[#This Row],[Dest Sch]]</f>
        <v>0</v>
      </c>
      <c r="BQ113" s="192" cm="1">
        <f t="array" aca="1" ref="BQ113" ca="1">IF(TblConstr[[#This Row],[Hour]:[Hour]]&gt;12,OFFSET(TblConstr[[#This Row],[Doc]],-12,0),0)+OFFSET(TblConstr[[#This Row],[Tot Doc]],-1,0)-TblConstr[[#This Row],[Dest Doc]]</f>
        <v>0</v>
      </c>
      <c r="BR113" s="142"/>
      <c r="BS113" s="154"/>
      <c r="BT113" s="94">
        <f ca="1">TblConstr[[#This Row],[Land]]</f>
        <v>50</v>
      </c>
      <c r="BU113" s="159">
        <f ca="1">TblImps[[#This Row],[Time]]</f>
        <v>46324.541666666402</v>
      </c>
      <c r="BV113" s="142"/>
      <c r="BW113" s="179"/>
      <c r="BX113" s="179"/>
      <c r="BY113" s="179"/>
      <c r="BZ113" s="179"/>
      <c r="CA113" s="179"/>
      <c r="CB113" s="179"/>
      <c r="CC113" s="179"/>
      <c r="CD113" s="179"/>
      <c r="CE113" s="179"/>
      <c r="CF113" s="179"/>
      <c r="CG113" s="179"/>
      <c r="CH113" s="179"/>
      <c r="CI113" s="179"/>
      <c r="CJ113" s="179"/>
      <c r="CK113" s="179"/>
      <c r="CL113" s="179"/>
      <c r="CM113" s="179"/>
      <c r="CN113" s="179"/>
      <c r="CO113" s="179"/>
      <c r="CP113" s="142"/>
      <c r="CQ113" s="181">
        <f ca="1">-SUM(TblConstr[[#This Row],[Alc]:[Mas]])+SUM(TblConstr[[#This Row],[Dest Alc]:[Dest Mas]])+Rezone!L113+IF("Ch_"&amp; home_land=TblConstr[[#Headers],[Ch_Plain]],TblConstr[[#This Row],[Home Land]])+IF(TblConstr[[#This Row],[Hour]:[Hour]]&gt;12,OFFSET(TblExplore[[#This Row],[Plains Explore]],-12,0),0)</f>
        <v>0</v>
      </c>
      <c r="CR113" s="182">
        <f ca="1">-SUM(TblConstr[[#This Row],[Ly]:[Hav]])+SUM(TblConstr[[#This Row],[Dest Ly]:[Dest Hav]]) +Rezone!M113 + IF("Ch_"&amp; home_land=TblConstr[[#Headers],[Ch_Forest]],TblConstr[[#This Row],[Home Land]])+IF(TblConstr[[#This Row],[Hour]:[Hour]]&gt;12,OFFSET(TblExplore[[#This Row],[Forest Explore]],-12,0),0)</f>
        <v>0</v>
      </c>
      <c r="CS113" s="359">
        <f ca="1">-SUM(TblConstr[[#This Row],[OM]:[GN]])+SUM(TblConstr[[#This Row],[Dest OM]:[Dest GN]]) +Rezone!N113 + IF("Ch_"&amp; home_land=TblConstr[[#Headers],[Ch_Mountain]],TblConstr[[#This Row],[Home Land]])+IF(TblConstr[[#This Row],[Hour]:[Hour]]&gt;12,OFFSET(TblExplore[[#This Row],[Mountain Explore]],-12,0),0)</f>
        <v>0</v>
      </c>
      <c r="CT113" s="183">
        <f ca="1">-SUM(TblConstr[[#This Row],[Fac]:[Shr]])+SUM(TblConstr[[#This Row],[Dest Fac]:[Dest Shr]]) +Rezone!O113 + IF("Ch_" &amp; home_land=TblConstr[[#Headers],[Ch_Hill]],TblConstr[[#This Row],[Home Land]])+IF(TblConstr[[#This Row],[Hour]:[Hour]]&gt;12,OFFSET(TblExplore[[#This Row],[Hill Explore]],-12,0),0)</f>
        <v>0</v>
      </c>
      <c r="CU113" s="184">
        <f ca="1">-SUM(TblConstr[[#This Row],[Tow]:[WG]])+SUM(TblConstr[[#This Row],[Dest Tow]:[Dest WG]]) +Rezone!P113 + IF("Ch_" &amp; home_land=TblConstr[[#Headers],[Ch_Swamp]],TblConstr[[#This Row],[Home Land]])+IF(TblConstr[[#This Row],[Hour]:[Hour]]&gt;12,OFFSET(TblExplore[[#This Row],[Swamp Explore]],-12,0),0)</f>
        <v>0</v>
      </c>
      <c r="CV113" s="185">
        <f ca="1" xml:space="preserve"> - SUM(TblConstr[[#This Row],[DM]:[Sch]])+SUM(TblConstr[[#This Row],[Dest DM]:[Dest Sch]]) +Rezone!Q113 + IF("Ch_" &amp; home_land=TblConstr[[#Headers],[Ch_Cavern]],TblConstr[[#This Row],[Home Land]])+IF(TblConstr[[#This Row],[Hour]:[Hour]]&gt;12,OFFSET(TblExplore[[#This Row],[Cavern Explore]],-12,0),0)</f>
        <v>0</v>
      </c>
      <c r="CW113" s="186">
        <f ca="1">-TblConstr[[#This Row],[Doc]]+TblConstr[[#This Row],[Dest Doc]] +Rezone!R113 + IF("Ch_" &amp; home_land=TblConstr[[#Headers],[Ch_Water]],TblConstr[[#This Row],[Home Land]])+IF(TblConstr[[#This Row],[Hour]:[Hour]]&gt;12,OFFSET(TblExplore[[#This Row],[Water Explore]],-12,0),0)</f>
        <v>0</v>
      </c>
      <c r="CX113" s="45">
        <f>IF(Explore!S113=1,20) - TblConstr[[#This Row],[Hom]] + TblConstr[[#This Row],[Dest Hom]]</f>
        <v>0</v>
      </c>
      <c r="CY113" s="142"/>
      <c r="CZ113" s="94">
        <f t="shared" ca="1" si="30"/>
        <v>30</v>
      </c>
      <c r="DA113" s="94">
        <f t="shared" ca="1" si="31"/>
        <v>20</v>
      </c>
      <c r="DB113" s="45">
        <f t="shared" ca="1" si="32"/>
        <v>0</v>
      </c>
      <c r="DC113" s="94">
        <f t="shared" ca="1" si="33"/>
        <v>0</v>
      </c>
      <c r="DD113" s="94">
        <f t="shared" ca="1" si="34"/>
        <v>0</v>
      </c>
      <c r="DE113" s="45">
        <f t="shared" ca="1" si="35"/>
        <v>0</v>
      </c>
      <c r="DF113" s="94">
        <f t="shared" ca="1" si="36"/>
        <v>0</v>
      </c>
      <c r="DG113" s="94" cm="1">
        <f t="array" aca="1" ref="DG113" ca="1">INDEX(TblConstr[[Total Plain]:[Total Water]],ROW()-ROW(TblConstr[#Headers]),MATCH("Total "&amp;home_land,TblConstr[[#Headers],[Total Plain]:[Total Water]],0))+TblConstr[[#This Row],[Homes]]</f>
        <v>30</v>
      </c>
      <c r="DH113" s="45">
        <f t="shared" ca="1" si="22"/>
        <v>0</v>
      </c>
      <c r="DI113" s="45">
        <f t="shared" ca="1" si="19"/>
        <v>0</v>
      </c>
      <c r="DJ113" s="45">
        <f t="shared" ca="1" si="20"/>
        <v>0</v>
      </c>
    </row>
    <row r="114" spans="1:114" x14ac:dyDescent="0.2">
      <c r="A114" s="175">
        <f>TblRezone[[#This Row],[Hour]]</f>
        <v>111</v>
      </c>
      <c r="B114" s="176">
        <f ca="1">SUM(TblConstr[[#This Row],[Plain]:[Water]])</f>
        <v>0</v>
      </c>
      <c r="C114" s="177">
        <f ca="1">SUM(TblConstr[[#This Row],[Tot Hom]:[Tot Doc]])</f>
        <v>50</v>
      </c>
      <c r="D114" s="177">
        <f t="shared" si="21"/>
        <v>0</v>
      </c>
      <c r="E114" s="178"/>
      <c r="F114" s="61">
        <f ca="1">TblConstr[[#This Row],[Barren]]+TblConstr[[#This Row],[Buildings]]+TblConstr[[#This Row],[Incoming]]</f>
        <v>50</v>
      </c>
      <c r="G114" s="187">
        <f ca="1">OFFSET(TblConstr[[#This Row],[Plain]],-1,0)+TblConstr[[#This Row],[Ch_Plain]]</f>
        <v>0</v>
      </c>
      <c r="H114" s="182">
        <f ca="1">OFFSET(TblConstr[[#This Row],[Forest]],-1,0)+TblConstr[[#This Row],[Ch_Forest]]</f>
        <v>0</v>
      </c>
      <c r="I114" s="359">
        <f ca="1">OFFSET(TblConstr[[#This Row],[Mountain]],-1,0)+TblConstr[[#This Row],[Ch_Mountain]]</f>
        <v>0</v>
      </c>
      <c r="J114" s="363">
        <f ca="1">OFFSET(TblConstr[[#This Row],[Hill]],-1,0)+TblConstr[[#This Row],[Ch_Hill]]</f>
        <v>0</v>
      </c>
      <c r="K114" s="367">
        <f ca="1">OFFSET(TblConstr[[#This Row],[Swamp]],-1,0)+TblConstr[[#This Row],[Ch_Swamp]]</f>
        <v>0</v>
      </c>
      <c r="L114" s="185">
        <f ca="1">OFFSET(TblConstr[[#This Row],[Cavern]],-1,0)+TblConstr[[#This Row],[Ch_Cavern]]</f>
        <v>0</v>
      </c>
      <c r="M114" s="186">
        <f ca="1">OFFSET(TblConstr[[#This Row],[Water]],-1,0)+TblConstr[[#This Row],[Ch_Water]]</f>
        <v>0</v>
      </c>
      <c r="N114" s="357">
        <f>TblRezone[[#This Row],[Hour]]</f>
        <v>111</v>
      </c>
      <c r="O114" s="179"/>
      <c r="P114" s="179"/>
      <c r="Q114" s="179"/>
      <c r="R114" s="179"/>
      <c r="S114" s="179"/>
      <c r="T114" s="179"/>
      <c r="U114" s="179"/>
      <c r="V114" s="179"/>
      <c r="W114" s="179"/>
      <c r="X114" s="179"/>
      <c r="Y114" s="179"/>
      <c r="Z114" s="179"/>
      <c r="AA114" s="179"/>
      <c r="AB114" s="179"/>
      <c r="AC114" s="179"/>
      <c r="AD114" s="179"/>
      <c r="AE114" s="179"/>
      <c r="AF114" s="179"/>
      <c r="AG114" s="179"/>
      <c r="AH114" s="53">
        <f ca="1">TblImps[[#This Row],[Time]]</f>
        <v>46324.583333333067</v>
      </c>
      <c r="AI114" s="180">
        <f ca="1">MIN(25%,(TblConstr[[#This Row],[Tot Fac]]+TblConstr[[#This Row],[Dest Fac]])/(TblConstr[[#This Row],[Land]]-TblExplore[[#This Row],[Land Bonus]]*20))</f>
        <v>0</v>
      </c>
      <c r="AJ114" s="180">
        <f ca="1">MIN(25%,(TblConstr[[#This Row],[Tot Fac]]+TblConstr[[#This Row],[Dest Fac]])/TblConstr[[#This Row],[Land]])</f>
        <v>0</v>
      </c>
      <c r="AK114" s="94">
        <f ca="1">TblProd[[#This Row],[Platinum]]</f>
        <v>205000</v>
      </c>
      <c r="AL114" s="94">
        <f ca="1">TblProd[[#This Row],[Lumber]]</f>
        <v>71860</v>
      </c>
      <c r="AM1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4" s="94">
        <f ca="1">ROUNDDOWN( MAX(1 - MIN(facs_constr_factor*TblConstr[[#This Row],[Facs -DB]],facs_constr_max) + tech_1_11*TblTech[[#This Row],[11-1]] + tech_6_3_2*TblTech[[#This Row],[6-3]] + tech_5_2_3*TblTech[[#This Row],[5-2]], 1-global_constr_cap) * TblConstr[[#This Row],[RCPA Lumber]],0)</f>
        <v>31</v>
      </c>
      <c r="AO1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4" s="94">
        <f ca="1">ROUNDDOWN( MAX(1 - MIN(facs_constr_factor*TblConstr[[#This Row],[Facs DB]],facs_constr_max) + tech_1_11*TblTech[[#This Row],[1-11]] + tech_6_3_2*TblTech[[#This Row],[6-3]] + tech_5_2_3*TblTech[[#This Row],[5-2]], 1-global_constr_cap) * ROUND((TblConstr[[#This Row],[Land]]-250)*0.285 + 87.5 + 0/4.25,0),0)</f>
        <v>31</v>
      </c>
      <c r="AQ114" s="45">
        <f ca="1">TblConstr[[#This Row],[build -db]]*TblConstr[[#This Row],[CPA Platinum -DB]] + TblConstr[[#This Row],[build db]]*TblConstr[[#This Row],[CPA Platinum DB]]</f>
        <v>0</v>
      </c>
      <c r="AR114" s="45">
        <f ca="1">TblConstr[[#This Row],[build -db]]*TblConstr[[#This Row],[CPA Lumber -DB]] + TblConstr[[#This Row],[build db]]*TblConstr[[#This Row],[CPA Lumber DB]]</f>
        <v>0</v>
      </c>
      <c r="AS114" s="94">
        <f ca="1">MIN(SUM(OFFSET(TblConstr[[#This Row],[Plain]:[Water]],-1,0))+SUM(TblConstr[[#This Row],[Dest Hom]:[Dest Doc]])+IF(TblConstr[[#This Row],[Hour]]&gt;12,SUM(OFFSET(TblExplore[[#This Row],[Plains Explore]:[Water Explore]],-12,0)),0),SUM(TblConstr[[#This Row],[Hom]:[Doc]]))</f>
        <v>0</v>
      </c>
      <c r="AT1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42"/>
      <c r="AV114" s="94">
        <f ca="1">ROUND((TblConstr[[#This Row],[Land]]-250 - IF(TblExplore[[#This Row],[Land Bonus]]&lt;&gt;0,20,0))*1.25 + 850 + 0,0)</f>
        <v>600</v>
      </c>
      <c r="AW114" s="94">
        <f ca="1">ROUND((TblConstr[[#This Row],[Land]]-250 - IF(TblExplore[[#This Row],[Land Bonus]]&lt;&gt;0,20,0))*0.285 + 87.5 + 0/4.25,0)</f>
        <v>31</v>
      </c>
      <c r="AX114" s="154"/>
      <c r="AY114" s="188" cm="1">
        <f t="array" aca="1" ref="AY114" ca="1">IF(TblConstr[[#This Row],[Hour]:[Hour]]&gt;12,OFFSET(TblConstr[[#This Row],[Hom]],-12,0),0)+OFFSET(TblConstr[[#This Row],[Tot Hom]],-1,0)-TblConstr[[#This Row],[Dest Hom]]</f>
        <v>0</v>
      </c>
      <c r="AZ114" s="189" cm="1">
        <f t="array" aca="1" ref="AZ114" ca="1">IF(TblConstr[[#This Row],[Hour]:[Hour]]&gt;12,OFFSET(TblConstr[[#This Row],[Alc]],-12,0),0)+OFFSET(TblConstr[[#This Row],[Tot Alc]],-1,0)-TblConstr[[#This Row],[Dest Alc]]</f>
        <v>0</v>
      </c>
      <c r="BA114" s="189" cm="1">
        <f t="array" aca="1" ref="BA114" ca="1">IF(TblConstr[[#This Row],[Hour]:[Hour]]&gt;12,OFFSET(TblConstr[[#This Row],[Far]],-12,0),0)+OFFSET(TblConstr[[#This Row],[Tot Farm]],-1,0)-TblConstr[[#This Row],[Dest Farm]]</f>
        <v>30</v>
      </c>
      <c r="BB114" s="189" cm="1">
        <f t="array" aca="1" ref="BB114" ca="1">IF(TblConstr[[#This Row],[Hour]:[Hour]]&gt;12,OFFSET(TblConstr[[#This Row],[Smi]],-12,0),0)+OFFSET(TblConstr[[#This Row],[Tot Smi]],-1,0)-TblConstr[[#This Row],[Dest Smi]]</f>
        <v>0</v>
      </c>
      <c r="BC114" s="189" cm="1">
        <f t="array" aca="1" ref="BC114" ca="1">IF(TblConstr[[#This Row],[Hour]:[Hour]]&gt;12,OFFSET(TblConstr[[#This Row],[Mas]],-12,0),0)+OFFSET(TblConstr[[#This Row],[Tot Mas]],-1,0)-TblConstr[[#This Row],[Dest Mas]]</f>
        <v>0</v>
      </c>
      <c r="BD114" s="190" cm="1">
        <f t="array" aca="1" ref="BD114" ca="1">IF(TblConstr[[#This Row],[Hour]:[Hour]]&gt;12,OFFSET(TblConstr[[#This Row],[Ly]],-12,0),0)+OFFSET(TblConstr[[#This Row],[Tot Ly]],-1,0)-TblConstr[[#This Row],[Dest Ly]]</f>
        <v>20</v>
      </c>
      <c r="BE114" s="190" cm="1">
        <f t="array" aca="1" ref="BE114" ca="1">IF(TblConstr[[#This Row],[Hour]:[Hour]]&gt;12,OFFSET(TblConstr[[#This Row],[Hav]],-12,0),0)+OFFSET(TblConstr[[#This Row],[Tot Hav]],-1,0)-TblConstr[[#This Row],[Dest Hav]]</f>
        <v>0</v>
      </c>
      <c r="BF114" s="361" cm="1">
        <f t="array" aca="1" ref="BF114" ca="1">IF(TblConstr[[#This Row],[Hour]:[Hour]]&gt;12,OFFSET(TblConstr[[#This Row],[OM]],-12,0),0)+OFFSET(TblConstr[[#This Row],[Tot OM]],-1,0)-TblConstr[[#This Row],[Dest OM]]</f>
        <v>0</v>
      </c>
      <c r="BG114" s="361" cm="1">
        <f t="array" aca="1" ref="BG114" ca="1">IF(TblConstr[[#This Row],[Hour]:[Hour]]&gt;12,OFFSET(TblConstr[[#This Row],[GN]],-12,0),0)+OFFSET(TblConstr[[#This Row],[Tot GN]],-1,0)-TblConstr[[#This Row],[Dest GN]]</f>
        <v>0</v>
      </c>
      <c r="BH114" s="365" cm="1">
        <f t="array" aca="1" ref="BH114" ca="1">IF(TblConstr[[#This Row],[Hour]:[Hour]]&gt;12,OFFSET(TblConstr[[#This Row],[Fac]],-12,0),0)+OFFSET(TblConstr[[#This Row],[Tot Fac]],-1,0)-TblConstr[[#This Row],[Dest Fac]]</f>
        <v>0</v>
      </c>
      <c r="BI114" s="365" cm="1">
        <f t="array" aca="1" ref="BI114" ca="1">IF(TblConstr[[#This Row],[Hour]:[Hour]]&gt;12,OFFSET(TblConstr[[#This Row],[GT]],-12,0),0)+OFFSET(TblConstr[[#This Row],[Tot GT]],-1,0)-TblConstr[[#This Row],[Dest GT]]</f>
        <v>0</v>
      </c>
      <c r="BJ114" s="365" cm="1">
        <f t="array" aca="1" ref="BJ114" ca="1">IF(TblConstr[[#This Row],[Hour]:[Hour]]&gt;12,OFFSET(TblConstr[[#This Row],[Bar]],-12,0),0)+OFFSET(TblConstr[[#This Row],[Tot Bar]],-1,0)-TblConstr[[#This Row],[Dest Bar]]</f>
        <v>0</v>
      </c>
      <c r="BK114" s="365" cm="1">
        <f t="array" aca="1" ref="BK114" ca="1">IF(TblConstr[[#This Row],[Hour]:[Hour]]&gt;12,OFFSET(TblConstr[[#This Row],[Shr]],-12,0),0)+OFFSET(TblConstr[[#This Row],[Tot Shr]],-1,0)-TblConstr[[#This Row],[Dest Shr]]</f>
        <v>0</v>
      </c>
      <c r="BL114" s="369" cm="1">
        <f t="array" aca="1" ref="BL114" ca="1">IF(TblConstr[[#This Row],[Hour]:[Hour]]&gt;12,OFFSET(TblConstr[[#This Row],[Tow]],-12,0),0)+OFFSET(TblConstr[[#This Row],[Tot Tow]],-1,0)-TblConstr[[#This Row],[Dest Tow]]</f>
        <v>0</v>
      </c>
      <c r="BM114" s="369" cm="1">
        <f t="array" aca="1" ref="BM114" ca="1">IF(TblConstr[[#This Row],[Hour]:[Hour]]&gt;12,OFFSET(TblConstr[[#This Row],[Tem]],-12,0),0)+OFFSET(TblConstr[[#This Row],[Tot Tem]],-1,0)-TblConstr[[#This Row],[Dest Tem]]</f>
        <v>0</v>
      </c>
      <c r="BN114" s="369" cm="1">
        <f t="array" aca="1" ref="BN114" ca="1">IF(TblConstr[[#This Row],[Hour]:[Hour]]&gt;12,OFFSET(TblConstr[[#This Row],[WG]],-12,0),0)+OFFSET(TblConstr[[#This Row],[Tot WG]],-1,0)-TblConstr[[#This Row],[Dest WG]]</f>
        <v>0</v>
      </c>
      <c r="BO114" s="191" cm="1">
        <f t="array" aca="1" ref="BO114" ca="1">IF(TblConstr[[#This Row],[Hour]:[Hour]]&gt;12,OFFSET(TblConstr[[#This Row],[DM]],-12,0),0)+OFFSET(TblConstr[[#This Row],[Tot DM]],-1,0)-TblConstr[[#This Row],[Dest DM]]</f>
        <v>0</v>
      </c>
      <c r="BP114" s="191" cm="1">
        <f t="array" aca="1" ref="BP114" ca="1">IF(TblConstr[[#This Row],[Hour]:[Hour]]&gt;12,OFFSET(TblConstr[[#This Row],[Sch]],-12,0),0)+OFFSET(TblConstr[[#This Row],[Tot Sch]],-1,0)-TblConstr[[#This Row],[Dest Sch]]</f>
        <v>0</v>
      </c>
      <c r="BQ114" s="192" cm="1">
        <f t="array" aca="1" ref="BQ114" ca="1">IF(TblConstr[[#This Row],[Hour]:[Hour]]&gt;12,OFFSET(TblConstr[[#This Row],[Doc]],-12,0),0)+OFFSET(TblConstr[[#This Row],[Tot Doc]],-1,0)-TblConstr[[#This Row],[Dest Doc]]</f>
        <v>0</v>
      </c>
      <c r="BR114" s="142"/>
      <c r="BS114" s="154"/>
      <c r="BT114" s="94">
        <f ca="1">TblConstr[[#This Row],[Land]]</f>
        <v>50</v>
      </c>
      <c r="BU114" s="159">
        <f ca="1">TblImps[[#This Row],[Time]]</f>
        <v>46324.583333333067</v>
      </c>
      <c r="BV114" s="142"/>
      <c r="BW114" s="179"/>
      <c r="BX114" s="158"/>
      <c r="BY114" s="179"/>
      <c r="BZ114" s="179"/>
      <c r="CA114" s="179"/>
      <c r="CB114" s="179"/>
      <c r="CC114" s="179"/>
      <c r="CD114" s="179"/>
      <c r="CE114" s="179"/>
      <c r="CF114" s="179"/>
      <c r="CG114" s="179"/>
      <c r="CH114" s="179"/>
      <c r="CI114" s="179"/>
      <c r="CJ114" s="179"/>
      <c r="CK114" s="179"/>
      <c r="CL114" s="179"/>
      <c r="CM114" s="179"/>
      <c r="CN114" s="179"/>
      <c r="CO114" s="179"/>
      <c r="CP114" s="142"/>
      <c r="CQ114" s="181">
        <f ca="1">-SUM(TblConstr[[#This Row],[Alc]:[Mas]])+SUM(TblConstr[[#This Row],[Dest Alc]:[Dest Mas]])+Rezone!L114+IF("Ch_"&amp; home_land=TblConstr[[#Headers],[Ch_Plain]],TblConstr[[#This Row],[Home Land]])+IF(TblConstr[[#This Row],[Hour]:[Hour]]&gt;12,OFFSET(TblExplore[[#This Row],[Plains Explore]],-12,0),0)</f>
        <v>0</v>
      </c>
      <c r="CR114" s="182">
        <f ca="1">-SUM(TblConstr[[#This Row],[Ly]:[Hav]])+SUM(TblConstr[[#This Row],[Dest Ly]:[Dest Hav]]) +Rezone!M114 + IF("Ch_"&amp; home_land=TblConstr[[#Headers],[Ch_Forest]],TblConstr[[#This Row],[Home Land]])+IF(TblConstr[[#This Row],[Hour]:[Hour]]&gt;12,OFFSET(TblExplore[[#This Row],[Forest Explore]],-12,0),0)</f>
        <v>0</v>
      </c>
      <c r="CS114" s="359">
        <f ca="1">-SUM(TblConstr[[#This Row],[OM]:[GN]])+SUM(TblConstr[[#This Row],[Dest OM]:[Dest GN]]) +Rezone!N114 + IF("Ch_"&amp; home_land=TblConstr[[#Headers],[Ch_Mountain]],TblConstr[[#This Row],[Home Land]])+IF(TblConstr[[#This Row],[Hour]:[Hour]]&gt;12,OFFSET(TblExplore[[#This Row],[Mountain Explore]],-12,0),0)</f>
        <v>0</v>
      </c>
      <c r="CT114" s="183">
        <f ca="1">-SUM(TblConstr[[#This Row],[Fac]:[Shr]])+SUM(TblConstr[[#This Row],[Dest Fac]:[Dest Shr]]) +Rezone!O114 + IF("Ch_" &amp; home_land=TblConstr[[#Headers],[Ch_Hill]],TblConstr[[#This Row],[Home Land]])+IF(TblConstr[[#This Row],[Hour]:[Hour]]&gt;12,OFFSET(TblExplore[[#This Row],[Hill Explore]],-12,0),0)</f>
        <v>0</v>
      </c>
      <c r="CU114" s="184">
        <f ca="1">-SUM(TblConstr[[#This Row],[Tow]:[WG]])+SUM(TblConstr[[#This Row],[Dest Tow]:[Dest WG]]) +Rezone!P114 + IF("Ch_" &amp; home_land=TblConstr[[#Headers],[Ch_Swamp]],TblConstr[[#This Row],[Home Land]])+IF(TblConstr[[#This Row],[Hour]:[Hour]]&gt;12,OFFSET(TblExplore[[#This Row],[Swamp Explore]],-12,0),0)</f>
        <v>0</v>
      </c>
      <c r="CV114" s="185">
        <f ca="1" xml:space="preserve"> - SUM(TblConstr[[#This Row],[DM]:[Sch]])+SUM(TblConstr[[#This Row],[Dest DM]:[Dest Sch]]) +Rezone!Q114 + IF("Ch_" &amp; home_land=TblConstr[[#Headers],[Ch_Cavern]],TblConstr[[#This Row],[Home Land]])+IF(TblConstr[[#This Row],[Hour]:[Hour]]&gt;12,OFFSET(TblExplore[[#This Row],[Cavern Explore]],-12,0),0)</f>
        <v>0</v>
      </c>
      <c r="CW114" s="186">
        <f ca="1">-TblConstr[[#This Row],[Doc]]+TblConstr[[#This Row],[Dest Doc]] +Rezone!R114 + IF("Ch_" &amp; home_land=TblConstr[[#Headers],[Ch_Water]],TblConstr[[#This Row],[Home Land]])+IF(TblConstr[[#This Row],[Hour]:[Hour]]&gt;12,OFFSET(TblExplore[[#This Row],[Water Explore]],-12,0),0)</f>
        <v>0</v>
      </c>
      <c r="CX114" s="45">
        <f>IF(Explore!S114=1,20) - TblConstr[[#This Row],[Hom]] + TblConstr[[#This Row],[Dest Hom]]</f>
        <v>0</v>
      </c>
      <c r="CY114" s="142"/>
      <c r="CZ114" s="94">
        <f t="shared" ca="1" si="30"/>
        <v>30</v>
      </c>
      <c r="DA114" s="94">
        <f t="shared" ca="1" si="31"/>
        <v>20</v>
      </c>
      <c r="DB114" s="45">
        <f t="shared" ca="1" si="32"/>
        <v>0</v>
      </c>
      <c r="DC114" s="94">
        <f t="shared" ca="1" si="33"/>
        <v>0</v>
      </c>
      <c r="DD114" s="94">
        <f t="shared" ca="1" si="34"/>
        <v>0</v>
      </c>
      <c r="DE114" s="45">
        <f t="shared" ca="1" si="35"/>
        <v>0</v>
      </c>
      <c r="DF114" s="94">
        <f t="shared" ca="1" si="36"/>
        <v>0</v>
      </c>
      <c r="DG114" s="94" cm="1">
        <f t="array" aca="1" ref="DG114" ca="1">INDEX(TblConstr[[Total Plain]:[Total Water]],ROW()-ROW(TblConstr[#Headers]),MATCH("Total "&amp;home_land,TblConstr[[#Headers],[Total Plain]:[Total Water]],0))+TblConstr[[#This Row],[Homes]]</f>
        <v>30</v>
      </c>
      <c r="DH114" s="45">
        <f t="shared" ca="1" si="22"/>
        <v>0</v>
      </c>
      <c r="DI114" s="45">
        <f t="shared" ca="1" si="19"/>
        <v>0</v>
      </c>
      <c r="DJ114" s="45">
        <f t="shared" ca="1" si="20"/>
        <v>0</v>
      </c>
    </row>
    <row r="115" spans="1:114" x14ac:dyDescent="0.2">
      <c r="A115" s="175">
        <f>TblRezone[[#This Row],[Hour]]</f>
        <v>112</v>
      </c>
      <c r="B115" s="176">
        <f ca="1">SUM(TblConstr[[#This Row],[Plain]:[Water]])</f>
        <v>0</v>
      </c>
      <c r="C115" s="177">
        <f ca="1">SUM(TblConstr[[#This Row],[Tot Hom]:[Tot Doc]])</f>
        <v>50</v>
      </c>
      <c r="D115" s="177">
        <f t="shared" si="21"/>
        <v>0</v>
      </c>
      <c r="E115" s="178"/>
      <c r="F115" s="61">
        <f ca="1">TblConstr[[#This Row],[Barren]]+TblConstr[[#This Row],[Buildings]]+TblConstr[[#This Row],[Incoming]]</f>
        <v>50</v>
      </c>
      <c r="G115" s="187">
        <f ca="1">OFFSET(TblConstr[[#This Row],[Plain]],-1,0)+TblConstr[[#This Row],[Ch_Plain]]</f>
        <v>0</v>
      </c>
      <c r="H115" s="182">
        <f ca="1">OFFSET(TblConstr[[#This Row],[Forest]],-1,0)+TblConstr[[#This Row],[Ch_Forest]]</f>
        <v>0</v>
      </c>
      <c r="I115" s="359">
        <f ca="1">OFFSET(TblConstr[[#This Row],[Mountain]],-1,0)+TblConstr[[#This Row],[Ch_Mountain]]</f>
        <v>0</v>
      </c>
      <c r="J115" s="363">
        <f ca="1">OFFSET(TblConstr[[#This Row],[Hill]],-1,0)+TblConstr[[#This Row],[Ch_Hill]]</f>
        <v>0</v>
      </c>
      <c r="K115" s="367">
        <f ca="1">OFFSET(TblConstr[[#This Row],[Swamp]],-1,0)+TblConstr[[#This Row],[Ch_Swamp]]</f>
        <v>0</v>
      </c>
      <c r="L115" s="185">
        <f ca="1">OFFSET(TblConstr[[#This Row],[Cavern]],-1,0)+TblConstr[[#This Row],[Ch_Cavern]]</f>
        <v>0</v>
      </c>
      <c r="M115" s="186">
        <f ca="1">OFFSET(TblConstr[[#This Row],[Water]],-1,0)+TblConstr[[#This Row],[Ch_Water]]</f>
        <v>0</v>
      </c>
      <c r="N115" s="357">
        <f>TblRezone[[#This Row],[Hour]]</f>
        <v>112</v>
      </c>
      <c r="O115" s="179"/>
      <c r="P115" s="179"/>
      <c r="Q115" s="179"/>
      <c r="R115" s="179"/>
      <c r="S115" s="179"/>
      <c r="T115" s="179"/>
      <c r="U115" s="179"/>
      <c r="V115" s="179"/>
      <c r="W115" s="179"/>
      <c r="X115" s="179"/>
      <c r="Y115" s="179"/>
      <c r="Z115" s="179"/>
      <c r="AA115" s="179"/>
      <c r="AB115" s="179"/>
      <c r="AC115" s="179"/>
      <c r="AD115" s="179"/>
      <c r="AE115" s="179"/>
      <c r="AF115" s="179"/>
      <c r="AG115" s="179"/>
      <c r="AH115" s="53">
        <f ca="1">TblImps[[#This Row],[Time]]</f>
        <v>46324.624999999731</v>
      </c>
      <c r="AI115" s="180">
        <f ca="1">MIN(25%,(TblConstr[[#This Row],[Tot Fac]]+TblConstr[[#This Row],[Dest Fac]])/(TblConstr[[#This Row],[Land]]-TblExplore[[#This Row],[Land Bonus]]*20))</f>
        <v>0</v>
      </c>
      <c r="AJ115" s="180">
        <f ca="1">MIN(25%,(TblConstr[[#This Row],[Tot Fac]]+TblConstr[[#This Row],[Dest Fac]])/TblConstr[[#This Row],[Land]])</f>
        <v>0</v>
      </c>
      <c r="AK115" s="94">
        <f ca="1">TblProd[[#This Row],[Platinum]]</f>
        <v>205413</v>
      </c>
      <c r="AL115" s="94">
        <f ca="1">TblProd[[#This Row],[Lumber]]</f>
        <v>72141</v>
      </c>
      <c r="AM1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5" s="94">
        <f ca="1">ROUNDDOWN( MAX(1 - MIN(facs_constr_factor*TblConstr[[#This Row],[Facs -DB]],facs_constr_max) + tech_1_11*TblTech[[#This Row],[11-1]] + tech_6_3_2*TblTech[[#This Row],[6-3]] + tech_5_2_3*TblTech[[#This Row],[5-2]], 1-global_constr_cap) * TblConstr[[#This Row],[RCPA Lumber]],0)</f>
        <v>31</v>
      </c>
      <c r="AO1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5" s="94">
        <f ca="1">ROUNDDOWN( MAX(1 - MIN(facs_constr_factor*TblConstr[[#This Row],[Facs DB]],facs_constr_max) + tech_1_11*TblTech[[#This Row],[1-11]] + tech_6_3_2*TblTech[[#This Row],[6-3]] + tech_5_2_3*TblTech[[#This Row],[5-2]], 1-global_constr_cap) * ROUND((TblConstr[[#This Row],[Land]]-250)*0.285 + 87.5 + 0/4.25,0),0)</f>
        <v>31</v>
      </c>
      <c r="AQ115" s="45">
        <f ca="1">TblConstr[[#This Row],[build -db]]*TblConstr[[#This Row],[CPA Platinum -DB]] + TblConstr[[#This Row],[build db]]*TblConstr[[#This Row],[CPA Platinum DB]]</f>
        <v>0</v>
      </c>
      <c r="AR115" s="45">
        <f ca="1">TblConstr[[#This Row],[build -db]]*TblConstr[[#This Row],[CPA Lumber -DB]] + TblConstr[[#This Row],[build db]]*TblConstr[[#This Row],[CPA Lumber DB]]</f>
        <v>0</v>
      </c>
      <c r="AS115" s="94">
        <f ca="1">MIN(SUM(OFFSET(TblConstr[[#This Row],[Plain]:[Water]],-1,0))+SUM(TblConstr[[#This Row],[Dest Hom]:[Dest Doc]])+IF(TblConstr[[#This Row],[Hour]]&gt;12,SUM(OFFSET(TblExplore[[#This Row],[Plains Explore]:[Water Explore]],-12,0)),0),SUM(TblConstr[[#This Row],[Hom]:[Doc]]))</f>
        <v>0</v>
      </c>
      <c r="AT1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42"/>
      <c r="AV115" s="94">
        <f ca="1">ROUND((TblConstr[[#This Row],[Land]]-250 - IF(TblExplore[[#This Row],[Land Bonus]]&lt;&gt;0,20,0))*1.25 + 850 + 0,0)</f>
        <v>600</v>
      </c>
      <c r="AW115" s="94">
        <f ca="1">ROUND((TblConstr[[#This Row],[Land]]-250 - IF(TblExplore[[#This Row],[Land Bonus]]&lt;&gt;0,20,0))*0.285 + 87.5 + 0/4.25,0)</f>
        <v>31</v>
      </c>
      <c r="AX115" s="154"/>
      <c r="AY115" s="188" cm="1">
        <f t="array" aca="1" ref="AY115" ca="1">IF(TblConstr[[#This Row],[Hour]:[Hour]]&gt;12,OFFSET(TblConstr[[#This Row],[Hom]],-12,0),0)+OFFSET(TblConstr[[#This Row],[Tot Hom]],-1,0)-TblConstr[[#This Row],[Dest Hom]]</f>
        <v>0</v>
      </c>
      <c r="AZ115" s="189" cm="1">
        <f t="array" aca="1" ref="AZ115" ca="1">IF(TblConstr[[#This Row],[Hour]:[Hour]]&gt;12,OFFSET(TblConstr[[#This Row],[Alc]],-12,0),0)+OFFSET(TblConstr[[#This Row],[Tot Alc]],-1,0)-TblConstr[[#This Row],[Dest Alc]]</f>
        <v>0</v>
      </c>
      <c r="BA115" s="189" cm="1">
        <f t="array" aca="1" ref="BA115" ca="1">IF(TblConstr[[#This Row],[Hour]:[Hour]]&gt;12,OFFSET(TblConstr[[#This Row],[Far]],-12,0),0)+OFFSET(TblConstr[[#This Row],[Tot Farm]],-1,0)-TblConstr[[#This Row],[Dest Farm]]</f>
        <v>30</v>
      </c>
      <c r="BB115" s="189" cm="1">
        <f t="array" aca="1" ref="BB115" ca="1">IF(TblConstr[[#This Row],[Hour]:[Hour]]&gt;12,OFFSET(TblConstr[[#This Row],[Smi]],-12,0),0)+OFFSET(TblConstr[[#This Row],[Tot Smi]],-1,0)-TblConstr[[#This Row],[Dest Smi]]</f>
        <v>0</v>
      </c>
      <c r="BC115" s="189" cm="1">
        <f t="array" aca="1" ref="BC115" ca="1">IF(TblConstr[[#This Row],[Hour]:[Hour]]&gt;12,OFFSET(TblConstr[[#This Row],[Mas]],-12,0),0)+OFFSET(TblConstr[[#This Row],[Tot Mas]],-1,0)-TblConstr[[#This Row],[Dest Mas]]</f>
        <v>0</v>
      </c>
      <c r="BD115" s="190" cm="1">
        <f t="array" aca="1" ref="BD115" ca="1">IF(TblConstr[[#This Row],[Hour]:[Hour]]&gt;12,OFFSET(TblConstr[[#This Row],[Ly]],-12,0),0)+OFFSET(TblConstr[[#This Row],[Tot Ly]],-1,0)-TblConstr[[#This Row],[Dest Ly]]</f>
        <v>20</v>
      </c>
      <c r="BE115" s="190" cm="1">
        <f t="array" aca="1" ref="BE115" ca="1">IF(TblConstr[[#This Row],[Hour]:[Hour]]&gt;12,OFFSET(TblConstr[[#This Row],[Hav]],-12,0),0)+OFFSET(TblConstr[[#This Row],[Tot Hav]],-1,0)-TblConstr[[#This Row],[Dest Hav]]</f>
        <v>0</v>
      </c>
      <c r="BF115" s="361" cm="1">
        <f t="array" aca="1" ref="BF115" ca="1">IF(TblConstr[[#This Row],[Hour]:[Hour]]&gt;12,OFFSET(TblConstr[[#This Row],[OM]],-12,0),0)+OFFSET(TblConstr[[#This Row],[Tot OM]],-1,0)-TblConstr[[#This Row],[Dest OM]]</f>
        <v>0</v>
      </c>
      <c r="BG115" s="361" cm="1">
        <f t="array" aca="1" ref="BG115" ca="1">IF(TblConstr[[#This Row],[Hour]:[Hour]]&gt;12,OFFSET(TblConstr[[#This Row],[GN]],-12,0),0)+OFFSET(TblConstr[[#This Row],[Tot GN]],-1,0)-TblConstr[[#This Row],[Dest GN]]</f>
        <v>0</v>
      </c>
      <c r="BH115" s="365" cm="1">
        <f t="array" aca="1" ref="BH115" ca="1">IF(TblConstr[[#This Row],[Hour]:[Hour]]&gt;12,OFFSET(TblConstr[[#This Row],[Fac]],-12,0),0)+OFFSET(TblConstr[[#This Row],[Tot Fac]],-1,0)-TblConstr[[#This Row],[Dest Fac]]</f>
        <v>0</v>
      </c>
      <c r="BI115" s="365" cm="1">
        <f t="array" aca="1" ref="BI115" ca="1">IF(TblConstr[[#This Row],[Hour]:[Hour]]&gt;12,OFFSET(TblConstr[[#This Row],[GT]],-12,0),0)+OFFSET(TblConstr[[#This Row],[Tot GT]],-1,0)-TblConstr[[#This Row],[Dest GT]]</f>
        <v>0</v>
      </c>
      <c r="BJ115" s="365" cm="1">
        <f t="array" aca="1" ref="BJ115" ca="1">IF(TblConstr[[#This Row],[Hour]:[Hour]]&gt;12,OFFSET(TblConstr[[#This Row],[Bar]],-12,0),0)+OFFSET(TblConstr[[#This Row],[Tot Bar]],-1,0)-TblConstr[[#This Row],[Dest Bar]]</f>
        <v>0</v>
      </c>
      <c r="BK115" s="365" cm="1">
        <f t="array" aca="1" ref="BK115" ca="1">IF(TblConstr[[#This Row],[Hour]:[Hour]]&gt;12,OFFSET(TblConstr[[#This Row],[Shr]],-12,0),0)+OFFSET(TblConstr[[#This Row],[Tot Shr]],-1,0)-TblConstr[[#This Row],[Dest Shr]]</f>
        <v>0</v>
      </c>
      <c r="BL115" s="369" cm="1">
        <f t="array" aca="1" ref="BL115" ca="1">IF(TblConstr[[#This Row],[Hour]:[Hour]]&gt;12,OFFSET(TblConstr[[#This Row],[Tow]],-12,0),0)+OFFSET(TblConstr[[#This Row],[Tot Tow]],-1,0)-TblConstr[[#This Row],[Dest Tow]]</f>
        <v>0</v>
      </c>
      <c r="BM115" s="369" cm="1">
        <f t="array" aca="1" ref="BM115" ca="1">IF(TblConstr[[#This Row],[Hour]:[Hour]]&gt;12,OFFSET(TblConstr[[#This Row],[Tem]],-12,0),0)+OFFSET(TblConstr[[#This Row],[Tot Tem]],-1,0)-TblConstr[[#This Row],[Dest Tem]]</f>
        <v>0</v>
      </c>
      <c r="BN115" s="369" cm="1">
        <f t="array" aca="1" ref="BN115" ca="1">IF(TblConstr[[#This Row],[Hour]:[Hour]]&gt;12,OFFSET(TblConstr[[#This Row],[WG]],-12,0),0)+OFFSET(TblConstr[[#This Row],[Tot WG]],-1,0)-TblConstr[[#This Row],[Dest WG]]</f>
        <v>0</v>
      </c>
      <c r="BO115" s="191" cm="1">
        <f t="array" aca="1" ref="BO115" ca="1">IF(TblConstr[[#This Row],[Hour]:[Hour]]&gt;12,OFFSET(TblConstr[[#This Row],[DM]],-12,0),0)+OFFSET(TblConstr[[#This Row],[Tot DM]],-1,0)-TblConstr[[#This Row],[Dest DM]]</f>
        <v>0</v>
      </c>
      <c r="BP115" s="191" cm="1">
        <f t="array" aca="1" ref="BP115" ca="1">IF(TblConstr[[#This Row],[Hour]:[Hour]]&gt;12,OFFSET(TblConstr[[#This Row],[Sch]],-12,0),0)+OFFSET(TblConstr[[#This Row],[Tot Sch]],-1,0)-TblConstr[[#This Row],[Dest Sch]]</f>
        <v>0</v>
      </c>
      <c r="BQ115" s="192" cm="1">
        <f t="array" aca="1" ref="BQ115" ca="1">IF(TblConstr[[#This Row],[Hour]:[Hour]]&gt;12,OFFSET(TblConstr[[#This Row],[Doc]],-12,0),0)+OFFSET(TblConstr[[#This Row],[Tot Doc]],-1,0)-TblConstr[[#This Row],[Dest Doc]]</f>
        <v>0</v>
      </c>
      <c r="BR115" s="142"/>
      <c r="BS115" s="154"/>
      <c r="BT115" s="94">
        <f ca="1">TblConstr[[#This Row],[Land]]</f>
        <v>50</v>
      </c>
      <c r="BU115" s="159">
        <f ca="1">TblImps[[#This Row],[Time]]</f>
        <v>46324.624999999731</v>
      </c>
      <c r="BV115" s="142"/>
      <c r="BW115" s="179"/>
      <c r="BX115" s="179"/>
      <c r="BY115" s="179"/>
      <c r="BZ115" s="179"/>
      <c r="CA115" s="179"/>
      <c r="CB115" s="179"/>
      <c r="CC115" s="179"/>
      <c r="CD115" s="179"/>
      <c r="CE115" s="179"/>
      <c r="CF115" s="179"/>
      <c r="CG115" s="179"/>
      <c r="CH115" s="179"/>
      <c r="CI115" s="179"/>
      <c r="CJ115" s="179"/>
      <c r="CK115" s="179"/>
      <c r="CL115" s="179"/>
      <c r="CM115" s="179"/>
      <c r="CN115" s="179"/>
      <c r="CO115" s="179"/>
      <c r="CP115" s="142"/>
      <c r="CQ115" s="181">
        <f ca="1">-SUM(TblConstr[[#This Row],[Alc]:[Mas]])+SUM(TblConstr[[#This Row],[Dest Alc]:[Dest Mas]])+Rezone!L115+IF("Ch_"&amp; home_land=TblConstr[[#Headers],[Ch_Plain]],TblConstr[[#This Row],[Home Land]])+IF(TblConstr[[#This Row],[Hour]:[Hour]]&gt;12,OFFSET(TblExplore[[#This Row],[Plains Explore]],-12,0),0)</f>
        <v>0</v>
      </c>
      <c r="CR115" s="182">
        <f ca="1">-SUM(TblConstr[[#This Row],[Ly]:[Hav]])+SUM(TblConstr[[#This Row],[Dest Ly]:[Dest Hav]]) +Rezone!M115 + IF("Ch_"&amp; home_land=TblConstr[[#Headers],[Ch_Forest]],TblConstr[[#This Row],[Home Land]])+IF(TblConstr[[#This Row],[Hour]:[Hour]]&gt;12,OFFSET(TblExplore[[#This Row],[Forest Explore]],-12,0),0)</f>
        <v>0</v>
      </c>
      <c r="CS115" s="359">
        <f ca="1">-SUM(TblConstr[[#This Row],[OM]:[GN]])+SUM(TblConstr[[#This Row],[Dest OM]:[Dest GN]]) +Rezone!N115 + IF("Ch_"&amp; home_land=TblConstr[[#Headers],[Ch_Mountain]],TblConstr[[#This Row],[Home Land]])+IF(TblConstr[[#This Row],[Hour]:[Hour]]&gt;12,OFFSET(TblExplore[[#This Row],[Mountain Explore]],-12,0),0)</f>
        <v>0</v>
      </c>
      <c r="CT115" s="183">
        <f ca="1">-SUM(TblConstr[[#This Row],[Fac]:[Shr]])+SUM(TblConstr[[#This Row],[Dest Fac]:[Dest Shr]]) +Rezone!O115 + IF("Ch_" &amp; home_land=TblConstr[[#Headers],[Ch_Hill]],TblConstr[[#This Row],[Home Land]])+IF(TblConstr[[#This Row],[Hour]:[Hour]]&gt;12,OFFSET(TblExplore[[#This Row],[Hill Explore]],-12,0),0)</f>
        <v>0</v>
      </c>
      <c r="CU115" s="184">
        <f ca="1">-SUM(TblConstr[[#This Row],[Tow]:[WG]])+SUM(TblConstr[[#This Row],[Dest Tow]:[Dest WG]]) +Rezone!P115 + IF("Ch_" &amp; home_land=TblConstr[[#Headers],[Ch_Swamp]],TblConstr[[#This Row],[Home Land]])+IF(TblConstr[[#This Row],[Hour]:[Hour]]&gt;12,OFFSET(TblExplore[[#This Row],[Swamp Explore]],-12,0),0)</f>
        <v>0</v>
      </c>
      <c r="CV115" s="185">
        <f ca="1" xml:space="preserve"> - SUM(TblConstr[[#This Row],[DM]:[Sch]])+SUM(TblConstr[[#This Row],[Dest DM]:[Dest Sch]]) +Rezone!Q115 + IF("Ch_" &amp; home_land=TblConstr[[#Headers],[Ch_Cavern]],TblConstr[[#This Row],[Home Land]])+IF(TblConstr[[#This Row],[Hour]:[Hour]]&gt;12,OFFSET(TblExplore[[#This Row],[Cavern Explore]],-12,0),0)</f>
        <v>0</v>
      </c>
      <c r="CW115" s="186">
        <f ca="1">-TblConstr[[#This Row],[Doc]]+TblConstr[[#This Row],[Dest Doc]] +Rezone!R115 + IF("Ch_" &amp; home_land=TblConstr[[#Headers],[Ch_Water]],TblConstr[[#This Row],[Home Land]])+IF(TblConstr[[#This Row],[Hour]:[Hour]]&gt;12,OFFSET(TblExplore[[#This Row],[Water Explore]],-12,0),0)</f>
        <v>0</v>
      </c>
      <c r="CX115" s="45">
        <f>IF(Explore!S115=1,20) - TblConstr[[#This Row],[Hom]] + TblConstr[[#This Row],[Dest Hom]]</f>
        <v>0</v>
      </c>
      <c r="CY115" s="142"/>
      <c r="CZ115" s="94">
        <f t="shared" ca="1" si="30"/>
        <v>30</v>
      </c>
      <c r="DA115" s="94">
        <f t="shared" ca="1" si="31"/>
        <v>20</v>
      </c>
      <c r="DB115" s="45">
        <f t="shared" ca="1" si="32"/>
        <v>0</v>
      </c>
      <c r="DC115" s="94">
        <f t="shared" ca="1" si="33"/>
        <v>0</v>
      </c>
      <c r="DD115" s="94">
        <f t="shared" ca="1" si="34"/>
        <v>0</v>
      </c>
      <c r="DE115" s="45">
        <f t="shared" ca="1" si="35"/>
        <v>0</v>
      </c>
      <c r="DF115" s="94">
        <f t="shared" ca="1" si="36"/>
        <v>0</v>
      </c>
      <c r="DG115" s="94" cm="1">
        <f t="array" aca="1" ref="DG115" ca="1">INDEX(TblConstr[[Total Plain]:[Total Water]],ROW()-ROW(TblConstr[#Headers]),MATCH("Total "&amp;home_land,TblConstr[[#Headers],[Total Plain]:[Total Water]],0))+TblConstr[[#This Row],[Homes]]</f>
        <v>30</v>
      </c>
      <c r="DH115" s="45">
        <f t="shared" ca="1" si="22"/>
        <v>0</v>
      </c>
      <c r="DI115" s="45">
        <f t="shared" ca="1" si="19"/>
        <v>0</v>
      </c>
      <c r="DJ115" s="45">
        <f t="shared" ca="1" si="20"/>
        <v>0</v>
      </c>
    </row>
    <row r="116" spans="1:114" x14ac:dyDescent="0.2">
      <c r="A116" s="175">
        <f>TblRezone[[#This Row],[Hour]]</f>
        <v>113</v>
      </c>
      <c r="B116" s="176">
        <f ca="1">SUM(TblConstr[[#This Row],[Plain]:[Water]])</f>
        <v>0</v>
      </c>
      <c r="C116" s="177">
        <f ca="1">SUM(TblConstr[[#This Row],[Tot Hom]:[Tot Doc]])</f>
        <v>50</v>
      </c>
      <c r="D116" s="177">
        <f t="shared" si="21"/>
        <v>0</v>
      </c>
      <c r="E116" s="178"/>
      <c r="F116" s="61">
        <f ca="1">TblConstr[[#This Row],[Barren]]+TblConstr[[#This Row],[Buildings]]+TblConstr[[#This Row],[Incoming]]</f>
        <v>50</v>
      </c>
      <c r="G116" s="187">
        <f ca="1">OFFSET(TblConstr[[#This Row],[Plain]],-1,0)+TblConstr[[#This Row],[Ch_Plain]]</f>
        <v>0</v>
      </c>
      <c r="H116" s="182">
        <f ca="1">OFFSET(TblConstr[[#This Row],[Forest]],-1,0)+TblConstr[[#This Row],[Ch_Forest]]</f>
        <v>0</v>
      </c>
      <c r="I116" s="359">
        <f ca="1">OFFSET(TblConstr[[#This Row],[Mountain]],-1,0)+TblConstr[[#This Row],[Ch_Mountain]]</f>
        <v>0</v>
      </c>
      <c r="J116" s="363">
        <f ca="1">OFFSET(TblConstr[[#This Row],[Hill]],-1,0)+TblConstr[[#This Row],[Ch_Hill]]</f>
        <v>0</v>
      </c>
      <c r="K116" s="367">
        <f ca="1">OFFSET(TblConstr[[#This Row],[Swamp]],-1,0)+TblConstr[[#This Row],[Ch_Swamp]]</f>
        <v>0</v>
      </c>
      <c r="L116" s="185">
        <f ca="1">OFFSET(TblConstr[[#This Row],[Cavern]],-1,0)+TblConstr[[#This Row],[Ch_Cavern]]</f>
        <v>0</v>
      </c>
      <c r="M116" s="186">
        <f ca="1">OFFSET(TblConstr[[#This Row],[Water]],-1,0)+TblConstr[[#This Row],[Ch_Water]]</f>
        <v>0</v>
      </c>
      <c r="N116" s="357">
        <f>TblRezone[[#This Row],[Hour]]</f>
        <v>113</v>
      </c>
      <c r="O116" s="179"/>
      <c r="P116" s="179"/>
      <c r="Q116" s="179"/>
      <c r="R116" s="179"/>
      <c r="S116" s="179"/>
      <c r="T116" s="179"/>
      <c r="U116" s="179"/>
      <c r="V116" s="179"/>
      <c r="W116" s="179"/>
      <c r="X116" s="179"/>
      <c r="Y116" s="179"/>
      <c r="Z116" s="179"/>
      <c r="AA116" s="179"/>
      <c r="AB116" s="179"/>
      <c r="AC116" s="179"/>
      <c r="AD116" s="179"/>
      <c r="AE116" s="179"/>
      <c r="AF116" s="179"/>
      <c r="AG116" s="179"/>
      <c r="AH116" s="53">
        <f ca="1">TblImps[[#This Row],[Time]]</f>
        <v>46324.666666666395</v>
      </c>
      <c r="AI116" s="180">
        <f ca="1">MIN(25%,(TblConstr[[#This Row],[Tot Fac]]+TblConstr[[#This Row],[Dest Fac]])/(TblConstr[[#This Row],[Land]]-TblExplore[[#This Row],[Land Bonus]]*20))</f>
        <v>0</v>
      </c>
      <c r="AJ116" s="180">
        <f ca="1">MIN(25%,(TblConstr[[#This Row],[Tot Fac]]+TblConstr[[#This Row],[Dest Fac]])/TblConstr[[#This Row],[Land]])</f>
        <v>0</v>
      </c>
      <c r="AK116" s="94">
        <f ca="1">TblProd[[#This Row],[Platinum]]</f>
        <v>205820</v>
      </c>
      <c r="AL116" s="94">
        <f ca="1">TblProd[[#This Row],[Lumber]]</f>
        <v>72420</v>
      </c>
      <c r="AM1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6" s="94">
        <f ca="1">ROUNDDOWN( MAX(1 - MIN(facs_constr_factor*TblConstr[[#This Row],[Facs -DB]],facs_constr_max) + tech_1_11*TblTech[[#This Row],[11-1]] + tech_6_3_2*TblTech[[#This Row],[6-3]] + tech_5_2_3*TblTech[[#This Row],[5-2]], 1-global_constr_cap) * TblConstr[[#This Row],[RCPA Lumber]],0)</f>
        <v>31</v>
      </c>
      <c r="AO1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6" s="94">
        <f ca="1">ROUNDDOWN( MAX(1 - MIN(facs_constr_factor*TblConstr[[#This Row],[Facs DB]],facs_constr_max) + tech_1_11*TblTech[[#This Row],[1-11]] + tech_6_3_2*TblTech[[#This Row],[6-3]] + tech_5_2_3*TblTech[[#This Row],[5-2]], 1-global_constr_cap) * ROUND((TblConstr[[#This Row],[Land]]-250)*0.285 + 87.5 + 0/4.25,0),0)</f>
        <v>31</v>
      </c>
      <c r="AQ116" s="45">
        <f ca="1">TblConstr[[#This Row],[build -db]]*TblConstr[[#This Row],[CPA Platinum -DB]] + TblConstr[[#This Row],[build db]]*TblConstr[[#This Row],[CPA Platinum DB]]</f>
        <v>0</v>
      </c>
      <c r="AR116" s="45">
        <f ca="1">TblConstr[[#This Row],[build -db]]*TblConstr[[#This Row],[CPA Lumber -DB]] + TblConstr[[#This Row],[build db]]*TblConstr[[#This Row],[CPA Lumber DB]]</f>
        <v>0</v>
      </c>
      <c r="AS116" s="94">
        <f ca="1">MIN(SUM(OFFSET(TblConstr[[#This Row],[Plain]:[Water]],-1,0))+SUM(TblConstr[[#This Row],[Dest Hom]:[Dest Doc]])+IF(TblConstr[[#This Row],[Hour]]&gt;12,SUM(OFFSET(TblExplore[[#This Row],[Plains Explore]:[Water Explore]],-12,0)),0),SUM(TblConstr[[#This Row],[Hom]:[Doc]]))</f>
        <v>0</v>
      </c>
      <c r="AT1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42"/>
      <c r="AV116" s="94">
        <f ca="1">ROUND((TblConstr[[#This Row],[Land]]-250 - IF(TblExplore[[#This Row],[Land Bonus]]&lt;&gt;0,20,0))*1.25 + 850 + 0,0)</f>
        <v>600</v>
      </c>
      <c r="AW116" s="94">
        <f ca="1">ROUND((TblConstr[[#This Row],[Land]]-250 - IF(TblExplore[[#This Row],[Land Bonus]]&lt;&gt;0,20,0))*0.285 + 87.5 + 0/4.25,0)</f>
        <v>31</v>
      </c>
      <c r="AX116" s="154"/>
      <c r="AY116" s="188" cm="1">
        <f t="array" aca="1" ref="AY116" ca="1">IF(TblConstr[[#This Row],[Hour]:[Hour]]&gt;12,OFFSET(TblConstr[[#This Row],[Hom]],-12,0),0)+OFFSET(TblConstr[[#This Row],[Tot Hom]],-1,0)-TblConstr[[#This Row],[Dest Hom]]</f>
        <v>0</v>
      </c>
      <c r="AZ116" s="189" cm="1">
        <f t="array" aca="1" ref="AZ116" ca="1">IF(TblConstr[[#This Row],[Hour]:[Hour]]&gt;12,OFFSET(TblConstr[[#This Row],[Alc]],-12,0),0)+OFFSET(TblConstr[[#This Row],[Tot Alc]],-1,0)-TblConstr[[#This Row],[Dest Alc]]</f>
        <v>0</v>
      </c>
      <c r="BA116" s="189" cm="1">
        <f t="array" aca="1" ref="BA116" ca="1">IF(TblConstr[[#This Row],[Hour]:[Hour]]&gt;12,OFFSET(TblConstr[[#This Row],[Far]],-12,0),0)+OFFSET(TblConstr[[#This Row],[Tot Farm]],-1,0)-TblConstr[[#This Row],[Dest Farm]]</f>
        <v>30</v>
      </c>
      <c r="BB116" s="189" cm="1">
        <f t="array" aca="1" ref="BB116" ca="1">IF(TblConstr[[#This Row],[Hour]:[Hour]]&gt;12,OFFSET(TblConstr[[#This Row],[Smi]],-12,0),0)+OFFSET(TblConstr[[#This Row],[Tot Smi]],-1,0)-TblConstr[[#This Row],[Dest Smi]]</f>
        <v>0</v>
      </c>
      <c r="BC116" s="189" cm="1">
        <f t="array" aca="1" ref="BC116" ca="1">IF(TblConstr[[#This Row],[Hour]:[Hour]]&gt;12,OFFSET(TblConstr[[#This Row],[Mas]],-12,0),0)+OFFSET(TblConstr[[#This Row],[Tot Mas]],-1,0)-TblConstr[[#This Row],[Dest Mas]]</f>
        <v>0</v>
      </c>
      <c r="BD116" s="190" cm="1">
        <f t="array" aca="1" ref="BD116" ca="1">IF(TblConstr[[#This Row],[Hour]:[Hour]]&gt;12,OFFSET(TblConstr[[#This Row],[Ly]],-12,0),0)+OFFSET(TblConstr[[#This Row],[Tot Ly]],-1,0)-TblConstr[[#This Row],[Dest Ly]]</f>
        <v>20</v>
      </c>
      <c r="BE116" s="190" cm="1">
        <f t="array" aca="1" ref="BE116" ca="1">IF(TblConstr[[#This Row],[Hour]:[Hour]]&gt;12,OFFSET(TblConstr[[#This Row],[Hav]],-12,0),0)+OFFSET(TblConstr[[#This Row],[Tot Hav]],-1,0)-TblConstr[[#This Row],[Dest Hav]]</f>
        <v>0</v>
      </c>
      <c r="BF116" s="361" cm="1">
        <f t="array" aca="1" ref="BF116" ca="1">IF(TblConstr[[#This Row],[Hour]:[Hour]]&gt;12,OFFSET(TblConstr[[#This Row],[OM]],-12,0),0)+OFFSET(TblConstr[[#This Row],[Tot OM]],-1,0)-TblConstr[[#This Row],[Dest OM]]</f>
        <v>0</v>
      </c>
      <c r="BG116" s="361" cm="1">
        <f t="array" aca="1" ref="BG116" ca="1">IF(TblConstr[[#This Row],[Hour]:[Hour]]&gt;12,OFFSET(TblConstr[[#This Row],[GN]],-12,0),0)+OFFSET(TblConstr[[#This Row],[Tot GN]],-1,0)-TblConstr[[#This Row],[Dest GN]]</f>
        <v>0</v>
      </c>
      <c r="BH116" s="365" cm="1">
        <f t="array" aca="1" ref="BH116" ca="1">IF(TblConstr[[#This Row],[Hour]:[Hour]]&gt;12,OFFSET(TblConstr[[#This Row],[Fac]],-12,0),0)+OFFSET(TblConstr[[#This Row],[Tot Fac]],-1,0)-TblConstr[[#This Row],[Dest Fac]]</f>
        <v>0</v>
      </c>
      <c r="BI116" s="365" cm="1">
        <f t="array" aca="1" ref="BI116" ca="1">IF(TblConstr[[#This Row],[Hour]:[Hour]]&gt;12,OFFSET(TblConstr[[#This Row],[GT]],-12,0),0)+OFFSET(TblConstr[[#This Row],[Tot GT]],-1,0)-TblConstr[[#This Row],[Dest GT]]</f>
        <v>0</v>
      </c>
      <c r="BJ116" s="365" cm="1">
        <f t="array" aca="1" ref="BJ116" ca="1">IF(TblConstr[[#This Row],[Hour]:[Hour]]&gt;12,OFFSET(TblConstr[[#This Row],[Bar]],-12,0),0)+OFFSET(TblConstr[[#This Row],[Tot Bar]],-1,0)-TblConstr[[#This Row],[Dest Bar]]</f>
        <v>0</v>
      </c>
      <c r="BK116" s="365" cm="1">
        <f t="array" aca="1" ref="BK116" ca="1">IF(TblConstr[[#This Row],[Hour]:[Hour]]&gt;12,OFFSET(TblConstr[[#This Row],[Shr]],-12,0),0)+OFFSET(TblConstr[[#This Row],[Tot Shr]],-1,0)-TblConstr[[#This Row],[Dest Shr]]</f>
        <v>0</v>
      </c>
      <c r="BL116" s="369" cm="1">
        <f t="array" aca="1" ref="BL116" ca="1">IF(TblConstr[[#This Row],[Hour]:[Hour]]&gt;12,OFFSET(TblConstr[[#This Row],[Tow]],-12,0),0)+OFFSET(TblConstr[[#This Row],[Tot Tow]],-1,0)-TblConstr[[#This Row],[Dest Tow]]</f>
        <v>0</v>
      </c>
      <c r="BM116" s="369" cm="1">
        <f t="array" aca="1" ref="BM116" ca="1">IF(TblConstr[[#This Row],[Hour]:[Hour]]&gt;12,OFFSET(TblConstr[[#This Row],[Tem]],-12,0),0)+OFFSET(TblConstr[[#This Row],[Tot Tem]],-1,0)-TblConstr[[#This Row],[Dest Tem]]</f>
        <v>0</v>
      </c>
      <c r="BN116" s="369" cm="1">
        <f t="array" aca="1" ref="BN116" ca="1">IF(TblConstr[[#This Row],[Hour]:[Hour]]&gt;12,OFFSET(TblConstr[[#This Row],[WG]],-12,0),0)+OFFSET(TblConstr[[#This Row],[Tot WG]],-1,0)-TblConstr[[#This Row],[Dest WG]]</f>
        <v>0</v>
      </c>
      <c r="BO116" s="191" cm="1">
        <f t="array" aca="1" ref="BO116" ca="1">IF(TblConstr[[#This Row],[Hour]:[Hour]]&gt;12,OFFSET(TblConstr[[#This Row],[DM]],-12,0),0)+OFFSET(TblConstr[[#This Row],[Tot DM]],-1,0)-TblConstr[[#This Row],[Dest DM]]</f>
        <v>0</v>
      </c>
      <c r="BP116" s="191" cm="1">
        <f t="array" aca="1" ref="BP116" ca="1">IF(TblConstr[[#This Row],[Hour]:[Hour]]&gt;12,OFFSET(TblConstr[[#This Row],[Sch]],-12,0),0)+OFFSET(TblConstr[[#This Row],[Tot Sch]],-1,0)-TblConstr[[#This Row],[Dest Sch]]</f>
        <v>0</v>
      </c>
      <c r="BQ116" s="192" cm="1">
        <f t="array" aca="1" ref="BQ116" ca="1">IF(TblConstr[[#This Row],[Hour]:[Hour]]&gt;12,OFFSET(TblConstr[[#This Row],[Doc]],-12,0),0)+OFFSET(TblConstr[[#This Row],[Tot Doc]],-1,0)-TblConstr[[#This Row],[Dest Doc]]</f>
        <v>0</v>
      </c>
      <c r="BR116" s="142"/>
      <c r="BS116" s="154"/>
      <c r="BT116" s="94">
        <f ca="1">TblConstr[[#This Row],[Land]]</f>
        <v>50</v>
      </c>
      <c r="BU116" s="159">
        <f ca="1">TblImps[[#This Row],[Time]]</f>
        <v>46324.666666666395</v>
      </c>
      <c r="BV116" s="142"/>
      <c r="BW116" s="179"/>
      <c r="BX116" s="179"/>
      <c r="BY116" s="179"/>
      <c r="BZ116" s="179"/>
      <c r="CA116" s="179"/>
      <c r="CB116" s="179"/>
      <c r="CC116" s="179"/>
      <c r="CD116" s="179"/>
      <c r="CE116" s="179"/>
      <c r="CF116" s="179"/>
      <c r="CG116" s="179"/>
      <c r="CH116" s="179"/>
      <c r="CI116" s="179"/>
      <c r="CJ116" s="179"/>
      <c r="CK116" s="179"/>
      <c r="CL116" s="179"/>
      <c r="CM116" s="179"/>
      <c r="CN116" s="179"/>
      <c r="CO116" s="179"/>
      <c r="CP116" s="142"/>
      <c r="CQ116" s="181">
        <f ca="1">-SUM(TblConstr[[#This Row],[Alc]:[Mas]])+SUM(TblConstr[[#This Row],[Dest Alc]:[Dest Mas]])+Rezone!L116+IF("Ch_"&amp; home_land=TblConstr[[#Headers],[Ch_Plain]],TblConstr[[#This Row],[Home Land]])+IF(TblConstr[[#This Row],[Hour]:[Hour]]&gt;12,OFFSET(TblExplore[[#This Row],[Plains Explore]],-12,0),0)</f>
        <v>0</v>
      </c>
      <c r="CR116" s="182">
        <f ca="1">-SUM(TblConstr[[#This Row],[Ly]:[Hav]])+SUM(TblConstr[[#This Row],[Dest Ly]:[Dest Hav]]) +Rezone!M116 + IF("Ch_"&amp; home_land=TblConstr[[#Headers],[Ch_Forest]],TblConstr[[#This Row],[Home Land]])+IF(TblConstr[[#This Row],[Hour]:[Hour]]&gt;12,OFFSET(TblExplore[[#This Row],[Forest Explore]],-12,0),0)</f>
        <v>0</v>
      </c>
      <c r="CS116" s="359">
        <f ca="1">-SUM(TblConstr[[#This Row],[OM]:[GN]])+SUM(TblConstr[[#This Row],[Dest OM]:[Dest GN]]) +Rezone!N116 + IF("Ch_"&amp; home_land=TblConstr[[#Headers],[Ch_Mountain]],TblConstr[[#This Row],[Home Land]])+IF(TblConstr[[#This Row],[Hour]:[Hour]]&gt;12,OFFSET(TblExplore[[#This Row],[Mountain Explore]],-12,0),0)</f>
        <v>0</v>
      </c>
      <c r="CT116" s="183">
        <f ca="1">-SUM(TblConstr[[#This Row],[Fac]:[Shr]])+SUM(TblConstr[[#This Row],[Dest Fac]:[Dest Shr]]) +Rezone!O116 + IF("Ch_" &amp; home_land=TblConstr[[#Headers],[Ch_Hill]],TblConstr[[#This Row],[Home Land]])+IF(TblConstr[[#This Row],[Hour]:[Hour]]&gt;12,OFFSET(TblExplore[[#This Row],[Hill Explore]],-12,0),0)</f>
        <v>0</v>
      </c>
      <c r="CU116" s="184">
        <f ca="1">-SUM(TblConstr[[#This Row],[Tow]:[WG]])+SUM(TblConstr[[#This Row],[Dest Tow]:[Dest WG]]) +Rezone!P116 + IF("Ch_" &amp; home_land=TblConstr[[#Headers],[Ch_Swamp]],TblConstr[[#This Row],[Home Land]])+IF(TblConstr[[#This Row],[Hour]:[Hour]]&gt;12,OFFSET(TblExplore[[#This Row],[Swamp Explore]],-12,0),0)</f>
        <v>0</v>
      </c>
      <c r="CV116" s="185">
        <f ca="1" xml:space="preserve"> - SUM(TblConstr[[#This Row],[DM]:[Sch]])+SUM(TblConstr[[#This Row],[Dest DM]:[Dest Sch]]) +Rezone!Q116 + IF("Ch_" &amp; home_land=TblConstr[[#Headers],[Ch_Cavern]],TblConstr[[#This Row],[Home Land]])+IF(TblConstr[[#This Row],[Hour]:[Hour]]&gt;12,OFFSET(TblExplore[[#This Row],[Cavern Explore]],-12,0),0)</f>
        <v>0</v>
      </c>
      <c r="CW116" s="186">
        <f ca="1">-TblConstr[[#This Row],[Doc]]+TblConstr[[#This Row],[Dest Doc]] +Rezone!R116 + IF("Ch_" &amp; home_land=TblConstr[[#Headers],[Ch_Water]],TblConstr[[#This Row],[Home Land]])+IF(TblConstr[[#This Row],[Hour]:[Hour]]&gt;12,OFFSET(TblExplore[[#This Row],[Water Explore]],-12,0),0)</f>
        <v>0</v>
      </c>
      <c r="CX116" s="45">
        <f>IF(Explore!S116=1,20) - TblConstr[[#This Row],[Hom]] + TblConstr[[#This Row],[Dest Hom]]</f>
        <v>0</v>
      </c>
      <c r="CY116" s="142"/>
      <c r="CZ116" s="94">
        <f t="shared" ca="1" si="30"/>
        <v>30</v>
      </c>
      <c r="DA116" s="94">
        <f t="shared" ca="1" si="31"/>
        <v>20</v>
      </c>
      <c r="DB116" s="45">
        <f t="shared" ca="1" si="32"/>
        <v>0</v>
      </c>
      <c r="DC116" s="94">
        <f t="shared" ca="1" si="33"/>
        <v>0</v>
      </c>
      <c r="DD116" s="94">
        <f t="shared" ca="1" si="34"/>
        <v>0</v>
      </c>
      <c r="DE116" s="45">
        <f t="shared" ca="1" si="35"/>
        <v>0</v>
      </c>
      <c r="DF116" s="94">
        <f t="shared" ca="1" si="36"/>
        <v>0</v>
      </c>
      <c r="DG116" s="94" cm="1">
        <f t="array" aca="1" ref="DG116" ca="1">INDEX(TblConstr[[Total Plain]:[Total Water]],ROW()-ROW(TblConstr[#Headers]),MATCH("Total "&amp;home_land,TblConstr[[#Headers],[Total Plain]:[Total Water]],0))+TblConstr[[#This Row],[Homes]]</f>
        <v>30</v>
      </c>
      <c r="DH116" s="45">
        <f t="shared" ca="1" si="22"/>
        <v>0</v>
      </c>
      <c r="DI116" s="45">
        <f t="shared" ca="1" si="19"/>
        <v>0</v>
      </c>
      <c r="DJ116" s="45">
        <f t="shared" ca="1" si="20"/>
        <v>0</v>
      </c>
    </row>
    <row r="117" spans="1:114" x14ac:dyDescent="0.2">
      <c r="A117" s="175">
        <f>TblRezone[[#This Row],[Hour]]</f>
        <v>114</v>
      </c>
      <c r="B117" s="176">
        <f ca="1">SUM(TblConstr[[#This Row],[Plain]:[Water]])</f>
        <v>0</v>
      </c>
      <c r="C117" s="177">
        <f ca="1">SUM(TblConstr[[#This Row],[Tot Hom]:[Tot Doc]])</f>
        <v>50</v>
      </c>
      <c r="D117" s="177">
        <f t="shared" si="21"/>
        <v>0</v>
      </c>
      <c r="E117" s="178"/>
      <c r="F117" s="61">
        <f ca="1">TblConstr[[#This Row],[Barren]]+TblConstr[[#This Row],[Buildings]]+TblConstr[[#This Row],[Incoming]]</f>
        <v>50</v>
      </c>
      <c r="G117" s="187">
        <f ca="1">OFFSET(TblConstr[[#This Row],[Plain]],-1,0)+TblConstr[[#This Row],[Ch_Plain]]</f>
        <v>0</v>
      </c>
      <c r="H117" s="182">
        <f ca="1">OFFSET(TblConstr[[#This Row],[Forest]],-1,0)+TblConstr[[#This Row],[Ch_Forest]]</f>
        <v>0</v>
      </c>
      <c r="I117" s="359">
        <f ca="1">OFFSET(TblConstr[[#This Row],[Mountain]],-1,0)+TblConstr[[#This Row],[Ch_Mountain]]</f>
        <v>0</v>
      </c>
      <c r="J117" s="363">
        <f ca="1">OFFSET(TblConstr[[#This Row],[Hill]],-1,0)+TblConstr[[#This Row],[Ch_Hill]]</f>
        <v>0</v>
      </c>
      <c r="K117" s="367">
        <f ca="1">OFFSET(TblConstr[[#This Row],[Swamp]],-1,0)+TblConstr[[#This Row],[Ch_Swamp]]</f>
        <v>0</v>
      </c>
      <c r="L117" s="185">
        <f ca="1">OFFSET(TblConstr[[#This Row],[Cavern]],-1,0)+TblConstr[[#This Row],[Ch_Cavern]]</f>
        <v>0</v>
      </c>
      <c r="M117" s="186">
        <f ca="1">OFFSET(TblConstr[[#This Row],[Water]],-1,0)+TblConstr[[#This Row],[Ch_Water]]</f>
        <v>0</v>
      </c>
      <c r="N117" s="357">
        <f>TblRezone[[#This Row],[Hour]]</f>
        <v>114</v>
      </c>
      <c r="O117" s="179"/>
      <c r="P117" s="179"/>
      <c r="Q117" s="179"/>
      <c r="R117" s="179"/>
      <c r="S117" s="179"/>
      <c r="T117" s="179"/>
      <c r="U117" s="179"/>
      <c r="V117" s="179"/>
      <c r="W117" s="179"/>
      <c r="X117" s="179"/>
      <c r="Y117" s="179"/>
      <c r="Z117" s="179"/>
      <c r="AA117" s="179"/>
      <c r="AB117" s="179"/>
      <c r="AC117" s="179"/>
      <c r="AD117" s="179"/>
      <c r="AE117" s="179"/>
      <c r="AF117" s="179"/>
      <c r="AG117" s="179"/>
      <c r="AH117" s="53">
        <f ca="1">TblImps[[#This Row],[Time]]</f>
        <v>46324.708333333059</v>
      </c>
      <c r="AI117" s="180">
        <f ca="1">MIN(25%,(TblConstr[[#This Row],[Tot Fac]]+TblConstr[[#This Row],[Dest Fac]])/(TblConstr[[#This Row],[Land]]-TblExplore[[#This Row],[Land Bonus]]*20))</f>
        <v>0</v>
      </c>
      <c r="AJ117" s="180">
        <f ca="1">MIN(25%,(TblConstr[[#This Row],[Tot Fac]]+TblConstr[[#This Row],[Dest Fac]])/TblConstr[[#This Row],[Land]])</f>
        <v>0</v>
      </c>
      <c r="AK117" s="94">
        <f ca="1">TblProd[[#This Row],[Platinum]]</f>
        <v>206222</v>
      </c>
      <c r="AL117" s="94">
        <f ca="1">TblProd[[#This Row],[Lumber]]</f>
        <v>72696</v>
      </c>
      <c r="AM1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7" s="94">
        <f ca="1">ROUNDDOWN( MAX(1 - MIN(facs_constr_factor*TblConstr[[#This Row],[Facs -DB]],facs_constr_max) + tech_1_11*TblTech[[#This Row],[11-1]] + tech_6_3_2*TblTech[[#This Row],[6-3]] + tech_5_2_3*TblTech[[#This Row],[5-2]], 1-global_constr_cap) * TblConstr[[#This Row],[RCPA Lumber]],0)</f>
        <v>31</v>
      </c>
      <c r="AO1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7" s="94">
        <f ca="1">ROUNDDOWN( MAX(1 - MIN(facs_constr_factor*TblConstr[[#This Row],[Facs DB]],facs_constr_max) + tech_1_11*TblTech[[#This Row],[1-11]] + tech_6_3_2*TblTech[[#This Row],[6-3]] + tech_5_2_3*TblTech[[#This Row],[5-2]], 1-global_constr_cap) * ROUND((TblConstr[[#This Row],[Land]]-250)*0.285 + 87.5 + 0/4.25,0),0)</f>
        <v>31</v>
      </c>
      <c r="AQ117" s="45">
        <f ca="1">TblConstr[[#This Row],[build -db]]*TblConstr[[#This Row],[CPA Platinum -DB]] + TblConstr[[#This Row],[build db]]*TblConstr[[#This Row],[CPA Platinum DB]]</f>
        <v>0</v>
      </c>
      <c r="AR117" s="45">
        <f ca="1">TblConstr[[#This Row],[build -db]]*TblConstr[[#This Row],[CPA Lumber -DB]] + TblConstr[[#This Row],[build db]]*TblConstr[[#This Row],[CPA Lumber DB]]</f>
        <v>0</v>
      </c>
      <c r="AS117" s="94">
        <f ca="1">MIN(SUM(OFFSET(TblConstr[[#This Row],[Plain]:[Water]],-1,0))+SUM(TblConstr[[#This Row],[Dest Hom]:[Dest Doc]])+IF(TblConstr[[#This Row],[Hour]]&gt;12,SUM(OFFSET(TblExplore[[#This Row],[Plains Explore]:[Water Explore]],-12,0)),0),SUM(TblConstr[[#This Row],[Hom]:[Doc]]))</f>
        <v>0</v>
      </c>
      <c r="AT1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42"/>
      <c r="AV117" s="94">
        <f ca="1">ROUND((TblConstr[[#This Row],[Land]]-250 - IF(TblExplore[[#This Row],[Land Bonus]]&lt;&gt;0,20,0))*1.25 + 850 + 0,0)</f>
        <v>600</v>
      </c>
      <c r="AW117" s="94">
        <f ca="1">ROUND((TblConstr[[#This Row],[Land]]-250 - IF(TblExplore[[#This Row],[Land Bonus]]&lt;&gt;0,20,0))*0.285 + 87.5 + 0/4.25,0)</f>
        <v>31</v>
      </c>
      <c r="AX117" s="154"/>
      <c r="AY117" s="188" cm="1">
        <f t="array" aca="1" ref="AY117" ca="1">IF(TblConstr[[#This Row],[Hour]:[Hour]]&gt;12,OFFSET(TblConstr[[#This Row],[Hom]],-12,0),0)+OFFSET(TblConstr[[#This Row],[Tot Hom]],-1,0)-TblConstr[[#This Row],[Dest Hom]]</f>
        <v>0</v>
      </c>
      <c r="AZ117" s="189" cm="1">
        <f t="array" aca="1" ref="AZ117" ca="1">IF(TblConstr[[#This Row],[Hour]:[Hour]]&gt;12,OFFSET(TblConstr[[#This Row],[Alc]],-12,0),0)+OFFSET(TblConstr[[#This Row],[Tot Alc]],-1,0)-TblConstr[[#This Row],[Dest Alc]]</f>
        <v>0</v>
      </c>
      <c r="BA117" s="189" cm="1">
        <f t="array" aca="1" ref="BA117" ca="1">IF(TblConstr[[#This Row],[Hour]:[Hour]]&gt;12,OFFSET(TblConstr[[#This Row],[Far]],-12,0),0)+OFFSET(TblConstr[[#This Row],[Tot Farm]],-1,0)-TblConstr[[#This Row],[Dest Farm]]</f>
        <v>30</v>
      </c>
      <c r="BB117" s="189" cm="1">
        <f t="array" aca="1" ref="BB117" ca="1">IF(TblConstr[[#This Row],[Hour]:[Hour]]&gt;12,OFFSET(TblConstr[[#This Row],[Smi]],-12,0),0)+OFFSET(TblConstr[[#This Row],[Tot Smi]],-1,0)-TblConstr[[#This Row],[Dest Smi]]</f>
        <v>0</v>
      </c>
      <c r="BC117" s="189" cm="1">
        <f t="array" aca="1" ref="BC117" ca="1">IF(TblConstr[[#This Row],[Hour]:[Hour]]&gt;12,OFFSET(TblConstr[[#This Row],[Mas]],-12,0),0)+OFFSET(TblConstr[[#This Row],[Tot Mas]],-1,0)-TblConstr[[#This Row],[Dest Mas]]</f>
        <v>0</v>
      </c>
      <c r="BD117" s="190" cm="1">
        <f t="array" aca="1" ref="BD117" ca="1">IF(TblConstr[[#This Row],[Hour]:[Hour]]&gt;12,OFFSET(TblConstr[[#This Row],[Ly]],-12,0),0)+OFFSET(TblConstr[[#This Row],[Tot Ly]],-1,0)-TblConstr[[#This Row],[Dest Ly]]</f>
        <v>20</v>
      </c>
      <c r="BE117" s="190" cm="1">
        <f t="array" aca="1" ref="BE117" ca="1">IF(TblConstr[[#This Row],[Hour]:[Hour]]&gt;12,OFFSET(TblConstr[[#This Row],[Hav]],-12,0),0)+OFFSET(TblConstr[[#This Row],[Tot Hav]],-1,0)-TblConstr[[#This Row],[Dest Hav]]</f>
        <v>0</v>
      </c>
      <c r="BF117" s="361" cm="1">
        <f t="array" aca="1" ref="BF117" ca="1">IF(TblConstr[[#This Row],[Hour]:[Hour]]&gt;12,OFFSET(TblConstr[[#This Row],[OM]],-12,0),0)+OFFSET(TblConstr[[#This Row],[Tot OM]],-1,0)-TblConstr[[#This Row],[Dest OM]]</f>
        <v>0</v>
      </c>
      <c r="BG117" s="361" cm="1">
        <f t="array" aca="1" ref="BG117" ca="1">IF(TblConstr[[#This Row],[Hour]:[Hour]]&gt;12,OFFSET(TblConstr[[#This Row],[GN]],-12,0),0)+OFFSET(TblConstr[[#This Row],[Tot GN]],-1,0)-TblConstr[[#This Row],[Dest GN]]</f>
        <v>0</v>
      </c>
      <c r="BH117" s="365" cm="1">
        <f t="array" aca="1" ref="BH117" ca="1">IF(TblConstr[[#This Row],[Hour]:[Hour]]&gt;12,OFFSET(TblConstr[[#This Row],[Fac]],-12,0),0)+OFFSET(TblConstr[[#This Row],[Tot Fac]],-1,0)-TblConstr[[#This Row],[Dest Fac]]</f>
        <v>0</v>
      </c>
      <c r="BI117" s="365" cm="1">
        <f t="array" aca="1" ref="BI117" ca="1">IF(TblConstr[[#This Row],[Hour]:[Hour]]&gt;12,OFFSET(TblConstr[[#This Row],[GT]],-12,0),0)+OFFSET(TblConstr[[#This Row],[Tot GT]],-1,0)-TblConstr[[#This Row],[Dest GT]]</f>
        <v>0</v>
      </c>
      <c r="BJ117" s="365" cm="1">
        <f t="array" aca="1" ref="BJ117" ca="1">IF(TblConstr[[#This Row],[Hour]:[Hour]]&gt;12,OFFSET(TblConstr[[#This Row],[Bar]],-12,0),0)+OFFSET(TblConstr[[#This Row],[Tot Bar]],-1,0)-TblConstr[[#This Row],[Dest Bar]]</f>
        <v>0</v>
      </c>
      <c r="BK117" s="365" cm="1">
        <f t="array" aca="1" ref="BK117" ca="1">IF(TblConstr[[#This Row],[Hour]:[Hour]]&gt;12,OFFSET(TblConstr[[#This Row],[Shr]],-12,0),0)+OFFSET(TblConstr[[#This Row],[Tot Shr]],-1,0)-TblConstr[[#This Row],[Dest Shr]]</f>
        <v>0</v>
      </c>
      <c r="BL117" s="369" cm="1">
        <f t="array" aca="1" ref="BL117" ca="1">IF(TblConstr[[#This Row],[Hour]:[Hour]]&gt;12,OFFSET(TblConstr[[#This Row],[Tow]],-12,0),0)+OFFSET(TblConstr[[#This Row],[Tot Tow]],-1,0)-TblConstr[[#This Row],[Dest Tow]]</f>
        <v>0</v>
      </c>
      <c r="BM117" s="369" cm="1">
        <f t="array" aca="1" ref="BM117" ca="1">IF(TblConstr[[#This Row],[Hour]:[Hour]]&gt;12,OFFSET(TblConstr[[#This Row],[Tem]],-12,0),0)+OFFSET(TblConstr[[#This Row],[Tot Tem]],-1,0)-TblConstr[[#This Row],[Dest Tem]]</f>
        <v>0</v>
      </c>
      <c r="BN117" s="369" cm="1">
        <f t="array" aca="1" ref="BN117" ca="1">IF(TblConstr[[#This Row],[Hour]:[Hour]]&gt;12,OFFSET(TblConstr[[#This Row],[WG]],-12,0),0)+OFFSET(TblConstr[[#This Row],[Tot WG]],-1,0)-TblConstr[[#This Row],[Dest WG]]</f>
        <v>0</v>
      </c>
      <c r="BO117" s="191" cm="1">
        <f t="array" aca="1" ref="BO117" ca="1">IF(TblConstr[[#This Row],[Hour]:[Hour]]&gt;12,OFFSET(TblConstr[[#This Row],[DM]],-12,0),0)+OFFSET(TblConstr[[#This Row],[Tot DM]],-1,0)-TblConstr[[#This Row],[Dest DM]]</f>
        <v>0</v>
      </c>
      <c r="BP117" s="191" cm="1">
        <f t="array" aca="1" ref="BP117" ca="1">IF(TblConstr[[#This Row],[Hour]:[Hour]]&gt;12,OFFSET(TblConstr[[#This Row],[Sch]],-12,0),0)+OFFSET(TblConstr[[#This Row],[Tot Sch]],-1,0)-TblConstr[[#This Row],[Dest Sch]]</f>
        <v>0</v>
      </c>
      <c r="BQ117" s="192" cm="1">
        <f t="array" aca="1" ref="BQ117" ca="1">IF(TblConstr[[#This Row],[Hour]:[Hour]]&gt;12,OFFSET(TblConstr[[#This Row],[Doc]],-12,0),0)+OFFSET(TblConstr[[#This Row],[Tot Doc]],-1,0)-TblConstr[[#This Row],[Dest Doc]]</f>
        <v>0</v>
      </c>
      <c r="BR117" s="142"/>
      <c r="BS117" s="154"/>
      <c r="BT117" s="94">
        <f ca="1">TblConstr[[#This Row],[Land]]</f>
        <v>50</v>
      </c>
      <c r="BU117" s="159">
        <f ca="1">TblImps[[#This Row],[Time]]</f>
        <v>46324.708333333059</v>
      </c>
      <c r="BV117" s="142"/>
      <c r="BW117" s="179"/>
      <c r="BX117" s="179"/>
      <c r="BY117" s="179"/>
      <c r="BZ117" s="179"/>
      <c r="CA117" s="179"/>
      <c r="CB117" s="179"/>
      <c r="CC117" s="179"/>
      <c r="CD117" s="179"/>
      <c r="CE117" s="179"/>
      <c r="CF117" s="179"/>
      <c r="CG117" s="179"/>
      <c r="CH117" s="179"/>
      <c r="CI117" s="179"/>
      <c r="CJ117" s="179"/>
      <c r="CK117" s="179"/>
      <c r="CL117" s="179"/>
      <c r="CM117" s="179"/>
      <c r="CN117" s="179"/>
      <c r="CO117" s="179"/>
      <c r="CP117" s="142"/>
      <c r="CQ117" s="181">
        <f ca="1">-SUM(TblConstr[[#This Row],[Alc]:[Mas]])+SUM(TblConstr[[#This Row],[Dest Alc]:[Dest Mas]])+Rezone!L117+IF("Ch_"&amp; home_land=TblConstr[[#Headers],[Ch_Plain]],TblConstr[[#This Row],[Home Land]])+IF(TblConstr[[#This Row],[Hour]:[Hour]]&gt;12,OFFSET(TblExplore[[#This Row],[Plains Explore]],-12,0),0)</f>
        <v>0</v>
      </c>
      <c r="CR117" s="182">
        <f ca="1">-SUM(TblConstr[[#This Row],[Ly]:[Hav]])+SUM(TblConstr[[#This Row],[Dest Ly]:[Dest Hav]]) +Rezone!M117 + IF("Ch_"&amp; home_land=TblConstr[[#Headers],[Ch_Forest]],TblConstr[[#This Row],[Home Land]])+IF(TblConstr[[#This Row],[Hour]:[Hour]]&gt;12,OFFSET(TblExplore[[#This Row],[Forest Explore]],-12,0),0)</f>
        <v>0</v>
      </c>
      <c r="CS117" s="359">
        <f ca="1">-SUM(TblConstr[[#This Row],[OM]:[GN]])+SUM(TblConstr[[#This Row],[Dest OM]:[Dest GN]]) +Rezone!N117 + IF("Ch_"&amp; home_land=TblConstr[[#Headers],[Ch_Mountain]],TblConstr[[#This Row],[Home Land]])+IF(TblConstr[[#This Row],[Hour]:[Hour]]&gt;12,OFFSET(TblExplore[[#This Row],[Mountain Explore]],-12,0),0)</f>
        <v>0</v>
      </c>
      <c r="CT117" s="183">
        <f ca="1">-SUM(TblConstr[[#This Row],[Fac]:[Shr]])+SUM(TblConstr[[#This Row],[Dest Fac]:[Dest Shr]]) +Rezone!O117 + IF("Ch_" &amp; home_land=TblConstr[[#Headers],[Ch_Hill]],TblConstr[[#This Row],[Home Land]])+IF(TblConstr[[#This Row],[Hour]:[Hour]]&gt;12,OFFSET(TblExplore[[#This Row],[Hill Explore]],-12,0),0)</f>
        <v>0</v>
      </c>
      <c r="CU117" s="184">
        <f ca="1">-SUM(TblConstr[[#This Row],[Tow]:[WG]])+SUM(TblConstr[[#This Row],[Dest Tow]:[Dest WG]]) +Rezone!P117 + IF("Ch_" &amp; home_land=TblConstr[[#Headers],[Ch_Swamp]],TblConstr[[#This Row],[Home Land]])+IF(TblConstr[[#This Row],[Hour]:[Hour]]&gt;12,OFFSET(TblExplore[[#This Row],[Swamp Explore]],-12,0),0)</f>
        <v>0</v>
      </c>
      <c r="CV117" s="185">
        <f ca="1" xml:space="preserve"> - SUM(TblConstr[[#This Row],[DM]:[Sch]])+SUM(TblConstr[[#This Row],[Dest DM]:[Dest Sch]]) +Rezone!Q117 + IF("Ch_" &amp; home_land=TblConstr[[#Headers],[Ch_Cavern]],TblConstr[[#This Row],[Home Land]])+IF(TblConstr[[#This Row],[Hour]:[Hour]]&gt;12,OFFSET(TblExplore[[#This Row],[Cavern Explore]],-12,0),0)</f>
        <v>0</v>
      </c>
      <c r="CW117" s="186">
        <f ca="1">-TblConstr[[#This Row],[Doc]]+TblConstr[[#This Row],[Dest Doc]] +Rezone!R117 + IF("Ch_" &amp; home_land=TblConstr[[#Headers],[Ch_Water]],TblConstr[[#This Row],[Home Land]])+IF(TblConstr[[#This Row],[Hour]:[Hour]]&gt;12,OFFSET(TblExplore[[#This Row],[Water Explore]],-12,0),0)</f>
        <v>0</v>
      </c>
      <c r="CX117" s="45">
        <f>IF(Explore!S117=1,20) - TblConstr[[#This Row],[Hom]] + TblConstr[[#This Row],[Dest Hom]]</f>
        <v>0</v>
      </c>
      <c r="CY117" s="142"/>
      <c r="CZ117" s="94">
        <f t="shared" ca="1" si="30"/>
        <v>30</v>
      </c>
      <c r="DA117" s="94">
        <f t="shared" ca="1" si="31"/>
        <v>20</v>
      </c>
      <c r="DB117" s="45">
        <f t="shared" ca="1" si="32"/>
        <v>0</v>
      </c>
      <c r="DC117" s="94">
        <f t="shared" ca="1" si="33"/>
        <v>0</v>
      </c>
      <c r="DD117" s="94">
        <f t="shared" ca="1" si="34"/>
        <v>0</v>
      </c>
      <c r="DE117" s="45">
        <f t="shared" ca="1" si="35"/>
        <v>0</v>
      </c>
      <c r="DF117" s="94">
        <f t="shared" ca="1" si="36"/>
        <v>0</v>
      </c>
      <c r="DG117" s="94" cm="1">
        <f t="array" aca="1" ref="DG117" ca="1">INDEX(TblConstr[[Total Plain]:[Total Water]],ROW()-ROW(TblConstr[#Headers]),MATCH("Total "&amp;home_land,TblConstr[[#Headers],[Total Plain]:[Total Water]],0))+TblConstr[[#This Row],[Homes]]</f>
        <v>30</v>
      </c>
      <c r="DH117" s="45">
        <f t="shared" ca="1" si="22"/>
        <v>0</v>
      </c>
      <c r="DI117" s="45">
        <f t="shared" ca="1" si="19"/>
        <v>0</v>
      </c>
      <c r="DJ117" s="45">
        <f t="shared" ca="1" si="20"/>
        <v>0</v>
      </c>
    </row>
    <row r="118" spans="1:114" x14ac:dyDescent="0.2">
      <c r="A118" s="175">
        <f>TblRezone[[#This Row],[Hour]]</f>
        <v>115</v>
      </c>
      <c r="B118" s="176">
        <f ca="1">SUM(TblConstr[[#This Row],[Plain]:[Water]])</f>
        <v>0</v>
      </c>
      <c r="C118" s="177">
        <f ca="1">SUM(TblConstr[[#This Row],[Tot Hom]:[Tot Doc]])</f>
        <v>50</v>
      </c>
      <c r="D118" s="177">
        <f t="shared" si="21"/>
        <v>0</v>
      </c>
      <c r="E118" s="178"/>
      <c r="F118" s="61">
        <f ca="1">TblConstr[[#This Row],[Barren]]+TblConstr[[#This Row],[Buildings]]+TblConstr[[#This Row],[Incoming]]</f>
        <v>50</v>
      </c>
      <c r="G118" s="187">
        <f ca="1">OFFSET(TblConstr[[#This Row],[Plain]],-1,0)+TblConstr[[#This Row],[Ch_Plain]]</f>
        <v>0</v>
      </c>
      <c r="H118" s="182">
        <f ca="1">OFFSET(TblConstr[[#This Row],[Forest]],-1,0)+TblConstr[[#This Row],[Ch_Forest]]</f>
        <v>0</v>
      </c>
      <c r="I118" s="359">
        <f ca="1">OFFSET(TblConstr[[#This Row],[Mountain]],-1,0)+TblConstr[[#This Row],[Ch_Mountain]]</f>
        <v>0</v>
      </c>
      <c r="J118" s="363">
        <f ca="1">OFFSET(TblConstr[[#This Row],[Hill]],-1,0)+TblConstr[[#This Row],[Ch_Hill]]</f>
        <v>0</v>
      </c>
      <c r="K118" s="367">
        <f ca="1">OFFSET(TblConstr[[#This Row],[Swamp]],-1,0)+TblConstr[[#This Row],[Ch_Swamp]]</f>
        <v>0</v>
      </c>
      <c r="L118" s="185">
        <f ca="1">OFFSET(TblConstr[[#This Row],[Cavern]],-1,0)+TblConstr[[#This Row],[Ch_Cavern]]</f>
        <v>0</v>
      </c>
      <c r="M118" s="186">
        <f ca="1">OFFSET(TblConstr[[#This Row],[Water]],-1,0)+TblConstr[[#This Row],[Ch_Water]]</f>
        <v>0</v>
      </c>
      <c r="N118" s="357">
        <f>TblRezone[[#This Row],[Hour]]</f>
        <v>115</v>
      </c>
      <c r="O118" s="179"/>
      <c r="P118" s="179"/>
      <c r="Q118" s="179"/>
      <c r="R118" s="179"/>
      <c r="S118" s="179"/>
      <c r="T118" s="179"/>
      <c r="U118" s="179"/>
      <c r="V118" s="179"/>
      <c r="W118" s="179"/>
      <c r="X118" s="179"/>
      <c r="Y118" s="179"/>
      <c r="Z118" s="179"/>
      <c r="AA118" s="179"/>
      <c r="AB118" s="179"/>
      <c r="AC118" s="179"/>
      <c r="AD118" s="179"/>
      <c r="AE118" s="179"/>
      <c r="AF118" s="179"/>
      <c r="AG118" s="179"/>
      <c r="AH118" s="53">
        <f ca="1">TblImps[[#This Row],[Time]]</f>
        <v>46324.749999999724</v>
      </c>
      <c r="AI118" s="180">
        <f ca="1">MIN(25%,(TblConstr[[#This Row],[Tot Fac]]+TblConstr[[#This Row],[Dest Fac]])/(TblConstr[[#This Row],[Land]]-TblExplore[[#This Row],[Land Bonus]]*20))</f>
        <v>0</v>
      </c>
      <c r="AJ118" s="180">
        <f ca="1">MIN(25%,(TblConstr[[#This Row],[Tot Fac]]+TblConstr[[#This Row],[Dest Fac]])/TblConstr[[#This Row],[Land]])</f>
        <v>0</v>
      </c>
      <c r="AK118" s="94">
        <f ca="1">TblProd[[#This Row],[Platinum]]</f>
        <v>206621</v>
      </c>
      <c r="AL118" s="94">
        <f ca="1">TblProd[[#This Row],[Lumber]]</f>
        <v>72969</v>
      </c>
      <c r="AM1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8" s="94">
        <f ca="1">ROUNDDOWN( MAX(1 - MIN(facs_constr_factor*TblConstr[[#This Row],[Facs -DB]],facs_constr_max) + tech_1_11*TblTech[[#This Row],[11-1]] + tech_6_3_2*TblTech[[#This Row],[6-3]] + tech_5_2_3*TblTech[[#This Row],[5-2]], 1-global_constr_cap) * TblConstr[[#This Row],[RCPA Lumber]],0)</f>
        <v>31</v>
      </c>
      <c r="AO1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8" s="94">
        <f ca="1">ROUNDDOWN( MAX(1 - MIN(facs_constr_factor*TblConstr[[#This Row],[Facs DB]],facs_constr_max) + tech_1_11*TblTech[[#This Row],[1-11]] + tech_6_3_2*TblTech[[#This Row],[6-3]] + tech_5_2_3*TblTech[[#This Row],[5-2]], 1-global_constr_cap) * ROUND((TblConstr[[#This Row],[Land]]-250)*0.285 + 87.5 + 0/4.25,0),0)</f>
        <v>31</v>
      </c>
      <c r="AQ118" s="45">
        <f ca="1">TblConstr[[#This Row],[build -db]]*TblConstr[[#This Row],[CPA Platinum -DB]] + TblConstr[[#This Row],[build db]]*TblConstr[[#This Row],[CPA Platinum DB]]</f>
        <v>0</v>
      </c>
      <c r="AR118" s="45">
        <f ca="1">TblConstr[[#This Row],[build -db]]*TblConstr[[#This Row],[CPA Lumber -DB]] + TblConstr[[#This Row],[build db]]*TblConstr[[#This Row],[CPA Lumber DB]]</f>
        <v>0</v>
      </c>
      <c r="AS118" s="94">
        <f ca="1">MIN(SUM(OFFSET(TblConstr[[#This Row],[Plain]:[Water]],-1,0))+SUM(TblConstr[[#This Row],[Dest Hom]:[Dest Doc]])+IF(TblConstr[[#This Row],[Hour]]&gt;12,SUM(OFFSET(TblExplore[[#This Row],[Plains Explore]:[Water Explore]],-12,0)),0),SUM(TblConstr[[#This Row],[Hom]:[Doc]]))</f>
        <v>0</v>
      </c>
      <c r="AT1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42"/>
      <c r="AV118" s="94">
        <f ca="1">ROUND((TblConstr[[#This Row],[Land]]-250 - IF(TblExplore[[#This Row],[Land Bonus]]&lt;&gt;0,20,0))*1.25 + 850 + 0,0)</f>
        <v>600</v>
      </c>
      <c r="AW118" s="94">
        <f ca="1">ROUND((TblConstr[[#This Row],[Land]]-250 - IF(TblExplore[[#This Row],[Land Bonus]]&lt;&gt;0,20,0))*0.285 + 87.5 + 0/4.25,0)</f>
        <v>31</v>
      </c>
      <c r="AX118" s="154"/>
      <c r="AY118" s="188" cm="1">
        <f t="array" aca="1" ref="AY118" ca="1">IF(TblConstr[[#This Row],[Hour]:[Hour]]&gt;12,OFFSET(TblConstr[[#This Row],[Hom]],-12,0),0)+OFFSET(TblConstr[[#This Row],[Tot Hom]],-1,0)-TblConstr[[#This Row],[Dest Hom]]</f>
        <v>0</v>
      </c>
      <c r="AZ118" s="189" cm="1">
        <f t="array" aca="1" ref="AZ118" ca="1">IF(TblConstr[[#This Row],[Hour]:[Hour]]&gt;12,OFFSET(TblConstr[[#This Row],[Alc]],-12,0),0)+OFFSET(TblConstr[[#This Row],[Tot Alc]],-1,0)-TblConstr[[#This Row],[Dest Alc]]</f>
        <v>0</v>
      </c>
      <c r="BA118" s="189" cm="1">
        <f t="array" aca="1" ref="BA118" ca="1">IF(TblConstr[[#This Row],[Hour]:[Hour]]&gt;12,OFFSET(TblConstr[[#This Row],[Far]],-12,0),0)+OFFSET(TblConstr[[#This Row],[Tot Farm]],-1,0)-TblConstr[[#This Row],[Dest Farm]]</f>
        <v>30</v>
      </c>
      <c r="BB118" s="189" cm="1">
        <f t="array" aca="1" ref="BB118" ca="1">IF(TblConstr[[#This Row],[Hour]:[Hour]]&gt;12,OFFSET(TblConstr[[#This Row],[Smi]],-12,0),0)+OFFSET(TblConstr[[#This Row],[Tot Smi]],-1,0)-TblConstr[[#This Row],[Dest Smi]]</f>
        <v>0</v>
      </c>
      <c r="BC118" s="189" cm="1">
        <f t="array" aca="1" ref="BC118" ca="1">IF(TblConstr[[#This Row],[Hour]:[Hour]]&gt;12,OFFSET(TblConstr[[#This Row],[Mas]],-12,0),0)+OFFSET(TblConstr[[#This Row],[Tot Mas]],-1,0)-TblConstr[[#This Row],[Dest Mas]]</f>
        <v>0</v>
      </c>
      <c r="BD118" s="190" cm="1">
        <f t="array" aca="1" ref="BD118" ca="1">IF(TblConstr[[#This Row],[Hour]:[Hour]]&gt;12,OFFSET(TblConstr[[#This Row],[Ly]],-12,0),0)+OFFSET(TblConstr[[#This Row],[Tot Ly]],-1,0)-TblConstr[[#This Row],[Dest Ly]]</f>
        <v>20</v>
      </c>
      <c r="BE118" s="190" cm="1">
        <f t="array" aca="1" ref="BE118" ca="1">IF(TblConstr[[#This Row],[Hour]:[Hour]]&gt;12,OFFSET(TblConstr[[#This Row],[Hav]],-12,0),0)+OFFSET(TblConstr[[#This Row],[Tot Hav]],-1,0)-TblConstr[[#This Row],[Dest Hav]]</f>
        <v>0</v>
      </c>
      <c r="BF118" s="361" cm="1">
        <f t="array" aca="1" ref="BF118" ca="1">IF(TblConstr[[#This Row],[Hour]:[Hour]]&gt;12,OFFSET(TblConstr[[#This Row],[OM]],-12,0),0)+OFFSET(TblConstr[[#This Row],[Tot OM]],-1,0)-TblConstr[[#This Row],[Dest OM]]</f>
        <v>0</v>
      </c>
      <c r="BG118" s="361" cm="1">
        <f t="array" aca="1" ref="BG118" ca="1">IF(TblConstr[[#This Row],[Hour]:[Hour]]&gt;12,OFFSET(TblConstr[[#This Row],[GN]],-12,0),0)+OFFSET(TblConstr[[#This Row],[Tot GN]],-1,0)-TblConstr[[#This Row],[Dest GN]]</f>
        <v>0</v>
      </c>
      <c r="BH118" s="365" cm="1">
        <f t="array" aca="1" ref="BH118" ca="1">IF(TblConstr[[#This Row],[Hour]:[Hour]]&gt;12,OFFSET(TblConstr[[#This Row],[Fac]],-12,0),0)+OFFSET(TblConstr[[#This Row],[Tot Fac]],-1,0)-TblConstr[[#This Row],[Dest Fac]]</f>
        <v>0</v>
      </c>
      <c r="BI118" s="365" cm="1">
        <f t="array" aca="1" ref="BI118" ca="1">IF(TblConstr[[#This Row],[Hour]:[Hour]]&gt;12,OFFSET(TblConstr[[#This Row],[GT]],-12,0),0)+OFFSET(TblConstr[[#This Row],[Tot GT]],-1,0)-TblConstr[[#This Row],[Dest GT]]</f>
        <v>0</v>
      </c>
      <c r="BJ118" s="365" cm="1">
        <f t="array" aca="1" ref="BJ118" ca="1">IF(TblConstr[[#This Row],[Hour]:[Hour]]&gt;12,OFFSET(TblConstr[[#This Row],[Bar]],-12,0),0)+OFFSET(TblConstr[[#This Row],[Tot Bar]],-1,0)-TblConstr[[#This Row],[Dest Bar]]</f>
        <v>0</v>
      </c>
      <c r="BK118" s="365" cm="1">
        <f t="array" aca="1" ref="BK118" ca="1">IF(TblConstr[[#This Row],[Hour]:[Hour]]&gt;12,OFFSET(TblConstr[[#This Row],[Shr]],-12,0),0)+OFFSET(TblConstr[[#This Row],[Tot Shr]],-1,0)-TblConstr[[#This Row],[Dest Shr]]</f>
        <v>0</v>
      </c>
      <c r="BL118" s="369" cm="1">
        <f t="array" aca="1" ref="BL118" ca="1">IF(TblConstr[[#This Row],[Hour]:[Hour]]&gt;12,OFFSET(TblConstr[[#This Row],[Tow]],-12,0),0)+OFFSET(TblConstr[[#This Row],[Tot Tow]],-1,0)-TblConstr[[#This Row],[Dest Tow]]</f>
        <v>0</v>
      </c>
      <c r="BM118" s="369" cm="1">
        <f t="array" aca="1" ref="BM118" ca="1">IF(TblConstr[[#This Row],[Hour]:[Hour]]&gt;12,OFFSET(TblConstr[[#This Row],[Tem]],-12,0),0)+OFFSET(TblConstr[[#This Row],[Tot Tem]],-1,0)-TblConstr[[#This Row],[Dest Tem]]</f>
        <v>0</v>
      </c>
      <c r="BN118" s="369" cm="1">
        <f t="array" aca="1" ref="BN118" ca="1">IF(TblConstr[[#This Row],[Hour]:[Hour]]&gt;12,OFFSET(TblConstr[[#This Row],[WG]],-12,0),0)+OFFSET(TblConstr[[#This Row],[Tot WG]],-1,0)-TblConstr[[#This Row],[Dest WG]]</f>
        <v>0</v>
      </c>
      <c r="BO118" s="191" cm="1">
        <f t="array" aca="1" ref="BO118" ca="1">IF(TblConstr[[#This Row],[Hour]:[Hour]]&gt;12,OFFSET(TblConstr[[#This Row],[DM]],-12,0),0)+OFFSET(TblConstr[[#This Row],[Tot DM]],-1,0)-TblConstr[[#This Row],[Dest DM]]</f>
        <v>0</v>
      </c>
      <c r="BP118" s="191" cm="1">
        <f t="array" aca="1" ref="BP118" ca="1">IF(TblConstr[[#This Row],[Hour]:[Hour]]&gt;12,OFFSET(TblConstr[[#This Row],[Sch]],-12,0),0)+OFFSET(TblConstr[[#This Row],[Tot Sch]],-1,0)-TblConstr[[#This Row],[Dest Sch]]</f>
        <v>0</v>
      </c>
      <c r="BQ118" s="192" cm="1">
        <f t="array" aca="1" ref="BQ118" ca="1">IF(TblConstr[[#This Row],[Hour]:[Hour]]&gt;12,OFFSET(TblConstr[[#This Row],[Doc]],-12,0),0)+OFFSET(TblConstr[[#This Row],[Tot Doc]],-1,0)-TblConstr[[#This Row],[Dest Doc]]</f>
        <v>0</v>
      </c>
      <c r="BR118" s="142"/>
      <c r="BS118" s="154"/>
      <c r="BT118" s="94">
        <f ca="1">TblConstr[[#This Row],[Land]]</f>
        <v>50</v>
      </c>
      <c r="BU118" s="159">
        <f ca="1">TblImps[[#This Row],[Time]]</f>
        <v>46324.749999999724</v>
      </c>
      <c r="BV118" s="142"/>
      <c r="BW118" s="179"/>
      <c r="BX118" s="179"/>
      <c r="BY118" s="179"/>
      <c r="BZ118" s="179"/>
      <c r="CA118" s="179"/>
      <c r="CB118" s="179"/>
      <c r="CC118" s="179"/>
      <c r="CD118" s="179"/>
      <c r="CE118" s="179"/>
      <c r="CF118" s="179"/>
      <c r="CG118" s="179"/>
      <c r="CH118" s="179"/>
      <c r="CI118" s="179"/>
      <c r="CJ118" s="179"/>
      <c r="CK118" s="179"/>
      <c r="CL118" s="179"/>
      <c r="CM118" s="179"/>
      <c r="CN118" s="179"/>
      <c r="CO118" s="179"/>
      <c r="CP118" s="142"/>
      <c r="CQ118" s="181">
        <f ca="1">-SUM(TblConstr[[#This Row],[Alc]:[Mas]])+SUM(TblConstr[[#This Row],[Dest Alc]:[Dest Mas]])+Rezone!L118+IF("Ch_"&amp; home_land=TblConstr[[#Headers],[Ch_Plain]],TblConstr[[#This Row],[Home Land]])+IF(TblConstr[[#This Row],[Hour]:[Hour]]&gt;12,OFFSET(TblExplore[[#This Row],[Plains Explore]],-12,0),0)</f>
        <v>0</v>
      </c>
      <c r="CR118" s="182">
        <f ca="1">-SUM(TblConstr[[#This Row],[Ly]:[Hav]])+SUM(TblConstr[[#This Row],[Dest Ly]:[Dest Hav]]) +Rezone!M118 + IF("Ch_"&amp; home_land=TblConstr[[#Headers],[Ch_Forest]],TblConstr[[#This Row],[Home Land]])+IF(TblConstr[[#This Row],[Hour]:[Hour]]&gt;12,OFFSET(TblExplore[[#This Row],[Forest Explore]],-12,0),0)</f>
        <v>0</v>
      </c>
      <c r="CS118" s="359">
        <f ca="1">-SUM(TblConstr[[#This Row],[OM]:[GN]])+SUM(TblConstr[[#This Row],[Dest OM]:[Dest GN]]) +Rezone!N118 + IF("Ch_"&amp; home_land=TblConstr[[#Headers],[Ch_Mountain]],TblConstr[[#This Row],[Home Land]])+IF(TblConstr[[#This Row],[Hour]:[Hour]]&gt;12,OFFSET(TblExplore[[#This Row],[Mountain Explore]],-12,0),0)</f>
        <v>0</v>
      </c>
      <c r="CT118" s="183">
        <f ca="1">-SUM(TblConstr[[#This Row],[Fac]:[Shr]])+SUM(TblConstr[[#This Row],[Dest Fac]:[Dest Shr]]) +Rezone!O118 + IF("Ch_" &amp; home_land=TblConstr[[#Headers],[Ch_Hill]],TblConstr[[#This Row],[Home Land]])+IF(TblConstr[[#This Row],[Hour]:[Hour]]&gt;12,OFFSET(TblExplore[[#This Row],[Hill Explore]],-12,0),0)</f>
        <v>0</v>
      </c>
      <c r="CU118" s="184">
        <f ca="1">-SUM(TblConstr[[#This Row],[Tow]:[WG]])+SUM(TblConstr[[#This Row],[Dest Tow]:[Dest WG]]) +Rezone!P118 + IF("Ch_" &amp; home_land=TblConstr[[#Headers],[Ch_Swamp]],TblConstr[[#This Row],[Home Land]])+IF(TblConstr[[#This Row],[Hour]:[Hour]]&gt;12,OFFSET(TblExplore[[#This Row],[Swamp Explore]],-12,0),0)</f>
        <v>0</v>
      </c>
      <c r="CV118" s="185">
        <f ca="1" xml:space="preserve"> - SUM(TblConstr[[#This Row],[DM]:[Sch]])+SUM(TblConstr[[#This Row],[Dest DM]:[Dest Sch]]) +Rezone!Q118 + IF("Ch_" &amp; home_land=TblConstr[[#Headers],[Ch_Cavern]],TblConstr[[#This Row],[Home Land]])+IF(TblConstr[[#This Row],[Hour]:[Hour]]&gt;12,OFFSET(TblExplore[[#This Row],[Cavern Explore]],-12,0),0)</f>
        <v>0</v>
      </c>
      <c r="CW118" s="186">
        <f ca="1">-TblConstr[[#This Row],[Doc]]+TblConstr[[#This Row],[Dest Doc]] +Rezone!R118 + IF("Ch_" &amp; home_land=TblConstr[[#Headers],[Ch_Water]],TblConstr[[#This Row],[Home Land]])+IF(TblConstr[[#This Row],[Hour]:[Hour]]&gt;12,OFFSET(TblExplore[[#This Row],[Water Explore]],-12,0),0)</f>
        <v>0</v>
      </c>
      <c r="CX118" s="45">
        <f>IF(Explore!S118=1,20) - TblConstr[[#This Row],[Hom]] + TblConstr[[#This Row],[Dest Hom]]</f>
        <v>0</v>
      </c>
      <c r="CY118" s="142"/>
      <c r="CZ118" s="94">
        <f t="shared" ca="1" si="30"/>
        <v>30</v>
      </c>
      <c r="DA118" s="94">
        <f t="shared" ca="1" si="31"/>
        <v>20</v>
      </c>
      <c r="DB118" s="45">
        <f t="shared" ca="1" si="32"/>
        <v>0</v>
      </c>
      <c r="DC118" s="94">
        <f t="shared" ca="1" si="33"/>
        <v>0</v>
      </c>
      <c r="DD118" s="94">
        <f t="shared" ca="1" si="34"/>
        <v>0</v>
      </c>
      <c r="DE118" s="45">
        <f t="shared" ca="1" si="35"/>
        <v>0</v>
      </c>
      <c r="DF118" s="94">
        <f t="shared" ca="1" si="36"/>
        <v>0</v>
      </c>
      <c r="DG118" s="94" cm="1">
        <f t="array" aca="1" ref="DG118" ca="1">INDEX(TblConstr[[Total Plain]:[Total Water]],ROW()-ROW(TblConstr[#Headers]),MATCH("Total "&amp;home_land,TblConstr[[#Headers],[Total Plain]:[Total Water]],0))+TblConstr[[#This Row],[Homes]]</f>
        <v>30</v>
      </c>
      <c r="DH118" s="45">
        <f t="shared" ca="1" si="22"/>
        <v>0</v>
      </c>
      <c r="DI118" s="45">
        <f t="shared" ca="1" si="19"/>
        <v>0</v>
      </c>
      <c r="DJ118" s="45">
        <f t="shared" ca="1" si="20"/>
        <v>0</v>
      </c>
    </row>
    <row r="119" spans="1:114" x14ac:dyDescent="0.2">
      <c r="A119" s="175">
        <f>TblRezone[[#This Row],[Hour]]</f>
        <v>116</v>
      </c>
      <c r="B119" s="176">
        <f ca="1">SUM(TblConstr[[#This Row],[Plain]:[Water]])</f>
        <v>0</v>
      </c>
      <c r="C119" s="177">
        <f ca="1">SUM(TblConstr[[#This Row],[Tot Hom]:[Tot Doc]])</f>
        <v>50</v>
      </c>
      <c r="D119" s="177">
        <f t="shared" si="21"/>
        <v>0</v>
      </c>
      <c r="E119" s="178"/>
      <c r="F119" s="61">
        <f ca="1">TblConstr[[#This Row],[Barren]]+TblConstr[[#This Row],[Buildings]]+TblConstr[[#This Row],[Incoming]]</f>
        <v>50</v>
      </c>
      <c r="G119" s="187">
        <f ca="1">OFFSET(TblConstr[[#This Row],[Plain]],-1,0)+TblConstr[[#This Row],[Ch_Plain]]</f>
        <v>0</v>
      </c>
      <c r="H119" s="182">
        <f ca="1">OFFSET(TblConstr[[#This Row],[Forest]],-1,0)+TblConstr[[#This Row],[Ch_Forest]]</f>
        <v>0</v>
      </c>
      <c r="I119" s="359">
        <f ca="1">OFFSET(TblConstr[[#This Row],[Mountain]],-1,0)+TblConstr[[#This Row],[Ch_Mountain]]</f>
        <v>0</v>
      </c>
      <c r="J119" s="363">
        <f ca="1">OFFSET(TblConstr[[#This Row],[Hill]],-1,0)+TblConstr[[#This Row],[Ch_Hill]]</f>
        <v>0</v>
      </c>
      <c r="K119" s="367">
        <f ca="1">OFFSET(TblConstr[[#This Row],[Swamp]],-1,0)+TblConstr[[#This Row],[Ch_Swamp]]</f>
        <v>0</v>
      </c>
      <c r="L119" s="185">
        <f ca="1">OFFSET(TblConstr[[#This Row],[Cavern]],-1,0)+TblConstr[[#This Row],[Ch_Cavern]]</f>
        <v>0</v>
      </c>
      <c r="M119" s="186">
        <f ca="1">OFFSET(TblConstr[[#This Row],[Water]],-1,0)+TblConstr[[#This Row],[Ch_Water]]</f>
        <v>0</v>
      </c>
      <c r="N119" s="357">
        <f>TblRezone[[#This Row],[Hour]]</f>
        <v>116</v>
      </c>
      <c r="O119" s="179"/>
      <c r="P119" s="179"/>
      <c r="Q119" s="179"/>
      <c r="R119" s="179"/>
      <c r="S119" s="179"/>
      <c r="T119" s="179"/>
      <c r="U119" s="179"/>
      <c r="V119" s="179"/>
      <c r="W119" s="179"/>
      <c r="X119" s="179"/>
      <c r="Y119" s="179"/>
      <c r="Z119" s="179"/>
      <c r="AA119" s="179"/>
      <c r="AB119" s="179"/>
      <c r="AC119" s="179"/>
      <c r="AD119" s="179"/>
      <c r="AE119" s="179"/>
      <c r="AF119" s="179"/>
      <c r="AG119" s="179"/>
      <c r="AH119" s="53">
        <f ca="1">TblImps[[#This Row],[Time]]</f>
        <v>46324.791666666388</v>
      </c>
      <c r="AI119" s="180">
        <f ca="1">MIN(25%,(TblConstr[[#This Row],[Tot Fac]]+TblConstr[[#This Row],[Dest Fac]])/(TblConstr[[#This Row],[Land]]-TblExplore[[#This Row],[Land Bonus]]*20))</f>
        <v>0</v>
      </c>
      <c r="AJ119" s="180">
        <f ca="1">MIN(25%,(TblConstr[[#This Row],[Tot Fac]]+TblConstr[[#This Row],[Dest Fac]])/TblConstr[[#This Row],[Land]])</f>
        <v>0</v>
      </c>
      <c r="AK119" s="94">
        <f ca="1">TblProd[[#This Row],[Platinum]]</f>
        <v>207017</v>
      </c>
      <c r="AL119" s="94">
        <f ca="1">TblProd[[#This Row],[Lumber]]</f>
        <v>73239</v>
      </c>
      <c r="AM1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9" s="94">
        <f ca="1">ROUNDDOWN( MAX(1 - MIN(facs_constr_factor*TblConstr[[#This Row],[Facs -DB]],facs_constr_max) + tech_1_11*TblTech[[#This Row],[11-1]] + tech_6_3_2*TblTech[[#This Row],[6-3]] + tech_5_2_3*TblTech[[#This Row],[5-2]], 1-global_constr_cap) * TblConstr[[#This Row],[RCPA Lumber]],0)</f>
        <v>31</v>
      </c>
      <c r="AO1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9" s="94">
        <f ca="1">ROUNDDOWN( MAX(1 - MIN(facs_constr_factor*TblConstr[[#This Row],[Facs DB]],facs_constr_max) + tech_1_11*TblTech[[#This Row],[1-11]] + tech_6_3_2*TblTech[[#This Row],[6-3]] + tech_5_2_3*TblTech[[#This Row],[5-2]], 1-global_constr_cap) * ROUND((TblConstr[[#This Row],[Land]]-250)*0.285 + 87.5 + 0/4.25,0),0)</f>
        <v>31</v>
      </c>
      <c r="AQ119" s="45">
        <f ca="1">TblConstr[[#This Row],[build -db]]*TblConstr[[#This Row],[CPA Platinum -DB]] + TblConstr[[#This Row],[build db]]*TblConstr[[#This Row],[CPA Platinum DB]]</f>
        <v>0</v>
      </c>
      <c r="AR119" s="45">
        <f ca="1">TblConstr[[#This Row],[build -db]]*TblConstr[[#This Row],[CPA Lumber -DB]] + TblConstr[[#This Row],[build db]]*TblConstr[[#This Row],[CPA Lumber DB]]</f>
        <v>0</v>
      </c>
      <c r="AS119" s="94">
        <f ca="1">MIN(SUM(OFFSET(TblConstr[[#This Row],[Plain]:[Water]],-1,0))+SUM(TblConstr[[#This Row],[Dest Hom]:[Dest Doc]])+IF(TblConstr[[#This Row],[Hour]]&gt;12,SUM(OFFSET(TblExplore[[#This Row],[Plains Explore]:[Water Explore]],-12,0)),0),SUM(TblConstr[[#This Row],[Hom]:[Doc]]))</f>
        <v>0</v>
      </c>
      <c r="AT1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42"/>
      <c r="AV119" s="94">
        <f ca="1">ROUND((TblConstr[[#This Row],[Land]]-250 - IF(TblExplore[[#This Row],[Land Bonus]]&lt;&gt;0,20,0))*1.25 + 850 + 0,0)</f>
        <v>600</v>
      </c>
      <c r="AW119" s="94">
        <f ca="1">ROUND((TblConstr[[#This Row],[Land]]-250 - IF(TblExplore[[#This Row],[Land Bonus]]&lt;&gt;0,20,0))*0.285 + 87.5 + 0/4.25,0)</f>
        <v>31</v>
      </c>
      <c r="AX119" s="154"/>
      <c r="AY119" s="188" cm="1">
        <f t="array" aca="1" ref="AY119" ca="1">IF(TblConstr[[#This Row],[Hour]:[Hour]]&gt;12,OFFSET(TblConstr[[#This Row],[Hom]],-12,0),0)+OFFSET(TblConstr[[#This Row],[Tot Hom]],-1,0)-TblConstr[[#This Row],[Dest Hom]]</f>
        <v>0</v>
      </c>
      <c r="AZ119" s="189" cm="1">
        <f t="array" aca="1" ref="AZ119" ca="1">IF(TblConstr[[#This Row],[Hour]:[Hour]]&gt;12,OFFSET(TblConstr[[#This Row],[Alc]],-12,0),0)+OFFSET(TblConstr[[#This Row],[Tot Alc]],-1,0)-TblConstr[[#This Row],[Dest Alc]]</f>
        <v>0</v>
      </c>
      <c r="BA119" s="189" cm="1">
        <f t="array" aca="1" ref="BA119" ca="1">IF(TblConstr[[#This Row],[Hour]:[Hour]]&gt;12,OFFSET(TblConstr[[#This Row],[Far]],-12,0),0)+OFFSET(TblConstr[[#This Row],[Tot Farm]],-1,0)-TblConstr[[#This Row],[Dest Farm]]</f>
        <v>30</v>
      </c>
      <c r="BB119" s="189" cm="1">
        <f t="array" aca="1" ref="BB119" ca="1">IF(TblConstr[[#This Row],[Hour]:[Hour]]&gt;12,OFFSET(TblConstr[[#This Row],[Smi]],-12,0),0)+OFFSET(TblConstr[[#This Row],[Tot Smi]],-1,0)-TblConstr[[#This Row],[Dest Smi]]</f>
        <v>0</v>
      </c>
      <c r="BC119" s="189" cm="1">
        <f t="array" aca="1" ref="BC119" ca="1">IF(TblConstr[[#This Row],[Hour]:[Hour]]&gt;12,OFFSET(TblConstr[[#This Row],[Mas]],-12,0),0)+OFFSET(TblConstr[[#This Row],[Tot Mas]],-1,0)-TblConstr[[#This Row],[Dest Mas]]</f>
        <v>0</v>
      </c>
      <c r="BD119" s="190" cm="1">
        <f t="array" aca="1" ref="BD119" ca="1">IF(TblConstr[[#This Row],[Hour]:[Hour]]&gt;12,OFFSET(TblConstr[[#This Row],[Ly]],-12,0),0)+OFFSET(TblConstr[[#This Row],[Tot Ly]],-1,0)-TblConstr[[#This Row],[Dest Ly]]</f>
        <v>20</v>
      </c>
      <c r="BE119" s="190" cm="1">
        <f t="array" aca="1" ref="BE119" ca="1">IF(TblConstr[[#This Row],[Hour]:[Hour]]&gt;12,OFFSET(TblConstr[[#This Row],[Hav]],-12,0),0)+OFFSET(TblConstr[[#This Row],[Tot Hav]],-1,0)-TblConstr[[#This Row],[Dest Hav]]</f>
        <v>0</v>
      </c>
      <c r="BF119" s="361" cm="1">
        <f t="array" aca="1" ref="BF119" ca="1">IF(TblConstr[[#This Row],[Hour]:[Hour]]&gt;12,OFFSET(TblConstr[[#This Row],[OM]],-12,0),0)+OFFSET(TblConstr[[#This Row],[Tot OM]],-1,0)-TblConstr[[#This Row],[Dest OM]]</f>
        <v>0</v>
      </c>
      <c r="BG119" s="361" cm="1">
        <f t="array" aca="1" ref="BG119" ca="1">IF(TblConstr[[#This Row],[Hour]:[Hour]]&gt;12,OFFSET(TblConstr[[#This Row],[GN]],-12,0),0)+OFFSET(TblConstr[[#This Row],[Tot GN]],-1,0)-TblConstr[[#This Row],[Dest GN]]</f>
        <v>0</v>
      </c>
      <c r="BH119" s="365" cm="1">
        <f t="array" aca="1" ref="BH119" ca="1">IF(TblConstr[[#This Row],[Hour]:[Hour]]&gt;12,OFFSET(TblConstr[[#This Row],[Fac]],-12,0),0)+OFFSET(TblConstr[[#This Row],[Tot Fac]],-1,0)-TblConstr[[#This Row],[Dest Fac]]</f>
        <v>0</v>
      </c>
      <c r="BI119" s="365" cm="1">
        <f t="array" aca="1" ref="BI119" ca="1">IF(TblConstr[[#This Row],[Hour]:[Hour]]&gt;12,OFFSET(TblConstr[[#This Row],[GT]],-12,0),0)+OFFSET(TblConstr[[#This Row],[Tot GT]],-1,0)-TblConstr[[#This Row],[Dest GT]]</f>
        <v>0</v>
      </c>
      <c r="BJ119" s="365" cm="1">
        <f t="array" aca="1" ref="BJ119" ca="1">IF(TblConstr[[#This Row],[Hour]:[Hour]]&gt;12,OFFSET(TblConstr[[#This Row],[Bar]],-12,0),0)+OFFSET(TblConstr[[#This Row],[Tot Bar]],-1,0)-TblConstr[[#This Row],[Dest Bar]]</f>
        <v>0</v>
      </c>
      <c r="BK119" s="365" cm="1">
        <f t="array" aca="1" ref="BK119" ca="1">IF(TblConstr[[#This Row],[Hour]:[Hour]]&gt;12,OFFSET(TblConstr[[#This Row],[Shr]],-12,0),0)+OFFSET(TblConstr[[#This Row],[Tot Shr]],-1,0)-TblConstr[[#This Row],[Dest Shr]]</f>
        <v>0</v>
      </c>
      <c r="BL119" s="369" cm="1">
        <f t="array" aca="1" ref="BL119" ca="1">IF(TblConstr[[#This Row],[Hour]:[Hour]]&gt;12,OFFSET(TblConstr[[#This Row],[Tow]],-12,0),0)+OFFSET(TblConstr[[#This Row],[Tot Tow]],-1,0)-TblConstr[[#This Row],[Dest Tow]]</f>
        <v>0</v>
      </c>
      <c r="BM119" s="369" cm="1">
        <f t="array" aca="1" ref="BM119" ca="1">IF(TblConstr[[#This Row],[Hour]:[Hour]]&gt;12,OFFSET(TblConstr[[#This Row],[Tem]],-12,0),0)+OFFSET(TblConstr[[#This Row],[Tot Tem]],-1,0)-TblConstr[[#This Row],[Dest Tem]]</f>
        <v>0</v>
      </c>
      <c r="BN119" s="369" cm="1">
        <f t="array" aca="1" ref="BN119" ca="1">IF(TblConstr[[#This Row],[Hour]:[Hour]]&gt;12,OFFSET(TblConstr[[#This Row],[WG]],-12,0),0)+OFFSET(TblConstr[[#This Row],[Tot WG]],-1,0)-TblConstr[[#This Row],[Dest WG]]</f>
        <v>0</v>
      </c>
      <c r="BO119" s="191" cm="1">
        <f t="array" aca="1" ref="BO119" ca="1">IF(TblConstr[[#This Row],[Hour]:[Hour]]&gt;12,OFFSET(TblConstr[[#This Row],[DM]],-12,0),0)+OFFSET(TblConstr[[#This Row],[Tot DM]],-1,0)-TblConstr[[#This Row],[Dest DM]]</f>
        <v>0</v>
      </c>
      <c r="BP119" s="191" cm="1">
        <f t="array" aca="1" ref="BP119" ca="1">IF(TblConstr[[#This Row],[Hour]:[Hour]]&gt;12,OFFSET(TblConstr[[#This Row],[Sch]],-12,0),0)+OFFSET(TblConstr[[#This Row],[Tot Sch]],-1,0)-TblConstr[[#This Row],[Dest Sch]]</f>
        <v>0</v>
      </c>
      <c r="BQ119" s="192" cm="1">
        <f t="array" aca="1" ref="BQ119" ca="1">IF(TblConstr[[#This Row],[Hour]:[Hour]]&gt;12,OFFSET(TblConstr[[#This Row],[Doc]],-12,0),0)+OFFSET(TblConstr[[#This Row],[Tot Doc]],-1,0)-TblConstr[[#This Row],[Dest Doc]]</f>
        <v>0</v>
      </c>
      <c r="BR119" s="142"/>
      <c r="BS119" s="154"/>
      <c r="BT119" s="94">
        <f ca="1">TblConstr[[#This Row],[Land]]</f>
        <v>50</v>
      </c>
      <c r="BU119" s="159">
        <f ca="1">TblImps[[#This Row],[Time]]</f>
        <v>46324.791666666388</v>
      </c>
      <c r="BV119" s="142"/>
      <c r="BW119" s="179"/>
      <c r="BX119" s="179"/>
      <c r="BY119" s="179"/>
      <c r="BZ119" s="179"/>
      <c r="CA119" s="179"/>
      <c r="CB119" s="179"/>
      <c r="CC119" s="179"/>
      <c r="CD119" s="179"/>
      <c r="CE119" s="179"/>
      <c r="CF119" s="179"/>
      <c r="CG119" s="179"/>
      <c r="CH119" s="179"/>
      <c r="CI119" s="179"/>
      <c r="CJ119" s="179"/>
      <c r="CK119" s="179"/>
      <c r="CL119" s="179"/>
      <c r="CM119" s="179"/>
      <c r="CN119" s="179"/>
      <c r="CO119" s="179"/>
      <c r="CP119" s="142"/>
      <c r="CQ119" s="181">
        <f ca="1">-SUM(TblConstr[[#This Row],[Alc]:[Mas]])+SUM(TblConstr[[#This Row],[Dest Alc]:[Dest Mas]])+Rezone!L119+IF("Ch_"&amp; home_land=TblConstr[[#Headers],[Ch_Plain]],TblConstr[[#This Row],[Home Land]])+IF(TblConstr[[#This Row],[Hour]:[Hour]]&gt;12,OFFSET(TblExplore[[#This Row],[Plains Explore]],-12,0),0)</f>
        <v>0</v>
      </c>
      <c r="CR119" s="182">
        <f ca="1">-SUM(TblConstr[[#This Row],[Ly]:[Hav]])+SUM(TblConstr[[#This Row],[Dest Ly]:[Dest Hav]]) +Rezone!M119 + IF("Ch_"&amp; home_land=TblConstr[[#Headers],[Ch_Forest]],TblConstr[[#This Row],[Home Land]])+IF(TblConstr[[#This Row],[Hour]:[Hour]]&gt;12,OFFSET(TblExplore[[#This Row],[Forest Explore]],-12,0),0)</f>
        <v>0</v>
      </c>
      <c r="CS119" s="359">
        <f ca="1">-SUM(TblConstr[[#This Row],[OM]:[GN]])+SUM(TblConstr[[#This Row],[Dest OM]:[Dest GN]]) +Rezone!N119 + IF("Ch_"&amp; home_land=TblConstr[[#Headers],[Ch_Mountain]],TblConstr[[#This Row],[Home Land]])+IF(TblConstr[[#This Row],[Hour]:[Hour]]&gt;12,OFFSET(TblExplore[[#This Row],[Mountain Explore]],-12,0),0)</f>
        <v>0</v>
      </c>
      <c r="CT119" s="183">
        <f ca="1">-SUM(TblConstr[[#This Row],[Fac]:[Shr]])+SUM(TblConstr[[#This Row],[Dest Fac]:[Dest Shr]]) +Rezone!O119 + IF("Ch_" &amp; home_land=TblConstr[[#Headers],[Ch_Hill]],TblConstr[[#This Row],[Home Land]])+IF(TblConstr[[#This Row],[Hour]:[Hour]]&gt;12,OFFSET(TblExplore[[#This Row],[Hill Explore]],-12,0),0)</f>
        <v>0</v>
      </c>
      <c r="CU119" s="184">
        <f ca="1">-SUM(TblConstr[[#This Row],[Tow]:[WG]])+SUM(TblConstr[[#This Row],[Dest Tow]:[Dest WG]]) +Rezone!P119 + IF("Ch_" &amp; home_land=TblConstr[[#Headers],[Ch_Swamp]],TblConstr[[#This Row],[Home Land]])+IF(TblConstr[[#This Row],[Hour]:[Hour]]&gt;12,OFFSET(TblExplore[[#This Row],[Swamp Explore]],-12,0),0)</f>
        <v>0</v>
      </c>
      <c r="CV119" s="185">
        <f ca="1" xml:space="preserve"> - SUM(TblConstr[[#This Row],[DM]:[Sch]])+SUM(TblConstr[[#This Row],[Dest DM]:[Dest Sch]]) +Rezone!Q119 + IF("Ch_" &amp; home_land=TblConstr[[#Headers],[Ch_Cavern]],TblConstr[[#This Row],[Home Land]])+IF(TblConstr[[#This Row],[Hour]:[Hour]]&gt;12,OFFSET(TblExplore[[#This Row],[Cavern Explore]],-12,0),0)</f>
        <v>0</v>
      </c>
      <c r="CW119" s="186">
        <f ca="1">-TblConstr[[#This Row],[Doc]]+TblConstr[[#This Row],[Dest Doc]] +Rezone!R119 + IF("Ch_" &amp; home_land=TblConstr[[#Headers],[Ch_Water]],TblConstr[[#This Row],[Home Land]])+IF(TblConstr[[#This Row],[Hour]:[Hour]]&gt;12,OFFSET(TblExplore[[#This Row],[Water Explore]],-12,0),0)</f>
        <v>0</v>
      </c>
      <c r="CX119" s="45">
        <f>IF(Explore!S119=1,20) - TblConstr[[#This Row],[Hom]] + TblConstr[[#This Row],[Dest Hom]]</f>
        <v>0</v>
      </c>
      <c r="CY119" s="142"/>
      <c r="CZ119" s="94">
        <f t="shared" ca="1" si="30"/>
        <v>30</v>
      </c>
      <c r="DA119" s="94">
        <f t="shared" ca="1" si="31"/>
        <v>20</v>
      </c>
      <c r="DB119" s="45">
        <f t="shared" ca="1" si="32"/>
        <v>0</v>
      </c>
      <c r="DC119" s="94">
        <f t="shared" ca="1" si="33"/>
        <v>0</v>
      </c>
      <c r="DD119" s="94">
        <f t="shared" ca="1" si="34"/>
        <v>0</v>
      </c>
      <c r="DE119" s="45">
        <f t="shared" ca="1" si="35"/>
        <v>0</v>
      </c>
      <c r="DF119" s="94">
        <f t="shared" ca="1" si="36"/>
        <v>0</v>
      </c>
      <c r="DG119" s="94" cm="1">
        <f t="array" aca="1" ref="DG119" ca="1">INDEX(TblConstr[[Total Plain]:[Total Water]],ROW()-ROW(TblConstr[#Headers]),MATCH("Total "&amp;home_land,TblConstr[[#Headers],[Total Plain]:[Total Water]],0))+TblConstr[[#This Row],[Homes]]</f>
        <v>30</v>
      </c>
      <c r="DH119" s="45">
        <f t="shared" ca="1" si="22"/>
        <v>0</v>
      </c>
      <c r="DI119" s="45">
        <f t="shared" ca="1" si="19"/>
        <v>0</v>
      </c>
      <c r="DJ119" s="45">
        <f t="shared" ca="1" si="20"/>
        <v>0</v>
      </c>
    </row>
    <row r="120" spans="1:114" x14ac:dyDescent="0.2">
      <c r="A120" s="175">
        <f>TblRezone[[#This Row],[Hour]]</f>
        <v>117</v>
      </c>
      <c r="B120" s="176">
        <f ca="1">SUM(TblConstr[[#This Row],[Plain]:[Water]])</f>
        <v>0</v>
      </c>
      <c r="C120" s="177">
        <f ca="1">SUM(TblConstr[[#This Row],[Tot Hom]:[Tot Doc]])</f>
        <v>50</v>
      </c>
      <c r="D120" s="177">
        <f t="shared" si="21"/>
        <v>0</v>
      </c>
      <c r="E120" s="178"/>
      <c r="F120" s="61">
        <f ca="1">TblConstr[[#This Row],[Barren]]+TblConstr[[#This Row],[Buildings]]+TblConstr[[#This Row],[Incoming]]</f>
        <v>50</v>
      </c>
      <c r="G120" s="187">
        <f ca="1">OFFSET(TblConstr[[#This Row],[Plain]],-1,0)+TblConstr[[#This Row],[Ch_Plain]]</f>
        <v>0</v>
      </c>
      <c r="H120" s="182">
        <f ca="1">OFFSET(TblConstr[[#This Row],[Forest]],-1,0)+TblConstr[[#This Row],[Ch_Forest]]</f>
        <v>0</v>
      </c>
      <c r="I120" s="359">
        <f ca="1">OFFSET(TblConstr[[#This Row],[Mountain]],-1,0)+TblConstr[[#This Row],[Ch_Mountain]]</f>
        <v>0</v>
      </c>
      <c r="J120" s="363">
        <f ca="1">OFFSET(TblConstr[[#This Row],[Hill]],-1,0)+TblConstr[[#This Row],[Ch_Hill]]</f>
        <v>0</v>
      </c>
      <c r="K120" s="367">
        <f ca="1">OFFSET(TblConstr[[#This Row],[Swamp]],-1,0)+TblConstr[[#This Row],[Ch_Swamp]]</f>
        <v>0</v>
      </c>
      <c r="L120" s="185">
        <f ca="1">OFFSET(TblConstr[[#This Row],[Cavern]],-1,0)+TblConstr[[#This Row],[Ch_Cavern]]</f>
        <v>0</v>
      </c>
      <c r="M120" s="186">
        <f ca="1">OFFSET(TblConstr[[#This Row],[Water]],-1,0)+TblConstr[[#This Row],[Ch_Water]]</f>
        <v>0</v>
      </c>
      <c r="N120" s="357">
        <f>TblRezone[[#This Row],[Hour]]</f>
        <v>117</v>
      </c>
      <c r="O120" s="179"/>
      <c r="P120" s="179"/>
      <c r="Q120" s="179"/>
      <c r="R120" s="179"/>
      <c r="S120" s="179"/>
      <c r="T120" s="179"/>
      <c r="U120" s="179"/>
      <c r="V120" s="179"/>
      <c r="W120" s="179"/>
      <c r="X120" s="179"/>
      <c r="Y120" s="179"/>
      <c r="Z120" s="179"/>
      <c r="AA120" s="179"/>
      <c r="AB120" s="179"/>
      <c r="AC120" s="179"/>
      <c r="AD120" s="179"/>
      <c r="AE120" s="179"/>
      <c r="AF120" s="179"/>
      <c r="AG120" s="179"/>
      <c r="AH120" s="53">
        <f ca="1">TblImps[[#This Row],[Time]]</f>
        <v>46324.833333333052</v>
      </c>
      <c r="AI120" s="180">
        <f ca="1">MIN(25%,(TblConstr[[#This Row],[Tot Fac]]+TblConstr[[#This Row],[Dest Fac]])/(TblConstr[[#This Row],[Land]]-TblExplore[[#This Row],[Land Bonus]]*20))</f>
        <v>0</v>
      </c>
      <c r="AJ120" s="180">
        <f ca="1">MIN(25%,(TblConstr[[#This Row],[Tot Fac]]+TblConstr[[#This Row],[Dest Fac]])/TblConstr[[#This Row],[Land]])</f>
        <v>0</v>
      </c>
      <c r="AK120" s="94">
        <f ca="1">TblProd[[#This Row],[Platinum]]</f>
        <v>207411</v>
      </c>
      <c r="AL120" s="94">
        <f ca="1">TblProd[[#This Row],[Lumber]]</f>
        <v>73507</v>
      </c>
      <c r="AM1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0" s="94">
        <f ca="1">ROUNDDOWN( MAX(1 - MIN(facs_constr_factor*TblConstr[[#This Row],[Facs -DB]],facs_constr_max) + tech_1_11*TblTech[[#This Row],[11-1]] + tech_6_3_2*TblTech[[#This Row],[6-3]] + tech_5_2_3*TblTech[[#This Row],[5-2]], 1-global_constr_cap) * TblConstr[[#This Row],[RCPA Lumber]],0)</f>
        <v>31</v>
      </c>
      <c r="AO1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0" s="94">
        <f ca="1">ROUNDDOWN( MAX(1 - MIN(facs_constr_factor*TblConstr[[#This Row],[Facs DB]],facs_constr_max) + tech_1_11*TblTech[[#This Row],[1-11]] + tech_6_3_2*TblTech[[#This Row],[6-3]] + tech_5_2_3*TblTech[[#This Row],[5-2]], 1-global_constr_cap) * ROUND((TblConstr[[#This Row],[Land]]-250)*0.285 + 87.5 + 0/4.25,0),0)</f>
        <v>31</v>
      </c>
      <c r="AQ120" s="45">
        <f ca="1">TblConstr[[#This Row],[build -db]]*TblConstr[[#This Row],[CPA Platinum -DB]] + TblConstr[[#This Row],[build db]]*TblConstr[[#This Row],[CPA Platinum DB]]</f>
        <v>0</v>
      </c>
      <c r="AR120" s="45">
        <f ca="1">TblConstr[[#This Row],[build -db]]*TblConstr[[#This Row],[CPA Lumber -DB]] + TblConstr[[#This Row],[build db]]*TblConstr[[#This Row],[CPA Lumber DB]]</f>
        <v>0</v>
      </c>
      <c r="AS120" s="94">
        <f ca="1">MIN(SUM(OFFSET(TblConstr[[#This Row],[Plain]:[Water]],-1,0))+SUM(TblConstr[[#This Row],[Dest Hom]:[Dest Doc]])+IF(TblConstr[[#This Row],[Hour]]&gt;12,SUM(OFFSET(TblExplore[[#This Row],[Plains Explore]:[Water Explore]],-12,0)),0),SUM(TblConstr[[#This Row],[Hom]:[Doc]]))</f>
        <v>0</v>
      </c>
      <c r="AT1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42"/>
      <c r="AV120" s="94">
        <f ca="1">ROUND((TblConstr[[#This Row],[Land]]-250 - IF(TblExplore[[#This Row],[Land Bonus]]&lt;&gt;0,20,0))*1.25 + 850 + 0,0)</f>
        <v>600</v>
      </c>
      <c r="AW120" s="94">
        <f ca="1">ROUND((TblConstr[[#This Row],[Land]]-250 - IF(TblExplore[[#This Row],[Land Bonus]]&lt;&gt;0,20,0))*0.285 + 87.5 + 0/4.25,0)</f>
        <v>31</v>
      </c>
      <c r="AX120" s="154"/>
      <c r="AY120" s="188" cm="1">
        <f t="array" aca="1" ref="AY120" ca="1">IF(TblConstr[[#This Row],[Hour]:[Hour]]&gt;12,OFFSET(TblConstr[[#This Row],[Hom]],-12,0),0)+OFFSET(TblConstr[[#This Row],[Tot Hom]],-1,0)-TblConstr[[#This Row],[Dest Hom]]</f>
        <v>0</v>
      </c>
      <c r="AZ120" s="189" cm="1">
        <f t="array" aca="1" ref="AZ120" ca="1">IF(TblConstr[[#This Row],[Hour]:[Hour]]&gt;12,OFFSET(TblConstr[[#This Row],[Alc]],-12,0),0)+OFFSET(TblConstr[[#This Row],[Tot Alc]],-1,0)-TblConstr[[#This Row],[Dest Alc]]</f>
        <v>0</v>
      </c>
      <c r="BA120" s="189" cm="1">
        <f t="array" aca="1" ref="BA120" ca="1">IF(TblConstr[[#This Row],[Hour]:[Hour]]&gt;12,OFFSET(TblConstr[[#This Row],[Far]],-12,0),0)+OFFSET(TblConstr[[#This Row],[Tot Farm]],-1,0)-TblConstr[[#This Row],[Dest Farm]]</f>
        <v>30</v>
      </c>
      <c r="BB120" s="189" cm="1">
        <f t="array" aca="1" ref="BB120" ca="1">IF(TblConstr[[#This Row],[Hour]:[Hour]]&gt;12,OFFSET(TblConstr[[#This Row],[Smi]],-12,0),0)+OFFSET(TblConstr[[#This Row],[Tot Smi]],-1,0)-TblConstr[[#This Row],[Dest Smi]]</f>
        <v>0</v>
      </c>
      <c r="BC120" s="189" cm="1">
        <f t="array" aca="1" ref="BC120" ca="1">IF(TblConstr[[#This Row],[Hour]:[Hour]]&gt;12,OFFSET(TblConstr[[#This Row],[Mas]],-12,0),0)+OFFSET(TblConstr[[#This Row],[Tot Mas]],-1,0)-TblConstr[[#This Row],[Dest Mas]]</f>
        <v>0</v>
      </c>
      <c r="BD120" s="190" cm="1">
        <f t="array" aca="1" ref="BD120" ca="1">IF(TblConstr[[#This Row],[Hour]:[Hour]]&gt;12,OFFSET(TblConstr[[#This Row],[Ly]],-12,0),0)+OFFSET(TblConstr[[#This Row],[Tot Ly]],-1,0)-TblConstr[[#This Row],[Dest Ly]]</f>
        <v>20</v>
      </c>
      <c r="BE120" s="190" cm="1">
        <f t="array" aca="1" ref="BE120" ca="1">IF(TblConstr[[#This Row],[Hour]:[Hour]]&gt;12,OFFSET(TblConstr[[#This Row],[Hav]],-12,0),0)+OFFSET(TblConstr[[#This Row],[Tot Hav]],-1,0)-TblConstr[[#This Row],[Dest Hav]]</f>
        <v>0</v>
      </c>
      <c r="BF120" s="361" cm="1">
        <f t="array" aca="1" ref="BF120" ca="1">IF(TblConstr[[#This Row],[Hour]:[Hour]]&gt;12,OFFSET(TblConstr[[#This Row],[OM]],-12,0),0)+OFFSET(TblConstr[[#This Row],[Tot OM]],-1,0)-TblConstr[[#This Row],[Dest OM]]</f>
        <v>0</v>
      </c>
      <c r="BG120" s="361" cm="1">
        <f t="array" aca="1" ref="BG120" ca="1">IF(TblConstr[[#This Row],[Hour]:[Hour]]&gt;12,OFFSET(TblConstr[[#This Row],[GN]],-12,0),0)+OFFSET(TblConstr[[#This Row],[Tot GN]],-1,0)-TblConstr[[#This Row],[Dest GN]]</f>
        <v>0</v>
      </c>
      <c r="BH120" s="365" cm="1">
        <f t="array" aca="1" ref="BH120" ca="1">IF(TblConstr[[#This Row],[Hour]:[Hour]]&gt;12,OFFSET(TblConstr[[#This Row],[Fac]],-12,0),0)+OFFSET(TblConstr[[#This Row],[Tot Fac]],-1,0)-TblConstr[[#This Row],[Dest Fac]]</f>
        <v>0</v>
      </c>
      <c r="BI120" s="365" cm="1">
        <f t="array" aca="1" ref="BI120" ca="1">IF(TblConstr[[#This Row],[Hour]:[Hour]]&gt;12,OFFSET(TblConstr[[#This Row],[GT]],-12,0),0)+OFFSET(TblConstr[[#This Row],[Tot GT]],-1,0)-TblConstr[[#This Row],[Dest GT]]</f>
        <v>0</v>
      </c>
      <c r="BJ120" s="365" cm="1">
        <f t="array" aca="1" ref="BJ120" ca="1">IF(TblConstr[[#This Row],[Hour]:[Hour]]&gt;12,OFFSET(TblConstr[[#This Row],[Bar]],-12,0),0)+OFFSET(TblConstr[[#This Row],[Tot Bar]],-1,0)-TblConstr[[#This Row],[Dest Bar]]</f>
        <v>0</v>
      </c>
      <c r="BK120" s="365" cm="1">
        <f t="array" aca="1" ref="BK120" ca="1">IF(TblConstr[[#This Row],[Hour]:[Hour]]&gt;12,OFFSET(TblConstr[[#This Row],[Shr]],-12,0),0)+OFFSET(TblConstr[[#This Row],[Tot Shr]],-1,0)-TblConstr[[#This Row],[Dest Shr]]</f>
        <v>0</v>
      </c>
      <c r="BL120" s="369" cm="1">
        <f t="array" aca="1" ref="BL120" ca="1">IF(TblConstr[[#This Row],[Hour]:[Hour]]&gt;12,OFFSET(TblConstr[[#This Row],[Tow]],-12,0),0)+OFFSET(TblConstr[[#This Row],[Tot Tow]],-1,0)-TblConstr[[#This Row],[Dest Tow]]</f>
        <v>0</v>
      </c>
      <c r="BM120" s="369" cm="1">
        <f t="array" aca="1" ref="BM120" ca="1">IF(TblConstr[[#This Row],[Hour]:[Hour]]&gt;12,OFFSET(TblConstr[[#This Row],[Tem]],-12,0),0)+OFFSET(TblConstr[[#This Row],[Tot Tem]],-1,0)-TblConstr[[#This Row],[Dest Tem]]</f>
        <v>0</v>
      </c>
      <c r="BN120" s="369" cm="1">
        <f t="array" aca="1" ref="BN120" ca="1">IF(TblConstr[[#This Row],[Hour]:[Hour]]&gt;12,OFFSET(TblConstr[[#This Row],[WG]],-12,0),0)+OFFSET(TblConstr[[#This Row],[Tot WG]],-1,0)-TblConstr[[#This Row],[Dest WG]]</f>
        <v>0</v>
      </c>
      <c r="BO120" s="191" cm="1">
        <f t="array" aca="1" ref="BO120" ca="1">IF(TblConstr[[#This Row],[Hour]:[Hour]]&gt;12,OFFSET(TblConstr[[#This Row],[DM]],-12,0),0)+OFFSET(TblConstr[[#This Row],[Tot DM]],-1,0)-TblConstr[[#This Row],[Dest DM]]</f>
        <v>0</v>
      </c>
      <c r="BP120" s="191" cm="1">
        <f t="array" aca="1" ref="BP120" ca="1">IF(TblConstr[[#This Row],[Hour]:[Hour]]&gt;12,OFFSET(TblConstr[[#This Row],[Sch]],-12,0),0)+OFFSET(TblConstr[[#This Row],[Tot Sch]],-1,0)-TblConstr[[#This Row],[Dest Sch]]</f>
        <v>0</v>
      </c>
      <c r="BQ120" s="192" cm="1">
        <f t="array" aca="1" ref="BQ120" ca="1">IF(TblConstr[[#This Row],[Hour]:[Hour]]&gt;12,OFFSET(TblConstr[[#This Row],[Doc]],-12,0),0)+OFFSET(TblConstr[[#This Row],[Tot Doc]],-1,0)-TblConstr[[#This Row],[Dest Doc]]</f>
        <v>0</v>
      </c>
      <c r="BR120" s="142"/>
      <c r="BS120" s="154"/>
      <c r="BT120" s="94">
        <f ca="1">TblConstr[[#This Row],[Land]]</f>
        <v>50</v>
      </c>
      <c r="BU120" s="159">
        <f ca="1">TblImps[[#This Row],[Time]]</f>
        <v>46324.833333333052</v>
      </c>
      <c r="BV120" s="142"/>
      <c r="BW120" s="179"/>
      <c r="BX120" s="179"/>
      <c r="BY120" s="179"/>
      <c r="BZ120" s="179"/>
      <c r="CA120" s="179"/>
      <c r="CB120" s="179"/>
      <c r="CC120" s="179"/>
      <c r="CD120" s="179"/>
      <c r="CE120" s="179"/>
      <c r="CF120" s="179"/>
      <c r="CG120" s="179"/>
      <c r="CH120" s="179"/>
      <c r="CI120" s="179"/>
      <c r="CJ120" s="179"/>
      <c r="CK120" s="179"/>
      <c r="CL120" s="179"/>
      <c r="CM120" s="179"/>
      <c r="CN120" s="179"/>
      <c r="CO120" s="179"/>
      <c r="CP120" s="142"/>
      <c r="CQ120" s="181">
        <f ca="1">-SUM(TblConstr[[#This Row],[Alc]:[Mas]])+SUM(TblConstr[[#This Row],[Dest Alc]:[Dest Mas]])+Rezone!L120+IF("Ch_"&amp; home_land=TblConstr[[#Headers],[Ch_Plain]],TblConstr[[#This Row],[Home Land]])+IF(TblConstr[[#This Row],[Hour]:[Hour]]&gt;12,OFFSET(TblExplore[[#This Row],[Plains Explore]],-12,0),0)</f>
        <v>0</v>
      </c>
      <c r="CR120" s="182">
        <f ca="1">-SUM(TblConstr[[#This Row],[Ly]:[Hav]])+SUM(TblConstr[[#This Row],[Dest Ly]:[Dest Hav]]) +Rezone!M120 + IF("Ch_"&amp; home_land=TblConstr[[#Headers],[Ch_Forest]],TblConstr[[#This Row],[Home Land]])+IF(TblConstr[[#This Row],[Hour]:[Hour]]&gt;12,OFFSET(TblExplore[[#This Row],[Forest Explore]],-12,0),0)</f>
        <v>0</v>
      </c>
      <c r="CS120" s="359">
        <f ca="1">-SUM(TblConstr[[#This Row],[OM]:[GN]])+SUM(TblConstr[[#This Row],[Dest OM]:[Dest GN]]) +Rezone!N120 + IF("Ch_"&amp; home_land=TblConstr[[#Headers],[Ch_Mountain]],TblConstr[[#This Row],[Home Land]])+IF(TblConstr[[#This Row],[Hour]:[Hour]]&gt;12,OFFSET(TblExplore[[#This Row],[Mountain Explore]],-12,0),0)</f>
        <v>0</v>
      </c>
      <c r="CT120" s="183">
        <f ca="1">-SUM(TblConstr[[#This Row],[Fac]:[Shr]])+SUM(TblConstr[[#This Row],[Dest Fac]:[Dest Shr]]) +Rezone!O120 + IF("Ch_" &amp; home_land=TblConstr[[#Headers],[Ch_Hill]],TblConstr[[#This Row],[Home Land]])+IF(TblConstr[[#This Row],[Hour]:[Hour]]&gt;12,OFFSET(TblExplore[[#This Row],[Hill Explore]],-12,0),0)</f>
        <v>0</v>
      </c>
      <c r="CU120" s="184">
        <f ca="1">-SUM(TblConstr[[#This Row],[Tow]:[WG]])+SUM(TblConstr[[#This Row],[Dest Tow]:[Dest WG]]) +Rezone!P120 + IF("Ch_" &amp; home_land=TblConstr[[#Headers],[Ch_Swamp]],TblConstr[[#This Row],[Home Land]])+IF(TblConstr[[#This Row],[Hour]:[Hour]]&gt;12,OFFSET(TblExplore[[#This Row],[Swamp Explore]],-12,0),0)</f>
        <v>0</v>
      </c>
      <c r="CV120" s="185">
        <f ca="1" xml:space="preserve"> - SUM(TblConstr[[#This Row],[DM]:[Sch]])+SUM(TblConstr[[#This Row],[Dest DM]:[Dest Sch]]) +Rezone!Q120 + IF("Ch_" &amp; home_land=TblConstr[[#Headers],[Ch_Cavern]],TblConstr[[#This Row],[Home Land]])+IF(TblConstr[[#This Row],[Hour]:[Hour]]&gt;12,OFFSET(TblExplore[[#This Row],[Cavern Explore]],-12,0),0)</f>
        <v>0</v>
      </c>
      <c r="CW120" s="186">
        <f ca="1">-TblConstr[[#This Row],[Doc]]+TblConstr[[#This Row],[Dest Doc]] +Rezone!R120 + IF("Ch_" &amp; home_land=TblConstr[[#Headers],[Ch_Water]],TblConstr[[#This Row],[Home Land]])+IF(TblConstr[[#This Row],[Hour]:[Hour]]&gt;12,OFFSET(TblExplore[[#This Row],[Water Explore]],-12,0),0)</f>
        <v>0</v>
      </c>
      <c r="CX120" s="45">
        <f>IF(Explore!S120=1,20) - TblConstr[[#This Row],[Hom]] + TblConstr[[#This Row],[Dest Hom]]</f>
        <v>0</v>
      </c>
      <c r="CY120" s="142"/>
      <c r="CZ120" s="94">
        <f t="shared" ca="1" si="30"/>
        <v>30</v>
      </c>
      <c r="DA120" s="94">
        <f t="shared" ca="1" si="31"/>
        <v>20</v>
      </c>
      <c r="DB120" s="45">
        <f t="shared" ca="1" si="32"/>
        <v>0</v>
      </c>
      <c r="DC120" s="94">
        <f t="shared" ca="1" si="33"/>
        <v>0</v>
      </c>
      <c r="DD120" s="94">
        <f t="shared" ca="1" si="34"/>
        <v>0</v>
      </c>
      <c r="DE120" s="45">
        <f t="shared" ca="1" si="35"/>
        <v>0</v>
      </c>
      <c r="DF120" s="94">
        <f t="shared" ca="1" si="36"/>
        <v>0</v>
      </c>
      <c r="DG120" s="94" cm="1">
        <f t="array" aca="1" ref="DG120" ca="1">INDEX(TblConstr[[Total Plain]:[Total Water]],ROW()-ROW(TblConstr[#Headers]),MATCH("Total "&amp;home_land,TblConstr[[#Headers],[Total Plain]:[Total Water]],0))+TblConstr[[#This Row],[Homes]]</f>
        <v>30</v>
      </c>
      <c r="DH120" s="45">
        <f t="shared" ca="1" si="22"/>
        <v>0</v>
      </c>
      <c r="DI120" s="45">
        <f t="shared" ca="1" si="19"/>
        <v>0</v>
      </c>
      <c r="DJ120" s="45">
        <f t="shared" ca="1" si="20"/>
        <v>0</v>
      </c>
    </row>
    <row r="121" spans="1:114" x14ac:dyDescent="0.2">
      <c r="A121" s="175">
        <f>TblRezone[[#This Row],[Hour]]</f>
        <v>118</v>
      </c>
      <c r="B121" s="176">
        <f ca="1">SUM(TblConstr[[#This Row],[Plain]:[Water]])</f>
        <v>0</v>
      </c>
      <c r="C121" s="177">
        <f ca="1">SUM(TblConstr[[#This Row],[Tot Hom]:[Tot Doc]])</f>
        <v>50</v>
      </c>
      <c r="D121" s="177">
        <f t="shared" si="21"/>
        <v>0</v>
      </c>
      <c r="E121" s="178"/>
      <c r="F121" s="61">
        <f ca="1">TblConstr[[#This Row],[Barren]]+TblConstr[[#This Row],[Buildings]]+TblConstr[[#This Row],[Incoming]]</f>
        <v>50</v>
      </c>
      <c r="G121" s="187">
        <f ca="1">OFFSET(TblConstr[[#This Row],[Plain]],-1,0)+TblConstr[[#This Row],[Ch_Plain]]</f>
        <v>0</v>
      </c>
      <c r="H121" s="182">
        <f ca="1">OFFSET(TblConstr[[#This Row],[Forest]],-1,0)+TblConstr[[#This Row],[Ch_Forest]]</f>
        <v>0</v>
      </c>
      <c r="I121" s="359">
        <f ca="1">OFFSET(TblConstr[[#This Row],[Mountain]],-1,0)+TblConstr[[#This Row],[Ch_Mountain]]</f>
        <v>0</v>
      </c>
      <c r="J121" s="363">
        <f ca="1">OFFSET(TblConstr[[#This Row],[Hill]],-1,0)+TblConstr[[#This Row],[Ch_Hill]]</f>
        <v>0</v>
      </c>
      <c r="K121" s="367">
        <f ca="1">OFFSET(TblConstr[[#This Row],[Swamp]],-1,0)+TblConstr[[#This Row],[Ch_Swamp]]</f>
        <v>0</v>
      </c>
      <c r="L121" s="185">
        <f ca="1">OFFSET(TblConstr[[#This Row],[Cavern]],-1,0)+TblConstr[[#This Row],[Ch_Cavern]]</f>
        <v>0</v>
      </c>
      <c r="M121" s="186">
        <f ca="1">OFFSET(TblConstr[[#This Row],[Water]],-1,0)+TblConstr[[#This Row],[Ch_Water]]</f>
        <v>0</v>
      </c>
      <c r="N121" s="357">
        <f>TblRezone[[#This Row],[Hour]]</f>
        <v>118</v>
      </c>
      <c r="O121" s="179"/>
      <c r="P121" s="179"/>
      <c r="Q121" s="179"/>
      <c r="R121" s="179"/>
      <c r="S121" s="179"/>
      <c r="T121" s="179"/>
      <c r="U121" s="179"/>
      <c r="V121" s="179"/>
      <c r="W121" s="179"/>
      <c r="X121" s="179"/>
      <c r="Y121" s="179"/>
      <c r="Z121" s="179"/>
      <c r="AA121" s="179"/>
      <c r="AB121" s="179"/>
      <c r="AC121" s="179"/>
      <c r="AD121" s="179"/>
      <c r="AE121" s="179"/>
      <c r="AF121" s="179"/>
      <c r="AG121" s="179"/>
      <c r="AH121" s="53">
        <f ca="1">TblImps[[#This Row],[Time]]</f>
        <v>46324.874999999716</v>
      </c>
      <c r="AI121" s="180">
        <f ca="1">MIN(25%,(TblConstr[[#This Row],[Tot Fac]]+TblConstr[[#This Row],[Dest Fac]])/(TblConstr[[#This Row],[Land]]-TblExplore[[#This Row],[Land Bonus]]*20))</f>
        <v>0</v>
      </c>
      <c r="AJ121" s="180">
        <f ca="1">MIN(25%,(TblConstr[[#This Row],[Tot Fac]]+TblConstr[[#This Row],[Dest Fac]])/TblConstr[[#This Row],[Land]])</f>
        <v>0</v>
      </c>
      <c r="AK121" s="94">
        <f ca="1">TblProd[[#This Row],[Platinum]]</f>
        <v>207802</v>
      </c>
      <c r="AL121" s="94">
        <f ca="1">TblProd[[#This Row],[Lumber]]</f>
        <v>73772</v>
      </c>
      <c r="AM1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1" s="94">
        <f ca="1">ROUNDDOWN( MAX(1 - MIN(facs_constr_factor*TblConstr[[#This Row],[Facs -DB]],facs_constr_max) + tech_1_11*TblTech[[#This Row],[11-1]] + tech_6_3_2*TblTech[[#This Row],[6-3]] + tech_5_2_3*TblTech[[#This Row],[5-2]], 1-global_constr_cap) * TblConstr[[#This Row],[RCPA Lumber]],0)</f>
        <v>31</v>
      </c>
      <c r="AO1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1" s="94">
        <f ca="1">ROUNDDOWN( MAX(1 - MIN(facs_constr_factor*TblConstr[[#This Row],[Facs DB]],facs_constr_max) + tech_1_11*TblTech[[#This Row],[1-11]] + tech_6_3_2*TblTech[[#This Row],[6-3]] + tech_5_2_3*TblTech[[#This Row],[5-2]], 1-global_constr_cap) * ROUND((TblConstr[[#This Row],[Land]]-250)*0.285 + 87.5 + 0/4.25,0),0)</f>
        <v>31</v>
      </c>
      <c r="AQ121" s="45">
        <f ca="1">TblConstr[[#This Row],[build -db]]*TblConstr[[#This Row],[CPA Platinum -DB]] + TblConstr[[#This Row],[build db]]*TblConstr[[#This Row],[CPA Platinum DB]]</f>
        <v>0</v>
      </c>
      <c r="AR121" s="45">
        <f ca="1">TblConstr[[#This Row],[build -db]]*TblConstr[[#This Row],[CPA Lumber -DB]] + TblConstr[[#This Row],[build db]]*TblConstr[[#This Row],[CPA Lumber DB]]</f>
        <v>0</v>
      </c>
      <c r="AS121" s="94">
        <f ca="1">MIN(SUM(OFFSET(TblConstr[[#This Row],[Plain]:[Water]],-1,0))+SUM(TblConstr[[#This Row],[Dest Hom]:[Dest Doc]])+IF(TblConstr[[#This Row],[Hour]]&gt;12,SUM(OFFSET(TblExplore[[#This Row],[Plains Explore]:[Water Explore]],-12,0)),0),SUM(TblConstr[[#This Row],[Hom]:[Doc]]))</f>
        <v>0</v>
      </c>
      <c r="AT1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42"/>
      <c r="AV121" s="94">
        <f ca="1">ROUND((TblConstr[[#This Row],[Land]]-250 - IF(TblExplore[[#This Row],[Land Bonus]]&lt;&gt;0,20,0))*1.25 + 850 + 0,0)</f>
        <v>600</v>
      </c>
      <c r="AW121" s="94">
        <f ca="1">ROUND((TblConstr[[#This Row],[Land]]-250 - IF(TblExplore[[#This Row],[Land Bonus]]&lt;&gt;0,20,0))*0.285 + 87.5 + 0/4.25,0)</f>
        <v>31</v>
      </c>
      <c r="AX121" s="154"/>
      <c r="AY121" s="188" cm="1">
        <f t="array" aca="1" ref="AY121" ca="1">IF(TblConstr[[#This Row],[Hour]:[Hour]]&gt;12,OFFSET(TblConstr[[#This Row],[Hom]],-12,0),0)+OFFSET(TblConstr[[#This Row],[Tot Hom]],-1,0)-TblConstr[[#This Row],[Dest Hom]]</f>
        <v>0</v>
      </c>
      <c r="AZ121" s="189" cm="1">
        <f t="array" aca="1" ref="AZ121" ca="1">IF(TblConstr[[#This Row],[Hour]:[Hour]]&gt;12,OFFSET(TblConstr[[#This Row],[Alc]],-12,0),0)+OFFSET(TblConstr[[#This Row],[Tot Alc]],-1,0)-TblConstr[[#This Row],[Dest Alc]]</f>
        <v>0</v>
      </c>
      <c r="BA121" s="189" cm="1">
        <f t="array" aca="1" ref="BA121" ca="1">IF(TblConstr[[#This Row],[Hour]:[Hour]]&gt;12,OFFSET(TblConstr[[#This Row],[Far]],-12,0),0)+OFFSET(TblConstr[[#This Row],[Tot Farm]],-1,0)-TblConstr[[#This Row],[Dest Farm]]</f>
        <v>30</v>
      </c>
      <c r="BB121" s="189" cm="1">
        <f t="array" aca="1" ref="BB121" ca="1">IF(TblConstr[[#This Row],[Hour]:[Hour]]&gt;12,OFFSET(TblConstr[[#This Row],[Smi]],-12,0),0)+OFFSET(TblConstr[[#This Row],[Tot Smi]],-1,0)-TblConstr[[#This Row],[Dest Smi]]</f>
        <v>0</v>
      </c>
      <c r="BC121" s="189" cm="1">
        <f t="array" aca="1" ref="BC121" ca="1">IF(TblConstr[[#This Row],[Hour]:[Hour]]&gt;12,OFFSET(TblConstr[[#This Row],[Mas]],-12,0),0)+OFFSET(TblConstr[[#This Row],[Tot Mas]],-1,0)-TblConstr[[#This Row],[Dest Mas]]</f>
        <v>0</v>
      </c>
      <c r="BD121" s="190" cm="1">
        <f t="array" aca="1" ref="BD121" ca="1">IF(TblConstr[[#This Row],[Hour]:[Hour]]&gt;12,OFFSET(TblConstr[[#This Row],[Ly]],-12,0),0)+OFFSET(TblConstr[[#This Row],[Tot Ly]],-1,0)-TblConstr[[#This Row],[Dest Ly]]</f>
        <v>20</v>
      </c>
      <c r="BE121" s="190" cm="1">
        <f t="array" aca="1" ref="BE121" ca="1">IF(TblConstr[[#This Row],[Hour]:[Hour]]&gt;12,OFFSET(TblConstr[[#This Row],[Hav]],-12,0),0)+OFFSET(TblConstr[[#This Row],[Tot Hav]],-1,0)-TblConstr[[#This Row],[Dest Hav]]</f>
        <v>0</v>
      </c>
      <c r="BF121" s="361" cm="1">
        <f t="array" aca="1" ref="BF121" ca="1">IF(TblConstr[[#This Row],[Hour]:[Hour]]&gt;12,OFFSET(TblConstr[[#This Row],[OM]],-12,0),0)+OFFSET(TblConstr[[#This Row],[Tot OM]],-1,0)-TblConstr[[#This Row],[Dest OM]]</f>
        <v>0</v>
      </c>
      <c r="BG121" s="361" cm="1">
        <f t="array" aca="1" ref="BG121" ca="1">IF(TblConstr[[#This Row],[Hour]:[Hour]]&gt;12,OFFSET(TblConstr[[#This Row],[GN]],-12,0),0)+OFFSET(TblConstr[[#This Row],[Tot GN]],-1,0)-TblConstr[[#This Row],[Dest GN]]</f>
        <v>0</v>
      </c>
      <c r="BH121" s="365" cm="1">
        <f t="array" aca="1" ref="BH121" ca="1">IF(TblConstr[[#This Row],[Hour]:[Hour]]&gt;12,OFFSET(TblConstr[[#This Row],[Fac]],-12,0),0)+OFFSET(TblConstr[[#This Row],[Tot Fac]],-1,0)-TblConstr[[#This Row],[Dest Fac]]</f>
        <v>0</v>
      </c>
      <c r="BI121" s="365" cm="1">
        <f t="array" aca="1" ref="BI121" ca="1">IF(TblConstr[[#This Row],[Hour]:[Hour]]&gt;12,OFFSET(TblConstr[[#This Row],[GT]],-12,0),0)+OFFSET(TblConstr[[#This Row],[Tot GT]],-1,0)-TblConstr[[#This Row],[Dest GT]]</f>
        <v>0</v>
      </c>
      <c r="BJ121" s="365" cm="1">
        <f t="array" aca="1" ref="BJ121" ca="1">IF(TblConstr[[#This Row],[Hour]:[Hour]]&gt;12,OFFSET(TblConstr[[#This Row],[Bar]],-12,0),0)+OFFSET(TblConstr[[#This Row],[Tot Bar]],-1,0)-TblConstr[[#This Row],[Dest Bar]]</f>
        <v>0</v>
      </c>
      <c r="BK121" s="365" cm="1">
        <f t="array" aca="1" ref="BK121" ca="1">IF(TblConstr[[#This Row],[Hour]:[Hour]]&gt;12,OFFSET(TblConstr[[#This Row],[Shr]],-12,0),0)+OFFSET(TblConstr[[#This Row],[Tot Shr]],-1,0)-TblConstr[[#This Row],[Dest Shr]]</f>
        <v>0</v>
      </c>
      <c r="BL121" s="369" cm="1">
        <f t="array" aca="1" ref="BL121" ca="1">IF(TblConstr[[#This Row],[Hour]:[Hour]]&gt;12,OFFSET(TblConstr[[#This Row],[Tow]],-12,0),0)+OFFSET(TblConstr[[#This Row],[Tot Tow]],-1,0)-TblConstr[[#This Row],[Dest Tow]]</f>
        <v>0</v>
      </c>
      <c r="BM121" s="369" cm="1">
        <f t="array" aca="1" ref="BM121" ca="1">IF(TblConstr[[#This Row],[Hour]:[Hour]]&gt;12,OFFSET(TblConstr[[#This Row],[Tem]],-12,0),0)+OFFSET(TblConstr[[#This Row],[Tot Tem]],-1,0)-TblConstr[[#This Row],[Dest Tem]]</f>
        <v>0</v>
      </c>
      <c r="BN121" s="369" cm="1">
        <f t="array" aca="1" ref="BN121" ca="1">IF(TblConstr[[#This Row],[Hour]:[Hour]]&gt;12,OFFSET(TblConstr[[#This Row],[WG]],-12,0),0)+OFFSET(TblConstr[[#This Row],[Tot WG]],-1,0)-TblConstr[[#This Row],[Dest WG]]</f>
        <v>0</v>
      </c>
      <c r="BO121" s="191" cm="1">
        <f t="array" aca="1" ref="BO121" ca="1">IF(TblConstr[[#This Row],[Hour]:[Hour]]&gt;12,OFFSET(TblConstr[[#This Row],[DM]],-12,0),0)+OFFSET(TblConstr[[#This Row],[Tot DM]],-1,0)-TblConstr[[#This Row],[Dest DM]]</f>
        <v>0</v>
      </c>
      <c r="BP121" s="191" cm="1">
        <f t="array" aca="1" ref="BP121" ca="1">IF(TblConstr[[#This Row],[Hour]:[Hour]]&gt;12,OFFSET(TblConstr[[#This Row],[Sch]],-12,0),0)+OFFSET(TblConstr[[#This Row],[Tot Sch]],-1,0)-TblConstr[[#This Row],[Dest Sch]]</f>
        <v>0</v>
      </c>
      <c r="BQ121" s="192" cm="1">
        <f t="array" aca="1" ref="BQ121" ca="1">IF(TblConstr[[#This Row],[Hour]:[Hour]]&gt;12,OFFSET(TblConstr[[#This Row],[Doc]],-12,0),0)+OFFSET(TblConstr[[#This Row],[Tot Doc]],-1,0)-TblConstr[[#This Row],[Dest Doc]]</f>
        <v>0</v>
      </c>
      <c r="BR121" s="142"/>
      <c r="BS121" s="154"/>
      <c r="BT121" s="94">
        <f ca="1">TblConstr[[#This Row],[Land]]</f>
        <v>50</v>
      </c>
      <c r="BU121" s="159">
        <f ca="1">TblImps[[#This Row],[Time]]</f>
        <v>46324.874999999716</v>
      </c>
      <c r="BV121" s="142"/>
      <c r="BW121" s="179"/>
      <c r="BX121" s="179"/>
      <c r="BY121" s="179"/>
      <c r="BZ121" s="179"/>
      <c r="CA121" s="179"/>
      <c r="CB121" s="179"/>
      <c r="CC121" s="179"/>
      <c r="CD121" s="179"/>
      <c r="CE121" s="179"/>
      <c r="CF121" s="179"/>
      <c r="CG121" s="179"/>
      <c r="CH121" s="179"/>
      <c r="CI121" s="179"/>
      <c r="CJ121" s="179"/>
      <c r="CK121" s="179"/>
      <c r="CL121" s="179"/>
      <c r="CM121" s="179"/>
      <c r="CN121" s="179"/>
      <c r="CO121" s="179"/>
      <c r="CP121" s="142"/>
      <c r="CQ121" s="181">
        <f ca="1">-SUM(TblConstr[[#This Row],[Alc]:[Mas]])+SUM(TblConstr[[#This Row],[Dest Alc]:[Dest Mas]])+Rezone!L121+IF("Ch_"&amp; home_land=TblConstr[[#Headers],[Ch_Plain]],TblConstr[[#This Row],[Home Land]])+IF(TblConstr[[#This Row],[Hour]:[Hour]]&gt;12,OFFSET(TblExplore[[#This Row],[Plains Explore]],-12,0),0)</f>
        <v>0</v>
      </c>
      <c r="CR121" s="182">
        <f ca="1">-SUM(TblConstr[[#This Row],[Ly]:[Hav]])+SUM(TblConstr[[#This Row],[Dest Ly]:[Dest Hav]]) +Rezone!M121 + IF("Ch_"&amp; home_land=TblConstr[[#Headers],[Ch_Forest]],TblConstr[[#This Row],[Home Land]])+IF(TblConstr[[#This Row],[Hour]:[Hour]]&gt;12,OFFSET(TblExplore[[#This Row],[Forest Explore]],-12,0),0)</f>
        <v>0</v>
      </c>
      <c r="CS121" s="359">
        <f ca="1">-SUM(TblConstr[[#This Row],[OM]:[GN]])+SUM(TblConstr[[#This Row],[Dest OM]:[Dest GN]]) +Rezone!N121 + IF("Ch_"&amp; home_land=TblConstr[[#Headers],[Ch_Mountain]],TblConstr[[#This Row],[Home Land]])+IF(TblConstr[[#This Row],[Hour]:[Hour]]&gt;12,OFFSET(TblExplore[[#This Row],[Mountain Explore]],-12,0),0)</f>
        <v>0</v>
      </c>
      <c r="CT121" s="183">
        <f ca="1">-SUM(TblConstr[[#This Row],[Fac]:[Shr]])+SUM(TblConstr[[#This Row],[Dest Fac]:[Dest Shr]]) +Rezone!O121 + IF("Ch_" &amp; home_land=TblConstr[[#Headers],[Ch_Hill]],TblConstr[[#This Row],[Home Land]])+IF(TblConstr[[#This Row],[Hour]:[Hour]]&gt;12,OFFSET(TblExplore[[#This Row],[Hill Explore]],-12,0),0)</f>
        <v>0</v>
      </c>
      <c r="CU121" s="184">
        <f ca="1">-SUM(TblConstr[[#This Row],[Tow]:[WG]])+SUM(TblConstr[[#This Row],[Dest Tow]:[Dest WG]]) +Rezone!P121 + IF("Ch_" &amp; home_land=TblConstr[[#Headers],[Ch_Swamp]],TblConstr[[#This Row],[Home Land]])+IF(TblConstr[[#This Row],[Hour]:[Hour]]&gt;12,OFFSET(TblExplore[[#This Row],[Swamp Explore]],-12,0),0)</f>
        <v>0</v>
      </c>
      <c r="CV121" s="185">
        <f ca="1" xml:space="preserve"> - SUM(TblConstr[[#This Row],[DM]:[Sch]])+SUM(TblConstr[[#This Row],[Dest DM]:[Dest Sch]]) +Rezone!Q121 + IF("Ch_" &amp; home_land=TblConstr[[#Headers],[Ch_Cavern]],TblConstr[[#This Row],[Home Land]])+IF(TblConstr[[#This Row],[Hour]:[Hour]]&gt;12,OFFSET(TblExplore[[#This Row],[Cavern Explore]],-12,0),0)</f>
        <v>0</v>
      </c>
      <c r="CW121" s="186">
        <f ca="1">-TblConstr[[#This Row],[Doc]]+TblConstr[[#This Row],[Dest Doc]] +Rezone!R121 + IF("Ch_" &amp; home_land=TblConstr[[#Headers],[Ch_Water]],TblConstr[[#This Row],[Home Land]])+IF(TblConstr[[#This Row],[Hour]:[Hour]]&gt;12,OFFSET(TblExplore[[#This Row],[Water Explore]],-12,0),0)</f>
        <v>0</v>
      </c>
      <c r="CX121" s="45">
        <f>IF(Explore!S121=1,20) - TblConstr[[#This Row],[Hom]] + TblConstr[[#This Row],[Dest Hom]]</f>
        <v>0</v>
      </c>
      <c r="CY121" s="142"/>
      <c r="CZ121" s="94">
        <f t="shared" ca="1" si="30"/>
        <v>30</v>
      </c>
      <c r="DA121" s="94">
        <f t="shared" ca="1" si="31"/>
        <v>20</v>
      </c>
      <c r="DB121" s="45">
        <f t="shared" ca="1" si="32"/>
        <v>0</v>
      </c>
      <c r="DC121" s="94">
        <f t="shared" ca="1" si="33"/>
        <v>0</v>
      </c>
      <c r="DD121" s="94">
        <f t="shared" ca="1" si="34"/>
        <v>0</v>
      </c>
      <c r="DE121" s="45">
        <f t="shared" ca="1" si="35"/>
        <v>0</v>
      </c>
      <c r="DF121" s="94">
        <f t="shared" ca="1" si="36"/>
        <v>0</v>
      </c>
      <c r="DG121" s="94" cm="1">
        <f t="array" aca="1" ref="DG121" ca="1">INDEX(TblConstr[[Total Plain]:[Total Water]],ROW()-ROW(TblConstr[#Headers]),MATCH("Total "&amp;home_land,TblConstr[[#Headers],[Total Plain]:[Total Water]],0))+TblConstr[[#This Row],[Homes]]</f>
        <v>30</v>
      </c>
      <c r="DH121" s="45">
        <f t="shared" ca="1" si="22"/>
        <v>0</v>
      </c>
      <c r="DI121" s="45">
        <f t="shared" ca="1" si="19"/>
        <v>0</v>
      </c>
      <c r="DJ121" s="45">
        <f t="shared" ca="1" si="20"/>
        <v>0</v>
      </c>
    </row>
    <row r="122" spans="1:114" x14ac:dyDescent="0.2">
      <c r="A122" s="175">
        <f>TblRezone[[#This Row],[Hour]]</f>
        <v>119</v>
      </c>
      <c r="B122" s="176">
        <f ca="1">SUM(TblConstr[[#This Row],[Plain]:[Water]])</f>
        <v>0</v>
      </c>
      <c r="C122" s="177">
        <f ca="1">SUM(TblConstr[[#This Row],[Tot Hom]:[Tot Doc]])</f>
        <v>50</v>
      </c>
      <c r="D122" s="177">
        <f t="shared" si="21"/>
        <v>0</v>
      </c>
      <c r="E122" s="178"/>
      <c r="F122" s="61">
        <f ca="1">TblConstr[[#This Row],[Barren]]+TblConstr[[#This Row],[Buildings]]+TblConstr[[#This Row],[Incoming]]</f>
        <v>50</v>
      </c>
      <c r="G122" s="187">
        <f ca="1">OFFSET(TblConstr[[#This Row],[Plain]],-1,0)+TblConstr[[#This Row],[Ch_Plain]]</f>
        <v>0</v>
      </c>
      <c r="H122" s="182">
        <f ca="1">OFFSET(TblConstr[[#This Row],[Forest]],-1,0)+TblConstr[[#This Row],[Ch_Forest]]</f>
        <v>0</v>
      </c>
      <c r="I122" s="359">
        <f ca="1">OFFSET(TblConstr[[#This Row],[Mountain]],-1,0)+TblConstr[[#This Row],[Ch_Mountain]]</f>
        <v>0</v>
      </c>
      <c r="J122" s="363">
        <f ca="1">OFFSET(TblConstr[[#This Row],[Hill]],-1,0)+TblConstr[[#This Row],[Ch_Hill]]</f>
        <v>0</v>
      </c>
      <c r="K122" s="367">
        <f ca="1">OFFSET(TblConstr[[#This Row],[Swamp]],-1,0)+TblConstr[[#This Row],[Ch_Swamp]]</f>
        <v>0</v>
      </c>
      <c r="L122" s="185">
        <f ca="1">OFFSET(TblConstr[[#This Row],[Cavern]],-1,0)+TblConstr[[#This Row],[Ch_Cavern]]</f>
        <v>0</v>
      </c>
      <c r="M122" s="186">
        <f ca="1">OFFSET(TblConstr[[#This Row],[Water]],-1,0)+TblConstr[[#This Row],[Ch_Water]]</f>
        <v>0</v>
      </c>
      <c r="N122" s="357">
        <f>TblRezone[[#This Row],[Hour]]</f>
        <v>119</v>
      </c>
      <c r="O122" s="179"/>
      <c r="P122" s="179"/>
      <c r="Q122" s="179"/>
      <c r="R122" s="179"/>
      <c r="S122" s="179"/>
      <c r="T122" s="179"/>
      <c r="U122" s="179"/>
      <c r="V122" s="179"/>
      <c r="W122" s="179"/>
      <c r="X122" s="179"/>
      <c r="Y122" s="179"/>
      <c r="Z122" s="179"/>
      <c r="AA122" s="179"/>
      <c r="AB122" s="179"/>
      <c r="AC122" s="179"/>
      <c r="AD122" s="179"/>
      <c r="AE122" s="179"/>
      <c r="AF122" s="179"/>
      <c r="AG122" s="179"/>
      <c r="AH122" s="53">
        <f ca="1">TblImps[[#This Row],[Time]]</f>
        <v>46324.91666666638</v>
      </c>
      <c r="AI122" s="180">
        <f ca="1">MIN(25%,(TblConstr[[#This Row],[Tot Fac]]+TblConstr[[#This Row],[Dest Fac]])/(TblConstr[[#This Row],[Land]]-TblExplore[[#This Row],[Land Bonus]]*20))</f>
        <v>0</v>
      </c>
      <c r="AJ122" s="180">
        <f ca="1">MIN(25%,(TblConstr[[#This Row],[Tot Fac]]+TblConstr[[#This Row],[Dest Fac]])/TblConstr[[#This Row],[Land]])</f>
        <v>0</v>
      </c>
      <c r="AK122" s="94">
        <f ca="1">TblProd[[#This Row],[Platinum]]</f>
        <v>208190</v>
      </c>
      <c r="AL122" s="94">
        <f ca="1">TblProd[[#This Row],[Lumber]]</f>
        <v>74034</v>
      </c>
      <c r="AM1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2" s="94">
        <f ca="1">ROUNDDOWN( MAX(1 - MIN(facs_constr_factor*TblConstr[[#This Row],[Facs -DB]],facs_constr_max) + tech_1_11*TblTech[[#This Row],[11-1]] + tech_6_3_2*TblTech[[#This Row],[6-3]] + tech_5_2_3*TblTech[[#This Row],[5-2]], 1-global_constr_cap) * TblConstr[[#This Row],[RCPA Lumber]],0)</f>
        <v>31</v>
      </c>
      <c r="AO1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2" s="94">
        <f ca="1">ROUNDDOWN( MAX(1 - MIN(facs_constr_factor*TblConstr[[#This Row],[Facs DB]],facs_constr_max) + tech_1_11*TblTech[[#This Row],[1-11]] + tech_6_3_2*TblTech[[#This Row],[6-3]] + tech_5_2_3*TblTech[[#This Row],[5-2]], 1-global_constr_cap) * ROUND((TblConstr[[#This Row],[Land]]-250)*0.285 + 87.5 + 0/4.25,0),0)</f>
        <v>31</v>
      </c>
      <c r="AQ122" s="45">
        <f ca="1">TblConstr[[#This Row],[build -db]]*TblConstr[[#This Row],[CPA Platinum -DB]] + TblConstr[[#This Row],[build db]]*TblConstr[[#This Row],[CPA Platinum DB]]</f>
        <v>0</v>
      </c>
      <c r="AR122" s="45">
        <f ca="1">TblConstr[[#This Row],[build -db]]*TblConstr[[#This Row],[CPA Lumber -DB]] + TblConstr[[#This Row],[build db]]*TblConstr[[#This Row],[CPA Lumber DB]]</f>
        <v>0</v>
      </c>
      <c r="AS122" s="94">
        <f ca="1">MIN(SUM(OFFSET(TblConstr[[#This Row],[Plain]:[Water]],-1,0))+SUM(TblConstr[[#This Row],[Dest Hom]:[Dest Doc]])+IF(TblConstr[[#This Row],[Hour]]&gt;12,SUM(OFFSET(TblExplore[[#This Row],[Plains Explore]:[Water Explore]],-12,0)),0),SUM(TblConstr[[#This Row],[Hom]:[Doc]]))</f>
        <v>0</v>
      </c>
      <c r="AT1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42"/>
      <c r="AV122" s="94">
        <f ca="1">ROUND((TblConstr[[#This Row],[Land]]-250 - IF(TblExplore[[#This Row],[Land Bonus]]&lt;&gt;0,20,0))*1.25 + 850 + 0,0)</f>
        <v>600</v>
      </c>
      <c r="AW122" s="94">
        <f ca="1">ROUND((TblConstr[[#This Row],[Land]]-250 - IF(TblExplore[[#This Row],[Land Bonus]]&lt;&gt;0,20,0))*0.285 + 87.5 + 0/4.25,0)</f>
        <v>31</v>
      </c>
      <c r="AX122" s="154"/>
      <c r="AY122" s="188" cm="1">
        <f t="array" aca="1" ref="AY122" ca="1">IF(TblConstr[[#This Row],[Hour]:[Hour]]&gt;12,OFFSET(TblConstr[[#This Row],[Hom]],-12,0),0)+OFFSET(TblConstr[[#This Row],[Tot Hom]],-1,0)-TblConstr[[#This Row],[Dest Hom]]</f>
        <v>0</v>
      </c>
      <c r="AZ122" s="189" cm="1">
        <f t="array" aca="1" ref="AZ122" ca="1">IF(TblConstr[[#This Row],[Hour]:[Hour]]&gt;12,OFFSET(TblConstr[[#This Row],[Alc]],-12,0),0)+OFFSET(TblConstr[[#This Row],[Tot Alc]],-1,0)-TblConstr[[#This Row],[Dest Alc]]</f>
        <v>0</v>
      </c>
      <c r="BA122" s="189" cm="1">
        <f t="array" aca="1" ref="BA122" ca="1">IF(TblConstr[[#This Row],[Hour]:[Hour]]&gt;12,OFFSET(TblConstr[[#This Row],[Far]],-12,0),0)+OFFSET(TblConstr[[#This Row],[Tot Farm]],-1,0)-TblConstr[[#This Row],[Dest Farm]]</f>
        <v>30</v>
      </c>
      <c r="BB122" s="189" cm="1">
        <f t="array" aca="1" ref="BB122" ca="1">IF(TblConstr[[#This Row],[Hour]:[Hour]]&gt;12,OFFSET(TblConstr[[#This Row],[Smi]],-12,0),0)+OFFSET(TblConstr[[#This Row],[Tot Smi]],-1,0)-TblConstr[[#This Row],[Dest Smi]]</f>
        <v>0</v>
      </c>
      <c r="BC122" s="189" cm="1">
        <f t="array" aca="1" ref="BC122" ca="1">IF(TblConstr[[#This Row],[Hour]:[Hour]]&gt;12,OFFSET(TblConstr[[#This Row],[Mas]],-12,0),0)+OFFSET(TblConstr[[#This Row],[Tot Mas]],-1,0)-TblConstr[[#This Row],[Dest Mas]]</f>
        <v>0</v>
      </c>
      <c r="BD122" s="190" cm="1">
        <f t="array" aca="1" ref="BD122" ca="1">IF(TblConstr[[#This Row],[Hour]:[Hour]]&gt;12,OFFSET(TblConstr[[#This Row],[Ly]],-12,0),0)+OFFSET(TblConstr[[#This Row],[Tot Ly]],-1,0)-TblConstr[[#This Row],[Dest Ly]]</f>
        <v>20</v>
      </c>
      <c r="BE122" s="190" cm="1">
        <f t="array" aca="1" ref="BE122" ca="1">IF(TblConstr[[#This Row],[Hour]:[Hour]]&gt;12,OFFSET(TblConstr[[#This Row],[Hav]],-12,0),0)+OFFSET(TblConstr[[#This Row],[Tot Hav]],-1,0)-TblConstr[[#This Row],[Dest Hav]]</f>
        <v>0</v>
      </c>
      <c r="BF122" s="361" cm="1">
        <f t="array" aca="1" ref="BF122" ca="1">IF(TblConstr[[#This Row],[Hour]:[Hour]]&gt;12,OFFSET(TblConstr[[#This Row],[OM]],-12,0),0)+OFFSET(TblConstr[[#This Row],[Tot OM]],-1,0)-TblConstr[[#This Row],[Dest OM]]</f>
        <v>0</v>
      </c>
      <c r="BG122" s="361" cm="1">
        <f t="array" aca="1" ref="BG122" ca="1">IF(TblConstr[[#This Row],[Hour]:[Hour]]&gt;12,OFFSET(TblConstr[[#This Row],[GN]],-12,0),0)+OFFSET(TblConstr[[#This Row],[Tot GN]],-1,0)-TblConstr[[#This Row],[Dest GN]]</f>
        <v>0</v>
      </c>
      <c r="BH122" s="365" cm="1">
        <f t="array" aca="1" ref="BH122" ca="1">IF(TblConstr[[#This Row],[Hour]:[Hour]]&gt;12,OFFSET(TblConstr[[#This Row],[Fac]],-12,0),0)+OFFSET(TblConstr[[#This Row],[Tot Fac]],-1,0)-TblConstr[[#This Row],[Dest Fac]]</f>
        <v>0</v>
      </c>
      <c r="BI122" s="365" cm="1">
        <f t="array" aca="1" ref="BI122" ca="1">IF(TblConstr[[#This Row],[Hour]:[Hour]]&gt;12,OFFSET(TblConstr[[#This Row],[GT]],-12,0),0)+OFFSET(TblConstr[[#This Row],[Tot GT]],-1,0)-TblConstr[[#This Row],[Dest GT]]</f>
        <v>0</v>
      </c>
      <c r="BJ122" s="365" cm="1">
        <f t="array" aca="1" ref="BJ122" ca="1">IF(TblConstr[[#This Row],[Hour]:[Hour]]&gt;12,OFFSET(TblConstr[[#This Row],[Bar]],-12,0),0)+OFFSET(TblConstr[[#This Row],[Tot Bar]],-1,0)-TblConstr[[#This Row],[Dest Bar]]</f>
        <v>0</v>
      </c>
      <c r="BK122" s="365" cm="1">
        <f t="array" aca="1" ref="BK122" ca="1">IF(TblConstr[[#This Row],[Hour]:[Hour]]&gt;12,OFFSET(TblConstr[[#This Row],[Shr]],-12,0),0)+OFFSET(TblConstr[[#This Row],[Tot Shr]],-1,0)-TblConstr[[#This Row],[Dest Shr]]</f>
        <v>0</v>
      </c>
      <c r="BL122" s="369" cm="1">
        <f t="array" aca="1" ref="BL122" ca="1">IF(TblConstr[[#This Row],[Hour]:[Hour]]&gt;12,OFFSET(TblConstr[[#This Row],[Tow]],-12,0),0)+OFFSET(TblConstr[[#This Row],[Tot Tow]],-1,0)-TblConstr[[#This Row],[Dest Tow]]</f>
        <v>0</v>
      </c>
      <c r="BM122" s="369" cm="1">
        <f t="array" aca="1" ref="BM122" ca="1">IF(TblConstr[[#This Row],[Hour]:[Hour]]&gt;12,OFFSET(TblConstr[[#This Row],[Tem]],-12,0),0)+OFFSET(TblConstr[[#This Row],[Tot Tem]],-1,0)-TblConstr[[#This Row],[Dest Tem]]</f>
        <v>0</v>
      </c>
      <c r="BN122" s="369" cm="1">
        <f t="array" aca="1" ref="BN122" ca="1">IF(TblConstr[[#This Row],[Hour]:[Hour]]&gt;12,OFFSET(TblConstr[[#This Row],[WG]],-12,0),0)+OFFSET(TblConstr[[#This Row],[Tot WG]],-1,0)-TblConstr[[#This Row],[Dest WG]]</f>
        <v>0</v>
      </c>
      <c r="BO122" s="191" cm="1">
        <f t="array" aca="1" ref="BO122" ca="1">IF(TblConstr[[#This Row],[Hour]:[Hour]]&gt;12,OFFSET(TblConstr[[#This Row],[DM]],-12,0),0)+OFFSET(TblConstr[[#This Row],[Tot DM]],-1,0)-TblConstr[[#This Row],[Dest DM]]</f>
        <v>0</v>
      </c>
      <c r="BP122" s="191" cm="1">
        <f t="array" aca="1" ref="BP122" ca="1">IF(TblConstr[[#This Row],[Hour]:[Hour]]&gt;12,OFFSET(TblConstr[[#This Row],[Sch]],-12,0),0)+OFFSET(TblConstr[[#This Row],[Tot Sch]],-1,0)-TblConstr[[#This Row],[Dest Sch]]</f>
        <v>0</v>
      </c>
      <c r="BQ122" s="192" cm="1">
        <f t="array" aca="1" ref="BQ122" ca="1">IF(TblConstr[[#This Row],[Hour]:[Hour]]&gt;12,OFFSET(TblConstr[[#This Row],[Doc]],-12,0),0)+OFFSET(TblConstr[[#This Row],[Tot Doc]],-1,0)-TblConstr[[#This Row],[Dest Doc]]</f>
        <v>0</v>
      </c>
      <c r="BR122" s="142"/>
      <c r="BS122" s="154"/>
      <c r="BT122" s="94">
        <f ca="1">TblConstr[[#This Row],[Land]]</f>
        <v>50</v>
      </c>
      <c r="BU122" s="159">
        <f ca="1">TblImps[[#This Row],[Time]]</f>
        <v>46324.91666666638</v>
      </c>
      <c r="BV122" s="142"/>
      <c r="BW122" s="179"/>
      <c r="BX122" s="179"/>
      <c r="BY122" s="179"/>
      <c r="BZ122" s="179"/>
      <c r="CA122" s="179"/>
      <c r="CB122" s="179"/>
      <c r="CC122" s="179"/>
      <c r="CD122" s="179"/>
      <c r="CE122" s="179"/>
      <c r="CF122" s="179"/>
      <c r="CG122" s="179"/>
      <c r="CH122" s="179"/>
      <c r="CI122" s="179"/>
      <c r="CJ122" s="179"/>
      <c r="CK122" s="179"/>
      <c r="CL122" s="179"/>
      <c r="CM122" s="179"/>
      <c r="CN122" s="179"/>
      <c r="CO122" s="179"/>
      <c r="CP122" s="142"/>
      <c r="CQ122" s="181">
        <f ca="1">-SUM(TblConstr[[#This Row],[Alc]:[Mas]])+SUM(TblConstr[[#This Row],[Dest Alc]:[Dest Mas]])+Rezone!L122+IF("Ch_"&amp; home_land=TblConstr[[#Headers],[Ch_Plain]],TblConstr[[#This Row],[Home Land]])+IF(TblConstr[[#This Row],[Hour]:[Hour]]&gt;12,OFFSET(TblExplore[[#This Row],[Plains Explore]],-12,0),0)</f>
        <v>0</v>
      </c>
      <c r="CR122" s="182">
        <f ca="1">-SUM(TblConstr[[#This Row],[Ly]:[Hav]])+SUM(TblConstr[[#This Row],[Dest Ly]:[Dest Hav]]) +Rezone!M122 + IF("Ch_"&amp; home_land=TblConstr[[#Headers],[Ch_Forest]],TblConstr[[#This Row],[Home Land]])+IF(TblConstr[[#This Row],[Hour]:[Hour]]&gt;12,OFFSET(TblExplore[[#This Row],[Forest Explore]],-12,0),0)</f>
        <v>0</v>
      </c>
      <c r="CS122" s="359">
        <f ca="1">-SUM(TblConstr[[#This Row],[OM]:[GN]])+SUM(TblConstr[[#This Row],[Dest OM]:[Dest GN]]) +Rezone!N122 + IF("Ch_"&amp; home_land=TblConstr[[#Headers],[Ch_Mountain]],TblConstr[[#This Row],[Home Land]])+IF(TblConstr[[#This Row],[Hour]:[Hour]]&gt;12,OFFSET(TblExplore[[#This Row],[Mountain Explore]],-12,0),0)</f>
        <v>0</v>
      </c>
      <c r="CT122" s="183">
        <f ca="1">-SUM(TblConstr[[#This Row],[Fac]:[Shr]])+SUM(TblConstr[[#This Row],[Dest Fac]:[Dest Shr]]) +Rezone!O122 + IF("Ch_" &amp; home_land=TblConstr[[#Headers],[Ch_Hill]],TblConstr[[#This Row],[Home Land]])+IF(TblConstr[[#This Row],[Hour]:[Hour]]&gt;12,OFFSET(TblExplore[[#This Row],[Hill Explore]],-12,0),0)</f>
        <v>0</v>
      </c>
      <c r="CU122" s="184">
        <f ca="1">-SUM(TblConstr[[#This Row],[Tow]:[WG]])+SUM(TblConstr[[#This Row],[Dest Tow]:[Dest WG]]) +Rezone!P122 + IF("Ch_" &amp; home_land=TblConstr[[#Headers],[Ch_Swamp]],TblConstr[[#This Row],[Home Land]])+IF(TblConstr[[#This Row],[Hour]:[Hour]]&gt;12,OFFSET(TblExplore[[#This Row],[Swamp Explore]],-12,0),0)</f>
        <v>0</v>
      </c>
      <c r="CV122" s="185">
        <f ca="1" xml:space="preserve"> - SUM(TblConstr[[#This Row],[DM]:[Sch]])+SUM(TblConstr[[#This Row],[Dest DM]:[Dest Sch]]) +Rezone!Q122 + IF("Ch_" &amp; home_land=TblConstr[[#Headers],[Ch_Cavern]],TblConstr[[#This Row],[Home Land]])+IF(TblConstr[[#This Row],[Hour]:[Hour]]&gt;12,OFFSET(TblExplore[[#This Row],[Cavern Explore]],-12,0),0)</f>
        <v>0</v>
      </c>
      <c r="CW122" s="186">
        <f ca="1">-TblConstr[[#This Row],[Doc]]+TblConstr[[#This Row],[Dest Doc]] +Rezone!R122 + IF("Ch_" &amp; home_land=TblConstr[[#Headers],[Ch_Water]],TblConstr[[#This Row],[Home Land]])+IF(TblConstr[[#This Row],[Hour]:[Hour]]&gt;12,OFFSET(TblExplore[[#This Row],[Water Explore]],-12,0),0)</f>
        <v>0</v>
      </c>
      <c r="CX122" s="45">
        <f>IF(Explore!S122=1,20) - TblConstr[[#This Row],[Hom]] + TblConstr[[#This Row],[Dest Hom]]</f>
        <v>0</v>
      </c>
      <c r="CY122" s="142"/>
      <c r="CZ122" s="94">
        <f t="shared" ca="1" si="30"/>
        <v>30</v>
      </c>
      <c r="DA122" s="94">
        <f t="shared" ca="1" si="31"/>
        <v>20</v>
      </c>
      <c r="DB122" s="45">
        <f t="shared" ca="1" si="32"/>
        <v>0</v>
      </c>
      <c r="DC122" s="94">
        <f t="shared" ca="1" si="33"/>
        <v>0</v>
      </c>
      <c r="DD122" s="94">
        <f t="shared" ca="1" si="34"/>
        <v>0</v>
      </c>
      <c r="DE122" s="45">
        <f t="shared" ca="1" si="35"/>
        <v>0</v>
      </c>
      <c r="DF122" s="94">
        <f t="shared" ca="1" si="36"/>
        <v>0</v>
      </c>
      <c r="DG122" s="94" cm="1">
        <f t="array" aca="1" ref="DG122" ca="1">INDEX(TblConstr[[Total Plain]:[Total Water]],ROW()-ROW(TblConstr[#Headers]),MATCH("Total "&amp;home_land,TblConstr[[#Headers],[Total Plain]:[Total Water]],0))+TblConstr[[#This Row],[Homes]]</f>
        <v>30</v>
      </c>
      <c r="DH122" s="45">
        <f t="shared" ca="1" si="22"/>
        <v>0</v>
      </c>
      <c r="DI122" s="45">
        <f t="shared" ca="1" si="19"/>
        <v>0</v>
      </c>
      <c r="DJ122" s="45">
        <f t="shared" ca="1" si="20"/>
        <v>0</v>
      </c>
    </row>
    <row r="123" spans="1:114" x14ac:dyDescent="0.2">
      <c r="A123" s="175">
        <f>TblRezone[[#This Row],[Hour]]</f>
        <v>120</v>
      </c>
      <c r="B123" s="176">
        <f ca="1">SUM(TblConstr[[#This Row],[Plain]:[Water]])</f>
        <v>0</v>
      </c>
      <c r="C123" s="177">
        <f ca="1">SUM(TblConstr[[#This Row],[Tot Hom]:[Tot Doc]])</f>
        <v>50</v>
      </c>
      <c r="D123" s="177">
        <f t="shared" si="21"/>
        <v>0</v>
      </c>
      <c r="E123" s="178"/>
      <c r="F123" s="61">
        <f ca="1">TblConstr[[#This Row],[Barren]]+TblConstr[[#This Row],[Buildings]]+TblConstr[[#This Row],[Incoming]]</f>
        <v>50</v>
      </c>
      <c r="G123" s="187">
        <f ca="1">OFFSET(TblConstr[[#This Row],[Plain]],-1,0)+TblConstr[[#This Row],[Ch_Plain]]</f>
        <v>0</v>
      </c>
      <c r="H123" s="182">
        <f ca="1">OFFSET(TblConstr[[#This Row],[Forest]],-1,0)+TblConstr[[#This Row],[Ch_Forest]]</f>
        <v>0</v>
      </c>
      <c r="I123" s="359">
        <f ca="1">OFFSET(TblConstr[[#This Row],[Mountain]],-1,0)+TblConstr[[#This Row],[Ch_Mountain]]</f>
        <v>0</v>
      </c>
      <c r="J123" s="363">
        <f ca="1">OFFSET(TblConstr[[#This Row],[Hill]],-1,0)+TblConstr[[#This Row],[Ch_Hill]]</f>
        <v>0</v>
      </c>
      <c r="K123" s="367">
        <f ca="1">OFFSET(TblConstr[[#This Row],[Swamp]],-1,0)+TblConstr[[#This Row],[Ch_Swamp]]</f>
        <v>0</v>
      </c>
      <c r="L123" s="185">
        <f ca="1">OFFSET(TblConstr[[#This Row],[Cavern]],-1,0)+TblConstr[[#This Row],[Ch_Cavern]]</f>
        <v>0</v>
      </c>
      <c r="M123" s="186">
        <f ca="1">OFFSET(TblConstr[[#This Row],[Water]],-1,0)+TblConstr[[#This Row],[Ch_Water]]</f>
        <v>0</v>
      </c>
      <c r="N123" s="357">
        <f>TblRezone[[#This Row],[Hour]]</f>
        <v>120</v>
      </c>
      <c r="O123" s="179"/>
      <c r="P123" s="179"/>
      <c r="Q123" s="179"/>
      <c r="R123" s="179"/>
      <c r="S123" s="179"/>
      <c r="T123" s="179"/>
      <c r="U123" s="179"/>
      <c r="V123" s="179"/>
      <c r="W123" s="179"/>
      <c r="X123" s="179"/>
      <c r="Y123" s="179"/>
      <c r="Z123" s="179"/>
      <c r="AA123" s="179"/>
      <c r="AB123" s="179"/>
      <c r="AC123" s="179"/>
      <c r="AD123" s="179"/>
      <c r="AE123" s="179"/>
      <c r="AF123" s="179"/>
      <c r="AG123" s="179"/>
      <c r="AH123" s="53">
        <f ca="1">TblImps[[#This Row],[Time]]</f>
        <v>46324.958333333045</v>
      </c>
      <c r="AI123" s="180">
        <f ca="1">MIN(25%,(TblConstr[[#This Row],[Tot Fac]]+TblConstr[[#This Row],[Dest Fac]])/(TblConstr[[#This Row],[Land]]-TblExplore[[#This Row],[Land Bonus]]*20))</f>
        <v>0</v>
      </c>
      <c r="AJ123" s="180">
        <f ca="1">MIN(25%,(TblConstr[[#This Row],[Tot Fac]]+TblConstr[[#This Row],[Dest Fac]])/TblConstr[[#This Row],[Land]])</f>
        <v>0</v>
      </c>
      <c r="AK123" s="94">
        <f ca="1">TblProd[[#This Row],[Platinum]]</f>
        <v>208576</v>
      </c>
      <c r="AL123" s="94">
        <f ca="1">TblProd[[#This Row],[Lumber]]</f>
        <v>74294</v>
      </c>
      <c r="AM1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3" s="94">
        <f ca="1">ROUNDDOWN( MAX(1 - MIN(facs_constr_factor*TblConstr[[#This Row],[Facs -DB]],facs_constr_max) + tech_1_11*TblTech[[#This Row],[11-1]] + tech_6_3_2*TblTech[[#This Row],[6-3]] + tech_5_2_3*TblTech[[#This Row],[5-2]], 1-global_constr_cap) * TblConstr[[#This Row],[RCPA Lumber]],0)</f>
        <v>31</v>
      </c>
      <c r="AO1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3" s="94">
        <f ca="1">ROUNDDOWN( MAX(1 - MIN(facs_constr_factor*TblConstr[[#This Row],[Facs DB]],facs_constr_max) + tech_1_11*TblTech[[#This Row],[1-11]] + tech_6_3_2*TblTech[[#This Row],[6-3]] + tech_5_2_3*TblTech[[#This Row],[5-2]], 1-global_constr_cap) * ROUND((TblConstr[[#This Row],[Land]]-250)*0.285 + 87.5 + 0/4.25,0),0)</f>
        <v>31</v>
      </c>
      <c r="AQ123" s="45">
        <f ca="1">TblConstr[[#This Row],[build -db]]*TblConstr[[#This Row],[CPA Platinum -DB]] + TblConstr[[#This Row],[build db]]*TblConstr[[#This Row],[CPA Platinum DB]]</f>
        <v>0</v>
      </c>
      <c r="AR123" s="45">
        <f ca="1">TblConstr[[#This Row],[build -db]]*TblConstr[[#This Row],[CPA Lumber -DB]] + TblConstr[[#This Row],[build db]]*TblConstr[[#This Row],[CPA Lumber DB]]</f>
        <v>0</v>
      </c>
      <c r="AS123" s="94">
        <f ca="1">MIN(SUM(OFFSET(TblConstr[[#This Row],[Plain]:[Water]],-1,0))+SUM(TblConstr[[#This Row],[Dest Hom]:[Dest Doc]])+IF(TblConstr[[#This Row],[Hour]]&gt;12,SUM(OFFSET(TblExplore[[#This Row],[Plains Explore]:[Water Explore]],-12,0)),0),SUM(TblConstr[[#This Row],[Hom]:[Doc]]))</f>
        <v>0</v>
      </c>
      <c r="AT1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42"/>
      <c r="AV123" s="94">
        <f ca="1">ROUND((TblConstr[[#This Row],[Land]]-250 - IF(TblExplore[[#This Row],[Land Bonus]]&lt;&gt;0,20,0))*1.25 + 850 + 0,0)</f>
        <v>600</v>
      </c>
      <c r="AW123" s="94">
        <f ca="1">ROUND((TblConstr[[#This Row],[Land]]-250 - IF(TblExplore[[#This Row],[Land Bonus]]&lt;&gt;0,20,0))*0.285 + 87.5 + 0/4.25,0)</f>
        <v>31</v>
      </c>
      <c r="AX123" s="154"/>
      <c r="AY123" s="188" cm="1">
        <f t="array" aca="1" ref="AY123" ca="1">IF(TblConstr[[#This Row],[Hour]:[Hour]]&gt;12,OFFSET(TblConstr[[#This Row],[Hom]],-12,0),0)+OFFSET(TblConstr[[#This Row],[Tot Hom]],-1,0)-TblConstr[[#This Row],[Dest Hom]]</f>
        <v>0</v>
      </c>
      <c r="AZ123" s="189" cm="1">
        <f t="array" aca="1" ref="AZ123" ca="1">IF(TblConstr[[#This Row],[Hour]:[Hour]]&gt;12,OFFSET(TblConstr[[#This Row],[Alc]],-12,0),0)+OFFSET(TblConstr[[#This Row],[Tot Alc]],-1,0)-TblConstr[[#This Row],[Dest Alc]]</f>
        <v>0</v>
      </c>
      <c r="BA123" s="189" cm="1">
        <f t="array" aca="1" ref="BA123" ca="1">IF(TblConstr[[#This Row],[Hour]:[Hour]]&gt;12,OFFSET(TblConstr[[#This Row],[Far]],-12,0),0)+OFFSET(TblConstr[[#This Row],[Tot Farm]],-1,0)-TblConstr[[#This Row],[Dest Farm]]</f>
        <v>30</v>
      </c>
      <c r="BB123" s="189" cm="1">
        <f t="array" aca="1" ref="BB123" ca="1">IF(TblConstr[[#This Row],[Hour]:[Hour]]&gt;12,OFFSET(TblConstr[[#This Row],[Smi]],-12,0),0)+OFFSET(TblConstr[[#This Row],[Tot Smi]],-1,0)-TblConstr[[#This Row],[Dest Smi]]</f>
        <v>0</v>
      </c>
      <c r="BC123" s="189" cm="1">
        <f t="array" aca="1" ref="BC123" ca="1">IF(TblConstr[[#This Row],[Hour]:[Hour]]&gt;12,OFFSET(TblConstr[[#This Row],[Mas]],-12,0),0)+OFFSET(TblConstr[[#This Row],[Tot Mas]],-1,0)-TblConstr[[#This Row],[Dest Mas]]</f>
        <v>0</v>
      </c>
      <c r="BD123" s="190" cm="1">
        <f t="array" aca="1" ref="BD123" ca="1">IF(TblConstr[[#This Row],[Hour]:[Hour]]&gt;12,OFFSET(TblConstr[[#This Row],[Ly]],-12,0),0)+OFFSET(TblConstr[[#This Row],[Tot Ly]],-1,0)-TblConstr[[#This Row],[Dest Ly]]</f>
        <v>20</v>
      </c>
      <c r="BE123" s="190" cm="1">
        <f t="array" aca="1" ref="BE123" ca="1">IF(TblConstr[[#This Row],[Hour]:[Hour]]&gt;12,OFFSET(TblConstr[[#This Row],[Hav]],-12,0),0)+OFFSET(TblConstr[[#This Row],[Tot Hav]],-1,0)-TblConstr[[#This Row],[Dest Hav]]</f>
        <v>0</v>
      </c>
      <c r="BF123" s="361" cm="1">
        <f t="array" aca="1" ref="BF123" ca="1">IF(TblConstr[[#This Row],[Hour]:[Hour]]&gt;12,OFFSET(TblConstr[[#This Row],[OM]],-12,0),0)+OFFSET(TblConstr[[#This Row],[Tot OM]],-1,0)-TblConstr[[#This Row],[Dest OM]]</f>
        <v>0</v>
      </c>
      <c r="BG123" s="361" cm="1">
        <f t="array" aca="1" ref="BG123" ca="1">IF(TblConstr[[#This Row],[Hour]:[Hour]]&gt;12,OFFSET(TblConstr[[#This Row],[GN]],-12,0),0)+OFFSET(TblConstr[[#This Row],[Tot GN]],-1,0)-TblConstr[[#This Row],[Dest GN]]</f>
        <v>0</v>
      </c>
      <c r="BH123" s="365" cm="1">
        <f t="array" aca="1" ref="BH123" ca="1">IF(TblConstr[[#This Row],[Hour]:[Hour]]&gt;12,OFFSET(TblConstr[[#This Row],[Fac]],-12,0),0)+OFFSET(TblConstr[[#This Row],[Tot Fac]],-1,0)-TblConstr[[#This Row],[Dest Fac]]</f>
        <v>0</v>
      </c>
      <c r="BI123" s="365" cm="1">
        <f t="array" aca="1" ref="BI123" ca="1">IF(TblConstr[[#This Row],[Hour]:[Hour]]&gt;12,OFFSET(TblConstr[[#This Row],[GT]],-12,0),0)+OFFSET(TblConstr[[#This Row],[Tot GT]],-1,0)-TblConstr[[#This Row],[Dest GT]]</f>
        <v>0</v>
      </c>
      <c r="BJ123" s="365" cm="1">
        <f t="array" aca="1" ref="BJ123" ca="1">IF(TblConstr[[#This Row],[Hour]:[Hour]]&gt;12,OFFSET(TblConstr[[#This Row],[Bar]],-12,0),0)+OFFSET(TblConstr[[#This Row],[Tot Bar]],-1,0)-TblConstr[[#This Row],[Dest Bar]]</f>
        <v>0</v>
      </c>
      <c r="BK123" s="365" cm="1">
        <f t="array" aca="1" ref="BK123" ca="1">IF(TblConstr[[#This Row],[Hour]:[Hour]]&gt;12,OFFSET(TblConstr[[#This Row],[Shr]],-12,0),0)+OFFSET(TblConstr[[#This Row],[Tot Shr]],-1,0)-TblConstr[[#This Row],[Dest Shr]]</f>
        <v>0</v>
      </c>
      <c r="BL123" s="369" cm="1">
        <f t="array" aca="1" ref="BL123" ca="1">IF(TblConstr[[#This Row],[Hour]:[Hour]]&gt;12,OFFSET(TblConstr[[#This Row],[Tow]],-12,0),0)+OFFSET(TblConstr[[#This Row],[Tot Tow]],-1,0)-TblConstr[[#This Row],[Dest Tow]]</f>
        <v>0</v>
      </c>
      <c r="BM123" s="369" cm="1">
        <f t="array" aca="1" ref="BM123" ca="1">IF(TblConstr[[#This Row],[Hour]:[Hour]]&gt;12,OFFSET(TblConstr[[#This Row],[Tem]],-12,0),0)+OFFSET(TblConstr[[#This Row],[Tot Tem]],-1,0)-TblConstr[[#This Row],[Dest Tem]]</f>
        <v>0</v>
      </c>
      <c r="BN123" s="369" cm="1">
        <f t="array" aca="1" ref="BN123" ca="1">IF(TblConstr[[#This Row],[Hour]:[Hour]]&gt;12,OFFSET(TblConstr[[#This Row],[WG]],-12,0),0)+OFFSET(TblConstr[[#This Row],[Tot WG]],-1,0)-TblConstr[[#This Row],[Dest WG]]</f>
        <v>0</v>
      </c>
      <c r="BO123" s="191" cm="1">
        <f t="array" aca="1" ref="BO123" ca="1">IF(TblConstr[[#This Row],[Hour]:[Hour]]&gt;12,OFFSET(TblConstr[[#This Row],[DM]],-12,0),0)+OFFSET(TblConstr[[#This Row],[Tot DM]],-1,0)-TblConstr[[#This Row],[Dest DM]]</f>
        <v>0</v>
      </c>
      <c r="BP123" s="191" cm="1">
        <f t="array" aca="1" ref="BP123" ca="1">IF(TblConstr[[#This Row],[Hour]:[Hour]]&gt;12,OFFSET(TblConstr[[#This Row],[Sch]],-12,0),0)+OFFSET(TblConstr[[#This Row],[Tot Sch]],-1,0)-TblConstr[[#This Row],[Dest Sch]]</f>
        <v>0</v>
      </c>
      <c r="BQ123" s="192" cm="1">
        <f t="array" aca="1" ref="BQ123" ca="1">IF(TblConstr[[#This Row],[Hour]:[Hour]]&gt;12,OFFSET(TblConstr[[#This Row],[Doc]],-12,0),0)+OFFSET(TblConstr[[#This Row],[Tot Doc]],-1,0)-TblConstr[[#This Row],[Dest Doc]]</f>
        <v>0</v>
      </c>
      <c r="BR123" s="142"/>
      <c r="BS123" s="154"/>
      <c r="BT123" s="94">
        <f ca="1">TblConstr[[#This Row],[Land]]</f>
        <v>50</v>
      </c>
      <c r="BU123" s="159">
        <f ca="1">TblImps[[#This Row],[Time]]</f>
        <v>46324.958333333045</v>
      </c>
      <c r="BV123" s="142"/>
      <c r="BW123" s="179"/>
      <c r="BX123" s="179"/>
      <c r="BY123" s="179"/>
      <c r="BZ123" s="179"/>
      <c r="CA123" s="179"/>
      <c r="CB123" s="179"/>
      <c r="CC123" s="179"/>
      <c r="CD123" s="179"/>
      <c r="CE123" s="179"/>
      <c r="CF123" s="179"/>
      <c r="CG123" s="179"/>
      <c r="CH123" s="179"/>
      <c r="CI123" s="179"/>
      <c r="CJ123" s="179"/>
      <c r="CK123" s="179"/>
      <c r="CL123" s="179"/>
      <c r="CM123" s="179"/>
      <c r="CN123" s="179"/>
      <c r="CO123" s="179"/>
      <c r="CP123" s="142"/>
      <c r="CQ123" s="181">
        <f ca="1">-SUM(TblConstr[[#This Row],[Alc]:[Mas]])+SUM(TblConstr[[#This Row],[Dest Alc]:[Dest Mas]])+Rezone!L123+IF("Ch_"&amp; home_land=TblConstr[[#Headers],[Ch_Plain]],TblConstr[[#This Row],[Home Land]])+IF(TblConstr[[#This Row],[Hour]:[Hour]]&gt;12,OFFSET(TblExplore[[#This Row],[Plains Explore]],-12,0),0)</f>
        <v>0</v>
      </c>
      <c r="CR123" s="182">
        <f ca="1">-SUM(TblConstr[[#This Row],[Ly]:[Hav]])+SUM(TblConstr[[#This Row],[Dest Ly]:[Dest Hav]]) +Rezone!M123 + IF("Ch_"&amp; home_land=TblConstr[[#Headers],[Ch_Forest]],TblConstr[[#This Row],[Home Land]])+IF(TblConstr[[#This Row],[Hour]:[Hour]]&gt;12,OFFSET(TblExplore[[#This Row],[Forest Explore]],-12,0),0)</f>
        <v>0</v>
      </c>
      <c r="CS123" s="359">
        <f ca="1">-SUM(TblConstr[[#This Row],[OM]:[GN]])+SUM(TblConstr[[#This Row],[Dest OM]:[Dest GN]]) +Rezone!N123 + IF("Ch_"&amp; home_land=TblConstr[[#Headers],[Ch_Mountain]],TblConstr[[#This Row],[Home Land]])+IF(TblConstr[[#This Row],[Hour]:[Hour]]&gt;12,OFFSET(TblExplore[[#This Row],[Mountain Explore]],-12,0),0)</f>
        <v>0</v>
      </c>
      <c r="CT123" s="183">
        <f ca="1">-SUM(TblConstr[[#This Row],[Fac]:[Shr]])+SUM(TblConstr[[#This Row],[Dest Fac]:[Dest Shr]]) +Rezone!O123 + IF("Ch_" &amp; home_land=TblConstr[[#Headers],[Ch_Hill]],TblConstr[[#This Row],[Home Land]])+IF(TblConstr[[#This Row],[Hour]:[Hour]]&gt;12,OFFSET(TblExplore[[#This Row],[Hill Explore]],-12,0),0)</f>
        <v>0</v>
      </c>
      <c r="CU123" s="184">
        <f ca="1">-SUM(TblConstr[[#This Row],[Tow]:[WG]])+SUM(TblConstr[[#This Row],[Dest Tow]:[Dest WG]]) +Rezone!P123 + IF("Ch_" &amp; home_land=TblConstr[[#Headers],[Ch_Swamp]],TblConstr[[#This Row],[Home Land]])+IF(TblConstr[[#This Row],[Hour]:[Hour]]&gt;12,OFFSET(TblExplore[[#This Row],[Swamp Explore]],-12,0),0)</f>
        <v>0</v>
      </c>
      <c r="CV123" s="185">
        <f ca="1" xml:space="preserve"> - SUM(TblConstr[[#This Row],[DM]:[Sch]])+SUM(TblConstr[[#This Row],[Dest DM]:[Dest Sch]]) +Rezone!Q123 + IF("Ch_" &amp; home_land=TblConstr[[#Headers],[Ch_Cavern]],TblConstr[[#This Row],[Home Land]])+IF(TblConstr[[#This Row],[Hour]:[Hour]]&gt;12,OFFSET(TblExplore[[#This Row],[Cavern Explore]],-12,0),0)</f>
        <v>0</v>
      </c>
      <c r="CW123" s="186">
        <f ca="1">-TblConstr[[#This Row],[Doc]]+TblConstr[[#This Row],[Dest Doc]] +Rezone!R123 + IF("Ch_" &amp; home_land=TblConstr[[#Headers],[Ch_Water]],TblConstr[[#This Row],[Home Land]])+IF(TblConstr[[#This Row],[Hour]:[Hour]]&gt;12,OFFSET(TblExplore[[#This Row],[Water Explore]],-12,0),0)</f>
        <v>0</v>
      </c>
      <c r="CX123" s="45">
        <f>IF(Explore!S123=1,20) - TblConstr[[#This Row],[Hom]] + TblConstr[[#This Row],[Dest Hom]]</f>
        <v>0</v>
      </c>
      <c r="CY123" s="142"/>
      <c r="CZ123" s="94">
        <f t="shared" ca="1" si="30"/>
        <v>30</v>
      </c>
      <c r="DA123" s="94">
        <f t="shared" ca="1" si="31"/>
        <v>20</v>
      </c>
      <c r="DB123" s="45">
        <f t="shared" ca="1" si="32"/>
        <v>0</v>
      </c>
      <c r="DC123" s="94">
        <f t="shared" ca="1" si="33"/>
        <v>0</v>
      </c>
      <c r="DD123" s="94">
        <f t="shared" ca="1" si="34"/>
        <v>0</v>
      </c>
      <c r="DE123" s="45">
        <f t="shared" ca="1" si="35"/>
        <v>0</v>
      </c>
      <c r="DF123" s="94">
        <f t="shared" ca="1" si="36"/>
        <v>0</v>
      </c>
      <c r="DG123" s="94" cm="1">
        <f t="array" aca="1" ref="DG123" ca="1">INDEX(TblConstr[[Total Plain]:[Total Water]],ROW()-ROW(TblConstr[#Headers]),MATCH("Total "&amp;home_land,TblConstr[[#Headers],[Total Plain]:[Total Water]],0))+TblConstr[[#This Row],[Homes]]</f>
        <v>30</v>
      </c>
      <c r="DH123" s="45">
        <f t="shared" ca="1" si="22"/>
        <v>0</v>
      </c>
      <c r="DI123" s="45">
        <f t="shared" ca="1" si="19"/>
        <v>0</v>
      </c>
      <c r="DJ123" s="45">
        <f t="shared" ca="1" si="20"/>
        <v>0</v>
      </c>
    </row>
    <row r="124" spans="1:114" x14ac:dyDescent="0.2">
      <c r="A124" s="175">
        <f>TblRezone[[#This Row],[Hour]]</f>
        <v>121</v>
      </c>
      <c r="B124" s="176">
        <f ca="1">SUM(TblConstr[[#This Row],[Plain]:[Water]])</f>
        <v>0</v>
      </c>
      <c r="C124" s="177">
        <f ca="1">SUM(TblConstr[[#This Row],[Tot Hom]:[Tot Doc]])</f>
        <v>50</v>
      </c>
      <c r="D124" s="177">
        <f t="shared" si="21"/>
        <v>0</v>
      </c>
      <c r="E124" s="178"/>
      <c r="F124" s="61">
        <f ca="1">TblConstr[[#This Row],[Barren]]+TblConstr[[#This Row],[Buildings]]+TblConstr[[#This Row],[Incoming]]</f>
        <v>50</v>
      </c>
      <c r="G124" s="187">
        <f ca="1">OFFSET(TblConstr[[#This Row],[Plain]],-1,0)+TblConstr[[#This Row],[Ch_Plain]]</f>
        <v>0</v>
      </c>
      <c r="H124" s="182">
        <f ca="1">OFFSET(TblConstr[[#This Row],[Forest]],-1,0)+TblConstr[[#This Row],[Ch_Forest]]</f>
        <v>0</v>
      </c>
      <c r="I124" s="359">
        <f ca="1">OFFSET(TblConstr[[#This Row],[Mountain]],-1,0)+TblConstr[[#This Row],[Ch_Mountain]]</f>
        <v>0</v>
      </c>
      <c r="J124" s="363">
        <f ca="1">OFFSET(TblConstr[[#This Row],[Hill]],-1,0)+TblConstr[[#This Row],[Ch_Hill]]</f>
        <v>0</v>
      </c>
      <c r="K124" s="367">
        <f ca="1">OFFSET(TblConstr[[#This Row],[Swamp]],-1,0)+TblConstr[[#This Row],[Ch_Swamp]]</f>
        <v>0</v>
      </c>
      <c r="L124" s="185">
        <f ca="1">OFFSET(TblConstr[[#This Row],[Cavern]],-1,0)+TblConstr[[#This Row],[Ch_Cavern]]</f>
        <v>0</v>
      </c>
      <c r="M124" s="186">
        <f ca="1">OFFSET(TblConstr[[#This Row],[Water]],-1,0)+TblConstr[[#This Row],[Ch_Water]]</f>
        <v>0</v>
      </c>
      <c r="N124" s="357">
        <f>TblRezone[[#This Row],[Hour]]</f>
        <v>121</v>
      </c>
      <c r="O124" s="179"/>
      <c r="P124" s="179"/>
      <c r="Q124" s="179"/>
      <c r="R124" s="179"/>
      <c r="S124" s="179"/>
      <c r="T124" s="179"/>
      <c r="U124" s="179"/>
      <c r="V124" s="179"/>
      <c r="W124" s="179"/>
      <c r="X124" s="179"/>
      <c r="Y124" s="179"/>
      <c r="Z124" s="179"/>
      <c r="AA124" s="179"/>
      <c r="AB124" s="179"/>
      <c r="AC124" s="179"/>
      <c r="AD124" s="179"/>
      <c r="AE124" s="179"/>
      <c r="AF124" s="179"/>
      <c r="AG124" s="179"/>
      <c r="AH124" s="53">
        <f ca="1">TblImps[[#This Row],[Time]]</f>
        <v>46324.999999999709</v>
      </c>
      <c r="AI124" s="180">
        <f ca="1">MIN(25%,(TblConstr[[#This Row],[Tot Fac]]+TblConstr[[#This Row],[Dest Fac]])/(TblConstr[[#This Row],[Land]]-TblExplore[[#This Row],[Land Bonus]]*20))</f>
        <v>0</v>
      </c>
      <c r="AJ124" s="180">
        <f ca="1">MIN(25%,(TblConstr[[#This Row],[Tot Fac]]+TblConstr[[#This Row],[Dest Fac]])/TblConstr[[#This Row],[Land]])</f>
        <v>0</v>
      </c>
      <c r="AK124" s="94">
        <f ca="1">TblProd[[#This Row],[Platinum]]</f>
        <v>208959</v>
      </c>
      <c r="AL124" s="94">
        <f ca="1">TblProd[[#This Row],[Lumber]]</f>
        <v>74551</v>
      </c>
      <c r="AM1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4" s="94">
        <f ca="1">ROUNDDOWN( MAX(1 - MIN(facs_constr_factor*TblConstr[[#This Row],[Facs -DB]],facs_constr_max) + tech_1_11*TblTech[[#This Row],[11-1]] + tech_6_3_2*TblTech[[#This Row],[6-3]] + tech_5_2_3*TblTech[[#This Row],[5-2]], 1-global_constr_cap) * TblConstr[[#This Row],[RCPA Lumber]],0)</f>
        <v>31</v>
      </c>
      <c r="AO1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4" s="94">
        <f ca="1">ROUNDDOWN( MAX(1 - MIN(facs_constr_factor*TblConstr[[#This Row],[Facs DB]],facs_constr_max) + tech_1_11*TblTech[[#This Row],[1-11]] + tech_6_3_2*TblTech[[#This Row],[6-3]] + tech_5_2_3*TblTech[[#This Row],[5-2]], 1-global_constr_cap) * ROUND((TblConstr[[#This Row],[Land]]-250)*0.285 + 87.5 + 0/4.25,0),0)</f>
        <v>31</v>
      </c>
      <c r="AQ124" s="45">
        <f ca="1">TblConstr[[#This Row],[build -db]]*TblConstr[[#This Row],[CPA Platinum -DB]] + TblConstr[[#This Row],[build db]]*TblConstr[[#This Row],[CPA Platinum DB]]</f>
        <v>0</v>
      </c>
      <c r="AR124" s="45">
        <f ca="1">TblConstr[[#This Row],[build -db]]*TblConstr[[#This Row],[CPA Lumber -DB]] + TblConstr[[#This Row],[build db]]*TblConstr[[#This Row],[CPA Lumber DB]]</f>
        <v>0</v>
      </c>
      <c r="AS124" s="94">
        <f ca="1">MIN(SUM(OFFSET(TblConstr[[#This Row],[Plain]:[Water]],-1,0))+SUM(TblConstr[[#This Row],[Dest Hom]:[Dest Doc]])+IF(TblConstr[[#This Row],[Hour]]&gt;12,SUM(OFFSET(TblExplore[[#This Row],[Plains Explore]:[Water Explore]],-12,0)),0),SUM(TblConstr[[#This Row],[Hom]:[Doc]]))</f>
        <v>0</v>
      </c>
      <c r="AT1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42"/>
      <c r="AV124" s="94">
        <f ca="1">ROUND((TblConstr[[#This Row],[Land]]-250 - IF(TblExplore[[#This Row],[Land Bonus]]&lt;&gt;0,20,0))*1.25 + 850 + 0,0)</f>
        <v>600</v>
      </c>
      <c r="AW124" s="94">
        <f ca="1">ROUND((TblConstr[[#This Row],[Land]]-250 - IF(TblExplore[[#This Row],[Land Bonus]]&lt;&gt;0,20,0))*0.285 + 87.5 + 0/4.25,0)</f>
        <v>31</v>
      </c>
      <c r="AX124" s="154"/>
      <c r="AY124" s="188" cm="1">
        <f t="array" aca="1" ref="AY124" ca="1">IF(TblConstr[[#This Row],[Hour]:[Hour]]&gt;12,OFFSET(TblConstr[[#This Row],[Hom]],-12,0),0)+OFFSET(TblConstr[[#This Row],[Tot Hom]],-1,0)-TblConstr[[#This Row],[Dest Hom]]</f>
        <v>0</v>
      </c>
      <c r="AZ124" s="189" cm="1">
        <f t="array" aca="1" ref="AZ124" ca="1">IF(TblConstr[[#This Row],[Hour]:[Hour]]&gt;12,OFFSET(TblConstr[[#This Row],[Alc]],-12,0),0)+OFFSET(TblConstr[[#This Row],[Tot Alc]],-1,0)-TblConstr[[#This Row],[Dest Alc]]</f>
        <v>0</v>
      </c>
      <c r="BA124" s="189" cm="1">
        <f t="array" aca="1" ref="BA124" ca="1">IF(TblConstr[[#This Row],[Hour]:[Hour]]&gt;12,OFFSET(TblConstr[[#This Row],[Far]],-12,0),0)+OFFSET(TblConstr[[#This Row],[Tot Farm]],-1,0)-TblConstr[[#This Row],[Dest Farm]]</f>
        <v>30</v>
      </c>
      <c r="BB124" s="189" cm="1">
        <f t="array" aca="1" ref="BB124" ca="1">IF(TblConstr[[#This Row],[Hour]:[Hour]]&gt;12,OFFSET(TblConstr[[#This Row],[Smi]],-12,0),0)+OFFSET(TblConstr[[#This Row],[Tot Smi]],-1,0)-TblConstr[[#This Row],[Dest Smi]]</f>
        <v>0</v>
      </c>
      <c r="BC124" s="189" cm="1">
        <f t="array" aca="1" ref="BC124" ca="1">IF(TblConstr[[#This Row],[Hour]:[Hour]]&gt;12,OFFSET(TblConstr[[#This Row],[Mas]],-12,0),0)+OFFSET(TblConstr[[#This Row],[Tot Mas]],-1,0)-TblConstr[[#This Row],[Dest Mas]]</f>
        <v>0</v>
      </c>
      <c r="BD124" s="190" cm="1">
        <f t="array" aca="1" ref="BD124" ca="1">IF(TblConstr[[#This Row],[Hour]:[Hour]]&gt;12,OFFSET(TblConstr[[#This Row],[Ly]],-12,0),0)+OFFSET(TblConstr[[#This Row],[Tot Ly]],-1,0)-TblConstr[[#This Row],[Dest Ly]]</f>
        <v>20</v>
      </c>
      <c r="BE124" s="190" cm="1">
        <f t="array" aca="1" ref="BE124" ca="1">IF(TblConstr[[#This Row],[Hour]:[Hour]]&gt;12,OFFSET(TblConstr[[#This Row],[Hav]],-12,0),0)+OFFSET(TblConstr[[#This Row],[Tot Hav]],-1,0)-TblConstr[[#This Row],[Dest Hav]]</f>
        <v>0</v>
      </c>
      <c r="BF124" s="361" cm="1">
        <f t="array" aca="1" ref="BF124" ca="1">IF(TblConstr[[#This Row],[Hour]:[Hour]]&gt;12,OFFSET(TblConstr[[#This Row],[OM]],-12,0),0)+OFFSET(TblConstr[[#This Row],[Tot OM]],-1,0)-TblConstr[[#This Row],[Dest OM]]</f>
        <v>0</v>
      </c>
      <c r="BG124" s="361" cm="1">
        <f t="array" aca="1" ref="BG124" ca="1">IF(TblConstr[[#This Row],[Hour]:[Hour]]&gt;12,OFFSET(TblConstr[[#This Row],[GN]],-12,0),0)+OFFSET(TblConstr[[#This Row],[Tot GN]],-1,0)-TblConstr[[#This Row],[Dest GN]]</f>
        <v>0</v>
      </c>
      <c r="BH124" s="365" cm="1">
        <f t="array" aca="1" ref="BH124" ca="1">IF(TblConstr[[#This Row],[Hour]:[Hour]]&gt;12,OFFSET(TblConstr[[#This Row],[Fac]],-12,0),0)+OFFSET(TblConstr[[#This Row],[Tot Fac]],-1,0)-TblConstr[[#This Row],[Dest Fac]]</f>
        <v>0</v>
      </c>
      <c r="BI124" s="365" cm="1">
        <f t="array" aca="1" ref="BI124" ca="1">IF(TblConstr[[#This Row],[Hour]:[Hour]]&gt;12,OFFSET(TblConstr[[#This Row],[GT]],-12,0),0)+OFFSET(TblConstr[[#This Row],[Tot GT]],-1,0)-TblConstr[[#This Row],[Dest GT]]</f>
        <v>0</v>
      </c>
      <c r="BJ124" s="365" cm="1">
        <f t="array" aca="1" ref="BJ124" ca="1">IF(TblConstr[[#This Row],[Hour]:[Hour]]&gt;12,OFFSET(TblConstr[[#This Row],[Bar]],-12,0),0)+OFFSET(TblConstr[[#This Row],[Tot Bar]],-1,0)-TblConstr[[#This Row],[Dest Bar]]</f>
        <v>0</v>
      </c>
      <c r="BK124" s="365" cm="1">
        <f t="array" aca="1" ref="BK124" ca="1">IF(TblConstr[[#This Row],[Hour]:[Hour]]&gt;12,OFFSET(TblConstr[[#This Row],[Shr]],-12,0),0)+OFFSET(TblConstr[[#This Row],[Tot Shr]],-1,0)-TblConstr[[#This Row],[Dest Shr]]</f>
        <v>0</v>
      </c>
      <c r="BL124" s="369" cm="1">
        <f t="array" aca="1" ref="BL124" ca="1">IF(TblConstr[[#This Row],[Hour]:[Hour]]&gt;12,OFFSET(TblConstr[[#This Row],[Tow]],-12,0),0)+OFFSET(TblConstr[[#This Row],[Tot Tow]],-1,0)-TblConstr[[#This Row],[Dest Tow]]</f>
        <v>0</v>
      </c>
      <c r="BM124" s="369" cm="1">
        <f t="array" aca="1" ref="BM124" ca="1">IF(TblConstr[[#This Row],[Hour]:[Hour]]&gt;12,OFFSET(TblConstr[[#This Row],[Tem]],-12,0),0)+OFFSET(TblConstr[[#This Row],[Tot Tem]],-1,0)-TblConstr[[#This Row],[Dest Tem]]</f>
        <v>0</v>
      </c>
      <c r="BN124" s="369" cm="1">
        <f t="array" aca="1" ref="BN124" ca="1">IF(TblConstr[[#This Row],[Hour]:[Hour]]&gt;12,OFFSET(TblConstr[[#This Row],[WG]],-12,0),0)+OFFSET(TblConstr[[#This Row],[Tot WG]],-1,0)-TblConstr[[#This Row],[Dest WG]]</f>
        <v>0</v>
      </c>
      <c r="BO124" s="191" cm="1">
        <f t="array" aca="1" ref="BO124" ca="1">IF(TblConstr[[#This Row],[Hour]:[Hour]]&gt;12,OFFSET(TblConstr[[#This Row],[DM]],-12,0),0)+OFFSET(TblConstr[[#This Row],[Tot DM]],-1,0)-TblConstr[[#This Row],[Dest DM]]</f>
        <v>0</v>
      </c>
      <c r="BP124" s="191" cm="1">
        <f t="array" aca="1" ref="BP124" ca="1">IF(TblConstr[[#This Row],[Hour]:[Hour]]&gt;12,OFFSET(TblConstr[[#This Row],[Sch]],-12,0),0)+OFFSET(TblConstr[[#This Row],[Tot Sch]],-1,0)-TblConstr[[#This Row],[Dest Sch]]</f>
        <v>0</v>
      </c>
      <c r="BQ124" s="192" cm="1">
        <f t="array" aca="1" ref="BQ124" ca="1">IF(TblConstr[[#This Row],[Hour]:[Hour]]&gt;12,OFFSET(TblConstr[[#This Row],[Doc]],-12,0),0)+OFFSET(TblConstr[[#This Row],[Tot Doc]],-1,0)-TblConstr[[#This Row],[Dest Doc]]</f>
        <v>0</v>
      </c>
      <c r="BR124" s="142"/>
      <c r="BS124" s="154"/>
      <c r="BT124" s="94">
        <f ca="1">TblConstr[[#This Row],[Land]]</f>
        <v>50</v>
      </c>
      <c r="BU124" s="159">
        <f ca="1">TblImps[[#This Row],[Time]]</f>
        <v>46324.999999999709</v>
      </c>
      <c r="BV124" s="142"/>
      <c r="BW124" s="179"/>
      <c r="BX124" s="179"/>
      <c r="BY124" s="179"/>
      <c r="BZ124" s="179"/>
      <c r="CA124" s="179"/>
      <c r="CB124" s="179"/>
      <c r="CC124" s="179"/>
      <c r="CD124" s="179"/>
      <c r="CE124" s="179"/>
      <c r="CF124" s="179"/>
      <c r="CG124" s="179"/>
      <c r="CH124" s="179"/>
      <c r="CI124" s="179"/>
      <c r="CJ124" s="179"/>
      <c r="CK124" s="179"/>
      <c r="CL124" s="179"/>
      <c r="CM124" s="179"/>
      <c r="CN124" s="179"/>
      <c r="CO124" s="179"/>
      <c r="CP124" s="142"/>
      <c r="CQ124" s="181">
        <f ca="1">-SUM(TblConstr[[#This Row],[Alc]:[Mas]])+SUM(TblConstr[[#This Row],[Dest Alc]:[Dest Mas]])+Rezone!L124+IF("Ch_"&amp; home_land=TblConstr[[#Headers],[Ch_Plain]],TblConstr[[#This Row],[Home Land]])+IF(TblConstr[[#This Row],[Hour]:[Hour]]&gt;12,OFFSET(TblExplore[[#This Row],[Plains Explore]],-12,0),0)</f>
        <v>0</v>
      </c>
      <c r="CR124" s="182">
        <f ca="1">-SUM(TblConstr[[#This Row],[Ly]:[Hav]])+SUM(TblConstr[[#This Row],[Dest Ly]:[Dest Hav]]) +Rezone!M124 + IF("Ch_"&amp; home_land=TblConstr[[#Headers],[Ch_Forest]],TblConstr[[#This Row],[Home Land]])+IF(TblConstr[[#This Row],[Hour]:[Hour]]&gt;12,OFFSET(TblExplore[[#This Row],[Forest Explore]],-12,0),0)</f>
        <v>0</v>
      </c>
      <c r="CS124" s="359">
        <f ca="1">-SUM(TblConstr[[#This Row],[OM]:[GN]])+SUM(TblConstr[[#This Row],[Dest OM]:[Dest GN]]) +Rezone!N124 + IF("Ch_"&amp; home_land=TblConstr[[#Headers],[Ch_Mountain]],TblConstr[[#This Row],[Home Land]])+IF(TblConstr[[#This Row],[Hour]:[Hour]]&gt;12,OFFSET(TblExplore[[#This Row],[Mountain Explore]],-12,0),0)</f>
        <v>0</v>
      </c>
      <c r="CT124" s="183">
        <f ca="1">-SUM(TblConstr[[#This Row],[Fac]:[Shr]])+SUM(TblConstr[[#This Row],[Dest Fac]:[Dest Shr]]) +Rezone!O124 + IF("Ch_" &amp; home_land=TblConstr[[#Headers],[Ch_Hill]],TblConstr[[#This Row],[Home Land]])+IF(TblConstr[[#This Row],[Hour]:[Hour]]&gt;12,OFFSET(TblExplore[[#This Row],[Hill Explore]],-12,0),0)</f>
        <v>0</v>
      </c>
      <c r="CU124" s="184">
        <f ca="1">-SUM(TblConstr[[#This Row],[Tow]:[WG]])+SUM(TblConstr[[#This Row],[Dest Tow]:[Dest WG]]) +Rezone!P124 + IF("Ch_" &amp; home_land=TblConstr[[#Headers],[Ch_Swamp]],TblConstr[[#This Row],[Home Land]])+IF(TblConstr[[#This Row],[Hour]:[Hour]]&gt;12,OFFSET(TblExplore[[#This Row],[Swamp Explore]],-12,0),0)</f>
        <v>0</v>
      </c>
      <c r="CV124" s="185">
        <f ca="1" xml:space="preserve"> - SUM(TblConstr[[#This Row],[DM]:[Sch]])+SUM(TblConstr[[#This Row],[Dest DM]:[Dest Sch]]) +Rezone!Q124 + IF("Ch_" &amp; home_land=TblConstr[[#Headers],[Ch_Cavern]],TblConstr[[#This Row],[Home Land]])+IF(TblConstr[[#This Row],[Hour]:[Hour]]&gt;12,OFFSET(TblExplore[[#This Row],[Cavern Explore]],-12,0),0)</f>
        <v>0</v>
      </c>
      <c r="CW124" s="186">
        <f ca="1">-TblConstr[[#This Row],[Doc]]+TblConstr[[#This Row],[Dest Doc]] +Rezone!R124 + IF("Ch_" &amp; home_land=TblConstr[[#Headers],[Ch_Water]],TblConstr[[#This Row],[Home Land]])+IF(TblConstr[[#This Row],[Hour]:[Hour]]&gt;12,OFFSET(TblExplore[[#This Row],[Water Explore]],-12,0),0)</f>
        <v>0</v>
      </c>
      <c r="CX124" s="45">
        <f>IF(Explore!S124=1,20) - TblConstr[[#This Row],[Hom]] + TblConstr[[#This Row],[Dest Hom]]</f>
        <v>0</v>
      </c>
      <c r="CY124" s="142"/>
      <c r="CZ124" s="94">
        <f t="shared" ca="1" si="30"/>
        <v>30</v>
      </c>
      <c r="DA124" s="94">
        <f t="shared" ca="1" si="31"/>
        <v>20</v>
      </c>
      <c r="DB124" s="45">
        <f t="shared" ca="1" si="32"/>
        <v>0</v>
      </c>
      <c r="DC124" s="94">
        <f t="shared" ca="1" si="33"/>
        <v>0</v>
      </c>
      <c r="DD124" s="94">
        <f t="shared" ca="1" si="34"/>
        <v>0</v>
      </c>
      <c r="DE124" s="45">
        <f t="shared" ca="1" si="35"/>
        <v>0</v>
      </c>
      <c r="DF124" s="94">
        <f t="shared" ca="1" si="36"/>
        <v>0</v>
      </c>
      <c r="DG124" s="94" cm="1">
        <f t="array" aca="1" ref="DG124" ca="1">INDEX(TblConstr[[Total Plain]:[Total Water]],ROW()-ROW(TblConstr[#Headers]),MATCH("Total "&amp;home_land,TblConstr[[#Headers],[Total Plain]:[Total Water]],0))+TblConstr[[#This Row],[Homes]]</f>
        <v>30</v>
      </c>
      <c r="DH124" s="45">
        <f t="shared" ca="1" si="22"/>
        <v>0</v>
      </c>
      <c r="DI124" s="45">
        <f t="shared" ca="1" si="19"/>
        <v>0</v>
      </c>
      <c r="DJ124" s="45">
        <f t="shared" ca="1" si="20"/>
        <v>0</v>
      </c>
    </row>
    <row r="125" spans="1:114" x14ac:dyDescent="0.2">
      <c r="A125" s="175">
        <f>TblRezone[[#This Row],[Hour]]</f>
        <v>122</v>
      </c>
      <c r="B125" s="176">
        <f ca="1">SUM(TblConstr[[#This Row],[Plain]:[Water]])</f>
        <v>0</v>
      </c>
      <c r="C125" s="177">
        <f ca="1">SUM(TblConstr[[#This Row],[Tot Hom]:[Tot Doc]])</f>
        <v>50</v>
      </c>
      <c r="D125" s="177">
        <f t="shared" si="21"/>
        <v>0</v>
      </c>
      <c r="E125" s="178"/>
      <c r="F125" s="61">
        <f ca="1">TblConstr[[#This Row],[Barren]]+TblConstr[[#This Row],[Buildings]]+TblConstr[[#This Row],[Incoming]]</f>
        <v>50</v>
      </c>
      <c r="G125" s="187">
        <f ca="1">OFFSET(TblConstr[[#This Row],[Plain]],-1,0)+TblConstr[[#This Row],[Ch_Plain]]</f>
        <v>0</v>
      </c>
      <c r="H125" s="182">
        <f ca="1">OFFSET(TblConstr[[#This Row],[Forest]],-1,0)+TblConstr[[#This Row],[Ch_Forest]]</f>
        <v>0</v>
      </c>
      <c r="I125" s="359">
        <f ca="1">OFFSET(TblConstr[[#This Row],[Mountain]],-1,0)+TblConstr[[#This Row],[Ch_Mountain]]</f>
        <v>0</v>
      </c>
      <c r="J125" s="363">
        <f ca="1">OFFSET(TblConstr[[#This Row],[Hill]],-1,0)+TblConstr[[#This Row],[Ch_Hill]]</f>
        <v>0</v>
      </c>
      <c r="K125" s="367">
        <f ca="1">OFFSET(TblConstr[[#This Row],[Swamp]],-1,0)+TblConstr[[#This Row],[Ch_Swamp]]</f>
        <v>0</v>
      </c>
      <c r="L125" s="185">
        <f ca="1">OFFSET(TblConstr[[#This Row],[Cavern]],-1,0)+TblConstr[[#This Row],[Ch_Cavern]]</f>
        <v>0</v>
      </c>
      <c r="M125" s="186">
        <f ca="1">OFFSET(TblConstr[[#This Row],[Water]],-1,0)+TblConstr[[#This Row],[Ch_Water]]</f>
        <v>0</v>
      </c>
      <c r="N125" s="357">
        <f>TblRezone[[#This Row],[Hour]]</f>
        <v>122</v>
      </c>
      <c r="O125" s="179"/>
      <c r="P125" s="179"/>
      <c r="Q125" s="179"/>
      <c r="R125" s="179"/>
      <c r="S125" s="179"/>
      <c r="T125" s="179"/>
      <c r="U125" s="179"/>
      <c r="V125" s="179"/>
      <c r="W125" s="179"/>
      <c r="X125" s="179"/>
      <c r="Y125" s="179"/>
      <c r="Z125" s="179"/>
      <c r="AA125" s="179"/>
      <c r="AB125" s="179"/>
      <c r="AC125" s="179"/>
      <c r="AD125" s="179"/>
      <c r="AE125" s="179"/>
      <c r="AF125" s="179"/>
      <c r="AG125" s="179"/>
      <c r="AH125" s="53">
        <f ca="1">TblImps[[#This Row],[Time]]</f>
        <v>46325.041666666373</v>
      </c>
      <c r="AI125" s="180">
        <f ca="1">MIN(25%,(TblConstr[[#This Row],[Tot Fac]]+TblConstr[[#This Row],[Dest Fac]])/(TblConstr[[#This Row],[Land]]-TblExplore[[#This Row],[Land Bonus]]*20))</f>
        <v>0</v>
      </c>
      <c r="AJ125" s="180">
        <f ca="1">MIN(25%,(TblConstr[[#This Row],[Tot Fac]]+TblConstr[[#This Row],[Dest Fac]])/TblConstr[[#This Row],[Land]])</f>
        <v>0</v>
      </c>
      <c r="AK125" s="94">
        <f ca="1">TblProd[[#This Row],[Platinum]]</f>
        <v>209339</v>
      </c>
      <c r="AL125" s="94">
        <f ca="1">TblProd[[#This Row],[Lumber]]</f>
        <v>74805</v>
      </c>
      <c r="AM1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5" s="94">
        <f ca="1">ROUNDDOWN( MAX(1 - MIN(facs_constr_factor*TblConstr[[#This Row],[Facs -DB]],facs_constr_max) + tech_1_11*TblTech[[#This Row],[11-1]] + tech_6_3_2*TblTech[[#This Row],[6-3]] + tech_5_2_3*TblTech[[#This Row],[5-2]], 1-global_constr_cap) * TblConstr[[#This Row],[RCPA Lumber]],0)</f>
        <v>31</v>
      </c>
      <c r="AO1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5" s="94">
        <f ca="1">ROUNDDOWN( MAX(1 - MIN(facs_constr_factor*TblConstr[[#This Row],[Facs DB]],facs_constr_max) + tech_1_11*TblTech[[#This Row],[1-11]] + tech_6_3_2*TblTech[[#This Row],[6-3]] + tech_5_2_3*TblTech[[#This Row],[5-2]], 1-global_constr_cap) * ROUND((TblConstr[[#This Row],[Land]]-250)*0.285 + 87.5 + 0/4.25,0),0)</f>
        <v>31</v>
      </c>
      <c r="AQ125" s="45">
        <f ca="1">TblConstr[[#This Row],[build -db]]*TblConstr[[#This Row],[CPA Platinum -DB]] + TblConstr[[#This Row],[build db]]*TblConstr[[#This Row],[CPA Platinum DB]]</f>
        <v>0</v>
      </c>
      <c r="AR125" s="45">
        <f ca="1">TblConstr[[#This Row],[build -db]]*TblConstr[[#This Row],[CPA Lumber -DB]] + TblConstr[[#This Row],[build db]]*TblConstr[[#This Row],[CPA Lumber DB]]</f>
        <v>0</v>
      </c>
      <c r="AS125" s="94">
        <f ca="1">MIN(SUM(OFFSET(TblConstr[[#This Row],[Plain]:[Water]],-1,0))+SUM(TblConstr[[#This Row],[Dest Hom]:[Dest Doc]])+IF(TblConstr[[#This Row],[Hour]]&gt;12,SUM(OFFSET(TblExplore[[#This Row],[Plains Explore]:[Water Explore]],-12,0)),0),SUM(TblConstr[[#This Row],[Hom]:[Doc]]))</f>
        <v>0</v>
      </c>
      <c r="AT1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42"/>
      <c r="AV125" s="94">
        <f ca="1">ROUND((TblConstr[[#This Row],[Land]]-250 - IF(TblExplore[[#This Row],[Land Bonus]]&lt;&gt;0,20,0))*1.25 + 850 + 0,0)</f>
        <v>600</v>
      </c>
      <c r="AW125" s="94">
        <f ca="1">ROUND((TblConstr[[#This Row],[Land]]-250 - IF(TblExplore[[#This Row],[Land Bonus]]&lt;&gt;0,20,0))*0.285 + 87.5 + 0/4.25,0)</f>
        <v>31</v>
      </c>
      <c r="AX125" s="154"/>
      <c r="AY125" s="188" cm="1">
        <f t="array" aca="1" ref="AY125" ca="1">IF(TblConstr[[#This Row],[Hour]:[Hour]]&gt;12,OFFSET(TblConstr[[#This Row],[Hom]],-12,0),0)+OFFSET(TblConstr[[#This Row],[Tot Hom]],-1,0)-TblConstr[[#This Row],[Dest Hom]]</f>
        <v>0</v>
      </c>
      <c r="AZ125" s="189" cm="1">
        <f t="array" aca="1" ref="AZ125" ca="1">IF(TblConstr[[#This Row],[Hour]:[Hour]]&gt;12,OFFSET(TblConstr[[#This Row],[Alc]],-12,0),0)+OFFSET(TblConstr[[#This Row],[Tot Alc]],-1,0)-TblConstr[[#This Row],[Dest Alc]]</f>
        <v>0</v>
      </c>
      <c r="BA125" s="189" cm="1">
        <f t="array" aca="1" ref="BA125" ca="1">IF(TblConstr[[#This Row],[Hour]:[Hour]]&gt;12,OFFSET(TblConstr[[#This Row],[Far]],-12,0),0)+OFFSET(TblConstr[[#This Row],[Tot Farm]],-1,0)-TblConstr[[#This Row],[Dest Farm]]</f>
        <v>30</v>
      </c>
      <c r="BB125" s="189" cm="1">
        <f t="array" aca="1" ref="BB125" ca="1">IF(TblConstr[[#This Row],[Hour]:[Hour]]&gt;12,OFFSET(TblConstr[[#This Row],[Smi]],-12,0),0)+OFFSET(TblConstr[[#This Row],[Tot Smi]],-1,0)-TblConstr[[#This Row],[Dest Smi]]</f>
        <v>0</v>
      </c>
      <c r="BC125" s="189" cm="1">
        <f t="array" aca="1" ref="BC125" ca="1">IF(TblConstr[[#This Row],[Hour]:[Hour]]&gt;12,OFFSET(TblConstr[[#This Row],[Mas]],-12,0),0)+OFFSET(TblConstr[[#This Row],[Tot Mas]],-1,0)-TblConstr[[#This Row],[Dest Mas]]</f>
        <v>0</v>
      </c>
      <c r="BD125" s="190" cm="1">
        <f t="array" aca="1" ref="BD125" ca="1">IF(TblConstr[[#This Row],[Hour]:[Hour]]&gt;12,OFFSET(TblConstr[[#This Row],[Ly]],-12,0),0)+OFFSET(TblConstr[[#This Row],[Tot Ly]],-1,0)-TblConstr[[#This Row],[Dest Ly]]</f>
        <v>20</v>
      </c>
      <c r="BE125" s="190" cm="1">
        <f t="array" aca="1" ref="BE125" ca="1">IF(TblConstr[[#This Row],[Hour]:[Hour]]&gt;12,OFFSET(TblConstr[[#This Row],[Hav]],-12,0),0)+OFFSET(TblConstr[[#This Row],[Tot Hav]],-1,0)-TblConstr[[#This Row],[Dest Hav]]</f>
        <v>0</v>
      </c>
      <c r="BF125" s="361" cm="1">
        <f t="array" aca="1" ref="BF125" ca="1">IF(TblConstr[[#This Row],[Hour]:[Hour]]&gt;12,OFFSET(TblConstr[[#This Row],[OM]],-12,0),0)+OFFSET(TblConstr[[#This Row],[Tot OM]],-1,0)-TblConstr[[#This Row],[Dest OM]]</f>
        <v>0</v>
      </c>
      <c r="BG125" s="361" cm="1">
        <f t="array" aca="1" ref="BG125" ca="1">IF(TblConstr[[#This Row],[Hour]:[Hour]]&gt;12,OFFSET(TblConstr[[#This Row],[GN]],-12,0),0)+OFFSET(TblConstr[[#This Row],[Tot GN]],-1,0)-TblConstr[[#This Row],[Dest GN]]</f>
        <v>0</v>
      </c>
      <c r="BH125" s="365" cm="1">
        <f t="array" aca="1" ref="BH125" ca="1">IF(TblConstr[[#This Row],[Hour]:[Hour]]&gt;12,OFFSET(TblConstr[[#This Row],[Fac]],-12,0),0)+OFFSET(TblConstr[[#This Row],[Tot Fac]],-1,0)-TblConstr[[#This Row],[Dest Fac]]</f>
        <v>0</v>
      </c>
      <c r="BI125" s="365" cm="1">
        <f t="array" aca="1" ref="BI125" ca="1">IF(TblConstr[[#This Row],[Hour]:[Hour]]&gt;12,OFFSET(TblConstr[[#This Row],[GT]],-12,0),0)+OFFSET(TblConstr[[#This Row],[Tot GT]],-1,0)-TblConstr[[#This Row],[Dest GT]]</f>
        <v>0</v>
      </c>
      <c r="BJ125" s="365" cm="1">
        <f t="array" aca="1" ref="BJ125" ca="1">IF(TblConstr[[#This Row],[Hour]:[Hour]]&gt;12,OFFSET(TblConstr[[#This Row],[Bar]],-12,0),0)+OFFSET(TblConstr[[#This Row],[Tot Bar]],-1,0)-TblConstr[[#This Row],[Dest Bar]]</f>
        <v>0</v>
      </c>
      <c r="BK125" s="365" cm="1">
        <f t="array" aca="1" ref="BK125" ca="1">IF(TblConstr[[#This Row],[Hour]:[Hour]]&gt;12,OFFSET(TblConstr[[#This Row],[Shr]],-12,0),0)+OFFSET(TblConstr[[#This Row],[Tot Shr]],-1,0)-TblConstr[[#This Row],[Dest Shr]]</f>
        <v>0</v>
      </c>
      <c r="BL125" s="369" cm="1">
        <f t="array" aca="1" ref="BL125" ca="1">IF(TblConstr[[#This Row],[Hour]:[Hour]]&gt;12,OFFSET(TblConstr[[#This Row],[Tow]],-12,0),0)+OFFSET(TblConstr[[#This Row],[Tot Tow]],-1,0)-TblConstr[[#This Row],[Dest Tow]]</f>
        <v>0</v>
      </c>
      <c r="BM125" s="369" cm="1">
        <f t="array" aca="1" ref="BM125" ca="1">IF(TblConstr[[#This Row],[Hour]:[Hour]]&gt;12,OFFSET(TblConstr[[#This Row],[Tem]],-12,0),0)+OFFSET(TblConstr[[#This Row],[Tot Tem]],-1,0)-TblConstr[[#This Row],[Dest Tem]]</f>
        <v>0</v>
      </c>
      <c r="BN125" s="369" cm="1">
        <f t="array" aca="1" ref="BN125" ca="1">IF(TblConstr[[#This Row],[Hour]:[Hour]]&gt;12,OFFSET(TblConstr[[#This Row],[WG]],-12,0),0)+OFFSET(TblConstr[[#This Row],[Tot WG]],-1,0)-TblConstr[[#This Row],[Dest WG]]</f>
        <v>0</v>
      </c>
      <c r="BO125" s="191" cm="1">
        <f t="array" aca="1" ref="BO125" ca="1">IF(TblConstr[[#This Row],[Hour]:[Hour]]&gt;12,OFFSET(TblConstr[[#This Row],[DM]],-12,0),0)+OFFSET(TblConstr[[#This Row],[Tot DM]],-1,0)-TblConstr[[#This Row],[Dest DM]]</f>
        <v>0</v>
      </c>
      <c r="BP125" s="191" cm="1">
        <f t="array" aca="1" ref="BP125" ca="1">IF(TblConstr[[#This Row],[Hour]:[Hour]]&gt;12,OFFSET(TblConstr[[#This Row],[Sch]],-12,0),0)+OFFSET(TblConstr[[#This Row],[Tot Sch]],-1,0)-TblConstr[[#This Row],[Dest Sch]]</f>
        <v>0</v>
      </c>
      <c r="BQ125" s="192" cm="1">
        <f t="array" aca="1" ref="BQ125" ca="1">IF(TblConstr[[#This Row],[Hour]:[Hour]]&gt;12,OFFSET(TblConstr[[#This Row],[Doc]],-12,0),0)+OFFSET(TblConstr[[#This Row],[Tot Doc]],-1,0)-TblConstr[[#This Row],[Dest Doc]]</f>
        <v>0</v>
      </c>
      <c r="BR125" s="142"/>
      <c r="BS125" s="154"/>
      <c r="BT125" s="94">
        <f ca="1">TblConstr[[#This Row],[Land]]</f>
        <v>50</v>
      </c>
      <c r="BU125" s="159">
        <f ca="1">TblImps[[#This Row],[Time]]</f>
        <v>46325.041666666373</v>
      </c>
      <c r="BV125" s="142"/>
      <c r="BW125" s="179"/>
      <c r="BX125" s="179"/>
      <c r="BY125" s="179"/>
      <c r="BZ125" s="179"/>
      <c r="CA125" s="179"/>
      <c r="CB125" s="179"/>
      <c r="CC125" s="179"/>
      <c r="CD125" s="179"/>
      <c r="CE125" s="179"/>
      <c r="CF125" s="179"/>
      <c r="CG125" s="179"/>
      <c r="CH125" s="179"/>
      <c r="CI125" s="179"/>
      <c r="CJ125" s="179"/>
      <c r="CK125" s="179"/>
      <c r="CL125" s="179"/>
      <c r="CM125" s="179"/>
      <c r="CN125" s="179"/>
      <c r="CO125" s="179"/>
      <c r="CP125" s="142"/>
      <c r="CQ125" s="181">
        <f ca="1">-SUM(TblConstr[[#This Row],[Alc]:[Mas]])+SUM(TblConstr[[#This Row],[Dest Alc]:[Dest Mas]])+Rezone!L125+IF("Ch_"&amp; home_land=TblConstr[[#Headers],[Ch_Plain]],TblConstr[[#This Row],[Home Land]])+IF(TblConstr[[#This Row],[Hour]:[Hour]]&gt;12,OFFSET(TblExplore[[#This Row],[Plains Explore]],-12,0),0)</f>
        <v>0</v>
      </c>
      <c r="CR125" s="182">
        <f ca="1">-SUM(TblConstr[[#This Row],[Ly]:[Hav]])+SUM(TblConstr[[#This Row],[Dest Ly]:[Dest Hav]]) +Rezone!M125 + IF("Ch_"&amp; home_land=TblConstr[[#Headers],[Ch_Forest]],TblConstr[[#This Row],[Home Land]])+IF(TblConstr[[#This Row],[Hour]:[Hour]]&gt;12,OFFSET(TblExplore[[#This Row],[Forest Explore]],-12,0),0)</f>
        <v>0</v>
      </c>
      <c r="CS125" s="359">
        <f ca="1">-SUM(TblConstr[[#This Row],[OM]:[GN]])+SUM(TblConstr[[#This Row],[Dest OM]:[Dest GN]]) +Rezone!N125 + IF("Ch_"&amp; home_land=TblConstr[[#Headers],[Ch_Mountain]],TblConstr[[#This Row],[Home Land]])+IF(TblConstr[[#This Row],[Hour]:[Hour]]&gt;12,OFFSET(TblExplore[[#This Row],[Mountain Explore]],-12,0),0)</f>
        <v>0</v>
      </c>
      <c r="CT125" s="183">
        <f ca="1">-SUM(TblConstr[[#This Row],[Fac]:[Shr]])+SUM(TblConstr[[#This Row],[Dest Fac]:[Dest Shr]]) +Rezone!O125 + IF("Ch_" &amp; home_land=TblConstr[[#Headers],[Ch_Hill]],TblConstr[[#This Row],[Home Land]])+IF(TblConstr[[#This Row],[Hour]:[Hour]]&gt;12,OFFSET(TblExplore[[#This Row],[Hill Explore]],-12,0),0)</f>
        <v>0</v>
      </c>
      <c r="CU125" s="184">
        <f ca="1">-SUM(TblConstr[[#This Row],[Tow]:[WG]])+SUM(TblConstr[[#This Row],[Dest Tow]:[Dest WG]]) +Rezone!P125 + IF("Ch_" &amp; home_land=TblConstr[[#Headers],[Ch_Swamp]],TblConstr[[#This Row],[Home Land]])+IF(TblConstr[[#This Row],[Hour]:[Hour]]&gt;12,OFFSET(TblExplore[[#This Row],[Swamp Explore]],-12,0),0)</f>
        <v>0</v>
      </c>
      <c r="CV125" s="185">
        <f ca="1" xml:space="preserve"> - SUM(TblConstr[[#This Row],[DM]:[Sch]])+SUM(TblConstr[[#This Row],[Dest DM]:[Dest Sch]]) +Rezone!Q125 + IF("Ch_" &amp; home_land=TblConstr[[#Headers],[Ch_Cavern]],TblConstr[[#This Row],[Home Land]])+IF(TblConstr[[#This Row],[Hour]:[Hour]]&gt;12,OFFSET(TblExplore[[#This Row],[Cavern Explore]],-12,0),0)</f>
        <v>0</v>
      </c>
      <c r="CW125" s="186">
        <f ca="1">-TblConstr[[#This Row],[Doc]]+TblConstr[[#This Row],[Dest Doc]] +Rezone!R125 + IF("Ch_" &amp; home_land=TblConstr[[#Headers],[Ch_Water]],TblConstr[[#This Row],[Home Land]])+IF(TblConstr[[#This Row],[Hour]:[Hour]]&gt;12,OFFSET(TblExplore[[#This Row],[Water Explore]],-12,0),0)</f>
        <v>0</v>
      </c>
      <c r="CX125" s="45">
        <f>IF(Explore!S125=1,20) - TblConstr[[#This Row],[Hom]] + TblConstr[[#This Row],[Dest Hom]]</f>
        <v>0</v>
      </c>
      <c r="CY125" s="142"/>
      <c r="CZ125" s="94">
        <f t="shared" ca="1" si="30"/>
        <v>30</v>
      </c>
      <c r="DA125" s="94">
        <f t="shared" ca="1" si="31"/>
        <v>20</v>
      </c>
      <c r="DB125" s="45">
        <f t="shared" ca="1" si="32"/>
        <v>0</v>
      </c>
      <c r="DC125" s="94">
        <f t="shared" ca="1" si="33"/>
        <v>0</v>
      </c>
      <c r="DD125" s="94">
        <f t="shared" ca="1" si="34"/>
        <v>0</v>
      </c>
      <c r="DE125" s="45">
        <f t="shared" ca="1" si="35"/>
        <v>0</v>
      </c>
      <c r="DF125" s="94">
        <f t="shared" ca="1" si="36"/>
        <v>0</v>
      </c>
      <c r="DG125" s="94" cm="1">
        <f t="array" aca="1" ref="DG125" ca="1">INDEX(TblConstr[[Total Plain]:[Total Water]],ROW()-ROW(TblConstr[#Headers]),MATCH("Total "&amp;home_land,TblConstr[[#Headers],[Total Plain]:[Total Water]],0))+TblConstr[[#This Row],[Homes]]</f>
        <v>30</v>
      </c>
      <c r="DH125" s="45">
        <f t="shared" ca="1" si="22"/>
        <v>0</v>
      </c>
      <c r="DI125" s="45">
        <f t="shared" ca="1" si="19"/>
        <v>0</v>
      </c>
      <c r="DJ125" s="45">
        <f t="shared" ca="1" si="20"/>
        <v>0</v>
      </c>
    </row>
    <row r="126" spans="1:114" x14ac:dyDescent="0.2">
      <c r="A126" s="175">
        <f>TblRezone[[#This Row],[Hour]]</f>
        <v>123</v>
      </c>
      <c r="B126" s="176">
        <f ca="1">SUM(TblConstr[[#This Row],[Plain]:[Water]])</f>
        <v>0</v>
      </c>
      <c r="C126" s="177">
        <f ca="1">SUM(TblConstr[[#This Row],[Tot Hom]:[Tot Doc]])</f>
        <v>50</v>
      </c>
      <c r="D126" s="177">
        <f t="shared" si="21"/>
        <v>0</v>
      </c>
      <c r="E126" s="178"/>
      <c r="F126" s="61">
        <f ca="1">TblConstr[[#This Row],[Barren]]+TblConstr[[#This Row],[Buildings]]+TblConstr[[#This Row],[Incoming]]</f>
        <v>50</v>
      </c>
      <c r="G126" s="187">
        <f ca="1">OFFSET(TblConstr[[#This Row],[Plain]],-1,0)+TblConstr[[#This Row],[Ch_Plain]]</f>
        <v>0</v>
      </c>
      <c r="H126" s="182">
        <f ca="1">OFFSET(TblConstr[[#This Row],[Forest]],-1,0)+TblConstr[[#This Row],[Ch_Forest]]</f>
        <v>0</v>
      </c>
      <c r="I126" s="359">
        <f ca="1">OFFSET(TblConstr[[#This Row],[Mountain]],-1,0)+TblConstr[[#This Row],[Ch_Mountain]]</f>
        <v>0</v>
      </c>
      <c r="J126" s="363">
        <f ca="1">OFFSET(TblConstr[[#This Row],[Hill]],-1,0)+TblConstr[[#This Row],[Ch_Hill]]</f>
        <v>0</v>
      </c>
      <c r="K126" s="367">
        <f ca="1">OFFSET(TblConstr[[#This Row],[Swamp]],-1,0)+TblConstr[[#This Row],[Ch_Swamp]]</f>
        <v>0</v>
      </c>
      <c r="L126" s="185">
        <f ca="1">OFFSET(TblConstr[[#This Row],[Cavern]],-1,0)+TblConstr[[#This Row],[Ch_Cavern]]</f>
        <v>0</v>
      </c>
      <c r="M126" s="186">
        <f ca="1">OFFSET(TblConstr[[#This Row],[Water]],-1,0)+TblConstr[[#This Row],[Ch_Water]]</f>
        <v>0</v>
      </c>
      <c r="N126" s="357">
        <f>TblRezone[[#This Row],[Hour]]</f>
        <v>123</v>
      </c>
      <c r="O126" s="179"/>
      <c r="P126" s="179"/>
      <c r="Q126" s="179"/>
      <c r="R126" s="179"/>
      <c r="S126" s="179"/>
      <c r="T126" s="179"/>
      <c r="U126" s="179"/>
      <c r="V126" s="179"/>
      <c r="W126" s="179"/>
      <c r="X126" s="179"/>
      <c r="Y126" s="179"/>
      <c r="Z126" s="179"/>
      <c r="AA126" s="179"/>
      <c r="AB126" s="179"/>
      <c r="AC126" s="179"/>
      <c r="AD126" s="179"/>
      <c r="AE126" s="179"/>
      <c r="AF126" s="179"/>
      <c r="AG126" s="179"/>
      <c r="AH126" s="53">
        <f ca="1">TblImps[[#This Row],[Time]]</f>
        <v>46325.083333333037</v>
      </c>
      <c r="AI126" s="180">
        <f ca="1">MIN(25%,(TblConstr[[#This Row],[Tot Fac]]+TblConstr[[#This Row],[Dest Fac]])/(TblConstr[[#This Row],[Land]]-TblExplore[[#This Row],[Land Bonus]]*20))</f>
        <v>0</v>
      </c>
      <c r="AJ126" s="180">
        <f ca="1">MIN(25%,(TblConstr[[#This Row],[Tot Fac]]+TblConstr[[#This Row],[Dest Fac]])/TblConstr[[#This Row],[Land]])</f>
        <v>0</v>
      </c>
      <c r="AK126" s="94">
        <f ca="1">TblProd[[#This Row],[Platinum]]</f>
        <v>209717</v>
      </c>
      <c r="AL126" s="94">
        <f ca="1">TblProd[[#This Row],[Lumber]]</f>
        <v>75057</v>
      </c>
      <c r="AM1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6" s="94">
        <f ca="1">ROUNDDOWN( MAX(1 - MIN(facs_constr_factor*TblConstr[[#This Row],[Facs -DB]],facs_constr_max) + tech_1_11*TblTech[[#This Row],[11-1]] + tech_6_3_2*TblTech[[#This Row],[6-3]] + tech_5_2_3*TblTech[[#This Row],[5-2]], 1-global_constr_cap) * TblConstr[[#This Row],[RCPA Lumber]],0)</f>
        <v>31</v>
      </c>
      <c r="AO1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6" s="94">
        <f ca="1">ROUNDDOWN( MAX(1 - MIN(facs_constr_factor*TblConstr[[#This Row],[Facs DB]],facs_constr_max) + tech_1_11*TblTech[[#This Row],[1-11]] + tech_6_3_2*TblTech[[#This Row],[6-3]] + tech_5_2_3*TblTech[[#This Row],[5-2]], 1-global_constr_cap) * ROUND((TblConstr[[#This Row],[Land]]-250)*0.285 + 87.5 + 0/4.25,0),0)</f>
        <v>31</v>
      </c>
      <c r="AQ126" s="45">
        <f ca="1">TblConstr[[#This Row],[build -db]]*TblConstr[[#This Row],[CPA Platinum -DB]] + TblConstr[[#This Row],[build db]]*TblConstr[[#This Row],[CPA Platinum DB]]</f>
        <v>0</v>
      </c>
      <c r="AR126" s="45">
        <f ca="1">TblConstr[[#This Row],[build -db]]*TblConstr[[#This Row],[CPA Lumber -DB]] + TblConstr[[#This Row],[build db]]*TblConstr[[#This Row],[CPA Lumber DB]]</f>
        <v>0</v>
      </c>
      <c r="AS126" s="94">
        <f ca="1">MIN(SUM(OFFSET(TblConstr[[#This Row],[Plain]:[Water]],-1,0))+SUM(TblConstr[[#This Row],[Dest Hom]:[Dest Doc]])+IF(TblConstr[[#This Row],[Hour]]&gt;12,SUM(OFFSET(TblExplore[[#This Row],[Plains Explore]:[Water Explore]],-12,0)),0),SUM(TblConstr[[#This Row],[Hom]:[Doc]]))</f>
        <v>0</v>
      </c>
      <c r="AT1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42"/>
      <c r="AV126" s="94">
        <f ca="1">ROUND((TblConstr[[#This Row],[Land]]-250 - IF(TblExplore[[#This Row],[Land Bonus]]&lt;&gt;0,20,0))*1.25 + 850 + 0,0)</f>
        <v>600</v>
      </c>
      <c r="AW126" s="94">
        <f ca="1">ROUND((TblConstr[[#This Row],[Land]]-250 - IF(TblExplore[[#This Row],[Land Bonus]]&lt;&gt;0,20,0))*0.285 + 87.5 + 0/4.25,0)</f>
        <v>31</v>
      </c>
      <c r="AX126" s="154"/>
      <c r="AY126" s="188" cm="1">
        <f t="array" aca="1" ref="AY126" ca="1">IF(TblConstr[[#This Row],[Hour]:[Hour]]&gt;12,OFFSET(TblConstr[[#This Row],[Hom]],-12,0),0)+OFFSET(TblConstr[[#This Row],[Tot Hom]],-1,0)-TblConstr[[#This Row],[Dest Hom]]</f>
        <v>0</v>
      </c>
      <c r="AZ126" s="189" cm="1">
        <f t="array" aca="1" ref="AZ126" ca="1">IF(TblConstr[[#This Row],[Hour]:[Hour]]&gt;12,OFFSET(TblConstr[[#This Row],[Alc]],-12,0),0)+OFFSET(TblConstr[[#This Row],[Tot Alc]],-1,0)-TblConstr[[#This Row],[Dest Alc]]</f>
        <v>0</v>
      </c>
      <c r="BA126" s="189" cm="1">
        <f t="array" aca="1" ref="BA126" ca="1">IF(TblConstr[[#This Row],[Hour]:[Hour]]&gt;12,OFFSET(TblConstr[[#This Row],[Far]],-12,0),0)+OFFSET(TblConstr[[#This Row],[Tot Farm]],-1,0)-TblConstr[[#This Row],[Dest Farm]]</f>
        <v>30</v>
      </c>
      <c r="BB126" s="189" cm="1">
        <f t="array" aca="1" ref="BB126" ca="1">IF(TblConstr[[#This Row],[Hour]:[Hour]]&gt;12,OFFSET(TblConstr[[#This Row],[Smi]],-12,0),0)+OFFSET(TblConstr[[#This Row],[Tot Smi]],-1,0)-TblConstr[[#This Row],[Dest Smi]]</f>
        <v>0</v>
      </c>
      <c r="BC126" s="189" cm="1">
        <f t="array" aca="1" ref="BC126" ca="1">IF(TblConstr[[#This Row],[Hour]:[Hour]]&gt;12,OFFSET(TblConstr[[#This Row],[Mas]],-12,0),0)+OFFSET(TblConstr[[#This Row],[Tot Mas]],-1,0)-TblConstr[[#This Row],[Dest Mas]]</f>
        <v>0</v>
      </c>
      <c r="BD126" s="190" cm="1">
        <f t="array" aca="1" ref="BD126" ca="1">IF(TblConstr[[#This Row],[Hour]:[Hour]]&gt;12,OFFSET(TblConstr[[#This Row],[Ly]],-12,0),0)+OFFSET(TblConstr[[#This Row],[Tot Ly]],-1,0)-TblConstr[[#This Row],[Dest Ly]]</f>
        <v>20</v>
      </c>
      <c r="BE126" s="190" cm="1">
        <f t="array" aca="1" ref="BE126" ca="1">IF(TblConstr[[#This Row],[Hour]:[Hour]]&gt;12,OFFSET(TblConstr[[#This Row],[Hav]],-12,0),0)+OFFSET(TblConstr[[#This Row],[Tot Hav]],-1,0)-TblConstr[[#This Row],[Dest Hav]]</f>
        <v>0</v>
      </c>
      <c r="BF126" s="361" cm="1">
        <f t="array" aca="1" ref="BF126" ca="1">IF(TblConstr[[#This Row],[Hour]:[Hour]]&gt;12,OFFSET(TblConstr[[#This Row],[OM]],-12,0),0)+OFFSET(TblConstr[[#This Row],[Tot OM]],-1,0)-TblConstr[[#This Row],[Dest OM]]</f>
        <v>0</v>
      </c>
      <c r="BG126" s="361" cm="1">
        <f t="array" aca="1" ref="BG126" ca="1">IF(TblConstr[[#This Row],[Hour]:[Hour]]&gt;12,OFFSET(TblConstr[[#This Row],[GN]],-12,0),0)+OFFSET(TblConstr[[#This Row],[Tot GN]],-1,0)-TblConstr[[#This Row],[Dest GN]]</f>
        <v>0</v>
      </c>
      <c r="BH126" s="365" cm="1">
        <f t="array" aca="1" ref="BH126" ca="1">IF(TblConstr[[#This Row],[Hour]:[Hour]]&gt;12,OFFSET(TblConstr[[#This Row],[Fac]],-12,0),0)+OFFSET(TblConstr[[#This Row],[Tot Fac]],-1,0)-TblConstr[[#This Row],[Dest Fac]]</f>
        <v>0</v>
      </c>
      <c r="BI126" s="365" cm="1">
        <f t="array" aca="1" ref="BI126" ca="1">IF(TblConstr[[#This Row],[Hour]:[Hour]]&gt;12,OFFSET(TblConstr[[#This Row],[GT]],-12,0),0)+OFFSET(TblConstr[[#This Row],[Tot GT]],-1,0)-TblConstr[[#This Row],[Dest GT]]</f>
        <v>0</v>
      </c>
      <c r="BJ126" s="365" cm="1">
        <f t="array" aca="1" ref="BJ126" ca="1">IF(TblConstr[[#This Row],[Hour]:[Hour]]&gt;12,OFFSET(TblConstr[[#This Row],[Bar]],-12,0),0)+OFFSET(TblConstr[[#This Row],[Tot Bar]],-1,0)-TblConstr[[#This Row],[Dest Bar]]</f>
        <v>0</v>
      </c>
      <c r="BK126" s="365" cm="1">
        <f t="array" aca="1" ref="BK126" ca="1">IF(TblConstr[[#This Row],[Hour]:[Hour]]&gt;12,OFFSET(TblConstr[[#This Row],[Shr]],-12,0),0)+OFFSET(TblConstr[[#This Row],[Tot Shr]],-1,0)-TblConstr[[#This Row],[Dest Shr]]</f>
        <v>0</v>
      </c>
      <c r="BL126" s="369" cm="1">
        <f t="array" aca="1" ref="BL126" ca="1">IF(TblConstr[[#This Row],[Hour]:[Hour]]&gt;12,OFFSET(TblConstr[[#This Row],[Tow]],-12,0),0)+OFFSET(TblConstr[[#This Row],[Tot Tow]],-1,0)-TblConstr[[#This Row],[Dest Tow]]</f>
        <v>0</v>
      </c>
      <c r="BM126" s="369" cm="1">
        <f t="array" aca="1" ref="BM126" ca="1">IF(TblConstr[[#This Row],[Hour]:[Hour]]&gt;12,OFFSET(TblConstr[[#This Row],[Tem]],-12,0),0)+OFFSET(TblConstr[[#This Row],[Tot Tem]],-1,0)-TblConstr[[#This Row],[Dest Tem]]</f>
        <v>0</v>
      </c>
      <c r="BN126" s="369" cm="1">
        <f t="array" aca="1" ref="BN126" ca="1">IF(TblConstr[[#This Row],[Hour]:[Hour]]&gt;12,OFFSET(TblConstr[[#This Row],[WG]],-12,0),0)+OFFSET(TblConstr[[#This Row],[Tot WG]],-1,0)-TblConstr[[#This Row],[Dest WG]]</f>
        <v>0</v>
      </c>
      <c r="BO126" s="191" cm="1">
        <f t="array" aca="1" ref="BO126" ca="1">IF(TblConstr[[#This Row],[Hour]:[Hour]]&gt;12,OFFSET(TblConstr[[#This Row],[DM]],-12,0),0)+OFFSET(TblConstr[[#This Row],[Tot DM]],-1,0)-TblConstr[[#This Row],[Dest DM]]</f>
        <v>0</v>
      </c>
      <c r="BP126" s="191" cm="1">
        <f t="array" aca="1" ref="BP126" ca="1">IF(TblConstr[[#This Row],[Hour]:[Hour]]&gt;12,OFFSET(TblConstr[[#This Row],[Sch]],-12,0),0)+OFFSET(TblConstr[[#This Row],[Tot Sch]],-1,0)-TblConstr[[#This Row],[Dest Sch]]</f>
        <v>0</v>
      </c>
      <c r="BQ126" s="192" cm="1">
        <f t="array" aca="1" ref="BQ126" ca="1">IF(TblConstr[[#This Row],[Hour]:[Hour]]&gt;12,OFFSET(TblConstr[[#This Row],[Doc]],-12,0),0)+OFFSET(TblConstr[[#This Row],[Tot Doc]],-1,0)-TblConstr[[#This Row],[Dest Doc]]</f>
        <v>0</v>
      </c>
      <c r="BR126" s="142"/>
      <c r="BS126" s="154"/>
      <c r="BT126" s="94">
        <f ca="1">TblConstr[[#This Row],[Land]]</f>
        <v>50</v>
      </c>
      <c r="BU126" s="159">
        <f ca="1">TblImps[[#This Row],[Time]]</f>
        <v>46325.083333333037</v>
      </c>
      <c r="BV126" s="142"/>
      <c r="BW126" s="179"/>
      <c r="BX126" s="179"/>
      <c r="BY126" s="179"/>
      <c r="BZ126" s="179"/>
      <c r="CA126" s="179"/>
      <c r="CB126" s="179"/>
      <c r="CC126" s="179"/>
      <c r="CD126" s="179"/>
      <c r="CE126" s="179"/>
      <c r="CF126" s="179"/>
      <c r="CG126" s="179"/>
      <c r="CH126" s="179"/>
      <c r="CI126" s="179"/>
      <c r="CJ126" s="179"/>
      <c r="CK126" s="179"/>
      <c r="CL126" s="179"/>
      <c r="CM126" s="179"/>
      <c r="CN126" s="179"/>
      <c r="CO126" s="179"/>
      <c r="CP126" s="142"/>
      <c r="CQ126" s="181">
        <f ca="1">-SUM(TblConstr[[#This Row],[Alc]:[Mas]])+SUM(TblConstr[[#This Row],[Dest Alc]:[Dest Mas]])+Rezone!L126+IF("Ch_"&amp; home_land=TblConstr[[#Headers],[Ch_Plain]],TblConstr[[#This Row],[Home Land]])+IF(TblConstr[[#This Row],[Hour]:[Hour]]&gt;12,OFFSET(TblExplore[[#This Row],[Plains Explore]],-12,0),0)</f>
        <v>0</v>
      </c>
      <c r="CR126" s="182">
        <f ca="1">-SUM(TblConstr[[#This Row],[Ly]:[Hav]])+SUM(TblConstr[[#This Row],[Dest Ly]:[Dest Hav]]) +Rezone!M126 + IF("Ch_"&amp; home_land=TblConstr[[#Headers],[Ch_Forest]],TblConstr[[#This Row],[Home Land]])+IF(TblConstr[[#This Row],[Hour]:[Hour]]&gt;12,OFFSET(TblExplore[[#This Row],[Forest Explore]],-12,0),0)</f>
        <v>0</v>
      </c>
      <c r="CS126" s="359">
        <f ca="1">-SUM(TblConstr[[#This Row],[OM]:[GN]])+SUM(TblConstr[[#This Row],[Dest OM]:[Dest GN]]) +Rezone!N126 + IF("Ch_"&amp; home_land=TblConstr[[#Headers],[Ch_Mountain]],TblConstr[[#This Row],[Home Land]])+IF(TblConstr[[#This Row],[Hour]:[Hour]]&gt;12,OFFSET(TblExplore[[#This Row],[Mountain Explore]],-12,0),0)</f>
        <v>0</v>
      </c>
      <c r="CT126" s="183">
        <f ca="1">-SUM(TblConstr[[#This Row],[Fac]:[Shr]])+SUM(TblConstr[[#This Row],[Dest Fac]:[Dest Shr]]) +Rezone!O126 + IF("Ch_" &amp; home_land=TblConstr[[#Headers],[Ch_Hill]],TblConstr[[#This Row],[Home Land]])+IF(TblConstr[[#This Row],[Hour]:[Hour]]&gt;12,OFFSET(TblExplore[[#This Row],[Hill Explore]],-12,0),0)</f>
        <v>0</v>
      </c>
      <c r="CU126" s="184">
        <f ca="1">-SUM(TblConstr[[#This Row],[Tow]:[WG]])+SUM(TblConstr[[#This Row],[Dest Tow]:[Dest WG]]) +Rezone!P126 + IF("Ch_" &amp; home_land=TblConstr[[#Headers],[Ch_Swamp]],TblConstr[[#This Row],[Home Land]])+IF(TblConstr[[#This Row],[Hour]:[Hour]]&gt;12,OFFSET(TblExplore[[#This Row],[Swamp Explore]],-12,0),0)</f>
        <v>0</v>
      </c>
      <c r="CV126" s="185">
        <f ca="1" xml:space="preserve"> - SUM(TblConstr[[#This Row],[DM]:[Sch]])+SUM(TblConstr[[#This Row],[Dest DM]:[Dest Sch]]) +Rezone!Q126 + IF("Ch_" &amp; home_land=TblConstr[[#Headers],[Ch_Cavern]],TblConstr[[#This Row],[Home Land]])+IF(TblConstr[[#This Row],[Hour]:[Hour]]&gt;12,OFFSET(TblExplore[[#This Row],[Cavern Explore]],-12,0),0)</f>
        <v>0</v>
      </c>
      <c r="CW126" s="186">
        <f ca="1">-TblConstr[[#This Row],[Doc]]+TblConstr[[#This Row],[Dest Doc]] +Rezone!R126 + IF("Ch_" &amp; home_land=TblConstr[[#Headers],[Ch_Water]],TblConstr[[#This Row],[Home Land]])+IF(TblConstr[[#This Row],[Hour]:[Hour]]&gt;12,OFFSET(TblExplore[[#This Row],[Water Explore]],-12,0),0)</f>
        <v>0</v>
      </c>
      <c r="CX126" s="45">
        <f>IF(Explore!S126=1,20) - TblConstr[[#This Row],[Hom]] + TblConstr[[#This Row],[Dest Hom]]</f>
        <v>0</v>
      </c>
      <c r="CY126" s="142"/>
      <c r="CZ126" s="94">
        <f t="shared" ca="1" si="30"/>
        <v>30</v>
      </c>
      <c r="DA126" s="94">
        <f t="shared" ca="1" si="31"/>
        <v>20</v>
      </c>
      <c r="DB126" s="45">
        <f t="shared" ca="1" si="32"/>
        <v>0</v>
      </c>
      <c r="DC126" s="94">
        <f t="shared" ca="1" si="33"/>
        <v>0</v>
      </c>
      <c r="DD126" s="94">
        <f t="shared" ca="1" si="34"/>
        <v>0</v>
      </c>
      <c r="DE126" s="45">
        <f t="shared" ca="1" si="35"/>
        <v>0</v>
      </c>
      <c r="DF126" s="94">
        <f t="shared" ca="1" si="36"/>
        <v>0</v>
      </c>
      <c r="DG126" s="94" cm="1">
        <f t="array" aca="1" ref="DG126" ca="1">INDEX(TblConstr[[Total Plain]:[Total Water]],ROW()-ROW(TblConstr[#Headers]),MATCH("Total "&amp;home_land,TblConstr[[#Headers],[Total Plain]:[Total Water]],0))+TblConstr[[#This Row],[Homes]]</f>
        <v>30</v>
      </c>
      <c r="DH126" s="45">
        <f t="shared" ca="1" si="22"/>
        <v>0</v>
      </c>
      <c r="DI126" s="45">
        <f t="shared" ca="1" si="19"/>
        <v>0</v>
      </c>
      <c r="DJ126" s="45">
        <f t="shared" ca="1" si="20"/>
        <v>0</v>
      </c>
    </row>
    <row r="127" spans="1:114" x14ac:dyDescent="0.2">
      <c r="A127" s="175">
        <f>TblRezone[[#This Row],[Hour]]</f>
        <v>124</v>
      </c>
      <c r="B127" s="176">
        <f ca="1">SUM(TblConstr[[#This Row],[Plain]:[Water]])</f>
        <v>0</v>
      </c>
      <c r="C127" s="177">
        <f ca="1">SUM(TblConstr[[#This Row],[Tot Hom]:[Tot Doc]])</f>
        <v>50</v>
      </c>
      <c r="D127" s="177">
        <f t="shared" si="21"/>
        <v>0</v>
      </c>
      <c r="E127" s="178"/>
      <c r="F127" s="61">
        <f ca="1">TblConstr[[#This Row],[Barren]]+TblConstr[[#This Row],[Buildings]]+TblConstr[[#This Row],[Incoming]]</f>
        <v>50</v>
      </c>
      <c r="G127" s="187">
        <f ca="1">OFFSET(TblConstr[[#This Row],[Plain]],-1,0)+TblConstr[[#This Row],[Ch_Plain]]</f>
        <v>0</v>
      </c>
      <c r="H127" s="182">
        <f ca="1">OFFSET(TblConstr[[#This Row],[Forest]],-1,0)+TblConstr[[#This Row],[Ch_Forest]]</f>
        <v>0</v>
      </c>
      <c r="I127" s="359">
        <f ca="1">OFFSET(TblConstr[[#This Row],[Mountain]],-1,0)+TblConstr[[#This Row],[Ch_Mountain]]</f>
        <v>0</v>
      </c>
      <c r="J127" s="363">
        <f ca="1">OFFSET(TblConstr[[#This Row],[Hill]],-1,0)+TblConstr[[#This Row],[Ch_Hill]]</f>
        <v>0</v>
      </c>
      <c r="K127" s="367">
        <f ca="1">OFFSET(TblConstr[[#This Row],[Swamp]],-1,0)+TblConstr[[#This Row],[Ch_Swamp]]</f>
        <v>0</v>
      </c>
      <c r="L127" s="185">
        <f ca="1">OFFSET(TblConstr[[#This Row],[Cavern]],-1,0)+TblConstr[[#This Row],[Ch_Cavern]]</f>
        <v>0</v>
      </c>
      <c r="M127" s="186">
        <f ca="1">OFFSET(TblConstr[[#This Row],[Water]],-1,0)+TblConstr[[#This Row],[Ch_Water]]</f>
        <v>0</v>
      </c>
      <c r="N127" s="357">
        <f>TblRezone[[#This Row],[Hour]]</f>
        <v>124</v>
      </c>
      <c r="O127" s="179"/>
      <c r="P127" s="179"/>
      <c r="Q127" s="179"/>
      <c r="R127" s="179"/>
      <c r="S127" s="179"/>
      <c r="T127" s="179"/>
      <c r="U127" s="179"/>
      <c r="V127" s="179"/>
      <c r="W127" s="179"/>
      <c r="X127" s="179"/>
      <c r="Y127" s="179"/>
      <c r="Z127" s="179"/>
      <c r="AA127" s="179"/>
      <c r="AB127" s="179"/>
      <c r="AC127" s="179"/>
      <c r="AD127" s="179"/>
      <c r="AE127" s="179"/>
      <c r="AF127" s="179"/>
      <c r="AG127" s="179"/>
      <c r="AH127" s="53">
        <f ca="1">TblImps[[#This Row],[Time]]</f>
        <v>46325.124999999702</v>
      </c>
      <c r="AI127" s="180">
        <f ca="1">MIN(25%,(TblConstr[[#This Row],[Tot Fac]]+TblConstr[[#This Row],[Dest Fac]])/(TblConstr[[#This Row],[Land]]-TblExplore[[#This Row],[Land Bonus]]*20))</f>
        <v>0</v>
      </c>
      <c r="AJ127" s="180">
        <f ca="1">MIN(25%,(TblConstr[[#This Row],[Tot Fac]]+TblConstr[[#This Row],[Dest Fac]])/TblConstr[[#This Row],[Land]])</f>
        <v>0</v>
      </c>
      <c r="AK127" s="94">
        <f ca="1">TblProd[[#This Row],[Platinum]]</f>
        <v>210092</v>
      </c>
      <c r="AL127" s="94">
        <f ca="1">TblProd[[#This Row],[Lumber]]</f>
        <v>75306</v>
      </c>
      <c r="AM1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7" s="94">
        <f ca="1">ROUNDDOWN( MAX(1 - MIN(facs_constr_factor*TblConstr[[#This Row],[Facs -DB]],facs_constr_max) + tech_1_11*TblTech[[#This Row],[11-1]] + tech_6_3_2*TblTech[[#This Row],[6-3]] + tech_5_2_3*TblTech[[#This Row],[5-2]], 1-global_constr_cap) * TblConstr[[#This Row],[RCPA Lumber]],0)</f>
        <v>31</v>
      </c>
      <c r="AO1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7" s="94">
        <f ca="1">ROUNDDOWN( MAX(1 - MIN(facs_constr_factor*TblConstr[[#This Row],[Facs DB]],facs_constr_max) + tech_1_11*TblTech[[#This Row],[1-11]] + tech_6_3_2*TblTech[[#This Row],[6-3]] + tech_5_2_3*TblTech[[#This Row],[5-2]], 1-global_constr_cap) * ROUND((TblConstr[[#This Row],[Land]]-250)*0.285 + 87.5 + 0/4.25,0),0)</f>
        <v>31</v>
      </c>
      <c r="AQ127" s="45">
        <f ca="1">TblConstr[[#This Row],[build -db]]*TblConstr[[#This Row],[CPA Platinum -DB]] + TblConstr[[#This Row],[build db]]*TblConstr[[#This Row],[CPA Platinum DB]]</f>
        <v>0</v>
      </c>
      <c r="AR127" s="45">
        <f ca="1">TblConstr[[#This Row],[build -db]]*TblConstr[[#This Row],[CPA Lumber -DB]] + TblConstr[[#This Row],[build db]]*TblConstr[[#This Row],[CPA Lumber DB]]</f>
        <v>0</v>
      </c>
      <c r="AS127" s="94">
        <f ca="1">MIN(SUM(OFFSET(TblConstr[[#This Row],[Plain]:[Water]],-1,0))+SUM(TblConstr[[#This Row],[Dest Hom]:[Dest Doc]])+IF(TblConstr[[#This Row],[Hour]]&gt;12,SUM(OFFSET(TblExplore[[#This Row],[Plains Explore]:[Water Explore]],-12,0)),0),SUM(TblConstr[[#This Row],[Hom]:[Doc]]))</f>
        <v>0</v>
      </c>
      <c r="AT1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42"/>
      <c r="AV127" s="94">
        <f ca="1">ROUND((TblConstr[[#This Row],[Land]]-250 - IF(TblExplore[[#This Row],[Land Bonus]]&lt;&gt;0,20,0))*1.25 + 850 + 0,0)</f>
        <v>600</v>
      </c>
      <c r="AW127" s="94">
        <f ca="1">ROUND((TblConstr[[#This Row],[Land]]-250 - IF(TblExplore[[#This Row],[Land Bonus]]&lt;&gt;0,20,0))*0.285 + 87.5 + 0/4.25,0)</f>
        <v>31</v>
      </c>
      <c r="AX127" s="154"/>
      <c r="AY127" s="188" cm="1">
        <f t="array" aca="1" ref="AY127" ca="1">IF(TblConstr[[#This Row],[Hour]:[Hour]]&gt;12,OFFSET(TblConstr[[#This Row],[Hom]],-12,0),0)+OFFSET(TblConstr[[#This Row],[Tot Hom]],-1,0)-TblConstr[[#This Row],[Dest Hom]]</f>
        <v>0</v>
      </c>
      <c r="AZ127" s="189" cm="1">
        <f t="array" aca="1" ref="AZ127" ca="1">IF(TblConstr[[#This Row],[Hour]:[Hour]]&gt;12,OFFSET(TblConstr[[#This Row],[Alc]],-12,0),0)+OFFSET(TblConstr[[#This Row],[Tot Alc]],-1,0)-TblConstr[[#This Row],[Dest Alc]]</f>
        <v>0</v>
      </c>
      <c r="BA127" s="189" cm="1">
        <f t="array" aca="1" ref="BA127" ca="1">IF(TblConstr[[#This Row],[Hour]:[Hour]]&gt;12,OFFSET(TblConstr[[#This Row],[Far]],-12,0),0)+OFFSET(TblConstr[[#This Row],[Tot Farm]],-1,0)-TblConstr[[#This Row],[Dest Farm]]</f>
        <v>30</v>
      </c>
      <c r="BB127" s="189" cm="1">
        <f t="array" aca="1" ref="BB127" ca="1">IF(TblConstr[[#This Row],[Hour]:[Hour]]&gt;12,OFFSET(TblConstr[[#This Row],[Smi]],-12,0),0)+OFFSET(TblConstr[[#This Row],[Tot Smi]],-1,0)-TblConstr[[#This Row],[Dest Smi]]</f>
        <v>0</v>
      </c>
      <c r="BC127" s="189" cm="1">
        <f t="array" aca="1" ref="BC127" ca="1">IF(TblConstr[[#This Row],[Hour]:[Hour]]&gt;12,OFFSET(TblConstr[[#This Row],[Mas]],-12,0),0)+OFFSET(TblConstr[[#This Row],[Tot Mas]],-1,0)-TblConstr[[#This Row],[Dest Mas]]</f>
        <v>0</v>
      </c>
      <c r="BD127" s="190" cm="1">
        <f t="array" aca="1" ref="BD127" ca="1">IF(TblConstr[[#This Row],[Hour]:[Hour]]&gt;12,OFFSET(TblConstr[[#This Row],[Ly]],-12,0),0)+OFFSET(TblConstr[[#This Row],[Tot Ly]],-1,0)-TblConstr[[#This Row],[Dest Ly]]</f>
        <v>20</v>
      </c>
      <c r="BE127" s="190" cm="1">
        <f t="array" aca="1" ref="BE127" ca="1">IF(TblConstr[[#This Row],[Hour]:[Hour]]&gt;12,OFFSET(TblConstr[[#This Row],[Hav]],-12,0),0)+OFFSET(TblConstr[[#This Row],[Tot Hav]],-1,0)-TblConstr[[#This Row],[Dest Hav]]</f>
        <v>0</v>
      </c>
      <c r="BF127" s="361" cm="1">
        <f t="array" aca="1" ref="BF127" ca="1">IF(TblConstr[[#This Row],[Hour]:[Hour]]&gt;12,OFFSET(TblConstr[[#This Row],[OM]],-12,0),0)+OFFSET(TblConstr[[#This Row],[Tot OM]],-1,0)-TblConstr[[#This Row],[Dest OM]]</f>
        <v>0</v>
      </c>
      <c r="BG127" s="361" cm="1">
        <f t="array" aca="1" ref="BG127" ca="1">IF(TblConstr[[#This Row],[Hour]:[Hour]]&gt;12,OFFSET(TblConstr[[#This Row],[GN]],-12,0),0)+OFFSET(TblConstr[[#This Row],[Tot GN]],-1,0)-TblConstr[[#This Row],[Dest GN]]</f>
        <v>0</v>
      </c>
      <c r="BH127" s="365" cm="1">
        <f t="array" aca="1" ref="BH127" ca="1">IF(TblConstr[[#This Row],[Hour]:[Hour]]&gt;12,OFFSET(TblConstr[[#This Row],[Fac]],-12,0),0)+OFFSET(TblConstr[[#This Row],[Tot Fac]],-1,0)-TblConstr[[#This Row],[Dest Fac]]</f>
        <v>0</v>
      </c>
      <c r="BI127" s="365" cm="1">
        <f t="array" aca="1" ref="BI127" ca="1">IF(TblConstr[[#This Row],[Hour]:[Hour]]&gt;12,OFFSET(TblConstr[[#This Row],[GT]],-12,0),0)+OFFSET(TblConstr[[#This Row],[Tot GT]],-1,0)-TblConstr[[#This Row],[Dest GT]]</f>
        <v>0</v>
      </c>
      <c r="BJ127" s="365" cm="1">
        <f t="array" aca="1" ref="BJ127" ca="1">IF(TblConstr[[#This Row],[Hour]:[Hour]]&gt;12,OFFSET(TblConstr[[#This Row],[Bar]],-12,0),0)+OFFSET(TblConstr[[#This Row],[Tot Bar]],-1,0)-TblConstr[[#This Row],[Dest Bar]]</f>
        <v>0</v>
      </c>
      <c r="BK127" s="365" cm="1">
        <f t="array" aca="1" ref="BK127" ca="1">IF(TblConstr[[#This Row],[Hour]:[Hour]]&gt;12,OFFSET(TblConstr[[#This Row],[Shr]],-12,0),0)+OFFSET(TblConstr[[#This Row],[Tot Shr]],-1,0)-TblConstr[[#This Row],[Dest Shr]]</f>
        <v>0</v>
      </c>
      <c r="BL127" s="369" cm="1">
        <f t="array" aca="1" ref="BL127" ca="1">IF(TblConstr[[#This Row],[Hour]:[Hour]]&gt;12,OFFSET(TblConstr[[#This Row],[Tow]],-12,0),0)+OFFSET(TblConstr[[#This Row],[Tot Tow]],-1,0)-TblConstr[[#This Row],[Dest Tow]]</f>
        <v>0</v>
      </c>
      <c r="BM127" s="369" cm="1">
        <f t="array" aca="1" ref="BM127" ca="1">IF(TblConstr[[#This Row],[Hour]:[Hour]]&gt;12,OFFSET(TblConstr[[#This Row],[Tem]],-12,0),0)+OFFSET(TblConstr[[#This Row],[Tot Tem]],-1,0)-TblConstr[[#This Row],[Dest Tem]]</f>
        <v>0</v>
      </c>
      <c r="BN127" s="369" cm="1">
        <f t="array" aca="1" ref="BN127" ca="1">IF(TblConstr[[#This Row],[Hour]:[Hour]]&gt;12,OFFSET(TblConstr[[#This Row],[WG]],-12,0),0)+OFFSET(TblConstr[[#This Row],[Tot WG]],-1,0)-TblConstr[[#This Row],[Dest WG]]</f>
        <v>0</v>
      </c>
      <c r="BO127" s="191" cm="1">
        <f t="array" aca="1" ref="BO127" ca="1">IF(TblConstr[[#This Row],[Hour]:[Hour]]&gt;12,OFFSET(TblConstr[[#This Row],[DM]],-12,0),0)+OFFSET(TblConstr[[#This Row],[Tot DM]],-1,0)-TblConstr[[#This Row],[Dest DM]]</f>
        <v>0</v>
      </c>
      <c r="BP127" s="191" cm="1">
        <f t="array" aca="1" ref="BP127" ca="1">IF(TblConstr[[#This Row],[Hour]:[Hour]]&gt;12,OFFSET(TblConstr[[#This Row],[Sch]],-12,0),0)+OFFSET(TblConstr[[#This Row],[Tot Sch]],-1,0)-TblConstr[[#This Row],[Dest Sch]]</f>
        <v>0</v>
      </c>
      <c r="BQ127" s="192" cm="1">
        <f t="array" aca="1" ref="BQ127" ca="1">IF(TblConstr[[#This Row],[Hour]:[Hour]]&gt;12,OFFSET(TblConstr[[#This Row],[Doc]],-12,0),0)+OFFSET(TblConstr[[#This Row],[Tot Doc]],-1,0)-TblConstr[[#This Row],[Dest Doc]]</f>
        <v>0</v>
      </c>
      <c r="BR127" s="142"/>
      <c r="BS127" s="154"/>
      <c r="BT127" s="94">
        <f ca="1">TblConstr[[#This Row],[Land]]</f>
        <v>50</v>
      </c>
      <c r="BU127" s="159">
        <f ca="1">TblImps[[#This Row],[Time]]</f>
        <v>46325.124999999702</v>
      </c>
      <c r="BV127" s="142"/>
      <c r="BW127" s="179"/>
      <c r="BX127" s="179"/>
      <c r="BY127" s="179"/>
      <c r="BZ127" s="179"/>
      <c r="CA127" s="179"/>
      <c r="CB127" s="179"/>
      <c r="CC127" s="179"/>
      <c r="CD127" s="179"/>
      <c r="CE127" s="179"/>
      <c r="CF127" s="179"/>
      <c r="CG127" s="179"/>
      <c r="CH127" s="179"/>
      <c r="CI127" s="179"/>
      <c r="CJ127" s="179"/>
      <c r="CK127" s="179"/>
      <c r="CL127" s="179"/>
      <c r="CM127" s="179"/>
      <c r="CN127" s="179"/>
      <c r="CO127" s="179"/>
      <c r="CP127" s="142"/>
      <c r="CQ127" s="181">
        <f ca="1">-SUM(TblConstr[[#This Row],[Alc]:[Mas]])+SUM(TblConstr[[#This Row],[Dest Alc]:[Dest Mas]])+Rezone!L127+IF("Ch_"&amp; home_land=TblConstr[[#Headers],[Ch_Plain]],TblConstr[[#This Row],[Home Land]])+IF(TblConstr[[#This Row],[Hour]:[Hour]]&gt;12,OFFSET(TblExplore[[#This Row],[Plains Explore]],-12,0),0)</f>
        <v>0</v>
      </c>
      <c r="CR127" s="182">
        <f ca="1">-SUM(TblConstr[[#This Row],[Ly]:[Hav]])+SUM(TblConstr[[#This Row],[Dest Ly]:[Dest Hav]]) +Rezone!M127 + IF("Ch_"&amp; home_land=TblConstr[[#Headers],[Ch_Forest]],TblConstr[[#This Row],[Home Land]])+IF(TblConstr[[#This Row],[Hour]:[Hour]]&gt;12,OFFSET(TblExplore[[#This Row],[Forest Explore]],-12,0),0)</f>
        <v>0</v>
      </c>
      <c r="CS127" s="359">
        <f ca="1">-SUM(TblConstr[[#This Row],[OM]:[GN]])+SUM(TblConstr[[#This Row],[Dest OM]:[Dest GN]]) +Rezone!N127 + IF("Ch_"&amp; home_land=TblConstr[[#Headers],[Ch_Mountain]],TblConstr[[#This Row],[Home Land]])+IF(TblConstr[[#This Row],[Hour]:[Hour]]&gt;12,OFFSET(TblExplore[[#This Row],[Mountain Explore]],-12,0),0)</f>
        <v>0</v>
      </c>
      <c r="CT127" s="183">
        <f ca="1">-SUM(TblConstr[[#This Row],[Fac]:[Shr]])+SUM(TblConstr[[#This Row],[Dest Fac]:[Dest Shr]]) +Rezone!O127 + IF("Ch_" &amp; home_land=TblConstr[[#Headers],[Ch_Hill]],TblConstr[[#This Row],[Home Land]])+IF(TblConstr[[#This Row],[Hour]:[Hour]]&gt;12,OFFSET(TblExplore[[#This Row],[Hill Explore]],-12,0),0)</f>
        <v>0</v>
      </c>
      <c r="CU127" s="184">
        <f ca="1">-SUM(TblConstr[[#This Row],[Tow]:[WG]])+SUM(TblConstr[[#This Row],[Dest Tow]:[Dest WG]]) +Rezone!P127 + IF("Ch_" &amp; home_land=TblConstr[[#Headers],[Ch_Swamp]],TblConstr[[#This Row],[Home Land]])+IF(TblConstr[[#This Row],[Hour]:[Hour]]&gt;12,OFFSET(TblExplore[[#This Row],[Swamp Explore]],-12,0),0)</f>
        <v>0</v>
      </c>
      <c r="CV127" s="185">
        <f ca="1" xml:space="preserve"> - SUM(TblConstr[[#This Row],[DM]:[Sch]])+SUM(TblConstr[[#This Row],[Dest DM]:[Dest Sch]]) +Rezone!Q127 + IF("Ch_" &amp; home_land=TblConstr[[#Headers],[Ch_Cavern]],TblConstr[[#This Row],[Home Land]])+IF(TblConstr[[#This Row],[Hour]:[Hour]]&gt;12,OFFSET(TblExplore[[#This Row],[Cavern Explore]],-12,0),0)</f>
        <v>0</v>
      </c>
      <c r="CW127" s="186">
        <f ca="1">-TblConstr[[#This Row],[Doc]]+TblConstr[[#This Row],[Dest Doc]] +Rezone!R127 + IF("Ch_" &amp; home_land=TblConstr[[#Headers],[Ch_Water]],TblConstr[[#This Row],[Home Land]])+IF(TblConstr[[#This Row],[Hour]:[Hour]]&gt;12,OFFSET(TblExplore[[#This Row],[Water Explore]],-12,0),0)</f>
        <v>0</v>
      </c>
      <c r="CX127" s="45">
        <f>IF(Explore!S127=1,20) - TblConstr[[#This Row],[Hom]] + TblConstr[[#This Row],[Dest Hom]]</f>
        <v>0</v>
      </c>
      <c r="CY127" s="142"/>
      <c r="CZ127" s="94">
        <f t="shared" ca="1" si="30"/>
        <v>30</v>
      </c>
      <c r="DA127" s="94">
        <f t="shared" ca="1" si="31"/>
        <v>20</v>
      </c>
      <c r="DB127" s="45">
        <f t="shared" ca="1" si="32"/>
        <v>0</v>
      </c>
      <c r="DC127" s="94">
        <f t="shared" ca="1" si="33"/>
        <v>0</v>
      </c>
      <c r="DD127" s="94">
        <f t="shared" ca="1" si="34"/>
        <v>0</v>
      </c>
      <c r="DE127" s="45">
        <f t="shared" ca="1" si="35"/>
        <v>0</v>
      </c>
      <c r="DF127" s="94">
        <f t="shared" ca="1" si="36"/>
        <v>0</v>
      </c>
      <c r="DG127" s="94" cm="1">
        <f t="array" aca="1" ref="DG127" ca="1">INDEX(TblConstr[[Total Plain]:[Total Water]],ROW()-ROW(TblConstr[#Headers]),MATCH("Total "&amp;home_land,TblConstr[[#Headers],[Total Plain]:[Total Water]],0))+TblConstr[[#This Row],[Homes]]</f>
        <v>30</v>
      </c>
      <c r="DH127" s="45">
        <f t="shared" ca="1" si="22"/>
        <v>0</v>
      </c>
      <c r="DI127" s="45">
        <f t="shared" ca="1" si="19"/>
        <v>0</v>
      </c>
      <c r="DJ127" s="45">
        <f t="shared" ca="1" si="20"/>
        <v>0</v>
      </c>
    </row>
    <row r="128" spans="1:114" x14ac:dyDescent="0.2">
      <c r="A128" s="175">
        <f>TblRezone[[#This Row],[Hour]]</f>
        <v>125</v>
      </c>
      <c r="B128" s="176">
        <f ca="1">SUM(TblConstr[[#This Row],[Plain]:[Water]])</f>
        <v>0</v>
      </c>
      <c r="C128" s="177">
        <f ca="1">SUM(TblConstr[[#This Row],[Tot Hom]:[Tot Doc]])</f>
        <v>50</v>
      </c>
      <c r="D128" s="177">
        <f t="shared" si="21"/>
        <v>0</v>
      </c>
      <c r="E128" s="178"/>
      <c r="F128" s="61">
        <f ca="1">TblConstr[[#This Row],[Barren]]+TblConstr[[#This Row],[Buildings]]+TblConstr[[#This Row],[Incoming]]</f>
        <v>50</v>
      </c>
      <c r="G128" s="187">
        <f ca="1">OFFSET(TblConstr[[#This Row],[Plain]],-1,0)+TblConstr[[#This Row],[Ch_Plain]]</f>
        <v>0</v>
      </c>
      <c r="H128" s="182">
        <f ca="1">OFFSET(TblConstr[[#This Row],[Forest]],-1,0)+TblConstr[[#This Row],[Ch_Forest]]</f>
        <v>0</v>
      </c>
      <c r="I128" s="359">
        <f ca="1">OFFSET(TblConstr[[#This Row],[Mountain]],-1,0)+TblConstr[[#This Row],[Ch_Mountain]]</f>
        <v>0</v>
      </c>
      <c r="J128" s="363">
        <f ca="1">OFFSET(TblConstr[[#This Row],[Hill]],-1,0)+TblConstr[[#This Row],[Ch_Hill]]</f>
        <v>0</v>
      </c>
      <c r="K128" s="367">
        <f ca="1">OFFSET(TblConstr[[#This Row],[Swamp]],-1,0)+TblConstr[[#This Row],[Ch_Swamp]]</f>
        <v>0</v>
      </c>
      <c r="L128" s="185">
        <f ca="1">OFFSET(TblConstr[[#This Row],[Cavern]],-1,0)+TblConstr[[#This Row],[Ch_Cavern]]</f>
        <v>0</v>
      </c>
      <c r="M128" s="186">
        <f ca="1">OFFSET(TblConstr[[#This Row],[Water]],-1,0)+TblConstr[[#This Row],[Ch_Water]]</f>
        <v>0</v>
      </c>
      <c r="N128" s="357">
        <f>TblRezone[[#This Row],[Hour]]</f>
        <v>125</v>
      </c>
      <c r="O128" s="179"/>
      <c r="P128" s="179"/>
      <c r="Q128" s="179"/>
      <c r="R128" s="179"/>
      <c r="S128" s="179"/>
      <c r="T128" s="179"/>
      <c r="U128" s="179"/>
      <c r="V128" s="179"/>
      <c r="W128" s="179"/>
      <c r="X128" s="179"/>
      <c r="Y128" s="179"/>
      <c r="Z128" s="179"/>
      <c r="AA128" s="179"/>
      <c r="AB128" s="179"/>
      <c r="AC128" s="179"/>
      <c r="AD128" s="179"/>
      <c r="AE128" s="179"/>
      <c r="AF128" s="179"/>
      <c r="AG128" s="179"/>
      <c r="AH128" s="53">
        <f ca="1">TblImps[[#This Row],[Time]]</f>
        <v>46325.166666666366</v>
      </c>
      <c r="AI128" s="180">
        <f ca="1">MIN(25%,(TblConstr[[#This Row],[Tot Fac]]+TblConstr[[#This Row],[Dest Fac]])/(TblConstr[[#This Row],[Land]]-TblExplore[[#This Row],[Land Bonus]]*20))</f>
        <v>0</v>
      </c>
      <c r="AJ128" s="180">
        <f ca="1">MIN(25%,(TblConstr[[#This Row],[Tot Fac]]+TblConstr[[#This Row],[Dest Fac]])/TblConstr[[#This Row],[Land]])</f>
        <v>0</v>
      </c>
      <c r="AK128" s="94">
        <f ca="1">TblProd[[#This Row],[Platinum]]</f>
        <v>210464</v>
      </c>
      <c r="AL128" s="94">
        <f ca="1">TblProd[[#This Row],[Lumber]]</f>
        <v>75553</v>
      </c>
      <c r="AM1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8" s="94">
        <f ca="1">ROUNDDOWN( MAX(1 - MIN(facs_constr_factor*TblConstr[[#This Row],[Facs -DB]],facs_constr_max) + tech_1_11*TblTech[[#This Row],[11-1]] + tech_6_3_2*TblTech[[#This Row],[6-3]] + tech_5_2_3*TblTech[[#This Row],[5-2]], 1-global_constr_cap) * TblConstr[[#This Row],[RCPA Lumber]],0)</f>
        <v>31</v>
      </c>
      <c r="AO1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8" s="94">
        <f ca="1">ROUNDDOWN( MAX(1 - MIN(facs_constr_factor*TblConstr[[#This Row],[Facs DB]],facs_constr_max) + tech_1_11*TblTech[[#This Row],[1-11]] + tech_6_3_2*TblTech[[#This Row],[6-3]] + tech_5_2_3*TblTech[[#This Row],[5-2]], 1-global_constr_cap) * ROUND((TblConstr[[#This Row],[Land]]-250)*0.285 + 87.5 + 0/4.25,0),0)</f>
        <v>31</v>
      </c>
      <c r="AQ128" s="45">
        <f ca="1">TblConstr[[#This Row],[build -db]]*TblConstr[[#This Row],[CPA Platinum -DB]] + TblConstr[[#This Row],[build db]]*TblConstr[[#This Row],[CPA Platinum DB]]</f>
        <v>0</v>
      </c>
      <c r="AR128" s="45">
        <f ca="1">TblConstr[[#This Row],[build -db]]*TblConstr[[#This Row],[CPA Lumber -DB]] + TblConstr[[#This Row],[build db]]*TblConstr[[#This Row],[CPA Lumber DB]]</f>
        <v>0</v>
      </c>
      <c r="AS128" s="94">
        <f ca="1">MIN(SUM(OFFSET(TblConstr[[#This Row],[Plain]:[Water]],-1,0))+SUM(TblConstr[[#This Row],[Dest Hom]:[Dest Doc]])+IF(TblConstr[[#This Row],[Hour]]&gt;12,SUM(OFFSET(TblExplore[[#This Row],[Plains Explore]:[Water Explore]],-12,0)),0),SUM(TblConstr[[#This Row],[Hom]:[Doc]]))</f>
        <v>0</v>
      </c>
      <c r="AT1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42"/>
      <c r="AV128" s="94">
        <f ca="1">ROUND((TblConstr[[#This Row],[Land]]-250 - IF(TblExplore[[#This Row],[Land Bonus]]&lt;&gt;0,20,0))*1.25 + 850 + 0,0)</f>
        <v>600</v>
      </c>
      <c r="AW128" s="94">
        <f ca="1">ROUND((TblConstr[[#This Row],[Land]]-250 - IF(TblExplore[[#This Row],[Land Bonus]]&lt;&gt;0,20,0))*0.285 + 87.5 + 0/4.25,0)</f>
        <v>31</v>
      </c>
      <c r="AX128" s="154"/>
      <c r="AY128" s="188" cm="1">
        <f t="array" aca="1" ref="AY128" ca="1">IF(TblConstr[[#This Row],[Hour]:[Hour]]&gt;12,OFFSET(TblConstr[[#This Row],[Hom]],-12,0),0)+OFFSET(TblConstr[[#This Row],[Tot Hom]],-1,0)-TblConstr[[#This Row],[Dest Hom]]</f>
        <v>0</v>
      </c>
      <c r="AZ128" s="189" cm="1">
        <f t="array" aca="1" ref="AZ128" ca="1">IF(TblConstr[[#This Row],[Hour]:[Hour]]&gt;12,OFFSET(TblConstr[[#This Row],[Alc]],-12,0),0)+OFFSET(TblConstr[[#This Row],[Tot Alc]],-1,0)-TblConstr[[#This Row],[Dest Alc]]</f>
        <v>0</v>
      </c>
      <c r="BA128" s="189" cm="1">
        <f t="array" aca="1" ref="BA128" ca="1">IF(TblConstr[[#This Row],[Hour]:[Hour]]&gt;12,OFFSET(TblConstr[[#This Row],[Far]],-12,0),0)+OFFSET(TblConstr[[#This Row],[Tot Farm]],-1,0)-TblConstr[[#This Row],[Dest Farm]]</f>
        <v>30</v>
      </c>
      <c r="BB128" s="189" cm="1">
        <f t="array" aca="1" ref="BB128" ca="1">IF(TblConstr[[#This Row],[Hour]:[Hour]]&gt;12,OFFSET(TblConstr[[#This Row],[Smi]],-12,0),0)+OFFSET(TblConstr[[#This Row],[Tot Smi]],-1,0)-TblConstr[[#This Row],[Dest Smi]]</f>
        <v>0</v>
      </c>
      <c r="BC128" s="189" cm="1">
        <f t="array" aca="1" ref="BC128" ca="1">IF(TblConstr[[#This Row],[Hour]:[Hour]]&gt;12,OFFSET(TblConstr[[#This Row],[Mas]],-12,0),0)+OFFSET(TblConstr[[#This Row],[Tot Mas]],-1,0)-TblConstr[[#This Row],[Dest Mas]]</f>
        <v>0</v>
      </c>
      <c r="BD128" s="190" cm="1">
        <f t="array" aca="1" ref="BD128" ca="1">IF(TblConstr[[#This Row],[Hour]:[Hour]]&gt;12,OFFSET(TblConstr[[#This Row],[Ly]],-12,0),0)+OFFSET(TblConstr[[#This Row],[Tot Ly]],-1,0)-TblConstr[[#This Row],[Dest Ly]]</f>
        <v>20</v>
      </c>
      <c r="BE128" s="190" cm="1">
        <f t="array" aca="1" ref="BE128" ca="1">IF(TblConstr[[#This Row],[Hour]:[Hour]]&gt;12,OFFSET(TblConstr[[#This Row],[Hav]],-12,0),0)+OFFSET(TblConstr[[#This Row],[Tot Hav]],-1,0)-TblConstr[[#This Row],[Dest Hav]]</f>
        <v>0</v>
      </c>
      <c r="BF128" s="361" cm="1">
        <f t="array" aca="1" ref="BF128" ca="1">IF(TblConstr[[#This Row],[Hour]:[Hour]]&gt;12,OFFSET(TblConstr[[#This Row],[OM]],-12,0),0)+OFFSET(TblConstr[[#This Row],[Tot OM]],-1,0)-TblConstr[[#This Row],[Dest OM]]</f>
        <v>0</v>
      </c>
      <c r="BG128" s="361" cm="1">
        <f t="array" aca="1" ref="BG128" ca="1">IF(TblConstr[[#This Row],[Hour]:[Hour]]&gt;12,OFFSET(TblConstr[[#This Row],[GN]],-12,0),0)+OFFSET(TblConstr[[#This Row],[Tot GN]],-1,0)-TblConstr[[#This Row],[Dest GN]]</f>
        <v>0</v>
      </c>
      <c r="BH128" s="365" cm="1">
        <f t="array" aca="1" ref="BH128" ca="1">IF(TblConstr[[#This Row],[Hour]:[Hour]]&gt;12,OFFSET(TblConstr[[#This Row],[Fac]],-12,0),0)+OFFSET(TblConstr[[#This Row],[Tot Fac]],-1,0)-TblConstr[[#This Row],[Dest Fac]]</f>
        <v>0</v>
      </c>
      <c r="BI128" s="365" cm="1">
        <f t="array" aca="1" ref="BI128" ca="1">IF(TblConstr[[#This Row],[Hour]:[Hour]]&gt;12,OFFSET(TblConstr[[#This Row],[GT]],-12,0),0)+OFFSET(TblConstr[[#This Row],[Tot GT]],-1,0)-TblConstr[[#This Row],[Dest GT]]</f>
        <v>0</v>
      </c>
      <c r="BJ128" s="365" cm="1">
        <f t="array" aca="1" ref="BJ128" ca="1">IF(TblConstr[[#This Row],[Hour]:[Hour]]&gt;12,OFFSET(TblConstr[[#This Row],[Bar]],-12,0),0)+OFFSET(TblConstr[[#This Row],[Tot Bar]],-1,0)-TblConstr[[#This Row],[Dest Bar]]</f>
        <v>0</v>
      </c>
      <c r="BK128" s="365" cm="1">
        <f t="array" aca="1" ref="BK128" ca="1">IF(TblConstr[[#This Row],[Hour]:[Hour]]&gt;12,OFFSET(TblConstr[[#This Row],[Shr]],-12,0),0)+OFFSET(TblConstr[[#This Row],[Tot Shr]],-1,0)-TblConstr[[#This Row],[Dest Shr]]</f>
        <v>0</v>
      </c>
      <c r="BL128" s="369" cm="1">
        <f t="array" aca="1" ref="BL128" ca="1">IF(TblConstr[[#This Row],[Hour]:[Hour]]&gt;12,OFFSET(TblConstr[[#This Row],[Tow]],-12,0),0)+OFFSET(TblConstr[[#This Row],[Tot Tow]],-1,0)-TblConstr[[#This Row],[Dest Tow]]</f>
        <v>0</v>
      </c>
      <c r="BM128" s="369" cm="1">
        <f t="array" aca="1" ref="BM128" ca="1">IF(TblConstr[[#This Row],[Hour]:[Hour]]&gt;12,OFFSET(TblConstr[[#This Row],[Tem]],-12,0),0)+OFFSET(TblConstr[[#This Row],[Tot Tem]],-1,0)-TblConstr[[#This Row],[Dest Tem]]</f>
        <v>0</v>
      </c>
      <c r="BN128" s="369" cm="1">
        <f t="array" aca="1" ref="BN128" ca="1">IF(TblConstr[[#This Row],[Hour]:[Hour]]&gt;12,OFFSET(TblConstr[[#This Row],[WG]],-12,0),0)+OFFSET(TblConstr[[#This Row],[Tot WG]],-1,0)-TblConstr[[#This Row],[Dest WG]]</f>
        <v>0</v>
      </c>
      <c r="BO128" s="191" cm="1">
        <f t="array" aca="1" ref="BO128" ca="1">IF(TblConstr[[#This Row],[Hour]:[Hour]]&gt;12,OFFSET(TblConstr[[#This Row],[DM]],-12,0),0)+OFFSET(TblConstr[[#This Row],[Tot DM]],-1,0)-TblConstr[[#This Row],[Dest DM]]</f>
        <v>0</v>
      </c>
      <c r="BP128" s="191" cm="1">
        <f t="array" aca="1" ref="BP128" ca="1">IF(TblConstr[[#This Row],[Hour]:[Hour]]&gt;12,OFFSET(TblConstr[[#This Row],[Sch]],-12,0),0)+OFFSET(TblConstr[[#This Row],[Tot Sch]],-1,0)-TblConstr[[#This Row],[Dest Sch]]</f>
        <v>0</v>
      </c>
      <c r="BQ128" s="192" cm="1">
        <f t="array" aca="1" ref="BQ128" ca="1">IF(TblConstr[[#This Row],[Hour]:[Hour]]&gt;12,OFFSET(TblConstr[[#This Row],[Doc]],-12,0),0)+OFFSET(TblConstr[[#This Row],[Tot Doc]],-1,0)-TblConstr[[#This Row],[Dest Doc]]</f>
        <v>0</v>
      </c>
      <c r="BR128" s="142"/>
      <c r="BS128" s="154"/>
      <c r="BT128" s="94">
        <f ca="1">TblConstr[[#This Row],[Land]]</f>
        <v>50</v>
      </c>
      <c r="BU128" s="159">
        <f ca="1">TblImps[[#This Row],[Time]]</f>
        <v>46325.166666666366</v>
      </c>
      <c r="BV128" s="142"/>
      <c r="BW128" s="179"/>
      <c r="BX128" s="179"/>
      <c r="BY128" s="179"/>
      <c r="BZ128" s="179"/>
      <c r="CA128" s="179"/>
      <c r="CB128" s="179"/>
      <c r="CC128" s="179"/>
      <c r="CD128" s="179"/>
      <c r="CE128" s="179"/>
      <c r="CF128" s="179"/>
      <c r="CG128" s="179"/>
      <c r="CH128" s="179"/>
      <c r="CI128" s="179"/>
      <c r="CJ128" s="179"/>
      <c r="CK128" s="179"/>
      <c r="CL128" s="179"/>
      <c r="CM128" s="179"/>
      <c r="CN128" s="179"/>
      <c r="CO128" s="179"/>
      <c r="CP128" s="142"/>
      <c r="CQ128" s="181">
        <f ca="1">-SUM(TblConstr[[#This Row],[Alc]:[Mas]])+SUM(TblConstr[[#This Row],[Dest Alc]:[Dest Mas]])+Rezone!L128+IF("Ch_"&amp; home_land=TblConstr[[#Headers],[Ch_Plain]],TblConstr[[#This Row],[Home Land]])+IF(TblConstr[[#This Row],[Hour]:[Hour]]&gt;12,OFFSET(TblExplore[[#This Row],[Plains Explore]],-12,0),0)</f>
        <v>0</v>
      </c>
      <c r="CR128" s="182">
        <f ca="1">-SUM(TblConstr[[#This Row],[Ly]:[Hav]])+SUM(TblConstr[[#This Row],[Dest Ly]:[Dest Hav]]) +Rezone!M128 + IF("Ch_"&amp; home_land=TblConstr[[#Headers],[Ch_Forest]],TblConstr[[#This Row],[Home Land]])+IF(TblConstr[[#This Row],[Hour]:[Hour]]&gt;12,OFFSET(TblExplore[[#This Row],[Forest Explore]],-12,0),0)</f>
        <v>0</v>
      </c>
      <c r="CS128" s="359">
        <f ca="1">-SUM(TblConstr[[#This Row],[OM]:[GN]])+SUM(TblConstr[[#This Row],[Dest OM]:[Dest GN]]) +Rezone!N128 + IF("Ch_"&amp; home_land=TblConstr[[#Headers],[Ch_Mountain]],TblConstr[[#This Row],[Home Land]])+IF(TblConstr[[#This Row],[Hour]:[Hour]]&gt;12,OFFSET(TblExplore[[#This Row],[Mountain Explore]],-12,0),0)</f>
        <v>0</v>
      </c>
      <c r="CT128" s="183">
        <f ca="1">-SUM(TblConstr[[#This Row],[Fac]:[Shr]])+SUM(TblConstr[[#This Row],[Dest Fac]:[Dest Shr]]) +Rezone!O128 + IF("Ch_" &amp; home_land=TblConstr[[#Headers],[Ch_Hill]],TblConstr[[#This Row],[Home Land]])+IF(TblConstr[[#This Row],[Hour]:[Hour]]&gt;12,OFFSET(TblExplore[[#This Row],[Hill Explore]],-12,0),0)</f>
        <v>0</v>
      </c>
      <c r="CU128" s="184">
        <f ca="1">-SUM(TblConstr[[#This Row],[Tow]:[WG]])+SUM(TblConstr[[#This Row],[Dest Tow]:[Dest WG]]) +Rezone!P128 + IF("Ch_" &amp; home_land=TblConstr[[#Headers],[Ch_Swamp]],TblConstr[[#This Row],[Home Land]])+IF(TblConstr[[#This Row],[Hour]:[Hour]]&gt;12,OFFSET(TblExplore[[#This Row],[Swamp Explore]],-12,0),0)</f>
        <v>0</v>
      </c>
      <c r="CV128" s="185">
        <f ca="1" xml:space="preserve"> - SUM(TblConstr[[#This Row],[DM]:[Sch]])+SUM(TblConstr[[#This Row],[Dest DM]:[Dest Sch]]) +Rezone!Q128 + IF("Ch_" &amp; home_land=TblConstr[[#Headers],[Ch_Cavern]],TblConstr[[#This Row],[Home Land]])+IF(TblConstr[[#This Row],[Hour]:[Hour]]&gt;12,OFFSET(TblExplore[[#This Row],[Cavern Explore]],-12,0),0)</f>
        <v>0</v>
      </c>
      <c r="CW128" s="186">
        <f ca="1">-TblConstr[[#This Row],[Doc]]+TblConstr[[#This Row],[Dest Doc]] +Rezone!R128 + IF("Ch_" &amp; home_land=TblConstr[[#Headers],[Ch_Water]],TblConstr[[#This Row],[Home Land]])+IF(TblConstr[[#This Row],[Hour]:[Hour]]&gt;12,OFFSET(TblExplore[[#This Row],[Water Explore]],-12,0),0)</f>
        <v>0</v>
      </c>
      <c r="CX128" s="45">
        <f>IF(Explore!S128=1,20) - TblConstr[[#This Row],[Hom]] + TblConstr[[#This Row],[Dest Hom]]</f>
        <v>0</v>
      </c>
      <c r="CY128" s="142"/>
      <c r="CZ128" s="94">
        <f t="shared" ca="1" si="30"/>
        <v>30</v>
      </c>
      <c r="DA128" s="94">
        <f t="shared" ca="1" si="31"/>
        <v>20</v>
      </c>
      <c r="DB128" s="45">
        <f t="shared" ca="1" si="32"/>
        <v>0</v>
      </c>
      <c r="DC128" s="94">
        <f t="shared" ca="1" si="33"/>
        <v>0</v>
      </c>
      <c r="DD128" s="94">
        <f t="shared" ca="1" si="34"/>
        <v>0</v>
      </c>
      <c r="DE128" s="45">
        <f t="shared" ca="1" si="35"/>
        <v>0</v>
      </c>
      <c r="DF128" s="94">
        <f t="shared" ca="1" si="36"/>
        <v>0</v>
      </c>
      <c r="DG128" s="94" cm="1">
        <f t="array" aca="1" ref="DG128" ca="1">INDEX(TblConstr[[Total Plain]:[Total Water]],ROW()-ROW(TblConstr[#Headers]),MATCH("Total "&amp;home_land,TblConstr[[#Headers],[Total Plain]:[Total Water]],0))+TblConstr[[#This Row],[Homes]]</f>
        <v>30</v>
      </c>
      <c r="DH128" s="45">
        <f t="shared" ca="1" si="22"/>
        <v>0</v>
      </c>
      <c r="DI128" s="45">
        <f t="shared" ca="1" si="19"/>
        <v>0</v>
      </c>
      <c r="DJ128" s="45">
        <f t="shared" ca="1" si="20"/>
        <v>0</v>
      </c>
    </row>
    <row r="129" spans="1:114" x14ac:dyDescent="0.2">
      <c r="A129" s="175">
        <f>TblRezone[[#This Row],[Hour]]</f>
        <v>126</v>
      </c>
      <c r="B129" s="176">
        <f ca="1">SUM(TblConstr[[#This Row],[Plain]:[Water]])</f>
        <v>0</v>
      </c>
      <c r="C129" s="177">
        <f ca="1">SUM(TblConstr[[#This Row],[Tot Hom]:[Tot Doc]])</f>
        <v>50</v>
      </c>
      <c r="D129" s="177">
        <f t="shared" si="21"/>
        <v>0</v>
      </c>
      <c r="E129" s="178"/>
      <c r="F129" s="61">
        <f ca="1">TblConstr[[#This Row],[Barren]]+TblConstr[[#This Row],[Buildings]]+TblConstr[[#This Row],[Incoming]]</f>
        <v>50</v>
      </c>
      <c r="G129" s="187">
        <f ca="1">OFFSET(TblConstr[[#This Row],[Plain]],-1,0)+TblConstr[[#This Row],[Ch_Plain]]</f>
        <v>0</v>
      </c>
      <c r="H129" s="182">
        <f ca="1">OFFSET(TblConstr[[#This Row],[Forest]],-1,0)+TblConstr[[#This Row],[Ch_Forest]]</f>
        <v>0</v>
      </c>
      <c r="I129" s="359">
        <f ca="1">OFFSET(TblConstr[[#This Row],[Mountain]],-1,0)+TblConstr[[#This Row],[Ch_Mountain]]</f>
        <v>0</v>
      </c>
      <c r="J129" s="363">
        <f ca="1">OFFSET(TblConstr[[#This Row],[Hill]],-1,0)+TblConstr[[#This Row],[Ch_Hill]]</f>
        <v>0</v>
      </c>
      <c r="K129" s="367">
        <f ca="1">OFFSET(TblConstr[[#This Row],[Swamp]],-1,0)+TblConstr[[#This Row],[Ch_Swamp]]</f>
        <v>0</v>
      </c>
      <c r="L129" s="185">
        <f ca="1">OFFSET(TblConstr[[#This Row],[Cavern]],-1,0)+TblConstr[[#This Row],[Ch_Cavern]]</f>
        <v>0</v>
      </c>
      <c r="M129" s="186">
        <f ca="1">OFFSET(TblConstr[[#This Row],[Water]],-1,0)+TblConstr[[#This Row],[Ch_Water]]</f>
        <v>0</v>
      </c>
      <c r="N129" s="357">
        <f>TblRezone[[#This Row],[Hour]]</f>
        <v>126</v>
      </c>
      <c r="O129" s="179"/>
      <c r="P129" s="179"/>
      <c r="Q129" s="179"/>
      <c r="R129" s="179"/>
      <c r="S129" s="179"/>
      <c r="T129" s="179"/>
      <c r="U129" s="179"/>
      <c r="V129" s="179"/>
      <c r="W129" s="179"/>
      <c r="X129" s="179"/>
      <c r="Y129" s="179"/>
      <c r="Z129" s="179"/>
      <c r="AA129" s="179"/>
      <c r="AB129" s="179"/>
      <c r="AC129" s="179"/>
      <c r="AD129" s="179"/>
      <c r="AE129" s="179"/>
      <c r="AF129" s="179"/>
      <c r="AG129" s="179"/>
      <c r="AH129" s="53">
        <f ca="1">TblImps[[#This Row],[Time]]</f>
        <v>46325.20833333303</v>
      </c>
      <c r="AI129" s="180">
        <f ca="1">MIN(25%,(TblConstr[[#This Row],[Tot Fac]]+TblConstr[[#This Row],[Dest Fac]])/(TblConstr[[#This Row],[Land]]-TblExplore[[#This Row],[Land Bonus]]*20))</f>
        <v>0</v>
      </c>
      <c r="AJ129" s="180">
        <f ca="1">MIN(25%,(TblConstr[[#This Row],[Tot Fac]]+TblConstr[[#This Row],[Dest Fac]])/TblConstr[[#This Row],[Land]])</f>
        <v>0</v>
      </c>
      <c r="AK129" s="94">
        <f ca="1">TblProd[[#This Row],[Platinum]]</f>
        <v>210833</v>
      </c>
      <c r="AL129" s="94">
        <f ca="1">TblProd[[#This Row],[Lumber]]</f>
        <v>75797</v>
      </c>
      <c r="AM1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9" s="94">
        <f ca="1">ROUNDDOWN( MAX(1 - MIN(facs_constr_factor*TblConstr[[#This Row],[Facs -DB]],facs_constr_max) + tech_1_11*TblTech[[#This Row],[11-1]] + tech_6_3_2*TblTech[[#This Row],[6-3]] + tech_5_2_3*TblTech[[#This Row],[5-2]], 1-global_constr_cap) * TblConstr[[#This Row],[RCPA Lumber]],0)</f>
        <v>31</v>
      </c>
      <c r="AO1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9" s="94">
        <f ca="1">ROUNDDOWN( MAX(1 - MIN(facs_constr_factor*TblConstr[[#This Row],[Facs DB]],facs_constr_max) + tech_1_11*TblTech[[#This Row],[1-11]] + tech_6_3_2*TblTech[[#This Row],[6-3]] + tech_5_2_3*TblTech[[#This Row],[5-2]], 1-global_constr_cap) * ROUND((TblConstr[[#This Row],[Land]]-250)*0.285 + 87.5 + 0/4.25,0),0)</f>
        <v>31</v>
      </c>
      <c r="AQ129" s="45">
        <f ca="1">TblConstr[[#This Row],[build -db]]*TblConstr[[#This Row],[CPA Platinum -DB]] + TblConstr[[#This Row],[build db]]*TblConstr[[#This Row],[CPA Platinum DB]]</f>
        <v>0</v>
      </c>
      <c r="AR129" s="45">
        <f ca="1">TblConstr[[#This Row],[build -db]]*TblConstr[[#This Row],[CPA Lumber -DB]] + TblConstr[[#This Row],[build db]]*TblConstr[[#This Row],[CPA Lumber DB]]</f>
        <v>0</v>
      </c>
      <c r="AS129" s="94">
        <f ca="1">MIN(SUM(OFFSET(TblConstr[[#This Row],[Plain]:[Water]],-1,0))+SUM(TblConstr[[#This Row],[Dest Hom]:[Dest Doc]])+IF(TblConstr[[#This Row],[Hour]]&gt;12,SUM(OFFSET(TblExplore[[#This Row],[Plains Explore]:[Water Explore]],-12,0)),0),SUM(TblConstr[[#This Row],[Hom]:[Doc]]))</f>
        <v>0</v>
      </c>
      <c r="AT1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42"/>
      <c r="AV129" s="94">
        <f ca="1">ROUND((TblConstr[[#This Row],[Land]]-250 - IF(TblExplore[[#This Row],[Land Bonus]]&lt;&gt;0,20,0))*1.25 + 850 + 0,0)</f>
        <v>600</v>
      </c>
      <c r="AW129" s="94">
        <f ca="1">ROUND((TblConstr[[#This Row],[Land]]-250 - IF(TblExplore[[#This Row],[Land Bonus]]&lt;&gt;0,20,0))*0.285 + 87.5 + 0/4.25,0)</f>
        <v>31</v>
      </c>
      <c r="AX129" s="154"/>
      <c r="AY129" s="188" cm="1">
        <f t="array" aca="1" ref="AY129" ca="1">IF(TblConstr[[#This Row],[Hour]:[Hour]]&gt;12,OFFSET(TblConstr[[#This Row],[Hom]],-12,0),0)+OFFSET(TblConstr[[#This Row],[Tot Hom]],-1,0)-TblConstr[[#This Row],[Dest Hom]]</f>
        <v>0</v>
      </c>
      <c r="AZ129" s="189" cm="1">
        <f t="array" aca="1" ref="AZ129" ca="1">IF(TblConstr[[#This Row],[Hour]:[Hour]]&gt;12,OFFSET(TblConstr[[#This Row],[Alc]],-12,0),0)+OFFSET(TblConstr[[#This Row],[Tot Alc]],-1,0)-TblConstr[[#This Row],[Dest Alc]]</f>
        <v>0</v>
      </c>
      <c r="BA129" s="189" cm="1">
        <f t="array" aca="1" ref="BA129" ca="1">IF(TblConstr[[#This Row],[Hour]:[Hour]]&gt;12,OFFSET(TblConstr[[#This Row],[Far]],-12,0),0)+OFFSET(TblConstr[[#This Row],[Tot Farm]],-1,0)-TblConstr[[#This Row],[Dest Farm]]</f>
        <v>30</v>
      </c>
      <c r="BB129" s="189" cm="1">
        <f t="array" aca="1" ref="BB129" ca="1">IF(TblConstr[[#This Row],[Hour]:[Hour]]&gt;12,OFFSET(TblConstr[[#This Row],[Smi]],-12,0),0)+OFFSET(TblConstr[[#This Row],[Tot Smi]],-1,0)-TblConstr[[#This Row],[Dest Smi]]</f>
        <v>0</v>
      </c>
      <c r="BC129" s="189" cm="1">
        <f t="array" aca="1" ref="BC129" ca="1">IF(TblConstr[[#This Row],[Hour]:[Hour]]&gt;12,OFFSET(TblConstr[[#This Row],[Mas]],-12,0),0)+OFFSET(TblConstr[[#This Row],[Tot Mas]],-1,0)-TblConstr[[#This Row],[Dest Mas]]</f>
        <v>0</v>
      </c>
      <c r="BD129" s="190" cm="1">
        <f t="array" aca="1" ref="BD129" ca="1">IF(TblConstr[[#This Row],[Hour]:[Hour]]&gt;12,OFFSET(TblConstr[[#This Row],[Ly]],-12,0),0)+OFFSET(TblConstr[[#This Row],[Tot Ly]],-1,0)-TblConstr[[#This Row],[Dest Ly]]</f>
        <v>20</v>
      </c>
      <c r="BE129" s="190" cm="1">
        <f t="array" aca="1" ref="BE129" ca="1">IF(TblConstr[[#This Row],[Hour]:[Hour]]&gt;12,OFFSET(TblConstr[[#This Row],[Hav]],-12,0),0)+OFFSET(TblConstr[[#This Row],[Tot Hav]],-1,0)-TblConstr[[#This Row],[Dest Hav]]</f>
        <v>0</v>
      </c>
      <c r="BF129" s="361" cm="1">
        <f t="array" aca="1" ref="BF129" ca="1">IF(TblConstr[[#This Row],[Hour]:[Hour]]&gt;12,OFFSET(TblConstr[[#This Row],[OM]],-12,0),0)+OFFSET(TblConstr[[#This Row],[Tot OM]],-1,0)-TblConstr[[#This Row],[Dest OM]]</f>
        <v>0</v>
      </c>
      <c r="BG129" s="361" cm="1">
        <f t="array" aca="1" ref="BG129" ca="1">IF(TblConstr[[#This Row],[Hour]:[Hour]]&gt;12,OFFSET(TblConstr[[#This Row],[GN]],-12,0),0)+OFFSET(TblConstr[[#This Row],[Tot GN]],-1,0)-TblConstr[[#This Row],[Dest GN]]</f>
        <v>0</v>
      </c>
      <c r="BH129" s="365" cm="1">
        <f t="array" aca="1" ref="BH129" ca="1">IF(TblConstr[[#This Row],[Hour]:[Hour]]&gt;12,OFFSET(TblConstr[[#This Row],[Fac]],-12,0),0)+OFFSET(TblConstr[[#This Row],[Tot Fac]],-1,0)-TblConstr[[#This Row],[Dest Fac]]</f>
        <v>0</v>
      </c>
      <c r="BI129" s="365" cm="1">
        <f t="array" aca="1" ref="BI129" ca="1">IF(TblConstr[[#This Row],[Hour]:[Hour]]&gt;12,OFFSET(TblConstr[[#This Row],[GT]],-12,0),0)+OFFSET(TblConstr[[#This Row],[Tot GT]],-1,0)-TblConstr[[#This Row],[Dest GT]]</f>
        <v>0</v>
      </c>
      <c r="BJ129" s="365" cm="1">
        <f t="array" aca="1" ref="BJ129" ca="1">IF(TblConstr[[#This Row],[Hour]:[Hour]]&gt;12,OFFSET(TblConstr[[#This Row],[Bar]],-12,0),0)+OFFSET(TblConstr[[#This Row],[Tot Bar]],-1,0)-TblConstr[[#This Row],[Dest Bar]]</f>
        <v>0</v>
      </c>
      <c r="BK129" s="365" cm="1">
        <f t="array" aca="1" ref="BK129" ca="1">IF(TblConstr[[#This Row],[Hour]:[Hour]]&gt;12,OFFSET(TblConstr[[#This Row],[Shr]],-12,0),0)+OFFSET(TblConstr[[#This Row],[Tot Shr]],-1,0)-TblConstr[[#This Row],[Dest Shr]]</f>
        <v>0</v>
      </c>
      <c r="BL129" s="369" cm="1">
        <f t="array" aca="1" ref="BL129" ca="1">IF(TblConstr[[#This Row],[Hour]:[Hour]]&gt;12,OFFSET(TblConstr[[#This Row],[Tow]],-12,0),0)+OFFSET(TblConstr[[#This Row],[Tot Tow]],-1,0)-TblConstr[[#This Row],[Dest Tow]]</f>
        <v>0</v>
      </c>
      <c r="BM129" s="369" cm="1">
        <f t="array" aca="1" ref="BM129" ca="1">IF(TblConstr[[#This Row],[Hour]:[Hour]]&gt;12,OFFSET(TblConstr[[#This Row],[Tem]],-12,0),0)+OFFSET(TblConstr[[#This Row],[Tot Tem]],-1,0)-TblConstr[[#This Row],[Dest Tem]]</f>
        <v>0</v>
      </c>
      <c r="BN129" s="369" cm="1">
        <f t="array" aca="1" ref="BN129" ca="1">IF(TblConstr[[#This Row],[Hour]:[Hour]]&gt;12,OFFSET(TblConstr[[#This Row],[WG]],-12,0),0)+OFFSET(TblConstr[[#This Row],[Tot WG]],-1,0)-TblConstr[[#This Row],[Dest WG]]</f>
        <v>0</v>
      </c>
      <c r="BO129" s="191" cm="1">
        <f t="array" aca="1" ref="BO129" ca="1">IF(TblConstr[[#This Row],[Hour]:[Hour]]&gt;12,OFFSET(TblConstr[[#This Row],[DM]],-12,0),0)+OFFSET(TblConstr[[#This Row],[Tot DM]],-1,0)-TblConstr[[#This Row],[Dest DM]]</f>
        <v>0</v>
      </c>
      <c r="BP129" s="191" cm="1">
        <f t="array" aca="1" ref="BP129" ca="1">IF(TblConstr[[#This Row],[Hour]:[Hour]]&gt;12,OFFSET(TblConstr[[#This Row],[Sch]],-12,0),0)+OFFSET(TblConstr[[#This Row],[Tot Sch]],-1,0)-TblConstr[[#This Row],[Dest Sch]]</f>
        <v>0</v>
      </c>
      <c r="BQ129" s="192" cm="1">
        <f t="array" aca="1" ref="BQ129" ca="1">IF(TblConstr[[#This Row],[Hour]:[Hour]]&gt;12,OFFSET(TblConstr[[#This Row],[Doc]],-12,0),0)+OFFSET(TblConstr[[#This Row],[Tot Doc]],-1,0)-TblConstr[[#This Row],[Dest Doc]]</f>
        <v>0</v>
      </c>
      <c r="BR129" s="142"/>
      <c r="BS129" s="154"/>
      <c r="BT129" s="94">
        <f ca="1">TblConstr[[#This Row],[Land]]</f>
        <v>50</v>
      </c>
      <c r="BU129" s="159">
        <f ca="1">TblImps[[#This Row],[Time]]</f>
        <v>46325.20833333303</v>
      </c>
      <c r="BV129" s="142"/>
      <c r="BW129" s="179"/>
      <c r="BX129" s="179"/>
      <c r="BY129" s="179"/>
      <c r="BZ129" s="179"/>
      <c r="CA129" s="179"/>
      <c r="CB129" s="179"/>
      <c r="CC129" s="179"/>
      <c r="CD129" s="179"/>
      <c r="CE129" s="179"/>
      <c r="CF129" s="179"/>
      <c r="CG129" s="179"/>
      <c r="CH129" s="179"/>
      <c r="CI129" s="179"/>
      <c r="CJ129" s="179"/>
      <c r="CK129" s="179"/>
      <c r="CL129" s="179"/>
      <c r="CM129" s="179"/>
      <c r="CN129" s="179"/>
      <c r="CO129" s="179"/>
      <c r="CP129" s="142"/>
      <c r="CQ129" s="181">
        <f ca="1">-SUM(TblConstr[[#This Row],[Alc]:[Mas]])+SUM(TblConstr[[#This Row],[Dest Alc]:[Dest Mas]])+Rezone!L129+IF("Ch_"&amp; home_land=TblConstr[[#Headers],[Ch_Plain]],TblConstr[[#This Row],[Home Land]])+IF(TblConstr[[#This Row],[Hour]:[Hour]]&gt;12,OFFSET(TblExplore[[#This Row],[Plains Explore]],-12,0),0)</f>
        <v>0</v>
      </c>
      <c r="CR129" s="182">
        <f ca="1">-SUM(TblConstr[[#This Row],[Ly]:[Hav]])+SUM(TblConstr[[#This Row],[Dest Ly]:[Dest Hav]]) +Rezone!M129 + IF("Ch_"&amp; home_land=TblConstr[[#Headers],[Ch_Forest]],TblConstr[[#This Row],[Home Land]])+IF(TblConstr[[#This Row],[Hour]:[Hour]]&gt;12,OFFSET(TblExplore[[#This Row],[Forest Explore]],-12,0),0)</f>
        <v>0</v>
      </c>
      <c r="CS129" s="359">
        <f ca="1">-SUM(TblConstr[[#This Row],[OM]:[GN]])+SUM(TblConstr[[#This Row],[Dest OM]:[Dest GN]]) +Rezone!N129 + IF("Ch_"&amp; home_land=TblConstr[[#Headers],[Ch_Mountain]],TblConstr[[#This Row],[Home Land]])+IF(TblConstr[[#This Row],[Hour]:[Hour]]&gt;12,OFFSET(TblExplore[[#This Row],[Mountain Explore]],-12,0),0)</f>
        <v>0</v>
      </c>
      <c r="CT129" s="183">
        <f ca="1">-SUM(TblConstr[[#This Row],[Fac]:[Shr]])+SUM(TblConstr[[#This Row],[Dest Fac]:[Dest Shr]]) +Rezone!O129 + IF("Ch_" &amp; home_land=TblConstr[[#Headers],[Ch_Hill]],TblConstr[[#This Row],[Home Land]])+IF(TblConstr[[#This Row],[Hour]:[Hour]]&gt;12,OFFSET(TblExplore[[#This Row],[Hill Explore]],-12,0),0)</f>
        <v>0</v>
      </c>
      <c r="CU129" s="184">
        <f ca="1">-SUM(TblConstr[[#This Row],[Tow]:[WG]])+SUM(TblConstr[[#This Row],[Dest Tow]:[Dest WG]]) +Rezone!P129 + IF("Ch_" &amp; home_land=TblConstr[[#Headers],[Ch_Swamp]],TblConstr[[#This Row],[Home Land]])+IF(TblConstr[[#This Row],[Hour]:[Hour]]&gt;12,OFFSET(TblExplore[[#This Row],[Swamp Explore]],-12,0),0)</f>
        <v>0</v>
      </c>
      <c r="CV129" s="185">
        <f ca="1" xml:space="preserve"> - SUM(TblConstr[[#This Row],[DM]:[Sch]])+SUM(TblConstr[[#This Row],[Dest DM]:[Dest Sch]]) +Rezone!Q129 + IF("Ch_" &amp; home_land=TblConstr[[#Headers],[Ch_Cavern]],TblConstr[[#This Row],[Home Land]])+IF(TblConstr[[#This Row],[Hour]:[Hour]]&gt;12,OFFSET(TblExplore[[#This Row],[Cavern Explore]],-12,0),0)</f>
        <v>0</v>
      </c>
      <c r="CW129" s="186">
        <f ca="1">-TblConstr[[#This Row],[Doc]]+TblConstr[[#This Row],[Dest Doc]] +Rezone!R129 + IF("Ch_" &amp; home_land=TblConstr[[#Headers],[Ch_Water]],TblConstr[[#This Row],[Home Land]])+IF(TblConstr[[#This Row],[Hour]:[Hour]]&gt;12,OFFSET(TblExplore[[#This Row],[Water Explore]],-12,0),0)</f>
        <v>0</v>
      </c>
      <c r="CX129" s="45">
        <f>IF(Explore!S129=1,20) - TblConstr[[#This Row],[Hom]] + TblConstr[[#This Row],[Dest Hom]]</f>
        <v>0</v>
      </c>
      <c r="CY129" s="142"/>
      <c r="CZ129" s="94">
        <f t="shared" ca="1" si="30"/>
        <v>30</v>
      </c>
      <c r="DA129" s="94">
        <f t="shared" ca="1" si="31"/>
        <v>20</v>
      </c>
      <c r="DB129" s="45">
        <f t="shared" ca="1" si="32"/>
        <v>0</v>
      </c>
      <c r="DC129" s="94">
        <f t="shared" ca="1" si="33"/>
        <v>0</v>
      </c>
      <c r="DD129" s="94">
        <f t="shared" ca="1" si="34"/>
        <v>0</v>
      </c>
      <c r="DE129" s="45">
        <f t="shared" ca="1" si="35"/>
        <v>0</v>
      </c>
      <c r="DF129" s="94">
        <f t="shared" ca="1" si="36"/>
        <v>0</v>
      </c>
      <c r="DG129" s="94" cm="1">
        <f t="array" aca="1" ref="DG129" ca="1">INDEX(TblConstr[[Total Plain]:[Total Water]],ROW()-ROW(TblConstr[#Headers]),MATCH("Total "&amp;home_land,TblConstr[[#Headers],[Total Plain]:[Total Water]],0))+TblConstr[[#This Row],[Homes]]</f>
        <v>30</v>
      </c>
      <c r="DH129" s="45">
        <f t="shared" ca="1" si="22"/>
        <v>0</v>
      </c>
      <c r="DI129" s="45">
        <f t="shared" ca="1" si="19"/>
        <v>0</v>
      </c>
      <c r="DJ129" s="45">
        <f t="shared" ca="1" si="20"/>
        <v>0</v>
      </c>
    </row>
    <row r="130" spans="1:114" x14ac:dyDescent="0.2">
      <c r="A130" s="175">
        <f>TblRezone[[#This Row],[Hour]]</f>
        <v>127</v>
      </c>
      <c r="B130" s="176">
        <f ca="1">SUM(TblConstr[[#This Row],[Plain]:[Water]])</f>
        <v>0</v>
      </c>
      <c r="C130" s="177">
        <f ca="1">SUM(TblConstr[[#This Row],[Tot Hom]:[Tot Doc]])</f>
        <v>50</v>
      </c>
      <c r="D130" s="177">
        <f t="shared" si="21"/>
        <v>0</v>
      </c>
      <c r="E130" s="178"/>
      <c r="F130" s="61">
        <f ca="1">TblConstr[[#This Row],[Barren]]+TblConstr[[#This Row],[Buildings]]+TblConstr[[#This Row],[Incoming]]</f>
        <v>50</v>
      </c>
      <c r="G130" s="187">
        <f ca="1">OFFSET(TblConstr[[#This Row],[Plain]],-1,0)+TblConstr[[#This Row],[Ch_Plain]]</f>
        <v>0</v>
      </c>
      <c r="H130" s="182">
        <f ca="1">OFFSET(TblConstr[[#This Row],[Forest]],-1,0)+TblConstr[[#This Row],[Ch_Forest]]</f>
        <v>0</v>
      </c>
      <c r="I130" s="359">
        <f ca="1">OFFSET(TblConstr[[#This Row],[Mountain]],-1,0)+TblConstr[[#This Row],[Ch_Mountain]]</f>
        <v>0</v>
      </c>
      <c r="J130" s="363">
        <f ca="1">OFFSET(TblConstr[[#This Row],[Hill]],-1,0)+TblConstr[[#This Row],[Ch_Hill]]</f>
        <v>0</v>
      </c>
      <c r="K130" s="367">
        <f ca="1">OFFSET(TblConstr[[#This Row],[Swamp]],-1,0)+TblConstr[[#This Row],[Ch_Swamp]]</f>
        <v>0</v>
      </c>
      <c r="L130" s="185">
        <f ca="1">OFFSET(TblConstr[[#This Row],[Cavern]],-1,0)+TblConstr[[#This Row],[Ch_Cavern]]</f>
        <v>0</v>
      </c>
      <c r="M130" s="186">
        <f ca="1">OFFSET(TblConstr[[#This Row],[Water]],-1,0)+TblConstr[[#This Row],[Ch_Water]]</f>
        <v>0</v>
      </c>
      <c r="N130" s="357">
        <f>TblRezone[[#This Row],[Hour]]</f>
        <v>127</v>
      </c>
      <c r="O130" s="179"/>
      <c r="P130" s="179"/>
      <c r="Q130" s="179"/>
      <c r="R130" s="179"/>
      <c r="S130" s="179"/>
      <c r="T130" s="179"/>
      <c r="U130" s="179"/>
      <c r="V130" s="179"/>
      <c r="W130" s="179"/>
      <c r="X130" s="179"/>
      <c r="Y130" s="179"/>
      <c r="Z130" s="179"/>
      <c r="AA130" s="179"/>
      <c r="AB130" s="179"/>
      <c r="AC130" s="179"/>
      <c r="AD130" s="179"/>
      <c r="AE130" s="179"/>
      <c r="AF130" s="179"/>
      <c r="AG130" s="179"/>
      <c r="AH130" s="53">
        <f ca="1">TblImps[[#This Row],[Time]]</f>
        <v>46325.249999999694</v>
      </c>
      <c r="AI130" s="180">
        <f ca="1">MIN(25%,(TblConstr[[#This Row],[Tot Fac]]+TblConstr[[#This Row],[Dest Fac]])/(TblConstr[[#This Row],[Land]]-TblExplore[[#This Row],[Land Bonus]]*20))</f>
        <v>0</v>
      </c>
      <c r="AJ130" s="180">
        <f ca="1">MIN(25%,(TblConstr[[#This Row],[Tot Fac]]+TblConstr[[#This Row],[Dest Fac]])/TblConstr[[#This Row],[Land]])</f>
        <v>0</v>
      </c>
      <c r="AK130" s="94">
        <f ca="1">TblProd[[#This Row],[Platinum]]</f>
        <v>211200</v>
      </c>
      <c r="AL130" s="94">
        <f ca="1">TblProd[[#This Row],[Lumber]]</f>
        <v>76039</v>
      </c>
      <c r="AM1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0" s="94">
        <f ca="1">ROUNDDOWN( MAX(1 - MIN(facs_constr_factor*TblConstr[[#This Row],[Facs -DB]],facs_constr_max) + tech_1_11*TblTech[[#This Row],[11-1]] + tech_6_3_2*TblTech[[#This Row],[6-3]] + tech_5_2_3*TblTech[[#This Row],[5-2]], 1-global_constr_cap) * TblConstr[[#This Row],[RCPA Lumber]],0)</f>
        <v>31</v>
      </c>
      <c r="AO1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0" s="94">
        <f ca="1">ROUNDDOWN( MAX(1 - MIN(facs_constr_factor*TblConstr[[#This Row],[Facs DB]],facs_constr_max) + tech_1_11*TblTech[[#This Row],[1-11]] + tech_6_3_2*TblTech[[#This Row],[6-3]] + tech_5_2_3*TblTech[[#This Row],[5-2]], 1-global_constr_cap) * ROUND((TblConstr[[#This Row],[Land]]-250)*0.285 + 87.5 + 0/4.25,0),0)</f>
        <v>31</v>
      </c>
      <c r="AQ130" s="45">
        <f ca="1">TblConstr[[#This Row],[build -db]]*TblConstr[[#This Row],[CPA Platinum -DB]] + TblConstr[[#This Row],[build db]]*TblConstr[[#This Row],[CPA Platinum DB]]</f>
        <v>0</v>
      </c>
      <c r="AR130" s="45">
        <f ca="1">TblConstr[[#This Row],[build -db]]*TblConstr[[#This Row],[CPA Lumber -DB]] + TblConstr[[#This Row],[build db]]*TblConstr[[#This Row],[CPA Lumber DB]]</f>
        <v>0</v>
      </c>
      <c r="AS130" s="94">
        <f ca="1">MIN(SUM(OFFSET(TblConstr[[#This Row],[Plain]:[Water]],-1,0))+SUM(TblConstr[[#This Row],[Dest Hom]:[Dest Doc]])+IF(TblConstr[[#This Row],[Hour]]&gt;12,SUM(OFFSET(TblExplore[[#This Row],[Plains Explore]:[Water Explore]],-12,0)),0),SUM(TblConstr[[#This Row],[Hom]:[Doc]]))</f>
        <v>0</v>
      </c>
      <c r="AT1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42"/>
      <c r="AV130" s="94">
        <f ca="1">ROUND((TblConstr[[#This Row],[Land]]-250 - IF(TblExplore[[#This Row],[Land Bonus]]&lt;&gt;0,20,0))*1.25 + 850 + 0,0)</f>
        <v>600</v>
      </c>
      <c r="AW130" s="94">
        <f ca="1">ROUND((TblConstr[[#This Row],[Land]]-250 - IF(TblExplore[[#This Row],[Land Bonus]]&lt;&gt;0,20,0))*0.285 + 87.5 + 0/4.25,0)</f>
        <v>31</v>
      </c>
      <c r="AX130" s="154"/>
      <c r="AY130" s="188" cm="1">
        <f t="array" aca="1" ref="AY130" ca="1">IF(TblConstr[[#This Row],[Hour]:[Hour]]&gt;12,OFFSET(TblConstr[[#This Row],[Hom]],-12,0),0)+OFFSET(TblConstr[[#This Row],[Tot Hom]],-1,0)-TblConstr[[#This Row],[Dest Hom]]</f>
        <v>0</v>
      </c>
      <c r="AZ130" s="189" cm="1">
        <f t="array" aca="1" ref="AZ130" ca="1">IF(TblConstr[[#This Row],[Hour]:[Hour]]&gt;12,OFFSET(TblConstr[[#This Row],[Alc]],-12,0),0)+OFFSET(TblConstr[[#This Row],[Tot Alc]],-1,0)-TblConstr[[#This Row],[Dest Alc]]</f>
        <v>0</v>
      </c>
      <c r="BA130" s="189" cm="1">
        <f t="array" aca="1" ref="BA130" ca="1">IF(TblConstr[[#This Row],[Hour]:[Hour]]&gt;12,OFFSET(TblConstr[[#This Row],[Far]],-12,0),0)+OFFSET(TblConstr[[#This Row],[Tot Farm]],-1,0)-TblConstr[[#This Row],[Dest Farm]]</f>
        <v>30</v>
      </c>
      <c r="BB130" s="189" cm="1">
        <f t="array" aca="1" ref="BB130" ca="1">IF(TblConstr[[#This Row],[Hour]:[Hour]]&gt;12,OFFSET(TblConstr[[#This Row],[Smi]],-12,0),0)+OFFSET(TblConstr[[#This Row],[Tot Smi]],-1,0)-TblConstr[[#This Row],[Dest Smi]]</f>
        <v>0</v>
      </c>
      <c r="BC130" s="189" cm="1">
        <f t="array" aca="1" ref="BC130" ca="1">IF(TblConstr[[#This Row],[Hour]:[Hour]]&gt;12,OFFSET(TblConstr[[#This Row],[Mas]],-12,0),0)+OFFSET(TblConstr[[#This Row],[Tot Mas]],-1,0)-TblConstr[[#This Row],[Dest Mas]]</f>
        <v>0</v>
      </c>
      <c r="BD130" s="190" cm="1">
        <f t="array" aca="1" ref="BD130" ca="1">IF(TblConstr[[#This Row],[Hour]:[Hour]]&gt;12,OFFSET(TblConstr[[#This Row],[Ly]],-12,0),0)+OFFSET(TblConstr[[#This Row],[Tot Ly]],-1,0)-TblConstr[[#This Row],[Dest Ly]]</f>
        <v>20</v>
      </c>
      <c r="BE130" s="190" cm="1">
        <f t="array" aca="1" ref="BE130" ca="1">IF(TblConstr[[#This Row],[Hour]:[Hour]]&gt;12,OFFSET(TblConstr[[#This Row],[Hav]],-12,0),0)+OFFSET(TblConstr[[#This Row],[Tot Hav]],-1,0)-TblConstr[[#This Row],[Dest Hav]]</f>
        <v>0</v>
      </c>
      <c r="BF130" s="361" cm="1">
        <f t="array" aca="1" ref="BF130" ca="1">IF(TblConstr[[#This Row],[Hour]:[Hour]]&gt;12,OFFSET(TblConstr[[#This Row],[OM]],-12,0),0)+OFFSET(TblConstr[[#This Row],[Tot OM]],-1,0)-TblConstr[[#This Row],[Dest OM]]</f>
        <v>0</v>
      </c>
      <c r="BG130" s="361" cm="1">
        <f t="array" aca="1" ref="BG130" ca="1">IF(TblConstr[[#This Row],[Hour]:[Hour]]&gt;12,OFFSET(TblConstr[[#This Row],[GN]],-12,0),0)+OFFSET(TblConstr[[#This Row],[Tot GN]],-1,0)-TblConstr[[#This Row],[Dest GN]]</f>
        <v>0</v>
      </c>
      <c r="BH130" s="365" cm="1">
        <f t="array" aca="1" ref="BH130" ca="1">IF(TblConstr[[#This Row],[Hour]:[Hour]]&gt;12,OFFSET(TblConstr[[#This Row],[Fac]],-12,0),0)+OFFSET(TblConstr[[#This Row],[Tot Fac]],-1,0)-TblConstr[[#This Row],[Dest Fac]]</f>
        <v>0</v>
      </c>
      <c r="BI130" s="365" cm="1">
        <f t="array" aca="1" ref="BI130" ca="1">IF(TblConstr[[#This Row],[Hour]:[Hour]]&gt;12,OFFSET(TblConstr[[#This Row],[GT]],-12,0),0)+OFFSET(TblConstr[[#This Row],[Tot GT]],-1,0)-TblConstr[[#This Row],[Dest GT]]</f>
        <v>0</v>
      </c>
      <c r="BJ130" s="365" cm="1">
        <f t="array" aca="1" ref="BJ130" ca="1">IF(TblConstr[[#This Row],[Hour]:[Hour]]&gt;12,OFFSET(TblConstr[[#This Row],[Bar]],-12,0),0)+OFFSET(TblConstr[[#This Row],[Tot Bar]],-1,0)-TblConstr[[#This Row],[Dest Bar]]</f>
        <v>0</v>
      </c>
      <c r="BK130" s="365" cm="1">
        <f t="array" aca="1" ref="BK130" ca="1">IF(TblConstr[[#This Row],[Hour]:[Hour]]&gt;12,OFFSET(TblConstr[[#This Row],[Shr]],-12,0),0)+OFFSET(TblConstr[[#This Row],[Tot Shr]],-1,0)-TblConstr[[#This Row],[Dest Shr]]</f>
        <v>0</v>
      </c>
      <c r="BL130" s="369" cm="1">
        <f t="array" aca="1" ref="BL130" ca="1">IF(TblConstr[[#This Row],[Hour]:[Hour]]&gt;12,OFFSET(TblConstr[[#This Row],[Tow]],-12,0),0)+OFFSET(TblConstr[[#This Row],[Tot Tow]],-1,0)-TblConstr[[#This Row],[Dest Tow]]</f>
        <v>0</v>
      </c>
      <c r="BM130" s="369" cm="1">
        <f t="array" aca="1" ref="BM130" ca="1">IF(TblConstr[[#This Row],[Hour]:[Hour]]&gt;12,OFFSET(TblConstr[[#This Row],[Tem]],-12,0),0)+OFFSET(TblConstr[[#This Row],[Tot Tem]],-1,0)-TblConstr[[#This Row],[Dest Tem]]</f>
        <v>0</v>
      </c>
      <c r="BN130" s="369" cm="1">
        <f t="array" aca="1" ref="BN130" ca="1">IF(TblConstr[[#This Row],[Hour]:[Hour]]&gt;12,OFFSET(TblConstr[[#This Row],[WG]],-12,0),0)+OFFSET(TblConstr[[#This Row],[Tot WG]],-1,0)-TblConstr[[#This Row],[Dest WG]]</f>
        <v>0</v>
      </c>
      <c r="BO130" s="191" cm="1">
        <f t="array" aca="1" ref="BO130" ca="1">IF(TblConstr[[#This Row],[Hour]:[Hour]]&gt;12,OFFSET(TblConstr[[#This Row],[DM]],-12,0),0)+OFFSET(TblConstr[[#This Row],[Tot DM]],-1,0)-TblConstr[[#This Row],[Dest DM]]</f>
        <v>0</v>
      </c>
      <c r="BP130" s="191" cm="1">
        <f t="array" aca="1" ref="BP130" ca="1">IF(TblConstr[[#This Row],[Hour]:[Hour]]&gt;12,OFFSET(TblConstr[[#This Row],[Sch]],-12,0),0)+OFFSET(TblConstr[[#This Row],[Tot Sch]],-1,0)-TblConstr[[#This Row],[Dest Sch]]</f>
        <v>0</v>
      </c>
      <c r="BQ130" s="192" cm="1">
        <f t="array" aca="1" ref="BQ130" ca="1">IF(TblConstr[[#This Row],[Hour]:[Hour]]&gt;12,OFFSET(TblConstr[[#This Row],[Doc]],-12,0),0)+OFFSET(TblConstr[[#This Row],[Tot Doc]],-1,0)-TblConstr[[#This Row],[Dest Doc]]</f>
        <v>0</v>
      </c>
      <c r="BR130" s="142"/>
      <c r="BS130" s="154"/>
      <c r="BT130" s="94">
        <f ca="1">TblConstr[[#This Row],[Land]]</f>
        <v>50</v>
      </c>
      <c r="BU130" s="159">
        <f ca="1">TblImps[[#This Row],[Time]]</f>
        <v>46325.249999999694</v>
      </c>
      <c r="BV130" s="142"/>
      <c r="BW130" s="179"/>
      <c r="BX130" s="179"/>
      <c r="BY130" s="179"/>
      <c r="BZ130" s="179"/>
      <c r="CA130" s="179"/>
      <c r="CB130" s="179"/>
      <c r="CC130" s="179"/>
      <c r="CD130" s="179"/>
      <c r="CE130" s="179"/>
      <c r="CF130" s="179"/>
      <c r="CG130" s="179"/>
      <c r="CH130" s="179"/>
      <c r="CI130" s="179"/>
      <c r="CJ130" s="179"/>
      <c r="CK130" s="179"/>
      <c r="CL130" s="179"/>
      <c r="CM130" s="179"/>
      <c r="CN130" s="179"/>
      <c r="CO130" s="179"/>
      <c r="CP130" s="142"/>
      <c r="CQ130" s="181">
        <f ca="1">-SUM(TblConstr[[#This Row],[Alc]:[Mas]])+SUM(TblConstr[[#This Row],[Dest Alc]:[Dest Mas]])+Rezone!L130+IF("Ch_"&amp; home_land=TblConstr[[#Headers],[Ch_Plain]],TblConstr[[#This Row],[Home Land]])+IF(TblConstr[[#This Row],[Hour]:[Hour]]&gt;12,OFFSET(TblExplore[[#This Row],[Plains Explore]],-12,0),0)</f>
        <v>0</v>
      </c>
      <c r="CR130" s="182">
        <f ca="1">-SUM(TblConstr[[#This Row],[Ly]:[Hav]])+SUM(TblConstr[[#This Row],[Dest Ly]:[Dest Hav]]) +Rezone!M130 + IF("Ch_"&amp; home_land=TblConstr[[#Headers],[Ch_Forest]],TblConstr[[#This Row],[Home Land]])+IF(TblConstr[[#This Row],[Hour]:[Hour]]&gt;12,OFFSET(TblExplore[[#This Row],[Forest Explore]],-12,0),0)</f>
        <v>0</v>
      </c>
      <c r="CS130" s="359">
        <f ca="1">-SUM(TblConstr[[#This Row],[OM]:[GN]])+SUM(TblConstr[[#This Row],[Dest OM]:[Dest GN]]) +Rezone!N130 + IF("Ch_"&amp; home_land=TblConstr[[#Headers],[Ch_Mountain]],TblConstr[[#This Row],[Home Land]])+IF(TblConstr[[#This Row],[Hour]:[Hour]]&gt;12,OFFSET(TblExplore[[#This Row],[Mountain Explore]],-12,0),0)</f>
        <v>0</v>
      </c>
      <c r="CT130" s="183">
        <f ca="1">-SUM(TblConstr[[#This Row],[Fac]:[Shr]])+SUM(TblConstr[[#This Row],[Dest Fac]:[Dest Shr]]) +Rezone!O130 + IF("Ch_" &amp; home_land=TblConstr[[#Headers],[Ch_Hill]],TblConstr[[#This Row],[Home Land]])+IF(TblConstr[[#This Row],[Hour]:[Hour]]&gt;12,OFFSET(TblExplore[[#This Row],[Hill Explore]],-12,0),0)</f>
        <v>0</v>
      </c>
      <c r="CU130" s="184">
        <f ca="1">-SUM(TblConstr[[#This Row],[Tow]:[WG]])+SUM(TblConstr[[#This Row],[Dest Tow]:[Dest WG]]) +Rezone!P130 + IF("Ch_" &amp; home_land=TblConstr[[#Headers],[Ch_Swamp]],TblConstr[[#This Row],[Home Land]])+IF(TblConstr[[#This Row],[Hour]:[Hour]]&gt;12,OFFSET(TblExplore[[#This Row],[Swamp Explore]],-12,0),0)</f>
        <v>0</v>
      </c>
      <c r="CV130" s="185">
        <f ca="1" xml:space="preserve"> - SUM(TblConstr[[#This Row],[DM]:[Sch]])+SUM(TblConstr[[#This Row],[Dest DM]:[Dest Sch]]) +Rezone!Q130 + IF("Ch_" &amp; home_land=TblConstr[[#Headers],[Ch_Cavern]],TblConstr[[#This Row],[Home Land]])+IF(TblConstr[[#This Row],[Hour]:[Hour]]&gt;12,OFFSET(TblExplore[[#This Row],[Cavern Explore]],-12,0),0)</f>
        <v>0</v>
      </c>
      <c r="CW130" s="186">
        <f ca="1">-TblConstr[[#This Row],[Doc]]+TblConstr[[#This Row],[Dest Doc]] +Rezone!R130 + IF("Ch_" &amp; home_land=TblConstr[[#Headers],[Ch_Water]],TblConstr[[#This Row],[Home Land]])+IF(TblConstr[[#This Row],[Hour]:[Hour]]&gt;12,OFFSET(TblExplore[[#This Row],[Water Explore]],-12,0),0)</f>
        <v>0</v>
      </c>
      <c r="CX130" s="45">
        <f>IF(Explore!S130=1,20) - TblConstr[[#This Row],[Hom]] + TblConstr[[#This Row],[Dest Hom]]</f>
        <v>0</v>
      </c>
      <c r="CY130" s="142"/>
      <c r="CZ130" s="94">
        <f t="shared" ca="1" si="30"/>
        <v>30</v>
      </c>
      <c r="DA130" s="94">
        <f t="shared" ca="1" si="31"/>
        <v>20</v>
      </c>
      <c r="DB130" s="45">
        <f t="shared" ca="1" si="32"/>
        <v>0</v>
      </c>
      <c r="DC130" s="94">
        <f t="shared" ca="1" si="33"/>
        <v>0</v>
      </c>
      <c r="DD130" s="94">
        <f t="shared" ca="1" si="34"/>
        <v>0</v>
      </c>
      <c r="DE130" s="45">
        <f t="shared" ca="1" si="35"/>
        <v>0</v>
      </c>
      <c r="DF130" s="94">
        <f t="shared" ca="1" si="36"/>
        <v>0</v>
      </c>
      <c r="DG130" s="94" cm="1">
        <f t="array" aca="1" ref="DG130" ca="1">INDEX(TblConstr[[Total Plain]:[Total Water]],ROW()-ROW(TblConstr[#Headers]),MATCH("Total "&amp;home_land,TblConstr[[#Headers],[Total Plain]:[Total Water]],0))+TblConstr[[#This Row],[Homes]]</f>
        <v>30</v>
      </c>
      <c r="DH130" s="45">
        <f t="shared" ca="1" si="22"/>
        <v>0</v>
      </c>
      <c r="DI130" s="45">
        <f t="shared" ca="1" si="19"/>
        <v>0</v>
      </c>
      <c r="DJ130" s="45">
        <f t="shared" ca="1" si="20"/>
        <v>0</v>
      </c>
    </row>
    <row r="131" spans="1:114" x14ac:dyDescent="0.2">
      <c r="A131" s="175">
        <f>TblRezone[[#This Row],[Hour]]</f>
        <v>128</v>
      </c>
      <c r="B131" s="176">
        <f ca="1">SUM(TblConstr[[#This Row],[Plain]:[Water]])</f>
        <v>0</v>
      </c>
      <c r="C131" s="177">
        <f ca="1">SUM(TblConstr[[#This Row],[Tot Hom]:[Tot Doc]])</f>
        <v>50</v>
      </c>
      <c r="D131" s="177">
        <f t="shared" si="21"/>
        <v>0</v>
      </c>
      <c r="E131" s="178"/>
      <c r="F131" s="61">
        <f ca="1">TblConstr[[#This Row],[Barren]]+TblConstr[[#This Row],[Buildings]]+TblConstr[[#This Row],[Incoming]]</f>
        <v>50</v>
      </c>
      <c r="G131" s="187">
        <f ca="1">OFFSET(TblConstr[[#This Row],[Plain]],-1,0)+TblConstr[[#This Row],[Ch_Plain]]</f>
        <v>0</v>
      </c>
      <c r="H131" s="182">
        <f ca="1">OFFSET(TblConstr[[#This Row],[Forest]],-1,0)+TblConstr[[#This Row],[Ch_Forest]]</f>
        <v>0</v>
      </c>
      <c r="I131" s="359">
        <f ca="1">OFFSET(TblConstr[[#This Row],[Mountain]],-1,0)+TblConstr[[#This Row],[Ch_Mountain]]</f>
        <v>0</v>
      </c>
      <c r="J131" s="363">
        <f ca="1">OFFSET(TblConstr[[#This Row],[Hill]],-1,0)+TblConstr[[#This Row],[Ch_Hill]]</f>
        <v>0</v>
      </c>
      <c r="K131" s="367">
        <f ca="1">OFFSET(TblConstr[[#This Row],[Swamp]],-1,0)+TblConstr[[#This Row],[Ch_Swamp]]</f>
        <v>0</v>
      </c>
      <c r="L131" s="185">
        <f ca="1">OFFSET(TblConstr[[#This Row],[Cavern]],-1,0)+TblConstr[[#This Row],[Ch_Cavern]]</f>
        <v>0</v>
      </c>
      <c r="M131" s="186">
        <f ca="1">OFFSET(TblConstr[[#This Row],[Water]],-1,0)+TblConstr[[#This Row],[Ch_Water]]</f>
        <v>0</v>
      </c>
      <c r="N131" s="357">
        <f>TblRezone[[#This Row],[Hour]]</f>
        <v>128</v>
      </c>
      <c r="O131" s="179"/>
      <c r="P131" s="179"/>
      <c r="Q131" s="179"/>
      <c r="R131" s="179"/>
      <c r="S131" s="179"/>
      <c r="T131" s="179"/>
      <c r="U131" s="179"/>
      <c r="V131" s="179"/>
      <c r="W131" s="179"/>
      <c r="X131" s="179"/>
      <c r="Y131" s="179"/>
      <c r="Z131" s="179"/>
      <c r="AA131" s="179"/>
      <c r="AB131" s="179"/>
      <c r="AC131" s="179"/>
      <c r="AD131" s="179"/>
      <c r="AE131" s="179"/>
      <c r="AF131" s="179"/>
      <c r="AG131" s="179"/>
      <c r="AH131" s="53">
        <f ca="1">TblImps[[#This Row],[Time]]</f>
        <v>46325.291666666359</v>
      </c>
      <c r="AI131" s="180">
        <f ca="1">MIN(25%,(TblConstr[[#This Row],[Tot Fac]]+TblConstr[[#This Row],[Dest Fac]])/(TblConstr[[#This Row],[Land]]-TblExplore[[#This Row],[Land Bonus]]*20))</f>
        <v>0</v>
      </c>
      <c r="AJ131" s="180">
        <f ca="1">MIN(25%,(TblConstr[[#This Row],[Tot Fac]]+TblConstr[[#This Row],[Dest Fac]])/TblConstr[[#This Row],[Land]])</f>
        <v>0</v>
      </c>
      <c r="AK131" s="94">
        <f ca="1">TblProd[[#This Row],[Platinum]]</f>
        <v>211564</v>
      </c>
      <c r="AL131" s="94">
        <f ca="1">TblProd[[#This Row],[Lumber]]</f>
        <v>76279</v>
      </c>
      <c r="AM1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1" s="94">
        <f ca="1">ROUNDDOWN( MAX(1 - MIN(facs_constr_factor*TblConstr[[#This Row],[Facs -DB]],facs_constr_max) + tech_1_11*TblTech[[#This Row],[11-1]] + tech_6_3_2*TblTech[[#This Row],[6-3]] + tech_5_2_3*TblTech[[#This Row],[5-2]], 1-global_constr_cap) * TblConstr[[#This Row],[RCPA Lumber]],0)</f>
        <v>31</v>
      </c>
      <c r="AO1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1" s="94">
        <f ca="1">ROUNDDOWN( MAX(1 - MIN(facs_constr_factor*TblConstr[[#This Row],[Facs DB]],facs_constr_max) + tech_1_11*TblTech[[#This Row],[1-11]] + tech_6_3_2*TblTech[[#This Row],[6-3]] + tech_5_2_3*TblTech[[#This Row],[5-2]], 1-global_constr_cap) * ROUND((TblConstr[[#This Row],[Land]]-250)*0.285 + 87.5 + 0/4.25,0),0)</f>
        <v>31</v>
      </c>
      <c r="AQ131" s="45">
        <f ca="1">TblConstr[[#This Row],[build -db]]*TblConstr[[#This Row],[CPA Platinum -DB]] + TblConstr[[#This Row],[build db]]*TblConstr[[#This Row],[CPA Platinum DB]]</f>
        <v>0</v>
      </c>
      <c r="AR131" s="45">
        <f ca="1">TblConstr[[#This Row],[build -db]]*TblConstr[[#This Row],[CPA Lumber -DB]] + TblConstr[[#This Row],[build db]]*TblConstr[[#This Row],[CPA Lumber DB]]</f>
        <v>0</v>
      </c>
      <c r="AS131" s="94">
        <f ca="1">MIN(SUM(OFFSET(TblConstr[[#This Row],[Plain]:[Water]],-1,0))+SUM(TblConstr[[#This Row],[Dest Hom]:[Dest Doc]])+IF(TblConstr[[#This Row],[Hour]]&gt;12,SUM(OFFSET(TblExplore[[#This Row],[Plains Explore]:[Water Explore]],-12,0)),0),SUM(TblConstr[[#This Row],[Hom]:[Doc]]))</f>
        <v>0</v>
      </c>
      <c r="AT1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42"/>
      <c r="AV131" s="94">
        <f ca="1">ROUND((TblConstr[[#This Row],[Land]]-250 - IF(TblExplore[[#This Row],[Land Bonus]]&lt;&gt;0,20,0))*1.25 + 850 + 0,0)</f>
        <v>600</v>
      </c>
      <c r="AW131" s="94">
        <f ca="1">ROUND((TblConstr[[#This Row],[Land]]-250 - IF(TblExplore[[#This Row],[Land Bonus]]&lt;&gt;0,20,0))*0.285 + 87.5 + 0/4.25,0)</f>
        <v>31</v>
      </c>
      <c r="AX131" s="154"/>
      <c r="AY131" s="188" cm="1">
        <f t="array" aca="1" ref="AY131" ca="1">IF(TblConstr[[#This Row],[Hour]:[Hour]]&gt;12,OFFSET(TblConstr[[#This Row],[Hom]],-12,0),0)+OFFSET(TblConstr[[#This Row],[Tot Hom]],-1,0)-TblConstr[[#This Row],[Dest Hom]]</f>
        <v>0</v>
      </c>
      <c r="AZ131" s="189" cm="1">
        <f t="array" aca="1" ref="AZ131" ca="1">IF(TblConstr[[#This Row],[Hour]:[Hour]]&gt;12,OFFSET(TblConstr[[#This Row],[Alc]],-12,0),0)+OFFSET(TblConstr[[#This Row],[Tot Alc]],-1,0)-TblConstr[[#This Row],[Dest Alc]]</f>
        <v>0</v>
      </c>
      <c r="BA131" s="189" cm="1">
        <f t="array" aca="1" ref="BA131" ca="1">IF(TblConstr[[#This Row],[Hour]:[Hour]]&gt;12,OFFSET(TblConstr[[#This Row],[Far]],-12,0),0)+OFFSET(TblConstr[[#This Row],[Tot Farm]],-1,0)-TblConstr[[#This Row],[Dest Farm]]</f>
        <v>30</v>
      </c>
      <c r="BB131" s="189" cm="1">
        <f t="array" aca="1" ref="BB131" ca="1">IF(TblConstr[[#This Row],[Hour]:[Hour]]&gt;12,OFFSET(TblConstr[[#This Row],[Smi]],-12,0),0)+OFFSET(TblConstr[[#This Row],[Tot Smi]],-1,0)-TblConstr[[#This Row],[Dest Smi]]</f>
        <v>0</v>
      </c>
      <c r="BC131" s="189" cm="1">
        <f t="array" aca="1" ref="BC131" ca="1">IF(TblConstr[[#This Row],[Hour]:[Hour]]&gt;12,OFFSET(TblConstr[[#This Row],[Mas]],-12,0),0)+OFFSET(TblConstr[[#This Row],[Tot Mas]],-1,0)-TblConstr[[#This Row],[Dest Mas]]</f>
        <v>0</v>
      </c>
      <c r="BD131" s="190" cm="1">
        <f t="array" aca="1" ref="BD131" ca="1">IF(TblConstr[[#This Row],[Hour]:[Hour]]&gt;12,OFFSET(TblConstr[[#This Row],[Ly]],-12,0),0)+OFFSET(TblConstr[[#This Row],[Tot Ly]],-1,0)-TblConstr[[#This Row],[Dest Ly]]</f>
        <v>20</v>
      </c>
      <c r="BE131" s="190" cm="1">
        <f t="array" aca="1" ref="BE131" ca="1">IF(TblConstr[[#This Row],[Hour]:[Hour]]&gt;12,OFFSET(TblConstr[[#This Row],[Hav]],-12,0),0)+OFFSET(TblConstr[[#This Row],[Tot Hav]],-1,0)-TblConstr[[#This Row],[Dest Hav]]</f>
        <v>0</v>
      </c>
      <c r="BF131" s="361" cm="1">
        <f t="array" aca="1" ref="BF131" ca="1">IF(TblConstr[[#This Row],[Hour]:[Hour]]&gt;12,OFFSET(TblConstr[[#This Row],[OM]],-12,0),0)+OFFSET(TblConstr[[#This Row],[Tot OM]],-1,0)-TblConstr[[#This Row],[Dest OM]]</f>
        <v>0</v>
      </c>
      <c r="BG131" s="361" cm="1">
        <f t="array" aca="1" ref="BG131" ca="1">IF(TblConstr[[#This Row],[Hour]:[Hour]]&gt;12,OFFSET(TblConstr[[#This Row],[GN]],-12,0),0)+OFFSET(TblConstr[[#This Row],[Tot GN]],-1,0)-TblConstr[[#This Row],[Dest GN]]</f>
        <v>0</v>
      </c>
      <c r="BH131" s="365" cm="1">
        <f t="array" aca="1" ref="BH131" ca="1">IF(TblConstr[[#This Row],[Hour]:[Hour]]&gt;12,OFFSET(TblConstr[[#This Row],[Fac]],-12,0),0)+OFFSET(TblConstr[[#This Row],[Tot Fac]],-1,0)-TblConstr[[#This Row],[Dest Fac]]</f>
        <v>0</v>
      </c>
      <c r="BI131" s="365" cm="1">
        <f t="array" aca="1" ref="BI131" ca="1">IF(TblConstr[[#This Row],[Hour]:[Hour]]&gt;12,OFFSET(TblConstr[[#This Row],[GT]],-12,0),0)+OFFSET(TblConstr[[#This Row],[Tot GT]],-1,0)-TblConstr[[#This Row],[Dest GT]]</f>
        <v>0</v>
      </c>
      <c r="BJ131" s="365" cm="1">
        <f t="array" aca="1" ref="BJ131" ca="1">IF(TblConstr[[#This Row],[Hour]:[Hour]]&gt;12,OFFSET(TblConstr[[#This Row],[Bar]],-12,0),0)+OFFSET(TblConstr[[#This Row],[Tot Bar]],-1,0)-TblConstr[[#This Row],[Dest Bar]]</f>
        <v>0</v>
      </c>
      <c r="BK131" s="365" cm="1">
        <f t="array" aca="1" ref="BK131" ca="1">IF(TblConstr[[#This Row],[Hour]:[Hour]]&gt;12,OFFSET(TblConstr[[#This Row],[Shr]],-12,0),0)+OFFSET(TblConstr[[#This Row],[Tot Shr]],-1,0)-TblConstr[[#This Row],[Dest Shr]]</f>
        <v>0</v>
      </c>
      <c r="BL131" s="369" cm="1">
        <f t="array" aca="1" ref="BL131" ca="1">IF(TblConstr[[#This Row],[Hour]:[Hour]]&gt;12,OFFSET(TblConstr[[#This Row],[Tow]],-12,0),0)+OFFSET(TblConstr[[#This Row],[Tot Tow]],-1,0)-TblConstr[[#This Row],[Dest Tow]]</f>
        <v>0</v>
      </c>
      <c r="BM131" s="369" cm="1">
        <f t="array" aca="1" ref="BM131" ca="1">IF(TblConstr[[#This Row],[Hour]:[Hour]]&gt;12,OFFSET(TblConstr[[#This Row],[Tem]],-12,0),0)+OFFSET(TblConstr[[#This Row],[Tot Tem]],-1,0)-TblConstr[[#This Row],[Dest Tem]]</f>
        <v>0</v>
      </c>
      <c r="BN131" s="369" cm="1">
        <f t="array" aca="1" ref="BN131" ca="1">IF(TblConstr[[#This Row],[Hour]:[Hour]]&gt;12,OFFSET(TblConstr[[#This Row],[WG]],-12,0),0)+OFFSET(TblConstr[[#This Row],[Tot WG]],-1,0)-TblConstr[[#This Row],[Dest WG]]</f>
        <v>0</v>
      </c>
      <c r="BO131" s="191" cm="1">
        <f t="array" aca="1" ref="BO131" ca="1">IF(TblConstr[[#This Row],[Hour]:[Hour]]&gt;12,OFFSET(TblConstr[[#This Row],[DM]],-12,0),0)+OFFSET(TblConstr[[#This Row],[Tot DM]],-1,0)-TblConstr[[#This Row],[Dest DM]]</f>
        <v>0</v>
      </c>
      <c r="BP131" s="191" cm="1">
        <f t="array" aca="1" ref="BP131" ca="1">IF(TblConstr[[#This Row],[Hour]:[Hour]]&gt;12,OFFSET(TblConstr[[#This Row],[Sch]],-12,0),0)+OFFSET(TblConstr[[#This Row],[Tot Sch]],-1,0)-TblConstr[[#This Row],[Dest Sch]]</f>
        <v>0</v>
      </c>
      <c r="BQ131" s="192" cm="1">
        <f t="array" aca="1" ref="BQ131" ca="1">IF(TblConstr[[#This Row],[Hour]:[Hour]]&gt;12,OFFSET(TblConstr[[#This Row],[Doc]],-12,0),0)+OFFSET(TblConstr[[#This Row],[Tot Doc]],-1,0)-TblConstr[[#This Row],[Dest Doc]]</f>
        <v>0</v>
      </c>
      <c r="BR131" s="142"/>
      <c r="BS131" s="154"/>
      <c r="BT131" s="94">
        <f ca="1">TblConstr[[#This Row],[Land]]</f>
        <v>50</v>
      </c>
      <c r="BU131" s="159">
        <f ca="1">TblImps[[#This Row],[Time]]</f>
        <v>46325.291666666359</v>
      </c>
      <c r="BV131" s="142"/>
      <c r="BW131" s="179"/>
      <c r="BX131" s="179"/>
      <c r="BY131" s="179"/>
      <c r="BZ131" s="179"/>
      <c r="CA131" s="179"/>
      <c r="CB131" s="179"/>
      <c r="CC131" s="179"/>
      <c r="CD131" s="179"/>
      <c r="CE131" s="179"/>
      <c r="CF131" s="179"/>
      <c r="CG131" s="179"/>
      <c r="CH131" s="179"/>
      <c r="CI131" s="179"/>
      <c r="CJ131" s="179"/>
      <c r="CK131" s="179"/>
      <c r="CL131" s="179"/>
      <c r="CM131" s="179"/>
      <c r="CN131" s="179"/>
      <c r="CO131" s="179"/>
      <c r="CP131" s="142"/>
      <c r="CQ131" s="181">
        <f ca="1">-SUM(TblConstr[[#This Row],[Alc]:[Mas]])+SUM(TblConstr[[#This Row],[Dest Alc]:[Dest Mas]])+Rezone!L131+IF("Ch_"&amp; home_land=TblConstr[[#Headers],[Ch_Plain]],TblConstr[[#This Row],[Home Land]])+IF(TblConstr[[#This Row],[Hour]:[Hour]]&gt;12,OFFSET(TblExplore[[#This Row],[Plains Explore]],-12,0),0)</f>
        <v>0</v>
      </c>
      <c r="CR131" s="182">
        <f ca="1">-SUM(TblConstr[[#This Row],[Ly]:[Hav]])+SUM(TblConstr[[#This Row],[Dest Ly]:[Dest Hav]]) +Rezone!M131 + IF("Ch_"&amp; home_land=TblConstr[[#Headers],[Ch_Forest]],TblConstr[[#This Row],[Home Land]])+IF(TblConstr[[#This Row],[Hour]:[Hour]]&gt;12,OFFSET(TblExplore[[#This Row],[Forest Explore]],-12,0),0)</f>
        <v>0</v>
      </c>
      <c r="CS131" s="359">
        <f ca="1">-SUM(TblConstr[[#This Row],[OM]:[GN]])+SUM(TblConstr[[#This Row],[Dest OM]:[Dest GN]]) +Rezone!N131 + IF("Ch_"&amp; home_land=TblConstr[[#Headers],[Ch_Mountain]],TblConstr[[#This Row],[Home Land]])+IF(TblConstr[[#This Row],[Hour]:[Hour]]&gt;12,OFFSET(TblExplore[[#This Row],[Mountain Explore]],-12,0),0)</f>
        <v>0</v>
      </c>
      <c r="CT131" s="183">
        <f ca="1">-SUM(TblConstr[[#This Row],[Fac]:[Shr]])+SUM(TblConstr[[#This Row],[Dest Fac]:[Dest Shr]]) +Rezone!O131 + IF("Ch_" &amp; home_land=TblConstr[[#Headers],[Ch_Hill]],TblConstr[[#This Row],[Home Land]])+IF(TblConstr[[#This Row],[Hour]:[Hour]]&gt;12,OFFSET(TblExplore[[#This Row],[Hill Explore]],-12,0),0)</f>
        <v>0</v>
      </c>
      <c r="CU131" s="184">
        <f ca="1">-SUM(TblConstr[[#This Row],[Tow]:[WG]])+SUM(TblConstr[[#This Row],[Dest Tow]:[Dest WG]]) +Rezone!P131 + IF("Ch_" &amp; home_land=TblConstr[[#Headers],[Ch_Swamp]],TblConstr[[#This Row],[Home Land]])+IF(TblConstr[[#This Row],[Hour]:[Hour]]&gt;12,OFFSET(TblExplore[[#This Row],[Swamp Explore]],-12,0),0)</f>
        <v>0</v>
      </c>
      <c r="CV131" s="185">
        <f ca="1" xml:space="preserve"> - SUM(TblConstr[[#This Row],[DM]:[Sch]])+SUM(TblConstr[[#This Row],[Dest DM]:[Dest Sch]]) +Rezone!Q131 + IF("Ch_" &amp; home_land=TblConstr[[#Headers],[Ch_Cavern]],TblConstr[[#This Row],[Home Land]])+IF(TblConstr[[#This Row],[Hour]:[Hour]]&gt;12,OFFSET(TblExplore[[#This Row],[Cavern Explore]],-12,0),0)</f>
        <v>0</v>
      </c>
      <c r="CW131" s="186">
        <f ca="1">-TblConstr[[#This Row],[Doc]]+TblConstr[[#This Row],[Dest Doc]] +Rezone!R131 + IF("Ch_" &amp; home_land=TblConstr[[#Headers],[Ch_Water]],TblConstr[[#This Row],[Home Land]])+IF(TblConstr[[#This Row],[Hour]:[Hour]]&gt;12,OFFSET(TblExplore[[#This Row],[Water Explore]],-12,0),0)</f>
        <v>0</v>
      </c>
      <c r="CX131" s="45">
        <f>IF(Explore!S131=1,20) - TblConstr[[#This Row],[Hom]] + TblConstr[[#This Row],[Dest Hom]]</f>
        <v>0</v>
      </c>
      <c r="CY131" s="142"/>
      <c r="CZ131" s="94">
        <f t="shared" ca="1" si="30"/>
        <v>30</v>
      </c>
      <c r="DA131" s="94">
        <f t="shared" ca="1" si="31"/>
        <v>20</v>
      </c>
      <c r="DB131" s="45">
        <f t="shared" ca="1" si="32"/>
        <v>0</v>
      </c>
      <c r="DC131" s="94">
        <f t="shared" ca="1" si="33"/>
        <v>0</v>
      </c>
      <c r="DD131" s="94">
        <f t="shared" ca="1" si="34"/>
        <v>0</v>
      </c>
      <c r="DE131" s="45">
        <f t="shared" ca="1" si="35"/>
        <v>0</v>
      </c>
      <c r="DF131" s="94">
        <f t="shared" ca="1" si="36"/>
        <v>0</v>
      </c>
      <c r="DG131" s="94" cm="1">
        <f t="array" aca="1" ref="DG131" ca="1">INDEX(TblConstr[[Total Plain]:[Total Water]],ROW()-ROW(TblConstr[#Headers]),MATCH("Total "&amp;home_land,TblConstr[[#Headers],[Total Plain]:[Total Water]],0))+TblConstr[[#This Row],[Homes]]</f>
        <v>30</v>
      </c>
      <c r="DH131" s="45">
        <f t="shared" ca="1" si="22"/>
        <v>0</v>
      </c>
      <c r="DI131" s="45">
        <f t="shared" ca="1" si="19"/>
        <v>0</v>
      </c>
      <c r="DJ131" s="45">
        <f t="shared" ca="1" si="20"/>
        <v>0</v>
      </c>
    </row>
    <row r="132" spans="1:114" x14ac:dyDescent="0.2">
      <c r="A132" s="175">
        <f>TblRezone[[#This Row],[Hour]]</f>
        <v>129</v>
      </c>
      <c r="B132" s="176">
        <f ca="1">SUM(TblConstr[[#This Row],[Plain]:[Water]])</f>
        <v>0</v>
      </c>
      <c r="C132" s="177">
        <f ca="1">SUM(TblConstr[[#This Row],[Tot Hom]:[Tot Doc]])</f>
        <v>50</v>
      </c>
      <c r="D132" s="177">
        <f>SUM(O121:AG132)</f>
        <v>0</v>
      </c>
      <c r="E132" s="178"/>
      <c r="F132" s="61">
        <f ca="1">TblConstr[[#This Row],[Barren]]+TblConstr[[#This Row],[Buildings]]+TblConstr[[#This Row],[Incoming]]</f>
        <v>50</v>
      </c>
      <c r="G132" s="187">
        <f ca="1">OFFSET(TblConstr[[#This Row],[Plain]],-1,0)+TblConstr[[#This Row],[Ch_Plain]]</f>
        <v>0</v>
      </c>
      <c r="H132" s="182">
        <f ca="1">OFFSET(TblConstr[[#This Row],[Forest]],-1,0)+TblConstr[[#This Row],[Ch_Forest]]</f>
        <v>0</v>
      </c>
      <c r="I132" s="359">
        <f ca="1">OFFSET(TblConstr[[#This Row],[Mountain]],-1,0)+TblConstr[[#This Row],[Ch_Mountain]]</f>
        <v>0</v>
      </c>
      <c r="J132" s="363">
        <f ca="1">OFFSET(TblConstr[[#This Row],[Hill]],-1,0)+TblConstr[[#This Row],[Ch_Hill]]</f>
        <v>0</v>
      </c>
      <c r="K132" s="367">
        <f ca="1">OFFSET(TblConstr[[#This Row],[Swamp]],-1,0)+TblConstr[[#This Row],[Ch_Swamp]]</f>
        <v>0</v>
      </c>
      <c r="L132" s="185">
        <f ca="1">OFFSET(TblConstr[[#This Row],[Cavern]],-1,0)+TblConstr[[#This Row],[Ch_Cavern]]</f>
        <v>0</v>
      </c>
      <c r="M132" s="186">
        <f ca="1">OFFSET(TblConstr[[#This Row],[Water]],-1,0)+TblConstr[[#This Row],[Ch_Water]]</f>
        <v>0</v>
      </c>
      <c r="N132" s="357">
        <f>TblRezone[[#This Row],[Hour]]</f>
        <v>129</v>
      </c>
      <c r="O132" s="179"/>
      <c r="P132" s="179"/>
      <c r="Q132" s="179"/>
      <c r="R132" s="179"/>
      <c r="S132" s="179"/>
      <c r="T132" s="179"/>
      <c r="U132" s="179"/>
      <c r="V132" s="179"/>
      <c r="W132" s="179"/>
      <c r="X132" s="179"/>
      <c r="Y132" s="179"/>
      <c r="Z132" s="179"/>
      <c r="AA132" s="179"/>
      <c r="AB132" s="179"/>
      <c r="AC132" s="179"/>
      <c r="AD132" s="179"/>
      <c r="AE132" s="179"/>
      <c r="AF132" s="179"/>
      <c r="AG132" s="179"/>
      <c r="AH132" s="53">
        <f ca="1">TblImps[[#This Row],[Time]]</f>
        <v>46325.333333333023</v>
      </c>
      <c r="AI132" s="180">
        <f ca="1">MIN(25%,(TblConstr[[#This Row],[Tot Fac]]+TblConstr[[#This Row],[Dest Fac]])/(TblConstr[[#This Row],[Land]]-TblExplore[[#This Row],[Land Bonus]]*20))</f>
        <v>0</v>
      </c>
      <c r="AJ132" s="180">
        <f ca="1">MIN(25%,(TblConstr[[#This Row],[Tot Fac]]+TblConstr[[#This Row],[Dest Fac]])/TblConstr[[#This Row],[Land]])</f>
        <v>0</v>
      </c>
      <c r="AK132" s="94">
        <f ca="1">TblProd[[#This Row],[Platinum]]</f>
        <v>211925</v>
      </c>
      <c r="AL132" s="94">
        <f ca="1">TblProd[[#This Row],[Lumber]]</f>
        <v>76516</v>
      </c>
      <c r="AM1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2" s="94">
        <f ca="1">ROUNDDOWN( MAX(1 - MIN(facs_constr_factor*TblConstr[[#This Row],[Facs -DB]],facs_constr_max) + tech_1_11*TblTech[[#This Row],[11-1]] + tech_6_3_2*TblTech[[#This Row],[6-3]] + tech_5_2_3*TblTech[[#This Row],[5-2]], 1-global_constr_cap) * TblConstr[[#This Row],[RCPA Lumber]],0)</f>
        <v>31</v>
      </c>
      <c r="AO1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2" s="94">
        <f ca="1">ROUNDDOWN( MAX(1 - MIN(facs_constr_factor*TblConstr[[#This Row],[Facs DB]],facs_constr_max) + tech_1_11*TblTech[[#This Row],[1-11]] + tech_6_3_2*TblTech[[#This Row],[6-3]] + tech_5_2_3*TblTech[[#This Row],[5-2]], 1-global_constr_cap) * ROUND((TblConstr[[#This Row],[Land]]-250)*0.285 + 87.5 + 0/4.25,0),0)</f>
        <v>31</v>
      </c>
      <c r="AQ132" s="45">
        <f ca="1">TblConstr[[#This Row],[build -db]]*TblConstr[[#This Row],[CPA Platinum -DB]] + TblConstr[[#This Row],[build db]]*TblConstr[[#This Row],[CPA Platinum DB]]</f>
        <v>0</v>
      </c>
      <c r="AR132" s="45">
        <f ca="1">TblConstr[[#This Row],[build -db]]*TblConstr[[#This Row],[CPA Lumber -DB]] + TblConstr[[#This Row],[build db]]*TblConstr[[#This Row],[CPA Lumber DB]]</f>
        <v>0</v>
      </c>
      <c r="AS132" s="94">
        <f ca="1">MIN(SUM(OFFSET(TblConstr[[#This Row],[Plain]:[Water]],-1,0))+SUM(TblConstr[[#This Row],[Dest Hom]:[Dest Doc]])+IF(TblConstr[[#This Row],[Hour]]&gt;12,SUM(OFFSET(TblExplore[[#This Row],[Plains Explore]:[Water Explore]],-12,0)),0),SUM(TblConstr[[#This Row],[Hom]:[Doc]]))</f>
        <v>0</v>
      </c>
      <c r="AT1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42"/>
      <c r="AV132" s="94">
        <f ca="1">ROUND((TblConstr[[#This Row],[Land]]-250 - IF(TblExplore[[#This Row],[Land Bonus]]&lt;&gt;0,20,0))*1.25 + 850 + 0,0)</f>
        <v>600</v>
      </c>
      <c r="AW132" s="94">
        <f ca="1">ROUND((TblConstr[[#This Row],[Land]]-250 - IF(TblExplore[[#This Row],[Land Bonus]]&lt;&gt;0,20,0))*0.285 + 87.5 + 0/4.25,0)</f>
        <v>31</v>
      </c>
      <c r="AX132" s="154"/>
      <c r="AY132" s="188" cm="1">
        <f t="array" aca="1" ref="AY132" ca="1">IF(TblConstr[[#This Row],[Hour]:[Hour]]&gt;12,OFFSET(TblConstr[[#This Row],[Hom]],-12,0),0)+OFFSET(TblConstr[[#This Row],[Tot Hom]],-1,0)-TblConstr[[#This Row],[Dest Hom]]</f>
        <v>0</v>
      </c>
      <c r="AZ132" s="189" cm="1">
        <f t="array" aca="1" ref="AZ132" ca="1">IF(TblConstr[[#This Row],[Hour]:[Hour]]&gt;12,OFFSET(TblConstr[[#This Row],[Alc]],-12,0),0)+OFFSET(TblConstr[[#This Row],[Tot Alc]],-1,0)-TblConstr[[#This Row],[Dest Alc]]</f>
        <v>0</v>
      </c>
      <c r="BA132" s="189" cm="1">
        <f t="array" aca="1" ref="BA132" ca="1">IF(TblConstr[[#This Row],[Hour]:[Hour]]&gt;12,OFFSET(TblConstr[[#This Row],[Far]],-12,0),0)+OFFSET(TblConstr[[#This Row],[Tot Farm]],-1,0)-TblConstr[[#This Row],[Dest Farm]]</f>
        <v>30</v>
      </c>
      <c r="BB132" s="189" cm="1">
        <f t="array" aca="1" ref="BB132" ca="1">IF(TblConstr[[#This Row],[Hour]:[Hour]]&gt;12,OFFSET(TblConstr[[#This Row],[Smi]],-12,0),0)+OFFSET(TblConstr[[#This Row],[Tot Smi]],-1,0)-TblConstr[[#This Row],[Dest Smi]]</f>
        <v>0</v>
      </c>
      <c r="BC132" s="189" cm="1">
        <f t="array" aca="1" ref="BC132" ca="1">IF(TblConstr[[#This Row],[Hour]:[Hour]]&gt;12,OFFSET(TblConstr[[#This Row],[Mas]],-12,0),0)+OFFSET(TblConstr[[#This Row],[Tot Mas]],-1,0)-TblConstr[[#This Row],[Dest Mas]]</f>
        <v>0</v>
      </c>
      <c r="BD132" s="190" cm="1">
        <f t="array" aca="1" ref="BD132" ca="1">IF(TblConstr[[#This Row],[Hour]:[Hour]]&gt;12,OFFSET(TblConstr[[#This Row],[Ly]],-12,0),0)+OFFSET(TblConstr[[#This Row],[Tot Ly]],-1,0)-TblConstr[[#This Row],[Dest Ly]]</f>
        <v>20</v>
      </c>
      <c r="BE132" s="190" cm="1">
        <f t="array" aca="1" ref="BE132" ca="1">IF(TblConstr[[#This Row],[Hour]:[Hour]]&gt;12,OFFSET(TblConstr[[#This Row],[Hav]],-12,0),0)+OFFSET(TblConstr[[#This Row],[Tot Hav]],-1,0)-TblConstr[[#This Row],[Dest Hav]]</f>
        <v>0</v>
      </c>
      <c r="BF132" s="361" cm="1">
        <f t="array" aca="1" ref="BF132" ca="1">IF(TblConstr[[#This Row],[Hour]:[Hour]]&gt;12,OFFSET(TblConstr[[#This Row],[OM]],-12,0),0)+OFFSET(TblConstr[[#This Row],[Tot OM]],-1,0)-TblConstr[[#This Row],[Dest OM]]</f>
        <v>0</v>
      </c>
      <c r="BG132" s="361" cm="1">
        <f t="array" aca="1" ref="BG132" ca="1">IF(TblConstr[[#This Row],[Hour]:[Hour]]&gt;12,OFFSET(TblConstr[[#This Row],[GN]],-12,0),0)+OFFSET(TblConstr[[#This Row],[Tot GN]],-1,0)-TblConstr[[#This Row],[Dest GN]]</f>
        <v>0</v>
      </c>
      <c r="BH132" s="365" cm="1">
        <f t="array" aca="1" ref="BH132" ca="1">IF(TblConstr[[#This Row],[Hour]:[Hour]]&gt;12,OFFSET(TblConstr[[#This Row],[Fac]],-12,0),0)+OFFSET(TblConstr[[#This Row],[Tot Fac]],-1,0)-TblConstr[[#This Row],[Dest Fac]]</f>
        <v>0</v>
      </c>
      <c r="BI132" s="365" cm="1">
        <f t="array" aca="1" ref="BI132" ca="1">IF(TblConstr[[#This Row],[Hour]:[Hour]]&gt;12,OFFSET(TblConstr[[#This Row],[GT]],-12,0),0)+OFFSET(TblConstr[[#This Row],[Tot GT]],-1,0)-TblConstr[[#This Row],[Dest GT]]</f>
        <v>0</v>
      </c>
      <c r="BJ132" s="365" cm="1">
        <f t="array" aca="1" ref="BJ132" ca="1">IF(TblConstr[[#This Row],[Hour]:[Hour]]&gt;12,OFFSET(TblConstr[[#This Row],[Bar]],-12,0),0)+OFFSET(TblConstr[[#This Row],[Tot Bar]],-1,0)-TblConstr[[#This Row],[Dest Bar]]</f>
        <v>0</v>
      </c>
      <c r="BK132" s="365" cm="1">
        <f t="array" aca="1" ref="BK132" ca="1">IF(TblConstr[[#This Row],[Hour]:[Hour]]&gt;12,OFFSET(TblConstr[[#This Row],[Shr]],-12,0),0)+OFFSET(TblConstr[[#This Row],[Tot Shr]],-1,0)-TblConstr[[#This Row],[Dest Shr]]</f>
        <v>0</v>
      </c>
      <c r="BL132" s="369" cm="1">
        <f t="array" aca="1" ref="BL132" ca="1">IF(TblConstr[[#This Row],[Hour]:[Hour]]&gt;12,OFFSET(TblConstr[[#This Row],[Tow]],-12,0),0)+OFFSET(TblConstr[[#This Row],[Tot Tow]],-1,0)-TblConstr[[#This Row],[Dest Tow]]</f>
        <v>0</v>
      </c>
      <c r="BM132" s="369" cm="1">
        <f t="array" aca="1" ref="BM132" ca="1">IF(TblConstr[[#This Row],[Hour]:[Hour]]&gt;12,OFFSET(TblConstr[[#This Row],[Tem]],-12,0),0)+OFFSET(TblConstr[[#This Row],[Tot Tem]],-1,0)-TblConstr[[#This Row],[Dest Tem]]</f>
        <v>0</v>
      </c>
      <c r="BN132" s="369" cm="1">
        <f t="array" aca="1" ref="BN132" ca="1">IF(TblConstr[[#This Row],[Hour]:[Hour]]&gt;12,OFFSET(TblConstr[[#This Row],[WG]],-12,0),0)+OFFSET(TblConstr[[#This Row],[Tot WG]],-1,0)-TblConstr[[#This Row],[Dest WG]]</f>
        <v>0</v>
      </c>
      <c r="BO132" s="191" cm="1">
        <f t="array" aca="1" ref="BO132" ca="1">IF(TblConstr[[#This Row],[Hour]:[Hour]]&gt;12,OFFSET(TblConstr[[#This Row],[DM]],-12,0),0)+OFFSET(TblConstr[[#This Row],[Tot DM]],-1,0)-TblConstr[[#This Row],[Dest DM]]</f>
        <v>0</v>
      </c>
      <c r="BP132" s="191" cm="1">
        <f t="array" aca="1" ref="BP132" ca="1">IF(TblConstr[[#This Row],[Hour]:[Hour]]&gt;12,OFFSET(TblConstr[[#This Row],[Sch]],-12,0),0)+OFFSET(TblConstr[[#This Row],[Tot Sch]],-1,0)-TblConstr[[#This Row],[Dest Sch]]</f>
        <v>0</v>
      </c>
      <c r="BQ132" s="192" cm="1">
        <f t="array" aca="1" ref="BQ132" ca="1">IF(TblConstr[[#This Row],[Hour]:[Hour]]&gt;12,OFFSET(TblConstr[[#This Row],[Doc]],-12,0),0)+OFFSET(TblConstr[[#This Row],[Tot Doc]],-1,0)-TblConstr[[#This Row],[Dest Doc]]</f>
        <v>0</v>
      </c>
      <c r="BR132" s="142"/>
      <c r="BS132" s="154"/>
      <c r="BT132" s="94">
        <f ca="1">TblConstr[[#This Row],[Land]]</f>
        <v>50</v>
      </c>
      <c r="BU132" s="159">
        <f ca="1">TblImps[[#This Row],[Time]]</f>
        <v>46325.333333333023</v>
      </c>
      <c r="BV132" s="142"/>
      <c r="BW132" s="179"/>
      <c r="BX132" s="179"/>
      <c r="BY132" s="179"/>
      <c r="BZ132" s="179"/>
      <c r="CA132" s="179"/>
      <c r="CB132" s="179"/>
      <c r="CC132" s="179"/>
      <c r="CD132" s="179"/>
      <c r="CE132" s="179"/>
      <c r="CF132" s="179"/>
      <c r="CG132" s="179"/>
      <c r="CH132" s="179"/>
      <c r="CI132" s="179"/>
      <c r="CJ132" s="179"/>
      <c r="CK132" s="179"/>
      <c r="CL132" s="179"/>
      <c r="CM132" s="179"/>
      <c r="CN132" s="179"/>
      <c r="CO132" s="179"/>
      <c r="CP132" s="142"/>
      <c r="CQ132" s="181">
        <f ca="1">-SUM(TblConstr[[#This Row],[Alc]:[Mas]])+SUM(TblConstr[[#This Row],[Dest Alc]:[Dest Mas]])+Rezone!L132+IF("Ch_"&amp; home_land=TblConstr[[#Headers],[Ch_Plain]],TblConstr[[#This Row],[Home Land]])+IF(TblConstr[[#This Row],[Hour]:[Hour]]&gt;12,OFFSET(TblExplore[[#This Row],[Plains Explore]],-12,0),0)</f>
        <v>0</v>
      </c>
      <c r="CR132" s="182">
        <f ca="1">-SUM(TblConstr[[#This Row],[Ly]:[Hav]])+SUM(TblConstr[[#This Row],[Dest Ly]:[Dest Hav]]) +Rezone!M132 + IF("Ch_"&amp; home_land=TblConstr[[#Headers],[Ch_Forest]],TblConstr[[#This Row],[Home Land]])+IF(TblConstr[[#This Row],[Hour]:[Hour]]&gt;12,OFFSET(TblExplore[[#This Row],[Forest Explore]],-12,0),0)</f>
        <v>0</v>
      </c>
      <c r="CS132" s="359">
        <f ca="1">-SUM(TblConstr[[#This Row],[OM]:[GN]])+SUM(TblConstr[[#This Row],[Dest OM]:[Dest GN]]) +Rezone!N132 + IF("Ch_"&amp; home_land=TblConstr[[#Headers],[Ch_Mountain]],TblConstr[[#This Row],[Home Land]])+IF(TblConstr[[#This Row],[Hour]:[Hour]]&gt;12,OFFSET(TblExplore[[#This Row],[Mountain Explore]],-12,0),0)</f>
        <v>0</v>
      </c>
      <c r="CT132" s="183">
        <f ca="1">-SUM(TblConstr[[#This Row],[Fac]:[Shr]])+SUM(TblConstr[[#This Row],[Dest Fac]:[Dest Shr]]) +Rezone!O132 + IF("Ch_" &amp; home_land=TblConstr[[#Headers],[Ch_Hill]],TblConstr[[#This Row],[Home Land]])+IF(TblConstr[[#This Row],[Hour]:[Hour]]&gt;12,OFFSET(TblExplore[[#This Row],[Hill Explore]],-12,0),0)</f>
        <v>0</v>
      </c>
      <c r="CU132" s="184">
        <f ca="1">-SUM(TblConstr[[#This Row],[Tow]:[WG]])+SUM(TblConstr[[#This Row],[Dest Tow]:[Dest WG]]) +Rezone!P132 + IF("Ch_" &amp; home_land=TblConstr[[#Headers],[Ch_Swamp]],TblConstr[[#This Row],[Home Land]])+IF(TblConstr[[#This Row],[Hour]:[Hour]]&gt;12,OFFSET(TblExplore[[#This Row],[Swamp Explore]],-12,0),0)</f>
        <v>0</v>
      </c>
      <c r="CV132" s="185">
        <f ca="1" xml:space="preserve"> - SUM(TblConstr[[#This Row],[DM]:[Sch]])+SUM(TblConstr[[#This Row],[Dest DM]:[Dest Sch]]) +Rezone!Q132 + IF("Ch_" &amp; home_land=TblConstr[[#Headers],[Ch_Cavern]],TblConstr[[#This Row],[Home Land]])+IF(TblConstr[[#This Row],[Hour]:[Hour]]&gt;12,OFFSET(TblExplore[[#This Row],[Cavern Explore]],-12,0),0)</f>
        <v>0</v>
      </c>
      <c r="CW132" s="186">
        <f ca="1">-TblConstr[[#This Row],[Doc]]+TblConstr[[#This Row],[Dest Doc]] +Rezone!R132 + IF("Ch_" &amp; home_land=TblConstr[[#Headers],[Ch_Water]],TblConstr[[#This Row],[Home Land]])+IF(TblConstr[[#This Row],[Hour]:[Hour]]&gt;12,OFFSET(TblExplore[[#This Row],[Water Explore]],-12,0),0)</f>
        <v>0</v>
      </c>
      <c r="CX132" s="45">
        <f>IF(Explore!S132=1,20) - TblConstr[[#This Row],[Hom]] + TblConstr[[#This Row],[Dest Hom]]</f>
        <v>0</v>
      </c>
      <c r="CY132" s="142"/>
      <c r="CZ132" s="94">
        <f ca="1">G132+SUM(P121:S132)+SUM(AZ132:BC132)</f>
        <v>30</v>
      </c>
      <c r="DA132" s="94">
        <f ca="1">H132+SUM(T121:U132)+SUM(BD132:BE132)</f>
        <v>20</v>
      </c>
      <c r="DB132" s="45">
        <f ca="1">I132+SUM(V121:W132)+SUM(BF132:BG132)</f>
        <v>0</v>
      </c>
      <c r="DC132" s="94">
        <f ca="1">J132+SUM(X121:Y132)+SUM(BH132:BI132)</f>
        <v>0</v>
      </c>
      <c r="DD132" s="94">
        <f ca="1">K132+SUM(AB121:AD132)+SUM(BL132:BN132)</f>
        <v>0</v>
      </c>
      <c r="DE132" s="45">
        <f ca="1">L132+SUM(AE121:AE132)+BO132</f>
        <v>0</v>
      </c>
      <c r="DF132" s="94">
        <f ca="1">M132+SUM(AG121:AG132)+BQ132</f>
        <v>0</v>
      </c>
      <c r="DG132" s="94" cm="1">
        <f t="array" aca="1" ref="DG132" ca="1">INDEX(TblConstr[[Total Plain]:[Total Water]],ROW()-ROW(TblConstr[#Headers]),MATCH("Total "&amp;home_land,TblConstr[[#Headers],[Total Plain]:[Total Water]],0))+TblConstr[[#This Row],[Homes]]</f>
        <v>30</v>
      </c>
      <c r="DH132" s="45">
        <f ca="1">SUM(O121:O132)+AY132</f>
        <v>0</v>
      </c>
      <c r="DI132" s="45">
        <f ca="1">MAX(BA132-BA131,0)</f>
        <v>0</v>
      </c>
      <c r="DJ132" s="45">
        <f ca="1">MAX(BQ132-BQ131,0)</f>
        <v>0</v>
      </c>
    </row>
    <row r="133" spans="1:114" x14ac:dyDescent="0.2">
      <c r="A133" s="175">
        <f>TblRezone[[#This Row],[Hour]]</f>
        <v>130</v>
      </c>
      <c r="B133" s="176">
        <f ca="1">SUM(TblConstr[[#This Row],[Plain]:[Water]])</f>
        <v>0</v>
      </c>
      <c r="C133" s="177">
        <f ca="1">SUM(TblConstr[[#This Row],[Tot Hom]:[Tot Doc]])</f>
        <v>50</v>
      </c>
      <c r="D133" s="177">
        <f>SUM(O122:AG133)</f>
        <v>0</v>
      </c>
      <c r="E133" s="178"/>
      <c r="F133" s="61">
        <f ca="1">TblConstr[[#This Row],[Barren]]+TblConstr[[#This Row],[Buildings]]+TblConstr[[#This Row],[Incoming]]</f>
        <v>50</v>
      </c>
      <c r="G133" s="187">
        <f ca="1">OFFSET(TblConstr[[#This Row],[Plain]],-1,0)+TblConstr[[#This Row],[Ch_Plain]]</f>
        <v>0</v>
      </c>
      <c r="H133" s="182">
        <f ca="1">OFFSET(TblConstr[[#This Row],[Forest]],-1,0)+TblConstr[[#This Row],[Ch_Forest]]</f>
        <v>0</v>
      </c>
      <c r="I133" s="359">
        <f ca="1">OFFSET(TblConstr[[#This Row],[Mountain]],-1,0)+TblConstr[[#This Row],[Ch_Mountain]]</f>
        <v>0</v>
      </c>
      <c r="J133" s="363">
        <f ca="1">OFFSET(TblConstr[[#This Row],[Hill]],-1,0)+TblConstr[[#This Row],[Ch_Hill]]</f>
        <v>0</v>
      </c>
      <c r="K133" s="367">
        <f ca="1">OFFSET(TblConstr[[#This Row],[Swamp]],-1,0)+TblConstr[[#This Row],[Ch_Swamp]]</f>
        <v>0</v>
      </c>
      <c r="L133" s="185">
        <f ca="1">OFFSET(TblConstr[[#This Row],[Cavern]],-1,0)+TblConstr[[#This Row],[Ch_Cavern]]</f>
        <v>0</v>
      </c>
      <c r="M133" s="186">
        <f ca="1">OFFSET(TblConstr[[#This Row],[Water]],-1,0)+TblConstr[[#This Row],[Ch_Water]]</f>
        <v>0</v>
      </c>
      <c r="N133" s="357">
        <f>TblRezone[[#This Row],[Hour]]</f>
        <v>130</v>
      </c>
      <c r="O133" s="179"/>
      <c r="P133" s="179"/>
      <c r="Q133" s="179"/>
      <c r="R133" s="179"/>
      <c r="S133" s="179"/>
      <c r="T133" s="179"/>
      <c r="U133" s="179"/>
      <c r="V133" s="179"/>
      <c r="W133" s="179"/>
      <c r="X133" s="179"/>
      <c r="Y133" s="179"/>
      <c r="Z133" s="179"/>
      <c r="AA133" s="179"/>
      <c r="AB133" s="179"/>
      <c r="AC133" s="179"/>
      <c r="AD133" s="179"/>
      <c r="AE133" s="179"/>
      <c r="AF133" s="179"/>
      <c r="AG133" s="179"/>
      <c r="AH133" s="53">
        <f ca="1">TblImps[[#This Row],[Time]]</f>
        <v>46325.374999999687</v>
      </c>
      <c r="AI133" s="180">
        <f ca="1">MIN(25%,(TblConstr[[#This Row],[Tot Fac]]+TblConstr[[#This Row],[Dest Fac]])/(TblConstr[[#This Row],[Land]]-TblExplore[[#This Row],[Land Bonus]]*20))</f>
        <v>0</v>
      </c>
      <c r="AJ133" s="180">
        <f ca="1">MIN(25%,(TblConstr[[#This Row],[Tot Fac]]+TblConstr[[#This Row],[Dest Fac]])/TblConstr[[#This Row],[Land]])</f>
        <v>0</v>
      </c>
      <c r="AK133" s="94">
        <f ca="1">TblProd[[#This Row],[Platinum]]</f>
        <v>212284</v>
      </c>
      <c r="AL133" s="94">
        <f ca="1">TblProd[[#This Row],[Lumber]]</f>
        <v>76751</v>
      </c>
      <c r="AM1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3" s="94">
        <f ca="1">ROUNDDOWN( MAX(1 - MIN(facs_constr_factor*TblConstr[[#This Row],[Facs -DB]],facs_constr_max) + tech_1_11*TblTech[[#This Row],[11-1]] + tech_6_3_2*TblTech[[#This Row],[6-3]] + tech_5_2_3*TblTech[[#This Row],[5-2]], 1-global_constr_cap) * TblConstr[[#This Row],[RCPA Lumber]],0)</f>
        <v>31</v>
      </c>
      <c r="AO1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3" s="94">
        <f ca="1">ROUNDDOWN( MAX(1 - MIN(facs_constr_factor*TblConstr[[#This Row],[Facs DB]],facs_constr_max) + tech_1_11*TblTech[[#This Row],[1-11]] + tech_6_3_2*TblTech[[#This Row],[6-3]] + tech_5_2_3*TblTech[[#This Row],[5-2]], 1-global_constr_cap) * ROUND((TblConstr[[#This Row],[Land]]-250)*0.285 + 87.5 + 0/4.25,0),0)</f>
        <v>31</v>
      </c>
      <c r="AQ133" s="45">
        <f ca="1">TblConstr[[#This Row],[build -db]]*TblConstr[[#This Row],[CPA Platinum -DB]] + TblConstr[[#This Row],[build db]]*TblConstr[[#This Row],[CPA Platinum DB]]</f>
        <v>0</v>
      </c>
      <c r="AR133" s="45">
        <f ca="1">TblConstr[[#This Row],[build -db]]*TblConstr[[#This Row],[CPA Lumber -DB]] + TblConstr[[#This Row],[build db]]*TblConstr[[#This Row],[CPA Lumber DB]]</f>
        <v>0</v>
      </c>
      <c r="AS133" s="94">
        <f ca="1">MIN(SUM(OFFSET(TblConstr[[#This Row],[Plain]:[Water]],-1,0))+SUM(TblConstr[[#This Row],[Dest Hom]:[Dest Doc]])+IF(TblConstr[[#This Row],[Hour]]&gt;12,SUM(OFFSET(TblExplore[[#This Row],[Plains Explore]:[Water Explore]],-12,0)),0),SUM(TblConstr[[#This Row],[Hom]:[Doc]]))</f>
        <v>0</v>
      </c>
      <c r="AT1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42"/>
      <c r="AV133" s="94">
        <f ca="1">ROUND((TblConstr[[#This Row],[Land]]-250 - IF(TblExplore[[#This Row],[Land Bonus]]&lt;&gt;0,20,0))*1.25 + 850 + 0,0)</f>
        <v>600</v>
      </c>
      <c r="AW133" s="94">
        <f ca="1">ROUND((TblConstr[[#This Row],[Land]]-250 - IF(TblExplore[[#This Row],[Land Bonus]]&lt;&gt;0,20,0))*0.285 + 87.5 + 0/4.25,0)</f>
        <v>31</v>
      </c>
      <c r="AX133" s="154"/>
      <c r="AY133" s="188" cm="1">
        <f t="array" aca="1" ref="AY133" ca="1">IF(TblConstr[[#This Row],[Hour]:[Hour]]&gt;12,OFFSET(TblConstr[[#This Row],[Hom]],-12,0),0)+OFFSET(TblConstr[[#This Row],[Tot Hom]],-1,0)-TblConstr[[#This Row],[Dest Hom]]</f>
        <v>0</v>
      </c>
      <c r="AZ133" s="189" cm="1">
        <f t="array" aca="1" ref="AZ133" ca="1">IF(TblConstr[[#This Row],[Hour]:[Hour]]&gt;12,OFFSET(TblConstr[[#This Row],[Alc]],-12,0),0)+OFFSET(TblConstr[[#This Row],[Tot Alc]],-1,0)-TblConstr[[#This Row],[Dest Alc]]</f>
        <v>0</v>
      </c>
      <c r="BA133" s="189" cm="1">
        <f t="array" aca="1" ref="BA133" ca="1">IF(TblConstr[[#This Row],[Hour]:[Hour]]&gt;12,OFFSET(TblConstr[[#This Row],[Far]],-12,0),0)+OFFSET(TblConstr[[#This Row],[Tot Farm]],-1,0)-TblConstr[[#This Row],[Dest Farm]]</f>
        <v>30</v>
      </c>
      <c r="BB133" s="189" cm="1">
        <f t="array" aca="1" ref="BB133" ca="1">IF(TblConstr[[#This Row],[Hour]:[Hour]]&gt;12,OFFSET(TblConstr[[#This Row],[Smi]],-12,0),0)+OFFSET(TblConstr[[#This Row],[Tot Smi]],-1,0)-TblConstr[[#This Row],[Dest Smi]]</f>
        <v>0</v>
      </c>
      <c r="BC133" s="189" cm="1">
        <f t="array" aca="1" ref="BC133" ca="1">IF(TblConstr[[#This Row],[Hour]:[Hour]]&gt;12,OFFSET(TblConstr[[#This Row],[Mas]],-12,0),0)+OFFSET(TblConstr[[#This Row],[Tot Mas]],-1,0)-TblConstr[[#This Row],[Dest Mas]]</f>
        <v>0</v>
      </c>
      <c r="BD133" s="190" cm="1">
        <f t="array" aca="1" ref="BD133" ca="1">IF(TblConstr[[#This Row],[Hour]:[Hour]]&gt;12,OFFSET(TblConstr[[#This Row],[Ly]],-12,0),0)+OFFSET(TblConstr[[#This Row],[Tot Ly]],-1,0)-TblConstr[[#This Row],[Dest Ly]]</f>
        <v>20</v>
      </c>
      <c r="BE133" s="190" cm="1">
        <f t="array" aca="1" ref="BE133" ca="1">IF(TblConstr[[#This Row],[Hour]:[Hour]]&gt;12,OFFSET(TblConstr[[#This Row],[Hav]],-12,0),0)+OFFSET(TblConstr[[#This Row],[Tot Hav]],-1,0)-TblConstr[[#This Row],[Dest Hav]]</f>
        <v>0</v>
      </c>
      <c r="BF133" s="361" cm="1">
        <f t="array" aca="1" ref="BF133" ca="1">IF(TblConstr[[#This Row],[Hour]:[Hour]]&gt;12,OFFSET(TblConstr[[#This Row],[OM]],-12,0),0)+OFFSET(TblConstr[[#This Row],[Tot OM]],-1,0)-TblConstr[[#This Row],[Dest OM]]</f>
        <v>0</v>
      </c>
      <c r="BG133" s="361" cm="1">
        <f t="array" aca="1" ref="BG133" ca="1">IF(TblConstr[[#This Row],[Hour]:[Hour]]&gt;12,OFFSET(TblConstr[[#This Row],[GN]],-12,0),0)+OFFSET(TblConstr[[#This Row],[Tot GN]],-1,0)-TblConstr[[#This Row],[Dest GN]]</f>
        <v>0</v>
      </c>
      <c r="BH133" s="365" cm="1">
        <f t="array" aca="1" ref="BH133" ca="1">IF(TblConstr[[#This Row],[Hour]:[Hour]]&gt;12,OFFSET(TblConstr[[#This Row],[Fac]],-12,0),0)+OFFSET(TblConstr[[#This Row],[Tot Fac]],-1,0)-TblConstr[[#This Row],[Dest Fac]]</f>
        <v>0</v>
      </c>
      <c r="BI133" s="365" cm="1">
        <f t="array" aca="1" ref="BI133" ca="1">IF(TblConstr[[#This Row],[Hour]:[Hour]]&gt;12,OFFSET(TblConstr[[#This Row],[GT]],-12,0),0)+OFFSET(TblConstr[[#This Row],[Tot GT]],-1,0)-TblConstr[[#This Row],[Dest GT]]</f>
        <v>0</v>
      </c>
      <c r="BJ133" s="365" cm="1">
        <f t="array" aca="1" ref="BJ133" ca="1">IF(TblConstr[[#This Row],[Hour]:[Hour]]&gt;12,OFFSET(TblConstr[[#This Row],[Bar]],-12,0),0)+OFFSET(TblConstr[[#This Row],[Tot Bar]],-1,0)-TblConstr[[#This Row],[Dest Bar]]</f>
        <v>0</v>
      </c>
      <c r="BK133" s="365" cm="1">
        <f t="array" aca="1" ref="BK133" ca="1">IF(TblConstr[[#This Row],[Hour]:[Hour]]&gt;12,OFFSET(TblConstr[[#This Row],[Shr]],-12,0),0)+OFFSET(TblConstr[[#This Row],[Tot Shr]],-1,0)-TblConstr[[#This Row],[Dest Shr]]</f>
        <v>0</v>
      </c>
      <c r="BL133" s="369" cm="1">
        <f t="array" aca="1" ref="BL133" ca="1">IF(TblConstr[[#This Row],[Hour]:[Hour]]&gt;12,OFFSET(TblConstr[[#This Row],[Tow]],-12,0),0)+OFFSET(TblConstr[[#This Row],[Tot Tow]],-1,0)-TblConstr[[#This Row],[Dest Tow]]</f>
        <v>0</v>
      </c>
      <c r="BM133" s="369" cm="1">
        <f t="array" aca="1" ref="BM133" ca="1">IF(TblConstr[[#This Row],[Hour]:[Hour]]&gt;12,OFFSET(TblConstr[[#This Row],[Tem]],-12,0),0)+OFFSET(TblConstr[[#This Row],[Tot Tem]],-1,0)-TblConstr[[#This Row],[Dest Tem]]</f>
        <v>0</v>
      </c>
      <c r="BN133" s="369" cm="1">
        <f t="array" aca="1" ref="BN133" ca="1">IF(TblConstr[[#This Row],[Hour]:[Hour]]&gt;12,OFFSET(TblConstr[[#This Row],[WG]],-12,0),0)+OFFSET(TblConstr[[#This Row],[Tot WG]],-1,0)-TblConstr[[#This Row],[Dest WG]]</f>
        <v>0</v>
      </c>
      <c r="BO133" s="191" cm="1">
        <f t="array" aca="1" ref="BO133" ca="1">IF(TblConstr[[#This Row],[Hour]:[Hour]]&gt;12,OFFSET(TblConstr[[#This Row],[DM]],-12,0),0)+OFFSET(TblConstr[[#This Row],[Tot DM]],-1,0)-TblConstr[[#This Row],[Dest DM]]</f>
        <v>0</v>
      </c>
      <c r="BP133" s="191" cm="1">
        <f t="array" aca="1" ref="BP133" ca="1">IF(TblConstr[[#This Row],[Hour]:[Hour]]&gt;12,OFFSET(TblConstr[[#This Row],[Sch]],-12,0),0)+OFFSET(TblConstr[[#This Row],[Tot Sch]],-1,0)-TblConstr[[#This Row],[Dest Sch]]</f>
        <v>0</v>
      </c>
      <c r="BQ133" s="192" cm="1">
        <f t="array" aca="1" ref="BQ133" ca="1">IF(TblConstr[[#This Row],[Hour]:[Hour]]&gt;12,OFFSET(TblConstr[[#This Row],[Doc]],-12,0),0)+OFFSET(TblConstr[[#This Row],[Tot Doc]],-1,0)-TblConstr[[#This Row],[Dest Doc]]</f>
        <v>0</v>
      </c>
      <c r="BR133" s="142"/>
      <c r="BS133" s="154"/>
      <c r="BT133" s="94">
        <f ca="1">TblConstr[[#This Row],[Land]]</f>
        <v>50</v>
      </c>
      <c r="BU133" s="159">
        <f ca="1">TblImps[[#This Row],[Time]]</f>
        <v>46325.374999999687</v>
      </c>
      <c r="BV133" s="142"/>
      <c r="BW133" s="179"/>
      <c r="BX133" s="179"/>
      <c r="BY133" s="179"/>
      <c r="BZ133" s="179"/>
      <c r="CA133" s="179"/>
      <c r="CB133" s="179"/>
      <c r="CC133" s="179"/>
      <c r="CD133" s="179"/>
      <c r="CE133" s="179"/>
      <c r="CF133" s="179"/>
      <c r="CG133" s="179"/>
      <c r="CH133" s="179"/>
      <c r="CI133" s="179"/>
      <c r="CJ133" s="179"/>
      <c r="CK133" s="179"/>
      <c r="CL133" s="179"/>
      <c r="CM133" s="179"/>
      <c r="CN133" s="179"/>
      <c r="CO133" s="179"/>
      <c r="CP133" s="142"/>
      <c r="CQ133" s="181">
        <f ca="1">-SUM(TblConstr[[#This Row],[Alc]:[Mas]])+SUM(TblConstr[[#This Row],[Dest Alc]:[Dest Mas]])+Rezone!L133+IF("Ch_"&amp; home_land=TblConstr[[#Headers],[Ch_Plain]],TblConstr[[#This Row],[Home Land]])+IF(TblConstr[[#This Row],[Hour]:[Hour]]&gt;12,OFFSET(TblExplore[[#This Row],[Plains Explore]],-12,0),0)</f>
        <v>0</v>
      </c>
      <c r="CR133" s="182">
        <f ca="1">-SUM(TblConstr[[#This Row],[Ly]:[Hav]])+SUM(TblConstr[[#This Row],[Dest Ly]:[Dest Hav]]) +Rezone!M133 + IF("Ch_"&amp; home_land=TblConstr[[#Headers],[Ch_Forest]],TblConstr[[#This Row],[Home Land]])+IF(TblConstr[[#This Row],[Hour]:[Hour]]&gt;12,OFFSET(TblExplore[[#This Row],[Forest Explore]],-12,0),0)</f>
        <v>0</v>
      </c>
      <c r="CS133" s="359">
        <f ca="1">-SUM(TblConstr[[#This Row],[OM]:[GN]])+SUM(TblConstr[[#This Row],[Dest OM]:[Dest GN]]) +Rezone!N133 + IF("Ch_"&amp; home_land=TblConstr[[#Headers],[Ch_Mountain]],TblConstr[[#This Row],[Home Land]])+IF(TblConstr[[#This Row],[Hour]:[Hour]]&gt;12,OFFSET(TblExplore[[#This Row],[Mountain Explore]],-12,0),0)</f>
        <v>0</v>
      </c>
      <c r="CT133" s="183">
        <f ca="1">-SUM(TblConstr[[#This Row],[Fac]:[Shr]])+SUM(TblConstr[[#This Row],[Dest Fac]:[Dest Shr]]) +Rezone!O133 + IF("Ch_" &amp; home_land=TblConstr[[#Headers],[Ch_Hill]],TblConstr[[#This Row],[Home Land]])+IF(TblConstr[[#This Row],[Hour]:[Hour]]&gt;12,OFFSET(TblExplore[[#This Row],[Hill Explore]],-12,0),0)</f>
        <v>0</v>
      </c>
      <c r="CU133" s="184">
        <f ca="1">-SUM(TblConstr[[#This Row],[Tow]:[WG]])+SUM(TblConstr[[#This Row],[Dest Tow]:[Dest WG]]) +Rezone!P133 + IF("Ch_" &amp; home_land=TblConstr[[#Headers],[Ch_Swamp]],TblConstr[[#This Row],[Home Land]])+IF(TblConstr[[#This Row],[Hour]:[Hour]]&gt;12,OFFSET(TblExplore[[#This Row],[Swamp Explore]],-12,0),0)</f>
        <v>0</v>
      </c>
      <c r="CV133" s="185">
        <f ca="1" xml:space="preserve"> - SUM(TblConstr[[#This Row],[DM]:[Sch]])+SUM(TblConstr[[#This Row],[Dest DM]:[Dest Sch]]) +Rezone!Q133 + IF("Ch_" &amp; home_land=TblConstr[[#Headers],[Ch_Cavern]],TblConstr[[#This Row],[Home Land]])+IF(TblConstr[[#This Row],[Hour]:[Hour]]&gt;12,OFFSET(TblExplore[[#This Row],[Cavern Explore]],-12,0),0)</f>
        <v>0</v>
      </c>
      <c r="CW133" s="186">
        <f ca="1">-TblConstr[[#This Row],[Doc]]+TblConstr[[#This Row],[Dest Doc]] +Rezone!R133 + IF("Ch_" &amp; home_land=TblConstr[[#Headers],[Ch_Water]],TblConstr[[#This Row],[Home Land]])+IF(TblConstr[[#This Row],[Hour]:[Hour]]&gt;12,OFFSET(TblExplore[[#This Row],[Water Explore]],-12,0),0)</f>
        <v>0</v>
      </c>
      <c r="CX133" s="45">
        <f>IF(Explore!S133=1,20) - TblConstr[[#This Row],[Hom]] + TblConstr[[#This Row],[Dest Hom]]</f>
        <v>0</v>
      </c>
      <c r="CY133" s="142"/>
      <c r="CZ133" s="94">
        <f ca="1">G133+SUM(P122:S133)+SUM(AZ133:BC133)</f>
        <v>30</v>
      </c>
      <c r="DA133" s="94">
        <f ca="1">H133+SUM(T122:U133)+SUM(BD133:BE133)</f>
        <v>20</v>
      </c>
      <c r="DB133" s="45">
        <f ca="1">I133+SUM(V122:W133)+SUM(BF133:BG133)</f>
        <v>0</v>
      </c>
      <c r="DC133" s="94">
        <f ca="1">J133+SUM(X122:Y133)+SUM(BH133:BI133)</f>
        <v>0</v>
      </c>
      <c r="DD133" s="94">
        <f ca="1">K133+SUM(AB122:AD133)+SUM(BL133:BN133)</f>
        <v>0</v>
      </c>
      <c r="DE133" s="45">
        <f ca="1">L133+SUM(AE122:AE133)+BO133</f>
        <v>0</v>
      </c>
      <c r="DF133" s="94">
        <f ca="1">M133+SUM(AG122:AG133)+BQ133</f>
        <v>0</v>
      </c>
      <c r="DG133" s="94" cm="1">
        <f t="array" aca="1" ref="DG133" ca="1">INDEX(TblConstr[[Total Plain]:[Total Water]],ROW()-ROW(TblConstr[#Headers]),MATCH("Total "&amp;home_land,TblConstr[[#Headers],[Total Plain]:[Total Water]],0))+TblConstr[[#This Row],[Homes]]</f>
        <v>30</v>
      </c>
      <c r="DH133" s="45">
        <f ca="1">SUM(O122:O133)+AY133</f>
        <v>0</v>
      </c>
      <c r="DI133" s="45">
        <f t="shared" ca="1" si="19"/>
        <v>0</v>
      </c>
      <c r="DJ133" s="45">
        <f t="shared" ca="1" si="20"/>
        <v>0</v>
      </c>
    </row>
    <row r="134" spans="1:114" x14ac:dyDescent="0.2">
      <c r="A134" s="175">
        <f>TblRezone[[#This Row],[Hour]]</f>
        <v>131</v>
      </c>
      <c r="B134" s="176">
        <f ca="1">SUM(TblConstr[[#This Row],[Plain]:[Water]])</f>
        <v>0</v>
      </c>
      <c r="C134" s="177">
        <f ca="1">SUM(TblConstr[[#This Row],[Tot Hom]:[Tot Doc]])</f>
        <v>50</v>
      </c>
      <c r="D134" s="177">
        <f>SUM(O123:AG134)</f>
        <v>0</v>
      </c>
      <c r="E134" s="178"/>
      <c r="F134" s="61">
        <f ca="1">TblConstr[[#This Row],[Barren]]+TblConstr[[#This Row],[Buildings]]+TblConstr[[#This Row],[Incoming]]</f>
        <v>50</v>
      </c>
      <c r="G134" s="187">
        <f ca="1">OFFSET(TblConstr[[#This Row],[Plain]],-1,0)+TblConstr[[#This Row],[Ch_Plain]]</f>
        <v>0</v>
      </c>
      <c r="H134" s="182">
        <f ca="1">OFFSET(TblConstr[[#This Row],[Forest]],-1,0)+TblConstr[[#This Row],[Ch_Forest]]</f>
        <v>0</v>
      </c>
      <c r="I134" s="359">
        <f ca="1">OFFSET(TblConstr[[#This Row],[Mountain]],-1,0)+TblConstr[[#This Row],[Ch_Mountain]]</f>
        <v>0</v>
      </c>
      <c r="J134" s="363">
        <f ca="1">OFFSET(TblConstr[[#This Row],[Hill]],-1,0)+TblConstr[[#This Row],[Ch_Hill]]</f>
        <v>0</v>
      </c>
      <c r="K134" s="367">
        <f ca="1">OFFSET(TblConstr[[#This Row],[Swamp]],-1,0)+TblConstr[[#This Row],[Ch_Swamp]]</f>
        <v>0</v>
      </c>
      <c r="L134" s="185">
        <f ca="1">OFFSET(TblConstr[[#This Row],[Cavern]],-1,0)+TblConstr[[#This Row],[Ch_Cavern]]</f>
        <v>0</v>
      </c>
      <c r="M134" s="186">
        <f ca="1">OFFSET(TblConstr[[#This Row],[Water]],-1,0)+TblConstr[[#This Row],[Ch_Water]]</f>
        <v>0</v>
      </c>
      <c r="N134" s="357">
        <f>TblRezone[[#This Row],[Hour]]</f>
        <v>131</v>
      </c>
      <c r="O134" s="179"/>
      <c r="P134" s="179"/>
      <c r="Q134" s="179"/>
      <c r="R134" s="179"/>
      <c r="S134" s="179"/>
      <c r="T134" s="179"/>
      <c r="U134" s="179"/>
      <c r="V134" s="179"/>
      <c r="W134" s="179"/>
      <c r="X134" s="179"/>
      <c r="Y134" s="179"/>
      <c r="Z134" s="179"/>
      <c r="AA134" s="179"/>
      <c r="AB134" s="179"/>
      <c r="AC134" s="179"/>
      <c r="AD134" s="179"/>
      <c r="AE134" s="179"/>
      <c r="AF134" s="179"/>
      <c r="AG134" s="179"/>
      <c r="AH134" s="53">
        <f ca="1">TblImps[[#This Row],[Time]]</f>
        <v>46325.416666666351</v>
      </c>
      <c r="AI134" s="180">
        <f ca="1">MIN(25%,(TblConstr[[#This Row],[Tot Fac]]+TblConstr[[#This Row],[Dest Fac]])/(TblConstr[[#This Row],[Land]]-TblExplore[[#This Row],[Land Bonus]]*20))</f>
        <v>0</v>
      </c>
      <c r="AJ134" s="180">
        <f ca="1">MIN(25%,(TblConstr[[#This Row],[Tot Fac]]+TblConstr[[#This Row],[Dest Fac]])/TblConstr[[#This Row],[Land]])</f>
        <v>0</v>
      </c>
      <c r="AK134" s="94">
        <f ca="1">TblProd[[#This Row],[Platinum]]</f>
        <v>212640</v>
      </c>
      <c r="AL134" s="94">
        <f ca="1">TblProd[[#This Row],[Lumber]]</f>
        <v>76983</v>
      </c>
      <c r="AM1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4" s="94">
        <f ca="1">ROUNDDOWN( MAX(1 - MIN(facs_constr_factor*TblConstr[[#This Row],[Facs -DB]],facs_constr_max) + tech_1_11*TblTech[[#This Row],[11-1]] + tech_6_3_2*TblTech[[#This Row],[6-3]] + tech_5_2_3*TblTech[[#This Row],[5-2]], 1-global_constr_cap) * TblConstr[[#This Row],[RCPA Lumber]],0)</f>
        <v>31</v>
      </c>
      <c r="AO1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4" s="94">
        <f ca="1">ROUNDDOWN( MAX(1 - MIN(facs_constr_factor*TblConstr[[#This Row],[Facs DB]],facs_constr_max) + tech_1_11*TblTech[[#This Row],[1-11]] + tech_6_3_2*TblTech[[#This Row],[6-3]] + tech_5_2_3*TblTech[[#This Row],[5-2]], 1-global_constr_cap) * ROUND((TblConstr[[#This Row],[Land]]-250)*0.285 + 87.5 + 0/4.25,0),0)</f>
        <v>31</v>
      </c>
      <c r="AQ134" s="45">
        <f ca="1">TblConstr[[#This Row],[build -db]]*TblConstr[[#This Row],[CPA Platinum -DB]] + TblConstr[[#This Row],[build db]]*TblConstr[[#This Row],[CPA Platinum DB]]</f>
        <v>0</v>
      </c>
      <c r="AR134" s="45">
        <f ca="1">TblConstr[[#This Row],[build -db]]*TblConstr[[#This Row],[CPA Lumber -DB]] + TblConstr[[#This Row],[build db]]*TblConstr[[#This Row],[CPA Lumber DB]]</f>
        <v>0</v>
      </c>
      <c r="AS134" s="94">
        <f ca="1">MIN(SUM(OFFSET(TblConstr[[#This Row],[Plain]:[Water]],-1,0))+SUM(TblConstr[[#This Row],[Dest Hom]:[Dest Doc]])+IF(TblConstr[[#This Row],[Hour]]&gt;12,SUM(OFFSET(TblExplore[[#This Row],[Plains Explore]:[Water Explore]],-12,0)),0),SUM(TblConstr[[#This Row],[Hom]:[Doc]]))</f>
        <v>0</v>
      </c>
      <c r="AT1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42"/>
      <c r="AV134" s="94">
        <f ca="1">ROUND((TblConstr[[#This Row],[Land]]-250 - IF(TblExplore[[#This Row],[Land Bonus]]&lt;&gt;0,20,0))*1.25 + 850 + 0,0)</f>
        <v>600</v>
      </c>
      <c r="AW134" s="94">
        <f ca="1">ROUND((TblConstr[[#This Row],[Land]]-250 - IF(TblExplore[[#This Row],[Land Bonus]]&lt;&gt;0,20,0))*0.285 + 87.5 + 0/4.25,0)</f>
        <v>31</v>
      </c>
      <c r="AX134" s="154"/>
      <c r="AY134" s="188" cm="1">
        <f t="array" aca="1" ref="AY134" ca="1">IF(TblConstr[[#This Row],[Hour]:[Hour]]&gt;12,OFFSET(TblConstr[[#This Row],[Hom]],-12,0),0)+OFFSET(TblConstr[[#This Row],[Tot Hom]],-1,0)-TblConstr[[#This Row],[Dest Hom]]</f>
        <v>0</v>
      </c>
      <c r="AZ134" s="189" cm="1">
        <f t="array" aca="1" ref="AZ134" ca="1">IF(TblConstr[[#This Row],[Hour]:[Hour]]&gt;12,OFFSET(TblConstr[[#This Row],[Alc]],-12,0),0)+OFFSET(TblConstr[[#This Row],[Tot Alc]],-1,0)-TblConstr[[#This Row],[Dest Alc]]</f>
        <v>0</v>
      </c>
      <c r="BA134" s="189" cm="1">
        <f t="array" aca="1" ref="BA134" ca="1">IF(TblConstr[[#This Row],[Hour]:[Hour]]&gt;12,OFFSET(TblConstr[[#This Row],[Far]],-12,0),0)+OFFSET(TblConstr[[#This Row],[Tot Farm]],-1,0)-TblConstr[[#This Row],[Dest Farm]]</f>
        <v>30</v>
      </c>
      <c r="BB134" s="189" cm="1">
        <f t="array" aca="1" ref="BB134" ca="1">IF(TblConstr[[#This Row],[Hour]:[Hour]]&gt;12,OFFSET(TblConstr[[#This Row],[Smi]],-12,0),0)+OFFSET(TblConstr[[#This Row],[Tot Smi]],-1,0)-TblConstr[[#This Row],[Dest Smi]]</f>
        <v>0</v>
      </c>
      <c r="BC134" s="189" cm="1">
        <f t="array" aca="1" ref="BC134" ca="1">IF(TblConstr[[#This Row],[Hour]:[Hour]]&gt;12,OFFSET(TblConstr[[#This Row],[Mas]],-12,0),0)+OFFSET(TblConstr[[#This Row],[Tot Mas]],-1,0)-TblConstr[[#This Row],[Dest Mas]]</f>
        <v>0</v>
      </c>
      <c r="BD134" s="190" cm="1">
        <f t="array" aca="1" ref="BD134" ca="1">IF(TblConstr[[#This Row],[Hour]:[Hour]]&gt;12,OFFSET(TblConstr[[#This Row],[Ly]],-12,0),0)+OFFSET(TblConstr[[#This Row],[Tot Ly]],-1,0)-TblConstr[[#This Row],[Dest Ly]]</f>
        <v>20</v>
      </c>
      <c r="BE134" s="190" cm="1">
        <f t="array" aca="1" ref="BE134" ca="1">IF(TblConstr[[#This Row],[Hour]:[Hour]]&gt;12,OFFSET(TblConstr[[#This Row],[Hav]],-12,0),0)+OFFSET(TblConstr[[#This Row],[Tot Hav]],-1,0)-TblConstr[[#This Row],[Dest Hav]]</f>
        <v>0</v>
      </c>
      <c r="BF134" s="361" cm="1">
        <f t="array" aca="1" ref="BF134" ca="1">IF(TblConstr[[#This Row],[Hour]:[Hour]]&gt;12,OFFSET(TblConstr[[#This Row],[OM]],-12,0),0)+OFFSET(TblConstr[[#This Row],[Tot OM]],-1,0)-TblConstr[[#This Row],[Dest OM]]</f>
        <v>0</v>
      </c>
      <c r="BG134" s="361" cm="1">
        <f t="array" aca="1" ref="BG134" ca="1">IF(TblConstr[[#This Row],[Hour]:[Hour]]&gt;12,OFFSET(TblConstr[[#This Row],[GN]],-12,0),0)+OFFSET(TblConstr[[#This Row],[Tot GN]],-1,0)-TblConstr[[#This Row],[Dest GN]]</f>
        <v>0</v>
      </c>
      <c r="BH134" s="365" cm="1">
        <f t="array" aca="1" ref="BH134" ca="1">IF(TblConstr[[#This Row],[Hour]:[Hour]]&gt;12,OFFSET(TblConstr[[#This Row],[Fac]],-12,0),0)+OFFSET(TblConstr[[#This Row],[Tot Fac]],-1,0)-TblConstr[[#This Row],[Dest Fac]]</f>
        <v>0</v>
      </c>
      <c r="BI134" s="365" cm="1">
        <f t="array" aca="1" ref="BI134" ca="1">IF(TblConstr[[#This Row],[Hour]:[Hour]]&gt;12,OFFSET(TblConstr[[#This Row],[GT]],-12,0),0)+OFFSET(TblConstr[[#This Row],[Tot GT]],-1,0)-TblConstr[[#This Row],[Dest GT]]</f>
        <v>0</v>
      </c>
      <c r="BJ134" s="365" cm="1">
        <f t="array" aca="1" ref="BJ134" ca="1">IF(TblConstr[[#This Row],[Hour]:[Hour]]&gt;12,OFFSET(TblConstr[[#This Row],[Bar]],-12,0),0)+OFFSET(TblConstr[[#This Row],[Tot Bar]],-1,0)-TblConstr[[#This Row],[Dest Bar]]</f>
        <v>0</v>
      </c>
      <c r="BK134" s="365" cm="1">
        <f t="array" aca="1" ref="BK134" ca="1">IF(TblConstr[[#This Row],[Hour]:[Hour]]&gt;12,OFFSET(TblConstr[[#This Row],[Shr]],-12,0),0)+OFFSET(TblConstr[[#This Row],[Tot Shr]],-1,0)-TblConstr[[#This Row],[Dest Shr]]</f>
        <v>0</v>
      </c>
      <c r="BL134" s="369" cm="1">
        <f t="array" aca="1" ref="BL134" ca="1">IF(TblConstr[[#This Row],[Hour]:[Hour]]&gt;12,OFFSET(TblConstr[[#This Row],[Tow]],-12,0),0)+OFFSET(TblConstr[[#This Row],[Tot Tow]],-1,0)-TblConstr[[#This Row],[Dest Tow]]</f>
        <v>0</v>
      </c>
      <c r="BM134" s="369" cm="1">
        <f t="array" aca="1" ref="BM134" ca="1">IF(TblConstr[[#This Row],[Hour]:[Hour]]&gt;12,OFFSET(TblConstr[[#This Row],[Tem]],-12,0),0)+OFFSET(TblConstr[[#This Row],[Tot Tem]],-1,0)-TblConstr[[#This Row],[Dest Tem]]</f>
        <v>0</v>
      </c>
      <c r="BN134" s="369" cm="1">
        <f t="array" aca="1" ref="BN134" ca="1">IF(TblConstr[[#This Row],[Hour]:[Hour]]&gt;12,OFFSET(TblConstr[[#This Row],[WG]],-12,0),0)+OFFSET(TblConstr[[#This Row],[Tot WG]],-1,0)-TblConstr[[#This Row],[Dest WG]]</f>
        <v>0</v>
      </c>
      <c r="BO134" s="191" cm="1">
        <f t="array" aca="1" ref="BO134" ca="1">IF(TblConstr[[#This Row],[Hour]:[Hour]]&gt;12,OFFSET(TblConstr[[#This Row],[DM]],-12,0),0)+OFFSET(TblConstr[[#This Row],[Tot DM]],-1,0)-TblConstr[[#This Row],[Dest DM]]</f>
        <v>0</v>
      </c>
      <c r="BP134" s="191" cm="1">
        <f t="array" aca="1" ref="BP134" ca="1">IF(TblConstr[[#This Row],[Hour]:[Hour]]&gt;12,OFFSET(TblConstr[[#This Row],[Sch]],-12,0),0)+OFFSET(TblConstr[[#This Row],[Tot Sch]],-1,0)-TblConstr[[#This Row],[Dest Sch]]</f>
        <v>0</v>
      </c>
      <c r="BQ134" s="192" cm="1">
        <f t="array" aca="1" ref="BQ134" ca="1">IF(TblConstr[[#This Row],[Hour]:[Hour]]&gt;12,OFFSET(TblConstr[[#This Row],[Doc]],-12,0),0)+OFFSET(TblConstr[[#This Row],[Tot Doc]],-1,0)-TblConstr[[#This Row],[Dest Doc]]</f>
        <v>0</v>
      </c>
      <c r="BR134" s="142"/>
      <c r="BS134" s="154"/>
      <c r="BT134" s="94">
        <f ca="1">TblConstr[[#This Row],[Land]]</f>
        <v>50</v>
      </c>
      <c r="BU134" s="159">
        <f ca="1">TblImps[[#This Row],[Time]]</f>
        <v>46325.416666666351</v>
      </c>
      <c r="BV134" s="142"/>
      <c r="BW134" s="179"/>
      <c r="BX134" s="179"/>
      <c r="BY134" s="179"/>
      <c r="BZ134" s="179"/>
      <c r="CA134" s="179"/>
      <c r="CB134" s="179"/>
      <c r="CC134" s="179"/>
      <c r="CD134" s="179"/>
      <c r="CE134" s="179"/>
      <c r="CF134" s="179"/>
      <c r="CG134" s="179"/>
      <c r="CH134" s="179"/>
      <c r="CI134" s="179"/>
      <c r="CJ134" s="179"/>
      <c r="CK134" s="179"/>
      <c r="CL134" s="179"/>
      <c r="CM134" s="179"/>
      <c r="CN134" s="179"/>
      <c r="CO134" s="179"/>
      <c r="CP134" s="142"/>
      <c r="CQ134" s="181">
        <f ca="1">-SUM(TblConstr[[#This Row],[Alc]:[Mas]])+SUM(TblConstr[[#This Row],[Dest Alc]:[Dest Mas]])+Rezone!L134+IF("Ch_"&amp; home_land=TblConstr[[#Headers],[Ch_Plain]],TblConstr[[#This Row],[Home Land]])+IF(TblConstr[[#This Row],[Hour]:[Hour]]&gt;12,OFFSET(TblExplore[[#This Row],[Plains Explore]],-12,0),0)</f>
        <v>0</v>
      </c>
      <c r="CR134" s="182">
        <f ca="1">-SUM(TblConstr[[#This Row],[Ly]:[Hav]])+SUM(TblConstr[[#This Row],[Dest Ly]:[Dest Hav]]) +Rezone!M134 + IF("Ch_"&amp; home_land=TblConstr[[#Headers],[Ch_Forest]],TblConstr[[#This Row],[Home Land]])+IF(TblConstr[[#This Row],[Hour]:[Hour]]&gt;12,OFFSET(TblExplore[[#This Row],[Forest Explore]],-12,0),0)</f>
        <v>0</v>
      </c>
      <c r="CS134" s="359">
        <f ca="1">-SUM(TblConstr[[#This Row],[OM]:[GN]])+SUM(TblConstr[[#This Row],[Dest OM]:[Dest GN]]) +Rezone!N134 + IF("Ch_"&amp; home_land=TblConstr[[#Headers],[Ch_Mountain]],TblConstr[[#This Row],[Home Land]])+IF(TblConstr[[#This Row],[Hour]:[Hour]]&gt;12,OFFSET(TblExplore[[#This Row],[Mountain Explore]],-12,0),0)</f>
        <v>0</v>
      </c>
      <c r="CT134" s="183">
        <f ca="1">-SUM(TblConstr[[#This Row],[Fac]:[Shr]])+SUM(TblConstr[[#This Row],[Dest Fac]:[Dest Shr]]) +Rezone!O134 + IF("Ch_" &amp; home_land=TblConstr[[#Headers],[Ch_Hill]],TblConstr[[#This Row],[Home Land]])+IF(TblConstr[[#This Row],[Hour]:[Hour]]&gt;12,OFFSET(TblExplore[[#This Row],[Hill Explore]],-12,0),0)</f>
        <v>0</v>
      </c>
      <c r="CU134" s="184">
        <f ca="1">-SUM(TblConstr[[#This Row],[Tow]:[WG]])+SUM(TblConstr[[#This Row],[Dest Tow]:[Dest WG]]) +Rezone!P134 + IF("Ch_" &amp; home_land=TblConstr[[#Headers],[Ch_Swamp]],TblConstr[[#This Row],[Home Land]])+IF(TblConstr[[#This Row],[Hour]:[Hour]]&gt;12,OFFSET(TblExplore[[#This Row],[Swamp Explore]],-12,0),0)</f>
        <v>0</v>
      </c>
      <c r="CV134" s="185">
        <f ca="1" xml:space="preserve"> - SUM(TblConstr[[#This Row],[DM]:[Sch]])+SUM(TblConstr[[#This Row],[Dest DM]:[Dest Sch]]) +Rezone!Q134 + IF("Ch_" &amp; home_land=TblConstr[[#Headers],[Ch_Cavern]],TblConstr[[#This Row],[Home Land]])+IF(TblConstr[[#This Row],[Hour]:[Hour]]&gt;12,OFFSET(TblExplore[[#This Row],[Cavern Explore]],-12,0),0)</f>
        <v>0</v>
      </c>
      <c r="CW134" s="186">
        <f ca="1">-TblConstr[[#This Row],[Doc]]+TblConstr[[#This Row],[Dest Doc]] +Rezone!R134 + IF("Ch_" &amp; home_land=TblConstr[[#Headers],[Ch_Water]],TblConstr[[#This Row],[Home Land]])+IF(TblConstr[[#This Row],[Hour]:[Hour]]&gt;12,OFFSET(TblExplore[[#This Row],[Water Explore]],-12,0),0)</f>
        <v>0</v>
      </c>
      <c r="CX134" s="45">
        <f>IF(Explore!S134=1,20) - TblConstr[[#This Row],[Hom]] + TblConstr[[#This Row],[Dest Hom]]</f>
        <v>0</v>
      </c>
      <c r="CY134" s="142"/>
      <c r="CZ134" s="94">
        <f ca="1">G134+SUM(P123:S134)+SUM(AZ134:BC134)</f>
        <v>30</v>
      </c>
      <c r="DA134" s="94">
        <f ca="1">H134+SUM(T123:U134)+SUM(BD134:BE134)</f>
        <v>20</v>
      </c>
      <c r="DB134" s="45">
        <f ca="1">I134+SUM(V123:W134)+SUM(BF134:BG134)</f>
        <v>0</v>
      </c>
      <c r="DC134" s="94">
        <f ca="1">J134+SUM(X123:Y134)+SUM(BH134:BI134)</f>
        <v>0</v>
      </c>
      <c r="DD134" s="94">
        <f ca="1">K134+SUM(AB123:AD134)+SUM(BL134:BN134)</f>
        <v>0</v>
      </c>
      <c r="DE134" s="45">
        <f ca="1">L134+SUM(AE123:AE134)+BO134</f>
        <v>0</v>
      </c>
      <c r="DF134" s="94">
        <f ca="1">M134+SUM(AG123:AG134)+BQ134</f>
        <v>0</v>
      </c>
      <c r="DG134" s="94" cm="1">
        <f t="array" aca="1" ref="DG134" ca="1">INDEX(TblConstr[[Total Plain]:[Total Water]],ROW()-ROW(TblConstr[#Headers]),MATCH("Total "&amp;home_land,TblConstr[[#Headers],[Total Plain]:[Total Water]],0))+TblConstr[[#This Row],[Homes]]</f>
        <v>30</v>
      </c>
      <c r="DH134" s="45">
        <f ca="1">SUM(O123:O134)+AY134</f>
        <v>0</v>
      </c>
      <c r="DI134" s="45">
        <f ca="1">MAX(BA134-BA133,0)</f>
        <v>0</v>
      </c>
      <c r="DJ134" s="45">
        <f ca="1">MAX(BQ134-BQ133,0)</f>
        <v>0</v>
      </c>
    </row>
    <row r="135" spans="1:114" x14ac:dyDescent="0.2">
      <c r="A135" s="175">
        <f>TblRezone[[#This Row],[Hour]]</f>
        <v>132</v>
      </c>
      <c r="B135" s="176">
        <f ca="1">SUM(TblConstr[[#This Row],[Plain]:[Water]])</f>
        <v>0</v>
      </c>
      <c r="C135" s="177">
        <f ca="1">SUM(TblConstr[[#This Row],[Tot Hom]:[Tot Doc]])</f>
        <v>50</v>
      </c>
      <c r="D135" s="177">
        <f>SUM(O124:AG135)</f>
        <v>0</v>
      </c>
      <c r="E135" s="178"/>
      <c r="F135" s="61">
        <f ca="1">TblConstr[[#This Row],[Barren]]+TblConstr[[#This Row],[Buildings]]+TblConstr[[#This Row],[Incoming]]</f>
        <v>50</v>
      </c>
      <c r="G135" s="187">
        <f ca="1">OFFSET(TblConstr[[#This Row],[Plain]],-1,0)+TblConstr[[#This Row],[Ch_Plain]]</f>
        <v>0</v>
      </c>
      <c r="H135" s="182">
        <f ca="1">OFFSET(TblConstr[[#This Row],[Forest]],-1,0)+TblConstr[[#This Row],[Ch_Forest]]</f>
        <v>0</v>
      </c>
      <c r="I135" s="359">
        <f ca="1">OFFSET(TblConstr[[#This Row],[Mountain]],-1,0)+TblConstr[[#This Row],[Ch_Mountain]]</f>
        <v>0</v>
      </c>
      <c r="J135" s="363">
        <f ca="1">OFFSET(TblConstr[[#This Row],[Hill]],-1,0)+TblConstr[[#This Row],[Ch_Hill]]</f>
        <v>0</v>
      </c>
      <c r="K135" s="367">
        <f ca="1">OFFSET(TblConstr[[#This Row],[Swamp]],-1,0)+TblConstr[[#This Row],[Ch_Swamp]]</f>
        <v>0</v>
      </c>
      <c r="L135" s="185">
        <f ca="1">OFFSET(TblConstr[[#This Row],[Cavern]],-1,0)+TblConstr[[#This Row],[Ch_Cavern]]</f>
        <v>0</v>
      </c>
      <c r="M135" s="186">
        <f ca="1">OFFSET(TblConstr[[#This Row],[Water]],-1,0)+TblConstr[[#This Row],[Ch_Water]]</f>
        <v>0</v>
      </c>
      <c r="N135" s="357">
        <f>TblRezone[[#This Row],[Hour]]</f>
        <v>132</v>
      </c>
      <c r="O135" s="179"/>
      <c r="P135" s="179"/>
      <c r="Q135" s="179"/>
      <c r="R135" s="179"/>
      <c r="S135" s="179"/>
      <c r="T135" s="179"/>
      <c r="U135" s="179"/>
      <c r="V135" s="179"/>
      <c r="W135" s="179"/>
      <c r="X135" s="179"/>
      <c r="Y135" s="179"/>
      <c r="Z135" s="179"/>
      <c r="AA135" s="179"/>
      <c r="AB135" s="179"/>
      <c r="AC135" s="179"/>
      <c r="AD135" s="179"/>
      <c r="AE135" s="179"/>
      <c r="AF135" s="179"/>
      <c r="AG135" s="179"/>
      <c r="AH135" s="53">
        <f ca="1">TblImps[[#This Row],[Time]]</f>
        <v>46325.458333333016</v>
      </c>
      <c r="AI135" s="180">
        <f ca="1">MIN(25%,(TblConstr[[#This Row],[Tot Fac]]+TblConstr[[#This Row],[Dest Fac]])/(TblConstr[[#This Row],[Land]]-TblExplore[[#This Row],[Land Bonus]]*20))</f>
        <v>0</v>
      </c>
      <c r="AJ135" s="180">
        <f ca="1">MIN(25%,(TblConstr[[#This Row],[Tot Fac]]+TblConstr[[#This Row],[Dest Fac]])/TblConstr[[#This Row],[Land]])</f>
        <v>0</v>
      </c>
      <c r="AK135" s="94">
        <f ca="1">TblProd[[#This Row],[Platinum]]</f>
        <v>212993</v>
      </c>
      <c r="AL135" s="94">
        <f ca="1">TblProd[[#This Row],[Lumber]]</f>
        <v>77213</v>
      </c>
      <c r="AM1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5" s="94">
        <f ca="1">ROUNDDOWN( MAX(1 - MIN(facs_constr_factor*TblConstr[[#This Row],[Facs -DB]],facs_constr_max) + tech_1_11*TblTech[[#This Row],[11-1]] + tech_6_3_2*TblTech[[#This Row],[6-3]] + tech_5_2_3*TblTech[[#This Row],[5-2]], 1-global_constr_cap) * TblConstr[[#This Row],[RCPA Lumber]],0)</f>
        <v>31</v>
      </c>
      <c r="AO1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5" s="94">
        <f ca="1">ROUNDDOWN( MAX(1 - MIN(facs_constr_factor*TblConstr[[#This Row],[Facs DB]],facs_constr_max) + tech_1_11*TblTech[[#This Row],[1-11]] + tech_6_3_2*TblTech[[#This Row],[6-3]] + tech_5_2_3*TblTech[[#This Row],[5-2]], 1-global_constr_cap) * ROUND((TblConstr[[#This Row],[Land]]-250)*0.285 + 87.5 + 0/4.25,0),0)</f>
        <v>31</v>
      </c>
      <c r="AQ135" s="45">
        <f ca="1">TblConstr[[#This Row],[build -db]]*TblConstr[[#This Row],[CPA Platinum -DB]] + TblConstr[[#This Row],[build db]]*TblConstr[[#This Row],[CPA Platinum DB]]</f>
        <v>0</v>
      </c>
      <c r="AR135" s="45">
        <f ca="1">TblConstr[[#This Row],[build -db]]*TblConstr[[#This Row],[CPA Lumber -DB]] + TblConstr[[#This Row],[build db]]*TblConstr[[#This Row],[CPA Lumber DB]]</f>
        <v>0</v>
      </c>
      <c r="AS135" s="94">
        <f ca="1">MIN(SUM(OFFSET(TblConstr[[#This Row],[Plain]:[Water]],-1,0))+SUM(TblConstr[[#This Row],[Dest Hom]:[Dest Doc]])+IF(TblConstr[[#This Row],[Hour]]&gt;12,SUM(OFFSET(TblExplore[[#This Row],[Plains Explore]:[Water Explore]],-12,0)),0),SUM(TblConstr[[#This Row],[Hom]:[Doc]]))</f>
        <v>0</v>
      </c>
      <c r="AT1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42"/>
      <c r="AV135" s="94">
        <f ca="1">ROUND((TblConstr[[#This Row],[Land]]-250 - IF(TblExplore[[#This Row],[Land Bonus]]&lt;&gt;0,20,0))*1.25 + 850 + 0,0)</f>
        <v>600</v>
      </c>
      <c r="AW135" s="94">
        <f ca="1">ROUND((TblConstr[[#This Row],[Land]]-250 - IF(TblExplore[[#This Row],[Land Bonus]]&lt;&gt;0,20,0))*0.285 + 87.5 + 0/4.25,0)</f>
        <v>31</v>
      </c>
      <c r="AX135" s="154"/>
      <c r="AY135" s="188" cm="1">
        <f t="array" aca="1" ref="AY135" ca="1">IF(TblConstr[[#This Row],[Hour]:[Hour]]&gt;12,OFFSET(TblConstr[[#This Row],[Hom]],-12,0),0)+OFFSET(TblConstr[[#This Row],[Tot Hom]],-1,0)-TblConstr[[#This Row],[Dest Hom]]</f>
        <v>0</v>
      </c>
      <c r="AZ135" s="189" cm="1">
        <f t="array" aca="1" ref="AZ135" ca="1">IF(TblConstr[[#This Row],[Hour]:[Hour]]&gt;12,OFFSET(TblConstr[[#This Row],[Alc]],-12,0),0)+OFFSET(TblConstr[[#This Row],[Tot Alc]],-1,0)-TblConstr[[#This Row],[Dest Alc]]</f>
        <v>0</v>
      </c>
      <c r="BA135" s="189" cm="1">
        <f t="array" aca="1" ref="BA135" ca="1">IF(TblConstr[[#This Row],[Hour]:[Hour]]&gt;12,OFFSET(TblConstr[[#This Row],[Far]],-12,0),0)+OFFSET(TblConstr[[#This Row],[Tot Farm]],-1,0)-TblConstr[[#This Row],[Dest Farm]]</f>
        <v>30</v>
      </c>
      <c r="BB135" s="189" cm="1">
        <f t="array" aca="1" ref="BB135" ca="1">IF(TblConstr[[#This Row],[Hour]:[Hour]]&gt;12,OFFSET(TblConstr[[#This Row],[Smi]],-12,0),0)+OFFSET(TblConstr[[#This Row],[Tot Smi]],-1,0)-TblConstr[[#This Row],[Dest Smi]]</f>
        <v>0</v>
      </c>
      <c r="BC135" s="189" cm="1">
        <f t="array" aca="1" ref="BC135" ca="1">IF(TblConstr[[#This Row],[Hour]:[Hour]]&gt;12,OFFSET(TblConstr[[#This Row],[Mas]],-12,0),0)+OFFSET(TblConstr[[#This Row],[Tot Mas]],-1,0)-TblConstr[[#This Row],[Dest Mas]]</f>
        <v>0</v>
      </c>
      <c r="BD135" s="190" cm="1">
        <f t="array" aca="1" ref="BD135" ca="1">IF(TblConstr[[#This Row],[Hour]:[Hour]]&gt;12,OFFSET(TblConstr[[#This Row],[Ly]],-12,0),0)+OFFSET(TblConstr[[#This Row],[Tot Ly]],-1,0)-TblConstr[[#This Row],[Dest Ly]]</f>
        <v>20</v>
      </c>
      <c r="BE135" s="190" cm="1">
        <f t="array" aca="1" ref="BE135" ca="1">IF(TblConstr[[#This Row],[Hour]:[Hour]]&gt;12,OFFSET(TblConstr[[#This Row],[Hav]],-12,0),0)+OFFSET(TblConstr[[#This Row],[Tot Hav]],-1,0)-TblConstr[[#This Row],[Dest Hav]]</f>
        <v>0</v>
      </c>
      <c r="BF135" s="361" cm="1">
        <f t="array" aca="1" ref="BF135" ca="1">IF(TblConstr[[#This Row],[Hour]:[Hour]]&gt;12,OFFSET(TblConstr[[#This Row],[OM]],-12,0),0)+OFFSET(TblConstr[[#This Row],[Tot OM]],-1,0)-TblConstr[[#This Row],[Dest OM]]</f>
        <v>0</v>
      </c>
      <c r="BG135" s="361" cm="1">
        <f t="array" aca="1" ref="BG135" ca="1">IF(TblConstr[[#This Row],[Hour]:[Hour]]&gt;12,OFFSET(TblConstr[[#This Row],[GN]],-12,0),0)+OFFSET(TblConstr[[#This Row],[Tot GN]],-1,0)-TblConstr[[#This Row],[Dest GN]]</f>
        <v>0</v>
      </c>
      <c r="BH135" s="365" cm="1">
        <f t="array" aca="1" ref="BH135" ca="1">IF(TblConstr[[#This Row],[Hour]:[Hour]]&gt;12,OFFSET(TblConstr[[#This Row],[Fac]],-12,0),0)+OFFSET(TblConstr[[#This Row],[Tot Fac]],-1,0)-TblConstr[[#This Row],[Dest Fac]]</f>
        <v>0</v>
      </c>
      <c r="BI135" s="365" cm="1">
        <f t="array" aca="1" ref="BI135" ca="1">IF(TblConstr[[#This Row],[Hour]:[Hour]]&gt;12,OFFSET(TblConstr[[#This Row],[GT]],-12,0),0)+OFFSET(TblConstr[[#This Row],[Tot GT]],-1,0)-TblConstr[[#This Row],[Dest GT]]</f>
        <v>0</v>
      </c>
      <c r="BJ135" s="365" cm="1">
        <f t="array" aca="1" ref="BJ135" ca="1">IF(TblConstr[[#This Row],[Hour]:[Hour]]&gt;12,OFFSET(TblConstr[[#This Row],[Bar]],-12,0),0)+OFFSET(TblConstr[[#This Row],[Tot Bar]],-1,0)-TblConstr[[#This Row],[Dest Bar]]</f>
        <v>0</v>
      </c>
      <c r="BK135" s="365" cm="1">
        <f t="array" aca="1" ref="BK135" ca="1">IF(TblConstr[[#This Row],[Hour]:[Hour]]&gt;12,OFFSET(TblConstr[[#This Row],[Shr]],-12,0),0)+OFFSET(TblConstr[[#This Row],[Tot Shr]],-1,0)-TblConstr[[#This Row],[Dest Shr]]</f>
        <v>0</v>
      </c>
      <c r="BL135" s="369" cm="1">
        <f t="array" aca="1" ref="BL135" ca="1">IF(TblConstr[[#This Row],[Hour]:[Hour]]&gt;12,OFFSET(TblConstr[[#This Row],[Tow]],-12,0),0)+OFFSET(TblConstr[[#This Row],[Tot Tow]],-1,0)-TblConstr[[#This Row],[Dest Tow]]</f>
        <v>0</v>
      </c>
      <c r="BM135" s="369" cm="1">
        <f t="array" aca="1" ref="BM135" ca="1">IF(TblConstr[[#This Row],[Hour]:[Hour]]&gt;12,OFFSET(TblConstr[[#This Row],[Tem]],-12,0),0)+OFFSET(TblConstr[[#This Row],[Tot Tem]],-1,0)-TblConstr[[#This Row],[Dest Tem]]</f>
        <v>0</v>
      </c>
      <c r="BN135" s="369" cm="1">
        <f t="array" aca="1" ref="BN135" ca="1">IF(TblConstr[[#This Row],[Hour]:[Hour]]&gt;12,OFFSET(TblConstr[[#This Row],[WG]],-12,0),0)+OFFSET(TblConstr[[#This Row],[Tot WG]],-1,0)-TblConstr[[#This Row],[Dest WG]]</f>
        <v>0</v>
      </c>
      <c r="BO135" s="191" cm="1">
        <f t="array" aca="1" ref="BO135" ca="1">IF(TblConstr[[#This Row],[Hour]:[Hour]]&gt;12,OFFSET(TblConstr[[#This Row],[DM]],-12,0),0)+OFFSET(TblConstr[[#This Row],[Tot DM]],-1,0)-TblConstr[[#This Row],[Dest DM]]</f>
        <v>0</v>
      </c>
      <c r="BP135" s="191" cm="1">
        <f t="array" aca="1" ref="BP135" ca="1">IF(TblConstr[[#This Row],[Hour]:[Hour]]&gt;12,OFFSET(TblConstr[[#This Row],[Sch]],-12,0),0)+OFFSET(TblConstr[[#This Row],[Tot Sch]],-1,0)-TblConstr[[#This Row],[Dest Sch]]</f>
        <v>0</v>
      </c>
      <c r="BQ135" s="192" cm="1">
        <f t="array" aca="1" ref="BQ135" ca="1">IF(TblConstr[[#This Row],[Hour]:[Hour]]&gt;12,OFFSET(TblConstr[[#This Row],[Doc]],-12,0),0)+OFFSET(TblConstr[[#This Row],[Tot Doc]],-1,0)-TblConstr[[#This Row],[Dest Doc]]</f>
        <v>0</v>
      </c>
      <c r="BR135" s="142"/>
      <c r="BS135" s="154"/>
      <c r="BT135" s="94">
        <f ca="1">TblConstr[[#This Row],[Land]]</f>
        <v>50</v>
      </c>
      <c r="BU135" s="159">
        <f ca="1">TblImps[[#This Row],[Time]]</f>
        <v>46325.458333333016</v>
      </c>
      <c r="BV135" s="142"/>
      <c r="BW135" s="179"/>
      <c r="BX135" s="179"/>
      <c r="BY135" s="179"/>
      <c r="BZ135" s="179"/>
      <c r="CA135" s="179"/>
      <c r="CB135" s="179"/>
      <c r="CC135" s="179"/>
      <c r="CD135" s="179"/>
      <c r="CE135" s="179"/>
      <c r="CF135" s="179"/>
      <c r="CG135" s="179"/>
      <c r="CH135" s="179"/>
      <c r="CI135" s="179"/>
      <c r="CJ135" s="179"/>
      <c r="CK135" s="179"/>
      <c r="CL135" s="179"/>
      <c r="CM135" s="179"/>
      <c r="CN135" s="179"/>
      <c r="CO135" s="179"/>
      <c r="CP135" s="142"/>
      <c r="CQ135" s="181">
        <f ca="1">-SUM(TblConstr[[#This Row],[Alc]:[Mas]])+SUM(TblConstr[[#This Row],[Dest Alc]:[Dest Mas]])+Rezone!L135+IF("Ch_"&amp; home_land=TblConstr[[#Headers],[Ch_Plain]],TblConstr[[#This Row],[Home Land]])+IF(TblConstr[[#This Row],[Hour]:[Hour]]&gt;12,OFFSET(TblExplore[[#This Row],[Plains Explore]],-12,0),0)</f>
        <v>0</v>
      </c>
      <c r="CR135" s="182">
        <f ca="1">-SUM(TblConstr[[#This Row],[Ly]:[Hav]])+SUM(TblConstr[[#This Row],[Dest Ly]:[Dest Hav]]) +Rezone!M135 + IF("Ch_"&amp; home_land=TblConstr[[#Headers],[Ch_Forest]],TblConstr[[#This Row],[Home Land]])+IF(TblConstr[[#This Row],[Hour]:[Hour]]&gt;12,OFFSET(TblExplore[[#This Row],[Forest Explore]],-12,0),0)</f>
        <v>0</v>
      </c>
      <c r="CS135" s="359">
        <f ca="1">-SUM(TblConstr[[#This Row],[OM]:[GN]])+SUM(TblConstr[[#This Row],[Dest OM]:[Dest GN]]) +Rezone!N135 + IF("Ch_"&amp; home_land=TblConstr[[#Headers],[Ch_Mountain]],TblConstr[[#This Row],[Home Land]])+IF(TblConstr[[#This Row],[Hour]:[Hour]]&gt;12,OFFSET(TblExplore[[#This Row],[Mountain Explore]],-12,0),0)</f>
        <v>0</v>
      </c>
      <c r="CT135" s="183">
        <f ca="1">-SUM(TblConstr[[#This Row],[Fac]:[Shr]])+SUM(TblConstr[[#This Row],[Dest Fac]:[Dest Shr]]) +Rezone!O135 + IF("Ch_" &amp; home_land=TblConstr[[#Headers],[Ch_Hill]],TblConstr[[#This Row],[Home Land]])+IF(TblConstr[[#This Row],[Hour]:[Hour]]&gt;12,OFFSET(TblExplore[[#This Row],[Hill Explore]],-12,0),0)</f>
        <v>0</v>
      </c>
      <c r="CU135" s="184">
        <f ca="1">-SUM(TblConstr[[#This Row],[Tow]:[WG]])+SUM(TblConstr[[#This Row],[Dest Tow]:[Dest WG]]) +Rezone!P135 + IF("Ch_" &amp; home_land=TblConstr[[#Headers],[Ch_Swamp]],TblConstr[[#This Row],[Home Land]])+IF(TblConstr[[#This Row],[Hour]:[Hour]]&gt;12,OFFSET(TblExplore[[#This Row],[Swamp Explore]],-12,0),0)</f>
        <v>0</v>
      </c>
      <c r="CV135" s="185">
        <f ca="1" xml:space="preserve"> - SUM(TblConstr[[#This Row],[DM]:[Sch]])+SUM(TblConstr[[#This Row],[Dest DM]:[Dest Sch]]) +Rezone!Q135 + IF("Ch_" &amp; home_land=TblConstr[[#Headers],[Ch_Cavern]],TblConstr[[#This Row],[Home Land]])+IF(TblConstr[[#This Row],[Hour]:[Hour]]&gt;12,OFFSET(TblExplore[[#This Row],[Cavern Explore]],-12,0),0)</f>
        <v>0</v>
      </c>
      <c r="CW135" s="186">
        <f ca="1">-TblConstr[[#This Row],[Doc]]+TblConstr[[#This Row],[Dest Doc]] +Rezone!R135 + IF("Ch_" &amp; home_land=TblConstr[[#Headers],[Ch_Water]],TblConstr[[#This Row],[Home Land]])+IF(TblConstr[[#This Row],[Hour]:[Hour]]&gt;12,OFFSET(TblExplore[[#This Row],[Water Explore]],-12,0),0)</f>
        <v>0</v>
      </c>
      <c r="CX135" s="45">
        <f>IF(Explore!S135=1,20) - TblConstr[[#This Row],[Hom]] + TblConstr[[#This Row],[Dest Hom]]</f>
        <v>0</v>
      </c>
      <c r="CY135" s="142"/>
      <c r="CZ135" s="94">
        <f ca="1">G135+SUM(P124:S135)+SUM(AZ135:BC135)</f>
        <v>30</v>
      </c>
      <c r="DA135" s="94">
        <f ca="1">H135+SUM(T124:U135)+SUM(BD135:BE135)</f>
        <v>20</v>
      </c>
      <c r="DB135" s="45">
        <f ca="1">I135+SUM(V124:W135)+SUM(BF135:BG135)</f>
        <v>0</v>
      </c>
      <c r="DC135" s="94">
        <f ca="1">J135+SUM(X124:Y135)+SUM(BH135:BI135)</f>
        <v>0</v>
      </c>
      <c r="DD135" s="94">
        <f ca="1">K135+SUM(AB124:AD135)+SUM(BL135:BN135)</f>
        <v>0</v>
      </c>
      <c r="DE135" s="45">
        <f ca="1">L135+SUM(AE124:AE135)+BO135</f>
        <v>0</v>
      </c>
      <c r="DF135" s="94">
        <f ca="1">M135+SUM(AG124:AG135)+BQ135</f>
        <v>0</v>
      </c>
      <c r="DG135" s="94" cm="1">
        <f t="array" aca="1" ref="DG135" ca="1">INDEX(TblConstr[[Total Plain]:[Total Water]],ROW()-ROW(TblConstr[#Headers]),MATCH("Total "&amp;home_land,TblConstr[[#Headers],[Total Plain]:[Total Water]],0))+TblConstr[[#This Row],[Homes]]</f>
        <v>30</v>
      </c>
      <c r="DH135" s="45">
        <f ca="1">SUM(O124:O135)+AY135</f>
        <v>0</v>
      </c>
      <c r="DI135" s="45">
        <f ca="1">MAX(BA135-BA134,0)</f>
        <v>0</v>
      </c>
      <c r="DJ135" s="45">
        <f ca="1">MAX(BQ135-BQ134,0)</f>
        <v>0</v>
      </c>
    </row>
    <row r="136" spans="1:114" x14ac:dyDescent="0.2">
      <c r="A136" s="175">
        <f>TblRezone[[#This Row],[Hour]]</f>
        <v>133</v>
      </c>
      <c r="B136" s="176">
        <f ca="1">SUM(TblConstr[[#This Row],[Plain]:[Water]])</f>
        <v>0</v>
      </c>
      <c r="C136" s="177">
        <f ca="1">SUM(TblConstr[[#This Row],[Tot Hom]:[Tot Doc]])</f>
        <v>50</v>
      </c>
      <c r="D136" s="177">
        <f>SUM(O125:AG136)</f>
        <v>0</v>
      </c>
      <c r="E136" s="178"/>
      <c r="F136" s="61">
        <f ca="1">TblConstr[[#This Row],[Barren]]+TblConstr[[#This Row],[Buildings]]+TblConstr[[#This Row],[Incoming]]</f>
        <v>50</v>
      </c>
      <c r="G136" s="187">
        <f ca="1">OFFSET(TblConstr[[#This Row],[Plain]],-1,0)+TblConstr[[#This Row],[Ch_Plain]]</f>
        <v>0</v>
      </c>
      <c r="H136" s="182">
        <f ca="1">OFFSET(TblConstr[[#This Row],[Forest]],-1,0)+TblConstr[[#This Row],[Ch_Forest]]</f>
        <v>0</v>
      </c>
      <c r="I136" s="359">
        <f ca="1">OFFSET(TblConstr[[#This Row],[Mountain]],-1,0)+TblConstr[[#This Row],[Ch_Mountain]]</f>
        <v>0</v>
      </c>
      <c r="J136" s="363">
        <f ca="1">OFFSET(TblConstr[[#This Row],[Hill]],-1,0)+TblConstr[[#This Row],[Ch_Hill]]</f>
        <v>0</v>
      </c>
      <c r="K136" s="367">
        <f ca="1">OFFSET(TblConstr[[#This Row],[Swamp]],-1,0)+TblConstr[[#This Row],[Ch_Swamp]]</f>
        <v>0</v>
      </c>
      <c r="L136" s="185">
        <f ca="1">OFFSET(TblConstr[[#This Row],[Cavern]],-1,0)+TblConstr[[#This Row],[Ch_Cavern]]</f>
        <v>0</v>
      </c>
      <c r="M136" s="186">
        <f ca="1">OFFSET(TblConstr[[#This Row],[Water]],-1,0)+TblConstr[[#This Row],[Ch_Water]]</f>
        <v>0</v>
      </c>
      <c r="N136" s="357">
        <f>TblRezone[[#This Row],[Hour]]</f>
        <v>133</v>
      </c>
      <c r="O136" s="179"/>
      <c r="P136" s="179"/>
      <c r="Q136" s="179"/>
      <c r="R136" s="179"/>
      <c r="S136" s="179"/>
      <c r="T136" s="179"/>
      <c r="U136" s="179"/>
      <c r="V136" s="179"/>
      <c r="W136" s="179"/>
      <c r="X136" s="179"/>
      <c r="Y136" s="179"/>
      <c r="Z136" s="179"/>
      <c r="AA136" s="179"/>
      <c r="AB136" s="179"/>
      <c r="AC136" s="179"/>
      <c r="AD136" s="179"/>
      <c r="AE136" s="179"/>
      <c r="AF136" s="179"/>
      <c r="AG136" s="179"/>
      <c r="AH136" s="53">
        <f ca="1">TblImps[[#This Row],[Time]]</f>
        <v>46325.49999999968</v>
      </c>
      <c r="AI136" s="180">
        <f ca="1">MIN(25%,(TblConstr[[#This Row],[Tot Fac]]+TblConstr[[#This Row],[Dest Fac]])/(TblConstr[[#This Row],[Land]]-TblExplore[[#This Row],[Land Bonus]]*20))</f>
        <v>0</v>
      </c>
      <c r="AJ136" s="180">
        <f ca="1">MIN(25%,(TblConstr[[#This Row],[Tot Fac]]+TblConstr[[#This Row],[Dest Fac]])/TblConstr[[#This Row],[Land]])</f>
        <v>0</v>
      </c>
      <c r="AK136" s="94">
        <f ca="1">TblProd[[#This Row],[Platinum]]</f>
        <v>213344</v>
      </c>
      <c r="AL136" s="94">
        <f ca="1">TblProd[[#This Row],[Lumber]]</f>
        <v>77441</v>
      </c>
      <c r="AM1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6" s="94">
        <f ca="1">ROUNDDOWN( MAX(1 - MIN(facs_constr_factor*TblConstr[[#This Row],[Facs -DB]],facs_constr_max) + tech_1_11*TblTech[[#This Row],[11-1]] + tech_6_3_2*TblTech[[#This Row],[6-3]] + tech_5_2_3*TblTech[[#This Row],[5-2]], 1-global_constr_cap) * TblConstr[[#This Row],[RCPA Lumber]],0)</f>
        <v>31</v>
      </c>
      <c r="AO1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6" s="94">
        <f ca="1">ROUNDDOWN( MAX(1 - MIN(facs_constr_factor*TblConstr[[#This Row],[Facs DB]],facs_constr_max) + tech_1_11*TblTech[[#This Row],[1-11]] + tech_6_3_2*TblTech[[#This Row],[6-3]] + tech_5_2_3*TblTech[[#This Row],[5-2]], 1-global_constr_cap) * ROUND((TblConstr[[#This Row],[Land]]-250)*0.285 + 87.5 + 0/4.25,0),0)</f>
        <v>31</v>
      </c>
      <c r="AQ136" s="45">
        <f ca="1">TblConstr[[#This Row],[build -db]]*TblConstr[[#This Row],[CPA Platinum -DB]] + TblConstr[[#This Row],[build db]]*TblConstr[[#This Row],[CPA Platinum DB]]</f>
        <v>0</v>
      </c>
      <c r="AR136" s="45">
        <f ca="1">TblConstr[[#This Row],[build -db]]*TblConstr[[#This Row],[CPA Lumber -DB]] + TblConstr[[#This Row],[build db]]*TblConstr[[#This Row],[CPA Lumber DB]]</f>
        <v>0</v>
      </c>
      <c r="AS136" s="94">
        <f ca="1">MIN(SUM(OFFSET(TblConstr[[#This Row],[Plain]:[Water]],-1,0))+SUM(TblConstr[[#This Row],[Dest Hom]:[Dest Doc]])+IF(TblConstr[[#This Row],[Hour]]&gt;12,SUM(OFFSET(TblExplore[[#This Row],[Plains Explore]:[Water Explore]],-12,0)),0),SUM(TblConstr[[#This Row],[Hom]:[Doc]]))</f>
        <v>0</v>
      </c>
      <c r="AT1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42"/>
      <c r="AV136" s="94">
        <f ca="1">ROUND((TblConstr[[#This Row],[Land]]-250 - IF(TblExplore[[#This Row],[Land Bonus]]&lt;&gt;0,20,0))*1.25 + 850 + 0,0)</f>
        <v>600</v>
      </c>
      <c r="AW136" s="94">
        <f ca="1">ROUND((TblConstr[[#This Row],[Land]]-250 - IF(TblExplore[[#This Row],[Land Bonus]]&lt;&gt;0,20,0))*0.285 + 87.5 + 0/4.25,0)</f>
        <v>31</v>
      </c>
      <c r="AX136" s="154"/>
      <c r="AY136" s="188" cm="1">
        <f t="array" aca="1" ref="AY136" ca="1">IF(TblConstr[[#This Row],[Hour]:[Hour]]&gt;12,OFFSET(TblConstr[[#This Row],[Hom]],-12,0),0)+OFFSET(TblConstr[[#This Row],[Tot Hom]],-1,0)-TblConstr[[#This Row],[Dest Hom]]</f>
        <v>0</v>
      </c>
      <c r="AZ136" s="189" cm="1">
        <f t="array" aca="1" ref="AZ136" ca="1">IF(TblConstr[[#This Row],[Hour]:[Hour]]&gt;12,OFFSET(TblConstr[[#This Row],[Alc]],-12,0),0)+OFFSET(TblConstr[[#This Row],[Tot Alc]],-1,0)-TblConstr[[#This Row],[Dest Alc]]</f>
        <v>0</v>
      </c>
      <c r="BA136" s="189" cm="1">
        <f t="array" aca="1" ref="BA136" ca="1">IF(TblConstr[[#This Row],[Hour]:[Hour]]&gt;12,OFFSET(TblConstr[[#This Row],[Far]],-12,0),0)+OFFSET(TblConstr[[#This Row],[Tot Farm]],-1,0)-TblConstr[[#This Row],[Dest Farm]]</f>
        <v>30</v>
      </c>
      <c r="BB136" s="189" cm="1">
        <f t="array" aca="1" ref="BB136" ca="1">IF(TblConstr[[#This Row],[Hour]:[Hour]]&gt;12,OFFSET(TblConstr[[#This Row],[Smi]],-12,0),0)+OFFSET(TblConstr[[#This Row],[Tot Smi]],-1,0)-TblConstr[[#This Row],[Dest Smi]]</f>
        <v>0</v>
      </c>
      <c r="BC136" s="189" cm="1">
        <f t="array" aca="1" ref="BC136" ca="1">IF(TblConstr[[#This Row],[Hour]:[Hour]]&gt;12,OFFSET(TblConstr[[#This Row],[Mas]],-12,0),0)+OFFSET(TblConstr[[#This Row],[Tot Mas]],-1,0)-TblConstr[[#This Row],[Dest Mas]]</f>
        <v>0</v>
      </c>
      <c r="BD136" s="190" cm="1">
        <f t="array" aca="1" ref="BD136" ca="1">IF(TblConstr[[#This Row],[Hour]:[Hour]]&gt;12,OFFSET(TblConstr[[#This Row],[Ly]],-12,0),0)+OFFSET(TblConstr[[#This Row],[Tot Ly]],-1,0)-TblConstr[[#This Row],[Dest Ly]]</f>
        <v>20</v>
      </c>
      <c r="BE136" s="190" cm="1">
        <f t="array" aca="1" ref="BE136" ca="1">IF(TblConstr[[#This Row],[Hour]:[Hour]]&gt;12,OFFSET(TblConstr[[#This Row],[Hav]],-12,0),0)+OFFSET(TblConstr[[#This Row],[Tot Hav]],-1,0)-TblConstr[[#This Row],[Dest Hav]]</f>
        <v>0</v>
      </c>
      <c r="BF136" s="361" cm="1">
        <f t="array" aca="1" ref="BF136" ca="1">IF(TblConstr[[#This Row],[Hour]:[Hour]]&gt;12,OFFSET(TblConstr[[#This Row],[OM]],-12,0),0)+OFFSET(TblConstr[[#This Row],[Tot OM]],-1,0)-TblConstr[[#This Row],[Dest OM]]</f>
        <v>0</v>
      </c>
      <c r="BG136" s="361" cm="1">
        <f t="array" aca="1" ref="BG136" ca="1">IF(TblConstr[[#This Row],[Hour]:[Hour]]&gt;12,OFFSET(TblConstr[[#This Row],[GN]],-12,0),0)+OFFSET(TblConstr[[#This Row],[Tot GN]],-1,0)-TblConstr[[#This Row],[Dest GN]]</f>
        <v>0</v>
      </c>
      <c r="BH136" s="365" cm="1">
        <f t="array" aca="1" ref="BH136" ca="1">IF(TblConstr[[#This Row],[Hour]:[Hour]]&gt;12,OFFSET(TblConstr[[#This Row],[Fac]],-12,0),0)+OFFSET(TblConstr[[#This Row],[Tot Fac]],-1,0)-TblConstr[[#This Row],[Dest Fac]]</f>
        <v>0</v>
      </c>
      <c r="BI136" s="365" cm="1">
        <f t="array" aca="1" ref="BI136" ca="1">IF(TblConstr[[#This Row],[Hour]:[Hour]]&gt;12,OFFSET(TblConstr[[#This Row],[GT]],-12,0),0)+OFFSET(TblConstr[[#This Row],[Tot GT]],-1,0)-TblConstr[[#This Row],[Dest GT]]</f>
        <v>0</v>
      </c>
      <c r="BJ136" s="365" cm="1">
        <f t="array" aca="1" ref="BJ136" ca="1">IF(TblConstr[[#This Row],[Hour]:[Hour]]&gt;12,OFFSET(TblConstr[[#This Row],[Bar]],-12,0),0)+OFFSET(TblConstr[[#This Row],[Tot Bar]],-1,0)-TblConstr[[#This Row],[Dest Bar]]</f>
        <v>0</v>
      </c>
      <c r="BK136" s="365" cm="1">
        <f t="array" aca="1" ref="BK136" ca="1">IF(TblConstr[[#This Row],[Hour]:[Hour]]&gt;12,OFFSET(TblConstr[[#This Row],[Shr]],-12,0),0)+OFFSET(TblConstr[[#This Row],[Tot Shr]],-1,0)-TblConstr[[#This Row],[Dest Shr]]</f>
        <v>0</v>
      </c>
      <c r="BL136" s="369" cm="1">
        <f t="array" aca="1" ref="BL136" ca="1">IF(TblConstr[[#This Row],[Hour]:[Hour]]&gt;12,OFFSET(TblConstr[[#This Row],[Tow]],-12,0),0)+OFFSET(TblConstr[[#This Row],[Tot Tow]],-1,0)-TblConstr[[#This Row],[Dest Tow]]</f>
        <v>0</v>
      </c>
      <c r="BM136" s="369" cm="1">
        <f t="array" aca="1" ref="BM136" ca="1">IF(TblConstr[[#This Row],[Hour]:[Hour]]&gt;12,OFFSET(TblConstr[[#This Row],[Tem]],-12,0),0)+OFFSET(TblConstr[[#This Row],[Tot Tem]],-1,0)-TblConstr[[#This Row],[Dest Tem]]</f>
        <v>0</v>
      </c>
      <c r="BN136" s="369" cm="1">
        <f t="array" aca="1" ref="BN136" ca="1">IF(TblConstr[[#This Row],[Hour]:[Hour]]&gt;12,OFFSET(TblConstr[[#This Row],[WG]],-12,0),0)+OFFSET(TblConstr[[#This Row],[Tot WG]],-1,0)-TblConstr[[#This Row],[Dest WG]]</f>
        <v>0</v>
      </c>
      <c r="BO136" s="191" cm="1">
        <f t="array" aca="1" ref="BO136" ca="1">IF(TblConstr[[#This Row],[Hour]:[Hour]]&gt;12,OFFSET(TblConstr[[#This Row],[DM]],-12,0),0)+OFFSET(TblConstr[[#This Row],[Tot DM]],-1,0)-TblConstr[[#This Row],[Dest DM]]</f>
        <v>0</v>
      </c>
      <c r="BP136" s="191" cm="1">
        <f t="array" aca="1" ref="BP136" ca="1">IF(TblConstr[[#This Row],[Hour]:[Hour]]&gt;12,OFFSET(TblConstr[[#This Row],[Sch]],-12,0),0)+OFFSET(TblConstr[[#This Row],[Tot Sch]],-1,0)-TblConstr[[#This Row],[Dest Sch]]</f>
        <v>0</v>
      </c>
      <c r="BQ136" s="192" cm="1">
        <f t="array" aca="1" ref="BQ136" ca="1">IF(TblConstr[[#This Row],[Hour]:[Hour]]&gt;12,OFFSET(TblConstr[[#This Row],[Doc]],-12,0),0)+OFFSET(TblConstr[[#This Row],[Tot Doc]],-1,0)-TblConstr[[#This Row],[Dest Doc]]</f>
        <v>0</v>
      </c>
      <c r="BR136" s="142"/>
      <c r="BS136" s="154"/>
      <c r="BT136" s="94">
        <f ca="1">TblConstr[[#This Row],[Land]]</f>
        <v>50</v>
      </c>
      <c r="BU136" s="159">
        <f ca="1">TblImps[[#This Row],[Time]]</f>
        <v>46325.49999999968</v>
      </c>
      <c r="BV136" s="142"/>
      <c r="BW136" s="179"/>
      <c r="BX136" s="179"/>
      <c r="BY136" s="179"/>
      <c r="BZ136" s="179"/>
      <c r="CA136" s="179"/>
      <c r="CB136" s="179"/>
      <c r="CC136" s="179"/>
      <c r="CD136" s="179"/>
      <c r="CE136" s="179"/>
      <c r="CF136" s="179"/>
      <c r="CG136" s="179"/>
      <c r="CH136" s="179"/>
      <c r="CI136" s="179"/>
      <c r="CJ136" s="179"/>
      <c r="CK136" s="179"/>
      <c r="CL136" s="179"/>
      <c r="CM136" s="179"/>
      <c r="CN136" s="179"/>
      <c r="CO136" s="179"/>
      <c r="CP136" s="142"/>
      <c r="CQ136" s="181">
        <f ca="1">-SUM(TblConstr[[#This Row],[Alc]:[Mas]])+SUM(TblConstr[[#This Row],[Dest Alc]:[Dest Mas]])+Rezone!L136+IF("Ch_"&amp; home_land=TblConstr[[#Headers],[Ch_Plain]],TblConstr[[#This Row],[Home Land]])+IF(TblConstr[[#This Row],[Hour]:[Hour]]&gt;12,OFFSET(TblExplore[[#This Row],[Plains Explore]],-12,0),0)</f>
        <v>0</v>
      </c>
      <c r="CR136" s="182">
        <f ca="1">-SUM(TblConstr[[#This Row],[Ly]:[Hav]])+SUM(TblConstr[[#This Row],[Dest Ly]:[Dest Hav]]) +Rezone!M136 + IF("Ch_"&amp; home_land=TblConstr[[#Headers],[Ch_Forest]],TblConstr[[#This Row],[Home Land]])+IF(TblConstr[[#This Row],[Hour]:[Hour]]&gt;12,OFFSET(TblExplore[[#This Row],[Forest Explore]],-12,0),0)</f>
        <v>0</v>
      </c>
      <c r="CS136" s="359">
        <f ca="1">-SUM(TblConstr[[#This Row],[OM]:[GN]])+SUM(TblConstr[[#This Row],[Dest OM]:[Dest GN]]) +Rezone!N136 + IF("Ch_"&amp; home_land=TblConstr[[#Headers],[Ch_Mountain]],TblConstr[[#This Row],[Home Land]])+IF(TblConstr[[#This Row],[Hour]:[Hour]]&gt;12,OFFSET(TblExplore[[#This Row],[Mountain Explore]],-12,0),0)</f>
        <v>0</v>
      </c>
      <c r="CT136" s="183">
        <f ca="1">-SUM(TblConstr[[#This Row],[Fac]:[Shr]])+SUM(TblConstr[[#This Row],[Dest Fac]:[Dest Shr]]) +Rezone!O136 + IF("Ch_" &amp; home_land=TblConstr[[#Headers],[Ch_Hill]],TblConstr[[#This Row],[Home Land]])+IF(TblConstr[[#This Row],[Hour]:[Hour]]&gt;12,OFFSET(TblExplore[[#This Row],[Hill Explore]],-12,0),0)</f>
        <v>0</v>
      </c>
      <c r="CU136" s="184">
        <f ca="1">-SUM(TblConstr[[#This Row],[Tow]:[WG]])+SUM(TblConstr[[#This Row],[Dest Tow]:[Dest WG]]) +Rezone!P136 + IF("Ch_" &amp; home_land=TblConstr[[#Headers],[Ch_Swamp]],TblConstr[[#This Row],[Home Land]])+IF(TblConstr[[#This Row],[Hour]:[Hour]]&gt;12,OFFSET(TblExplore[[#This Row],[Swamp Explore]],-12,0),0)</f>
        <v>0</v>
      </c>
      <c r="CV136" s="185">
        <f ca="1" xml:space="preserve"> - SUM(TblConstr[[#This Row],[DM]:[Sch]])+SUM(TblConstr[[#This Row],[Dest DM]:[Dest Sch]]) +Rezone!Q136 + IF("Ch_" &amp; home_land=TblConstr[[#Headers],[Ch_Cavern]],TblConstr[[#This Row],[Home Land]])+IF(TblConstr[[#This Row],[Hour]:[Hour]]&gt;12,OFFSET(TblExplore[[#This Row],[Cavern Explore]],-12,0),0)</f>
        <v>0</v>
      </c>
      <c r="CW136" s="186">
        <f ca="1">-TblConstr[[#This Row],[Doc]]+TblConstr[[#This Row],[Dest Doc]] +Rezone!R136 + IF("Ch_" &amp; home_land=TblConstr[[#Headers],[Ch_Water]],TblConstr[[#This Row],[Home Land]])+IF(TblConstr[[#This Row],[Hour]:[Hour]]&gt;12,OFFSET(TblExplore[[#This Row],[Water Explore]],-12,0),0)</f>
        <v>0</v>
      </c>
      <c r="CX136" s="45">
        <f>IF(Explore!S136=1,20) - TblConstr[[#This Row],[Hom]] + TblConstr[[#This Row],[Dest Hom]]</f>
        <v>0</v>
      </c>
      <c r="CY136" s="142"/>
      <c r="CZ136" s="94">
        <f ca="1">G136+SUM(P125:S136)+SUM(AZ136:BC136)</f>
        <v>30</v>
      </c>
      <c r="DA136" s="94">
        <f ca="1">H136+SUM(T125:U136)+SUM(BD136:BE136)</f>
        <v>20</v>
      </c>
      <c r="DB136" s="45">
        <f ca="1">I136+SUM(V125:W136)+SUM(BF136:BG136)</f>
        <v>0</v>
      </c>
      <c r="DC136" s="94">
        <f ca="1">J136+SUM(X125:Y136)+SUM(BH136:BI136)</f>
        <v>0</v>
      </c>
      <c r="DD136" s="94">
        <f ca="1">K136+SUM(AB125:AD136)+SUM(BL136:BN136)</f>
        <v>0</v>
      </c>
      <c r="DE136" s="45">
        <f ca="1">L136+SUM(AE125:AE136)+BO136</f>
        <v>0</v>
      </c>
      <c r="DF136" s="94">
        <f ca="1">M136+SUM(AG125:AG136)+BQ136</f>
        <v>0</v>
      </c>
      <c r="DG136" s="94" cm="1">
        <f t="array" aca="1" ref="DG136" ca="1">INDEX(TblConstr[[Total Plain]:[Total Water]],ROW()-ROW(TblConstr[#Headers]),MATCH("Total "&amp;home_land,TblConstr[[#Headers],[Total Plain]:[Total Water]],0))+TblConstr[[#This Row],[Homes]]</f>
        <v>30</v>
      </c>
      <c r="DH136" s="45">
        <f ca="1">SUM(O125:O136)+AY136</f>
        <v>0</v>
      </c>
      <c r="DI136" s="45">
        <f ca="1">MAX(BA136-BA135,0)</f>
        <v>0</v>
      </c>
      <c r="DJ136" s="45">
        <f ca="1">MAX(BQ136-BQ135,0)</f>
        <v>0</v>
      </c>
    </row>
    <row r="1269" spans="1:2" x14ac:dyDescent="0.2">
      <c r="A1269" s="531" t="s">
        <v>314</v>
      </c>
      <c r="B1269" s="487"/>
    </row>
    <row r="1270" spans="1:2" x14ac:dyDescent="0.2">
      <c r="A1270" s="28">
        <f>Overview!E17</f>
        <v>0</v>
      </c>
      <c r="B1270" s="28"/>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38" priority="73" stopIfTrue="1">
      <formula>XEZ137&lt;0</formula>
    </cfRule>
  </conditionalFormatting>
  <conditionalFormatting sqref="A137:D1268 A1271:D65537 F1271:H65537 F137:H1268">
    <cfRule type="expression" dxfId="737" priority="74" stopIfTrue="1">
      <formula>XEV137&lt;0</formula>
    </cfRule>
  </conditionalFormatting>
  <conditionalFormatting sqref="E1271:E65537 E137:E1268">
    <cfRule type="expression" dxfId="736" priority="75" stopIfTrue="1">
      <formula>XEU137&lt;0</formula>
    </cfRule>
  </conditionalFormatting>
  <conditionalFormatting sqref="DI1271:DJ52023 O1271:AG52052 O137:AG1268 BV1271:DH52052 BV137:DJ1268">
    <cfRule type="expression" dxfId="735" priority="76" stopIfTrue="1">
      <formula>ROW()-2=#REF!</formula>
    </cfRule>
  </conditionalFormatting>
  <conditionalFormatting sqref="A1269:AG1270 BV1269:DJ1270">
    <cfRule type="expression" dxfId="734" priority="77" stopIfTrue="1">
      <formula>$A$1270&gt;144</formula>
    </cfRule>
  </conditionalFormatting>
  <conditionalFormatting sqref="K1271:L65537 K137:L1268">
    <cfRule type="expression" dxfId="733" priority="95" stopIfTrue="1">
      <formula>A137&lt;0</formula>
    </cfRule>
  </conditionalFormatting>
  <conditionalFormatting sqref="AY4:BQ136">
    <cfRule type="expression" dxfId="732" priority="7" stopIfTrue="1">
      <formula>OR(AY4&lt;0,ROW()-3=$A$1270)</formula>
    </cfRule>
  </conditionalFormatting>
  <conditionalFormatting sqref="I1271:J65537 I137:J1268">
    <cfRule type="expression" dxfId="731" priority="98" stopIfTrue="1">
      <formula>A137&lt;0</formula>
    </cfRule>
  </conditionalFormatting>
  <conditionalFormatting sqref="A4:DJ35 A36:O38 Q36:W38 A39:W39 Y36:DJ39 A40:DJ52 A60:DJ136 A53:Q59 S53:X59 Z53:DJ59">
    <cfRule type="expression" dxfId="730" priority="13" stopIfTrue="1">
      <formula>ROW()-3=$A$1270</formula>
    </cfRule>
    <cfRule type="expression" dxfId="729" priority="136">
      <formula>$A4=49</formula>
    </cfRule>
    <cfRule type="expression" dxfId="728" priority="137">
      <formula>ROUND(($A4-1)/12,0)=INT($A4-1)/12</formula>
    </cfRule>
  </conditionalFormatting>
  <conditionalFormatting sqref="A1:XFD3">
    <cfRule type="expression" dxfId="727" priority="138">
      <formula>$A$1270&lt;0</formula>
    </cfRule>
  </conditionalFormatting>
  <conditionalFormatting sqref="P36:P38">
    <cfRule type="expression" dxfId="726" priority="4" stopIfTrue="1">
      <formula>ROW()-3=$B$1270</formula>
    </cfRule>
  </conditionalFormatting>
  <conditionalFormatting sqref="P36:P38">
    <cfRule type="expression" dxfId="725" priority="5">
      <formula>$A36=49</formula>
    </cfRule>
    <cfRule type="expression" dxfId="724" priority="6">
      <formula>ROUND(($A36-1)/12,0)=INT($A36-1)/12</formula>
    </cfRule>
  </conditionalFormatting>
  <conditionalFormatting sqref="X36:X39">
    <cfRule type="expression" dxfId="723" priority="1" stopIfTrue="1">
      <formula>ROW()-3=$B$1270</formula>
    </cfRule>
  </conditionalFormatting>
  <conditionalFormatting sqref="X36:X39">
    <cfRule type="expression" dxfId="722" priority="2">
      <formula>$A36=49</formula>
    </cfRule>
    <cfRule type="expression" dxfId="721" priority="3">
      <formula>ROUND(($A36-1)/12,0)=INT($A36-1)/12</formula>
    </cfRule>
  </conditionalFormatting>
  <pageMargins left="0.75" right="0.75" top="1" bottom="1" header="0.5" footer="0.5"/>
  <pageSetup paperSize="9" orientation="portrait" horizontalDpi="300" verticalDpi="300" r:id="rId1"/>
  <headerFooter alignWithMargins="0"/>
  <ignoredErrors>
    <ignoredError sqref="AS4:AS59 AT4:AT59 AS77:AS136 AT77:AT136 AY4:AZ4 BB4:BC4 BE4:BQ4 G4:M4"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J1270"/>
  <sheetViews>
    <sheetView topLeftCell="K1" zoomScale="85" zoomScaleNormal="85" workbookViewId="0">
      <pane ySplit="3" topLeftCell="A4" activePane="bottomLeft" state="frozenSplit"/>
      <selection activeCell="A3" sqref="A3"/>
      <selection pane="bottomLeft" activeCell="S4" sqref="S4"/>
    </sheetView>
  </sheetViews>
  <sheetFormatPr defaultColWidth="3.42578125" defaultRowHeight="12.75" x14ac:dyDescent="0.2"/>
  <cols>
    <col min="1" max="2" width="7.140625" style="57" customWidth="1"/>
    <col min="3" max="3" width="3" style="45" customWidth="1"/>
    <col min="4" max="10" width="8.5703125" style="45" customWidth="1"/>
    <col min="11" max="11" width="11.42578125" style="45" customWidth="1"/>
    <col min="12" max="12" width="12.85546875" style="45" customWidth="1"/>
    <col min="13" max="16" width="11.42578125" style="45" customWidth="1"/>
    <col min="17" max="17" width="7.140625" style="57" customWidth="1"/>
    <col min="18" max="18" width="7.140625" style="28" customWidth="1"/>
    <col min="19" max="19" width="5.7109375" style="45" customWidth="1"/>
    <col min="20" max="20" width="6.85546875" style="45" customWidth="1"/>
    <col min="21" max="21" width="7" style="45" customWidth="1"/>
    <col min="22" max="22" width="9.5703125" style="45" customWidth="1"/>
    <col min="23" max="23" width="4.42578125" style="45" customWidth="1"/>
    <col min="24" max="24" width="8.42578125" style="45" customWidth="1"/>
    <col min="25" max="25" width="7.42578125" style="45" customWidth="1"/>
    <col min="26" max="26" width="6.5703125" style="45" customWidth="1"/>
    <col min="27" max="29" width="11.42578125" style="45" customWidth="1"/>
    <col min="30" max="30" width="3.28515625" style="45" customWidth="1"/>
    <col min="31" max="32" width="11.42578125" style="45" customWidth="1"/>
    <col min="33" max="33" width="13.7109375" style="45" bestFit="1" customWidth="1"/>
    <col min="34" max="36" width="11.42578125" style="45" customWidth="1"/>
    <col min="37" max="37" width="3.42578125" style="45"/>
    <col min="38" max="38" width="8.42578125" style="45" bestFit="1" customWidth="1"/>
    <col min="39" max="16384" width="3.42578125" style="45"/>
  </cols>
  <sheetData>
    <row r="1" spans="1:36" s="5" customFormat="1" x14ac:dyDescent="0.2">
      <c r="A1" s="28"/>
      <c r="B1" s="28"/>
      <c r="D1" s="5" t="s">
        <v>54</v>
      </c>
      <c r="K1" s="208"/>
      <c r="L1" s="535" t="s">
        <v>299</v>
      </c>
      <c r="M1" s="487"/>
      <c r="N1" s="487"/>
      <c r="O1" s="487"/>
      <c r="P1" s="487"/>
      <c r="Q1" s="487"/>
      <c r="R1" s="28"/>
      <c r="S1" s="5" t="s">
        <v>353</v>
      </c>
      <c r="T1" s="5" t="s">
        <v>175</v>
      </c>
      <c r="AB1" s="534" t="s">
        <v>77</v>
      </c>
      <c r="AC1" s="534"/>
      <c r="AF1" s="5" t="s">
        <v>33</v>
      </c>
    </row>
    <row r="2" spans="1:36" s="5" customFormat="1" x14ac:dyDescent="0.2">
      <c r="A2" s="28"/>
      <c r="B2" s="28"/>
      <c r="K2" s="208"/>
      <c r="L2" s="209"/>
      <c r="M2" s="210"/>
      <c r="N2" s="45"/>
      <c r="O2" s="45"/>
      <c r="P2" s="45"/>
      <c r="Q2" s="57"/>
      <c r="R2" s="28"/>
    </row>
    <row r="3" spans="1:36" s="135" customFormat="1" ht="15" customHeight="1" x14ac:dyDescent="0.2">
      <c r="A3" s="135" t="s">
        <v>0</v>
      </c>
      <c r="B3" s="135" t="s">
        <v>1</v>
      </c>
      <c r="C3" s="135" t="s">
        <v>765</v>
      </c>
      <c r="D3" s="135" t="s">
        <v>55</v>
      </c>
      <c r="E3" s="135" t="s">
        <v>58</v>
      </c>
      <c r="F3" s="135" t="s">
        <v>1015</v>
      </c>
      <c r="G3" s="135" t="s">
        <v>59</v>
      </c>
      <c r="H3" s="135" t="s">
        <v>60</v>
      </c>
      <c r="I3" s="135" t="s">
        <v>61</v>
      </c>
      <c r="J3" s="135" t="s">
        <v>62</v>
      </c>
      <c r="K3" s="211" t="s">
        <v>868</v>
      </c>
      <c r="L3" s="211" t="s">
        <v>869</v>
      </c>
      <c r="M3" s="211" t="s">
        <v>870</v>
      </c>
      <c r="N3" s="212" t="s">
        <v>183</v>
      </c>
      <c r="O3" s="212" t="s">
        <v>363</v>
      </c>
      <c r="P3" s="212" t="s">
        <v>362</v>
      </c>
      <c r="Q3" s="135" t="s">
        <v>872</v>
      </c>
      <c r="R3" s="135" t="s">
        <v>845</v>
      </c>
      <c r="S3" s="135" t="s">
        <v>873</v>
      </c>
      <c r="T3" s="135" t="s">
        <v>1008</v>
      </c>
      <c r="U3" s="135" t="s">
        <v>1009</v>
      </c>
      <c r="V3" s="135" t="s">
        <v>1010</v>
      </c>
      <c r="W3" s="135" t="s">
        <v>1011</v>
      </c>
      <c r="X3" s="135" t="s">
        <v>1012</v>
      </c>
      <c r="Y3" s="135" t="s">
        <v>1013</v>
      </c>
      <c r="Z3" s="135" t="s">
        <v>1014</v>
      </c>
      <c r="AA3" s="135" t="s">
        <v>309</v>
      </c>
      <c r="AB3" s="135" t="s">
        <v>24</v>
      </c>
      <c r="AC3" s="135" t="s">
        <v>2</v>
      </c>
      <c r="AD3" s="135" t="s">
        <v>766</v>
      </c>
      <c r="AE3" s="135" t="s">
        <v>508</v>
      </c>
      <c r="AF3" s="135" t="s">
        <v>57</v>
      </c>
      <c r="AG3" s="135" t="s">
        <v>177</v>
      </c>
      <c r="AH3" s="135" t="s">
        <v>871</v>
      </c>
      <c r="AI3" s="135" t="s">
        <v>858</v>
      </c>
      <c r="AJ3" s="213" t="s">
        <v>753</v>
      </c>
    </row>
    <row r="4" spans="1:36" x14ac:dyDescent="0.2">
      <c r="A4" s="175">
        <f>TblRezone[[#This Row],[Hour]]</f>
        <v>1</v>
      </c>
      <c r="B4" s="214">
        <f ca="1">TblConstr[[#This Row],[Land]]</f>
        <v>50</v>
      </c>
      <c r="C4" s="215"/>
      <c r="D4" s="216">
        <f ca="1">TblConstr[[#This Row],[Plain]]</f>
        <v>0</v>
      </c>
      <c r="E4" s="182">
        <f ca="1">TblConstr[[#This Row],[Forest]]</f>
        <v>0</v>
      </c>
      <c r="F4" s="359">
        <f ca="1">TblConstr[[#This Row],[Mountain]]</f>
        <v>0</v>
      </c>
      <c r="G4" s="363">
        <f ca="1">TblConstr[[#This Row],[Hill]]</f>
        <v>0</v>
      </c>
      <c r="H4" s="367">
        <f ca="1">TblConstr[[#This Row],[Swamp]]</f>
        <v>0</v>
      </c>
      <c r="I4" s="185">
        <f ca="1">TblConstr[[#This Row],[Cavern]]</f>
        <v>0</v>
      </c>
      <c r="J4" s="186">
        <f ca="1">TblConstr[[#This Row],[Water]]</f>
        <v>0</v>
      </c>
      <c r="K4" s="210"/>
      <c r="L4" s="210"/>
      <c r="M4" s="210"/>
      <c r="N4" s="217">
        <f ca="1">TblMili[[#This Row],[Smithies]]</f>
        <v>0</v>
      </c>
      <c r="O4" s="217">
        <f ca="1">TblPop[[#This Row],[Employment]]</f>
        <v>1</v>
      </c>
      <c r="P4" s="217">
        <f ca="1">TblImps[[#This Row],[Population]]</f>
        <v>1</v>
      </c>
      <c r="Q4" s="175">
        <f ca="1">TblExplore[[#This Row],[Land]]</f>
        <v>50</v>
      </c>
      <c r="R4" s="175">
        <f>TblExplore[[#This Row],[Hour]]</f>
        <v>1</v>
      </c>
      <c r="S4" s="218"/>
      <c r="T4" s="179"/>
      <c r="U4" s="179"/>
      <c r="V4" s="179"/>
      <c r="W4" s="179"/>
      <c r="X4" s="179"/>
      <c r="Y4" s="179"/>
      <c r="Z4" s="179"/>
      <c r="AA4" s="159">
        <f>TblImps[[#This Row],[Real time]]</f>
        <v>46320</v>
      </c>
      <c r="AB4" s="94">
        <f ca="1">TblMili[[#This Row],[Draftees]]</f>
        <v>300</v>
      </c>
      <c r="AC4" s="94">
        <f ca="1">TblProd[[#This Row],[Platinum]]</f>
        <v>120000</v>
      </c>
      <c r="AD4" s="215"/>
      <c r="AE4" s="45">
        <f ca="1">TblExplore[[#This Row],[Land]]-TblExplore[[#This Row],[Land Bonus]]*20</f>
        <v>50</v>
      </c>
      <c r="AF4" s="94">
        <f ca="1">ROUND((0.6*TblExplore[[#This Row],[Land-DB]]^1.299 + IF(TblExplore[[#This Row],[Land-DB]]&lt;1520, (-0.001*(TblExplore[[#This Row],[Land-DB]]^2)+1.91*TblExplore[[#This Row],[Land-DB]]-593), 0))*(1+ tech_2_6*Techs!AC4 + tech_2_9*Techs!AF4 + tech_3_7*Techs!AN4 + Overview!$I$33),0)</f>
        <v>-403</v>
      </c>
      <c r="AG4" s="94">
        <f ca="1">_xlfn.FLOOR.MATH(TblExplore[[#This Row],[Land-DB]]/150)+3+tech_2_9_2*TblTech[[#This Row],[2-9]]+tech_3_7_2*TblTech[[#This Row],[3-7]]</f>
        <v>3</v>
      </c>
      <c r="AH4" s="94">
        <f ca="1">SUM(TblExplore[[#This Row],[Plains Explore]:[Water Explore]])*TblExplore[[#This Row],[Plat/acre]]</f>
        <v>0</v>
      </c>
      <c r="AI4" s="94">
        <f ca="1">SUM(TblExplore[[#This Row],[Plains Explore]:[Water Explore]])*TblExplore[[#This Row],[Draftees/acre]]</f>
        <v>0</v>
      </c>
      <c r="AJ4" s="45">
        <f ca="1">_xlfn.FLOOR.MATH(MIN(TblExplore[[#This Row],[Platinum]]/TblExplore[[#This Row],[Plat/acre]],TblExplore[[#This Row],[Draftees]]/TblExplore[[#This Row],[Draftees/acre]]))</f>
        <v>-298</v>
      </c>
    </row>
    <row r="5" spans="1:36" x14ac:dyDescent="0.2">
      <c r="A5" s="175">
        <f>TblRezone[[#This Row],[Hour]]</f>
        <v>2</v>
      </c>
      <c r="B5" s="214">
        <f ca="1">TblConstr[[#This Row],[Land]]</f>
        <v>50</v>
      </c>
      <c r="C5" s="215"/>
      <c r="D5" s="216">
        <f ca="1">TblConstr[[#This Row],[Plain]]</f>
        <v>0</v>
      </c>
      <c r="E5" s="182">
        <f ca="1">TblConstr[[#This Row],[Forest]]</f>
        <v>0</v>
      </c>
      <c r="F5" s="359">
        <f ca="1">TblConstr[[#This Row],[Mountain]]</f>
        <v>0</v>
      </c>
      <c r="G5" s="363">
        <f ca="1">TblConstr[[#This Row],[Hill]]</f>
        <v>0</v>
      </c>
      <c r="H5" s="367">
        <f ca="1">TblConstr[[#This Row],[Swamp]]</f>
        <v>0</v>
      </c>
      <c r="I5" s="185">
        <f ca="1">TblConstr[[#This Row],[Cavern]]</f>
        <v>0</v>
      </c>
      <c r="J5" s="186">
        <f ca="1">TblConstr[[#This Row],[Water]]</f>
        <v>0</v>
      </c>
      <c r="K5" s="210"/>
      <c r="L5" s="210"/>
      <c r="M5" s="210"/>
      <c r="N5" s="217">
        <f ca="1">TblMili[[#This Row],[Smithies]]</f>
        <v>0</v>
      </c>
      <c r="O5" s="217">
        <f ca="1">TblPop[[#This Row],[Employment]]</f>
        <v>1</v>
      </c>
      <c r="P5" s="217">
        <f ca="1">TblImps[[#This Row],[Population]]</f>
        <v>1</v>
      </c>
      <c r="Q5" s="175">
        <f ca="1">TblExplore[[#This Row],[Land]]</f>
        <v>50</v>
      </c>
      <c r="R5" s="175">
        <f>TblExplore[[#This Row],[Hour]]</f>
        <v>2</v>
      </c>
      <c r="S5" s="218"/>
      <c r="T5" s="179"/>
      <c r="U5" s="179"/>
      <c r="V5" s="179"/>
      <c r="W5" s="179"/>
      <c r="X5" s="179"/>
      <c r="Y5" s="179"/>
      <c r="Z5" s="179"/>
      <c r="AA5" s="159">
        <f ca="1">TblImps[[#This Row],[Real time]]</f>
        <v>46320.041666666664</v>
      </c>
      <c r="AB5" s="94">
        <f ca="1">TblMili[[#This Row],[Draftees]]</f>
        <v>305</v>
      </c>
      <c r="AC5" s="94">
        <f ca="1">TblProd[[#This Row],[Platinum]]</f>
        <v>121266</v>
      </c>
      <c r="AD5" s="215"/>
      <c r="AE5" s="45">
        <f ca="1">TblExplore[[#This Row],[Land]]-TblExplore[[#This Row],[Land Bonus]]*20</f>
        <v>50</v>
      </c>
      <c r="AF5" s="94">
        <f ca="1">ROUND((0.6*TblExplore[[#This Row],[Land-DB]]^1.299 + IF(TblExplore[[#This Row],[Land-DB]]&lt;1520, (-0.001*(TblExplore[[#This Row],[Land-DB]]^2)+1.91*TblExplore[[#This Row],[Land-DB]]-593), 0))*(1+ tech_2_6*Techs!AC5 + tech_2_9*Techs!AF5 + tech_3_7*Techs!AN5 + Overview!$I$33),0)</f>
        <v>-403</v>
      </c>
      <c r="AG5" s="94">
        <f ca="1">_xlfn.FLOOR.MATH(TblExplore[[#This Row],[Land-DB]]/150)+3+tech_2_9_2*TblTech[[#This Row],[2-9]]+tech_3_7_2*TblTech[[#This Row],[3-7]]</f>
        <v>3</v>
      </c>
      <c r="AH5" s="94">
        <f ca="1">SUM(TblExplore[[#This Row],[Plains Explore]:[Water Explore]])*TblExplore[[#This Row],[Plat/acre]]</f>
        <v>0</v>
      </c>
      <c r="AI5" s="94">
        <f ca="1">SUM(TblExplore[[#This Row],[Plains Explore]:[Water Explore]])*TblExplore[[#This Row],[Draftees/acre]]</f>
        <v>0</v>
      </c>
      <c r="AJ5" s="45">
        <f ca="1">_xlfn.FLOOR.MATH(MIN(TblExplore[[#This Row],[Platinum]]/TblExplore[[#This Row],[Plat/acre]],TblExplore[[#This Row],[Draftees]]/TblExplore[[#This Row],[Draftees/acre]]))</f>
        <v>-301</v>
      </c>
    </row>
    <row r="6" spans="1:36" x14ac:dyDescent="0.2">
      <c r="A6" s="175">
        <f>TblRezone[[#This Row],[Hour]]</f>
        <v>3</v>
      </c>
      <c r="B6" s="214">
        <f ca="1">TblConstr[[#This Row],[Land]]</f>
        <v>50</v>
      </c>
      <c r="C6" s="215"/>
      <c r="D6" s="216">
        <f ca="1">TblConstr[[#This Row],[Plain]]</f>
        <v>0</v>
      </c>
      <c r="E6" s="182">
        <f ca="1">TblConstr[[#This Row],[Forest]]</f>
        <v>0</v>
      </c>
      <c r="F6" s="359">
        <f ca="1">TblConstr[[#This Row],[Mountain]]</f>
        <v>0</v>
      </c>
      <c r="G6" s="363">
        <f ca="1">TblConstr[[#This Row],[Hill]]</f>
        <v>0</v>
      </c>
      <c r="H6" s="367">
        <f ca="1">TblConstr[[#This Row],[Swamp]]</f>
        <v>0</v>
      </c>
      <c r="I6" s="185">
        <f ca="1">TblConstr[[#This Row],[Cavern]]</f>
        <v>0</v>
      </c>
      <c r="J6" s="186">
        <f ca="1">TblConstr[[#This Row],[Water]]</f>
        <v>0</v>
      </c>
      <c r="K6" s="210"/>
      <c r="L6" s="210"/>
      <c r="M6" s="210"/>
      <c r="N6" s="217">
        <f ca="1">TblMili[[#This Row],[Smithies]]</f>
        <v>0</v>
      </c>
      <c r="O6" s="217">
        <f ca="1">TblPop[[#This Row],[Employment]]</f>
        <v>1</v>
      </c>
      <c r="P6" s="217">
        <f ca="1">TblImps[[#This Row],[Population]]</f>
        <v>1</v>
      </c>
      <c r="Q6" s="175">
        <f ca="1">TblExplore[[#This Row],[Land]]</f>
        <v>50</v>
      </c>
      <c r="R6" s="175">
        <f>TblExplore[[#This Row],[Hour]]</f>
        <v>3</v>
      </c>
      <c r="S6" s="218"/>
      <c r="T6" s="179"/>
      <c r="U6" s="179"/>
      <c r="V6" s="179"/>
      <c r="W6" s="179"/>
      <c r="X6" s="179"/>
      <c r="Y6" s="179"/>
      <c r="Z6" s="179"/>
      <c r="AA6" s="159">
        <f ca="1">TblImps[[#This Row],[Real time]]</f>
        <v>46320.083333333328</v>
      </c>
      <c r="AB6" s="94">
        <f ca="1">TblMili[[#This Row],[Draftees]]</f>
        <v>310</v>
      </c>
      <c r="AC6" s="94">
        <f ca="1">TblProd[[#This Row],[Platinum]]</f>
        <v>122518</v>
      </c>
      <c r="AD6" s="215"/>
      <c r="AE6" s="45">
        <f ca="1">TblExplore[[#This Row],[Land]]-TblExplore[[#This Row],[Land Bonus]]*20</f>
        <v>50</v>
      </c>
      <c r="AF6" s="94">
        <f ca="1">ROUND((0.6*TblExplore[[#This Row],[Land-DB]]^1.299 + IF(TblExplore[[#This Row],[Land-DB]]&lt;1520, (-0.001*(TblExplore[[#This Row],[Land-DB]]^2)+1.91*TblExplore[[#This Row],[Land-DB]]-593), 0))*(1+ tech_2_6*Techs!AC6 + tech_2_9*Techs!AF6 + tech_3_7*Techs!AN6 + Overview!$I$33),0)</f>
        <v>-403</v>
      </c>
      <c r="AG6" s="94">
        <f ca="1">_xlfn.FLOOR.MATH(TblExplore[[#This Row],[Land-DB]]/150)+3+tech_2_9_2*TblTech[[#This Row],[2-9]]+tech_3_7_2*TblTech[[#This Row],[3-7]]</f>
        <v>3</v>
      </c>
      <c r="AH6" s="94">
        <f ca="1">SUM(TblExplore[[#This Row],[Plains Explore]:[Water Explore]])*TblExplore[[#This Row],[Plat/acre]]</f>
        <v>0</v>
      </c>
      <c r="AI6" s="94">
        <f ca="1">SUM(TblExplore[[#This Row],[Plains Explore]:[Water Explore]])*TblExplore[[#This Row],[Draftees/acre]]</f>
        <v>0</v>
      </c>
      <c r="AJ6" s="45">
        <f ca="1">_xlfn.FLOOR.MATH(MIN(TblExplore[[#This Row],[Platinum]]/TblExplore[[#This Row],[Plat/acre]],TblExplore[[#This Row],[Draftees]]/TblExplore[[#This Row],[Draftees/acre]]))</f>
        <v>-305</v>
      </c>
    </row>
    <row r="7" spans="1:36" x14ac:dyDescent="0.2">
      <c r="A7" s="175">
        <f>TblRezone[[#This Row],[Hour]]</f>
        <v>4</v>
      </c>
      <c r="B7" s="214">
        <f ca="1">TblConstr[[#This Row],[Land]]</f>
        <v>50</v>
      </c>
      <c r="C7" s="215"/>
      <c r="D7" s="216">
        <f ca="1">TblConstr[[#This Row],[Plain]]</f>
        <v>0</v>
      </c>
      <c r="E7" s="182">
        <f ca="1">TblConstr[[#This Row],[Forest]]</f>
        <v>0</v>
      </c>
      <c r="F7" s="359">
        <f ca="1">TblConstr[[#This Row],[Mountain]]</f>
        <v>0</v>
      </c>
      <c r="G7" s="363">
        <f ca="1">TblConstr[[#This Row],[Hill]]</f>
        <v>0</v>
      </c>
      <c r="H7" s="367">
        <f ca="1">TblConstr[[#This Row],[Swamp]]</f>
        <v>0</v>
      </c>
      <c r="I7" s="185">
        <f ca="1">TblConstr[[#This Row],[Cavern]]</f>
        <v>0</v>
      </c>
      <c r="J7" s="186">
        <f ca="1">TblConstr[[#This Row],[Water]]</f>
        <v>0</v>
      </c>
      <c r="K7" s="210"/>
      <c r="L7" s="210"/>
      <c r="M7" s="210"/>
      <c r="N7" s="217">
        <f ca="1">TblMili[[#This Row],[Smithies]]</f>
        <v>0</v>
      </c>
      <c r="O7" s="217">
        <f ca="1">TblPop[[#This Row],[Employment]]</f>
        <v>1</v>
      </c>
      <c r="P7" s="217">
        <f ca="1">TblImps[[#This Row],[Population]]</f>
        <v>1</v>
      </c>
      <c r="Q7" s="175">
        <f ca="1">TblExplore[[#This Row],[Land]]</f>
        <v>50</v>
      </c>
      <c r="R7" s="175">
        <f>TblExplore[[#This Row],[Hour]]</f>
        <v>4</v>
      </c>
      <c r="S7" s="218"/>
      <c r="T7" s="158"/>
      <c r="U7" s="179"/>
      <c r="V7" s="179"/>
      <c r="W7" s="179"/>
      <c r="X7" s="179"/>
      <c r="Y7" s="179"/>
      <c r="Z7" s="179"/>
      <c r="AA7" s="159">
        <f ca="1">TblImps[[#This Row],[Real time]]</f>
        <v>46320.124999999993</v>
      </c>
      <c r="AB7" s="94">
        <f ca="1">TblMili[[#This Row],[Draftees]]</f>
        <v>315</v>
      </c>
      <c r="AC7" s="94">
        <f ca="1">TblProd[[#This Row],[Platinum]]</f>
        <v>123757</v>
      </c>
      <c r="AD7" s="215"/>
      <c r="AE7" s="45">
        <f ca="1">TblExplore[[#This Row],[Land]]-TblExplore[[#This Row],[Land Bonus]]*20</f>
        <v>50</v>
      </c>
      <c r="AF7" s="94">
        <f ca="1">ROUND((0.6*TblExplore[[#This Row],[Land-DB]]^1.299 + IF(TblExplore[[#This Row],[Land-DB]]&lt;1520, (-0.001*(TblExplore[[#This Row],[Land-DB]]^2)+1.91*TblExplore[[#This Row],[Land-DB]]-593), 0))*(1+ tech_2_6*Techs!AC7 + tech_2_9*Techs!AF7 + tech_3_7*Techs!AN7 + Overview!$I$33),0)</f>
        <v>-403</v>
      </c>
      <c r="AG7" s="94">
        <f ca="1">_xlfn.FLOOR.MATH(TblExplore[[#This Row],[Land-DB]]/150)+3+tech_2_9_2*TblTech[[#This Row],[2-9]]+tech_3_7_2*TblTech[[#This Row],[3-7]]</f>
        <v>3</v>
      </c>
      <c r="AH7" s="94">
        <f ca="1">SUM(TblExplore[[#This Row],[Plains Explore]:[Water Explore]])*TblExplore[[#This Row],[Plat/acre]]</f>
        <v>0</v>
      </c>
      <c r="AI7" s="94">
        <f ca="1">SUM(TblExplore[[#This Row],[Plains Explore]:[Water Explore]])*TblExplore[[#This Row],[Draftees/acre]]</f>
        <v>0</v>
      </c>
      <c r="AJ7" s="45">
        <f ca="1">_xlfn.FLOOR.MATH(MIN(TblExplore[[#This Row],[Platinum]]/TblExplore[[#This Row],[Plat/acre]],TblExplore[[#This Row],[Draftees]]/TblExplore[[#This Row],[Draftees/acre]]))</f>
        <v>-308</v>
      </c>
    </row>
    <row r="8" spans="1:36" x14ac:dyDescent="0.2">
      <c r="A8" s="175">
        <f>TblRezone[[#This Row],[Hour]]</f>
        <v>5</v>
      </c>
      <c r="B8" s="214">
        <f ca="1">TblConstr[[#This Row],[Land]]</f>
        <v>50</v>
      </c>
      <c r="C8" s="215"/>
      <c r="D8" s="216">
        <f ca="1">TblConstr[[#This Row],[Plain]]</f>
        <v>0</v>
      </c>
      <c r="E8" s="182">
        <f ca="1">TblConstr[[#This Row],[Forest]]</f>
        <v>0</v>
      </c>
      <c r="F8" s="359">
        <f ca="1">TblConstr[[#This Row],[Mountain]]</f>
        <v>0</v>
      </c>
      <c r="G8" s="363">
        <f ca="1">TblConstr[[#This Row],[Hill]]</f>
        <v>0</v>
      </c>
      <c r="H8" s="367">
        <f ca="1">TblConstr[[#This Row],[Swamp]]</f>
        <v>0</v>
      </c>
      <c r="I8" s="185">
        <f ca="1">TblConstr[[#This Row],[Cavern]]</f>
        <v>0</v>
      </c>
      <c r="J8" s="186">
        <f ca="1">TblConstr[[#This Row],[Water]]</f>
        <v>0</v>
      </c>
      <c r="K8" s="210"/>
      <c r="L8" s="210"/>
      <c r="M8" s="210"/>
      <c r="N8" s="217">
        <f ca="1">TblMili[[#This Row],[Smithies]]</f>
        <v>0</v>
      </c>
      <c r="O8" s="217">
        <f ca="1">TblPop[[#This Row],[Employment]]</f>
        <v>1</v>
      </c>
      <c r="P8" s="217">
        <f ca="1">TblImps[[#This Row],[Population]]</f>
        <v>1</v>
      </c>
      <c r="Q8" s="175">
        <f ca="1">TblExplore[[#This Row],[Land]]</f>
        <v>50</v>
      </c>
      <c r="R8" s="175">
        <f>TblExplore[[#This Row],[Hour]]</f>
        <v>5</v>
      </c>
      <c r="S8" s="218"/>
      <c r="T8" s="158"/>
      <c r="U8" s="179"/>
      <c r="V8" s="179"/>
      <c r="W8" s="179"/>
      <c r="X8" s="179"/>
      <c r="Y8" s="179"/>
      <c r="Z8" s="179"/>
      <c r="AA8" s="159">
        <f ca="1">TblImps[[#This Row],[Real time]]</f>
        <v>46320.166666666657</v>
      </c>
      <c r="AB8" s="94">
        <f ca="1">TblMili[[#This Row],[Draftees]]</f>
        <v>320</v>
      </c>
      <c r="AC8" s="94">
        <f ca="1">TblProd[[#This Row],[Platinum]]</f>
        <v>124982</v>
      </c>
      <c r="AD8" s="215"/>
      <c r="AE8" s="45">
        <f ca="1">TblExplore[[#This Row],[Land]]-TblExplore[[#This Row],[Land Bonus]]*20</f>
        <v>50</v>
      </c>
      <c r="AF8" s="94">
        <f ca="1">ROUND((0.6*TblExplore[[#This Row],[Land-DB]]^1.299 + IF(TblExplore[[#This Row],[Land-DB]]&lt;1520, (-0.001*(TblExplore[[#This Row],[Land-DB]]^2)+1.91*TblExplore[[#This Row],[Land-DB]]-593), 0))*(1+ tech_2_6*Techs!AC8 + tech_2_9*Techs!AF8 + tech_3_7*Techs!AN8 + Overview!$I$33),0)</f>
        <v>-403</v>
      </c>
      <c r="AG8" s="94">
        <f ca="1">_xlfn.FLOOR.MATH(TblExplore[[#This Row],[Land-DB]]/150)+3+tech_2_9_2*TblTech[[#This Row],[2-9]]+tech_3_7_2*TblTech[[#This Row],[3-7]]</f>
        <v>3</v>
      </c>
      <c r="AH8" s="94">
        <f ca="1">SUM(TblExplore[[#This Row],[Plains Explore]:[Water Explore]])*TblExplore[[#This Row],[Plat/acre]]</f>
        <v>0</v>
      </c>
      <c r="AI8" s="94">
        <f ca="1">SUM(TblExplore[[#This Row],[Plains Explore]:[Water Explore]])*TblExplore[[#This Row],[Draftees/acre]]</f>
        <v>0</v>
      </c>
      <c r="AJ8" s="45">
        <f ca="1">_xlfn.FLOOR.MATH(MIN(TblExplore[[#This Row],[Platinum]]/TblExplore[[#This Row],[Plat/acre]],TblExplore[[#This Row],[Draftees]]/TblExplore[[#This Row],[Draftees/acre]]))</f>
        <v>-311</v>
      </c>
    </row>
    <row r="9" spans="1:36" x14ac:dyDescent="0.2">
      <c r="A9" s="175">
        <f>TblRezone[[#This Row],[Hour]]</f>
        <v>6</v>
      </c>
      <c r="B9" s="214">
        <f ca="1">TblConstr[[#This Row],[Land]]</f>
        <v>50</v>
      </c>
      <c r="C9" s="215"/>
      <c r="D9" s="216">
        <f ca="1">TblConstr[[#This Row],[Plain]]</f>
        <v>0</v>
      </c>
      <c r="E9" s="182">
        <f ca="1">TblConstr[[#This Row],[Forest]]</f>
        <v>0</v>
      </c>
      <c r="F9" s="359">
        <f ca="1">TblConstr[[#This Row],[Mountain]]</f>
        <v>0</v>
      </c>
      <c r="G9" s="363">
        <f ca="1">TblConstr[[#This Row],[Hill]]</f>
        <v>0</v>
      </c>
      <c r="H9" s="367">
        <f ca="1">TblConstr[[#This Row],[Swamp]]</f>
        <v>0</v>
      </c>
      <c r="I9" s="185">
        <f ca="1">TblConstr[[#This Row],[Cavern]]</f>
        <v>0</v>
      </c>
      <c r="J9" s="186">
        <f ca="1">TblConstr[[#This Row],[Water]]</f>
        <v>0</v>
      </c>
      <c r="K9" s="210"/>
      <c r="L9" s="210"/>
      <c r="M9" s="210"/>
      <c r="N9" s="217">
        <f ca="1">TblMili[[#This Row],[Smithies]]</f>
        <v>0</v>
      </c>
      <c r="O9" s="217">
        <f ca="1">TblPop[[#This Row],[Employment]]</f>
        <v>1</v>
      </c>
      <c r="P9" s="217">
        <f ca="1">TblImps[[#This Row],[Population]]</f>
        <v>1</v>
      </c>
      <c r="Q9" s="175">
        <f ca="1">TblExplore[[#This Row],[Land]]</f>
        <v>50</v>
      </c>
      <c r="R9" s="175">
        <f>TblExplore[[#This Row],[Hour]]</f>
        <v>6</v>
      </c>
      <c r="S9" s="218"/>
      <c r="T9" s="179"/>
      <c r="U9" s="179"/>
      <c r="V9" s="179"/>
      <c r="W9" s="179"/>
      <c r="X9" s="179"/>
      <c r="Y9" s="179"/>
      <c r="Z9" s="179"/>
      <c r="AA9" s="159">
        <f ca="1">TblImps[[#This Row],[Real time]]</f>
        <v>46320.208333333321</v>
      </c>
      <c r="AB9" s="94">
        <f ca="1">TblMili[[#This Row],[Draftees]]</f>
        <v>324</v>
      </c>
      <c r="AC9" s="94">
        <f ca="1">TblProd[[#This Row],[Platinum]]</f>
        <v>126194</v>
      </c>
      <c r="AD9" s="215"/>
      <c r="AE9" s="45">
        <f ca="1">TblExplore[[#This Row],[Land]]-TblExplore[[#This Row],[Land Bonus]]*20</f>
        <v>50</v>
      </c>
      <c r="AF9" s="94">
        <f ca="1">ROUND((0.6*TblExplore[[#This Row],[Land-DB]]^1.299 + IF(TblExplore[[#This Row],[Land-DB]]&lt;1520, (-0.001*(TblExplore[[#This Row],[Land-DB]]^2)+1.91*TblExplore[[#This Row],[Land-DB]]-593), 0))*(1+ tech_2_6*Techs!AC9 + tech_2_9*Techs!AF9 + tech_3_7*Techs!AN9 + Overview!$I$33),0)</f>
        <v>-403</v>
      </c>
      <c r="AG9" s="94">
        <f ca="1">_xlfn.FLOOR.MATH(TblExplore[[#This Row],[Land-DB]]/150)+3+tech_2_9_2*TblTech[[#This Row],[2-9]]+tech_3_7_2*TblTech[[#This Row],[3-7]]</f>
        <v>3</v>
      </c>
      <c r="AH9" s="94">
        <f ca="1">SUM(TblExplore[[#This Row],[Plains Explore]:[Water Explore]])*TblExplore[[#This Row],[Plat/acre]]</f>
        <v>0</v>
      </c>
      <c r="AI9" s="94">
        <f ca="1">SUM(TblExplore[[#This Row],[Plains Explore]:[Water Explore]])*TblExplore[[#This Row],[Draftees/acre]]</f>
        <v>0</v>
      </c>
      <c r="AJ9" s="45">
        <f ca="1">_xlfn.FLOOR.MATH(MIN(TblExplore[[#This Row],[Platinum]]/TblExplore[[#This Row],[Plat/acre]],TblExplore[[#This Row],[Draftees]]/TblExplore[[#This Row],[Draftees/acre]]))</f>
        <v>-314</v>
      </c>
    </row>
    <row r="10" spans="1:36" x14ac:dyDescent="0.2">
      <c r="A10" s="175">
        <f>TblRezone[[#This Row],[Hour]]</f>
        <v>7</v>
      </c>
      <c r="B10" s="214">
        <f ca="1">TblConstr[[#This Row],[Land]]</f>
        <v>50</v>
      </c>
      <c r="C10" s="215"/>
      <c r="D10" s="216">
        <f ca="1">TblConstr[[#This Row],[Plain]]</f>
        <v>0</v>
      </c>
      <c r="E10" s="182">
        <f ca="1">TblConstr[[#This Row],[Forest]]</f>
        <v>0</v>
      </c>
      <c r="F10" s="359">
        <f ca="1">TblConstr[[#This Row],[Mountain]]</f>
        <v>0</v>
      </c>
      <c r="G10" s="363">
        <f ca="1">TblConstr[[#This Row],[Hill]]</f>
        <v>0</v>
      </c>
      <c r="H10" s="367">
        <f ca="1">TblConstr[[#This Row],[Swamp]]</f>
        <v>0</v>
      </c>
      <c r="I10" s="185">
        <f ca="1">TblConstr[[#This Row],[Cavern]]</f>
        <v>0</v>
      </c>
      <c r="J10" s="186">
        <f ca="1">TblConstr[[#This Row],[Water]]</f>
        <v>0</v>
      </c>
      <c r="K10" s="210"/>
      <c r="L10" s="210"/>
      <c r="M10" s="210"/>
      <c r="N10" s="217">
        <f ca="1">TblMili[[#This Row],[Smithies]]</f>
        <v>0</v>
      </c>
      <c r="O10" s="217">
        <f ca="1">TblPop[[#This Row],[Employment]]</f>
        <v>1</v>
      </c>
      <c r="P10" s="217">
        <f ca="1">TblImps[[#This Row],[Population]]</f>
        <v>1</v>
      </c>
      <c r="Q10" s="175">
        <f ca="1">TblExplore[[#This Row],[Land]]</f>
        <v>50</v>
      </c>
      <c r="R10" s="175">
        <f>TblExplore[[#This Row],[Hour]]</f>
        <v>7</v>
      </c>
      <c r="S10" s="218"/>
      <c r="T10" s="179"/>
      <c r="U10" s="179"/>
      <c r="V10" s="179"/>
      <c r="W10" s="179"/>
      <c r="X10" s="179"/>
      <c r="Y10" s="179"/>
      <c r="Z10" s="179"/>
      <c r="AA10" s="159">
        <f ca="1">TblImps[[#This Row],[Real time]]</f>
        <v>46320.249999999985</v>
      </c>
      <c r="AB10" s="94">
        <f ca="1">TblMili[[#This Row],[Draftees]]</f>
        <v>328</v>
      </c>
      <c r="AC10" s="94">
        <f ca="1">TblProd[[#This Row],[Platinum]]</f>
        <v>127395</v>
      </c>
      <c r="AD10" s="215"/>
      <c r="AE10" s="45">
        <f ca="1">TblExplore[[#This Row],[Land]]-TblExplore[[#This Row],[Land Bonus]]*20</f>
        <v>50</v>
      </c>
      <c r="AF10" s="94">
        <f ca="1">ROUND((0.6*TblExplore[[#This Row],[Land-DB]]^1.299 + IF(TblExplore[[#This Row],[Land-DB]]&lt;1520, (-0.001*(TblExplore[[#This Row],[Land-DB]]^2)+1.91*TblExplore[[#This Row],[Land-DB]]-593), 0))*(1+ tech_2_6*Techs!AC10 + tech_2_9*Techs!AF10 + tech_3_7*Techs!AN10 + Overview!$I$33),0)</f>
        <v>-403</v>
      </c>
      <c r="AG10" s="94">
        <f ca="1">_xlfn.FLOOR.MATH(TblExplore[[#This Row],[Land-DB]]/150)+3+tech_2_9_2*TblTech[[#This Row],[2-9]]+tech_3_7_2*TblTech[[#This Row],[3-7]]</f>
        <v>3</v>
      </c>
      <c r="AH10" s="94">
        <f ca="1">SUM(TblExplore[[#This Row],[Plains Explore]:[Water Explore]])*TblExplore[[#This Row],[Plat/acre]]</f>
        <v>0</v>
      </c>
      <c r="AI10" s="94">
        <f ca="1">SUM(TblExplore[[#This Row],[Plains Explore]:[Water Explore]])*TblExplore[[#This Row],[Draftees/acre]]</f>
        <v>0</v>
      </c>
      <c r="AJ10" s="45">
        <f ca="1">_xlfn.FLOOR.MATH(MIN(TblExplore[[#This Row],[Platinum]]/TblExplore[[#This Row],[Plat/acre]],TblExplore[[#This Row],[Draftees]]/TblExplore[[#This Row],[Draftees/acre]]))</f>
        <v>-317</v>
      </c>
    </row>
    <row r="11" spans="1:36" x14ac:dyDescent="0.2">
      <c r="A11" s="175">
        <f>TblRezone[[#This Row],[Hour]]</f>
        <v>8</v>
      </c>
      <c r="B11" s="214">
        <f ca="1">TblConstr[[#This Row],[Land]]</f>
        <v>50</v>
      </c>
      <c r="C11" s="215"/>
      <c r="D11" s="216">
        <f ca="1">TblConstr[[#This Row],[Plain]]</f>
        <v>0</v>
      </c>
      <c r="E11" s="182">
        <f ca="1">TblConstr[[#This Row],[Forest]]</f>
        <v>0</v>
      </c>
      <c r="F11" s="359">
        <f ca="1">TblConstr[[#This Row],[Mountain]]</f>
        <v>0</v>
      </c>
      <c r="G11" s="363">
        <f ca="1">TblConstr[[#This Row],[Hill]]</f>
        <v>0</v>
      </c>
      <c r="H11" s="367">
        <f ca="1">TblConstr[[#This Row],[Swamp]]</f>
        <v>0</v>
      </c>
      <c r="I11" s="185">
        <f ca="1">TblConstr[[#This Row],[Cavern]]</f>
        <v>0</v>
      </c>
      <c r="J11" s="186">
        <f ca="1">TblConstr[[#This Row],[Water]]</f>
        <v>0</v>
      </c>
      <c r="K11" s="210"/>
      <c r="L11" s="210"/>
      <c r="M11" s="210"/>
      <c r="N11" s="217">
        <f ca="1">TblMili[[#This Row],[Smithies]]</f>
        <v>0</v>
      </c>
      <c r="O11" s="217">
        <f ca="1">TblPop[[#This Row],[Employment]]</f>
        <v>1</v>
      </c>
      <c r="P11" s="217">
        <f ca="1">TblImps[[#This Row],[Population]]</f>
        <v>1</v>
      </c>
      <c r="Q11" s="175">
        <f ca="1">TblExplore[[#This Row],[Land]]</f>
        <v>50</v>
      </c>
      <c r="R11" s="175">
        <f>TblExplore[[#This Row],[Hour]]</f>
        <v>8</v>
      </c>
      <c r="S11" s="218"/>
      <c r="T11" s="179"/>
      <c r="U11" s="179"/>
      <c r="V11" s="179"/>
      <c r="W11" s="179"/>
      <c r="X11" s="179"/>
      <c r="Y11" s="179"/>
      <c r="Z11" s="179"/>
      <c r="AA11" s="159">
        <f ca="1">TblImps[[#This Row],[Real time]]</f>
        <v>46320.29166666665</v>
      </c>
      <c r="AB11" s="94">
        <f ca="1">TblMili[[#This Row],[Draftees]]</f>
        <v>332</v>
      </c>
      <c r="AC11" s="94">
        <f ca="1">TblProd[[#This Row],[Platinum]]</f>
        <v>128585</v>
      </c>
      <c r="AD11" s="215"/>
      <c r="AE11" s="45">
        <f ca="1">TblExplore[[#This Row],[Land]]-TblExplore[[#This Row],[Land Bonus]]*20</f>
        <v>50</v>
      </c>
      <c r="AF11" s="94">
        <f ca="1">ROUND((0.6*TblExplore[[#This Row],[Land-DB]]^1.299 + IF(TblExplore[[#This Row],[Land-DB]]&lt;1520, (-0.001*(TblExplore[[#This Row],[Land-DB]]^2)+1.91*TblExplore[[#This Row],[Land-DB]]-593), 0))*(1+ tech_2_6*Techs!AC11 + tech_2_9*Techs!AF11 + tech_3_7*Techs!AN11 + Overview!$I$33),0)</f>
        <v>-403</v>
      </c>
      <c r="AG11" s="94">
        <f ca="1">_xlfn.FLOOR.MATH(TblExplore[[#This Row],[Land-DB]]/150)+3+tech_2_9_2*TblTech[[#This Row],[2-9]]+tech_3_7_2*TblTech[[#This Row],[3-7]]</f>
        <v>3</v>
      </c>
      <c r="AH11" s="94">
        <f ca="1">SUM(TblExplore[[#This Row],[Plains Explore]:[Water Explore]])*TblExplore[[#This Row],[Plat/acre]]</f>
        <v>0</v>
      </c>
      <c r="AI11" s="94">
        <f ca="1">SUM(TblExplore[[#This Row],[Plains Explore]:[Water Explore]])*TblExplore[[#This Row],[Draftees/acre]]</f>
        <v>0</v>
      </c>
      <c r="AJ11" s="45">
        <f ca="1">_xlfn.FLOOR.MATH(MIN(TblExplore[[#This Row],[Platinum]]/TblExplore[[#This Row],[Plat/acre]],TblExplore[[#This Row],[Draftees]]/TblExplore[[#This Row],[Draftees/acre]]))</f>
        <v>-320</v>
      </c>
    </row>
    <row r="12" spans="1:36" x14ac:dyDescent="0.2">
      <c r="A12" s="175">
        <f>TblRezone[[#This Row],[Hour]]</f>
        <v>9</v>
      </c>
      <c r="B12" s="214">
        <f ca="1">TblConstr[[#This Row],[Land]]</f>
        <v>50</v>
      </c>
      <c r="C12" s="215"/>
      <c r="D12" s="216">
        <f ca="1">TblConstr[[#This Row],[Plain]]</f>
        <v>0</v>
      </c>
      <c r="E12" s="182">
        <f ca="1">TblConstr[[#This Row],[Forest]]</f>
        <v>0</v>
      </c>
      <c r="F12" s="359">
        <f ca="1">TblConstr[[#This Row],[Mountain]]</f>
        <v>0</v>
      </c>
      <c r="G12" s="363">
        <f ca="1">TblConstr[[#This Row],[Hill]]</f>
        <v>0</v>
      </c>
      <c r="H12" s="367">
        <f ca="1">TblConstr[[#This Row],[Swamp]]</f>
        <v>0</v>
      </c>
      <c r="I12" s="185">
        <f ca="1">TblConstr[[#This Row],[Cavern]]</f>
        <v>0</v>
      </c>
      <c r="J12" s="186">
        <f ca="1">TblConstr[[#This Row],[Water]]</f>
        <v>0</v>
      </c>
      <c r="K12" s="210"/>
      <c r="L12" s="210"/>
      <c r="M12" s="210"/>
      <c r="N12" s="217">
        <f ca="1">TblMili[[#This Row],[Smithies]]</f>
        <v>0</v>
      </c>
      <c r="O12" s="217">
        <f ca="1">TblPop[[#This Row],[Employment]]</f>
        <v>1</v>
      </c>
      <c r="P12" s="217">
        <f ca="1">TblImps[[#This Row],[Population]]</f>
        <v>1</v>
      </c>
      <c r="Q12" s="175">
        <f ca="1">TblExplore[[#This Row],[Land]]</f>
        <v>50</v>
      </c>
      <c r="R12" s="175">
        <f>TblExplore[[#This Row],[Hour]]</f>
        <v>9</v>
      </c>
      <c r="S12" s="218"/>
      <c r="T12" s="179"/>
      <c r="U12" s="179"/>
      <c r="V12" s="179"/>
      <c r="W12" s="179"/>
      <c r="X12" s="179"/>
      <c r="Y12" s="179"/>
      <c r="Z12" s="179"/>
      <c r="AA12" s="159">
        <f ca="1">TblImps[[#This Row],[Real time]]</f>
        <v>46320.333333333314</v>
      </c>
      <c r="AB12" s="94">
        <f ca="1">TblMili[[#This Row],[Draftees]]</f>
        <v>336</v>
      </c>
      <c r="AC12" s="94">
        <f ca="1">TblProd[[#This Row],[Platinum]]</f>
        <v>129764</v>
      </c>
      <c r="AD12" s="215"/>
      <c r="AE12" s="45">
        <f ca="1">TblExplore[[#This Row],[Land]]-TblExplore[[#This Row],[Land Bonus]]*20</f>
        <v>50</v>
      </c>
      <c r="AF12" s="94">
        <f ca="1">ROUND((0.6*TblExplore[[#This Row],[Land-DB]]^1.299 + IF(TblExplore[[#This Row],[Land-DB]]&lt;1520, (-0.001*(TblExplore[[#This Row],[Land-DB]]^2)+1.91*TblExplore[[#This Row],[Land-DB]]-593), 0))*(1+ tech_2_6*Techs!AC12 + tech_2_9*Techs!AF12 + tech_3_7*Techs!AN12 + Overview!$I$33),0)</f>
        <v>-403</v>
      </c>
      <c r="AG12" s="94">
        <f ca="1">_xlfn.FLOOR.MATH(TblExplore[[#This Row],[Land-DB]]/150)+3+tech_2_9_2*TblTech[[#This Row],[2-9]]+tech_3_7_2*TblTech[[#This Row],[3-7]]</f>
        <v>3</v>
      </c>
      <c r="AH12" s="94">
        <f ca="1">SUM(TblExplore[[#This Row],[Plains Explore]:[Water Explore]])*TblExplore[[#This Row],[Plat/acre]]</f>
        <v>0</v>
      </c>
      <c r="AI12" s="94">
        <f ca="1">SUM(TblExplore[[#This Row],[Plains Explore]:[Water Explore]])*TblExplore[[#This Row],[Draftees/acre]]</f>
        <v>0</v>
      </c>
      <c r="AJ12" s="45">
        <f ca="1">_xlfn.FLOOR.MATH(MIN(TblExplore[[#This Row],[Platinum]]/TblExplore[[#This Row],[Plat/acre]],TblExplore[[#This Row],[Draftees]]/TblExplore[[#This Row],[Draftees/acre]]))</f>
        <v>-322</v>
      </c>
    </row>
    <row r="13" spans="1:36" x14ac:dyDescent="0.2">
      <c r="A13" s="175">
        <f>TblRezone[[#This Row],[Hour]]</f>
        <v>10</v>
      </c>
      <c r="B13" s="214">
        <f ca="1">TblConstr[[#This Row],[Land]]</f>
        <v>50</v>
      </c>
      <c r="C13" s="215"/>
      <c r="D13" s="216">
        <f ca="1">TblConstr[[#This Row],[Plain]]</f>
        <v>0</v>
      </c>
      <c r="E13" s="182">
        <f ca="1">TblConstr[[#This Row],[Forest]]</f>
        <v>0</v>
      </c>
      <c r="F13" s="359">
        <f ca="1">TblConstr[[#This Row],[Mountain]]</f>
        <v>0</v>
      </c>
      <c r="G13" s="363">
        <f ca="1">TblConstr[[#This Row],[Hill]]</f>
        <v>0</v>
      </c>
      <c r="H13" s="367">
        <f ca="1">TblConstr[[#This Row],[Swamp]]</f>
        <v>0</v>
      </c>
      <c r="I13" s="185">
        <f ca="1">TblConstr[[#This Row],[Cavern]]</f>
        <v>0</v>
      </c>
      <c r="J13" s="186">
        <f ca="1">TblConstr[[#This Row],[Water]]</f>
        <v>0</v>
      </c>
      <c r="K13" s="210"/>
      <c r="L13" s="210"/>
      <c r="M13" s="210"/>
      <c r="N13" s="217">
        <f ca="1">TblMili[[#This Row],[Smithies]]</f>
        <v>0</v>
      </c>
      <c r="O13" s="217">
        <f ca="1">TblPop[[#This Row],[Employment]]</f>
        <v>1</v>
      </c>
      <c r="P13" s="217">
        <f ca="1">TblImps[[#This Row],[Population]]</f>
        <v>1</v>
      </c>
      <c r="Q13" s="175">
        <f ca="1">TblExplore[[#This Row],[Land]]</f>
        <v>50</v>
      </c>
      <c r="R13" s="175">
        <f>TblExplore[[#This Row],[Hour]]</f>
        <v>10</v>
      </c>
      <c r="S13" s="218"/>
      <c r="T13" s="179"/>
      <c r="U13" s="179"/>
      <c r="V13" s="179"/>
      <c r="W13" s="179"/>
      <c r="X13" s="179"/>
      <c r="Y13" s="179"/>
      <c r="Z13" s="179"/>
      <c r="AA13" s="159">
        <f ca="1">TblImps[[#This Row],[Real time]]</f>
        <v>46320.374999999978</v>
      </c>
      <c r="AB13" s="94">
        <f ca="1">TblMili[[#This Row],[Draftees]]</f>
        <v>340</v>
      </c>
      <c r="AC13" s="94">
        <f ca="1">TblProd[[#This Row],[Platinum]]</f>
        <v>130933</v>
      </c>
      <c r="AD13" s="215"/>
      <c r="AE13" s="45">
        <f ca="1">TblExplore[[#This Row],[Land]]-TblExplore[[#This Row],[Land Bonus]]*20</f>
        <v>50</v>
      </c>
      <c r="AF13" s="94">
        <f ca="1">ROUND((0.6*TblExplore[[#This Row],[Land-DB]]^1.299 + IF(TblExplore[[#This Row],[Land-DB]]&lt;1520, (-0.001*(TblExplore[[#This Row],[Land-DB]]^2)+1.91*TblExplore[[#This Row],[Land-DB]]-593), 0))*(1+ tech_2_6*Techs!AC13 + tech_2_9*Techs!AF13 + tech_3_7*Techs!AN13 + Overview!$I$33),0)</f>
        <v>-403</v>
      </c>
      <c r="AG13" s="94">
        <f ca="1">_xlfn.FLOOR.MATH(TblExplore[[#This Row],[Land-DB]]/150)+3+tech_2_9_2*TblTech[[#This Row],[2-9]]+tech_3_7_2*TblTech[[#This Row],[3-7]]</f>
        <v>3</v>
      </c>
      <c r="AH13" s="94">
        <f ca="1">SUM(TblExplore[[#This Row],[Plains Explore]:[Water Explore]])*TblExplore[[#This Row],[Plat/acre]]</f>
        <v>0</v>
      </c>
      <c r="AI13" s="94">
        <f ca="1">SUM(TblExplore[[#This Row],[Plains Explore]:[Water Explore]])*TblExplore[[#This Row],[Draftees/acre]]</f>
        <v>0</v>
      </c>
      <c r="AJ13" s="45">
        <f ca="1">_xlfn.FLOOR.MATH(MIN(TblExplore[[#This Row],[Platinum]]/TblExplore[[#This Row],[Plat/acre]],TblExplore[[#This Row],[Draftees]]/TblExplore[[#This Row],[Draftees/acre]]))</f>
        <v>-325</v>
      </c>
    </row>
    <row r="14" spans="1:36" x14ac:dyDescent="0.2">
      <c r="A14" s="175">
        <f>TblRezone[[#This Row],[Hour]]</f>
        <v>11</v>
      </c>
      <c r="B14" s="214">
        <f ca="1">TblConstr[[#This Row],[Land]]</f>
        <v>50</v>
      </c>
      <c r="C14" s="215"/>
      <c r="D14" s="216">
        <f ca="1">TblConstr[[#This Row],[Plain]]</f>
        <v>0</v>
      </c>
      <c r="E14" s="182">
        <f ca="1">TblConstr[[#This Row],[Forest]]</f>
        <v>0</v>
      </c>
      <c r="F14" s="359">
        <f ca="1">TblConstr[[#This Row],[Mountain]]</f>
        <v>0</v>
      </c>
      <c r="G14" s="363">
        <f ca="1">TblConstr[[#This Row],[Hill]]</f>
        <v>0</v>
      </c>
      <c r="H14" s="367">
        <f ca="1">TblConstr[[#This Row],[Swamp]]</f>
        <v>0</v>
      </c>
      <c r="I14" s="185">
        <f ca="1">TblConstr[[#This Row],[Cavern]]</f>
        <v>0</v>
      </c>
      <c r="J14" s="186">
        <f ca="1">TblConstr[[#This Row],[Water]]</f>
        <v>0</v>
      </c>
      <c r="K14" s="210"/>
      <c r="L14" s="210"/>
      <c r="M14" s="210"/>
      <c r="N14" s="217">
        <f ca="1">TblMili[[#This Row],[Smithies]]</f>
        <v>0</v>
      </c>
      <c r="O14" s="217">
        <f ca="1">TblPop[[#This Row],[Employment]]</f>
        <v>1</v>
      </c>
      <c r="P14" s="217">
        <f ca="1">TblImps[[#This Row],[Population]]</f>
        <v>1</v>
      </c>
      <c r="Q14" s="175">
        <f ca="1">TblExplore[[#This Row],[Land]]</f>
        <v>50</v>
      </c>
      <c r="R14" s="175">
        <f>TblExplore[[#This Row],[Hour]]</f>
        <v>11</v>
      </c>
      <c r="S14" s="218"/>
      <c r="T14" s="179"/>
      <c r="U14" s="179"/>
      <c r="V14" s="179"/>
      <c r="W14" s="179"/>
      <c r="X14" s="179"/>
      <c r="Y14" s="179"/>
      <c r="Z14" s="179"/>
      <c r="AA14" s="159">
        <f ca="1">TblImps[[#This Row],[Real time]]</f>
        <v>46320.416666666642</v>
      </c>
      <c r="AB14" s="94">
        <f ca="1">TblMili[[#This Row],[Draftees]]</f>
        <v>344</v>
      </c>
      <c r="AC14" s="94">
        <f ca="1">TblProd[[#This Row],[Platinum]]</f>
        <v>132091</v>
      </c>
      <c r="AD14" s="215"/>
      <c r="AE14" s="45">
        <f ca="1">TblExplore[[#This Row],[Land]]-TblExplore[[#This Row],[Land Bonus]]*20</f>
        <v>50</v>
      </c>
      <c r="AF14" s="94">
        <f ca="1">ROUND((0.6*TblExplore[[#This Row],[Land-DB]]^1.299 + IF(TblExplore[[#This Row],[Land-DB]]&lt;1520, (-0.001*(TblExplore[[#This Row],[Land-DB]]^2)+1.91*TblExplore[[#This Row],[Land-DB]]-593), 0))*(1+ tech_2_6*Techs!AC14 + tech_2_9*Techs!AF14 + tech_3_7*Techs!AN14 + Overview!$I$33),0)</f>
        <v>-403</v>
      </c>
      <c r="AG14" s="94">
        <f ca="1">_xlfn.FLOOR.MATH(TblExplore[[#This Row],[Land-DB]]/150)+3+tech_2_9_2*TblTech[[#This Row],[2-9]]+tech_3_7_2*TblTech[[#This Row],[3-7]]</f>
        <v>3</v>
      </c>
      <c r="AH14" s="94">
        <f ca="1">SUM(TblExplore[[#This Row],[Plains Explore]:[Water Explore]])*TblExplore[[#This Row],[Plat/acre]]</f>
        <v>0</v>
      </c>
      <c r="AI14" s="94">
        <f ca="1">SUM(TblExplore[[#This Row],[Plains Explore]:[Water Explore]])*TblExplore[[#This Row],[Draftees/acre]]</f>
        <v>0</v>
      </c>
      <c r="AJ14" s="45">
        <f ca="1">_xlfn.FLOOR.MATH(MIN(TblExplore[[#This Row],[Platinum]]/TblExplore[[#This Row],[Plat/acre]],TblExplore[[#This Row],[Draftees]]/TblExplore[[#This Row],[Draftees/acre]]))</f>
        <v>-328</v>
      </c>
    </row>
    <row r="15" spans="1:36" x14ac:dyDescent="0.2">
      <c r="A15" s="175">
        <f>TblRezone[[#This Row],[Hour]]</f>
        <v>12</v>
      </c>
      <c r="B15" s="214">
        <f ca="1">TblConstr[[#This Row],[Land]]</f>
        <v>50</v>
      </c>
      <c r="C15" s="215"/>
      <c r="D15" s="216">
        <f ca="1">TblConstr[[#This Row],[Plain]]</f>
        <v>0</v>
      </c>
      <c r="E15" s="182">
        <f ca="1">TblConstr[[#This Row],[Forest]]</f>
        <v>0</v>
      </c>
      <c r="F15" s="359">
        <f ca="1">TblConstr[[#This Row],[Mountain]]</f>
        <v>0</v>
      </c>
      <c r="G15" s="363">
        <f ca="1">TblConstr[[#This Row],[Hill]]</f>
        <v>0</v>
      </c>
      <c r="H15" s="367">
        <f ca="1">TblConstr[[#This Row],[Swamp]]</f>
        <v>0</v>
      </c>
      <c r="I15" s="185">
        <f ca="1">TblConstr[[#This Row],[Cavern]]</f>
        <v>0</v>
      </c>
      <c r="J15" s="186">
        <f ca="1">TblConstr[[#This Row],[Water]]</f>
        <v>0</v>
      </c>
      <c r="K15" s="210"/>
      <c r="L15" s="210"/>
      <c r="M15" s="219"/>
      <c r="N15" s="217">
        <f ca="1">TblMili[[#This Row],[Smithies]]</f>
        <v>0</v>
      </c>
      <c r="O15" s="217">
        <f ca="1">TblPop[[#This Row],[Employment]]</f>
        <v>1</v>
      </c>
      <c r="P15" s="217">
        <f ca="1">TblImps[[#This Row],[Population]]</f>
        <v>1</v>
      </c>
      <c r="Q15" s="175">
        <f ca="1">TblExplore[[#This Row],[Land]]</f>
        <v>50</v>
      </c>
      <c r="R15" s="175">
        <f>TblExplore[[#This Row],[Hour]]</f>
        <v>12</v>
      </c>
      <c r="S15" s="218"/>
      <c r="T15" s="158"/>
      <c r="U15" s="179"/>
      <c r="V15" s="179"/>
      <c r="W15" s="179"/>
      <c r="X15" s="179"/>
      <c r="Y15" s="179"/>
      <c r="Z15" s="179"/>
      <c r="AA15" s="159">
        <f ca="1">TblImps[[#This Row],[Real time]]</f>
        <v>46320.458333333307</v>
      </c>
      <c r="AB15" s="94">
        <f ca="1">TblMili[[#This Row],[Draftees]]</f>
        <v>348</v>
      </c>
      <c r="AC15" s="94">
        <f ca="1">TblProd[[#This Row],[Platinum]]</f>
        <v>133238</v>
      </c>
      <c r="AD15" s="215"/>
      <c r="AE15" s="45">
        <f ca="1">TblExplore[[#This Row],[Land]]-TblExplore[[#This Row],[Land Bonus]]*20</f>
        <v>50</v>
      </c>
      <c r="AF15" s="94">
        <f ca="1">ROUND((0.6*TblExplore[[#This Row],[Land-DB]]^1.299 + IF(TblExplore[[#This Row],[Land-DB]]&lt;1520, (-0.001*(TblExplore[[#This Row],[Land-DB]]^2)+1.91*TblExplore[[#This Row],[Land-DB]]-593), 0))*(1+ tech_2_6*Techs!AC15 + tech_2_9*Techs!AF15 + tech_3_7*Techs!AN15 + Overview!$I$33),0)</f>
        <v>-403</v>
      </c>
      <c r="AG15" s="94">
        <f ca="1">_xlfn.FLOOR.MATH(TblExplore[[#This Row],[Land-DB]]/150)+3+tech_2_9_2*TblTech[[#This Row],[2-9]]+tech_3_7_2*TblTech[[#This Row],[3-7]]</f>
        <v>3</v>
      </c>
      <c r="AH15" s="94">
        <f ca="1">SUM(TblExplore[[#This Row],[Plains Explore]:[Water Explore]])*TblExplore[[#This Row],[Plat/acre]]</f>
        <v>0</v>
      </c>
      <c r="AI15" s="94">
        <f ca="1">SUM(TblExplore[[#This Row],[Plains Explore]:[Water Explore]])*TblExplore[[#This Row],[Draftees/acre]]</f>
        <v>0</v>
      </c>
      <c r="AJ15" s="45">
        <f ca="1">_xlfn.FLOOR.MATH(MIN(TblExplore[[#This Row],[Platinum]]/TblExplore[[#This Row],[Plat/acre]],TblExplore[[#This Row],[Draftees]]/TblExplore[[#This Row],[Draftees/acre]]))</f>
        <v>-331</v>
      </c>
    </row>
    <row r="16" spans="1:36" x14ac:dyDescent="0.2">
      <c r="A16" s="175">
        <f>TblRezone[[#This Row],[Hour]]</f>
        <v>13</v>
      </c>
      <c r="B16" s="214">
        <f ca="1">TblConstr[[#This Row],[Land]]</f>
        <v>50</v>
      </c>
      <c r="C16" s="215"/>
      <c r="D16" s="216">
        <f ca="1">TblConstr[[#This Row],[Plain]]</f>
        <v>0</v>
      </c>
      <c r="E16" s="182">
        <f ca="1">TblConstr[[#This Row],[Forest]]</f>
        <v>0</v>
      </c>
      <c r="F16" s="359">
        <f ca="1">TblConstr[[#This Row],[Mountain]]</f>
        <v>0</v>
      </c>
      <c r="G16" s="363">
        <f ca="1">TblConstr[[#This Row],[Hill]]</f>
        <v>0</v>
      </c>
      <c r="H16" s="367">
        <f ca="1">TblConstr[[#This Row],[Swamp]]</f>
        <v>0</v>
      </c>
      <c r="I16" s="185">
        <f ca="1">TblConstr[[#This Row],[Cavern]]</f>
        <v>0</v>
      </c>
      <c r="J16" s="186">
        <f ca="1">TblConstr[[#This Row],[Water]]</f>
        <v>0</v>
      </c>
      <c r="K16" s="210"/>
      <c r="L16" s="220" t="s">
        <v>379</v>
      </c>
      <c r="M16" s="220"/>
      <c r="N16" s="217">
        <f ca="1">TblMili[[#This Row],[Smithies]]</f>
        <v>0</v>
      </c>
      <c r="O16" s="217">
        <f ca="1">TblPop[[#This Row],[Employment]]</f>
        <v>1</v>
      </c>
      <c r="P16" s="217">
        <f ca="1">TblImps[[#This Row],[Population]]</f>
        <v>1</v>
      </c>
      <c r="Q16" s="175">
        <f ca="1">TblExplore[[#This Row],[Land]]</f>
        <v>50</v>
      </c>
      <c r="R16" s="175">
        <f>TblExplore[[#This Row],[Hour]]</f>
        <v>13</v>
      </c>
      <c r="S16" s="218"/>
      <c r="T16" s="179"/>
      <c r="U16" s="179"/>
      <c r="V16" s="179"/>
      <c r="W16" s="179"/>
      <c r="X16" s="179"/>
      <c r="Y16" s="179"/>
      <c r="Z16" s="179"/>
      <c r="AA16" s="159">
        <f ca="1">TblImps[[#This Row],[Real time]]</f>
        <v>46320.499999999971</v>
      </c>
      <c r="AB16" s="94">
        <f ca="1">TblMili[[#This Row],[Draftees]]</f>
        <v>352</v>
      </c>
      <c r="AC16" s="94">
        <f ca="1">TblProd[[#This Row],[Platinum]]</f>
        <v>134374</v>
      </c>
      <c r="AD16" s="215"/>
      <c r="AE16" s="45">
        <f ca="1">TblExplore[[#This Row],[Land]]-TblExplore[[#This Row],[Land Bonus]]*20</f>
        <v>50</v>
      </c>
      <c r="AF16" s="94">
        <f ca="1">ROUND((0.6*TblExplore[[#This Row],[Land-DB]]^1.299 + IF(TblExplore[[#This Row],[Land-DB]]&lt;1520, (-0.001*(TblExplore[[#This Row],[Land-DB]]^2)+1.91*TblExplore[[#This Row],[Land-DB]]-593), 0))*(1+ tech_2_6*Techs!AC16 + tech_2_9*Techs!AF16 + tech_3_7*Techs!AN16 + Overview!$I$33),0)</f>
        <v>-403</v>
      </c>
      <c r="AG16" s="94">
        <f ca="1">_xlfn.FLOOR.MATH(TblExplore[[#This Row],[Land-DB]]/150)+3+tech_2_9_2*TblTech[[#This Row],[2-9]]+tech_3_7_2*TblTech[[#This Row],[3-7]]</f>
        <v>3</v>
      </c>
      <c r="AH16" s="94">
        <f ca="1">SUM(TblExplore[[#This Row],[Plains Explore]:[Water Explore]])*TblExplore[[#This Row],[Plat/acre]]</f>
        <v>0</v>
      </c>
      <c r="AI16" s="94">
        <f ca="1">SUM(TblExplore[[#This Row],[Plains Explore]:[Water Explore]])*TblExplore[[#This Row],[Draftees/acre]]</f>
        <v>0</v>
      </c>
      <c r="AJ16" s="45">
        <f ca="1">_xlfn.FLOOR.MATH(MIN(TblExplore[[#This Row],[Platinum]]/TblExplore[[#This Row],[Plat/acre]],TblExplore[[#This Row],[Draftees]]/TblExplore[[#This Row],[Draftees/acre]]))</f>
        <v>-334</v>
      </c>
    </row>
    <row r="17" spans="1:36" x14ac:dyDescent="0.2">
      <c r="A17" s="175">
        <f>TblRezone[[#This Row],[Hour]]</f>
        <v>14</v>
      </c>
      <c r="B17" s="214">
        <f ca="1">TblConstr[[#This Row],[Land]]</f>
        <v>50</v>
      </c>
      <c r="C17" s="215"/>
      <c r="D17" s="216">
        <f ca="1">TblConstr[[#This Row],[Plain]]</f>
        <v>0</v>
      </c>
      <c r="E17" s="182">
        <f ca="1">TblConstr[[#This Row],[Forest]]</f>
        <v>0</v>
      </c>
      <c r="F17" s="359">
        <f ca="1">TblConstr[[#This Row],[Mountain]]</f>
        <v>0</v>
      </c>
      <c r="G17" s="363">
        <f ca="1">TblConstr[[#This Row],[Hill]]</f>
        <v>0</v>
      </c>
      <c r="H17" s="367">
        <f ca="1">TblConstr[[#This Row],[Swamp]]</f>
        <v>0</v>
      </c>
      <c r="I17" s="185">
        <f ca="1">TblConstr[[#This Row],[Cavern]]</f>
        <v>0</v>
      </c>
      <c r="J17" s="186">
        <f ca="1">TblConstr[[#This Row],[Water]]</f>
        <v>0</v>
      </c>
      <c r="K17" s="210"/>
      <c r="L17" s="221" t="s">
        <v>367</v>
      </c>
      <c r="M17" s="222"/>
      <c r="N17" s="217">
        <f ca="1">TblMili[[#This Row],[Smithies]]</f>
        <v>0</v>
      </c>
      <c r="O17" s="217">
        <f ca="1">TblPop[[#This Row],[Employment]]</f>
        <v>1</v>
      </c>
      <c r="P17" s="217">
        <f ca="1">TblImps[[#This Row],[Population]]</f>
        <v>1</v>
      </c>
      <c r="Q17" s="175">
        <f ca="1">TblExplore[[#This Row],[Land]]</f>
        <v>50</v>
      </c>
      <c r="R17" s="175">
        <f>TblExplore[[#This Row],[Hour]]</f>
        <v>14</v>
      </c>
      <c r="S17" s="218"/>
      <c r="T17" s="179"/>
      <c r="U17" s="179"/>
      <c r="V17" s="179"/>
      <c r="W17" s="179"/>
      <c r="X17" s="179"/>
      <c r="Y17" s="179"/>
      <c r="Z17" s="179"/>
      <c r="AA17" s="159">
        <f ca="1">TblImps[[#This Row],[Real time]]</f>
        <v>46320.541666666635</v>
      </c>
      <c r="AB17" s="94">
        <f ca="1">TblMili[[#This Row],[Draftees]]</f>
        <v>356</v>
      </c>
      <c r="AC17" s="94">
        <f ca="1">TblProd[[#This Row],[Platinum]]</f>
        <v>135499</v>
      </c>
      <c r="AD17" s="215"/>
      <c r="AE17" s="45">
        <f ca="1">TblExplore[[#This Row],[Land]]-TblExplore[[#This Row],[Land Bonus]]*20</f>
        <v>50</v>
      </c>
      <c r="AF17" s="94">
        <f ca="1">ROUND((0.6*TblExplore[[#This Row],[Land-DB]]^1.299 + IF(TblExplore[[#This Row],[Land-DB]]&lt;1520, (-0.001*(TblExplore[[#This Row],[Land-DB]]^2)+1.91*TblExplore[[#This Row],[Land-DB]]-593), 0))*(1+ tech_2_6*Techs!AC17 + tech_2_9*Techs!AF17 + tech_3_7*Techs!AN17 + Overview!$I$33),0)</f>
        <v>-403</v>
      </c>
      <c r="AG17" s="94">
        <f ca="1">_xlfn.FLOOR.MATH(TblExplore[[#This Row],[Land-DB]]/150)+3+tech_2_9_2*TblTech[[#This Row],[2-9]]+tech_3_7_2*TblTech[[#This Row],[3-7]]</f>
        <v>3</v>
      </c>
      <c r="AH17" s="94">
        <f ca="1">SUM(TblExplore[[#This Row],[Plains Explore]:[Water Explore]])*TblExplore[[#This Row],[Plat/acre]]</f>
        <v>0</v>
      </c>
      <c r="AI17" s="94">
        <f ca="1">SUM(TblExplore[[#This Row],[Plains Explore]:[Water Explore]])*TblExplore[[#This Row],[Draftees/acre]]</f>
        <v>0</v>
      </c>
      <c r="AJ17" s="45">
        <f ca="1">_xlfn.FLOOR.MATH(MIN(TblExplore[[#This Row],[Platinum]]/TblExplore[[#This Row],[Plat/acre]],TblExplore[[#This Row],[Draftees]]/TblExplore[[#This Row],[Draftees/acre]]))</f>
        <v>-337</v>
      </c>
    </row>
    <row r="18" spans="1:36" x14ac:dyDescent="0.2">
      <c r="A18" s="175">
        <f>TblRezone[[#This Row],[Hour]]</f>
        <v>15</v>
      </c>
      <c r="B18" s="214">
        <f ca="1">TblConstr[[#This Row],[Land]]</f>
        <v>50</v>
      </c>
      <c r="C18" s="215"/>
      <c r="D18" s="216">
        <f ca="1">TblConstr[[#This Row],[Plain]]</f>
        <v>0</v>
      </c>
      <c r="E18" s="182">
        <f ca="1">TblConstr[[#This Row],[Forest]]</f>
        <v>0</v>
      </c>
      <c r="F18" s="359">
        <f ca="1">TblConstr[[#This Row],[Mountain]]</f>
        <v>0</v>
      </c>
      <c r="G18" s="363">
        <f ca="1">TblConstr[[#This Row],[Hill]]</f>
        <v>0</v>
      </c>
      <c r="H18" s="367">
        <f ca="1">TblConstr[[#This Row],[Swamp]]</f>
        <v>0</v>
      </c>
      <c r="I18" s="185">
        <f ca="1">TblConstr[[#This Row],[Cavern]]</f>
        <v>0</v>
      </c>
      <c r="J18" s="186">
        <f ca="1">TblConstr[[#This Row],[Water]]</f>
        <v>0</v>
      </c>
      <c r="K18" s="210"/>
      <c r="L18" s="221" t="s">
        <v>366</v>
      </c>
      <c r="M18" s="222"/>
      <c r="N18" s="217">
        <f ca="1">TblMili[[#This Row],[Smithies]]</f>
        <v>0</v>
      </c>
      <c r="O18" s="217">
        <f ca="1">TblPop[[#This Row],[Employment]]</f>
        <v>1</v>
      </c>
      <c r="P18" s="217">
        <f ca="1">TblImps[[#This Row],[Population]]</f>
        <v>1</v>
      </c>
      <c r="Q18" s="175">
        <f ca="1">TblExplore[[#This Row],[Land]]</f>
        <v>50</v>
      </c>
      <c r="R18" s="175">
        <f>TblExplore[[#This Row],[Hour]]</f>
        <v>15</v>
      </c>
      <c r="S18" s="218"/>
      <c r="T18" s="179"/>
      <c r="U18" s="179"/>
      <c r="V18" s="179"/>
      <c r="W18" s="179"/>
      <c r="X18" s="179"/>
      <c r="Y18" s="179"/>
      <c r="Z18" s="179"/>
      <c r="AA18" s="159">
        <f ca="1">TblImps[[#This Row],[Real time]]</f>
        <v>46320.583333333299</v>
      </c>
      <c r="AB18" s="94">
        <f ca="1">TblMili[[#This Row],[Draftees]]</f>
        <v>360</v>
      </c>
      <c r="AC18" s="94">
        <f ca="1">TblProd[[#This Row],[Platinum]]</f>
        <v>136614</v>
      </c>
      <c r="AD18" s="215"/>
      <c r="AE18" s="45">
        <f ca="1">TblExplore[[#This Row],[Land]]-TblExplore[[#This Row],[Land Bonus]]*20</f>
        <v>50</v>
      </c>
      <c r="AF18" s="94">
        <f ca="1">ROUND((0.6*TblExplore[[#This Row],[Land-DB]]^1.299 + IF(TblExplore[[#This Row],[Land-DB]]&lt;1520, (-0.001*(TblExplore[[#This Row],[Land-DB]]^2)+1.91*TblExplore[[#This Row],[Land-DB]]-593), 0))*(1+ tech_2_6*Techs!AC18 + tech_2_9*Techs!AF18 + tech_3_7*Techs!AN18 + Overview!$I$33),0)</f>
        <v>-403</v>
      </c>
      <c r="AG18" s="94">
        <f ca="1">_xlfn.FLOOR.MATH(TblExplore[[#This Row],[Land-DB]]/150)+3+tech_2_9_2*TblTech[[#This Row],[2-9]]+tech_3_7_2*TblTech[[#This Row],[3-7]]</f>
        <v>3</v>
      </c>
      <c r="AH18" s="94">
        <f ca="1">SUM(TblExplore[[#This Row],[Plains Explore]:[Water Explore]])*TblExplore[[#This Row],[Plat/acre]]</f>
        <v>0</v>
      </c>
      <c r="AI18" s="94">
        <f ca="1">SUM(TblExplore[[#This Row],[Plains Explore]:[Water Explore]])*TblExplore[[#This Row],[Draftees/acre]]</f>
        <v>0</v>
      </c>
      <c r="AJ18" s="45">
        <f ca="1">_xlfn.FLOOR.MATH(MIN(TblExplore[[#This Row],[Platinum]]/TblExplore[[#This Row],[Plat/acre]],TblExplore[[#This Row],[Draftees]]/TblExplore[[#This Row],[Draftees/acre]]))</f>
        <v>-339</v>
      </c>
    </row>
    <row r="19" spans="1:36" x14ac:dyDescent="0.2">
      <c r="A19" s="175">
        <f>TblRezone[[#This Row],[Hour]]</f>
        <v>16</v>
      </c>
      <c r="B19" s="214">
        <f ca="1">TblConstr[[#This Row],[Land]]</f>
        <v>50</v>
      </c>
      <c r="C19" s="215"/>
      <c r="D19" s="216">
        <f ca="1">TblConstr[[#This Row],[Plain]]</f>
        <v>0</v>
      </c>
      <c r="E19" s="182">
        <f ca="1">TblConstr[[#This Row],[Forest]]</f>
        <v>0</v>
      </c>
      <c r="F19" s="359">
        <f ca="1">TblConstr[[#This Row],[Mountain]]</f>
        <v>0</v>
      </c>
      <c r="G19" s="363">
        <f ca="1">TblConstr[[#This Row],[Hill]]</f>
        <v>0</v>
      </c>
      <c r="H19" s="367">
        <f ca="1">TblConstr[[#This Row],[Swamp]]</f>
        <v>0</v>
      </c>
      <c r="I19" s="185">
        <f ca="1">TblConstr[[#This Row],[Cavern]]</f>
        <v>0</v>
      </c>
      <c r="J19" s="186">
        <f ca="1">TblConstr[[#This Row],[Water]]</f>
        <v>0</v>
      </c>
      <c r="K19" s="210"/>
      <c r="L19" s="221" t="s">
        <v>364</v>
      </c>
      <c r="M19" s="222"/>
      <c r="N19" s="217">
        <f ca="1">TblMili[[#This Row],[Smithies]]</f>
        <v>0</v>
      </c>
      <c r="O19" s="217">
        <f ca="1">TblPop[[#This Row],[Employment]]</f>
        <v>1</v>
      </c>
      <c r="P19" s="217">
        <f ca="1">TblImps[[#This Row],[Population]]</f>
        <v>1</v>
      </c>
      <c r="Q19" s="175">
        <f ca="1">TblExplore[[#This Row],[Land]]</f>
        <v>50</v>
      </c>
      <c r="R19" s="175">
        <f>TblExplore[[#This Row],[Hour]]</f>
        <v>16</v>
      </c>
      <c r="S19" s="218"/>
      <c r="T19" s="158"/>
      <c r="U19" s="179"/>
      <c r="V19" s="179"/>
      <c r="W19" s="179"/>
      <c r="X19" s="179"/>
      <c r="Y19" s="179"/>
      <c r="Z19" s="179"/>
      <c r="AA19" s="159">
        <f ca="1">TblImps[[#This Row],[Real time]]</f>
        <v>46320.624999999964</v>
      </c>
      <c r="AB19" s="94">
        <f ca="1">TblMili[[#This Row],[Draftees]]</f>
        <v>364</v>
      </c>
      <c r="AC19" s="94">
        <f ca="1">TblProd[[#This Row],[Platinum]]</f>
        <v>137718</v>
      </c>
      <c r="AD19" s="215"/>
      <c r="AE19" s="45">
        <f ca="1">TblExplore[[#This Row],[Land]]-TblExplore[[#This Row],[Land Bonus]]*20</f>
        <v>50</v>
      </c>
      <c r="AF19" s="94">
        <f ca="1">ROUND((0.6*TblExplore[[#This Row],[Land-DB]]^1.299 + IF(TblExplore[[#This Row],[Land-DB]]&lt;1520, (-0.001*(TblExplore[[#This Row],[Land-DB]]^2)+1.91*TblExplore[[#This Row],[Land-DB]]-593), 0))*(1+ tech_2_6*Techs!AC19 + tech_2_9*Techs!AF19 + tech_3_7*Techs!AN19 + Overview!$I$33),0)</f>
        <v>-403</v>
      </c>
      <c r="AG19" s="94">
        <f ca="1">_xlfn.FLOOR.MATH(TblExplore[[#This Row],[Land-DB]]/150)+3+tech_2_9_2*TblTech[[#This Row],[2-9]]+tech_3_7_2*TblTech[[#This Row],[3-7]]</f>
        <v>3</v>
      </c>
      <c r="AH19" s="94">
        <f ca="1">SUM(TblExplore[[#This Row],[Plains Explore]:[Water Explore]])*TblExplore[[#This Row],[Plat/acre]]</f>
        <v>0</v>
      </c>
      <c r="AI19" s="94">
        <f ca="1">SUM(TblExplore[[#This Row],[Plains Explore]:[Water Explore]])*TblExplore[[#This Row],[Draftees/acre]]</f>
        <v>0</v>
      </c>
      <c r="AJ19" s="45">
        <f ca="1">_xlfn.FLOOR.MATH(MIN(TblExplore[[#This Row],[Platinum]]/TblExplore[[#This Row],[Plat/acre]],TblExplore[[#This Row],[Draftees]]/TblExplore[[#This Row],[Draftees/acre]]))</f>
        <v>-342</v>
      </c>
    </row>
    <row r="20" spans="1:36" x14ac:dyDescent="0.2">
      <c r="A20" s="175">
        <f>TblRezone[[#This Row],[Hour]]</f>
        <v>17</v>
      </c>
      <c r="B20" s="214">
        <f ca="1">TblConstr[[#This Row],[Land]]</f>
        <v>50</v>
      </c>
      <c r="C20" s="215"/>
      <c r="D20" s="216">
        <f ca="1">TblConstr[[#This Row],[Plain]]</f>
        <v>0</v>
      </c>
      <c r="E20" s="182">
        <f ca="1">TblConstr[[#This Row],[Forest]]</f>
        <v>0</v>
      </c>
      <c r="F20" s="359">
        <f ca="1">TblConstr[[#This Row],[Mountain]]</f>
        <v>0</v>
      </c>
      <c r="G20" s="363">
        <f ca="1">TblConstr[[#This Row],[Hill]]</f>
        <v>0</v>
      </c>
      <c r="H20" s="367">
        <f ca="1">TblConstr[[#This Row],[Swamp]]</f>
        <v>0</v>
      </c>
      <c r="I20" s="185">
        <f ca="1">TblConstr[[#This Row],[Cavern]]</f>
        <v>0</v>
      </c>
      <c r="J20" s="186">
        <f ca="1">TblConstr[[#This Row],[Water]]</f>
        <v>0</v>
      </c>
      <c r="K20" s="210"/>
      <c r="L20" s="221" t="s">
        <v>365</v>
      </c>
      <c r="M20" s="222"/>
      <c r="N20" s="217">
        <f ca="1">TblMili[[#This Row],[Smithies]]</f>
        <v>0</v>
      </c>
      <c r="O20" s="217">
        <f ca="1">TblPop[[#This Row],[Employment]]</f>
        <v>1</v>
      </c>
      <c r="P20" s="217">
        <f ca="1">TblImps[[#This Row],[Population]]</f>
        <v>1</v>
      </c>
      <c r="Q20" s="175">
        <f ca="1">TblExplore[[#This Row],[Land]]</f>
        <v>50</v>
      </c>
      <c r="R20" s="175">
        <f>TblExplore[[#This Row],[Hour]]</f>
        <v>17</v>
      </c>
      <c r="S20" s="218"/>
      <c r="T20" s="158"/>
      <c r="U20" s="179"/>
      <c r="V20" s="179"/>
      <c r="W20" s="179"/>
      <c r="X20" s="179"/>
      <c r="Y20" s="179"/>
      <c r="Z20" s="179"/>
      <c r="AA20" s="159">
        <f ca="1">TblImps[[#This Row],[Real time]]</f>
        <v>46320.666666666628</v>
      </c>
      <c r="AB20" s="94">
        <f ca="1">TblMili[[#This Row],[Draftees]]</f>
        <v>368</v>
      </c>
      <c r="AC20" s="94">
        <f ca="1">TblProd[[#This Row],[Platinum]]</f>
        <v>138811</v>
      </c>
      <c r="AD20" s="215"/>
      <c r="AE20" s="45">
        <f ca="1">TblExplore[[#This Row],[Land]]-TblExplore[[#This Row],[Land Bonus]]*20</f>
        <v>50</v>
      </c>
      <c r="AF20" s="94">
        <f ca="1">ROUND((0.6*TblExplore[[#This Row],[Land-DB]]^1.299 + IF(TblExplore[[#This Row],[Land-DB]]&lt;1520, (-0.001*(TblExplore[[#This Row],[Land-DB]]^2)+1.91*TblExplore[[#This Row],[Land-DB]]-593), 0))*(1+ tech_2_6*Techs!AC20 + tech_2_9*Techs!AF20 + tech_3_7*Techs!AN20 + Overview!$I$33),0)</f>
        <v>-403</v>
      </c>
      <c r="AG20" s="94">
        <f ca="1">_xlfn.FLOOR.MATH(TblExplore[[#This Row],[Land-DB]]/150)+3+tech_2_9_2*TblTech[[#This Row],[2-9]]+tech_3_7_2*TblTech[[#This Row],[3-7]]</f>
        <v>3</v>
      </c>
      <c r="AH20" s="94">
        <f ca="1">SUM(TblExplore[[#This Row],[Plains Explore]:[Water Explore]])*TblExplore[[#This Row],[Plat/acre]]</f>
        <v>0</v>
      </c>
      <c r="AI20" s="94">
        <f ca="1">SUM(TblExplore[[#This Row],[Plains Explore]:[Water Explore]])*TblExplore[[#This Row],[Draftees/acre]]</f>
        <v>0</v>
      </c>
      <c r="AJ20" s="45">
        <f ca="1">_xlfn.FLOOR.MATH(MIN(TblExplore[[#This Row],[Platinum]]/TblExplore[[#This Row],[Plat/acre]],TblExplore[[#This Row],[Draftees]]/TblExplore[[#This Row],[Draftees/acre]]))</f>
        <v>-345</v>
      </c>
    </row>
    <row r="21" spans="1:36" x14ac:dyDescent="0.2">
      <c r="A21" s="175">
        <f>TblRezone[[#This Row],[Hour]]</f>
        <v>18</v>
      </c>
      <c r="B21" s="214">
        <f ca="1">TblConstr[[#This Row],[Land]]</f>
        <v>50</v>
      </c>
      <c r="C21" s="215"/>
      <c r="D21" s="216">
        <f ca="1">TblConstr[[#This Row],[Plain]]</f>
        <v>0</v>
      </c>
      <c r="E21" s="182">
        <f ca="1">TblConstr[[#This Row],[Forest]]</f>
        <v>0</v>
      </c>
      <c r="F21" s="359">
        <f ca="1">TblConstr[[#This Row],[Mountain]]</f>
        <v>0</v>
      </c>
      <c r="G21" s="363">
        <f ca="1">TblConstr[[#This Row],[Hill]]</f>
        <v>0</v>
      </c>
      <c r="H21" s="367">
        <f ca="1">TblConstr[[#This Row],[Swamp]]</f>
        <v>0</v>
      </c>
      <c r="I21" s="185">
        <f ca="1">TblConstr[[#This Row],[Cavern]]</f>
        <v>0</v>
      </c>
      <c r="J21" s="186">
        <f ca="1">TblConstr[[#This Row],[Water]]</f>
        <v>0</v>
      </c>
      <c r="K21" s="210"/>
      <c r="L21" s="210"/>
      <c r="M21" s="223"/>
      <c r="N21" s="217">
        <f ca="1">TblMili[[#This Row],[Smithies]]</f>
        <v>0</v>
      </c>
      <c r="O21" s="217">
        <f ca="1">TblPop[[#This Row],[Employment]]</f>
        <v>1</v>
      </c>
      <c r="P21" s="217">
        <f ca="1">TblImps[[#This Row],[Population]]</f>
        <v>1</v>
      </c>
      <c r="Q21" s="175">
        <f ca="1">TblExplore[[#This Row],[Land]]</f>
        <v>50</v>
      </c>
      <c r="R21" s="175">
        <f>TblExplore[[#This Row],[Hour]]</f>
        <v>18</v>
      </c>
      <c r="S21" s="218"/>
      <c r="T21" s="179"/>
      <c r="U21" s="179"/>
      <c r="V21" s="179"/>
      <c r="W21" s="179"/>
      <c r="X21" s="179"/>
      <c r="Y21" s="179"/>
      <c r="Z21" s="179"/>
      <c r="AA21" s="159">
        <f ca="1">TblImps[[#This Row],[Real time]]</f>
        <v>46320.708333333292</v>
      </c>
      <c r="AB21" s="94">
        <f ca="1">TblMili[[#This Row],[Draftees]]</f>
        <v>372</v>
      </c>
      <c r="AC21" s="94">
        <f ca="1">TblProd[[#This Row],[Platinum]]</f>
        <v>139893</v>
      </c>
      <c r="AD21" s="215"/>
      <c r="AE21" s="45">
        <f ca="1">TblExplore[[#This Row],[Land]]-TblExplore[[#This Row],[Land Bonus]]*20</f>
        <v>50</v>
      </c>
      <c r="AF21" s="94">
        <f ca="1">ROUND((0.6*TblExplore[[#This Row],[Land-DB]]^1.299 + IF(TblExplore[[#This Row],[Land-DB]]&lt;1520, (-0.001*(TblExplore[[#This Row],[Land-DB]]^2)+1.91*TblExplore[[#This Row],[Land-DB]]-593), 0))*(1+ tech_2_6*Techs!AC21 + tech_2_9*Techs!AF21 + tech_3_7*Techs!AN21 + Overview!$I$33),0)</f>
        <v>-403</v>
      </c>
      <c r="AG21" s="94">
        <f ca="1">_xlfn.FLOOR.MATH(TblExplore[[#This Row],[Land-DB]]/150)+3+tech_2_9_2*TblTech[[#This Row],[2-9]]+tech_3_7_2*TblTech[[#This Row],[3-7]]</f>
        <v>3</v>
      </c>
      <c r="AH21" s="94">
        <f ca="1">SUM(TblExplore[[#This Row],[Plains Explore]:[Water Explore]])*TblExplore[[#This Row],[Plat/acre]]</f>
        <v>0</v>
      </c>
      <c r="AI21" s="94">
        <f ca="1">SUM(TblExplore[[#This Row],[Plains Explore]:[Water Explore]])*TblExplore[[#This Row],[Draftees/acre]]</f>
        <v>0</v>
      </c>
      <c r="AJ21" s="45">
        <f ca="1">_xlfn.FLOOR.MATH(MIN(TblExplore[[#This Row],[Platinum]]/TblExplore[[#This Row],[Plat/acre]],TblExplore[[#This Row],[Draftees]]/TblExplore[[#This Row],[Draftees/acre]]))</f>
        <v>-348</v>
      </c>
    </row>
    <row r="22" spans="1:36" x14ac:dyDescent="0.2">
      <c r="A22" s="175">
        <f>TblRezone[[#This Row],[Hour]]</f>
        <v>19</v>
      </c>
      <c r="B22" s="214">
        <f ca="1">TblConstr[[#This Row],[Land]]</f>
        <v>50</v>
      </c>
      <c r="C22" s="215"/>
      <c r="D22" s="216">
        <f ca="1">TblConstr[[#This Row],[Plain]]</f>
        <v>0</v>
      </c>
      <c r="E22" s="182">
        <f ca="1">TblConstr[[#This Row],[Forest]]</f>
        <v>0</v>
      </c>
      <c r="F22" s="359">
        <f ca="1">TblConstr[[#This Row],[Mountain]]</f>
        <v>0</v>
      </c>
      <c r="G22" s="363">
        <f ca="1">TblConstr[[#This Row],[Hill]]</f>
        <v>0</v>
      </c>
      <c r="H22" s="367">
        <f ca="1">TblConstr[[#This Row],[Swamp]]</f>
        <v>0</v>
      </c>
      <c r="I22" s="185">
        <f ca="1">TblConstr[[#This Row],[Cavern]]</f>
        <v>0</v>
      </c>
      <c r="J22" s="186">
        <f ca="1">TblConstr[[#This Row],[Water]]</f>
        <v>0</v>
      </c>
      <c r="K22" s="210"/>
      <c r="L22" s="210"/>
      <c r="M22" s="223"/>
      <c r="N22" s="217">
        <f ca="1">TblMili[[#This Row],[Smithies]]</f>
        <v>0</v>
      </c>
      <c r="O22" s="217">
        <f ca="1">TblPop[[#This Row],[Employment]]</f>
        <v>1</v>
      </c>
      <c r="P22" s="217">
        <f ca="1">TblImps[[#This Row],[Population]]</f>
        <v>1</v>
      </c>
      <c r="Q22" s="175">
        <f ca="1">TblExplore[[#This Row],[Land]]</f>
        <v>50</v>
      </c>
      <c r="R22" s="175">
        <f>TblExplore[[#This Row],[Hour]]</f>
        <v>19</v>
      </c>
      <c r="S22" s="218"/>
      <c r="T22" s="179"/>
      <c r="U22" s="179"/>
      <c r="V22" s="179"/>
      <c r="W22" s="179"/>
      <c r="X22" s="179"/>
      <c r="Y22" s="179"/>
      <c r="Z22" s="179"/>
      <c r="AA22" s="159">
        <f ca="1">TblImps[[#This Row],[Real time]]</f>
        <v>46320.749999999956</v>
      </c>
      <c r="AB22" s="94">
        <f ca="1">TblMili[[#This Row],[Draftees]]</f>
        <v>376</v>
      </c>
      <c r="AC22" s="94">
        <f ca="1">TblProd[[#This Row],[Platinum]]</f>
        <v>140964</v>
      </c>
      <c r="AD22" s="215"/>
      <c r="AE22" s="45">
        <f ca="1">TblExplore[[#This Row],[Land]]-TblExplore[[#This Row],[Land Bonus]]*20</f>
        <v>50</v>
      </c>
      <c r="AF22" s="94">
        <f ca="1">ROUND((0.6*TblExplore[[#This Row],[Land-DB]]^1.299 + IF(TblExplore[[#This Row],[Land-DB]]&lt;1520, (-0.001*(TblExplore[[#This Row],[Land-DB]]^2)+1.91*TblExplore[[#This Row],[Land-DB]]-593), 0))*(1+ tech_2_6*Techs!AC22 + tech_2_9*Techs!AF22 + tech_3_7*Techs!AN22 + Overview!$I$33),0)</f>
        <v>-403</v>
      </c>
      <c r="AG22" s="94">
        <f ca="1">_xlfn.FLOOR.MATH(TblExplore[[#This Row],[Land-DB]]/150)+3+tech_2_9_2*TblTech[[#This Row],[2-9]]+tech_3_7_2*TblTech[[#This Row],[3-7]]</f>
        <v>3</v>
      </c>
      <c r="AH22" s="94">
        <f ca="1">SUM(TblExplore[[#This Row],[Plains Explore]:[Water Explore]])*TblExplore[[#This Row],[Plat/acre]]</f>
        <v>0</v>
      </c>
      <c r="AI22" s="94">
        <f ca="1">SUM(TblExplore[[#This Row],[Plains Explore]:[Water Explore]])*TblExplore[[#This Row],[Draftees/acre]]</f>
        <v>0</v>
      </c>
      <c r="AJ22" s="45">
        <f ca="1">_xlfn.FLOOR.MATH(MIN(TblExplore[[#This Row],[Platinum]]/TblExplore[[#This Row],[Plat/acre]],TblExplore[[#This Row],[Draftees]]/TblExplore[[#This Row],[Draftees/acre]]))</f>
        <v>-350</v>
      </c>
    </row>
    <row r="23" spans="1:36" x14ac:dyDescent="0.2">
      <c r="A23" s="175">
        <f>TblRezone[[#This Row],[Hour]]</f>
        <v>20</v>
      </c>
      <c r="B23" s="214">
        <f ca="1">TblConstr[[#This Row],[Land]]</f>
        <v>50</v>
      </c>
      <c r="C23" s="215"/>
      <c r="D23" s="216">
        <f ca="1">TblConstr[[#This Row],[Plain]]</f>
        <v>0</v>
      </c>
      <c r="E23" s="182">
        <f ca="1">TblConstr[[#This Row],[Forest]]</f>
        <v>0</v>
      </c>
      <c r="F23" s="359">
        <f ca="1">TblConstr[[#This Row],[Mountain]]</f>
        <v>0</v>
      </c>
      <c r="G23" s="363">
        <f ca="1">TblConstr[[#This Row],[Hill]]</f>
        <v>0</v>
      </c>
      <c r="H23" s="367">
        <f ca="1">TblConstr[[#This Row],[Swamp]]</f>
        <v>0</v>
      </c>
      <c r="I23" s="185">
        <f ca="1">TblConstr[[#This Row],[Cavern]]</f>
        <v>0</v>
      </c>
      <c r="J23" s="186">
        <f ca="1">TblConstr[[#This Row],[Water]]</f>
        <v>0</v>
      </c>
      <c r="K23" s="210"/>
      <c r="L23" s="210"/>
      <c r="M23" s="223"/>
      <c r="N23" s="217">
        <f ca="1">TblMili[[#This Row],[Smithies]]</f>
        <v>0</v>
      </c>
      <c r="O23" s="217">
        <f ca="1">TblPop[[#This Row],[Employment]]</f>
        <v>1</v>
      </c>
      <c r="P23" s="217">
        <f ca="1">TblImps[[#This Row],[Population]]</f>
        <v>1</v>
      </c>
      <c r="Q23" s="175">
        <f ca="1">TblExplore[[#This Row],[Land]]</f>
        <v>50</v>
      </c>
      <c r="R23" s="175">
        <f>TblExplore[[#This Row],[Hour]]</f>
        <v>20</v>
      </c>
      <c r="S23" s="218"/>
      <c r="T23" s="179"/>
      <c r="U23" s="179"/>
      <c r="V23" s="179"/>
      <c r="W23" s="179"/>
      <c r="X23" s="179"/>
      <c r="Y23" s="179"/>
      <c r="Z23" s="179"/>
      <c r="AA23" s="159">
        <f ca="1">TblImps[[#This Row],[Real time]]</f>
        <v>46320.791666666621</v>
      </c>
      <c r="AB23" s="94">
        <f ca="1">TblMili[[#This Row],[Draftees]]</f>
        <v>380</v>
      </c>
      <c r="AC23" s="94">
        <f ca="1">TblProd[[#This Row],[Platinum]]</f>
        <v>142025</v>
      </c>
      <c r="AD23" s="215"/>
      <c r="AE23" s="45">
        <f ca="1">TblExplore[[#This Row],[Land]]-TblExplore[[#This Row],[Land Bonus]]*20</f>
        <v>50</v>
      </c>
      <c r="AF23" s="94">
        <f ca="1">ROUND((0.6*TblExplore[[#This Row],[Land-DB]]^1.299 + IF(TblExplore[[#This Row],[Land-DB]]&lt;1520, (-0.001*(TblExplore[[#This Row],[Land-DB]]^2)+1.91*TblExplore[[#This Row],[Land-DB]]-593), 0))*(1+ tech_2_6*Techs!AC23 + tech_2_9*Techs!AF23 + tech_3_7*Techs!AN23 + Overview!$I$33),0)</f>
        <v>-403</v>
      </c>
      <c r="AG23" s="94">
        <f ca="1">_xlfn.FLOOR.MATH(TblExplore[[#This Row],[Land-DB]]/150)+3+tech_2_9_2*TblTech[[#This Row],[2-9]]+tech_3_7_2*TblTech[[#This Row],[3-7]]</f>
        <v>3</v>
      </c>
      <c r="AH23" s="94">
        <f ca="1">SUM(TblExplore[[#This Row],[Plains Explore]:[Water Explore]])*TblExplore[[#This Row],[Plat/acre]]</f>
        <v>0</v>
      </c>
      <c r="AI23" s="94">
        <f ca="1">SUM(TblExplore[[#This Row],[Plains Explore]:[Water Explore]])*TblExplore[[#This Row],[Draftees/acre]]</f>
        <v>0</v>
      </c>
      <c r="AJ23" s="45">
        <f ca="1">_xlfn.FLOOR.MATH(MIN(TblExplore[[#This Row],[Platinum]]/TblExplore[[#This Row],[Plat/acre]],TblExplore[[#This Row],[Draftees]]/TblExplore[[#This Row],[Draftees/acre]]))</f>
        <v>-353</v>
      </c>
    </row>
    <row r="24" spans="1:36" x14ac:dyDescent="0.2">
      <c r="A24" s="175">
        <f>TblRezone[[#This Row],[Hour]]</f>
        <v>21</v>
      </c>
      <c r="B24" s="214">
        <f ca="1">TblConstr[[#This Row],[Land]]</f>
        <v>50</v>
      </c>
      <c r="C24" s="215"/>
      <c r="D24" s="216">
        <f ca="1">TblConstr[[#This Row],[Plain]]</f>
        <v>0</v>
      </c>
      <c r="E24" s="182">
        <f ca="1">TblConstr[[#This Row],[Forest]]</f>
        <v>0</v>
      </c>
      <c r="F24" s="359">
        <f ca="1">TblConstr[[#This Row],[Mountain]]</f>
        <v>0</v>
      </c>
      <c r="G24" s="363">
        <f ca="1">TblConstr[[#This Row],[Hill]]</f>
        <v>0</v>
      </c>
      <c r="H24" s="367">
        <f ca="1">TblConstr[[#This Row],[Swamp]]</f>
        <v>0</v>
      </c>
      <c r="I24" s="185">
        <f ca="1">TblConstr[[#This Row],[Cavern]]</f>
        <v>0</v>
      </c>
      <c r="J24" s="186">
        <f ca="1">TblConstr[[#This Row],[Water]]</f>
        <v>0</v>
      </c>
      <c r="K24" s="210"/>
      <c r="L24" s="210"/>
      <c r="M24" s="210"/>
      <c r="N24" s="217">
        <f ca="1">TblMili[[#This Row],[Smithies]]</f>
        <v>0</v>
      </c>
      <c r="O24" s="217">
        <f ca="1">TblPop[[#This Row],[Employment]]</f>
        <v>1</v>
      </c>
      <c r="P24" s="217">
        <f ca="1">TblImps[[#This Row],[Population]]</f>
        <v>1</v>
      </c>
      <c r="Q24" s="175">
        <f ca="1">TblExplore[[#This Row],[Land]]</f>
        <v>50</v>
      </c>
      <c r="R24" s="214">
        <f>TblExplore[[#This Row],[Hour]]</f>
        <v>21</v>
      </c>
      <c r="S24" s="218"/>
      <c r="T24" s="179"/>
      <c r="U24" s="179"/>
      <c r="V24" s="179"/>
      <c r="W24" s="179"/>
      <c r="X24" s="179"/>
      <c r="Y24" s="179"/>
      <c r="Z24" s="179"/>
      <c r="AA24" s="159">
        <f ca="1">TblImps[[#This Row],[Real time]]</f>
        <v>46320.833333333285</v>
      </c>
      <c r="AB24" s="94">
        <f ca="1">TblMili[[#This Row],[Draftees]]</f>
        <v>384</v>
      </c>
      <c r="AC24" s="94">
        <f ca="1">TblProd[[#This Row],[Platinum]]</f>
        <v>143075</v>
      </c>
      <c r="AD24" s="215"/>
      <c r="AE24" s="45">
        <f ca="1">TblExplore[[#This Row],[Land]]-TblExplore[[#This Row],[Land Bonus]]*20</f>
        <v>50</v>
      </c>
      <c r="AF24" s="94">
        <f ca="1">ROUND((0.6*TblExplore[[#This Row],[Land-DB]]^1.299 + IF(TblExplore[[#This Row],[Land-DB]]&lt;1520, (-0.001*(TblExplore[[#This Row],[Land-DB]]^2)+1.91*TblExplore[[#This Row],[Land-DB]]-593), 0))*(1+ tech_2_6*Techs!AC24 + tech_2_9*Techs!AF24 + tech_3_7*Techs!AN24 + Overview!$I$33),0)</f>
        <v>-403</v>
      </c>
      <c r="AG24" s="94">
        <f ca="1">_xlfn.FLOOR.MATH(TblExplore[[#This Row],[Land-DB]]/150)+3+tech_2_9_2*TblTech[[#This Row],[2-9]]+tech_3_7_2*TblTech[[#This Row],[3-7]]</f>
        <v>3</v>
      </c>
      <c r="AH24" s="94">
        <f ca="1">SUM(TblExplore[[#This Row],[Plains Explore]:[Water Explore]])*TblExplore[[#This Row],[Plat/acre]]</f>
        <v>0</v>
      </c>
      <c r="AI24" s="94">
        <f ca="1">SUM(TblExplore[[#This Row],[Plains Explore]:[Water Explore]])*TblExplore[[#This Row],[Draftees/acre]]</f>
        <v>0</v>
      </c>
      <c r="AJ24" s="45">
        <f ca="1">_xlfn.FLOOR.MATH(MIN(TblExplore[[#This Row],[Platinum]]/TblExplore[[#This Row],[Plat/acre]],TblExplore[[#This Row],[Draftees]]/TblExplore[[#This Row],[Draftees/acre]]))</f>
        <v>-356</v>
      </c>
    </row>
    <row r="25" spans="1:36" x14ac:dyDescent="0.2">
      <c r="A25" s="175">
        <f>TblRezone[[#This Row],[Hour]]</f>
        <v>22</v>
      </c>
      <c r="B25" s="214">
        <f ca="1">TblConstr[[#This Row],[Land]]</f>
        <v>50</v>
      </c>
      <c r="C25" s="215"/>
      <c r="D25" s="216">
        <f ca="1">TblConstr[[#This Row],[Plain]]</f>
        <v>0</v>
      </c>
      <c r="E25" s="182">
        <f ca="1">TblConstr[[#This Row],[Forest]]</f>
        <v>0</v>
      </c>
      <c r="F25" s="359">
        <f ca="1">TblConstr[[#This Row],[Mountain]]</f>
        <v>0</v>
      </c>
      <c r="G25" s="363">
        <f ca="1">TblConstr[[#This Row],[Hill]]</f>
        <v>0</v>
      </c>
      <c r="H25" s="367">
        <f ca="1">TblConstr[[#This Row],[Swamp]]</f>
        <v>0</v>
      </c>
      <c r="I25" s="185">
        <f ca="1">TblConstr[[#This Row],[Cavern]]</f>
        <v>0</v>
      </c>
      <c r="J25" s="186">
        <f ca="1">TblConstr[[#This Row],[Water]]</f>
        <v>0</v>
      </c>
      <c r="K25" s="210"/>
      <c r="L25" s="224" t="s">
        <v>380</v>
      </c>
      <c r="M25" s="224"/>
      <c r="N25" s="217">
        <f ca="1">TblMili[[#This Row],[Smithies]]</f>
        <v>0</v>
      </c>
      <c r="O25" s="217">
        <f ca="1">TblPop[[#This Row],[Employment]]</f>
        <v>1</v>
      </c>
      <c r="P25" s="217">
        <f ca="1">TblImps[[#This Row],[Population]]</f>
        <v>1</v>
      </c>
      <c r="Q25" s="175">
        <f ca="1">TblExplore[[#This Row],[Land]]</f>
        <v>50</v>
      </c>
      <c r="R25" s="214">
        <f>TblExplore[[#This Row],[Hour]]</f>
        <v>22</v>
      </c>
      <c r="S25" s="218"/>
      <c r="T25" s="179"/>
      <c r="U25" s="179"/>
      <c r="V25" s="179"/>
      <c r="W25" s="179"/>
      <c r="X25" s="179"/>
      <c r="Y25" s="179"/>
      <c r="Z25" s="179"/>
      <c r="AA25" s="159">
        <f ca="1">TblImps[[#This Row],[Real time]]</f>
        <v>46320.874999999949</v>
      </c>
      <c r="AB25" s="94">
        <f ca="1">TblMili[[#This Row],[Draftees]]</f>
        <v>388</v>
      </c>
      <c r="AC25" s="94">
        <f ca="1">TblProd[[#This Row],[Platinum]]</f>
        <v>144114</v>
      </c>
      <c r="AD25" s="215"/>
      <c r="AE25" s="45">
        <f ca="1">TblExplore[[#This Row],[Land]]-TblExplore[[#This Row],[Land Bonus]]*20</f>
        <v>50</v>
      </c>
      <c r="AF25" s="94">
        <f ca="1">ROUND((0.6*TblExplore[[#This Row],[Land-DB]]^1.299 + IF(TblExplore[[#This Row],[Land-DB]]&lt;1520, (-0.001*(TblExplore[[#This Row],[Land-DB]]^2)+1.91*TblExplore[[#This Row],[Land-DB]]-593), 0))*(1+ tech_2_6*Techs!AC25 + tech_2_9*Techs!AF25 + tech_3_7*Techs!AN25 + Overview!$I$33),0)</f>
        <v>-403</v>
      </c>
      <c r="AG25" s="94">
        <f ca="1">_xlfn.FLOOR.MATH(TblExplore[[#This Row],[Land-DB]]/150)+3+tech_2_9_2*TblTech[[#This Row],[2-9]]+tech_3_7_2*TblTech[[#This Row],[3-7]]</f>
        <v>3</v>
      </c>
      <c r="AH25" s="94">
        <f ca="1">SUM(TblExplore[[#This Row],[Plains Explore]:[Water Explore]])*TblExplore[[#This Row],[Plat/acre]]</f>
        <v>0</v>
      </c>
      <c r="AI25" s="94">
        <f ca="1">SUM(TblExplore[[#This Row],[Plains Explore]:[Water Explore]])*TblExplore[[#This Row],[Draftees/acre]]</f>
        <v>0</v>
      </c>
      <c r="AJ25" s="45">
        <f ca="1">_xlfn.FLOOR.MATH(MIN(TblExplore[[#This Row],[Platinum]]/TblExplore[[#This Row],[Plat/acre]],TblExplore[[#This Row],[Draftees]]/TblExplore[[#This Row],[Draftees/acre]]))</f>
        <v>-358</v>
      </c>
    </row>
    <row r="26" spans="1:36" x14ac:dyDescent="0.2">
      <c r="A26" s="175">
        <f>TblRezone[[#This Row],[Hour]]</f>
        <v>23</v>
      </c>
      <c r="B26" s="214">
        <f ca="1">TblConstr[[#This Row],[Land]]</f>
        <v>50</v>
      </c>
      <c r="C26" s="215"/>
      <c r="D26" s="216">
        <f ca="1">TblConstr[[#This Row],[Plain]]</f>
        <v>0</v>
      </c>
      <c r="E26" s="182">
        <f ca="1">TblConstr[[#This Row],[Forest]]</f>
        <v>0</v>
      </c>
      <c r="F26" s="359">
        <f ca="1">TblConstr[[#This Row],[Mountain]]</f>
        <v>0</v>
      </c>
      <c r="G26" s="363">
        <f ca="1">TblConstr[[#This Row],[Hill]]</f>
        <v>0</v>
      </c>
      <c r="H26" s="367">
        <f ca="1">TblConstr[[#This Row],[Swamp]]</f>
        <v>0</v>
      </c>
      <c r="I26" s="185">
        <f ca="1">TblConstr[[#This Row],[Cavern]]</f>
        <v>0</v>
      </c>
      <c r="J26" s="186">
        <f ca="1">TblConstr[[#This Row],[Water]]</f>
        <v>0</v>
      </c>
      <c r="K26" s="210"/>
      <c r="L26" s="224" t="s">
        <v>367</v>
      </c>
      <c r="M26" s="225">
        <f ca="1">Military!AQ67</f>
        <v>179517</v>
      </c>
      <c r="N26" s="217">
        <f ca="1">TblMili[[#This Row],[Smithies]]</f>
        <v>0</v>
      </c>
      <c r="O26" s="217">
        <f ca="1">TblPop[[#This Row],[Employment]]</f>
        <v>1</v>
      </c>
      <c r="P26" s="217">
        <f ca="1">TblImps[[#This Row],[Population]]</f>
        <v>1</v>
      </c>
      <c r="Q26" s="175">
        <f ca="1">TblExplore[[#This Row],[Land]]</f>
        <v>50</v>
      </c>
      <c r="R26" s="175">
        <f>TblExplore[[#This Row],[Hour]]</f>
        <v>23</v>
      </c>
      <c r="S26" s="218"/>
      <c r="T26" s="179"/>
      <c r="U26" s="179"/>
      <c r="V26" s="179"/>
      <c r="W26" s="179"/>
      <c r="X26" s="179"/>
      <c r="Y26" s="179"/>
      <c r="Z26" s="179"/>
      <c r="AA26" s="159">
        <f ca="1">TblImps[[#This Row],[Real time]]</f>
        <v>46320.916666666613</v>
      </c>
      <c r="AB26" s="94">
        <f ca="1">TblMili[[#This Row],[Draftees]]</f>
        <v>392</v>
      </c>
      <c r="AC26" s="94">
        <f ca="1">TblProd[[#This Row],[Platinum]]</f>
        <v>145142</v>
      </c>
      <c r="AD26" s="215"/>
      <c r="AE26" s="45">
        <f ca="1">TblExplore[[#This Row],[Land]]-TblExplore[[#This Row],[Land Bonus]]*20</f>
        <v>50</v>
      </c>
      <c r="AF26" s="94">
        <f ca="1">ROUND((0.6*TblExplore[[#This Row],[Land-DB]]^1.299 + IF(TblExplore[[#This Row],[Land-DB]]&lt;1520, (-0.001*(TblExplore[[#This Row],[Land-DB]]^2)+1.91*TblExplore[[#This Row],[Land-DB]]-593), 0))*(1+ tech_2_6*Techs!AC26 + tech_2_9*Techs!AF26 + tech_3_7*Techs!AN26 + Overview!$I$33),0)</f>
        <v>-403</v>
      </c>
      <c r="AG26" s="94">
        <f ca="1">_xlfn.FLOOR.MATH(TblExplore[[#This Row],[Land-DB]]/150)+3+tech_2_9_2*TblTech[[#This Row],[2-9]]+tech_3_7_2*TblTech[[#This Row],[3-7]]</f>
        <v>3</v>
      </c>
      <c r="AH26" s="94">
        <f ca="1">SUM(TblExplore[[#This Row],[Plains Explore]:[Water Explore]])*TblExplore[[#This Row],[Plat/acre]]</f>
        <v>0</v>
      </c>
      <c r="AI26" s="94">
        <f ca="1">SUM(TblExplore[[#This Row],[Plains Explore]:[Water Explore]])*TblExplore[[#This Row],[Draftees/acre]]</f>
        <v>0</v>
      </c>
      <c r="AJ26" s="45">
        <f ca="1">_xlfn.FLOOR.MATH(MIN(TblExplore[[#This Row],[Platinum]]/TblExplore[[#This Row],[Plat/acre]],TblExplore[[#This Row],[Draftees]]/TblExplore[[#This Row],[Draftees/acre]]))</f>
        <v>-361</v>
      </c>
    </row>
    <row r="27" spans="1:36" x14ac:dyDescent="0.2">
      <c r="A27" s="175">
        <f>TblRezone[[#This Row],[Hour]]</f>
        <v>24</v>
      </c>
      <c r="B27" s="214">
        <f ca="1">TblConstr[[#This Row],[Land]]</f>
        <v>50</v>
      </c>
      <c r="C27" s="215"/>
      <c r="D27" s="216">
        <f ca="1">TblConstr[[#This Row],[Plain]]</f>
        <v>0</v>
      </c>
      <c r="E27" s="182">
        <f ca="1">TblConstr[[#This Row],[Forest]]</f>
        <v>0</v>
      </c>
      <c r="F27" s="359">
        <f ca="1">TblConstr[[#This Row],[Mountain]]</f>
        <v>0</v>
      </c>
      <c r="G27" s="363">
        <f ca="1">TblConstr[[#This Row],[Hill]]</f>
        <v>0</v>
      </c>
      <c r="H27" s="367">
        <f ca="1">TblConstr[[#This Row],[Swamp]]</f>
        <v>0</v>
      </c>
      <c r="I27" s="185">
        <f ca="1">TblConstr[[#This Row],[Cavern]]</f>
        <v>0</v>
      </c>
      <c r="J27" s="186">
        <f ca="1">TblConstr[[#This Row],[Water]]</f>
        <v>0</v>
      </c>
      <c r="K27" s="210"/>
      <c r="L27" s="224" t="s">
        <v>366</v>
      </c>
      <c r="M27" s="225">
        <f ca="1">Production!S76</f>
        <v>618</v>
      </c>
      <c r="N27" s="217">
        <f ca="1">TblMili[[#This Row],[Smithies]]</f>
        <v>0</v>
      </c>
      <c r="O27" s="217">
        <f ca="1">TblPop[[#This Row],[Employment]]</f>
        <v>1</v>
      </c>
      <c r="P27" s="217">
        <f ca="1">TblImps[[#This Row],[Population]]</f>
        <v>1</v>
      </c>
      <c r="Q27" s="175">
        <f ca="1">TblExplore[[#This Row],[Land]]</f>
        <v>50</v>
      </c>
      <c r="R27" s="175">
        <f>TblExplore[[#This Row],[Hour]]</f>
        <v>24</v>
      </c>
      <c r="S27" s="218"/>
      <c r="T27" s="158"/>
      <c r="U27" s="179"/>
      <c r="V27" s="179"/>
      <c r="W27" s="179"/>
      <c r="X27" s="179"/>
      <c r="Y27" s="179"/>
      <c r="Z27" s="179"/>
      <c r="AA27" s="159">
        <f ca="1">TblImps[[#This Row],[Real time]]</f>
        <v>46320.958333333278</v>
      </c>
      <c r="AB27" s="94">
        <f ca="1">TblMili[[#This Row],[Draftees]]</f>
        <v>396</v>
      </c>
      <c r="AC27" s="94">
        <f ca="1">TblProd[[#This Row],[Platinum]]</f>
        <v>146159</v>
      </c>
      <c r="AD27" s="215"/>
      <c r="AE27" s="45">
        <f ca="1">TblExplore[[#This Row],[Land]]-TblExplore[[#This Row],[Land Bonus]]*20</f>
        <v>50</v>
      </c>
      <c r="AF27" s="94">
        <f ca="1">ROUND((0.6*TblExplore[[#This Row],[Land-DB]]^1.299 + IF(TblExplore[[#This Row],[Land-DB]]&lt;1520, (-0.001*(TblExplore[[#This Row],[Land-DB]]^2)+1.91*TblExplore[[#This Row],[Land-DB]]-593), 0))*(1+ tech_2_6*Techs!AC27 + tech_2_9*Techs!AF27 + tech_3_7*Techs!AN27 + Overview!$I$33),0)</f>
        <v>-403</v>
      </c>
      <c r="AG27" s="94">
        <f ca="1">_xlfn.FLOOR.MATH(TblExplore[[#This Row],[Land-DB]]/150)+3+tech_2_9_2*TblTech[[#This Row],[2-9]]+tech_3_7_2*TblTech[[#This Row],[3-7]]</f>
        <v>3</v>
      </c>
      <c r="AH27" s="94">
        <f ca="1">SUM(TblExplore[[#This Row],[Plains Explore]:[Water Explore]])*TblExplore[[#This Row],[Plat/acre]]</f>
        <v>0</v>
      </c>
      <c r="AI27" s="94">
        <f ca="1">SUM(TblExplore[[#This Row],[Plains Explore]:[Water Explore]])*TblExplore[[#This Row],[Draftees/acre]]</f>
        <v>0</v>
      </c>
      <c r="AJ27" s="45">
        <f ca="1">_xlfn.FLOOR.MATH(MIN(TblExplore[[#This Row],[Platinum]]/TblExplore[[#This Row],[Plat/acre]],TblExplore[[#This Row],[Draftees]]/TblExplore[[#This Row],[Draftees/acre]]))</f>
        <v>-363</v>
      </c>
    </row>
    <row r="28" spans="1:36" x14ac:dyDescent="0.2">
      <c r="A28" s="175">
        <f>TblRezone[[#This Row],[Hour]]</f>
        <v>25</v>
      </c>
      <c r="B28" s="214">
        <f ca="1">TblConstr[[#This Row],[Land]]</f>
        <v>50</v>
      </c>
      <c r="C28" s="215"/>
      <c r="D28" s="216">
        <f ca="1">TblConstr[[#This Row],[Plain]]</f>
        <v>0</v>
      </c>
      <c r="E28" s="182">
        <f ca="1">TblConstr[[#This Row],[Forest]]</f>
        <v>0</v>
      </c>
      <c r="F28" s="359">
        <f ca="1">TblConstr[[#This Row],[Mountain]]</f>
        <v>0</v>
      </c>
      <c r="G28" s="363">
        <f ca="1">TblConstr[[#This Row],[Hill]]</f>
        <v>0</v>
      </c>
      <c r="H28" s="367">
        <f ca="1">TblConstr[[#This Row],[Swamp]]</f>
        <v>0</v>
      </c>
      <c r="I28" s="185">
        <f ca="1">TblConstr[[#This Row],[Cavern]]</f>
        <v>0</v>
      </c>
      <c r="J28" s="186">
        <f ca="1">TblConstr[[#This Row],[Water]]</f>
        <v>0</v>
      </c>
      <c r="K28" s="210"/>
      <c r="L28" s="224" t="s">
        <v>364</v>
      </c>
      <c r="M28" s="225">
        <f ca="1">Military!AA64</f>
        <v>513</v>
      </c>
      <c r="N28" s="217">
        <f ca="1">TblMili[[#This Row],[Smithies]]</f>
        <v>0</v>
      </c>
      <c r="O28" s="217">
        <f ca="1">TblPop[[#This Row],[Employment]]</f>
        <v>1</v>
      </c>
      <c r="P28" s="217">
        <f ca="1">TblImps[[#This Row],[Population]]</f>
        <v>1</v>
      </c>
      <c r="Q28" s="175">
        <f ca="1">TblExplore[[#This Row],[Land]]</f>
        <v>50</v>
      </c>
      <c r="R28" s="175">
        <f>TblExplore[[#This Row],[Hour]]</f>
        <v>25</v>
      </c>
      <c r="S28" s="218"/>
      <c r="T28" s="179"/>
      <c r="U28" s="179"/>
      <c r="V28" s="179"/>
      <c r="W28" s="179"/>
      <c r="X28" s="179"/>
      <c r="Y28" s="179"/>
      <c r="Z28" s="179"/>
      <c r="AA28" s="159">
        <f ca="1">TblImps[[#This Row],[Real time]]</f>
        <v>46320.999999999942</v>
      </c>
      <c r="AB28" s="94">
        <f ca="1">TblMili[[#This Row],[Draftees]]</f>
        <v>400</v>
      </c>
      <c r="AC28" s="94">
        <f ca="1">TblProd[[#This Row],[Platinum]]</f>
        <v>147166</v>
      </c>
      <c r="AD28" s="215"/>
      <c r="AE28" s="45">
        <f ca="1">TblExplore[[#This Row],[Land]]-TblExplore[[#This Row],[Land Bonus]]*20</f>
        <v>50</v>
      </c>
      <c r="AF28" s="94">
        <f ca="1">ROUND((0.6*TblExplore[[#This Row],[Land-DB]]^1.299 + IF(TblExplore[[#This Row],[Land-DB]]&lt;1520, (-0.001*(TblExplore[[#This Row],[Land-DB]]^2)+1.91*TblExplore[[#This Row],[Land-DB]]-593), 0))*(1+ tech_2_6*Techs!AC28 + tech_2_9*Techs!AF28 + tech_3_7*Techs!AN28 + Overview!$I$33),0)</f>
        <v>-403</v>
      </c>
      <c r="AG28" s="94">
        <f ca="1">_xlfn.FLOOR.MATH(TblExplore[[#This Row],[Land-DB]]/150)+3+tech_2_9_2*TblTech[[#This Row],[2-9]]+tech_3_7_2*TblTech[[#This Row],[3-7]]</f>
        <v>3</v>
      </c>
      <c r="AH28" s="94">
        <f ca="1">SUM(TblExplore[[#This Row],[Plains Explore]:[Water Explore]])*TblExplore[[#This Row],[Plat/acre]]</f>
        <v>0</v>
      </c>
      <c r="AI28" s="94">
        <f ca="1">SUM(TblExplore[[#This Row],[Plains Explore]:[Water Explore]])*TblExplore[[#This Row],[Draftees/acre]]</f>
        <v>0</v>
      </c>
      <c r="AJ28" s="45">
        <f ca="1">_xlfn.FLOOR.MATH(MIN(TblExplore[[#This Row],[Platinum]]/TblExplore[[#This Row],[Plat/acre]],TblExplore[[#This Row],[Draftees]]/TblExplore[[#This Row],[Draftees/acre]]))</f>
        <v>-366</v>
      </c>
    </row>
    <row r="29" spans="1:36" x14ac:dyDescent="0.2">
      <c r="A29" s="175">
        <f>TblRezone[[#This Row],[Hour]]</f>
        <v>26</v>
      </c>
      <c r="B29" s="214">
        <f ca="1">TblConstr[[#This Row],[Land]]</f>
        <v>50</v>
      </c>
      <c r="C29" s="215"/>
      <c r="D29" s="216">
        <f ca="1">TblConstr[[#This Row],[Plain]]</f>
        <v>0</v>
      </c>
      <c r="E29" s="182">
        <f ca="1">TblConstr[[#This Row],[Forest]]</f>
        <v>0</v>
      </c>
      <c r="F29" s="359">
        <f ca="1">TblConstr[[#This Row],[Mountain]]</f>
        <v>0</v>
      </c>
      <c r="G29" s="363">
        <f ca="1">TblConstr[[#This Row],[Hill]]</f>
        <v>0</v>
      </c>
      <c r="H29" s="367">
        <f ca="1">TblConstr[[#This Row],[Swamp]]</f>
        <v>0</v>
      </c>
      <c r="I29" s="185">
        <f ca="1">TblConstr[[#This Row],[Cavern]]</f>
        <v>0</v>
      </c>
      <c r="J29" s="186">
        <f ca="1">TblConstr[[#This Row],[Water]]</f>
        <v>0</v>
      </c>
      <c r="K29" s="210"/>
      <c r="L29" s="224" t="s">
        <v>365</v>
      </c>
      <c r="M29" s="226">
        <f ca="1">Q76</f>
        <v>50</v>
      </c>
      <c r="N29" s="217">
        <f ca="1">TblMili[[#This Row],[Smithies]]</f>
        <v>0</v>
      </c>
      <c r="O29" s="217">
        <f ca="1">TblPop[[#This Row],[Employment]]</f>
        <v>1</v>
      </c>
      <c r="P29" s="217">
        <f ca="1">TblImps[[#This Row],[Population]]</f>
        <v>1</v>
      </c>
      <c r="Q29" s="175">
        <f ca="1">TblExplore[[#This Row],[Land]]</f>
        <v>50</v>
      </c>
      <c r="R29" s="175">
        <f>TblExplore[[#This Row],[Hour]]</f>
        <v>26</v>
      </c>
      <c r="S29" s="218"/>
      <c r="T29" s="158"/>
      <c r="U29" s="179"/>
      <c r="V29" s="179"/>
      <c r="W29" s="179"/>
      <c r="X29" s="179"/>
      <c r="Y29" s="179"/>
      <c r="Z29" s="179"/>
      <c r="AA29" s="159">
        <f ca="1">TblImps[[#This Row],[Real time]]</f>
        <v>46321.041666666606</v>
      </c>
      <c r="AB29" s="94">
        <f ca="1">TblMili[[#This Row],[Draftees]]</f>
        <v>404</v>
      </c>
      <c r="AC29" s="94">
        <f ca="1">TblProd[[#This Row],[Platinum]]</f>
        <v>148162</v>
      </c>
      <c r="AD29" s="215"/>
      <c r="AE29" s="45">
        <f ca="1">TblExplore[[#This Row],[Land]]-TblExplore[[#This Row],[Land Bonus]]*20</f>
        <v>50</v>
      </c>
      <c r="AF29" s="94">
        <f ca="1">ROUND((0.6*TblExplore[[#This Row],[Land-DB]]^1.299 + IF(TblExplore[[#This Row],[Land-DB]]&lt;1520, (-0.001*(TblExplore[[#This Row],[Land-DB]]^2)+1.91*TblExplore[[#This Row],[Land-DB]]-593), 0))*(1+ tech_2_6*Techs!AC29 + tech_2_9*Techs!AF29 + tech_3_7*Techs!AN29 + Overview!$I$33),0)</f>
        <v>-403</v>
      </c>
      <c r="AG29" s="94">
        <f ca="1">_xlfn.FLOOR.MATH(TblExplore[[#This Row],[Land-DB]]/150)+3+tech_2_9_2*TblTech[[#This Row],[2-9]]+tech_3_7_2*TblTech[[#This Row],[3-7]]</f>
        <v>3</v>
      </c>
      <c r="AH29" s="94">
        <f ca="1">SUM(TblExplore[[#This Row],[Plains Explore]:[Water Explore]])*TblExplore[[#This Row],[Plat/acre]]</f>
        <v>0</v>
      </c>
      <c r="AI29" s="94">
        <f ca="1">SUM(TblExplore[[#This Row],[Plains Explore]:[Water Explore]])*TblExplore[[#This Row],[Draftees/acre]]</f>
        <v>0</v>
      </c>
      <c r="AJ29" s="45">
        <f ca="1">_xlfn.FLOOR.MATH(MIN(TblExplore[[#This Row],[Platinum]]/TblExplore[[#This Row],[Plat/acre]],TblExplore[[#This Row],[Draftees]]/TblExplore[[#This Row],[Draftees/acre]]))</f>
        <v>-368</v>
      </c>
    </row>
    <row r="30" spans="1:36" x14ac:dyDescent="0.2">
      <c r="A30" s="175">
        <f>TblRezone[[#This Row],[Hour]]</f>
        <v>27</v>
      </c>
      <c r="B30" s="214">
        <f ca="1">TblConstr[[#This Row],[Land]]</f>
        <v>50</v>
      </c>
      <c r="C30" s="215"/>
      <c r="D30" s="216">
        <f ca="1">TblConstr[[#This Row],[Plain]]</f>
        <v>0</v>
      </c>
      <c r="E30" s="182">
        <f ca="1">TblConstr[[#This Row],[Forest]]</f>
        <v>0</v>
      </c>
      <c r="F30" s="359">
        <f ca="1">TblConstr[[#This Row],[Mountain]]</f>
        <v>0</v>
      </c>
      <c r="G30" s="363">
        <f ca="1">TblConstr[[#This Row],[Hill]]</f>
        <v>0</v>
      </c>
      <c r="H30" s="367">
        <f ca="1">TblConstr[[#This Row],[Swamp]]</f>
        <v>0</v>
      </c>
      <c r="I30" s="185">
        <f ca="1">TblConstr[[#This Row],[Cavern]]</f>
        <v>0</v>
      </c>
      <c r="J30" s="186">
        <f ca="1">TblConstr[[#This Row],[Water]]</f>
        <v>0</v>
      </c>
      <c r="K30" s="210"/>
      <c r="L30" s="210"/>
      <c r="M30" s="223"/>
      <c r="N30" s="217">
        <f ca="1">TblMili[[#This Row],[Smithies]]</f>
        <v>0</v>
      </c>
      <c r="O30" s="217">
        <f ca="1">TblPop[[#This Row],[Employment]]</f>
        <v>1</v>
      </c>
      <c r="P30" s="217">
        <f ca="1">TblImps[[#This Row],[Population]]</f>
        <v>1</v>
      </c>
      <c r="Q30" s="175">
        <f ca="1">TblExplore[[#This Row],[Land]]</f>
        <v>50</v>
      </c>
      <c r="R30" s="175">
        <f>TblExplore[[#This Row],[Hour]]</f>
        <v>27</v>
      </c>
      <c r="S30" s="218"/>
      <c r="T30" s="158"/>
      <c r="U30" s="179"/>
      <c r="V30" s="179"/>
      <c r="W30" s="179"/>
      <c r="X30" s="179"/>
      <c r="Y30" s="179"/>
      <c r="Z30" s="179"/>
      <c r="AA30" s="159">
        <f ca="1">TblImps[[#This Row],[Real time]]</f>
        <v>46321.08333333327</v>
      </c>
      <c r="AB30" s="94">
        <f ca="1">TblMili[[#This Row],[Draftees]]</f>
        <v>408</v>
      </c>
      <c r="AC30" s="94">
        <f ca="1">TblProd[[#This Row],[Platinum]]</f>
        <v>149147</v>
      </c>
      <c r="AD30" s="215"/>
      <c r="AE30" s="45">
        <f ca="1">TblExplore[[#This Row],[Land]]-TblExplore[[#This Row],[Land Bonus]]*20</f>
        <v>50</v>
      </c>
      <c r="AF30" s="94">
        <f ca="1">ROUND((0.6*TblExplore[[#This Row],[Land-DB]]^1.299 + IF(TblExplore[[#This Row],[Land-DB]]&lt;1520, (-0.001*(TblExplore[[#This Row],[Land-DB]]^2)+1.91*TblExplore[[#This Row],[Land-DB]]-593), 0))*(1+ tech_2_6*Techs!AC30 + tech_2_9*Techs!AF30 + tech_3_7*Techs!AN30 + Overview!$I$33),0)</f>
        <v>-403</v>
      </c>
      <c r="AG30" s="94">
        <f ca="1">_xlfn.FLOOR.MATH(TblExplore[[#This Row],[Land-DB]]/150)+3+tech_2_9_2*TblTech[[#This Row],[2-9]]+tech_3_7_2*TblTech[[#This Row],[3-7]]</f>
        <v>3</v>
      </c>
      <c r="AH30" s="94">
        <f ca="1">SUM(TblExplore[[#This Row],[Plains Explore]:[Water Explore]])*TblExplore[[#This Row],[Plat/acre]]</f>
        <v>0</v>
      </c>
      <c r="AI30" s="94">
        <f ca="1">SUM(TblExplore[[#This Row],[Plains Explore]:[Water Explore]])*TblExplore[[#This Row],[Draftees/acre]]</f>
        <v>0</v>
      </c>
      <c r="AJ30" s="45">
        <f ca="1">_xlfn.FLOOR.MATH(MIN(TblExplore[[#This Row],[Platinum]]/TblExplore[[#This Row],[Plat/acre]],TblExplore[[#This Row],[Draftees]]/TblExplore[[#This Row],[Draftees/acre]]))</f>
        <v>-371</v>
      </c>
    </row>
    <row r="31" spans="1:36" x14ac:dyDescent="0.2">
      <c r="A31" s="175">
        <f>TblRezone[[#This Row],[Hour]]</f>
        <v>28</v>
      </c>
      <c r="B31" s="214">
        <f ca="1">TblConstr[[#This Row],[Land]]</f>
        <v>50</v>
      </c>
      <c r="C31" s="215"/>
      <c r="D31" s="216">
        <f ca="1">TblConstr[[#This Row],[Plain]]</f>
        <v>0</v>
      </c>
      <c r="E31" s="182">
        <f ca="1">TblConstr[[#This Row],[Forest]]</f>
        <v>0</v>
      </c>
      <c r="F31" s="359">
        <f ca="1">TblConstr[[#This Row],[Mountain]]</f>
        <v>0</v>
      </c>
      <c r="G31" s="363">
        <f ca="1">TblConstr[[#This Row],[Hill]]</f>
        <v>0</v>
      </c>
      <c r="H31" s="367">
        <f ca="1">TblConstr[[#This Row],[Swamp]]</f>
        <v>0</v>
      </c>
      <c r="I31" s="185">
        <f ca="1">TblConstr[[#This Row],[Cavern]]</f>
        <v>0</v>
      </c>
      <c r="J31" s="186">
        <f ca="1">TblConstr[[#This Row],[Water]]</f>
        <v>0</v>
      </c>
      <c r="K31" s="210"/>
      <c r="L31" s="210"/>
      <c r="M31" s="223"/>
      <c r="N31" s="217">
        <f ca="1">TblMili[[#This Row],[Smithies]]</f>
        <v>0</v>
      </c>
      <c r="O31" s="217">
        <f ca="1">TblPop[[#This Row],[Employment]]</f>
        <v>1</v>
      </c>
      <c r="P31" s="217">
        <f ca="1">TblImps[[#This Row],[Population]]</f>
        <v>1</v>
      </c>
      <c r="Q31" s="175">
        <f ca="1">TblExplore[[#This Row],[Land]]</f>
        <v>50</v>
      </c>
      <c r="R31" s="175">
        <f>TblExplore[[#This Row],[Hour]]</f>
        <v>28</v>
      </c>
      <c r="S31" s="218"/>
      <c r="T31" s="158"/>
      <c r="U31" s="179"/>
      <c r="V31" s="179"/>
      <c r="W31" s="179"/>
      <c r="X31" s="179"/>
      <c r="Y31" s="179"/>
      <c r="Z31" s="179"/>
      <c r="AA31" s="159">
        <f ca="1">TblImps[[#This Row],[Real time]]</f>
        <v>46321.124999999935</v>
      </c>
      <c r="AB31" s="94">
        <f ca="1">TblMili[[#This Row],[Draftees]]</f>
        <v>412</v>
      </c>
      <c r="AC31" s="94">
        <f ca="1">TblProd[[#This Row],[Platinum]]</f>
        <v>150121</v>
      </c>
      <c r="AD31" s="215"/>
      <c r="AE31" s="45">
        <f ca="1">TblExplore[[#This Row],[Land]]-TblExplore[[#This Row],[Land Bonus]]*20</f>
        <v>50</v>
      </c>
      <c r="AF31" s="94">
        <f ca="1">ROUND((0.6*TblExplore[[#This Row],[Land-DB]]^1.299 + IF(TblExplore[[#This Row],[Land-DB]]&lt;1520, (-0.001*(TblExplore[[#This Row],[Land-DB]]^2)+1.91*TblExplore[[#This Row],[Land-DB]]-593), 0))*(1+ tech_2_6*Techs!AC31 + tech_2_9*Techs!AF31 + tech_3_7*Techs!AN31 + Overview!$I$33),0)</f>
        <v>-403</v>
      </c>
      <c r="AG31" s="94">
        <f ca="1">_xlfn.FLOOR.MATH(TblExplore[[#This Row],[Land-DB]]/150)+3+tech_2_9_2*TblTech[[#This Row],[2-9]]+tech_3_7_2*TblTech[[#This Row],[3-7]]</f>
        <v>3</v>
      </c>
      <c r="AH31" s="94">
        <f ca="1">SUM(TblExplore[[#This Row],[Plains Explore]:[Water Explore]])*TblExplore[[#This Row],[Plat/acre]]</f>
        <v>0</v>
      </c>
      <c r="AI31" s="94">
        <f ca="1">SUM(TblExplore[[#This Row],[Plains Explore]:[Water Explore]])*TblExplore[[#This Row],[Draftees/acre]]</f>
        <v>0</v>
      </c>
      <c r="AJ31" s="45">
        <f ca="1">_xlfn.FLOOR.MATH(MIN(TblExplore[[#This Row],[Platinum]]/TblExplore[[#This Row],[Plat/acre]],TblExplore[[#This Row],[Draftees]]/TblExplore[[#This Row],[Draftees/acre]]))</f>
        <v>-373</v>
      </c>
    </row>
    <row r="32" spans="1:36" x14ac:dyDescent="0.2">
      <c r="A32" s="175">
        <f>TblRezone[[#This Row],[Hour]]</f>
        <v>29</v>
      </c>
      <c r="B32" s="214">
        <f ca="1">TblConstr[[#This Row],[Land]]</f>
        <v>50</v>
      </c>
      <c r="C32" s="215"/>
      <c r="D32" s="216">
        <f ca="1">TblConstr[[#This Row],[Plain]]</f>
        <v>0</v>
      </c>
      <c r="E32" s="182">
        <f ca="1">TblConstr[[#This Row],[Forest]]</f>
        <v>0</v>
      </c>
      <c r="F32" s="359">
        <f ca="1">TblConstr[[#This Row],[Mountain]]</f>
        <v>0</v>
      </c>
      <c r="G32" s="363">
        <f ca="1">TblConstr[[#This Row],[Hill]]</f>
        <v>0</v>
      </c>
      <c r="H32" s="367">
        <f ca="1">TblConstr[[#This Row],[Swamp]]</f>
        <v>0</v>
      </c>
      <c r="I32" s="185">
        <f ca="1">TblConstr[[#This Row],[Cavern]]</f>
        <v>0</v>
      </c>
      <c r="J32" s="186">
        <f ca="1">TblConstr[[#This Row],[Water]]</f>
        <v>0</v>
      </c>
      <c r="K32" s="210"/>
      <c r="L32" s="210"/>
      <c r="M32" s="223"/>
      <c r="N32" s="217">
        <f ca="1">TblMili[[#This Row],[Smithies]]</f>
        <v>0</v>
      </c>
      <c r="O32" s="217">
        <f ca="1">TblPop[[#This Row],[Employment]]</f>
        <v>1</v>
      </c>
      <c r="P32" s="217">
        <f ca="1">TblImps[[#This Row],[Population]]</f>
        <v>1</v>
      </c>
      <c r="Q32" s="175">
        <f ca="1">TblExplore[[#This Row],[Land]]</f>
        <v>50</v>
      </c>
      <c r="R32" s="175">
        <f>TblExplore[[#This Row],[Hour]]</f>
        <v>29</v>
      </c>
      <c r="S32" s="218"/>
      <c r="T32" s="158"/>
      <c r="U32" s="179"/>
      <c r="V32" s="179"/>
      <c r="W32" s="179"/>
      <c r="X32" s="179"/>
      <c r="Y32" s="179"/>
      <c r="Z32" s="179"/>
      <c r="AA32" s="159">
        <f ca="1">TblImps[[#This Row],[Real time]]</f>
        <v>46321.166666666599</v>
      </c>
      <c r="AB32" s="94">
        <f ca="1">TblMili[[#This Row],[Draftees]]</f>
        <v>416</v>
      </c>
      <c r="AC32" s="94">
        <f ca="1">TblProd[[#This Row],[Platinum]]</f>
        <v>151084</v>
      </c>
      <c r="AD32" s="215"/>
      <c r="AE32" s="45">
        <f ca="1">TblExplore[[#This Row],[Land]]-TblExplore[[#This Row],[Land Bonus]]*20</f>
        <v>50</v>
      </c>
      <c r="AF32" s="94">
        <f ca="1">ROUND((0.6*TblExplore[[#This Row],[Land-DB]]^1.299 + IF(TblExplore[[#This Row],[Land-DB]]&lt;1520, (-0.001*(TblExplore[[#This Row],[Land-DB]]^2)+1.91*TblExplore[[#This Row],[Land-DB]]-593), 0))*(1+ tech_2_6*Techs!AC32 + tech_2_9*Techs!AF32 + tech_3_7*Techs!AN32 + Overview!$I$33),0)</f>
        <v>-403</v>
      </c>
      <c r="AG32" s="94">
        <f ca="1">_xlfn.FLOOR.MATH(TblExplore[[#This Row],[Land-DB]]/150)+3+tech_2_9_2*TblTech[[#This Row],[2-9]]+tech_3_7_2*TblTech[[#This Row],[3-7]]</f>
        <v>3</v>
      </c>
      <c r="AH32" s="94">
        <f ca="1">SUM(TblExplore[[#This Row],[Plains Explore]:[Water Explore]])*TblExplore[[#This Row],[Plat/acre]]</f>
        <v>0</v>
      </c>
      <c r="AI32" s="94">
        <f ca="1">SUM(TblExplore[[#This Row],[Plains Explore]:[Water Explore]])*TblExplore[[#This Row],[Draftees/acre]]</f>
        <v>0</v>
      </c>
      <c r="AJ32" s="45">
        <f ca="1">_xlfn.FLOOR.MATH(MIN(TblExplore[[#This Row],[Platinum]]/TblExplore[[#This Row],[Plat/acre]],TblExplore[[#This Row],[Draftees]]/TblExplore[[#This Row],[Draftees/acre]]))</f>
        <v>-375</v>
      </c>
    </row>
    <row r="33" spans="1:36" x14ac:dyDescent="0.2">
      <c r="A33" s="175">
        <f>TblRezone[[#This Row],[Hour]]</f>
        <v>30</v>
      </c>
      <c r="B33" s="214">
        <f ca="1">TblConstr[[#This Row],[Land]]</f>
        <v>50</v>
      </c>
      <c r="C33" s="215"/>
      <c r="D33" s="216">
        <f ca="1">TblConstr[[#This Row],[Plain]]</f>
        <v>0</v>
      </c>
      <c r="E33" s="182">
        <f ca="1">TblConstr[[#This Row],[Forest]]</f>
        <v>0</v>
      </c>
      <c r="F33" s="359">
        <f ca="1">TblConstr[[#This Row],[Mountain]]</f>
        <v>0</v>
      </c>
      <c r="G33" s="363">
        <f ca="1">TblConstr[[#This Row],[Hill]]</f>
        <v>0</v>
      </c>
      <c r="H33" s="367">
        <f ca="1">TblConstr[[#This Row],[Swamp]]</f>
        <v>0</v>
      </c>
      <c r="I33" s="185">
        <f ca="1">TblConstr[[#This Row],[Cavern]]</f>
        <v>0</v>
      </c>
      <c r="J33" s="186">
        <f ca="1">TblConstr[[#This Row],[Water]]</f>
        <v>0</v>
      </c>
      <c r="K33" s="210"/>
      <c r="L33" s="210"/>
      <c r="M33" s="210"/>
      <c r="N33" s="217">
        <f ca="1">TblMili[[#This Row],[Smithies]]</f>
        <v>0</v>
      </c>
      <c r="O33" s="217">
        <f ca="1">TblPop[[#This Row],[Employment]]</f>
        <v>1</v>
      </c>
      <c r="P33" s="217">
        <f ca="1">TblImps[[#This Row],[Population]]</f>
        <v>1</v>
      </c>
      <c r="Q33" s="175">
        <f ca="1">TblExplore[[#This Row],[Land]]</f>
        <v>50</v>
      </c>
      <c r="R33" s="175">
        <f>TblExplore[[#This Row],[Hour]]</f>
        <v>30</v>
      </c>
      <c r="S33" s="218"/>
      <c r="T33" s="158"/>
      <c r="U33" s="179"/>
      <c r="V33" s="179"/>
      <c r="W33" s="179"/>
      <c r="X33" s="179"/>
      <c r="Y33" s="179"/>
      <c r="Z33" s="179"/>
      <c r="AA33" s="159">
        <f ca="1">TblImps[[#This Row],[Real time]]</f>
        <v>46321.208333333263</v>
      </c>
      <c r="AB33" s="94">
        <f ca="1">TblMili[[#This Row],[Draftees]]</f>
        <v>420</v>
      </c>
      <c r="AC33" s="94">
        <f ca="1">TblProd[[#This Row],[Platinum]]</f>
        <v>152037</v>
      </c>
      <c r="AD33" s="215"/>
      <c r="AE33" s="45">
        <f ca="1">TblExplore[[#This Row],[Land]]-TblExplore[[#This Row],[Land Bonus]]*20</f>
        <v>50</v>
      </c>
      <c r="AF33" s="94">
        <f ca="1">ROUND((0.6*TblExplore[[#This Row],[Land-DB]]^1.299 + IF(TblExplore[[#This Row],[Land-DB]]&lt;1520, (-0.001*(TblExplore[[#This Row],[Land-DB]]^2)+1.91*TblExplore[[#This Row],[Land-DB]]-593), 0))*(1+ tech_2_6*Techs!AC33 + tech_2_9*Techs!AF33 + tech_3_7*Techs!AN33 + Overview!$I$33),0)</f>
        <v>-403</v>
      </c>
      <c r="AG33" s="94">
        <f ca="1">_xlfn.FLOOR.MATH(TblExplore[[#This Row],[Land-DB]]/150)+3+tech_2_9_2*TblTech[[#This Row],[2-9]]+tech_3_7_2*TblTech[[#This Row],[3-7]]</f>
        <v>3</v>
      </c>
      <c r="AH33" s="94">
        <f ca="1">SUM(TblExplore[[#This Row],[Plains Explore]:[Water Explore]])*TblExplore[[#This Row],[Plat/acre]]</f>
        <v>0</v>
      </c>
      <c r="AI33" s="94">
        <f ca="1">SUM(TblExplore[[#This Row],[Plains Explore]:[Water Explore]])*TblExplore[[#This Row],[Draftees/acre]]</f>
        <v>0</v>
      </c>
      <c r="AJ33" s="45">
        <f ca="1">_xlfn.FLOOR.MATH(MIN(TblExplore[[#This Row],[Platinum]]/TblExplore[[#This Row],[Plat/acre]],TblExplore[[#This Row],[Draftees]]/TblExplore[[#This Row],[Draftees/acre]]))</f>
        <v>-378</v>
      </c>
    </row>
    <row r="34" spans="1:36" x14ac:dyDescent="0.2">
      <c r="A34" s="175">
        <f>TblRezone[[#This Row],[Hour]]</f>
        <v>31</v>
      </c>
      <c r="B34" s="214">
        <f ca="1">TblConstr[[#This Row],[Land]]</f>
        <v>50</v>
      </c>
      <c r="C34" s="215"/>
      <c r="D34" s="216">
        <f ca="1">TblConstr[[#This Row],[Plain]]</f>
        <v>0</v>
      </c>
      <c r="E34" s="182">
        <f ca="1">TblConstr[[#This Row],[Forest]]</f>
        <v>0</v>
      </c>
      <c r="F34" s="359">
        <f ca="1">TblConstr[[#This Row],[Mountain]]</f>
        <v>0</v>
      </c>
      <c r="G34" s="363">
        <f ca="1">TblConstr[[#This Row],[Hill]]</f>
        <v>0</v>
      </c>
      <c r="H34" s="367">
        <f ca="1">TblConstr[[#This Row],[Swamp]]</f>
        <v>0</v>
      </c>
      <c r="I34" s="185">
        <f ca="1">TblConstr[[#This Row],[Cavern]]</f>
        <v>0</v>
      </c>
      <c r="J34" s="186">
        <f ca="1">TblConstr[[#This Row],[Water]]</f>
        <v>0</v>
      </c>
      <c r="K34" s="210"/>
      <c r="L34" s="210"/>
      <c r="M34" s="227"/>
      <c r="N34" s="217">
        <f ca="1">TblMili[[#This Row],[Smithies]]</f>
        <v>0</v>
      </c>
      <c r="O34" s="217">
        <f ca="1">TblPop[[#This Row],[Employment]]</f>
        <v>1</v>
      </c>
      <c r="P34" s="217">
        <f ca="1">TblImps[[#This Row],[Population]]</f>
        <v>1</v>
      </c>
      <c r="Q34" s="175">
        <f ca="1">TblExplore[[#This Row],[Land]]</f>
        <v>50</v>
      </c>
      <c r="R34" s="175">
        <f>TblExplore[[#This Row],[Hour]]</f>
        <v>31</v>
      </c>
      <c r="S34" s="218"/>
      <c r="T34" s="179"/>
      <c r="U34" s="179"/>
      <c r="V34" s="179"/>
      <c r="W34" s="179"/>
      <c r="X34" s="179"/>
      <c r="Y34" s="179"/>
      <c r="Z34" s="179"/>
      <c r="AA34" s="159">
        <f ca="1">TblImps[[#This Row],[Real time]]</f>
        <v>46321.249999999927</v>
      </c>
      <c r="AB34" s="94">
        <f ca="1">TblMili[[#This Row],[Draftees]]</f>
        <v>423</v>
      </c>
      <c r="AC34" s="94">
        <f ca="1">TblProd[[#This Row],[Platinum]]</f>
        <v>152979</v>
      </c>
      <c r="AD34" s="215"/>
      <c r="AE34" s="45">
        <f ca="1">TblExplore[[#This Row],[Land]]-TblExplore[[#This Row],[Land Bonus]]*20</f>
        <v>50</v>
      </c>
      <c r="AF34" s="94">
        <f ca="1">ROUND((0.6*TblExplore[[#This Row],[Land-DB]]^1.299 + IF(TblExplore[[#This Row],[Land-DB]]&lt;1520, (-0.001*(TblExplore[[#This Row],[Land-DB]]^2)+1.91*TblExplore[[#This Row],[Land-DB]]-593), 0))*(1+ tech_2_6*Techs!AC34 + tech_2_9*Techs!AF34 + tech_3_7*Techs!AN34 + Overview!$I$33),0)</f>
        <v>-403</v>
      </c>
      <c r="AG34" s="94">
        <f ca="1">_xlfn.FLOOR.MATH(TblExplore[[#This Row],[Land-DB]]/150)+3+tech_2_9_2*TblTech[[#This Row],[2-9]]+tech_3_7_2*TblTech[[#This Row],[3-7]]</f>
        <v>3</v>
      </c>
      <c r="AH34" s="94">
        <f ca="1">SUM(TblExplore[[#This Row],[Plains Explore]:[Water Explore]])*TblExplore[[#This Row],[Plat/acre]]</f>
        <v>0</v>
      </c>
      <c r="AI34" s="94">
        <f ca="1">SUM(TblExplore[[#This Row],[Plains Explore]:[Water Explore]])*TblExplore[[#This Row],[Draftees/acre]]</f>
        <v>0</v>
      </c>
      <c r="AJ34" s="45">
        <f ca="1">_xlfn.FLOOR.MATH(MIN(TblExplore[[#This Row],[Platinum]]/TblExplore[[#This Row],[Plat/acre]],TblExplore[[#This Row],[Draftees]]/TblExplore[[#This Row],[Draftees/acre]]))</f>
        <v>-380</v>
      </c>
    </row>
    <row r="35" spans="1:36" x14ac:dyDescent="0.2">
      <c r="A35" s="175">
        <f>TblRezone[[#This Row],[Hour]]</f>
        <v>32</v>
      </c>
      <c r="B35" s="214">
        <f ca="1">TblConstr[[#This Row],[Land]]</f>
        <v>50</v>
      </c>
      <c r="C35" s="215"/>
      <c r="D35" s="216">
        <f ca="1">TblConstr[[#This Row],[Plain]]</f>
        <v>0</v>
      </c>
      <c r="E35" s="182">
        <f ca="1">TblConstr[[#This Row],[Forest]]</f>
        <v>0</v>
      </c>
      <c r="F35" s="359">
        <f ca="1">TblConstr[[#This Row],[Mountain]]</f>
        <v>0</v>
      </c>
      <c r="G35" s="363">
        <f ca="1">TblConstr[[#This Row],[Hill]]</f>
        <v>0</v>
      </c>
      <c r="H35" s="367">
        <f ca="1">TblConstr[[#This Row],[Swamp]]</f>
        <v>0</v>
      </c>
      <c r="I35" s="185">
        <f ca="1">TblConstr[[#This Row],[Cavern]]</f>
        <v>0</v>
      </c>
      <c r="J35" s="186">
        <f ca="1">TblConstr[[#This Row],[Water]]</f>
        <v>0</v>
      </c>
      <c r="K35" s="210"/>
      <c r="L35" s="210"/>
      <c r="M35" s="227"/>
      <c r="N35" s="217">
        <f ca="1">TblMili[[#This Row],[Smithies]]</f>
        <v>0</v>
      </c>
      <c r="O35" s="217">
        <f ca="1">TblPop[[#This Row],[Employment]]</f>
        <v>1</v>
      </c>
      <c r="P35" s="217">
        <f ca="1">TblImps[[#This Row],[Population]]</f>
        <v>1</v>
      </c>
      <c r="Q35" s="175">
        <f ca="1">TblExplore[[#This Row],[Land]]</f>
        <v>50</v>
      </c>
      <c r="R35" s="175">
        <f>TblExplore[[#This Row],[Hour]]</f>
        <v>32</v>
      </c>
      <c r="S35" s="218"/>
      <c r="T35" s="179"/>
      <c r="U35" s="179"/>
      <c r="V35" s="179"/>
      <c r="W35" s="179"/>
      <c r="X35" s="179"/>
      <c r="Y35" s="179"/>
      <c r="Z35" s="179"/>
      <c r="AA35" s="159">
        <f ca="1">TblImps[[#This Row],[Real time]]</f>
        <v>46321.291666666591</v>
      </c>
      <c r="AB35" s="94">
        <f ca="1">TblMili[[#This Row],[Draftees]]</f>
        <v>426</v>
      </c>
      <c r="AC35" s="94">
        <f ca="1">TblProd[[#This Row],[Platinum]]</f>
        <v>153913</v>
      </c>
      <c r="AD35" s="215"/>
      <c r="AE35" s="45">
        <f ca="1">TblExplore[[#This Row],[Land]]-TblExplore[[#This Row],[Land Bonus]]*20</f>
        <v>50</v>
      </c>
      <c r="AF35" s="94">
        <f ca="1">ROUND((0.6*TblExplore[[#This Row],[Land-DB]]^1.299 + IF(TblExplore[[#This Row],[Land-DB]]&lt;1520, (-0.001*(TblExplore[[#This Row],[Land-DB]]^2)+1.91*TblExplore[[#This Row],[Land-DB]]-593), 0))*(1+ tech_2_6*Techs!AC35 + tech_2_9*Techs!AF35 + tech_3_7*Techs!AN35 + Overview!$I$33),0)</f>
        <v>-403</v>
      </c>
      <c r="AG35" s="94">
        <f ca="1">_xlfn.FLOOR.MATH(TblExplore[[#This Row],[Land-DB]]/150)+3+tech_2_9_2*TblTech[[#This Row],[2-9]]+tech_3_7_2*TblTech[[#This Row],[3-7]]</f>
        <v>3</v>
      </c>
      <c r="AH35" s="94">
        <f ca="1">SUM(TblExplore[[#This Row],[Plains Explore]:[Water Explore]])*TblExplore[[#This Row],[Plat/acre]]</f>
        <v>0</v>
      </c>
      <c r="AI35" s="94">
        <f ca="1">SUM(TblExplore[[#This Row],[Plains Explore]:[Water Explore]])*TblExplore[[#This Row],[Draftees/acre]]</f>
        <v>0</v>
      </c>
      <c r="AJ35" s="45">
        <f ca="1">_xlfn.FLOOR.MATH(MIN(TblExplore[[#This Row],[Platinum]]/TblExplore[[#This Row],[Plat/acre]],TblExplore[[#This Row],[Draftees]]/TblExplore[[#This Row],[Draftees/acre]]))</f>
        <v>-382</v>
      </c>
    </row>
    <row r="36" spans="1:36" x14ac:dyDescent="0.2">
      <c r="A36" s="175">
        <f>TblRezone[[#This Row],[Hour]]</f>
        <v>33</v>
      </c>
      <c r="B36" s="214">
        <f ca="1">TblConstr[[#This Row],[Land]]</f>
        <v>50</v>
      </c>
      <c r="C36" s="215"/>
      <c r="D36" s="216">
        <f ca="1">TblConstr[[#This Row],[Plain]]</f>
        <v>0</v>
      </c>
      <c r="E36" s="182">
        <f ca="1">TblConstr[[#This Row],[Forest]]</f>
        <v>0</v>
      </c>
      <c r="F36" s="359">
        <f ca="1">TblConstr[[#This Row],[Mountain]]</f>
        <v>0</v>
      </c>
      <c r="G36" s="363">
        <f ca="1">TblConstr[[#This Row],[Hill]]</f>
        <v>0</v>
      </c>
      <c r="H36" s="367">
        <f ca="1">TblConstr[[#This Row],[Swamp]]</f>
        <v>0</v>
      </c>
      <c r="I36" s="185">
        <f ca="1">TblConstr[[#This Row],[Cavern]]</f>
        <v>0</v>
      </c>
      <c r="J36" s="186">
        <f ca="1">TblConstr[[#This Row],[Water]]</f>
        <v>0</v>
      </c>
      <c r="K36" s="210"/>
      <c r="L36" s="210"/>
      <c r="M36" s="210"/>
      <c r="N36" s="217">
        <f ca="1">TblMili[[#This Row],[Smithies]]</f>
        <v>0</v>
      </c>
      <c r="O36" s="217">
        <f ca="1">TblPop[[#This Row],[Employment]]</f>
        <v>1</v>
      </c>
      <c r="P36" s="217">
        <f ca="1">TblImps[[#This Row],[Population]]</f>
        <v>1</v>
      </c>
      <c r="Q36" s="175">
        <f ca="1">TblExplore[[#This Row],[Land]]</f>
        <v>50</v>
      </c>
      <c r="R36" s="175">
        <f>TblExplore[[#This Row],[Hour]]</f>
        <v>33</v>
      </c>
      <c r="S36" s="218"/>
      <c r="T36" s="179"/>
      <c r="U36" s="179"/>
      <c r="V36" s="179"/>
      <c r="W36" s="179"/>
      <c r="X36" s="179"/>
      <c r="Y36" s="179"/>
      <c r="Z36" s="179"/>
      <c r="AA36" s="159">
        <f ca="1">TblImps[[#This Row],[Real time]]</f>
        <v>46321.333333333256</v>
      </c>
      <c r="AB36" s="94">
        <f ca="1">TblMili[[#This Row],[Draftees]]</f>
        <v>429</v>
      </c>
      <c r="AC36" s="94">
        <f ca="1">TblProd[[#This Row],[Platinum]]</f>
        <v>154839</v>
      </c>
      <c r="AD36" s="215"/>
      <c r="AE36" s="45">
        <f ca="1">TblExplore[[#This Row],[Land]]-TblExplore[[#This Row],[Land Bonus]]*20</f>
        <v>50</v>
      </c>
      <c r="AF36" s="94">
        <f ca="1">ROUND((0.6*TblExplore[[#This Row],[Land-DB]]^1.299 + IF(TblExplore[[#This Row],[Land-DB]]&lt;1520, (-0.001*(TblExplore[[#This Row],[Land-DB]]^2)+1.91*TblExplore[[#This Row],[Land-DB]]-593), 0))*(1+ tech_2_6*Techs!AC36 + tech_2_9*Techs!AF36 + tech_3_7*Techs!AN36 + Overview!$I$33),0)</f>
        <v>-403</v>
      </c>
      <c r="AG36" s="94">
        <f ca="1">_xlfn.FLOOR.MATH(TblExplore[[#This Row],[Land-DB]]/150)+3+tech_2_9_2*TblTech[[#This Row],[2-9]]+tech_3_7_2*TblTech[[#This Row],[3-7]]</f>
        <v>3</v>
      </c>
      <c r="AH36" s="94">
        <f ca="1">SUM(TblExplore[[#This Row],[Plains Explore]:[Water Explore]])*TblExplore[[#This Row],[Plat/acre]]</f>
        <v>0</v>
      </c>
      <c r="AI36" s="94">
        <f ca="1">SUM(TblExplore[[#This Row],[Plains Explore]:[Water Explore]])*TblExplore[[#This Row],[Draftees/acre]]</f>
        <v>0</v>
      </c>
      <c r="AJ36" s="45">
        <f ca="1">_xlfn.FLOOR.MATH(MIN(TblExplore[[#This Row],[Platinum]]/TblExplore[[#This Row],[Plat/acre]],TblExplore[[#This Row],[Draftees]]/TblExplore[[#This Row],[Draftees/acre]]))</f>
        <v>-385</v>
      </c>
    </row>
    <row r="37" spans="1:36" x14ac:dyDescent="0.2">
      <c r="A37" s="175">
        <f>TblRezone[[#This Row],[Hour]]</f>
        <v>34</v>
      </c>
      <c r="B37" s="214">
        <f ca="1">TblConstr[[#This Row],[Land]]</f>
        <v>50</v>
      </c>
      <c r="C37" s="215"/>
      <c r="D37" s="216">
        <f ca="1">TblConstr[[#This Row],[Plain]]</f>
        <v>0</v>
      </c>
      <c r="E37" s="182">
        <f ca="1">TblConstr[[#This Row],[Forest]]</f>
        <v>0</v>
      </c>
      <c r="F37" s="359">
        <f ca="1">TblConstr[[#This Row],[Mountain]]</f>
        <v>0</v>
      </c>
      <c r="G37" s="363">
        <f ca="1">TblConstr[[#This Row],[Hill]]</f>
        <v>0</v>
      </c>
      <c r="H37" s="367">
        <f ca="1">TblConstr[[#This Row],[Swamp]]</f>
        <v>0</v>
      </c>
      <c r="I37" s="185">
        <f ca="1">TblConstr[[#This Row],[Cavern]]</f>
        <v>0</v>
      </c>
      <c r="J37" s="186">
        <f ca="1">TblConstr[[#This Row],[Water]]</f>
        <v>0</v>
      </c>
      <c r="K37" s="210"/>
      <c r="L37" s="210"/>
      <c r="M37" s="210"/>
      <c r="N37" s="217">
        <f ca="1">TblMili[[#This Row],[Smithies]]</f>
        <v>0</v>
      </c>
      <c r="O37" s="217">
        <f ca="1">TblPop[[#This Row],[Employment]]</f>
        <v>1</v>
      </c>
      <c r="P37" s="217">
        <f ca="1">TblImps[[#This Row],[Population]]</f>
        <v>1</v>
      </c>
      <c r="Q37" s="175">
        <f ca="1">TblExplore[[#This Row],[Land]]</f>
        <v>50</v>
      </c>
      <c r="R37" s="175">
        <f>TblExplore[[#This Row],[Hour]]</f>
        <v>34</v>
      </c>
      <c r="S37" s="218"/>
      <c r="T37" s="179"/>
      <c r="U37" s="179"/>
      <c r="V37" s="179"/>
      <c r="W37" s="179"/>
      <c r="X37" s="179"/>
      <c r="Y37" s="179"/>
      <c r="Z37" s="179"/>
      <c r="AA37" s="159">
        <f ca="1">TblImps[[#This Row],[Real time]]</f>
        <v>46321.37499999992</v>
      </c>
      <c r="AB37" s="94">
        <f ca="1">TblMili[[#This Row],[Draftees]]</f>
        <v>432</v>
      </c>
      <c r="AC37" s="94">
        <f ca="1">TblProd[[#This Row],[Platinum]]</f>
        <v>155757</v>
      </c>
      <c r="AD37" s="215"/>
      <c r="AE37" s="45">
        <f ca="1">TblExplore[[#This Row],[Land]]-TblExplore[[#This Row],[Land Bonus]]*20</f>
        <v>50</v>
      </c>
      <c r="AF37" s="94">
        <f ca="1">ROUND((0.6*TblExplore[[#This Row],[Land-DB]]^1.299 + IF(TblExplore[[#This Row],[Land-DB]]&lt;1520, (-0.001*(TblExplore[[#This Row],[Land-DB]]^2)+1.91*TblExplore[[#This Row],[Land-DB]]-593), 0))*(1+ tech_2_6*Techs!AC37 + tech_2_9*Techs!AF37 + tech_3_7*Techs!AN37 + Overview!$I$33),0)</f>
        <v>-403</v>
      </c>
      <c r="AG37" s="94">
        <f ca="1">_xlfn.FLOOR.MATH(TblExplore[[#This Row],[Land-DB]]/150)+3+tech_2_9_2*TblTech[[#This Row],[2-9]]+tech_3_7_2*TblTech[[#This Row],[3-7]]</f>
        <v>3</v>
      </c>
      <c r="AH37" s="94">
        <f ca="1">SUM(TblExplore[[#This Row],[Plains Explore]:[Water Explore]])*TblExplore[[#This Row],[Plat/acre]]</f>
        <v>0</v>
      </c>
      <c r="AI37" s="94">
        <f ca="1">SUM(TblExplore[[#This Row],[Plains Explore]:[Water Explore]])*TblExplore[[#This Row],[Draftees/acre]]</f>
        <v>0</v>
      </c>
      <c r="AJ37" s="45">
        <f ca="1">_xlfn.FLOOR.MATH(MIN(TblExplore[[#This Row],[Platinum]]/TblExplore[[#This Row],[Plat/acre]],TblExplore[[#This Row],[Draftees]]/TblExplore[[#This Row],[Draftees/acre]]))</f>
        <v>-387</v>
      </c>
    </row>
    <row r="38" spans="1:36" x14ac:dyDescent="0.2">
      <c r="A38" s="175">
        <f>TblRezone[[#This Row],[Hour]]</f>
        <v>35</v>
      </c>
      <c r="B38" s="214">
        <f ca="1">TblConstr[[#This Row],[Land]]</f>
        <v>50</v>
      </c>
      <c r="C38" s="215"/>
      <c r="D38" s="216">
        <f ca="1">TblConstr[[#This Row],[Plain]]</f>
        <v>0</v>
      </c>
      <c r="E38" s="182">
        <f ca="1">TblConstr[[#This Row],[Forest]]</f>
        <v>0</v>
      </c>
      <c r="F38" s="359">
        <f ca="1">TblConstr[[#This Row],[Mountain]]</f>
        <v>0</v>
      </c>
      <c r="G38" s="363">
        <f ca="1">TblConstr[[#This Row],[Hill]]</f>
        <v>0</v>
      </c>
      <c r="H38" s="367">
        <f ca="1">TblConstr[[#This Row],[Swamp]]</f>
        <v>0</v>
      </c>
      <c r="I38" s="185">
        <f ca="1">TblConstr[[#This Row],[Cavern]]</f>
        <v>0</v>
      </c>
      <c r="J38" s="186">
        <f ca="1">TblConstr[[#This Row],[Water]]</f>
        <v>0</v>
      </c>
      <c r="K38" s="210"/>
      <c r="L38" s="210"/>
      <c r="M38" s="210"/>
      <c r="N38" s="217">
        <f ca="1">TblMili[[#This Row],[Smithies]]</f>
        <v>0</v>
      </c>
      <c r="O38" s="217">
        <f ca="1">TblPop[[#This Row],[Employment]]</f>
        <v>1</v>
      </c>
      <c r="P38" s="217">
        <f ca="1">TblImps[[#This Row],[Population]]</f>
        <v>1</v>
      </c>
      <c r="Q38" s="175">
        <f ca="1">TblExplore[[#This Row],[Land]]</f>
        <v>50</v>
      </c>
      <c r="R38" s="175">
        <f>TblExplore[[#This Row],[Hour]]</f>
        <v>35</v>
      </c>
      <c r="S38" s="218"/>
      <c r="T38" s="158"/>
      <c r="U38" s="179"/>
      <c r="V38" s="179"/>
      <c r="W38" s="179"/>
      <c r="X38" s="179"/>
      <c r="Y38" s="179"/>
      <c r="Z38" s="179"/>
      <c r="AA38" s="159">
        <f ca="1">TblImps[[#This Row],[Real time]]</f>
        <v>46321.416666666584</v>
      </c>
      <c r="AB38" s="94">
        <f ca="1">TblMili[[#This Row],[Draftees]]</f>
        <v>435</v>
      </c>
      <c r="AC38" s="94">
        <f ca="1">TblProd[[#This Row],[Platinum]]</f>
        <v>156666</v>
      </c>
      <c r="AD38" s="215"/>
      <c r="AE38" s="45">
        <f ca="1">TblExplore[[#This Row],[Land]]-TblExplore[[#This Row],[Land Bonus]]*20</f>
        <v>50</v>
      </c>
      <c r="AF38" s="94">
        <f ca="1">ROUND((0.6*TblExplore[[#This Row],[Land-DB]]^1.299 + IF(TblExplore[[#This Row],[Land-DB]]&lt;1520, (-0.001*(TblExplore[[#This Row],[Land-DB]]^2)+1.91*TblExplore[[#This Row],[Land-DB]]-593), 0))*(1+ tech_2_6*Techs!AC38 + tech_2_9*Techs!AF38 + tech_3_7*Techs!AN38 + Overview!$I$33),0)</f>
        <v>-403</v>
      </c>
      <c r="AG38" s="94">
        <f ca="1">_xlfn.FLOOR.MATH(TblExplore[[#This Row],[Land-DB]]/150)+3+tech_2_9_2*TblTech[[#This Row],[2-9]]+tech_3_7_2*TblTech[[#This Row],[3-7]]</f>
        <v>3</v>
      </c>
      <c r="AH38" s="94">
        <f ca="1">SUM(TblExplore[[#This Row],[Plains Explore]:[Water Explore]])*TblExplore[[#This Row],[Plat/acre]]</f>
        <v>0</v>
      </c>
      <c r="AI38" s="94">
        <f ca="1">SUM(TblExplore[[#This Row],[Plains Explore]:[Water Explore]])*TblExplore[[#This Row],[Draftees/acre]]</f>
        <v>0</v>
      </c>
      <c r="AJ38" s="45">
        <f ca="1">_xlfn.FLOOR.MATH(MIN(TblExplore[[#This Row],[Platinum]]/TblExplore[[#This Row],[Plat/acre]],TblExplore[[#This Row],[Draftees]]/TblExplore[[#This Row],[Draftees/acre]]))</f>
        <v>-389</v>
      </c>
    </row>
    <row r="39" spans="1:36" x14ac:dyDescent="0.2">
      <c r="A39" s="175">
        <f>TblRezone[[#This Row],[Hour]]</f>
        <v>36</v>
      </c>
      <c r="B39" s="214">
        <f ca="1">TblConstr[[#This Row],[Land]]</f>
        <v>50</v>
      </c>
      <c r="C39" s="215"/>
      <c r="D39" s="216">
        <f ca="1">TblConstr[[#This Row],[Plain]]</f>
        <v>0</v>
      </c>
      <c r="E39" s="182">
        <f ca="1">TblConstr[[#This Row],[Forest]]</f>
        <v>0</v>
      </c>
      <c r="F39" s="359">
        <f ca="1">TblConstr[[#This Row],[Mountain]]</f>
        <v>0</v>
      </c>
      <c r="G39" s="363">
        <f ca="1">TblConstr[[#This Row],[Hill]]</f>
        <v>0</v>
      </c>
      <c r="H39" s="367">
        <f ca="1">TblConstr[[#This Row],[Swamp]]</f>
        <v>0</v>
      </c>
      <c r="I39" s="185">
        <f ca="1">TblConstr[[#This Row],[Cavern]]</f>
        <v>0</v>
      </c>
      <c r="J39" s="186">
        <f ca="1">TblConstr[[#This Row],[Water]]</f>
        <v>0</v>
      </c>
      <c r="K39" s="210"/>
      <c r="L39" s="210"/>
      <c r="M39" s="210"/>
      <c r="N39" s="217">
        <f ca="1">TblMili[[#This Row],[Smithies]]</f>
        <v>0</v>
      </c>
      <c r="O39" s="217">
        <f ca="1">TblPop[[#This Row],[Employment]]</f>
        <v>1</v>
      </c>
      <c r="P39" s="217">
        <f ca="1">TblImps[[#This Row],[Population]]</f>
        <v>1</v>
      </c>
      <c r="Q39" s="175">
        <f ca="1">TblExplore[[#This Row],[Land]]</f>
        <v>50</v>
      </c>
      <c r="R39" s="175">
        <f>TblExplore[[#This Row],[Hour]]</f>
        <v>36</v>
      </c>
      <c r="S39" s="218"/>
      <c r="T39" s="179"/>
      <c r="U39" s="179"/>
      <c r="V39" s="179"/>
      <c r="W39" s="179"/>
      <c r="X39" s="179"/>
      <c r="Y39" s="179"/>
      <c r="Z39" s="179"/>
      <c r="AA39" s="159">
        <f ca="1">TblImps[[#This Row],[Real time]]</f>
        <v>46321.458333333248</v>
      </c>
      <c r="AB39" s="94">
        <f ca="1">TblMili[[#This Row],[Draftees]]</f>
        <v>438</v>
      </c>
      <c r="AC39" s="94">
        <f ca="1">TblProd[[#This Row],[Platinum]]</f>
        <v>157567</v>
      </c>
      <c r="AD39" s="215"/>
      <c r="AE39" s="45">
        <f ca="1">TblExplore[[#This Row],[Land]]-TblExplore[[#This Row],[Land Bonus]]*20</f>
        <v>50</v>
      </c>
      <c r="AF39" s="94">
        <f ca="1">ROUND((0.6*TblExplore[[#This Row],[Land-DB]]^1.299 + IF(TblExplore[[#This Row],[Land-DB]]&lt;1520, (-0.001*(TblExplore[[#This Row],[Land-DB]]^2)+1.91*TblExplore[[#This Row],[Land-DB]]-593), 0))*(1+ tech_2_6*Techs!AC39 + tech_2_9*Techs!AF39 + tech_3_7*Techs!AN39 + Overview!$I$33),0)</f>
        <v>-403</v>
      </c>
      <c r="AG39" s="94">
        <f ca="1">_xlfn.FLOOR.MATH(TblExplore[[#This Row],[Land-DB]]/150)+3+tech_2_9_2*TblTech[[#This Row],[2-9]]+tech_3_7_2*TblTech[[#This Row],[3-7]]</f>
        <v>3</v>
      </c>
      <c r="AH39" s="94">
        <f ca="1">SUM(TblExplore[[#This Row],[Plains Explore]:[Water Explore]])*TblExplore[[#This Row],[Plat/acre]]</f>
        <v>0</v>
      </c>
      <c r="AI39" s="94">
        <f ca="1">SUM(TblExplore[[#This Row],[Plains Explore]:[Water Explore]])*TblExplore[[#This Row],[Draftees/acre]]</f>
        <v>0</v>
      </c>
      <c r="AJ39" s="45">
        <f ca="1">_xlfn.FLOOR.MATH(MIN(TblExplore[[#This Row],[Platinum]]/TblExplore[[#This Row],[Plat/acre]],TblExplore[[#This Row],[Draftees]]/TblExplore[[#This Row],[Draftees/acre]]))</f>
        <v>-391</v>
      </c>
    </row>
    <row r="40" spans="1:36" ht="12.75" customHeight="1" x14ac:dyDescent="0.2">
      <c r="A40" s="175">
        <f>TblRezone[[#This Row],[Hour]]</f>
        <v>37</v>
      </c>
      <c r="B40" s="214">
        <f ca="1">TblConstr[[#This Row],[Land]]</f>
        <v>50</v>
      </c>
      <c r="C40" s="215"/>
      <c r="D40" s="216">
        <f ca="1">TblConstr[[#This Row],[Plain]]</f>
        <v>0</v>
      </c>
      <c r="E40" s="182">
        <f ca="1">TblConstr[[#This Row],[Forest]]</f>
        <v>0</v>
      </c>
      <c r="F40" s="359">
        <f ca="1">TblConstr[[#This Row],[Mountain]]</f>
        <v>0</v>
      </c>
      <c r="G40" s="363">
        <f ca="1">TblConstr[[#This Row],[Hill]]</f>
        <v>0</v>
      </c>
      <c r="H40" s="367">
        <f ca="1">TblConstr[[#This Row],[Swamp]]</f>
        <v>0</v>
      </c>
      <c r="I40" s="185">
        <f ca="1">TblConstr[[#This Row],[Cavern]]</f>
        <v>0</v>
      </c>
      <c r="J40" s="186">
        <f ca="1">TblConstr[[#This Row],[Water]]</f>
        <v>0</v>
      </c>
      <c r="K40" s="210"/>
      <c r="L40" s="210"/>
      <c r="M40" s="210"/>
      <c r="N40" s="217">
        <f ca="1">TblMili[[#This Row],[Smithies]]</f>
        <v>0</v>
      </c>
      <c r="O40" s="217">
        <f ca="1">TblPop[[#This Row],[Employment]]</f>
        <v>1</v>
      </c>
      <c r="P40" s="217">
        <f ca="1">TblImps[[#This Row],[Population]]</f>
        <v>1</v>
      </c>
      <c r="Q40" s="175">
        <f ca="1">TblExplore[[#This Row],[Land]]</f>
        <v>50</v>
      </c>
      <c r="R40" s="175">
        <f>TblExplore[[#This Row],[Hour]]</f>
        <v>37</v>
      </c>
      <c r="S40" s="218"/>
      <c r="T40" s="179"/>
      <c r="U40" s="179"/>
      <c r="V40" s="179"/>
      <c r="W40" s="179"/>
      <c r="X40" s="179"/>
      <c r="Y40" s="179"/>
      <c r="Z40" s="179"/>
      <c r="AA40" s="159">
        <f ca="1">TblImps[[#This Row],[Real time]]</f>
        <v>46321.499999999913</v>
      </c>
      <c r="AB40" s="94">
        <f ca="1">TblMili[[#This Row],[Draftees]]</f>
        <v>441</v>
      </c>
      <c r="AC40" s="94">
        <f ca="1">TblProd[[#This Row],[Platinum]]</f>
        <v>158460</v>
      </c>
      <c r="AD40" s="215"/>
      <c r="AE40" s="45">
        <f ca="1">TblExplore[[#This Row],[Land]]-TblExplore[[#This Row],[Land Bonus]]*20</f>
        <v>50</v>
      </c>
      <c r="AF40" s="94">
        <f ca="1">ROUND((0.6*TblExplore[[#This Row],[Land-DB]]^1.299 + IF(TblExplore[[#This Row],[Land-DB]]&lt;1520, (-0.001*(TblExplore[[#This Row],[Land-DB]]^2)+1.91*TblExplore[[#This Row],[Land-DB]]-593), 0))*(1+ tech_2_6*Techs!AC40 + tech_2_9*Techs!AF40 + tech_3_7*Techs!AN40 + Overview!$I$33),0)</f>
        <v>-403</v>
      </c>
      <c r="AG40" s="94">
        <f ca="1">_xlfn.FLOOR.MATH(TblExplore[[#This Row],[Land-DB]]/150)+3+tech_2_9_2*TblTech[[#This Row],[2-9]]+tech_3_7_2*TblTech[[#This Row],[3-7]]</f>
        <v>3</v>
      </c>
      <c r="AH40" s="94">
        <f ca="1">SUM(TblExplore[[#This Row],[Plains Explore]:[Water Explore]])*TblExplore[[#This Row],[Plat/acre]]</f>
        <v>0</v>
      </c>
      <c r="AI40" s="94">
        <f ca="1">SUM(TblExplore[[#This Row],[Plains Explore]:[Water Explore]])*TblExplore[[#This Row],[Draftees/acre]]</f>
        <v>0</v>
      </c>
      <c r="AJ40" s="45">
        <f ca="1">_xlfn.FLOOR.MATH(MIN(TblExplore[[#This Row],[Platinum]]/TblExplore[[#This Row],[Plat/acre]],TblExplore[[#This Row],[Draftees]]/TblExplore[[#This Row],[Draftees/acre]]))</f>
        <v>-394</v>
      </c>
    </row>
    <row r="41" spans="1:36" x14ac:dyDescent="0.2">
      <c r="A41" s="175">
        <f>TblRezone[[#This Row],[Hour]]</f>
        <v>38</v>
      </c>
      <c r="B41" s="214">
        <f ca="1">TblConstr[[#This Row],[Land]]</f>
        <v>50</v>
      </c>
      <c r="C41" s="215"/>
      <c r="D41" s="216">
        <f ca="1">TblConstr[[#This Row],[Plain]]</f>
        <v>0</v>
      </c>
      <c r="E41" s="182">
        <f ca="1">TblConstr[[#This Row],[Forest]]</f>
        <v>0</v>
      </c>
      <c r="F41" s="359">
        <f ca="1">TblConstr[[#This Row],[Mountain]]</f>
        <v>0</v>
      </c>
      <c r="G41" s="363">
        <f ca="1">TblConstr[[#This Row],[Hill]]</f>
        <v>0</v>
      </c>
      <c r="H41" s="367">
        <f ca="1">TblConstr[[#This Row],[Swamp]]</f>
        <v>0</v>
      </c>
      <c r="I41" s="185">
        <f ca="1">TblConstr[[#This Row],[Cavern]]</f>
        <v>0</v>
      </c>
      <c r="J41" s="186">
        <f ca="1">TblConstr[[#This Row],[Water]]</f>
        <v>0</v>
      </c>
      <c r="K41" s="210"/>
      <c r="L41" s="210"/>
      <c r="M41" s="210"/>
      <c r="N41" s="217">
        <f ca="1">TblMili[[#This Row],[Smithies]]</f>
        <v>0</v>
      </c>
      <c r="O41" s="217">
        <f ca="1">TblPop[[#This Row],[Employment]]</f>
        <v>1</v>
      </c>
      <c r="P41" s="217">
        <f ca="1">TblImps[[#This Row],[Population]]</f>
        <v>1</v>
      </c>
      <c r="Q41" s="175">
        <f ca="1">TblExplore[[#This Row],[Land]]</f>
        <v>50</v>
      </c>
      <c r="R41" s="175">
        <f>TblExplore[[#This Row],[Hour]]</f>
        <v>38</v>
      </c>
      <c r="S41" s="218"/>
      <c r="T41" s="179"/>
      <c r="U41" s="179"/>
      <c r="V41" s="179"/>
      <c r="W41" s="179"/>
      <c r="X41" s="179"/>
      <c r="Y41" s="179"/>
      <c r="Z41" s="179"/>
      <c r="AA41" s="159">
        <f ca="1">TblImps[[#This Row],[Real time]]</f>
        <v>46321.541666666577</v>
      </c>
      <c r="AB41" s="94">
        <f ca="1">TblMili[[#This Row],[Draftees]]</f>
        <v>444</v>
      </c>
      <c r="AC41" s="94">
        <f ca="1">TblProd[[#This Row],[Platinum]]</f>
        <v>159345</v>
      </c>
      <c r="AD41" s="215"/>
      <c r="AE41" s="45">
        <f ca="1">TblExplore[[#This Row],[Land]]-TblExplore[[#This Row],[Land Bonus]]*20</f>
        <v>50</v>
      </c>
      <c r="AF41" s="94">
        <f ca="1">ROUND((0.6*TblExplore[[#This Row],[Land-DB]]^1.299 + IF(TblExplore[[#This Row],[Land-DB]]&lt;1520, (-0.001*(TblExplore[[#This Row],[Land-DB]]^2)+1.91*TblExplore[[#This Row],[Land-DB]]-593), 0))*(1+ tech_2_6*Techs!AC41 + tech_2_9*Techs!AF41 + tech_3_7*Techs!AN41 + Overview!$I$33),0)</f>
        <v>-403</v>
      </c>
      <c r="AG41" s="94">
        <f ca="1">_xlfn.FLOOR.MATH(TblExplore[[#This Row],[Land-DB]]/150)+3+tech_2_9_2*TblTech[[#This Row],[2-9]]+tech_3_7_2*TblTech[[#This Row],[3-7]]</f>
        <v>3</v>
      </c>
      <c r="AH41" s="94">
        <f ca="1">SUM(TblExplore[[#This Row],[Plains Explore]:[Water Explore]])*TblExplore[[#This Row],[Plat/acre]]</f>
        <v>0</v>
      </c>
      <c r="AI41" s="94">
        <f ca="1">SUM(TblExplore[[#This Row],[Plains Explore]:[Water Explore]])*TblExplore[[#This Row],[Draftees/acre]]</f>
        <v>0</v>
      </c>
      <c r="AJ41" s="45">
        <f ca="1">_xlfn.FLOOR.MATH(MIN(TblExplore[[#This Row],[Platinum]]/TblExplore[[#This Row],[Plat/acre]],TblExplore[[#This Row],[Draftees]]/TblExplore[[#This Row],[Draftees/acre]]))</f>
        <v>-396</v>
      </c>
    </row>
    <row r="42" spans="1:36" x14ac:dyDescent="0.2">
      <c r="A42" s="175">
        <f>TblRezone[[#This Row],[Hour]]</f>
        <v>39</v>
      </c>
      <c r="B42" s="214">
        <f ca="1">TblConstr[[#This Row],[Land]]</f>
        <v>50</v>
      </c>
      <c r="C42" s="215"/>
      <c r="D42" s="216">
        <f ca="1">TblConstr[[#This Row],[Plain]]</f>
        <v>0</v>
      </c>
      <c r="E42" s="182">
        <f ca="1">TblConstr[[#This Row],[Forest]]</f>
        <v>0</v>
      </c>
      <c r="F42" s="359">
        <f ca="1">TblConstr[[#This Row],[Mountain]]</f>
        <v>0</v>
      </c>
      <c r="G42" s="363">
        <f ca="1">TblConstr[[#This Row],[Hill]]</f>
        <v>0</v>
      </c>
      <c r="H42" s="367">
        <f ca="1">TblConstr[[#This Row],[Swamp]]</f>
        <v>0</v>
      </c>
      <c r="I42" s="185">
        <f ca="1">TblConstr[[#This Row],[Cavern]]</f>
        <v>0</v>
      </c>
      <c r="J42" s="186">
        <f ca="1">TblConstr[[#This Row],[Water]]</f>
        <v>0</v>
      </c>
      <c r="K42" s="210"/>
      <c r="L42" s="210"/>
      <c r="M42" s="210"/>
      <c r="N42" s="217">
        <f ca="1">TblMili[[#This Row],[Smithies]]</f>
        <v>0</v>
      </c>
      <c r="O42" s="217">
        <f ca="1">TblPop[[#This Row],[Employment]]</f>
        <v>1</v>
      </c>
      <c r="P42" s="217">
        <f ca="1">TblImps[[#This Row],[Population]]</f>
        <v>1</v>
      </c>
      <c r="Q42" s="175">
        <f ca="1">TblExplore[[#This Row],[Land]]</f>
        <v>50</v>
      </c>
      <c r="R42" s="175">
        <f>TblExplore[[#This Row],[Hour]]</f>
        <v>39</v>
      </c>
      <c r="S42" s="218"/>
      <c r="T42" s="179"/>
      <c r="U42" s="179"/>
      <c r="V42" s="179"/>
      <c r="W42" s="179"/>
      <c r="X42" s="179"/>
      <c r="Y42" s="179"/>
      <c r="Z42" s="179"/>
      <c r="AA42" s="159">
        <f ca="1">TblImps[[#This Row],[Real time]]</f>
        <v>46321.583333333241</v>
      </c>
      <c r="AB42" s="94">
        <f ca="1">TblMili[[#This Row],[Draftees]]</f>
        <v>447</v>
      </c>
      <c r="AC42" s="94">
        <f ca="1">TblProd[[#This Row],[Platinum]]</f>
        <v>160222</v>
      </c>
      <c r="AD42" s="215"/>
      <c r="AE42" s="45">
        <f ca="1">TblExplore[[#This Row],[Land]]-TblExplore[[#This Row],[Land Bonus]]*20</f>
        <v>50</v>
      </c>
      <c r="AF42" s="94">
        <f ca="1">ROUND((0.6*TblExplore[[#This Row],[Land-DB]]^1.299 + IF(TblExplore[[#This Row],[Land-DB]]&lt;1520, (-0.001*(TblExplore[[#This Row],[Land-DB]]^2)+1.91*TblExplore[[#This Row],[Land-DB]]-593), 0))*(1+ tech_2_6*Techs!AC42 + tech_2_9*Techs!AF42 + tech_3_7*Techs!AN42 + Overview!$I$33),0)</f>
        <v>-403</v>
      </c>
      <c r="AG42" s="94">
        <f ca="1">_xlfn.FLOOR.MATH(TblExplore[[#This Row],[Land-DB]]/150)+3+tech_2_9_2*TblTech[[#This Row],[2-9]]+tech_3_7_2*TblTech[[#This Row],[3-7]]</f>
        <v>3</v>
      </c>
      <c r="AH42" s="94">
        <f ca="1">SUM(TblExplore[[#This Row],[Plains Explore]:[Water Explore]])*TblExplore[[#This Row],[Plat/acre]]</f>
        <v>0</v>
      </c>
      <c r="AI42" s="94">
        <f ca="1">SUM(TblExplore[[#This Row],[Plains Explore]:[Water Explore]])*TblExplore[[#This Row],[Draftees/acre]]</f>
        <v>0</v>
      </c>
      <c r="AJ42" s="45">
        <f ca="1">_xlfn.FLOOR.MATH(MIN(TblExplore[[#This Row],[Platinum]]/TblExplore[[#This Row],[Plat/acre]],TblExplore[[#This Row],[Draftees]]/TblExplore[[#This Row],[Draftees/acre]]))</f>
        <v>-398</v>
      </c>
    </row>
    <row r="43" spans="1:36" x14ac:dyDescent="0.2">
      <c r="A43" s="175">
        <f>TblRezone[[#This Row],[Hour]]</f>
        <v>40</v>
      </c>
      <c r="B43" s="214">
        <f ca="1">TblConstr[[#This Row],[Land]]</f>
        <v>50</v>
      </c>
      <c r="C43" s="215"/>
      <c r="D43" s="216">
        <f ca="1">TblConstr[[#This Row],[Plain]]</f>
        <v>0</v>
      </c>
      <c r="E43" s="182">
        <f ca="1">TblConstr[[#This Row],[Forest]]</f>
        <v>0</v>
      </c>
      <c r="F43" s="359">
        <f ca="1">TblConstr[[#This Row],[Mountain]]</f>
        <v>0</v>
      </c>
      <c r="G43" s="363">
        <f ca="1">TblConstr[[#This Row],[Hill]]</f>
        <v>0</v>
      </c>
      <c r="H43" s="367">
        <f ca="1">TblConstr[[#This Row],[Swamp]]</f>
        <v>0</v>
      </c>
      <c r="I43" s="185">
        <f ca="1">TblConstr[[#This Row],[Cavern]]</f>
        <v>0</v>
      </c>
      <c r="J43" s="186">
        <f ca="1">TblConstr[[#This Row],[Water]]</f>
        <v>0</v>
      </c>
      <c r="K43" s="210"/>
      <c r="L43" s="210"/>
      <c r="M43" s="210"/>
      <c r="N43" s="217">
        <f ca="1">TblMili[[#This Row],[Smithies]]</f>
        <v>0</v>
      </c>
      <c r="O43" s="217">
        <f ca="1">TblPop[[#This Row],[Employment]]</f>
        <v>1</v>
      </c>
      <c r="P43" s="217">
        <f ca="1">TblImps[[#This Row],[Population]]</f>
        <v>1</v>
      </c>
      <c r="Q43" s="175">
        <f ca="1">TblExplore[[#This Row],[Land]]</f>
        <v>50</v>
      </c>
      <c r="R43" s="175">
        <f>TblExplore[[#This Row],[Hour]]</f>
        <v>40</v>
      </c>
      <c r="S43" s="218"/>
      <c r="T43" s="179"/>
      <c r="U43" s="179"/>
      <c r="V43" s="179"/>
      <c r="W43" s="179"/>
      <c r="X43" s="179"/>
      <c r="Y43" s="179"/>
      <c r="Z43" s="179"/>
      <c r="AA43" s="159">
        <f ca="1">TblImps[[#This Row],[Real time]]</f>
        <v>46321.624999999905</v>
      </c>
      <c r="AB43" s="94">
        <f ca="1">TblMili[[#This Row],[Draftees]]</f>
        <v>450</v>
      </c>
      <c r="AC43" s="94">
        <f ca="1">TblProd[[#This Row],[Platinum]]</f>
        <v>161091</v>
      </c>
      <c r="AD43" s="215"/>
      <c r="AE43" s="45">
        <f ca="1">TblExplore[[#This Row],[Land]]-TblExplore[[#This Row],[Land Bonus]]*20</f>
        <v>50</v>
      </c>
      <c r="AF43" s="94">
        <f ca="1">ROUND((0.6*TblExplore[[#This Row],[Land-DB]]^1.299 + IF(TblExplore[[#This Row],[Land-DB]]&lt;1520, (-0.001*(TblExplore[[#This Row],[Land-DB]]^2)+1.91*TblExplore[[#This Row],[Land-DB]]-593), 0))*(1+ tech_2_6*Techs!AC43 + tech_2_9*Techs!AF43 + tech_3_7*Techs!AN43 + Overview!$I$33),0)</f>
        <v>-403</v>
      </c>
      <c r="AG43" s="94">
        <f ca="1">_xlfn.FLOOR.MATH(TblExplore[[#This Row],[Land-DB]]/150)+3+tech_2_9_2*TblTech[[#This Row],[2-9]]+tech_3_7_2*TblTech[[#This Row],[3-7]]</f>
        <v>3</v>
      </c>
      <c r="AH43" s="94">
        <f ca="1">SUM(TblExplore[[#This Row],[Plains Explore]:[Water Explore]])*TblExplore[[#This Row],[Plat/acre]]</f>
        <v>0</v>
      </c>
      <c r="AI43" s="94">
        <f ca="1">SUM(TblExplore[[#This Row],[Plains Explore]:[Water Explore]])*TblExplore[[#This Row],[Draftees/acre]]</f>
        <v>0</v>
      </c>
      <c r="AJ43" s="45">
        <f ca="1">_xlfn.FLOOR.MATH(MIN(TblExplore[[#This Row],[Platinum]]/TblExplore[[#This Row],[Plat/acre]],TblExplore[[#This Row],[Draftees]]/TblExplore[[#This Row],[Draftees/acre]]))</f>
        <v>-400</v>
      </c>
    </row>
    <row r="44" spans="1:36" x14ac:dyDescent="0.2">
      <c r="A44" s="175">
        <f>TblRezone[[#This Row],[Hour]]</f>
        <v>41</v>
      </c>
      <c r="B44" s="214">
        <f ca="1">TblConstr[[#This Row],[Land]]</f>
        <v>50</v>
      </c>
      <c r="C44" s="215"/>
      <c r="D44" s="216">
        <f ca="1">TblConstr[[#This Row],[Plain]]</f>
        <v>0</v>
      </c>
      <c r="E44" s="182">
        <f ca="1">TblConstr[[#This Row],[Forest]]</f>
        <v>0</v>
      </c>
      <c r="F44" s="359">
        <f ca="1">TblConstr[[#This Row],[Mountain]]</f>
        <v>0</v>
      </c>
      <c r="G44" s="363">
        <f ca="1">TblConstr[[#This Row],[Hill]]</f>
        <v>0</v>
      </c>
      <c r="H44" s="367">
        <f ca="1">TblConstr[[#This Row],[Swamp]]</f>
        <v>0</v>
      </c>
      <c r="I44" s="185">
        <f ca="1">TblConstr[[#This Row],[Cavern]]</f>
        <v>0</v>
      </c>
      <c r="J44" s="186">
        <f ca="1">TblConstr[[#This Row],[Water]]</f>
        <v>0</v>
      </c>
      <c r="K44" s="210"/>
      <c r="L44" s="210"/>
      <c r="M44" s="210"/>
      <c r="N44" s="217">
        <f ca="1">TblMili[[#This Row],[Smithies]]</f>
        <v>0</v>
      </c>
      <c r="O44" s="217">
        <f ca="1">TblPop[[#This Row],[Employment]]</f>
        <v>1</v>
      </c>
      <c r="P44" s="217">
        <f ca="1">TblImps[[#This Row],[Population]]</f>
        <v>1</v>
      </c>
      <c r="Q44" s="175">
        <f ca="1">TblExplore[[#This Row],[Land]]</f>
        <v>50</v>
      </c>
      <c r="R44" s="175">
        <f>TblExplore[[#This Row],[Hour]]</f>
        <v>41</v>
      </c>
      <c r="S44" s="218"/>
      <c r="T44" s="179"/>
      <c r="U44" s="179"/>
      <c r="V44" s="179"/>
      <c r="W44" s="179"/>
      <c r="X44" s="179"/>
      <c r="Y44" s="179"/>
      <c r="Z44" s="179"/>
      <c r="AA44" s="159">
        <f ca="1">TblImps[[#This Row],[Real time]]</f>
        <v>46321.66666666657</v>
      </c>
      <c r="AB44" s="94">
        <f ca="1">TblMili[[#This Row],[Draftees]]</f>
        <v>453</v>
      </c>
      <c r="AC44" s="94">
        <f ca="1">TblProd[[#This Row],[Platinum]]</f>
        <v>161952</v>
      </c>
      <c r="AD44" s="215"/>
      <c r="AE44" s="45">
        <f ca="1">TblExplore[[#This Row],[Land]]-TblExplore[[#This Row],[Land Bonus]]*20</f>
        <v>50</v>
      </c>
      <c r="AF44" s="94">
        <f ca="1">ROUND((0.6*TblExplore[[#This Row],[Land-DB]]^1.299 + IF(TblExplore[[#This Row],[Land-DB]]&lt;1520, (-0.001*(TblExplore[[#This Row],[Land-DB]]^2)+1.91*TblExplore[[#This Row],[Land-DB]]-593), 0))*(1+ tech_2_6*Techs!AC44 + tech_2_9*Techs!AF44 + tech_3_7*Techs!AN44 + Overview!$I$33),0)</f>
        <v>-403</v>
      </c>
      <c r="AG44" s="94">
        <f ca="1">_xlfn.FLOOR.MATH(TblExplore[[#This Row],[Land-DB]]/150)+3+tech_2_9_2*TblTech[[#This Row],[2-9]]+tech_3_7_2*TblTech[[#This Row],[3-7]]</f>
        <v>3</v>
      </c>
      <c r="AH44" s="94">
        <f ca="1">SUM(TblExplore[[#This Row],[Plains Explore]:[Water Explore]])*TblExplore[[#This Row],[Plat/acre]]</f>
        <v>0</v>
      </c>
      <c r="AI44" s="94">
        <f ca="1">SUM(TblExplore[[#This Row],[Plains Explore]:[Water Explore]])*TblExplore[[#This Row],[Draftees/acre]]</f>
        <v>0</v>
      </c>
      <c r="AJ44" s="45">
        <f ca="1">_xlfn.FLOOR.MATH(MIN(TblExplore[[#This Row],[Platinum]]/TblExplore[[#This Row],[Plat/acre]],TblExplore[[#This Row],[Draftees]]/TblExplore[[#This Row],[Draftees/acre]]))</f>
        <v>-402</v>
      </c>
    </row>
    <row r="45" spans="1:36" x14ac:dyDescent="0.2">
      <c r="A45" s="175">
        <f>TblRezone[[#This Row],[Hour]]</f>
        <v>42</v>
      </c>
      <c r="B45" s="214">
        <f ca="1">TblConstr[[#This Row],[Land]]</f>
        <v>50</v>
      </c>
      <c r="C45" s="215"/>
      <c r="D45" s="216">
        <f ca="1">TblConstr[[#This Row],[Plain]]</f>
        <v>0</v>
      </c>
      <c r="E45" s="182">
        <f ca="1">TblConstr[[#This Row],[Forest]]</f>
        <v>0</v>
      </c>
      <c r="F45" s="359">
        <f ca="1">TblConstr[[#This Row],[Mountain]]</f>
        <v>0</v>
      </c>
      <c r="G45" s="363">
        <f ca="1">TblConstr[[#This Row],[Hill]]</f>
        <v>0</v>
      </c>
      <c r="H45" s="367">
        <f ca="1">TblConstr[[#This Row],[Swamp]]</f>
        <v>0</v>
      </c>
      <c r="I45" s="185">
        <f ca="1">TblConstr[[#This Row],[Cavern]]</f>
        <v>0</v>
      </c>
      <c r="J45" s="186">
        <f ca="1">TblConstr[[#This Row],[Water]]</f>
        <v>0</v>
      </c>
      <c r="K45" s="210"/>
      <c r="L45" s="210"/>
      <c r="M45" s="210"/>
      <c r="N45" s="217">
        <f ca="1">TblMili[[#This Row],[Smithies]]</f>
        <v>0</v>
      </c>
      <c r="O45" s="217">
        <f ca="1">TblPop[[#This Row],[Employment]]</f>
        <v>1</v>
      </c>
      <c r="P45" s="217">
        <f ca="1">TblImps[[#This Row],[Population]]</f>
        <v>1</v>
      </c>
      <c r="Q45" s="175">
        <f ca="1">TblExplore[[#This Row],[Land]]</f>
        <v>50</v>
      </c>
      <c r="R45" s="175">
        <f>TblExplore[[#This Row],[Hour]]</f>
        <v>42</v>
      </c>
      <c r="S45" s="218"/>
      <c r="T45" s="179"/>
      <c r="U45" s="179"/>
      <c r="V45" s="179"/>
      <c r="W45" s="179"/>
      <c r="X45" s="179"/>
      <c r="Y45" s="179"/>
      <c r="Z45" s="179"/>
      <c r="AA45" s="159">
        <f ca="1">TblImps[[#This Row],[Real time]]</f>
        <v>46321.708333333234</v>
      </c>
      <c r="AB45" s="94">
        <f ca="1">TblMili[[#This Row],[Draftees]]</f>
        <v>456</v>
      </c>
      <c r="AC45" s="94">
        <f ca="1">TblProd[[#This Row],[Platinum]]</f>
        <v>162805</v>
      </c>
      <c r="AD45" s="215"/>
      <c r="AE45" s="45">
        <f ca="1">TblExplore[[#This Row],[Land]]-TblExplore[[#This Row],[Land Bonus]]*20</f>
        <v>50</v>
      </c>
      <c r="AF45" s="94">
        <f ca="1">ROUND((0.6*TblExplore[[#This Row],[Land-DB]]^1.299 + IF(TblExplore[[#This Row],[Land-DB]]&lt;1520, (-0.001*(TblExplore[[#This Row],[Land-DB]]^2)+1.91*TblExplore[[#This Row],[Land-DB]]-593), 0))*(1+ tech_2_6*Techs!AC45 + tech_2_9*Techs!AF45 + tech_3_7*Techs!AN45 + Overview!$I$33),0)</f>
        <v>-403</v>
      </c>
      <c r="AG45" s="94">
        <f ca="1">_xlfn.FLOOR.MATH(TblExplore[[#This Row],[Land-DB]]/150)+3+tech_2_9_2*TblTech[[#This Row],[2-9]]+tech_3_7_2*TblTech[[#This Row],[3-7]]</f>
        <v>3</v>
      </c>
      <c r="AH45" s="94">
        <f ca="1">SUM(TblExplore[[#This Row],[Plains Explore]:[Water Explore]])*TblExplore[[#This Row],[Plat/acre]]</f>
        <v>0</v>
      </c>
      <c r="AI45" s="94">
        <f ca="1">SUM(TblExplore[[#This Row],[Plains Explore]:[Water Explore]])*TblExplore[[#This Row],[Draftees/acre]]</f>
        <v>0</v>
      </c>
      <c r="AJ45" s="45">
        <f ca="1">_xlfn.FLOOR.MATH(MIN(TblExplore[[#This Row],[Platinum]]/TblExplore[[#This Row],[Plat/acre]],TblExplore[[#This Row],[Draftees]]/TblExplore[[#This Row],[Draftees/acre]]))</f>
        <v>-404</v>
      </c>
    </row>
    <row r="46" spans="1:36" x14ac:dyDescent="0.2">
      <c r="A46" s="175">
        <f>TblRezone[[#This Row],[Hour]]</f>
        <v>43</v>
      </c>
      <c r="B46" s="214">
        <f ca="1">TblConstr[[#This Row],[Land]]</f>
        <v>50</v>
      </c>
      <c r="C46" s="215"/>
      <c r="D46" s="216">
        <f ca="1">TblConstr[[#This Row],[Plain]]</f>
        <v>0</v>
      </c>
      <c r="E46" s="182">
        <f ca="1">TblConstr[[#This Row],[Forest]]</f>
        <v>0</v>
      </c>
      <c r="F46" s="359">
        <f ca="1">TblConstr[[#This Row],[Mountain]]</f>
        <v>0</v>
      </c>
      <c r="G46" s="363">
        <f ca="1">TblConstr[[#This Row],[Hill]]</f>
        <v>0</v>
      </c>
      <c r="H46" s="367">
        <f ca="1">TblConstr[[#This Row],[Swamp]]</f>
        <v>0</v>
      </c>
      <c r="I46" s="185">
        <f ca="1">TblConstr[[#This Row],[Cavern]]</f>
        <v>0</v>
      </c>
      <c r="J46" s="186">
        <f ca="1">TblConstr[[#This Row],[Water]]</f>
        <v>0</v>
      </c>
      <c r="K46" s="210"/>
      <c r="L46" s="210"/>
      <c r="M46" s="210"/>
      <c r="N46" s="217">
        <f ca="1">TblMili[[#This Row],[Smithies]]</f>
        <v>0</v>
      </c>
      <c r="O46" s="217">
        <f ca="1">TblPop[[#This Row],[Employment]]</f>
        <v>1</v>
      </c>
      <c r="P46" s="217">
        <f ca="1">TblImps[[#This Row],[Population]]</f>
        <v>1</v>
      </c>
      <c r="Q46" s="175">
        <f ca="1">TblExplore[[#This Row],[Land]]</f>
        <v>50</v>
      </c>
      <c r="R46" s="175">
        <f>TblExplore[[#This Row],[Hour]]</f>
        <v>43</v>
      </c>
      <c r="S46" s="218"/>
      <c r="T46" s="179"/>
      <c r="U46" s="179"/>
      <c r="V46" s="179"/>
      <c r="W46" s="179"/>
      <c r="X46" s="179"/>
      <c r="Y46" s="179"/>
      <c r="Z46" s="179"/>
      <c r="AA46" s="159">
        <f ca="1">TblImps[[#This Row],[Real time]]</f>
        <v>46321.749999999898</v>
      </c>
      <c r="AB46" s="94">
        <f ca="1">TblMili[[#This Row],[Draftees]]</f>
        <v>459</v>
      </c>
      <c r="AC46" s="94">
        <f ca="1">TblProd[[#This Row],[Platinum]]</f>
        <v>163650</v>
      </c>
      <c r="AD46" s="215"/>
      <c r="AE46" s="45">
        <f ca="1">TblExplore[[#This Row],[Land]]-TblExplore[[#This Row],[Land Bonus]]*20</f>
        <v>50</v>
      </c>
      <c r="AF46" s="94">
        <f ca="1">ROUND((0.6*TblExplore[[#This Row],[Land-DB]]^1.299 + IF(TblExplore[[#This Row],[Land-DB]]&lt;1520, (-0.001*(TblExplore[[#This Row],[Land-DB]]^2)+1.91*TblExplore[[#This Row],[Land-DB]]-593), 0))*(1+ tech_2_6*Techs!AC46 + tech_2_9*Techs!AF46 + tech_3_7*Techs!AN46 + Overview!$I$33),0)</f>
        <v>-403</v>
      </c>
      <c r="AG46" s="94">
        <f ca="1">_xlfn.FLOOR.MATH(TblExplore[[#This Row],[Land-DB]]/150)+3+tech_2_9_2*TblTech[[#This Row],[2-9]]+tech_3_7_2*TblTech[[#This Row],[3-7]]</f>
        <v>3</v>
      </c>
      <c r="AH46" s="94">
        <f ca="1">SUM(TblExplore[[#This Row],[Plains Explore]:[Water Explore]])*TblExplore[[#This Row],[Plat/acre]]</f>
        <v>0</v>
      </c>
      <c r="AI46" s="94">
        <f ca="1">SUM(TblExplore[[#This Row],[Plains Explore]:[Water Explore]])*TblExplore[[#This Row],[Draftees/acre]]</f>
        <v>0</v>
      </c>
      <c r="AJ46" s="45">
        <f ca="1">_xlfn.FLOOR.MATH(MIN(TblExplore[[#This Row],[Platinum]]/TblExplore[[#This Row],[Plat/acre]],TblExplore[[#This Row],[Draftees]]/TblExplore[[#This Row],[Draftees/acre]]))</f>
        <v>-407</v>
      </c>
    </row>
    <row r="47" spans="1:36" x14ac:dyDescent="0.2">
      <c r="A47" s="175">
        <f>TblRezone[[#This Row],[Hour]]</f>
        <v>44</v>
      </c>
      <c r="B47" s="214">
        <f ca="1">TblConstr[[#This Row],[Land]]</f>
        <v>50</v>
      </c>
      <c r="C47" s="215"/>
      <c r="D47" s="216">
        <f ca="1">TblConstr[[#This Row],[Plain]]</f>
        <v>0</v>
      </c>
      <c r="E47" s="182">
        <f ca="1">TblConstr[[#This Row],[Forest]]</f>
        <v>0</v>
      </c>
      <c r="F47" s="359">
        <f ca="1">TblConstr[[#This Row],[Mountain]]</f>
        <v>0</v>
      </c>
      <c r="G47" s="363">
        <f ca="1">TblConstr[[#This Row],[Hill]]</f>
        <v>0</v>
      </c>
      <c r="H47" s="367">
        <f ca="1">TblConstr[[#This Row],[Swamp]]</f>
        <v>0</v>
      </c>
      <c r="I47" s="185">
        <f ca="1">TblConstr[[#This Row],[Cavern]]</f>
        <v>0</v>
      </c>
      <c r="J47" s="186">
        <f ca="1">TblConstr[[#This Row],[Water]]</f>
        <v>0</v>
      </c>
      <c r="K47" s="210"/>
      <c r="L47" s="210"/>
      <c r="M47" s="210"/>
      <c r="N47" s="217">
        <f ca="1">TblMili[[#This Row],[Smithies]]</f>
        <v>0</v>
      </c>
      <c r="O47" s="217">
        <f ca="1">TblPop[[#This Row],[Employment]]</f>
        <v>1</v>
      </c>
      <c r="P47" s="217">
        <f ca="1">TblImps[[#This Row],[Population]]</f>
        <v>1</v>
      </c>
      <c r="Q47" s="175">
        <f ca="1">TblExplore[[#This Row],[Land]]</f>
        <v>50</v>
      </c>
      <c r="R47" s="175">
        <f>TblExplore[[#This Row],[Hour]]</f>
        <v>44</v>
      </c>
      <c r="S47" s="218"/>
      <c r="T47" s="179"/>
      <c r="U47" s="179"/>
      <c r="V47" s="179"/>
      <c r="W47" s="179"/>
      <c r="X47" s="179"/>
      <c r="Y47" s="179"/>
      <c r="Z47" s="179"/>
      <c r="AA47" s="159">
        <f ca="1">TblImps[[#This Row],[Real time]]</f>
        <v>46321.791666666562</v>
      </c>
      <c r="AB47" s="94">
        <f ca="1">TblMili[[#This Row],[Draftees]]</f>
        <v>462</v>
      </c>
      <c r="AC47" s="94">
        <f ca="1">TblProd[[#This Row],[Platinum]]</f>
        <v>164487</v>
      </c>
      <c r="AD47" s="215"/>
      <c r="AE47" s="45">
        <f ca="1">TblExplore[[#This Row],[Land]]-TblExplore[[#This Row],[Land Bonus]]*20</f>
        <v>50</v>
      </c>
      <c r="AF47" s="94">
        <f ca="1">ROUND((0.6*TblExplore[[#This Row],[Land-DB]]^1.299 + IF(TblExplore[[#This Row],[Land-DB]]&lt;1520, (-0.001*(TblExplore[[#This Row],[Land-DB]]^2)+1.91*TblExplore[[#This Row],[Land-DB]]-593), 0))*(1+ tech_2_6*Techs!AC47 + tech_2_9*Techs!AF47 + tech_3_7*Techs!AN47 + Overview!$I$33),0)</f>
        <v>-403</v>
      </c>
      <c r="AG47" s="94">
        <f ca="1">_xlfn.FLOOR.MATH(TblExplore[[#This Row],[Land-DB]]/150)+3+tech_2_9_2*TblTech[[#This Row],[2-9]]+tech_3_7_2*TblTech[[#This Row],[3-7]]</f>
        <v>3</v>
      </c>
      <c r="AH47" s="94">
        <f ca="1">SUM(TblExplore[[#This Row],[Plains Explore]:[Water Explore]])*TblExplore[[#This Row],[Plat/acre]]</f>
        <v>0</v>
      </c>
      <c r="AI47" s="94">
        <f ca="1">SUM(TblExplore[[#This Row],[Plains Explore]:[Water Explore]])*TblExplore[[#This Row],[Draftees/acre]]</f>
        <v>0</v>
      </c>
      <c r="AJ47" s="45">
        <f ca="1">_xlfn.FLOOR.MATH(MIN(TblExplore[[#This Row],[Platinum]]/TblExplore[[#This Row],[Plat/acre]],TblExplore[[#This Row],[Draftees]]/TblExplore[[#This Row],[Draftees/acre]]))</f>
        <v>-409</v>
      </c>
    </row>
    <row r="48" spans="1:36" x14ac:dyDescent="0.2">
      <c r="A48" s="175">
        <f>TblRezone[[#This Row],[Hour]]</f>
        <v>45</v>
      </c>
      <c r="B48" s="214">
        <f ca="1">TblConstr[[#This Row],[Land]]</f>
        <v>50</v>
      </c>
      <c r="C48" s="215"/>
      <c r="D48" s="216">
        <f ca="1">TblConstr[[#This Row],[Plain]]</f>
        <v>0</v>
      </c>
      <c r="E48" s="182">
        <f ca="1">TblConstr[[#This Row],[Forest]]</f>
        <v>0</v>
      </c>
      <c r="F48" s="359">
        <f ca="1">TblConstr[[#This Row],[Mountain]]</f>
        <v>0</v>
      </c>
      <c r="G48" s="363">
        <f ca="1">TblConstr[[#This Row],[Hill]]</f>
        <v>0</v>
      </c>
      <c r="H48" s="367">
        <f ca="1">TblConstr[[#This Row],[Swamp]]</f>
        <v>0</v>
      </c>
      <c r="I48" s="185">
        <f ca="1">TblConstr[[#This Row],[Cavern]]</f>
        <v>0</v>
      </c>
      <c r="J48" s="186">
        <f ca="1">TblConstr[[#This Row],[Water]]</f>
        <v>0</v>
      </c>
      <c r="K48" s="210"/>
      <c r="L48" s="210"/>
      <c r="M48" s="210"/>
      <c r="N48" s="217">
        <f ca="1">TblMili[[#This Row],[Smithies]]</f>
        <v>0</v>
      </c>
      <c r="O48" s="217">
        <f ca="1">TblPop[[#This Row],[Employment]]</f>
        <v>1</v>
      </c>
      <c r="P48" s="217">
        <f ca="1">TblImps[[#This Row],[Population]]</f>
        <v>1</v>
      </c>
      <c r="Q48" s="175">
        <f ca="1">TblExplore[[#This Row],[Land]]</f>
        <v>50</v>
      </c>
      <c r="R48" s="175">
        <f>TblExplore[[#This Row],[Hour]]</f>
        <v>45</v>
      </c>
      <c r="S48" s="218"/>
      <c r="T48" s="179"/>
      <c r="U48" s="179"/>
      <c r="V48" s="179"/>
      <c r="W48" s="179"/>
      <c r="X48" s="179"/>
      <c r="Y48" s="179"/>
      <c r="Z48" s="179"/>
      <c r="AA48" s="159">
        <f ca="1">TblImps[[#This Row],[Real time]]</f>
        <v>46321.833333333227</v>
      </c>
      <c r="AB48" s="94">
        <f ca="1">TblMili[[#This Row],[Draftees]]</f>
        <v>465</v>
      </c>
      <c r="AC48" s="94">
        <f ca="1">TblProd[[#This Row],[Platinum]]</f>
        <v>165315</v>
      </c>
      <c r="AD48" s="215"/>
      <c r="AE48" s="45">
        <f ca="1">TblExplore[[#This Row],[Land]]-TblExplore[[#This Row],[Land Bonus]]*20</f>
        <v>50</v>
      </c>
      <c r="AF48" s="94">
        <f ca="1">ROUND((0.6*TblExplore[[#This Row],[Land-DB]]^1.299 + IF(TblExplore[[#This Row],[Land-DB]]&lt;1520, (-0.001*(TblExplore[[#This Row],[Land-DB]]^2)+1.91*TblExplore[[#This Row],[Land-DB]]-593), 0))*(1+ tech_2_6*Techs!AC48 + tech_2_9*Techs!AF48 + tech_3_7*Techs!AN48 + Overview!$I$33),0)</f>
        <v>-403</v>
      </c>
      <c r="AG48" s="94">
        <f ca="1">_xlfn.FLOOR.MATH(TblExplore[[#This Row],[Land-DB]]/150)+3+tech_2_9_2*TblTech[[#This Row],[2-9]]+tech_3_7_2*TblTech[[#This Row],[3-7]]</f>
        <v>3</v>
      </c>
      <c r="AH48" s="94">
        <f ca="1">SUM(TblExplore[[#This Row],[Plains Explore]:[Water Explore]])*TblExplore[[#This Row],[Plat/acre]]</f>
        <v>0</v>
      </c>
      <c r="AI48" s="94">
        <f ca="1">SUM(TblExplore[[#This Row],[Plains Explore]:[Water Explore]])*TblExplore[[#This Row],[Draftees/acre]]</f>
        <v>0</v>
      </c>
      <c r="AJ48" s="45">
        <f ca="1">_xlfn.FLOOR.MATH(MIN(TblExplore[[#This Row],[Platinum]]/TblExplore[[#This Row],[Plat/acre]],TblExplore[[#This Row],[Draftees]]/TblExplore[[#This Row],[Draftees/acre]]))</f>
        <v>-411</v>
      </c>
    </row>
    <row r="49" spans="1:36" x14ac:dyDescent="0.2">
      <c r="A49" s="175">
        <f>TblRezone[[#This Row],[Hour]]</f>
        <v>46</v>
      </c>
      <c r="B49" s="214">
        <f ca="1">TblConstr[[#This Row],[Land]]</f>
        <v>50</v>
      </c>
      <c r="C49" s="215"/>
      <c r="D49" s="216">
        <f ca="1">TblConstr[[#This Row],[Plain]]</f>
        <v>0</v>
      </c>
      <c r="E49" s="182">
        <f ca="1">TblConstr[[#This Row],[Forest]]</f>
        <v>0</v>
      </c>
      <c r="F49" s="359">
        <f ca="1">TblConstr[[#This Row],[Mountain]]</f>
        <v>0</v>
      </c>
      <c r="G49" s="363">
        <f ca="1">TblConstr[[#This Row],[Hill]]</f>
        <v>0</v>
      </c>
      <c r="H49" s="367">
        <f ca="1">TblConstr[[#This Row],[Swamp]]</f>
        <v>0</v>
      </c>
      <c r="I49" s="185">
        <f ca="1">TblConstr[[#This Row],[Cavern]]</f>
        <v>0</v>
      </c>
      <c r="J49" s="186">
        <f ca="1">TblConstr[[#This Row],[Water]]</f>
        <v>0</v>
      </c>
      <c r="K49" s="210"/>
      <c r="L49" s="210"/>
      <c r="M49" s="210"/>
      <c r="N49" s="217">
        <f ca="1">TblMili[[#This Row],[Smithies]]</f>
        <v>0</v>
      </c>
      <c r="O49" s="217">
        <f ca="1">TblPop[[#This Row],[Employment]]</f>
        <v>1</v>
      </c>
      <c r="P49" s="217">
        <f ca="1">TblImps[[#This Row],[Population]]</f>
        <v>1</v>
      </c>
      <c r="Q49" s="175">
        <f ca="1">TblExplore[[#This Row],[Land]]</f>
        <v>50</v>
      </c>
      <c r="R49" s="175">
        <f>TblExplore[[#This Row],[Hour]]</f>
        <v>46</v>
      </c>
      <c r="S49" s="218"/>
      <c r="T49" s="179"/>
      <c r="U49" s="179"/>
      <c r="V49" s="179"/>
      <c r="W49" s="179"/>
      <c r="X49" s="179"/>
      <c r="Y49" s="179"/>
      <c r="Z49" s="179"/>
      <c r="AA49" s="159">
        <f ca="1">TblImps[[#This Row],[Real time]]</f>
        <v>46321.874999999891</v>
      </c>
      <c r="AB49" s="94">
        <f ca="1">TblMili[[#This Row],[Draftees]]</f>
        <v>468</v>
      </c>
      <c r="AC49" s="94">
        <f ca="1">TblProd[[#This Row],[Platinum]]</f>
        <v>166135</v>
      </c>
      <c r="AD49" s="215"/>
      <c r="AE49" s="45">
        <f ca="1">TblExplore[[#This Row],[Land]]-TblExplore[[#This Row],[Land Bonus]]*20</f>
        <v>50</v>
      </c>
      <c r="AF49" s="94">
        <f ca="1">ROUND((0.6*TblExplore[[#This Row],[Land-DB]]^1.299 + IF(TblExplore[[#This Row],[Land-DB]]&lt;1520, (-0.001*(TblExplore[[#This Row],[Land-DB]]^2)+1.91*TblExplore[[#This Row],[Land-DB]]-593), 0))*(1+ tech_2_6*Techs!AC49 + tech_2_9*Techs!AF49 + tech_3_7*Techs!AN49 + Overview!$I$33),0)</f>
        <v>-403</v>
      </c>
      <c r="AG49" s="94">
        <f ca="1">_xlfn.FLOOR.MATH(TblExplore[[#This Row],[Land-DB]]/150)+3+tech_2_9_2*TblTech[[#This Row],[2-9]]+tech_3_7_2*TblTech[[#This Row],[3-7]]</f>
        <v>3</v>
      </c>
      <c r="AH49" s="94">
        <f ca="1">SUM(TblExplore[[#This Row],[Plains Explore]:[Water Explore]])*TblExplore[[#This Row],[Plat/acre]]</f>
        <v>0</v>
      </c>
      <c r="AI49" s="94">
        <f ca="1">SUM(TblExplore[[#This Row],[Plains Explore]:[Water Explore]])*TblExplore[[#This Row],[Draftees/acre]]</f>
        <v>0</v>
      </c>
      <c r="AJ49" s="45">
        <f ca="1">_xlfn.FLOOR.MATH(MIN(TblExplore[[#This Row],[Platinum]]/TblExplore[[#This Row],[Plat/acre]],TblExplore[[#This Row],[Draftees]]/TblExplore[[#This Row],[Draftees/acre]]))</f>
        <v>-413</v>
      </c>
    </row>
    <row r="50" spans="1:36" x14ac:dyDescent="0.2">
      <c r="A50" s="175">
        <f>TblRezone[[#This Row],[Hour]]</f>
        <v>47</v>
      </c>
      <c r="B50" s="214">
        <f ca="1">TblConstr[[#This Row],[Land]]</f>
        <v>50</v>
      </c>
      <c r="C50" s="215"/>
      <c r="D50" s="216">
        <f ca="1">TblConstr[[#This Row],[Plain]]</f>
        <v>0</v>
      </c>
      <c r="E50" s="182">
        <f ca="1">TblConstr[[#This Row],[Forest]]</f>
        <v>0</v>
      </c>
      <c r="F50" s="359">
        <f ca="1">TblConstr[[#This Row],[Mountain]]</f>
        <v>0</v>
      </c>
      <c r="G50" s="363">
        <f ca="1">TblConstr[[#This Row],[Hill]]</f>
        <v>0</v>
      </c>
      <c r="H50" s="367">
        <f ca="1">TblConstr[[#This Row],[Swamp]]</f>
        <v>0</v>
      </c>
      <c r="I50" s="185">
        <f ca="1">TblConstr[[#This Row],[Cavern]]</f>
        <v>0</v>
      </c>
      <c r="J50" s="186">
        <f ca="1">TblConstr[[#This Row],[Water]]</f>
        <v>0</v>
      </c>
      <c r="K50" s="210"/>
      <c r="L50" s="210"/>
      <c r="M50" s="210"/>
      <c r="N50" s="217">
        <f ca="1">TblMili[[#This Row],[Smithies]]</f>
        <v>0</v>
      </c>
      <c r="O50" s="217">
        <f ca="1">TblPop[[#This Row],[Employment]]</f>
        <v>1</v>
      </c>
      <c r="P50" s="217">
        <f ca="1">TblImps[[#This Row],[Population]]</f>
        <v>1</v>
      </c>
      <c r="Q50" s="175">
        <f ca="1">TblExplore[[#This Row],[Land]]</f>
        <v>50</v>
      </c>
      <c r="R50" s="175">
        <f>TblExplore[[#This Row],[Hour]]</f>
        <v>47</v>
      </c>
      <c r="S50" s="218"/>
      <c r="T50" s="179"/>
      <c r="U50" s="179"/>
      <c r="V50" s="179"/>
      <c r="W50" s="179"/>
      <c r="X50" s="179"/>
      <c r="Y50" s="179"/>
      <c r="Z50" s="179"/>
      <c r="AA50" s="159">
        <f ca="1">TblImps[[#This Row],[Real time]]</f>
        <v>46321.916666666555</v>
      </c>
      <c r="AB50" s="94">
        <f ca="1">TblMili[[#This Row],[Draftees]]</f>
        <v>471</v>
      </c>
      <c r="AC50" s="94">
        <f ca="1">TblProd[[#This Row],[Platinum]]</f>
        <v>166947</v>
      </c>
      <c r="AD50" s="215"/>
      <c r="AE50" s="45">
        <f ca="1">TblExplore[[#This Row],[Land]]-TblExplore[[#This Row],[Land Bonus]]*20</f>
        <v>50</v>
      </c>
      <c r="AF50" s="94">
        <f ca="1">ROUND((0.6*TblExplore[[#This Row],[Land-DB]]^1.299 + IF(TblExplore[[#This Row],[Land-DB]]&lt;1520, (-0.001*(TblExplore[[#This Row],[Land-DB]]^2)+1.91*TblExplore[[#This Row],[Land-DB]]-593), 0))*(1+ tech_2_6*Techs!AC50 + tech_2_9*Techs!AF50 + tech_3_7*Techs!AN50 + Overview!$I$33),0)</f>
        <v>-403</v>
      </c>
      <c r="AG50" s="94">
        <f ca="1">_xlfn.FLOOR.MATH(TblExplore[[#This Row],[Land-DB]]/150)+3+tech_2_9_2*TblTech[[#This Row],[2-9]]+tech_3_7_2*TblTech[[#This Row],[3-7]]</f>
        <v>3</v>
      </c>
      <c r="AH50" s="94">
        <f ca="1">SUM(TblExplore[[#This Row],[Plains Explore]:[Water Explore]])*TblExplore[[#This Row],[Plat/acre]]</f>
        <v>0</v>
      </c>
      <c r="AI50" s="94">
        <f ca="1">SUM(TblExplore[[#This Row],[Plains Explore]:[Water Explore]])*TblExplore[[#This Row],[Draftees/acre]]</f>
        <v>0</v>
      </c>
      <c r="AJ50" s="45">
        <f ca="1">_xlfn.FLOOR.MATH(MIN(TblExplore[[#This Row],[Platinum]]/TblExplore[[#This Row],[Plat/acre]],TblExplore[[#This Row],[Draftees]]/TblExplore[[#This Row],[Draftees/acre]]))</f>
        <v>-415</v>
      </c>
    </row>
    <row r="51" spans="1:36" x14ac:dyDescent="0.2">
      <c r="A51" s="175">
        <f>TblRezone[[#This Row],[Hour]]</f>
        <v>48</v>
      </c>
      <c r="B51" s="214">
        <f ca="1">TblConstr[[#This Row],[Land]]</f>
        <v>50</v>
      </c>
      <c r="C51" s="215"/>
      <c r="D51" s="216">
        <f ca="1">TblConstr[[#This Row],[Plain]]</f>
        <v>0</v>
      </c>
      <c r="E51" s="182">
        <f ca="1">TblConstr[[#This Row],[Forest]]</f>
        <v>0</v>
      </c>
      <c r="F51" s="359">
        <f ca="1">TblConstr[[#This Row],[Mountain]]</f>
        <v>0</v>
      </c>
      <c r="G51" s="363">
        <f ca="1">TblConstr[[#This Row],[Hill]]</f>
        <v>0</v>
      </c>
      <c r="H51" s="367">
        <f ca="1">TblConstr[[#This Row],[Swamp]]</f>
        <v>0</v>
      </c>
      <c r="I51" s="185">
        <f ca="1">TblConstr[[#This Row],[Cavern]]</f>
        <v>0</v>
      </c>
      <c r="J51" s="186">
        <f ca="1">TblConstr[[#This Row],[Water]]</f>
        <v>0</v>
      </c>
      <c r="K51" s="210"/>
      <c r="L51" s="210"/>
      <c r="M51" s="210"/>
      <c r="N51" s="217">
        <f ca="1">TblMili[[#This Row],[Smithies]]</f>
        <v>0</v>
      </c>
      <c r="O51" s="217">
        <f ca="1">TblPop[[#This Row],[Employment]]</f>
        <v>1</v>
      </c>
      <c r="P51" s="217">
        <f ca="1">TblImps[[#This Row],[Population]]</f>
        <v>1</v>
      </c>
      <c r="Q51" s="175">
        <f ca="1">TblExplore[[#This Row],[Land]]</f>
        <v>50</v>
      </c>
      <c r="R51" s="175">
        <f>TblExplore[[#This Row],[Hour]]</f>
        <v>48</v>
      </c>
      <c r="S51" s="218"/>
      <c r="T51" s="179"/>
      <c r="U51" s="179"/>
      <c r="V51" s="179"/>
      <c r="W51" s="179"/>
      <c r="X51" s="179"/>
      <c r="Y51" s="179"/>
      <c r="Z51" s="179"/>
      <c r="AA51" s="159">
        <f ca="1">TblImps[[#This Row],[Real time]]</f>
        <v>46321.958333333219</v>
      </c>
      <c r="AB51" s="94">
        <f ca="1">TblMili[[#This Row],[Draftees]]</f>
        <v>474</v>
      </c>
      <c r="AC51" s="94">
        <f ca="1">TblProd[[#This Row],[Platinum]]</f>
        <v>167751</v>
      </c>
      <c r="AD51" s="215"/>
      <c r="AE51" s="45">
        <f ca="1">TblExplore[[#This Row],[Land]]-TblExplore[[#This Row],[Land Bonus]]*20</f>
        <v>50</v>
      </c>
      <c r="AF51" s="94">
        <f ca="1">ROUND((0.6*TblExplore[[#This Row],[Land-DB]]^1.299 + IF(TblExplore[[#This Row],[Land-DB]]&lt;1520, (-0.001*(TblExplore[[#This Row],[Land-DB]]^2)+1.91*TblExplore[[#This Row],[Land-DB]]-593), 0))*(1+ tech_2_6*Techs!AC51 + tech_2_9*Techs!AF51 + tech_3_7*Techs!AN51 + Overview!$I$33),0)</f>
        <v>-403</v>
      </c>
      <c r="AG51" s="94">
        <f ca="1">_xlfn.FLOOR.MATH(TblExplore[[#This Row],[Land-DB]]/150)+3+tech_2_9_2*TblTech[[#This Row],[2-9]]+tech_3_7_2*TblTech[[#This Row],[3-7]]</f>
        <v>3</v>
      </c>
      <c r="AH51" s="94">
        <f ca="1">SUM(TblExplore[[#This Row],[Plains Explore]:[Water Explore]])*TblExplore[[#This Row],[Plat/acre]]</f>
        <v>0</v>
      </c>
      <c r="AI51" s="94">
        <f ca="1">SUM(TblExplore[[#This Row],[Plains Explore]:[Water Explore]])*TblExplore[[#This Row],[Draftees/acre]]</f>
        <v>0</v>
      </c>
      <c r="AJ51" s="45">
        <f ca="1">_xlfn.FLOOR.MATH(MIN(TblExplore[[#This Row],[Platinum]]/TblExplore[[#This Row],[Plat/acre]],TblExplore[[#This Row],[Draftees]]/TblExplore[[#This Row],[Draftees/acre]]))</f>
        <v>-417</v>
      </c>
    </row>
    <row r="52" spans="1:36" s="5" customFormat="1" x14ac:dyDescent="0.2">
      <c r="A52" s="193">
        <f>TblRezone[[#This Row],[Hour]]</f>
        <v>49</v>
      </c>
      <c r="B52" s="230">
        <f ca="1">TblConstr[[#This Row],[Land]]</f>
        <v>50</v>
      </c>
      <c r="C52" s="231"/>
      <c r="D52" s="232">
        <f ca="1">TblConstr[[#This Row],[Plain]]</f>
        <v>0</v>
      </c>
      <c r="E52" s="196">
        <f ca="1">TblConstr[[#This Row],[Forest]]</f>
        <v>0</v>
      </c>
      <c r="F52" s="360">
        <f ca="1">TblConstr[[#This Row],[Mountain]]</f>
        <v>0</v>
      </c>
      <c r="G52" s="364">
        <f ca="1">TblConstr[[#This Row],[Hill]]</f>
        <v>0</v>
      </c>
      <c r="H52" s="368">
        <f ca="1">TblConstr[[#This Row],[Swamp]]</f>
        <v>0</v>
      </c>
      <c r="I52" s="199">
        <f ca="1">TblConstr[[#This Row],[Cavern]]</f>
        <v>0</v>
      </c>
      <c r="J52" s="200">
        <f ca="1">TblConstr[[#This Row],[Water]]</f>
        <v>0</v>
      </c>
      <c r="K52" s="208"/>
      <c r="L52" s="439"/>
      <c r="M52" s="440"/>
      <c r="N52" s="441">
        <f ca="1">TblMili[[#This Row],[Smithies]]</f>
        <v>0</v>
      </c>
      <c r="O52" s="441">
        <f ca="1">TblPop[[#This Row],[Employment]]</f>
        <v>1</v>
      </c>
      <c r="P52" s="441">
        <f ca="1">TblImps[[#This Row],[Population]]</f>
        <v>1</v>
      </c>
      <c r="Q52" s="193">
        <f ca="1">TblExplore[[#This Row],[Land]]</f>
        <v>50</v>
      </c>
      <c r="R52" s="193">
        <f>TblExplore[[#This Row],[Hour]]</f>
        <v>49</v>
      </c>
      <c r="S52" s="233"/>
      <c r="T52" s="201"/>
      <c r="U52" s="201"/>
      <c r="V52" s="201"/>
      <c r="W52" s="201"/>
      <c r="X52" s="201"/>
      <c r="Y52" s="201"/>
      <c r="Z52" s="201"/>
      <c r="AA52" s="167">
        <f ca="1">TblImps[[#This Row],[Real time]]</f>
        <v>46321.999999999884</v>
      </c>
      <c r="AB52" s="35">
        <f ca="1">TblMili[[#This Row],[Draftees]]</f>
        <v>477</v>
      </c>
      <c r="AC52" s="35">
        <f ca="1">TblProd[[#This Row],[Platinum]]</f>
        <v>168547</v>
      </c>
      <c r="AD52" s="231"/>
      <c r="AE52" s="5">
        <f ca="1">TblExplore[[#This Row],[Land]]-TblExplore[[#This Row],[Land Bonus]]*20</f>
        <v>50</v>
      </c>
      <c r="AF52" s="35">
        <f ca="1">ROUND((0.6*TblExplore[[#This Row],[Land-DB]]^1.299 + IF(TblExplore[[#This Row],[Land-DB]]&lt;1520, (-0.001*(TblExplore[[#This Row],[Land-DB]]^2)+1.91*TblExplore[[#This Row],[Land-DB]]-593), 0))*(1+ tech_2_6*Techs!AC52 + tech_2_9*Techs!AF52 + tech_3_7*Techs!AN52 + Overview!$I$33),0)</f>
        <v>-403</v>
      </c>
      <c r="AG52" s="35">
        <f ca="1">_xlfn.FLOOR.MATH(TblExplore[[#This Row],[Land-DB]]/150)+3+tech_2_9_2*TblTech[[#This Row],[2-9]]+tech_3_7_2*TblTech[[#This Row],[3-7]]</f>
        <v>3</v>
      </c>
      <c r="AH52" s="35">
        <f ca="1">SUM(TblExplore[[#This Row],[Plains Explore]:[Water Explore]])*TblExplore[[#This Row],[Plat/acre]]</f>
        <v>0</v>
      </c>
      <c r="AI52" s="35">
        <f ca="1">SUM(TblExplore[[#This Row],[Plains Explore]:[Water Explore]])*TblExplore[[#This Row],[Draftees/acre]]</f>
        <v>0</v>
      </c>
      <c r="AJ52" s="5">
        <f ca="1">_xlfn.FLOOR.MATH(MIN(TblExplore[[#This Row],[Platinum]]/TblExplore[[#This Row],[Plat/acre]],TblExplore[[#This Row],[Draftees]]/TblExplore[[#This Row],[Draftees/acre]]))</f>
        <v>-419</v>
      </c>
    </row>
    <row r="53" spans="1:36" x14ac:dyDescent="0.2">
      <c r="A53" s="175">
        <f>TblRezone[[#This Row],[Hour]]</f>
        <v>50</v>
      </c>
      <c r="B53" s="214">
        <f ca="1">TblConstr[[#This Row],[Land]]</f>
        <v>50</v>
      </c>
      <c r="C53" s="215"/>
      <c r="D53" s="216">
        <f ca="1">TblConstr[[#This Row],[Plain]]</f>
        <v>0</v>
      </c>
      <c r="E53" s="182">
        <f ca="1">TblConstr[[#This Row],[Forest]]</f>
        <v>0</v>
      </c>
      <c r="F53" s="359">
        <f ca="1">TblConstr[[#This Row],[Mountain]]</f>
        <v>0</v>
      </c>
      <c r="G53" s="363">
        <f ca="1">TblConstr[[#This Row],[Hill]]</f>
        <v>0</v>
      </c>
      <c r="H53" s="367">
        <f ca="1">TblConstr[[#This Row],[Swamp]]</f>
        <v>0</v>
      </c>
      <c r="I53" s="185">
        <f ca="1">TblConstr[[#This Row],[Cavern]]</f>
        <v>0</v>
      </c>
      <c r="J53" s="186">
        <f ca="1">TblConstr[[#This Row],[Water]]</f>
        <v>0</v>
      </c>
      <c r="K53" s="210"/>
      <c r="L53" s="229"/>
      <c r="M53" s="228"/>
      <c r="N53" s="217">
        <f ca="1">TblMili[[#This Row],[Smithies]]</f>
        <v>0</v>
      </c>
      <c r="O53" s="217">
        <f ca="1">TblPop[[#This Row],[Employment]]</f>
        <v>1</v>
      </c>
      <c r="P53" s="217">
        <f ca="1">TblImps[[#This Row],[Population]]</f>
        <v>1</v>
      </c>
      <c r="Q53" s="175">
        <f ca="1">TblExplore[[#This Row],[Land]]</f>
        <v>50</v>
      </c>
      <c r="R53" s="175">
        <f>TblExplore[[#This Row],[Hour]]</f>
        <v>50</v>
      </c>
      <c r="S53" s="218"/>
      <c r="T53" s="179"/>
      <c r="U53" s="179"/>
      <c r="V53" s="179"/>
      <c r="W53" s="179"/>
      <c r="X53" s="179"/>
      <c r="Y53" s="179"/>
      <c r="Z53" s="179"/>
      <c r="AA53" s="159">
        <f ca="1">TblImps[[#This Row],[Real time]]</f>
        <v>46322.041666666548</v>
      </c>
      <c r="AB53" s="94">
        <f ca="1">TblMili[[#This Row],[Draftees]]</f>
        <v>480</v>
      </c>
      <c r="AC53" s="94">
        <f ca="1">TblProd[[#This Row],[Platinum]]</f>
        <v>169335</v>
      </c>
      <c r="AD53" s="215"/>
      <c r="AE53" s="45">
        <f ca="1">TblExplore[[#This Row],[Land]]-TblExplore[[#This Row],[Land Bonus]]*20</f>
        <v>50</v>
      </c>
      <c r="AF53" s="94">
        <f ca="1">ROUND((0.6*TblExplore[[#This Row],[Land-DB]]^1.299 + IF(TblExplore[[#This Row],[Land-DB]]&lt;1520, (-0.001*(TblExplore[[#This Row],[Land-DB]]^2)+1.91*TblExplore[[#This Row],[Land-DB]]-593), 0))*(1+ tech_2_6*Techs!AC53 + tech_2_9*Techs!AF53 + tech_3_7*Techs!AN53 + Overview!$I$33),0)</f>
        <v>-403</v>
      </c>
      <c r="AG53" s="94">
        <f ca="1">_xlfn.FLOOR.MATH(TblExplore[[#This Row],[Land-DB]]/150)+3+tech_2_9_2*TblTech[[#This Row],[2-9]]+tech_3_7_2*TblTech[[#This Row],[3-7]]</f>
        <v>3</v>
      </c>
      <c r="AH53" s="94">
        <f ca="1">SUM(TblExplore[[#This Row],[Plains Explore]:[Water Explore]])*TblExplore[[#This Row],[Plat/acre]]</f>
        <v>0</v>
      </c>
      <c r="AI53" s="94">
        <f ca="1">SUM(TblExplore[[#This Row],[Plains Explore]:[Water Explore]])*TblExplore[[#This Row],[Draftees/acre]]</f>
        <v>0</v>
      </c>
      <c r="AJ53" s="45">
        <f ca="1">_xlfn.FLOOR.MATH(MIN(TblExplore[[#This Row],[Platinum]]/TblExplore[[#This Row],[Plat/acre]],TblExplore[[#This Row],[Draftees]]/TblExplore[[#This Row],[Draftees/acre]]))</f>
        <v>-421</v>
      </c>
    </row>
    <row r="54" spans="1:36" x14ac:dyDescent="0.2">
      <c r="A54" s="175">
        <f>TblRezone[[#This Row],[Hour]]</f>
        <v>51</v>
      </c>
      <c r="B54" s="214">
        <f ca="1">TblConstr[[#This Row],[Land]]</f>
        <v>50</v>
      </c>
      <c r="C54" s="215"/>
      <c r="D54" s="216">
        <f ca="1">TblConstr[[#This Row],[Plain]]</f>
        <v>0</v>
      </c>
      <c r="E54" s="182">
        <f ca="1">TblConstr[[#This Row],[Forest]]</f>
        <v>0</v>
      </c>
      <c r="F54" s="359">
        <f ca="1">TblConstr[[#This Row],[Mountain]]</f>
        <v>0</v>
      </c>
      <c r="G54" s="363">
        <f ca="1">TblConstr[[#This Row],[Hill]]</f>
        <v>0</v>
      </c>
      <c r="H54" s="367">
        <f ca="1">TblConstr[[#This Row],[Swamp]]</f>
        <v>0</v>
      </c>
      <c r="I54" s="185">
        <f ca="1">TblConstr[[#This Row],[Cavern]]</f>
        <v>0</v>
      </c>
      <c r="J54" s="186">
        <f ca="1">TblConstr[[#This Row],[Water]]</f>
        <v>0</v>
      </c>
      <c r="K54" s="210"/>
      <c r="L54" s="371" t="s">
        <v>1033</v>
      </c>
      <c r="M54" s="372" t="s">
        <v>301</v>
      </c>
      <c r="N54" s="217">
        <f ca="1">TblMili[[#This Row],[Smithies]]</f>
        <v>0</v>
      </c>
      <c r="O54" s="217">
        <f ca="1">TblPop[[#This Row],[Employment]]</f>
        <v>1</v>
      </c>
      <c r="P54" s="217">
        <f ca="1">TblImps[[#This Row],[Population]]</f>
        <v>1</v>
      </c>
      <c r="Q54" s="175">
        <f ca="1">TblExplore[[#This Row],[Land]]</f>
        <v>50</v>
      </c>
      <c r="R54" s="175">
        <f>TblExplore[[#This Row],[Hour]]</f>
        <v>51</v>
      </c>
      <c r="S54" s="218"/>
      <c r="T54" s="179"/>
      <c r="U54" s="179"/>
      <c r="V54" s="179"/>
      <c r="W54" s="179"/>
      <c r="X54" s="179"/>
      <c r="Y54" s="179"/>
      <c r="Z54" s="179"/>
      <c r="AA54" s="159">
        <f ca="1">TblImps[[#This Row],[Real time]]</f>
        <v>46322.083333333212</v>
      </c>
      <c r="AB54" s="94">
        <f ca="1">TblMili[[#This Row],[Draftees]]</f>
        <v>483</v>
      </c>
      <c r="AC54" s="94">
        <f ca="1">TblProd[[#This Row],[Platinum]]</f>
        <v>170115</v>
      </c>
      <c r="AD54" s="215"/>
      <c r="AE54" s="45">
        <f ca="1">TblExplore[[#This Row],[Land]]-TblExplore[[#This Row],[Land Bonus]]*20</f>
        <v>50</v>
      </c>
      <c r="AF54" s="94">
        <f ca="1">ROUND((0.6*TblExplore[[#This Row],[Land-DB]]^1.299 + IF(TblExplore[[#This Row],[Land-DB]]&lt;1520, (-0.001*(TblExplore[[#This Row],[Land-DB]]^2)+1.91*TblExplore[[#This Row],[Land-DB]]-593), 0))*(1+ tech_2_6*Techs!AC54 + tech_2_9*Techs!AF54 + tech_3_7*Techs!AN54 + Overview!$I$33),0)</f>
        <v>-403</v>
      </c>
      <c r="AG54" s="94">
        <f ca="1">_xlfn.FLOOR.MATH(TblExplore[[#This Row],[Land-DB]]/150)+3+tech_2_9_2*TblTech[[#This Row],[2-9]]+tech_3_7_2*TblTech[[#This Row],[3-7]]</f>
        <v>3</v>
      </c>
      <c r="AH54" s="94">
        <f ca="1">SUM(TblExplore[[#This Row],[Plains Explore]:[Water Explore]])*TblExplore[[#This Row],[Plat/acre]]</f>
        <v>0</v>
      </c>
      <c r="AI54" s="94">
        <f ca="1">SUM(TblExplore[[#This Row],[Plains Explore]:[Water Explore]])*TblExplore[[#This Row],[Draftees/acre]]</f>
        <v>0</v>
      </c>
      <c r="AJ54" s="45">
        <f ca="1">_xlfn.FLOOR.MATH(MIN(TblExplore[[#This Row],[Platinum]]/TblExplore[[#This Row],[Plat/acre]],TblExplore[[#This Row],[Draftees]]/TblExplore[[#This Row],[Draftees/acre]]))</f>
        <v>-423</v>
      </c>
    </row>
    <row r="55" spans="1:36" x14ac:dyDescent="0.2">
      <c r="A55" s="175">
        <f>TblRezone[[#This Row],[Hour]]</f>
        <v>52</v>
      </c>
      <c r="B55" s="214">
        <f ca="1">TblConstr[[#This Row],[Land]]</f>
        <v>50</v>
      </c>
      <c r="C55" s="215"/>
      <c r="D55" s="216">
        <f ca="1">TblConstr[[#This Row],[Plain]]</f>
        <v>0</v>
      </c>
      <c r="E55" s="182">
        <f ca="1">TblConstr[[#This Row],[Forest]]</f>
        <v>0</v>
      </c>
      <c r="F55" s="359">
        <f ca="1">TblConstr[[#This Row],[Mountain]]</f>
        <v>0</v>
      </c>
      <c r="G55" s="363">
        <f ca="1">TblConstr[[#This Row],[Hill]]</f>
        <v>0</v>
      </c>
      <c r="H55" s="367">
        <f ca="1">TblConstr[[#This Row],[Swamp]]</f>
        <v>0</v>
      </c>
      <c r="I55" s="185">
        <f ca="1">TblConstr[[#This Row],[Cavern]]</f>
        <v>0</v>
      </c>
      <c r="J55" s="186">
        <f ca="1">TblConstr[[#This Row],[Water]]</f>
        <v>0</v>
      </c>
      <c r="K55" s="210"/>
      <c r="L55" s="373">
        <v>5</v>
      </c>
      <c r="M55" s="374">
        <f>(TblExplore[[#This Row],[Column3]]-3+1)*150-1</f>
        <v>449</v>
      </c>
      <c r="N55" s="217">
        <f ca="1">TblMili[[#This Row],[Smithies]]</f>
        <v>0</v>
      </c>
      <c r="O55" s="217">
        <f ca="1">TblPop[[#This Row],[Employment]]</f>
        <v>1</v>
      </c>
      <c r="P55" s="217">
        <f ca="1">TblImps[[#This Row],[Population]]</f>
        <v>1</v>
      </c>
      <c r="Q55" s="175">
        <f ca="1">TblExplore[[#This Row],[Land]]</f>
        <v>50</v>
      </c>
      <c r="R55" s="175">
        <f>TblExplore[[#This Row],[Hour]]</f>
        <v>52</v>
      </c>
      <c r="S55" s="218"/>
      <c r="T55" s="179"/>
      <c r="U55" s="179"/>
      <c r="V55" s="179"/>
      <c r="W55" s="179"/>
      <c r="X55" s="179"/>
      <c r="Y55" s="179"/>
      <c r="Z55" s="179"/>
      <c r="AA55" s="159">
        <f ca="1">TblImps[[#This Row],[Real time]]</f>
        <v>46322.124999999876</v>
      </c>
      <c r="AB55" s="94">
        <f ca="1">TblMili[[#This Row],[Draftees]]</f>
        <v>486</v>
      </c>
      <c r="AC55" s="94">
        <f ca="1">TblProd[[#This Row],[Platinum]]</f>
        <v>170887</v>
      </c>
      <c r="AD55" s="215"/>
      <c r="AE55" s="45">
        <f ca="1">TblExplore[[#This Row],[Land]]-TblExplore[[#This Row],[Land Bonus]]*20</f>
        <v>50</v>
      </c>
      <c r="AF55" s="94">
        <f ca="1">ROUND((0.6*TblExplore[[#This Row],[Land-DB]]^1.299 + IF(TblExplore[[#This Row],[Land-DB]]&lt;1520, (-0.001*(TblExplore[[#This Row],[Land-DB]]^2)+1.91*TblExplore[[#This Row],[Land-DB]]-593), 0))*(1+ tech_2_6*Techs!AC55 + tech_2_9*Techs!AF55 + tech_3_7*Techs!AN55 + Overview!$I$33),0)</f>
        <v>-403</v>
      </c>
      <c r="AG55" s="94">
        <f ca="1">_xlfn.FLOOR.MATH(TblExplore[[#This Row],[Land-DB]]/150)+3+tech_2_9_2*TblTech[[#This Row],[2-9]]+tech_3_7_2*TblTech[[#This Row],[3-7]]</f>
        <v>3</v>
      </c>
      <c r="AH55" s="94">
        <f ca="1">SUM(TblExplore[[#This Row],[Plains Explore]:[Water Explore]])*TblExplore[[#This Row],[Plat/acre]]</f>
        <v>0</v>
      </c>
      <c r="AI55" s="94">
        <f ca="1">SUM(TblExplore[[#This Row],[Plains Explore]:[Water Explore]])*TblExplore[[#This Row],[Draftees/acre]]</f>
        <v>0</v>
      </c>
      <c r="AJ55" s="45">
        <f ca="1">_xlfn.FLOOR.MATH(MIN(TblExplore[[#This Row],[Platinum]]/TblExplore[[#This Row],[Plat/acre]],TblExplore[[#This Row],[Draftees]]/TblExplore[[#This Row],[Draftees/acre]]))</f>
        <v>-425</v>
      </c>
    </row>
    <row r="56" spans="1:36" x14ac:dyDescent="0.2">
      <c r="A56" s="175">
        <f>TblRezone[[#This Row],[Hour]]</f>
        <v>53</v>
      </c>
      <c r="B56" s="214">
        <f ca="1">TblConstr[[#This Row],[Land]]</f>
        <v>50</v>
      </c>
      <c r="C56" s="215"/>
      <c r="D56" s="216">
        <f ca="1">TblConstr[[#This Row],[Plain]]</f>
        <v>0</v>
      </c>
      <c r="E56" s="182">
        <f ca="1">TblConstr[[#This Row],[Forest]]</f>
        <v>0</v>
      </c>
      <c r="F56" s="359">
        <f ca="1">TblConstr[[#This Row],[Mountain]]</f>
        <v>0</v>
      </c>
      <c r="G56" s="363">
        <f ca="1">TblConstr[[#This Row],[Hill]]</f>
        <v>0</v>
      </c>
      <c r="H56" s="367">
        <f ca="1">TblConstr[[#This Row],[Swamp]]</f>
        <v>0</v>
      </c>
      <c r="I56" s="185">
        <f ca="1">TblConstr[[#This Row],[Cavern]]</f>
        <v>0</v>
      </c>
      <c r="J56" s="186">
        <f ca="1">TblConstr[[#This Row],[Water]]</f>
        <v>0</v>
      </c>
      <c r="K56" s="210"/>
      <c r="L56" s="373">
        <f>L55+1</f>
        <v>6</v>
      </c>
      <c r="M56" s="374">
        <f>(TblExplore[[#This Row],[Column3]]-3+1)*150-1</f>
        <v>599</v>
      </c>
      <c r="N56" s="217">
        <f ca="1">TblMili[[#This Row],[Smithies]]</f>
        <v>0</v>
      </c>
      <c r="O56" s="217">
        <f ca="1">TblPop[[#This Row],[Employment]]</f>
        <v>1</v>
      </c>
      <c r="P56" s="217">
        <f ca="1">TblImps[[#This Row],[Population]]</f>
        <v>1</v>
      </c>
      <c r="Q56" s="175">
        <f ca="1">TblExplore[[#This Row],[Land]]</f>
        <v>50</v>
      </c>
      <c r="R56" s="175">
        <f>TblExplore[[#This Row],[Hour]]</f>
        <v>53</v>
      </c>
      <c r="S56" s="218"/>
      <c r="T56" s="179"/>
      <c r="U56" s="179"/>
      <c r="V56" s="179"/>
      <c r="W56" s="179"/>
      <c r="X56" s="179"/>
      <c r="Y56" s="179"/>
      <c r="Z56" s="179"/>
      <c r="AA56" s="159">
        <f ca="1">TblImps[[#This Row],[Real time]]</f>
        <v>46322.166666666541</v>
      </c>
      <c r="AB56" s="94">
        <f ca="1">TblMili[[#This Row],[Draftees]]</f>
        <v>489</v>
      </c>
      <c r="AC56" s="94">
        <f ca="1">TblProd[[#This Row],[Platinum]]</f>
        <v>171651</v>
      </c>
      <c r="AD56" s="215"/>
      <c r="AE56" s="45">
        <f ca="1">TblExplore[[#This Row],[Land]]-TblExplore[[#This Row],[Land Bonus]]*20</f>
        <v>50</v>
      </c>
      <c r="AF56" s="94">
        <f ca="1">ROUND((0.6*TblExplore[[#This Row],[Land-DB]]^1.299 + IF(TblExplore[[#This Row],[Land-DB]]&lt;1520, (-0.001*(TblExplore[[#This Row],[Land-DB]]^2)+1.91*TblExplore[[#This Row],[Land-DB]]-593), 0))*(1+ tech_2_6*Techs!AC56 + tech_2_9*Techs!AF56 + tech_3_7*Techs!AN56 + Overview!$I$33),0)</f>
        <v>-403</v>
      </c>
      <c r="AG56" s="94">
        <f ca="1">_xlfn.FLOOR.MATH(TblExplore[[#This Row],[Land-DB]]/150)+3+tech_2_9_2*TblTech[[#This Row],[2-9]]+tech_3_7_2*TblTech[[#This Row],[3-7]]</f>
        <v>3</v>
      </c>
      <c r="AH56" s="94">
        <f ca="1">SUM(TblExplore[[#This Row],[Plains Explore]:[Water Explore]])*TblExplore[[#This Row],[Plat/acre]]</f>
        <v>0</v>
      </c>
      <c r="AI56" s="94">
        <f ca="1">SUM(TblExplore[[#This Row],[Plains Explore]:[Water Explore]])*TblExplore[[#This Row],[Draftees/acre]]</f>
        <v>0</v>
      </c>
      <c r="AJ56" s="45">
        <f ca="1">_xlfn.FLOOR.MATH(MIN(TblExplore[[#This Row],[Platinum]]/TblExplore[[#This Row],[Plat/acre]],TblExplore[[#This Row],[Draftees]]/TblExplore[[#This Row],[Draftees/acre]]))</f>
        <v>-426</v>
      </c>
    </row>
    <row r="57" spans="1:36" x14ac:dyDescent="0.2">
      <c r="A57" s="175">
        <f>TblRezone[[#This Row],[Hour]]</f>
        <v>54</v>
      </c>
      <c r="B57" s="214">
        <f ca="1">TblConstr[[#This Row],[Land]]</f>
        <v>50</v>
      </c>
      <c r="C57" s="215"/>
      <c r="D57" s="216">
        <f ca="1">TblConstr[[#This Row],[Plain]]</f>
        <v>0</v>
      </c>
      <c r="E57" s="182">
        <f ca="1">TblConstr[[#This Row],[Forest]]</f>
        <v>0</v>
      </c>
      <c r="F57" s="359">
        <f ca="1">TblConstr[[#This Row],[Mountain]]</f>
        <v>0</v>
      </c>
      <c r="G57" s="363">
        <f ca="1">TblConstr[[#This Row],[Hill]]</f>
        <v>0</v>
      </c>
      <c r="H57" s="367">
        <f ca="1">TblConstr[[#This Row],[Swamp]]</f>
        <v>0</v>
      </c>
      <c r="I57" s="185">
        <f ca="1">TblConstr[[#This Row],[Cavern]]</f>
        <v>0</v>
      </c>
      <c r="J57" s="186">
        <f ca="1">TblConstr[[#This Row],[Water]]</f>
        <v>0</v>
      </c>
      <c r="K57" s="210"/>
      <c r="L57" s="373">
        <f t="shared" ref="L57:L69" si="0">L56+1</f>
        <v>7</v>
      </c>
      <c r="M57" s="374">
        <f>(TblExplore[[#This Row],[Column3]]-3+1)*150-1</f>
        <v>749</v>
      </c>
      <c r="N57" s="217">
        <f ca="1">TblMili[[#This Row],[Smithies]]</f>
        <v>0</v>
      </c>
      <c r="O57" s="217">
        <f ca="1">TblPop[[#This Row],[Employment]]</f>
        <v>1</v>
      </c>
      <c r="P57" s="217">
        <f ca="1">TblImps[[#This Row],[Population]]</f>
        <v>1</v>
      </c>
      <c r="Q57" s="175">
        <f ca="1">TblExplore[[#This Row],[Land]]</f>
        <v>50</v>
      </c>
      <c r="R57" s="175">
        <f>TblExplore[[#This Row],[Hour]]</f>
        <v>54</v>
      </c>
      <c r="S57" s="218"/>
      <c r="T57" s="179"/>
      <c r="U57" s="179"/>
      <c r="V57" s="179"/>
      <c r="W57" s="179"/>
      <c r="X57" s="179"/>
      <c r="Y57" s="179"/>
      <c r="Z57" s="179"/>
      <c r="AA57" s="159">
        <f ca="1">TblImps[[#This Row],[Real time]]</f>
        <v>46322.208333333205</v>
      </c>
      <c r="AB57" s="94">
        <f ca="1">TblMili[[#This Row],[Draftees]]</f>
        <v>492</v>
      </c>
      <c r="AC57" s="94">
        <f ca="1">TblProd[[#This Row],[Platinum]]</f>
        <v>172407</v>
      </c>
      <c r="AD57" s="215"/>
      <c r="AE57" s="45">
        <f ca="1">TblExplore[[#This Row],[Land]]-TblExplore[[#This Row],[Land Bonus]]*20</f>
        <v>50</v>
      </c>
      <c r="AF57" s="94">
        <f ca="1">ROUND((0.6*TblExplore[[#This Row],[Land-DB]]^1.299 + IF(TblExplore[[#This Row],[Land-DB]]&lt;1520, (-0.001*(TblExplore[[#This Row],[Land-DB]]^2)+1.91*TblExplore[[#This Row],[Land-DB]]-593), 0))*(1+ tech_2_6*Techs!AC57 + tech_2_9*Techs!AF57 + tech_3_7*Techs!AN57 + Overview!$I$33),0)</f>
        <v>-403</v>
      </c>
      <c r="AG57" s="94">
        <f ca="1">_xlfn.FLOOR.MATH(TblExplore[[#This Row],[Land-DB]]/150)+3+tech_2_9_2*TblTech[[#This Row],[2-9]]+tech_3_7_2*TblTech[[#This Row],[3-7]]</f>
        <v>3</v>
      </c>
      <c r="AH57" s="94">
        <f ca="1">SUM(TblExplore[[#This Row],[Plains Explore]:[Water Explore]])*TblExplore[[#This Row],[Plat/acre]]</f>
        <v>0</v>
      </c>
      <c r="AI57" s="94">
        <f ca="1">SUM(TblExplore[[#This Row],[Plains Explore]:[Water Explore]])*TblExplore[[#This Row],[Draftees/acre]]</f>
        <v>0</v>
      </c>
      <c r="AJ57" s="45">
        <f ca="1">_xlfn.FLOOR.MATH(MIN(TblExplore[[#This Row],[Platinum]]/TblExplore[[#This Row],[Plat/acre]],TblExplore[[#This Row],[Draftees]]/TblExplore[[#This Row],[Draftees/acre]]))</f>
        <v>-428</v>
      </c>
    </row>
    <row r="58" spans="1:36" x14ac:dyDescent="0.2">
      <c r="A58" s="175">
        <f>TblRezone[[#This Row],[Hour]]</f>
        <v>55</v>
      </c>
      <c r="B58" s="214">
        <f ca="1">TblConstr[[#This Row],[Land]]</f>
        <v>50</v>
      </c>
      <c r="C58" s="215"/>
      <c r="D58" s="216">
        <f ca="1">TblConstr[[#This Row],[Plain]]</f>
        <v>0</v>
      </c>
      <c r="E58" s="182">
        <f ca="1">TblConstr[[#This Row],[Forest]]</f>
        <v>0</v>
      </c>
      <c r="F58" s="359">
        <f ca="1">TblConstr[[#This Row],[Mountain]]</f>
        <v>0</v>
      </c>
      <c r="G58" s="363">
        <f ca="1">TblConstr[[#This Row],[Hill]]</f>
        <v>0</v>
      </c>
      <c r="H58" s="367">
        <f ca="1">TblConstr[[#This Row],[Swamp]]</f>
        <v>0</v>
      </c>
      <c r="I58" s="185">
        <f ca="1">TblConstr[[#This Row],[Cavern]]</f>
        <v>0</v>
      </c>
      <c r="J58" s="186">
        <f ca="1">TblConstr[[#This Row],[Water]]</f>
        <v>0</v>
      </c>
      <c r="K58" s="210"/>
      <c r="L58" s="373">
        <f t="shared" si="0"/>
        <v>8</v>
      </c>
      <c r="M58" s="374">
        <f>(TblExplore[[#This Row],[Column3]]-3+1)*150-1</f>
        <v>899</v>
      </c>
      <c r="N58" s="217">
        <f ca="1">TblMili[[#This Row],[Smithies]]</f>
        <v>0</v>
      </c>
      <c r="O58" s="217">
        <f ca="1">TblPop[[#This Row],[Employment]]</f>
        <v>1</v>
      </c>
      <c r="P58" s="217">
        <f ca="1">TblImps[[#This Row],[Population]]</f>
        <v>1</v>
      </c>
      <c r="Q58" s="175">
        <f ca="1">TblExplore[[#This Row],[Land]]</f>
        <v>50</v>
      </c>
      <c r="R58" s="175">
        <f>TblExplore[[#This Row],[Hour]]</f>
        <v>55</v>
      </c>
      <c r="S58" s="218"/>
      <c r="T58" s="179"/>
      <c r="U58" s="179"/>
      <c r="V58" s="179"/>
      <c r="W58" s="179"/>
      <c r="X58" s="179"/>
      <c r="Y58" s="179"/>
      <c r="Z58" s="179"/>
      <c r="AA58" s="159">
        <f ca="1">TblImps[[#This Row],[Real time]]</f>
        <v>46322.249999999869</v>
      </c>
      <c r="AB58" s="94">
        <f ca="1">TblMili[[#This Row],[Draftees]]</f>
        <v>495</v>
      </c>
      <c r="AC58" s="94">
        <f ca="1">TblProd[[#This Row],[Platinum]]</f>
        <v>173154</v>
      </c>
      <c r="AD58" s="215"/>
      <c r="AE58" s="45">
        <f ca="1">TblExplore[[#This Row],[Land]]-TblExplore[[#This Row],[Land Bonus]]*20</f>
        <v>50</v>
      </c>
      <c r="AF58" s="94">
        <f ca="1">ROUND((0.6*TblExplore[[#This Row],[Land-DB]]^1.299 + IF(TblExplore[[#This Row],[Land-DB]]&lt;1520, (-0.001*(TblExplore[[#This Row],[Land-DB]]^2)+1.91*TblExplore[[#This Row],[Land-DB]]-593), 0))*(1+ tech_2_6*Techs!AC58 + tech_2_9*Techs!AF58 + tech_3_7*Techs!AN58 + Overview!$I$33),0)</f>
        <v>-403</v>
      </c>
      <c r="AG58" s="94">
        <f ca="1">_xlfn.FLOOR.MATH(TblExplore[[#This Row],[Land-DB]]/150)+3+tech_2_9_2*TblTech[[#This Row],[2-9]]+tech_3_7_2*TblTech[[#This Row],[3-7]]</f>
        <v>3</v>
      </c>
      <c r="AH58" s="94">
        <f ca="1">SUM(TblExplore[[#This Row],[Plains Explore]:[Water Explore]])*TblExplore[[#This Row],[Plat/acre]]</f>
        <v>0</v>
      </c>
      <c r="AI58" s="94">
        <f ca="1">SUM(TblExplore[[#This Row],[Plains Explore]:[Water Explore]])*TblExplore[[#This Row],[Draftees/acre]]</f>
        <v>0</v>
      </c>
      <c r="AJ58" s="45">
        <f ca="1">_xlfn.FLOOR.MATH(MIN(TblExplore[[#This Row],[Platinum]]/TblExplore[[#This Row],[Plat/acre]],TblExplore[[#This Row],[Draftees]]/TblExplore[[#This Row],[Draftees/acre]]))</f>
        <v>-430</v>
      </c>
    </row>
    <row r="59" spans="1:36" x14ac:dyDescent="0.2">
      <c r="A59" s="175">
        <f>TblRezone[[#This Row],[Hour]]</f>
        <v>56</v>
      </c>
      <c r="B59" s="214">
        <f ca="1">TblConstr[[#This Row],[Land]]</f>
        <v>50</v>
      </c>
      <c r="C59" s="215"/>
      <c r="D59" s="216">
        <f ca="1">TblConstr[[#This Row],[Plain]]</f>
        <v>0</v>
      </c>
      <c r="E59" s="182">
        <f ca="1">TblConstr[[#This Row],[Forest]]</f>
        <v>0</v>
      </c>
      <c r="F59" s="359">
        <f ca="1">TblConstr[[#This Row],[Mountain]]</f>
        <v>0</v>
      </c>
      <c r="G59" s="363">
        <f ca="1">TblConstr[[#This Row],[Hill]]</f>
        <v>0</v>
      </c>
      <c r="H59" s="367">
        <f ca="1">TblConstr[[#This Row],[Swamp]]</f>
        <v>0</v>
      </c>
      <c r="I59" s="185">
        <f ca="1">TblConstr[[#This Row],[Cavern]]</f>
        <v>0</v>
      </c>
      <c r="J59" s="186">
        <f ca="1">TblConstr[[#This Row],[Water]]</f>
        <v>0</v>
      </c>
      <c r="K59" s="210"/>
      <c r="L59" s="373">
        <f t="shared" si="0"/>
        <v>9</v>
      </c>
      <c r="M59" s="374">
        <f>(TblExplore[[#This Row],[Column3]]-3+1)*150-1</f>
        <v>1049</v>
      </c>
      <c r="N59" s="217">
        <f ca="1">TblMili[[#This Row],[Smithies]]</f>
        <v>0</v>
      </c>
      <c r="O59" s="217">
        <f ca="1">TblPop[[#This Row],[Employment]]</f>
        <v>1</v>
      </c>
      <c r="P59" s="217">
        <f ca="1">TblImps[[#This Row],[Population]]</f>
        <v>1</v>
      </c>
      <c r="Q59" s="175">
        <f ca="1">TblExplore[[#This Row],[Land]]</f>
        <v>50</v>
      </c>
      <c r="R59" s="175">
        <f>TblExplore[[#This Row],[Hour]]</f>
        <v>56</v>
      </c>
      <c r="S59" s="218"/>
      <c r="T59" s="179"/>
      <c r="U59" s="179"/>
      <c r="V59" s="179"/>
      <c r="W59" s="179"/>
      <c r="X59" s="179"/>
      <c r="Y59" s="179"/>
      <c r="Z59" s="179"/>
      <c r="AA59" s="159">
        <f ca="1">TblImps[[#This Row],[Real time]]</f>
        <v>46322.291666666533</v>
      </c>
      <c r="AB59" s="94">
        <f ca="1">TblMili[[#This Row],[Draftees]]</f>
        <v>498</v>
      </c>
      <c r="AC59" s="94">
        <f ca="1">TblProd[[#This Row],[Platinum]]</f>
        <v>173893</v>
      </c>
      <c r="AD59" s="215"/>
      <c r="AE59" s="45">
        <f ca="1">TblExplore[[#This Row],[Land]]-TblExplore[[#This Row],[Land Bonus]]*20</f>
        <v>50</v>
      </c>
      <c r="AF59" s="94">
        <f ca="1">ROUND((0.6*TblExplore[[#This Row],[Land-DB]]^1.299 + IF(TblExplore[[#This Row],[Land-DB]]&lt;1520, (-0.001*(TblExplore[[#This Row],[Land-DB]]^2)+1.91*TblExplore[[#This Row],[Land-DB]]-593), 0))*(1+ tech_2_6*Techs!AC59 + tech_2_9*Techs!AF59 + tech_3_7*Techs!AN59 + Overview!$I$33),0)</f>
        <v>-403</v>
      </c>
      <c r="AG59" s="94">
        <f ca="1">_xlfn.FLOOR.MATH(TblExplore[[#This Row],[Land-DB]]/150)+3+tech_2_9_2*TblTech[[#This Row],[2-9]]+tech_3_7_2*TblTech[[#This Row],[3-7]]</f>
        <v>3</v>
      </c>
      <c r="AH59" s="94">
        <f ca="1">SUM(TblExplore[[#This Row],[Plains Explore]:[Water Explore]])*TblExplore[[#This Row],[Plat/acre]]</f>
        <v>0</v>
      </c>
      <c r="AI59" s="94">
        <f ca="1">SUM(TblExplore[[#This Row],[Plains Explore]:[Water Explore]])*TblExplore[[#This Row],[Draftees/acre]]</f>
        <v>0</v>
      </c>
      <c r="AJ59" s="45">
        <f ca="1">_xlfn.FLOOR.MATH(MIN(TblExplore[[#This Row],[Platinum]]/TblExplore[[#This Row],[Plat/acre]],TblExplore[[#This Row],[Draftees]]/TblExplore[[#This Row],[Draftees/acre]]))</f>
        <v>-432</v>
      </c>
    </row>
    <row r="60" spans="1:36" x14ac:dyDescent="0.2">
      <c r="A60" s="175">
        <f>TblRezone[[#This Row],[Hour]]</f>
        <v>57</v>
      </c>
      <c r="B60" s="214">
        <f ca="1">TblConstr[[#This Row],[Land]]</f>
        <v>50</v>
      </c>
      <c r="C60" s="215"/>
      <c r="D60" s="216">
        <f ca="1">TblConstr[[#This Row],[Plain]]</f>
        <v>0</v>
      </c>
      <c r="E60" s="182">
        <f ca="1">TblConstr[[#This Row],[Forest]]</f>
        <v>0</v>
      </c>
      <c r="F60" s="359">
        <f ca="1">TblConstr[[#This Row],[Mountain]]</f>
        <v>0</v>
      </c>
      <c r="G60" s="363">
        <f ca="1">TblConstr[[#This Row],[Hill]]</f>
        <v>0</v>
      </c>
      <c r="H60" s="367">
        <f ca="1">TblConstr[[#This Row],[Swamp]]</f>
        <v>0</v>
      </c>
      <c r="I60" s="185">
        <f ca="1">TblConstr[[#This Row],[Cavern]]</f>
        <v>0</v>
      </c>
      <c r="J60" s="186">
        <f ca="1">TblConstr[[#This Row],[Water]]</f>
        <v>0</v>
      </c>
      <c r="K60" s="210"/>
      <c r="L60" s="373">
        <f t="shared" si="0"/>
        <v>10</v>
      </c>
      <c r="M60" s="374">
        <f>(TblExplore[[#This Row],[Column3]]-3+1)*150-1</f>
        <v>1199</v>
      </c>
      <c r="N60" s="217">
        <f ca="1">TblMili[[#This Row],[Smithies]]</f>
        <v>0</v>
      </c>
      <c r="O60" s="217">
        <f ca="1">TblPop[[#This Row],[Employment]]</f>
        <v>1</v>
      </c>
      <c r="P60" s="217">
        <f ca="1">TblImps[[#This Row],[Population]]</f>
        <v>1</v>
      </c>
      <c r="Q60" s="175">
        <f ca="1">TblExplore[[#This Row],[Land]]</f>
        <v>50</v>
      </c>
      <c r="R60" s="175">
        <f>TblExplore[[#This Row],[Hour]]</f>
        <v>57</v>
      </c>
      <c r="S60" s="218"/>
      <c r="T60" s="179"/>
      <c r="U60" s="179"/>
      <c r="V60" s="179"/>
      <c r="W60" s="179"/>
      <c r="X60" s="179"/>
      <c r="Y60" s="179"/>
      <c r="Z60" s="179"/>
      <c r="AA60" s="159">
        <f ca="1">TblImps[[#This Row],[Real time]]</f>
        <v>46322.333333333198</v>
      </c>
      <c r="AB60" s="94">
        <f ca="1">TblMili[[#This Row],[Draftees]]</f>
        <v>501</v>
      </c>
      <c r="AC60" s="94">
        <f ca="1">TblProd[[#This Row],[Platinum]]</f>
        <v>174624</v>
      </c>
      <c r="AD60" s="215"/>
      <c r="AE60" s="45">
        <f ca="1">TblExplore[[#This Row],[Land]]-TblExplore[[#This Row],[Land Bonus]]*20</f>
        <v>50</v>
      </c>
      <c r="AF60" s="94">
        <f ca="1">ROUND((0.6*TblExplore[[#This Row],[Land-DB]]^1.299 + IF(TblExplore[[#This Row],[Land-DB]]&lt;1520, (-0.001*(TblExplore[[#This Row],[Land-DB]]^2)+1.91*TblExplore[[#This Row],[Land-DB]]-593), 0))*(1+ tech_2_6*Techs!AC60 + tech_2_9*Techs!AF60 + tech_3_7*Techs!AN60 + Overview!$I$33),0)</f>
        <v>-403</v>
      </c>
      <c r="AG60" s="94">
        <f ca="1">_xlfn.FLOOR.MATH(TblExplore[[#This Row],[Land-DB]]/150)+3+tech_2_9_2*TblTech[[#This Row],[2-9]]+tech_3_7_2*TblTech[[#This Row],[3-7]]</f>
        <v>3</v>
      </c>
      <c r="AH60" s="94">
        <f ca="1">SUM(TblExplore[[#This Row],[Plains Explore]:[Water Explore]])*TblExplore[[#This Row],[Plat/acre]]</f>
        <v>0</v>
      </c>
      <c r="AI60" s="94">
        <f ca="1">SUM(TblExplore[[#This Row],[Plains Explore]:[Water Explore]])*TblExplore[[#This Row],[Draftees/acre]]</f>
        <v>0</v>
      </c>
      <c r="AJ60" s="45">
        <f ca="1">_xlfn.FLOOR.MATH(MIN(TblExplore[[#This Row],[Platinum]]/TblExplore[[#This Row],[Plat/acre]],TblExplore[[#This Row],[Draftees]]/TblExplore[[#This Row],[Draftees/acre]]))</f>
        <v>-434</v>
      </c>
    </row>
    <row r="61" spans="1:36" x14ac:dyDescent="0.2">
      <c r="A61" s="175">
        <f>TblRezone[[#This Row],[Hour]]</f>
        <v>58</v>
      </c>
      <c r="B61" s="214">
        <f ca="1">TblConstr[[#This Row],[Land]]</f>
        <v>50</v>
      </c>
      <c r="C61" s="215"/>
      <c r="D61" s="216">
        <f ca="1">TblConstr[[#This Row],[Plain]]</f>
        <v>0</v>
      </c>
      <c r="E61" s="182">
        <f ca="1">TblConstr[[#This Row],[Forest]]</f>
        <v>0</v>
      </c>
      <c r="F61" s="359">
        <f ca="1">TblConstr[[#This Row],[Mountain]]</f>
        <v>0</v>
      </c>
      <c r="G61" s="363">
        <f ca="1">TblConstr[[#This Row],[Hill]]</f>
        <v>0</v>
      </c>
      <c r="H61" s="367">
        <f ca="1">TblConstr[[#This Row],[Swamp]]</f>
        <v>0</v>
      </c>
      <c r="I61" s="185">
        <f ca="1">TblConstr[[#This Row],[Cavern]]</f>
        <v>0</v>
      </c>
      <c r="J61" s="186">
        <f ca="1">TblConstr[[#This Row],[Water]]</f>
        <v>0</v>
      </c>
      <c r="K61" s="210"/>
      <c r="L61" s="373">
        <f t="shared" si="0"/>
        <v>11</v>
      </c>
      <c r="M61" s="374">
        <f>(TblExplore[[#This Row],[Column3]]-3+1)*150-1</f>
        <v>1349</v>
      </c>
      <c r="N61" s="217">
        <f ca="1">TblMili[[#This Row],[Smithies]]</f>
        <v>0</v>
      </c>
      <c r="O61" s="217">
        <f ca="1">TblPop[[#This Row],[Employment]]</f>
        <v>1</v>
      </c>
      <c r="P61" s="217">
        <f ca="1">TblImps[[#This Row],[Population]]</f>
        <v>1</v>
      </c>
      <c r="Q61" s="175">
        <f ca="1">TblExplore[[#This Row],[Land]]</f>
        <v>50</v>
      </c>
      <c r="R61" s="175">
        <f>TblExplore[[#This Row],[Hour]]</f>
        <v>58</v>
      </c>
      <c r="S61" s="218"/>
      <c r="T61" s="179"/>
      <c r="U61" s="179"/>
      <c r="V61" s="179"/>
      <c r="W61" s="179"/>
      <c r="X61" s="179"/>
      <c r="Y61" s="179"/>
      <c r="Z61" s="179"/>
      <c r="AA61" s="159">
        <f ca="1">TblImps[[#This Row],[Real time]]</f>
        <v>46322.374999999862</v>
      </c>
      <c r="AB61" s="94">
        <f ca="1">TblMili[[#This Row],[Draftees]]</f>
        <v>504</v>
      </c>
      <c r="AC61" s="94">
        <f ca="1">TblProd[[#This Row],[Platinum]]</f>
        <v>175347</v>
      </c>
      <c r="AD61" s="215"/>
      <c r="AE61" s="45">
        <f ca="1">TblExplore[[#This Row],[Land]]-TblExplore[[#This Row],[Land Bonus]]*20</f>
        <v>50</v>
      </c>
      <c r="AF61" s="94">
        <f ca="1">ROUND((0.6*TblExplore[[#This Row],[Land-DB]]^1.299 + IF(TblExplore[[#This Row],[Land-DB]]&lt;1520, (-0.001*(TblExplore[[#This Row],[Land-DB]]^2)+1.91*TblExplore[[#This Row],[Land-DB]]-593), 0))*(1+ tech_2_6*Techs!AC61 + tech_2_9*Techs!AF61 + tech_3_7*Techs!AN61 + Overview!$I$33),0)</f>
        <v>-403</v>
      </c>
      <c r="AG61" s="94">
        <f ca="1">_xlfn.FLOOR.MATH(TblExplore[[#This Row],[Land-DB]]/150)+3+tech_2_9_2*TblTech[[#This Row],[2-9]]+tech_3_7_2*TblTech[[#This Row],[3-7]]</f>
        <v>3</v>
      </c>
      <c r="AH61" s="94">
        <f ca="1">SUM(TblExplore[[#This Row],[Plains Explore]:[Water Explore]])*TblExplore[[#This Row],[Plat/acre]]</f>
        <v>0</v>
      </c>
      <c r="AI61" s="94">
        <f ca="1">SUM(TblExplore[[#This Row],[Plains Explore]:[Water Explore]])*TblExplore[[#This Row],[Draftees/acre]]</f>
        <v>0</v>
      </c>
      <c r="AJ61" s="45">
        <f ca="1">_xlfn.FLOOR.MATH(MIN(TblExplore[[#This Row],[Platinum]]/TblExplore[[#This Row],[Plat/acre]],TblExplore[[#This Row],[Draftees]]/TblExplore[[#This Row],[Draftees/acre]]))</f>
        <v>-436</v>
      </c>
    </row>
    <row r="62" spans="1:36" x14ac:dyDescent="0.2">
      <c r="A62" s="175">
        <f>TblRezone[[#This Row],[Hour]]</f>
        <v>59</v>
      </c>
      <c r="B62" s="214">
        <f ca="1">TblConstr[[#This Row],[Land]]</f>
        <v>50</v>
      </c>
      <c r="C62" s="215"/>
      <c r="D62" s="216">
        <f ca="1">TblConstr[[#This Row],[Plain]]</f>
        <v>0</v>
      </c>
      <c r="E62" s="182">
        <f ca="1">TblConstr[[#This Row],[Forest]]</f>
        <v>0</v>
      </c>
      <c r="F62" s="359">
        <f ca="1">TblConstr[[#This Row],[Mountain]]</f>
        <v>0</v>
      </c>
      <c r="G62" s="363">
        <f ca="1">TblConstr[[#This Row],[Hill]]</f>
        <v>0</v>
      </c>
      <c r="H62" s="367">
        <f ca="1">TblConstr[[#This Row],[Swamp]]</f>
        <v>0</v>
      </c>
      <c r="I62" s="185">
        <f ca="1">TblConstr[[#This Row],[Cavern]]</f>
        <v>0</v>
      </c>
      <c r="J62" s="186">
        <f ca="1">TblConstr[[#This Row],[Water]]</f>
        <v>0</v>
      </c>
      <c r="K62" s="210"/>
      <c r="L62" s="373">
        <f t="shared" si="0"/>
        <v>12</v>
      </c>
      <c r="M62" s="374">
        <f>(TblExplore[[#This Row],[Column3]]-3+1)*150-1</f>
        <v>1499</v>
      </c>
      <c r="N62" s="217">
        <f ca="1">TblMili[[#This Row],[Smithies]]</f>
        <v>0</v>
      </c>
      <c r="O62" s="217">
        <f ca="1">TblPop[[#This Row],[Employment]]</f>
        <v>1</v>
      </c>
      <c r="P62" s="217">
        <f ca="1">TblImps[[#This Row],[Population]]</f>
        <v>1</v>
      </c>
      <c r="Q62" s="175">
        <f ca="1">TblExplore[[#This Row],[Land]]</f>
        <v>50</v>
      </c>
      <c r="R62" s="175">
        <f>TblExplore[[#This Row],[Hour]]</f>
        <v>59</v>
      </c>
      <c r="S62" s="218"/>
      <c r="T62" s="179"/>
      <c r="U62" s="179"/>
      <c r="V62" s="179"/>
      <c r="W62" s="179"/>
      <c r="X62" s="179"/>
      <c r="Y62" s="179"/>
      <c r="Z62" s="179"/>
      <c r="AA62" s="159">
        <f ca="1">TblImps[[#This Row],[Real time]]</f>
        <v>46322.416666666526</v>
      </c>
      <c r="AB62" s="94">
        <f ca="1">TblMili[[#This Row],[Draftees]]</f>
        <v>507</v>
      </c>
      <c r="AC62" s="94">
        <f ca="1">TblProd[[#This Row],[Platinum]]</f>
        <v>176062</v>
      </c>
      <c r="AD62" s="215"/>
      <c r="AE62" s="45">
        <f ca="1">TblExplore[[#This Row],[Land]]-TblExplore[[#This Row],[Land Bonus]]*20</f>
        <v>50</v>
      </c>
      <c r="AF62" s="94">
        <f ca="1">ROUND((0.6*TblExplore[[#This Row],[Land-DB]]^1.299 + IF(TblExplore[[#This Row],[Land-DB]]&lt;1520, (-0.001*(TblExplore[[#This Row],[Land-DB]]^2)+1.91*TblExplore[[#This Row],[Land-DB]]-593), 0))*(1+ tech_2_6*Techs!AC62 + tech_2_9*Techs!AF62 + tech_3_7*Techs!AN62 + Overview!$I$33),0)</f>
        <v>-403</v>
      </c>
      <c r="AG62" s="94">
        <f ca="1">_xlfn.FLOOR.MATH(TblExplore[[#This Row],[Land-DB]]/150)+3+tech_2_9_2*TblTech[[#This Row],[2-9]]+tech_3_7_2*TblTech[[#This Row],[3-7]]</f>
        <v>3</v>
      </c>
      <c r="AH62" s="94">
        <f ca="1">SUM(TblExplore[[#This Row],[Plains Explore]:[Water Explore]])*TblExplore[[#This Row],[Plat/acre]]</f>
        <v>0</v>
      </c>
      <c r="AI62" s="94">
        <f ca="1">SUM(TblExplore[[#This Row],[Plains Explore]:[Water Explore]])*TblExplore[[#This Row],[Draftees/acre]]</f>
        <v>0</v>
      </c>
      <c r="AJ62" s="45">
        <f ca="1">_xlfn.FLOOR.MATH(MIN(TblExplore[[#This Row],[Platinum]]/TblExplore[[#This Row],[Plat/acre]],TblExplore[[#This Row],[Draftees]]/TblExplore[[#This Row],[Draftees/acre]]))</f>
        <v>-437</v>
      </c>
    </row>
    <row r="63" spans="1:36" x14ac:dyDescent="0.2">
      <c r="A63" s="175">
        <f>TblRezone[[#This Row],[Hour]]</f>
        <v>60</v>
      </c>
      <c r="B63" s="214">
        <f ca="1">TblConstr[[#This Row],[Land]]</f>
        <v>50</v>
      </c>
      <c r="C63" s="215"/>
      <c r="D63" s="216">
        <f ca="1">TblConstr[[#This Row],[Plain]]</f>
        <v>0</v>
      </c>
      <c r="E63" s="182">
        <f ca="1">TblConstr[[#This Row],[Forest]]</f>
        <v>0</v>
      </c>
      <c r="F63" s="359">
        <f ca="1">TblConstr[[#This Row],[Mountain]]</f>
        <v>0</v>
      </c>
      <c r="G63" s="363">
        <f ca="1">TblConstr[[#This Row],[Hill]]</f>
        <v>0</v>
      </c>
      <c r="H63" s="367">
        <f ca="1">TblConstr[[#This Row],[Swamp]]</f>
        <v>0</v>
      </c>
      <c r="I63" s="185">
        <f ca="1">TblConstr[[#This Row],[Cavern]]</f>
        <v>0</v>
      </c>
      <c r="J63" s="186">
        <f ca="1">TblConstr[[#This Row],[Water]]</f>
        <v>0</v>
      </c>
      <c r="K63" s="210"/>
      <c r="L63" s="373">
        <f t="shared" si="0"/>
        <v>13</v>
      </c>
      <c r="M63" s="374">
        <f>(TblExplore[[#This Row],[Column3]]-3+1)*150-1</f>
        <v>1649</v>
      </c>
      <c r="N63" s="217">
        <f ca="1">TblMili[[#This Row],[Smithies]]</f>
        <v>0</v>
      </c>
      <c r="O63" s="217">
        <f ca="1">TblPop[[#This Row],[Employment]]</f>
        <v>1</v>
      </c>
      <c r="P63" s="217">
        <f ca="1">TblImps[[#This Row],[Population]]</f>
        <v>1</v>
      </c>
      <c r="Q63" s="175">
        <f ca="1">TblExplore[[#This Row],[Land]]</f>
        <v>50</v>
      </c>
      <c r="R63" s="175">
        <f>TblExplore[[#This Row],[Hour]]</f>
        <v>60</v>
      </c>
      <c r="S63" s="218"/>
      <c r="T63" s="179"/>
      <c r="U63" s="179"/>
      <c r="V63" s="179"/>
      <c r="W63" s="179"/>
      <c r="X63" s="179"/>
      <c r="Y63" s="179"/>
      <c r="Z63" s="179"/>
      <c r="AA63" s="159">
        <f ca="1">TblImps[[#This Row],[Real time]]</f>
        <v>46322.45833333319</v>
      </c>
      <c r="AB63" s="94">
        <f ca="1">TblMili[[#This Row],[Draftees]]</f>
        <v>510</v>
      </c>
      <c r="AC63" s="94">
        <f ca="1">TblProd[[#This Row],[Platinum]]</f>
        <v>176769</v>
      </c>
      <c r="AD63" s="215"/>
      <c r="AE63" s="45">
        <f ca="1">TblExplore[[#This Row],[Land]]-TblExplore[[#This Row],[Land Bonus]]*20</f>
        <v>50</v>
      </c>
      <c r="AF63" s="94">
        <f ca="1">ROUND((0.6*TblExplore[[#This Row],[Land-DB]]^1.299 + IF(TblExplore[[#This Row],[Land-DB]]&lt;1520, (-0.001*(TblExplore[[#This Row],[Land-DB]]^2)+1.91*TblExplore[[#This Row],[Land-DB]]-593), 0))*(1+ tech_2_6*Techs!AC63 + tech_2_9*Techs!AF63 + tech_3_7*Techs!AN63 + Overview!$I$33),0)</f>
        <v>-403</v>
      </c>
      <c r="AG63" s="94">
        <f ca="1">_xlfn.FLOOR.MATH(TblExplore[[#This Row],[Land-DB]]/150)+3+tech_2_9_2*TblTech[[#This Row],[2-9]]+tech_3_7_2*TblTech[[#This Row],[3-7]]</f>
        <v>3</v>
      </c>
      <c r="AH63" s="94">
        <f ca="1">SUM(TblExplore[[#This Row],[Plains Explore]:[Water Explore]])*TblExplore[[#This Row],[Plat/acre]]</f>
        <v>0</v>
      </c>
      <c r="AI63" s="94">
        <f ca="1">SUM(TblExplore[[#This Row],[Plains Explore]:[Water Explore]])*TblExplore[[#This Row],[Draftees/acre]]</f>
        <v>0</v>
      </c>
      <c r="AJ63" s="45">
        <f ca="1">_xlfn.FLOOR.MATH(MIN(TblExplore[[#This Row],[Platinum]]/TblExplore[[#This Row],[Plat/acre]],TblExplore[[#This Row],[Draftees]]/TblExplore[[#This Row],[Draftees/acre]]))</f>
        <v>-439</v>
      </c>
    </row>
    <row r="64" spans="1:36" x14ac:dyDescent="0.2">
      <c r="A64" s="175">
        <f>TblRezone[[#This Row],[Hour]]</f>
        <v>61</v>
      </c>
      <c r="B64" s="214">
        <f ca="1">TblConstr[[#This Row],[Land]]</f>
        <v>50</v>
      </c>
      <c r="C64" s="215"/>
      <c r="D64" s="216">
        <f ca="1">TblConstr[[#This Row],[Plain]]</f>
        <v>0</v>
      </c>
      <c r="E64" s="182">
        <f ca="1">TblConstr[[#This Row],[Forest]]</f>
        <v>0</v>
      </c>
      <c r="F64" s="359">
        <f ca="1">TblConstr[[#This Row],[Mountain]]</f>
        <v>0</v>
      </c>
      <c r="G64" s="363">
        <f ca="1">TblConstr[[#This Row],[Hill]]</f>
        <v>0</v>
      </c>
      <c r="H64" s="367">
        <f ca="1">TblConstr[[#This Row],[Swamp]]</f>
        <v>0</v>
      </c>
      <c r="I64" s="185">
        <f ca="1">TblConstr[[#This Row],[Cavern]]</f>
        <v>0</v>
      </c>
      <c r="J64" s="186">
        <f ca="1">TblConstr[[#This Row],[Water]]</f>
        <v>0</v>
      </c>
      <c r="K64" s="210"/>
      <c r="L64" s="373">
        <f t="shared" si="0"/>
        <v>14</v>
      </c>
      <c r="M64" s="374">
        <f>(TblExplore[[#This Row],[Column3]]-3+1)*150-1</f>
        <v>1799</v>
      </c>
      <c r="N64" s="217">
        <f ca="1">TblMili[[#This Row],[Smithies]]</f>
        <v>0</v>
      </c>
      <c r="O64" s="217">
        <f ca="1">TblPop[[#This Row],[Employment]]</f>
        <v>1</v>
      </c>
      <c r="P64" s="217">
        <f ca="1">TblImps[[#This Row],[Population]]</f>
        <v>1</v>
      </c>
      <c r="Q64" s="175">
        <f ca="1">TblExplore[[#This Row],[Land]]</f>
        <v>50</v>
      </c>
      <c r="R64" s="175">
        <f>TblExplore[[#This Row],[Hour]]</f>
        <v>61</v>
      </c>
      <c r="S64" s="218"/>
      <c r="T64" s="179"/>
      <c r="U64" s="179"/>
      <c r="V64" s="179"/>
      <c r="W64" s="179"/>
      <c r="X64" s="179"/>
      <c r="Y64" s="179"/>
      <c r="Z64" s="179"/>
      <c r="AA64" s="159">
        <f ca="1">TblImps[[#This Row],[Real time]]</f>
        <v>46322.499999999854</v>
      </c>
      <c r="AB64" s="94">
        <f ca="1">TblMili[[#This Row],[Draftees]]</f>
        <v>513</v>
      </c>
      <c r="AC64" s="94">
        <f ca="1">TblProd[[#This Row],[Platinum]]</f>
        <v>177468</v>
      </c>
      <c r="AD64" s="215"/>
      <c r="AE64" s="45">
        <f ca="1">TblExplore[[#This Row],[Land]]-TblExplore[[#This Row],[Land Bonus]]*20</f>
        <v>50</v>
      </c>
      <c r="AF64" s="94">
        <f ca="1">ROUND((0.6*TblExplore[[#This Row],[Land-DB]]^1.299 + IF(TblExplore[[#This Row],[Land-DB]]&lt;1520, (-0.001*(TblExplore[[#This Row],[Land-DB]]^2)+1.91*TblExplore[[#This Row],[Land-DB]]-593), 0))*(1+ tech_2_6*Techs!AC64 + tech_2_9*Techs!AF64 + tech_3_7*Techs!AN64 + Overview!$I$33),0)</f>
        <v>-403</v>
      </c>
      <c r="AG64" s="94">
        <f ca="1">_xlfn.FLOOR.MATH(TblExplore[[#This Row],[Land-DB]]/150)+3+tech_2_9_2*TblTech[[#This Row],[2-9]]+tech_3_7_2*TblTech[[#This Row],[3-7]]</f>
        <v>3</v>
      </c>
      <c r="AH64" s="94">
        <f ca="1">SUM(TblExplore[[#This Row],[Plains Explore]:[Water Explore]])*TblExplore[[#This Row],[Plat/acre]]</f>
        <v>0</v>
      </c>
      <c r="AI64" s="94">
        <f ca="1">SUM(TblExplore[[#This Row],[Plains Explore]:[Water Explore]])*TblExplore[[#This Row],[Draftees/acre]]</f>
        <v>0</v>
      </c>
      <c r="AJ64" s="45">
        <f ca="1">_xlfn.FLOOR.MATH(MIN(TblExplore[[#This Row],[Platinum]]/TblExplore[[#This Row],[Plat/acre]],TblExplore[[#This Row],[Draftees]]/TblExplore[[#This Row],[Draftees/acre]]))</f>
        <v>-441</v>
      </c>
    </row>
    <row r="65" spans="1:36" x14ac:dyDescent="0.2">
      <c r="A65" s="175">
        <f>TblRezone[[#This Row],[Hour]]</f>
        <v>62</v>
      </c>
      <c r="B65" s="214">
        <f ca="1">TblConstr[[#This Row],[Land]]</f>
        <v>50</v>
      </c>
      <c r="C65" s="215"/>
      <c r="D65" s="216">
        <f ca="1">TblConstr[[#This Row],[Plain]]</f>
        <v>0</v>
      </c>
      <c r="E65" s="182">
        <f ca="1">TblConstr[[#This Row],[Forest]]</f>
        <v>0</v>
      </c>
      <c r="F65" s="359">
        <f ca="1">TblConstr[[#This Row],[Mountain]]</f>
        <v>0</v>
      </c>
      <c r="G65" s="363">
        <f ca="1">TblConstr[[#This Row],[Hill]]</f>
        <v>0</v>
      </c>
      <c r="H65" s="367">
        <f ca="1">TblConstr[[#This Row],[Swamp]]</f>
        <v>0</v>
      </c>
      <c r="I65" s="185">
        <f ca="1">TblConstr[[#This Row],[Cavern]]</f>
        <v>0</v>
      </c>
      <c r="J65" s="186">
        <f ca="1">TblConstr[[#This Row],[Water]]</f>
        <v>0</v>
      </c>
      <c r="K65" s="210"/>
      <c r="L65" s="373">
        <f t="shared" si="0"/>
        <v>15</v>
      </c>
      <c r="M65" s="374">
        <f>(TblExplore[[#This Row],[Column3]]-3+1)*150-1</f>
        <v>1949</v>
      </c>
      <c r="N65" s="217">
        <f ca="1">TblMili[[#This Row],[Smithies]]</f>
        <v>0</v>
      </c>
      <c r="O65" s="217">
        <f ca="1">TblPop[[#This Row],[Employment]]</f>
        <v>1</v>
      </c>
      <c r="P65" s="217">
        <f ca="1">TblImps[[#This Row],[Population]]</f>
        <v>1</v>
      </c>
      <c r="Q65" s="175">
        <f ca="1">TblExplore[[#This Row],[Land]]</f>
        <v>50</v>
      </c>
      <c r="R65" s="175">
        <f>TblExplore[[#This Row],[Hour]]</f>
        <v>62</v>
      </c>
      <c r="S65" s="218"/>
      <c r="T65" s="179"/>
      <c r="U65" s="179"/>
      <c r="V65" s="179"/>
      <c r="W65" s="179"/>
      <c r="X65" s="179"/>
      <c r="Y65" s="179"/>
      <c r="Z65" s="179"/>
      <c r="AA65" s="159">
        <f ca="1">TblImps[[#This Row],[Real time]]</f>
        <v>46322.541666666519</v>
      </c>
      <c r="AB65" s="94">
        <f ca="1">TblMili[[#This Row],[Draftees]]</f>
        <v>516</v>
      </c>
      <c r="AC65" s="94">
        <f ca="1">TblProd[[#This Row],[Platinum]]</f>
        <v>178159</v>
      </c>
      <c r="AD65" s="215"/>
      <c r="AE65" s="45">
        <f ca="1">TblExplore[[#This Row],[Land]]-TblExplore[[#This Row],[Land Bonus]]*20</f>
        <v>50</v>
      </c>
      <c r="AF65" s="94">
        <f ca="1">ROUND((0.6*TblExplore[[#This Row],[Land-DB]]^1.299 + IF(TblExplore[[#This Row],[Land-DB]]&lt;1520, (-0.001*(TblExplore[[#This Row],[Land-DB]]^2)+1.91*TblExplore[[#This Row],[Land-DB]]-593), 0))*(1+ tech_2_6*Techs!AC65 + tech_2_9*Techs!AF65 + tech_3_7*Techs!AN65 + Overview!$I$33),0)</f>
        <v>-403</v>
      </c>
      <c r="AG65" s="94">
        <f ca="1">_xlfn.FLOOR.MATH(TblExplore[[#This Row],[Land-DB]]/150)+3+tech_2_9_2*TblTech[[#This Row],[2-9]]+tech_3_7_2*TblTech[[#This Row],[3-7]]</f>
        <v>3</v>
      </c>
      <c r="AH65" s="94">
        <f ca="1">SUM(TblExplore[[#This Row],[Plains Explore]:[Water Explore]])*TblExplore[[#This Row],[Plat/acre]]</f>
        <v>0</v>
      </c>
      <c r="AI65" s="94">
        <f ca="1">SUM(TblExplore[[#This Row],[Plains Explore]:[Water Explore]])*TblExplore[[#This Row],[Draftees/acre]]</f>
        <v>0</v>
      </c>
      <c r="AJ65" s="45">
        <f ca="1">_xlfn.FLOOR.MATH(MIN(TblExplore[[#This Row],[Platinum]]/TblExplore[[#This Row],[Plat/acre]],TblExplore[[#This Row],[Draftees]]/TblExplore[[#This Row],[Draftees/acre]]))</f>
        <v>-443</v>
      </c>
    </row>
    <row r="66" spans="1:36" x14ac:dyDescent="0.2">
      <c r="A66" s="175">
        <f>TblRezone[[#This Row],[Hour]]</f>
        <v>63</v>
      </c>
      <c r="B66" s="214">
        <f ca="1">TblConstr[[#This Row],[Land]]</f>
        <v>50</v>
      </c>
      <c r="C66" s="215"/>
      <c r="D66" s="216">
        <f ca="1">TblConstr[[#This Row],[Plain]]</f>
        <v>0</v>
      </c>
      <c r="E66" s="182">
        <f ca="1">TblConstr[[#This Row],[Forest]]</f>
        <v>0</v>
      </c>
      <c r="F66" s="359">
        <f ca="1">TblConstr[[#This Row],[Mountain]]</f>
        <v>0</v>
      </c>
      <c r="G66" s="363">
        <f ca="1">TblConstr[[#This Row],[Hill]]</f>
        <v>0</v>
      </c>
      <c r="H66" s="367">
        <f ca="1">TblConstr[[#This Row],[Swamp]]</f>
        <v>0</v>
      </c>
      <c r="I66" s="185">
        <f ca="1">TblConstr[[#This Row],[Cavern]]</f>
        <v>0</v>
      </c>
      <c r="J66" s="186">
        <f ca="1">TblConstr[[#This Row],[Water]]</f>
        <v>0</v>
      </c>
      <c r="K66" s="210"/>
      <c r="L66" s="373">
        <f t="shared" si="0"/>
        <v>16</v>
      </c>
      <c r="M66" s="374">
        <f>(TblExplore[[#This Row],[Column3]]-3+1)*150-1</f>
        <v>2099</v>
      </c>
      <c r="N66" s="217">
        <f ca="1">TblMili[[#This Row],[Smithies]]</f>
        <v>0</v>
      </c>
      <c r="O66" s="217">
        <f ca="1">TblPop[[#This Row],[Employment]]</f>
        <v>1</v>
      </c>
      <c r="P66" s="217">
        <f ca="1">TblImps[[#This Row],[Population]]</f>
        <v>1</v>
      </c>
      <c r="Q66" s="175">
        <f ca="1">TblExplore[[#This Row],[Land]]</f>
        <v>50</v>
      </c>
      <c r="R66" s="175">
        <f>TblExplore[[#This Row],[Hour]]</f>
        <v>63</v>
      </c>
      <c r="S66" s="218"/>
      <c r="T66" s="179"/>
      <c r="U66" s="179"/>
      <c r="V66" s="179"/>
      <c r="W66" s="179"/>
      <c r="X66" s="179"/>
      <c r="Y66" s="179"/>
      <c r="Z66" s="179"/>
      <c r="AA66" s="159">
        <f ca="1">TblImps[[#This Row],[Real time]]</f>
        <v>46322.583333333183</v>
      </c>
      <c r="AB66" s="94">
        <f ca="1">TblMili[[#This Row],[Draftees]]</f>
        <v>519</v>
      </c>
      <c r="AC66" s="94">
        <f ca="1">TblProd[[#This Row],[Platinum]]</f>
        <v>178842</v>
      </c>
      <c r="AD66" s="215"/>
      <c r="AE66" s="45">
        <f ca="1">TblExplore[[#This Row],[Land]]-TblExplore[[#This Row],[Land Bonus]]*20</f>
        <v>50</v>
      </c>
      <c r="AF66" s="94">
        <f ca="1">ROUND((0.6*TblExplore[[#This Row],[Land-DB]]^1.299 + IF(TblExplore[[#This Row],[Land-DB]]&lt;1520, (-0.001*(TblExplore[[#This Row],[Land-DB]]^2)+1.91*TblExplore[[#This Row],[Land-DB]]-593), 0))*(1+ tech_2_6*Techs!AC66 + tech_2_9*Techs!AF66 + tech_3_7*Techs!AN66 + Overview!$I$33),0)</f>
        <v>-403</v>
      </c>
      <c r="AG66" s="94">
        <f ca="1">_xlfn.FLOOR.MATH(TblExplore[[#This Row],[Land-DB]]/150)+3+tech_2_9_2*TblTech[[#This Row],[2-9]]+tech_3_7_2*TblTech[[#This Row],[3-7]]</f>
        <v>3</v>
      </c>
      <c r="AH66" s="94">
        <f ca="1">SUM(TblExplore[[#This Row],[Plains Explore]:[Water Explore]])*TblExplore[[#This Row],[Plat/acre]]</f>
        <v>0</v>
      </c>
      <c r="AI66" s="94">
        <f ca="1">SUM(TblExplore[[#This Row],[Plains Explore]:[Water Explore]])*TblExplore[[#This Row],[Draftees/acre]]</f>
        <v>0</v>
      </c>
      <c r="AJ66" s="45">
        <f ca="1">_xlfn.FLOOR.MATH(MIN(TblExplore[[#This Row],[Platinum]]/TblExplore[[#This Row],[Plat/acre]],TblExplore[[#This Row],[Draftees]]/TblExplore[[#This Row],[Draftees/acre]]))</f>
        <v>-444</v>
      </c>
    </row>
    <row r="67" spans="1:36" x14ac:dyDescent="0.2">
      <c r="A67" s="175">
        <f>TblRezone[[#This Row],[Hour]]</f>
        <v>64</v>
      </c>
      <c r="B67" s="214">
        <f ca="1">TblConstr[[#This Row],[Land]]</f>
        <v>50</v>
      </c>
      <c r="C67" s="215"/>
      <c r="D67" s="216">
        <f ca="1">TblConstr[[#This Row],[Plain]]</f>
        <v>0</v>
      </c>
      <c r="E67" s="182">
        <f ca="1">TblConstr[[#This Row],[Forest]]</f>
        <v>0</v>
      </c>
      <c r="F67" s="359">
        <f ca="1">TblConstr[[#This Row],[Mountain]]</f>
        <v>0</v>
      </c>
      <c r="G67" s="363">
        <f ca="1">TblConstr[[#This Row],[Hill]]</f>
        <v>0</v>
      </c>
      <c r="H67" s="367">
        <f ca="1">TblConstr[[#This Row],[Swamp]]</f>
        <v>0</v>
      </c>
      <c r="I67" s="185">
        <f ca="1">TblConstr[[#This Row],[Cavern]]</f>
        <v>0</v>
      </c>
      <c r="J67" s="186">
        <f ca="1">TblConstr[[#This Row],[Water]]</f>
        <v>0</v>
      </c>
      <c r="K67" s="210"/>
      <c r="L67" s="373">
        <f t="shared" si="0"/>
        <v>17</v>
      </c>
      <c r="M67" s="374">
        <f>(TblExplore[[#This Row],[Column3]]-3+1)*150-1</f>
        <v>2249</v>
      </c>
      <c r="N67" s="217">
        <f ca="1">TblMili[[#This Row],[Smithies]]</f>
        <v>0</v>
      </c>
      <c r="O67" s="217">
        <f ca="1">TblPop[[#This Row],[Employment]]</f>
        <v>1</v>
      </c>
      <c r="P67" s="217">
        <f ca="1">TblImps[[#This Row],[Population]]</f>
        <v>1</v>
      </c>
      <c r="Q67" s="175">
        <f ca="1">TblExplore[[#This Row],[Land]]</f>
        <v>50</v>
      </c>
      <c r="R67" s="175">
        <f>TblExplore[[#This Row],[Hour]]</f>
        <v>64</v>
      </c>
      <c r="S67" s="218"/>
      <c r="T67" s="179"/>
      <c r="U67" s="179"/>
      <c r="V67" s="179"/>
      <c r="W67" s="179"/>
      <c r="X67" s="179"/>
      <c r="Y67" s="179"/>
      <c r="Z67" s="179"/>
      <c r="AA67" s="159">
        <f ca="1">TblImps[[#This Row],[Real time]]</f>
        <v>46322.624999999847</v>
      </c>
      <c r="AB67" s="94">
        <f ca="1">TblMili[[#This Row],[Draftees]]</f>
        <v>522</v>
      </c>
      <c r="AC67" s="94">
        <f ca="1">TblProd[[#This Row],[Platinum]]</f>
        <v>179517</v>
      </c>
      <c r="AD67" s="215"/>
      <c r="AE67" s="45">
        <f ca="1">TblExplore[[#This Row],[Land]]-TblExplore[[#This Row],[Land Bonus]]*20</f>
        <v>50</v>
      </c>
      <c r="AF67" s="94">
        <f ca="1">ROUND((0.6*TblExplore[[#This Row],[Land-DB]]^1.299 + IF(TblExplore[[#This Row],[Land-DB]]&lt;1520, (-0.001*(TblExplore[[#This Row],[Land-DB]]^2)+1.91*TblExplore[[#This Row],[Land-DB]]-593), 0))*(1+ tech_2_6*Techs!AC67 + tech_2_9*Techs!AF67 + tech_3_7*Techs!AN67 + Overview!$I$33),0)</f>
        <v>-403</v>
      </c>
      <c r="AG67" s="94">
        <f ca="1">_xlfn.FLOOR.MATH(TblExplore[[#This Row],[Land-DB]]/150)+3+tech_2_9_2*TblTech[[#This Row],[2-9]]+tech_3_7_2*TblTech[[#This Row],[3-7]]</f>
        <v>3</v>
      </c>
      <c r="AH67" s="94">
        <f ca="1">SUM(TblExplore[[#This Row],[Plains Explore]:[Water Explore]])*TblExplore[[#This Row],[Plat/acre]]</f>
        <v>0</v>
      </c>
      <c r="AI67" s="94">
        <f ca="1">SUM(TblExplore[[#This Row],[Plains Explore]:[Water Explore]])*TblExplore[[#This Row],[Draftees/acre]]</f>
        <v>0</v>
      </c>
      <c r="AJ67" s="45">
        <f ca="1">_xlfn.FLOOR.MATH(MIN(TblExplore[[#This Row],[Platinum]]/TblExplore[[#This Row],[Plat/acre]],TblExplore[[#This Row],[Draftees]]/TblExplore[[#This Row],[Draftees/acre]]))</f>
        <v>-446</v>
      </c>
    </row>
    <row r="68" spans="1:36" x14ac:dyDescent="0.2">
      <c r="A68" s="175">
        <f>TblRezone[[#This Row],[Hour]]</f>
        <v>65</v>
      </c>
      <c r="B68" s="214">
        <f ca="1">TblConstr[[#This Row],[Land]]</f>
        <v>50</v>
      </c>
      <c r="C68" s="215"/>
      <c r="D68" s="216">
        <f ca="1">TblConstr[[#This Row],[Plain]]</f>
        <v>0</v>
      </c>
      <c r="E68" s="182">
        <f ca="1">TblConstr[[#This Row],[Forest]]</f>
        <v>0</v>
      </c>
      <c r="F68" s="359">
        <f ca="1">TblConstr[[#This Row],[Mountain]]</f>
        <v>0</v>
      </c>
      <c r="G68" s="363">
        <f ca="1">TblConstr[[#This Row],[Hill]]</f>
        <v>0</v>
      </c>
      <c r="H68" s="367">
        <f ca="1">TblConstr[[#This Row],[Swamp]]</f>
        <v>0</v>
      </c>
      <c r="I68" s="185">
        <f ca="1">TblConstr[[#This Row],[Cavern]]</f>
        <v>0</v>
      </c>
      <c r="J68" s="186">
        <f ca="1">TblConstr[[#This Row],[Water]]</f>
        <v>0</v>
      </c>
      <c r="K68" s="210"/>
      <c r="L68" s="373">
        <f t="shared" si="0"/>
        <v>18</v>
      </c>
      <c r="M68" s="374">
        <f>(TblExplore[[#This Row],[Column3]]-3+1)*150-1</f>
        <v>2399</v>
      </c>
      <c r="N68" s="217">
        <f ca="1">TblMili[[#This Row],[Smithies]]</f>
        <v>0</v>
      </c>
      <c r="O68" s="217">
        <f ca="1">TblPop[[#This Row],[Employment]]</f>
        <v>1</v>
      </c>
      <c r="P68" s="217">
        <f ca="1">TblImps[[#This Row],[Population]]</f>
        <v>1</v>
      </c>
      <c r="Q68" s="175">
        <f ca="1">TblExplore[[#This Row],[Land]]</f>
        <v>50</v>
      </c>
      <c r="R68" s="175">
        <f>TblExplore[[#This Row],[Hour]]</f>
        <v>65</v>
      </c>
      <c r="S68" s="218"/>
      <c r="T68" s="179"/>
      <c r="U68" s="179"/>
      <c r="V68" s="179"/>
      <c r="W68" s="179"/>
      <c r="X68" s="179"/>
      <c r="Y68" s="179"/>
      <c r="Z68" s="179"/>
      <c r="AA68" s="159">
        <f ca="1">TblImps[[#This Row],[Real time]]</f>
        <v>46322.666666666511</v>
      </c>
      <c r="AB68" s="94">
        <f ca="1">TblMili[[#This Row],[Draftees]]</f>
        <v>524</v>
      </c>
      <c r="AC68" s="94">
        <f ca="1">TblProd[[#This Row],[Platinum]]</f>
        <v>180183</v>
      </c>
      <c r="AD68" s="215"/>
      <c r="AE68" s="45">
        <f ca="1">TblExplore[[#This Row],[Land]]-TblExplore[[#This Row],[Land Bonus]]*20</f>
        <v>50</v>
      </c>
      <c r="AF68" s="94">
        <f ca="1">ROUND((0.6*TblExplore[[#This Row],[Land-DB]]^1.299 + IF(TblExplore[[#This Row],[Land-DB]]&lt;1520, (-0.001*(TblExplore[[#This Row],[Land-DB]]^2)+1.91*TblExplore[[#This Row],[Land-DB]]-593), 0))*(1+ tech_2_6*Techs!AC68 + tech_2_9*Techs!AF68 + tech_3_7*Techs!AN68 + Overview!$I$33),0)</f>
        <v>-403</v>
      </c>
      <c r="AG68" s="94">
        <f ca="1">_xlfn.FLOOR.MATH(TblExplore[[#This Row],[Land-DB]]/150)+3+tech_2_9_2*TblTech[[#This Row],[2-9]]+tech_3_7_2*TblTech[[#This Row],[3-7]]</f>
        <v>3</v>
      </c>
      <c r="AH68" s="94">
        <f ca="1">SUM(TblExplore[[#This Row],[Plains Explore]:[Water Explore]])*TblExplore[[#This Row],[Plat/acre]]</f>
        <v>0</v>
      </c>
      <c r="AI68" s="94">
        <f ca="1">SUM(TblExplore[[#This Row],[Plains Explore]:[Water Explore]])*TblExplore[[#This Row],[Draftees/acre]]</f>
        <v>0</v>
      </c>
      <c r="AJ68" s="45">
        <f ca="1">_xlfn.FLOOR.MATH(MIN(TblExplore[[#This Row],[Platinum]]/TblExplore[[#This Row],[Plat/acre]],TblExplore[[#This Row],[Draftees]]/TblExplore[[#This Row],[Draftees/acre]]))</f>
        <v>-448</v>
      </c>
    </row>
    <row r="69" spans="1:36" x14ac:dyDescent="0.2">
      <c r="A69" s="175">
        <f>TblRezone[[#This Row],[Hour]]</f>
        <v>66</v>
      </c>
      <c r="B69" s="214">
        <f ca="1">TblConstr[[#This Row],[Land]]</f>
        <v>50</v>
      </c>
      <c r="C69" s="215"/>
      <c r="D69" s="216">
        <f ca="1">TblConstr[[#This Row],[Plain]]</f>
        <v>0</v>
      </c>
      <c r="E69" s="182">
        <f ca="1">TblConstr[[#This Row],[Forest]]</f>
        <v>0</v>
      </c>
      <c r="F69" s="359">
        <f ca="1">TblConstr[[#This Row],[Mountain]]</f>
        <v>0</v>
      </c>
      <c r="G69" s="363">
        <f ca="1">TblConstr[[#This Row],[Hill]]</f>
        <v>0</v>
      </c>
      <c r="H69" s="367">
        <f ca="1">TblConstr[[#This Row],[Swamp]]</f>
        <v>0</v>
      </c>
      <c r="I69" s="185">
        <f ca="1">TblConstr[[#This Row],[Cavern]]</f>
        <v>0</v>
      </c>
      <c r="J69" s="186">
        <f ca="1">TblConstr[[#This Row],[Water]]</f>
        <v>0</v>
      </c>
      <c r="K69" s="210"/>
      <c r="L69" s="375">
        <f t="shared" si="0"/>
        <v>19</v>
      </c>
      <c r="M69" s="376">
        <f>(TblExplore[[#This Row],[Column3]]-3+1)*150-1</f>
        <v>2549</v>
      </c>
      <c r="N69" s="217">
        <f ca="1">TblMili[[#This Row],[Smithies]]</f>
        <v>0</v>
      </c>
      <c r="O69" s="217">
        <f ca="1">TblPop[[#This Row],[Employment]]</f>
        <v>1</v>
      </c>
      <c r="P69" s="217">
        <f ca="1">TblImps[[#This Row],[Population]]</f>
        <v>1</v>
      </c>
      <c r="Q69" s="175">
        <f ca="1">TblExplore[[#This Row],[Land]]</f>
        <v>50</v>
      </c>
      <c r="R69" s="175">
        <f>TblExplore[[#This Row],[Hour]]</f>
        <v>66</v>
      </c>
      <c r="S69" s="218"/>
      <c r="T69" s="179"/>
      <c r="U69" s="179"/>
      <c r="V69" s="179"/>
      <c r="W69" s="179"/>
      <c r="X69" s="179"/>
      <c r="Y69" s="179"/>
      <c r="Z69" s="179"/>
      <c r="AA69" s="159">
        <f ca="1">TblImps[[#This Row],[Real time]]</f>
        <v>46322.708333333176</v>
      </c>
      <c r="AB69" s="94">
        <f ca="1">TblMili[[#This Row],[Draftees]]</f>
        <v>526</v>
      </c>
      <c r="AC69" s="94">
        <f ca="1">TblProd[[#This Row],[Platinum]]</f>
        <v>180844</v>
      </c>
      <c r="AD69" s="215"/>
      <c r="AE69" s="45">
        <f ca="1">TblExplore[[#This Row],[Land]]-TblExplore[[#This Row],[Land Bonus]]*20</f>
        <v>50</v>
      </c>
      <c r="AF69" s="94">
        <f ca="1">ROUND((0.6*TblExplore[[#This Row],[Land-DB]]^1.299 + IF(TblExplore[[#This Row],[Land-DB]]&lt;1520, (-0.001*(TblExplore[[#This Row],[Land-DB]]^2)+1.91*TblExplore[[#This Row],[Land-DB]]-593), 0))*(1+ tech_2_6*Techs!AC69 + tech_2_9*Techs!AF69 + tech_3_7*Techs!AN69 + Overview!$I$33),0)</f>
        <v>-403</v>
      </c>
      <c r="AG69" s="94">
        <f ca="1">_xlfn.FLOOR.MATH(TblExplore[[#This Row],[Land-DB]]/150)+3+tech_2_9_2*TblTech[[#This Row],[2-9]]+tech_3_7_2*TblTech[[#This Row],[3-7]]</f>
        <v>3</v>
      </c>
      <c r="AH69" s="94">
        <f ca="1">SUM(TblExplore[[#This Row],[Plains Explore]:[Water Explore]])*TblExplore[[#This Row],[Plat/acre]]</f>
        <v>0</v>
      </c>
      <c r="AI69" s="94">
        <f ca="1">SUM(TblExplore[[#This Row],[Plains Explore]:[Water Explore]])*TblExplore[[#This Row],[Draftees/acre]]</f>
        <v>0</v>
      </c>
      <c r="AJ69" s="45">
        <f ca="1">_xlfn.FLOOR.MATH(MIN(TblExplore[[#This Row],[Platinum]]/TblExplore[[#This Row],[Plat/acre]],TblExplore[[#This Row],[Draftees]]/TblExplore[[#This Row],[Draftees/acre]]))</f>
        <v>-449</v>
      </c>
    </row>
    <row r="70" spans="1:36" x14ac:dyDescent="0.2">
      <c r="A70" s="175">
        <f>TblRezone[[#This Row],[Hour]]</f>
        <v>67</v>
      </c>
      <c r="B70" s="214">
        <f ca="1">TblConstr[[#This Row],[Land]]</f>
        <v>50</v>
      </c>
      <c r="C70" s="215"/>
      <c r="D70" s="216">
        <f ca="1">TblConstr[[#This Row],[Plain]]</f>
        <v>0</v>
      </c>
      <c r="E70" s="182">
        <f ca="1">TblConstr[[#This Row],[Forest]]</f>
        <v>0</v>
      </c>
      <c r="F70" s="359">
        <f ca="1">TblConstr[[#This Row],[Mountain]]</f>
        <v>0</v>
      </c>
      <c r="G70" s="363">
        <f ca="1">TblConstr[[#This Row],[Hill]]</f>
        <v>0</v>
      </c>
      <c r="H70" s="367">
        <f ca="1">TblConstr[[#This Row],[Swamp]]</f>
        <v>0</v>
      </c>
      <c r="I70" s="185">
        <f ca="1">TblConstr[[#This Row],[Cavern]]</f>
        <v>0</v>
      </c>
      <c r="J70" s="186">
        <f ca="1">TblConstr[[#This Row],[Water]]</f>
        <v>0</v>
      </c>
      <c r="K70" s="210"/>
      <c r="L70" s="210"/>
      <c r="M70" s="210"/>
      <c r="N70" s="217">
        <f ca="1">TblMili[[#This Row],[Smithies]]</f>
        <v>0</v>
      </c>
      <c r="O70" s="217">
        <f ca="1">TblPop[[#This Row],[Employment]]</f>
        <v>1</v>
      </c>
      <c r="P70" s="217">
        <f ca="1">TblImps[[#This Row],[Population]]</f>
        <v>1</v>
      </c>
      <c r="Q70" s="175">
        <f ca="1">TblExplore[[#This Row],[Land]]</f>
        <v>50</v>
      </c>
      <c r="R70" s="175">
        <f>TblExplore[[#This Row],[Hour]]</f>
        <v>67</v>
      </c>
      <c r="S70" s="218"/>
      <c r="T70" s="179"/>
      <c r="U70" s="179"/>
      <c r="V70" s="179"/>
      <c r="W70" s="179"/>
      <c r="X70" s="179"/>
      <c r="Y70" s="179"/>
      <c r="Z70" s="179"/>
      <c r="AA70" s="159">
        <f ca="1">TblImps[[#This Row],[Real time]]</f>
        <v>46322.74999999984</v>
      </c>
      <c r="AB70" s="94">
        <f ca="1">TblMili[[#This Row],[Draftees]]</f>
        <v>528</v>
      </c>
      <c r="AC70" s="94">
        <f ca="1">TblProd[[#This Row],[Platinum]]</f>
        <v>181500</v>
      </c>
      <c r="AD70" s="215"/>
      <c r="AE70" s="45">
        <f ca="1">TblExplore[[#This Row],[Land]]-TblExplore[[#This Row],[Land Bonus]]*20</f>
        <v>50</v>
      </c>
      <c r="AF70" s="94">
        <f ca="1">ROUND((0.6*TblExplore[[#This Row],[Land-DB]]^1.299 + IF(TblExplore[[#This Row],[Land-DB]]&lt;1520, (-0.001*(TblExplore[[#This Row],[Land-DB]]^2)+1.91*TblExplore[[#This Row],[Land-DB]]-593), 0))*(1+ tech_2_6*Techs!AC70 + tech_2_9*Techs!AF70 + tech_3_7*Techs!AN70 + Overview!$I$33),0)</f>
        <v>-403</v>
      </c>
      <c r="AG70" s="94">
        <f ca="1">_xlfn.FLOOR.MATH(TblExplore[[#This Row],[Land-DB]]/150)+3+tech_2_9_2*TblTech[[#This Row],[2-9]]+tech_3_7_2*TblTech[[#This Row],[3-7]]</f>
        <v>3</v>
      </c>
      <c r="AH70" s="94">
        <f ca="1">SUM(TblExplore[[#This Row],[Plains Explore]:[Water Explore]])*TblExplore[[#This Row],[Plat/acre]]</f>
        <v>0</v>
      </c>
      <c r="AI70" s="94">
        <f ca="1">SUM(TblExplore[[#This Row],[Plains Explore]:[Water Explore]])*TblExplore[[#This Row],[Draftees/acre]]</f>
        <v>0</v>
      </c>
      <c r="AJ70" s="45">
        <f ca="1">_xlfn.FLOOR.MATH(MIN(TblExplore[[#This Row],[Platinum]]/TblExplore[[#This Row],[Plat/acre]],TblExplore[[#This Row],[Draftees]]/TblExplore[[#This Row],[Draftees/acre]]))</f>
        <v>-451</v>
      </c>
    </row>
    <row r="71" spans="1:36" x14ac:dyDescent="0.2">
      <c r="A71" s="175">
        <f>TblRezone[[#This Row],[Hour]]</f>
        <v>68</v>
      </c>
      <c r="B71" s="214">
        <f ca="1">TblConstr[[#This Row],[Land]]</f>
        <v>50</v>
      </c>
      <c r="C71" s="215"/>
      <c r="D71" s="216">
        <f ca="1">TblConstr[[#This Row],[Plain]]</f>
        <v>0</v>
      </c>
      <c r="E71" s="182">
        <f ca="1">TblConstr[[#This Row],[Forest]]</f>
        <v>0</v>
      </c>
      <c r="F71" s="359">
        <f ca="1">TblConstr[[#This Row],[Mountain]]</f>
        <v>0</v>
      </c>
      <c r="G71" s="363">
        <f ca="1">TblConstr[[#This Row],[Hill]]</f>
        <v>0</v>
      </c>
      <c r="H71" s="367">
        <f ca="1">TblConstr[[#This Row],[Swamp]]</f>
        <v>0</v>
      </c>
      <c r="I71" s="185">
        <f ca="1">TblConstr[[#This Row],[Cavern]]</f>
        <v>0</v>
      </c>
      <c r="J71" s="186">
        <f ca="1">TblConstr[[#This Row],[Water]]</f>
        <v>0</v>
      </c>
      <c r="K71" s="210"/>
      <c r="L71" s="210"/>
      <c r="M71" s="210"/>
      <c r="N71" s="217">
        <f ca="1">TblMili[[#This Row],[Smithies]]</f>
        <v>0</v>
      </c>
      <c r="O71" s="217">
        <f ca="1">TblPop[[#This Row],[Employment]]</f>
        <v>1</v>
      </c>
      <c r="P71" s="217">
        <f ca="1">TblImps[[#This Row],[Population]]</f>
        <v>1</v>
      </c>
      <c r="Q71" s="175">
        <f ca="1">TblExplore[[#This Row],[Land]]</f>
        <v>50</v>
      </c>
      <c r="R71" s="175">
        <f>TblExplore[[#This Row],[Hour]]</f>
        <v>68</v>
      </c>
      <c r="S71" s="218"/>
      <c r="T71" s="179"/>
      <c r="U71" s="179"/>
      <c r="V71" s="179"/>
      <c r="W71" s="179"/>
      <c r="X71" s="179"/>
      <c r="Y71" s="179"/>
      <c r="Z71" s="179"/>
      <c r="AA71" s="159">
        <f ca="1">TblImps[[#This Row],[Real time]]</f>
        <v>46322.791666666504</v>
      </c>
      <c r="AB71" s="94">
        <f ca="1">TblMili[[#This Row],[Draftees]]</f>
        <v>530</v>
      </c>
      <c r="AC71" s="94">
        <f ca="1">TblProd[[#This Row],[Platinum]]</f>
        <v>182150</v>
      </c>
      <c r="AD71" s="215"/>
      <c r="AE71" s="45">
        <f ca="1">TblExplore[[#This Row],[Land]]-TblExplore[[#This Row],[Land Bonus]]*20</f>
        <v>50</v>
      </c>
      <c r="AF71" s="94">
        <f ca="1">ROUND((0.6*TblExplore[[#This Row],[Land-DB]]^1.299 + IF(TblExplore[[#This Row],[Land-DB]]&lt;1520, (-0.001*(TblExplore[[#This Row],[Land-DB]]^2)+1.91*TblExplore[[#This Row],[Land-DB]]-593), 0))*(1+ tech_2_6*Techs!AC71 + tech_2_9*Techs!AF71 + tech_3_7*Techs!AN71 + Overview!$I$33),0)</f>
        <v>-403</v>
      </c>
      <c r="AG71" s="94">
        <f ca="1">_xlfn.FLOOR.MATH(TblExplore[[#This Row],[Land-DB]]/150)+3+tech_2_9_2*TblTech[[#This Row],[2-9]]+tech_3_7_2*TblTech[[#This Row],[3-7]]</f>
        <v>3</v>
      </c>
      <c r="AH71" s="94">
        <f ca="1">SUM(TblExplore[[#This Row],[Plains Explore]:[Water Explore]])*TblExplore[[#This Row],[Plat/acre]]</f>
        <v>0</v>
      </c>
      <c r="AI71" s="94">
        <f ca="1">SUM(TblExplore[[#This Row],[Plains Explore]:[Water Explore]])*TblExplore[[#This Row],[Draftees/acre]]</f>
        <v>0</v>
      </c>
      <c r="AJ71" s="45">
        <f ca="1">_xlfn.FLOOR.MATH(MIN(TblExplore[[#This Row],[Platinum]]/TblExplore[[#This Row],[Plat/acre]],TblExplore[[#This Row],[Draftees]]/TblExplore[[#This Row],[Draftees/acre]]))</f>
        <v>-452</v>
      </c>
    </row>
    <row r="72" spans="1:36" x14ac:dyDescent="0.2">
      <c r="A72" s="175">
        <f>TblRezone[[#This Row],[Hour]]</f>
        <v>69</v>
      </c>
      <c r="B72" s="214">
        <f ca="1">TblConstr[[#This Row],[Land]]</f>
        <v>50</v>
      </c>
      <c r="C72" s="215"/>
      <c r="D72" s="216">
        <f ca="1">TblConstr[[#This Row],[Plain]]</f>
        <v>0</v>
      </c>
      <c r="E72" s="182">
        <f ca="1">TblConstr[[#This Row],[Forest]]</f>
        <v>0</v>
      </c>
      <c r="F72" s="359">
        <f ca="1">TblConstr[[#This Row],[Mountain]]</f>
        <v>0</v>
      </c>
      <c r="G72" s="363">
        <f ca="1">TblConstr[[#This Row],[Hill]]</f>
        <v>0</v>
      </c>
      <c r="H72" s="367">
        <f ca="1">TblConstr[[#This Row],[Swamp]]</f>
        <v>0</v>
      </c>
      <c r="I72" s="185">
        <f ca="1">TblConstr[[#This Row],[Cavern]]</f>
        <v>0</v>
      </c>
      <c r="J72" s="186">
        <f ca="1">TblConstr[[#This Row],[Water]]</f>
        <v>0</v>
      </c>
      <c r="K72" s="210"/>
      <c r="L72" s="210"/>
      <c r="M72" s="210"/>
      <c r="N72" s="217">
        <f ca="1">TblMili[[#This Row],[Smithies]]</f>
        <v>0</v>
      </c>
      <c r="O72" s="217">
        <f ca="1">TblPop[[#This Row],[Employment]]</f>
        <v>1</v>
      </c>
      <c r="P72" s="217">
        <f ca="1">TblImps[[#This Row],[Population]]</f>
        <v>1</v>
      </c>
      <c r="Q72" s="175">
        <f ca="1">TblExplore[[#This Row],[Land]]</f>
        <v>50</v>
      </c>
      <c r="R72" s="175">
        <f>TblExplore[[#This Row],[Hour]]</f>
        <v>69</v>
      </c>
      <c r="S72" s="218"/>
      <c r="T72" s="179"/>
      <c r="U72" s="179"/>
      <c r="V72" s="179"/>
      <c r="W72" s="179"/>
      <c r="X72" s="179"/>
      <c r="Y72" s="179"/>
      <c r="Z72" s="179"/>
      <c r="AA72" s="159">
        <f ca="1">TblImps[[#This Row],[Real time]]</f>
        <v>46322.833333333168</v>
      </c>
      <c r="AB72" s="94">
        <f ca="1">TblMili[[#This Row],[Draftees]]</f>
        <v>532</v>
      </c>
      <c r="AC72" s="94">
        <f ca="1">TblProd[[#This Row],[Platinum]]</f>
        <v>182795</v>
      </c>
      <c r="AD72" s="215"/>
      <c r="AE72" s="45">
        <f ca="1">TblExplore[[#This Row],[Land]]-TblExplore[[#This Row],[Land Bonus]]*20</f>
        <v>50</v>
      </c>
      <c r="AF72" s="94">
        <f ca="1">ROUND((0.6*TblExplore[[#This Row],[Land-DB]]^1.299 + IF(TblExplore[[#This Row],[Land-DB]]&lt;1520, (-0.001*(TblExplore[[#This Row],[Land-DB]]^2)+1.91*TblExplore[[#This Row],[Land-DB]]-593), 0))*(1+ tech_2_6*Techs!AC72 + tech_2_9*Techs!AF72 + tech_3_7*Techs!AN72 + Overview!$I$33),0)</f>
        <v>-403</v>
      </c>
      <c r="AG72" s="94">
        <f ca="1">_xlfn.FLOOR.MATH(TblExplore[[#This Row],[Land-DB]]/150)+3+tech_2_9_2*TblTech[[#This Row],[2-9]]+tech_3_7_2*TblTech[[#This Row],[3-7]]</f>
        <v>3</v>
      </c>
      <c r="AH72" s="94">
        <f ca="1">SUM(TblExplore[[#This Row],[Plains Explore]:[Water Explore]])*TblExplore[[#This Row],[Plat/acre]]</f>
        <v>0</v>
      </c>
      <c r="AI72" s="94">
        <f ca="1">SUM(TblExplore[[#This Row],[Plains Explore]:[Water Explore]])*TblExplore[[#This Row],[Draftees/acre]]</f>
        <v>0</v>
      </c>
      <c r="AJ72" s="45">
        <f ca="1">_xlfn.FLOOR.MATH(MIN(TblExplore[[#This Row],[Platinum]]/TblExplore[[#This Row],[Plat/acre]],TblExplore[[#This Row],[Draftees]]/TblExplore[[#This Row],[Draftees/acre]]))</f>
        <v>-454</v>
      </c>
    </row>
    <row r="73" spans="1:36" x14ac:dyDescent="0.2">
      <c r="A73" s="175">
        <f>TblRezone[[#This Row],[Hour]]</f>
        <v>70</v>
      </c>
      <c r="B73" s="214">
        <f ca="1">TblConstr[[#This Row],[Land]]</f>
        <v>50</v>
      </c>
      <c r="C73" s="215"/>
      <c r="D73" s="216">
        <f ca="1">TblConstr[[#This Row],[Plain]]</f>
        <v>0</v>
      </c>
      <c r="E73" s="182">
        <f ca="1">TblConstr[[#This Row],[Forest]]</f>
        <v>0</v>
      </c>
      <c r="F73" s="359">
        <f ca="1">TblConstr[[#This Row],[Mountain]]</f>
        <v>0</v>
      </c>
      <c r="G73" s="363">
        <f ca="1">TblConstr[[#This Row],[Hill]]</f>
        <v>0</v>
      </c>
      <c r="H73" s="367">
        <f ca="1">TblConstr[[#This Row],[Swamp]]</f>
        <v>0</v>
      </c>
      <c r="I73" s="185">
        <f ca="1">TblConstr[[#This Row],[Cavern]]</f>
        <v>0</v>
      </c>
      <c r="J73" s="186">
        <f ca="1">TblConstr[[#This Row],[Water]]</f>
        <v>0</v>
      </c>
      <c r="K73" s="210"/>
      <c r="L73" s="210"/>
      <c r="M73" s="210"/>
      <c r="N73" s="217">
        <f ca="1">TblMili[[#This Row],[Smithies]]</f>
        <v>0</v>
      </c>
      <c r="O73" s="217">
        <f ca="1">TblPop[[#This Row],[Employment]]</f>
        <v>1</v>
      </c>
      <c r="P73" s="217">
        <f ca="1">TblImps[[#This Row],[Population]]</f>
        <v>1</v>
      </c>
      <c r="Q73" s="175">
        <f ca="1">TblExplore[[#This Row],[Land]]</f>
        <v>50</v>
      </c>
      <c r="R73" s="175">
        <f>TblExplore[[#This Row],[Hour]]</f>
        <v>70</v>
      </c>
      <c r="S73" s="218"/>
      <c r="T73" s="179"/>
      <c r="U73" s="179"/>
      <c r="V73" s="179"/>
      <c r="W73" s="179"/>
      <c r="X73" s="179"/>
      <c r="Y73" s="179"/>
      <c r="Z73" s="179"/>
      <c r="AA73" s="159">
        <f ca="1">TblImps[[#This Row],[Real time]]</f>
        <v>46322.874999999833</v>
      </c>
      <c r="AB73" s="94">
        <f ca="1">TblMili[[#This Row],[Draftees]]</f>
        <v>534</v>
      </c>
      <c r="AC73" s="94">
        <f ca="1">TblProd[[#This Row],[Platinum]]</f>
        <v>183434</v>
      </c>
      <c r="AD73" s="215"/>
      <c r="AE73" s="45">
        <f ca="1">TblExplore[[#This Row],[Land]]-TblExplore[[#This Row],[Land Bonus]]*20</f>
        <v>50</v>
      </c>
      <c r="AF73" s="94">
        <f ca="1">ROUND((0.6*TblExplore[[#This Row],[Land-DB]]^1.299 + IF(TblExplore[[#This Row],[Land-DB]]&lt;1520, (-0.001*(TblExplore[[#This Row],[Land-DB]]^2)+1.91*TblExplore[[#This Row],[Land-DB]]-593), 0))*(1+ tech_2_6*Techs!AC73 + tech_2_9*Techs!AF73 + tech_3_7*Techs!AN73 + Overview!$I$33),0)</f>
        <v>-403</v>
      </c>
      <c r="AG73" s="94">
        <f ca="1">_xlfn.FLOOR.MATH(TblExplore[[#This Row],[Land-DB]]/150)+3+tech_2_9_2*TblTech[[#This Row],[2-9]]+tech_3_7_2*TblTech[[#This Row],[3-7]]</f>
        <v>3</v>
      </c>
      <c r="AH73" s="94">
        <f ca="1">SUM(TblExplore[[#This Row],[Plains Explore]:[Water Explore]])*TblExplore[[#This Row],[Plat/acre]]</f>
        <v>0</v>
      </c>
      <c r="AI73" s="94">
        <f ca="1">SUM(TblExplore[[#This Row],[Plains Explore]:[Water Explore]])*TblExplore[[#This Row],[Draftees/acre]]</f>
        <v>0</v>
      </c>
      <c r="AJ73" s="45">
        <f ca="1">_xlfn.FLOOR.MATH(MIN(TblExplore[[#This Row],[Platinum]]/TblExplore[[#This Row],[Plat/acre]],TblExplore[[#This Row],[Draftees]]/TblExplore[[#This Row],[Draftees/acre]]))</f>
        <v>-456</v>
      </c>
    </row>
    <row r="74" spans="1:36" x14ac:dyDescent="0.2">
      <c r="A74" s="175">
        <f>TblRezone[[#This Row],[Hour]]</f>
        <v>71</v>
      </c>
      <c r="B74" s="214">
        <f ca="1">TblConstr[[#This Row],[Land]]</f>
        <v>50</v>
      </c>
      <c r="C74" s="215"/>
      <c r="D74" s="216">
        <f ca="1">TblConstr[[#This Row],[Plain]]</f>
        <v>0</v>
      </c>
      <c r="E74" s="182">
        <f ca="1">TblConstr[[#This Row],[Forest]]</f>
        <v>0</v>
      </c>
      <c r="F74" s="359">
        <f ca="1">TblConstr[[#This Row],[Mountain]]</f>
        <v>0</v>
      </c>
      <c r="G74" s="363">
        <f ca="1">TblConstr[[#This Row],[Hill]]</f>
        <v>0</v>
      </c>
      <c r="H74" s="367">
        <f ca="1">TblConstr[[#This Row],[Swamp]]</f>
        <v>0</v>
      </c>
      <c r="I74" s="185">
        <f ca="1">TblConstr[[#This Row],[Cavern]]</f>
        <v>0</v>
      </c>
      <c r="J74" s="186">
        <f ca="1">TblConstr[[#This Row],[Water]]</f>
        <v>0</v>
      </c>
      <c r="K74" s="210"/>
      <c r="L74" s="210"/>
      <c r="M74" s="210"/>
      <c r="N74" s="217">
        <f ca="1">TblMili[[#This Row],[Smithies]]</f>
        <v>0</v>
      </c>
      <c r="O74" s="217">
        <f ca="1">TblPop[[#This Row],[Employment]]</f>
        <v>1</v>
      </c>
      <c r="P74" s="217">
        <f ca="1">TblImps[[#This Row],[Population]]</f>
        <v>1</v>
      </c>
      <c r="Q74" s="175">
        <f ca="1">TblExplore[[#This Row],[Land]]</f>
        <v>50</v>
      </c>
      <c r="R74" s="175">
        <f>TblExplore[[#This Row],[Hour]]</f>
        <v>71</v>
      </c>
      <c r="S74" s="218"/>
      <c r="T74" s="179"/>
      <c r="U74" s="179"/>
      <c r="V74" s="179"/>
      <c r="W74" s="179"/>
      <c r="X74" s="179"/>
      <c r="Y74" s="179"/>
      <c r="Z74" s="179"/>
      <c r="AA74" s="159">
        <f ca="1">TblImps[[#This Row],[Real time]]</f>
        <v>46322.916666666497</v>
      </c>
      <c r="AB74" s="94">
        <f ca="1">TblMili[[#This Row],[Draftees]]</f>
        <v>536</v>
      </c>
      <c r="AC74" s="94">
        <f ca="1">TblProd[[#This Row],[Platinum]]</f>
        <v>184068</v>
      </c>
      <c r="AD74" s="215"/>
      <c r="AE74" s="45">
        <f ca="1">TblExplore[[#This Row],[Land]]-TblExplore[[#This Row],[Land Bonus]]*20</f>
        <v>50</v>
      </c>
      <c r="AF74" s="94">
        <f ca="1">ROUND((0.6*TblExplore[[#This Row],[Land-DB]]^1.299 + IF(TblExplore[[#This Row],[Land-DB]]&lt;1520, (-0.001*(TblExplore[[#This Row],[Land-DB]]^2)+1.91*TblExplore[[#This Row],[Land-DB]]-593), 0))*(1+ tech_2_6*Techs!AC74 + tech_2_9*Techs!AF74 + tech_3_7*Techs!AN74 + Overview!$I$33),0)</f>
        <v>-403</v>
      </c>
      <c r="AG74" s="94">
        <f ca="1">_xlfn.FLOOR.MATH(TblExplore[[#This Row],[Land-DB]]/150)+3+tech_2_9_2*TblTech[[#This Row],[2-9]]+tech_3_7_2*TblTech[[#This Row],[3-7]]</f>
        <v>3</v>
      </c>
      <c r="AH74" s="94">
        <f ca="1">SUM(TblExplore[[#This Row],[Plains Explore]:[Water Explore]])*TblExplore[[#This Row],[Plat/acre]]</f>
        <v>0</v>
      </c>
      <c r="AI74" s="94">
        <f ca="1">SUM(TblExplore[[#This Row],[Plains Explore]:[Water Explore]])*TblExplore[[#This Row],[Draftees/acre]]</f>
        <v>0</v>
      </c>
      <c r="AJ74" s="45">
        <f ca="1">_xlfn.FLOOR.MATH(MIN(TblExplore[[#This Row],[Platinum]]/TblExplore[[#This Row],[Plat/acre]],TblExplore[[#This Row],[Draftees]]/TblExplore[[#This Row],[Draftees/acre]]))</f>
        <v>-457</v>
      </c>
    </row>
    <row r="75" spans="1:36" x14ac:dyDescent="0.2">
      <c r="A75" s="175">
        <f>TblRezone[[#This Row],[Hour]]</f>
        <v>72</v>
      </c>
      <c r="B75" s="214">
        <f ca="1">TblConstr[[#This Row],[Land]]</f>
        <v>50</v>
      </c>
      <c r="C75" s="215"/>
      <c r="D75" s="216">
        <f ca="1">TblConstr[[#This Row],[Plain]]</f>
        <v>0</v>
      </c>
      <c r="E75" s="182">
        <f ca="1">TblConstr[[#This Row],[Forest]]</f>
        <v>0</v>
      </c>
      <c r="F75" s="359">
        <f ca="1">TblConstr[[#This Row],[Mountain]]</f>
        <v>0</v>
      </c>
      <c r="G75" s="363">
        <f ca="1">TblConstr[[#This Row],[Hill]]</f>
        <v>0</v>
      </c>
      <c r="H75" s="367">
        <f ca="1">TblConstr[[#This Row],[Swamp]]</f>
        <v>0</v>
      </c>
      <c r="I75" s="185">
        <f ca="1">TblConstr[[#This Row],[Cavern]]</f>
        <v>0</v>
      </c>
      <c r="J75" s="186">
        <f ca="1">TblConstr[[#This Row],[Water]]</f>
        <v>0</v>
      </c>
      <c r="K75" s="210"/>
      <c r="L75" s="210"/>
      <c r="M75" s="210"/>
      <c r="N75" s="217">
        <f ca="1">TblMili[[#This Row],[Smithies]]</f>
        <v>0</v>
      </c>
      <c r="O75" s="217">
        <f ca="1">TblPop[[#This Row],[Employment]]</f>
        <v>1</v>
      </c>
      <c r="P75" s="217">
        <f ca="1">TblImps[[#This Row],[Population]]</f>
        <v>1</v>
      </c>
      <c r="Q75" s="175">
        <f ca="1">TblExplore[[#This Row],[Land]]</f>
        <v>50</v>
      </c>
      <c r="R75" s="175">
        <f>TblExplore[[#This Row],[Hour]]</f>
        <v>72</v>
      </c>
      <c r="S75" s="218"/>
      <c r="T75" s="179"/>
      <c r="U75" s="179"/>
      <c r="V75" s="179"/>
      <c r="W75" s="179"/>
      <c r="X75" s="179"/>
      <c r="Y75" s="179"/>
      <c r="Z75" s="179"/>
      <c r="AA75" s="159">
        <f ca="1">TblImps[[#This Row],[Real time]]</f>
        <v>46322.958333333161</v>
      </c>
      <c r="AB75" s="94">
        <f ca="1">TblMili[[#This Row],[Draftees]]</f>
        <v>538</v>
      </c>
      <c r="AC75" s="94">
        <f ca="1">TblProd[[#This Row],[Platinum]]</f>
        <v>184697</v>
      </c>
      <c r="AD75" s="215"/>
      <c r="AE75" s="45">
        <f ca="1">TblExplore[[#This Row],[Land]]-TblExplore[[#This Row],[Land Bonus]]*20</f>
        <v>50</v>
      </c>
      <c r="AF75" s="94">
        <f ca="1">ROUND((0.6*TblExplore[[#This Row],[Land-DB]]^1.299 + IF(TblExplore[[#This Row],[Land-DB]]&lt;1520, (-0.001*(TblExplore[[#This Row],[Land-DB]]^2)+1.91*TblExplore[[#This Row],[Land-DB]]-593), 0))*(1+ tech_2_6*Techs!AC75 + tech_2_9*Techs!AF75 + tech_3_7*Techs!AN75 + Overview!$I$33),0)</f>
        <v>-403</v>
      </c>
      <c r="AG75" s="94">
        <f ca="1">_xlfn.FLOOR.MATH(TblExplore[[#This Row],[Land-DB]]/150)+3+tech_2_9_2*TblTech[[#This Row],[2-9]]+tech_3_7_2*TblTech[[#This Row],[3-7]]</f>
        <v>3</v>
      </c>
      <c r="AH75" s="94">
        <f ca="1">SUM(TblExplore[[#This Row],[Plains Explore]:[Water Explore]])*TblExplore[[#This Row],[Plat/acre]]</f>
        <v>0</v>
      </c>
      <c r="AI75" s="94">
        <f ca="1">SUM(TblExplore[[#This Row],[Plains Explore]:[Water Explore]])*TblExplore[[#This Row],[Draftees/acre]]</f>
        <v>0</v>
      </c>
      <c r="AJ75" s="45">
        <f ca="1">_xlfn.FLOOR.MATH(MIN(TblExplore[[#This Row],[Platinum]]/TblExplore[[#This Row],[Plat/acre]],TblExplore[[#This Row],[Draftees]]/TblExplore[[#This Row],[Draftees/acre]]))</f>
        <v>-459</v>
      </c>
    </row>
    <row r="76" spans="1:36" x14ac:dyDescent="0.2">
      <c r="A76" s="175">
        <f>TblRezone[[#This Row],[Hour]]</f>
        <v>73</v>
      </c>
      <c r="B76" s="214">
        <f ca="1">TblConstr[[#This Row],[Land]]</f>
        <v>50</v>
      </c>
      <c r="C76" s="215"/>
      <c r="D76" s="216">
        <f ca="1">TblConstr[[#This Row],[Plain]]</f>
        <v>0</v>
      </c>
      <c r="E76" s="182">
        <f ca="1">TblConstr[[#This Row],[Forest]]</f>
        <v>0</v>
      </c>
      <c r="F76" s="359">
        <f ca="1">TblConstr[[#This Row],[Mountain]]</f>
        <v>0</v>
      </c>
      <c r="G76" s="363">
        <f ca="1">TblConstr[[#This Row],[Hill]]</f>
        <v>0</v>
      </c>
      <c r="H76" s="367">
        <f ca="1">TblConstr[[#This Row],[Swamp]]</f>
        <v>0</v>
      </c>
      <c r="I76" s="185">
        <f ca="1">TblConstr[[#This Row],[Cavern]]</f>
        <v>0</v>
      </c>
      <c r="J76" s="186">
        <f ca="1">TblConstr[[#This Row],[Water]]</f>
        <v>0</v>
      </c>
      <c r="K76" s="210"/>
      <c r="L76" s="210"/>
      <c r="M76" s="210"/>
      <c r="N76" s="438">
        <f ca="1">TblMili[[#This Row],[Smithies]]</f>
        <v>0</v>
      </c>
      <c r="O76" s="438">
        <f ca="1">TblPop[[#This Row],[Employment]]</f>
        <v>1</v>
      </c>
      <c r="P76" s="438">
        <f ca="1">TblImps[[#This Row],[Population]]</f>
        <v>1</v>
      </c>
      <c r="Q76" s="175">
        <f ca="1">TblExplore[[#This Row],[Land]]</f>
        <v>50</v>
      </c>
      <c r="R76" s="175">
        <f>TblExplore[[#This Row],[Hour]]</f>
        <v>73</v>
      </c>
      <c r="S76" s="218"/>
      <c r="T76" s="179"/>
      <c r="U76" s="179"/>
      <c r="V76" s="179"/>
      <c r="W76" s="179"/>
      <c r="X76" s="179"/>
      <c r="Y76" s="179"/>
      <c r="Z76" s="179"/>
      <c r="AA76" s="432">
        <f ca="1">TblImps[[#This Row],[Real time]]</f>
        <v>46322.999999999825</v>
      </c>
      <c r="AB76" s="430">
        <f ca="1">TblMili[[#This Row],[Draftees]]</f>
        <v>540</v>
      </c>
      <c r="AC76" s="430">
        <f ca="1">TblProd[[#This Row],[Platinum]]</f>
        <v>185320</v>
      </c>
      <c r="AD76" s="215"/>
      <c r="AE76" s="433">
        <f ca="1">TblExplore[[#This Row],[Land]]-TblExplore[[#This Row],[Land Bonus]]*20</f>
        <v>50</v>
      </c>
      <c r="AF76" s="430">
        <f ca="1">ROUND((0.6*TblExplore[[#This Row],[Land-DB]]^1.299 + IF(TblExplore[[#This Row],[Land-DB]]&lt;1520, (-0.001*(TblExplore[[#This Row],[Land-DB]]^2)+1.91*TblExplore[[#This Row],[Land-DB]]-593), 0))*(1+ tech_2_6*Techs!AC76 + tech_2_9*Techs!AF76 + tech_3_7*Techs!AN76 + Overview!$I$33),0)</f>
        <v>-403</v>
      </c>
      <c r="AG76" s="430">
        <f ca="1">_xlfn.FLOOR.MATH(TblExplore[[#This Row],[Land-DB]]/150)+3+tech_2_9_2*TblTech[[#This Row],[2-9]]+tech_3_7_2*TblTech[[#This Row],[3-7]]</f>
        <v>3</v>
      </c>
      <c r="AH76" s="430">
        <f ca="1">SUM(TblExplore[[#This Row],[Plains Explore]:[Water Explore]])*TblExplore[[#This Row],[Plat/acre]]</f>
        <v>0</v>
      </c>
      <c r="AI76" s="430">
        <f ca="1">SUM(TblExplore[[#This Row],[Plains Explore]:[Water Explore]])*TblExplore[[#This Row],[Draftees/acre]]</f>
        <v>0</v>
      </c>
      <c r="AJ76" s="433">
        <f ca="1">_xlfn.FLOOR.MATH(MIN(TblExplore[[#This Row],[Platinum]]/TblExplore[[#This Row],[Plat/acre]],TblExplore[[#This Row],[Draftees]]/TblExplore[[#This Row],[Draftees/acre]]))</f>
        <v>-460</v>
      </c>
    </row>
    <row r="77" spans="1:36" x14ac:dyDescent="0.2">
      <c r="A77" s="175">
        <f>TblRezone[[#This Row],[Hour]]</f>
        <v>74</v>
      </c>
      <c r="B77" s="214">
        <f ca="1">TblConstr[[#This Row],[Land]]</f>
        <v>50</v>
      </c>
      <c r="C77" s="215"/>
      <c r="D77" s="216">
        <f ca="1">TblConstr[[#This Row],[Plain]]</f>
        <v>0</v>
      </c>
      <c r="E77" s="182">
        <f ca="1">TblConstr[[#This Row],[Forest]]</f>
        <v>0</v>
      </c>
      <c r="F77" s="359">
        <f ca="1">TblConstr[[#This Row],[Mountain]]</f>
        <v>0</v>
      </c>
      <c r="G77" s="363">
        <f ca="1">TblConstr[[#This Row],[Hill]]</f>
        <v>0</v>
      </c>
      <c r="H77" s="367">
        <f ca="1">TblConstr[[#This Row],[Swamp]]</f>
        <v>0</v>
      </c>
      <c r="I77" s="185">
        <f ca="1">TblConstr[[#This Row],[Cavern]]</f>
        <v>0</v>
      </c>
      <c r="J77" s="186">
        <f ca="1">TblConstr[[#This Row],[Water]]</f>
        <v>0</v>
      </c>
      <c r="K77" s="210"/>
      <c r="L77" s="210"/>
      <c r="M77" s="210"/>
      <c r="N77" s="217">
        <f ca="1">TblMili[[#This Row],[Smithies]]</f>
        <v>0</v>
      </c>
      <c r="O77" s="217">
        <f ca="1">TblPop[[#This Row],[Employment]]</f>
        <v>1</v>
      </c>
      <c r="P77" s="217">
        <f ca="1">TblImps[[#This Row],[Population]]</f>
        <v>1</v>
      </c>
      <c r="Q77" s="175">
        <f ca="1">TblExplore[[#This Row],[Land]]</f>
        <v>50</v>
      </c>
      <c r="R77" s="175">
        <f>TblExplore[[#This Row],[Hour]]</f>
        <v>74</v>
      </c>
      <c r="S77" s="218"/>
      <c r="T77" s="179"/>
      <c r="U77" s="179"/>
      <c r="V77" s="179"/>
      <c r="W77" s="179"/>
      <c r="X77" s="179"/>
      <c r="Y77" s="179"/>
      <c r="Z77" s="179"/>
      <c r="AA77" s="159">
        <f ca="1">TblImps[[#This Row],[Real time]]</f>
        <v>46323.04166666649</v>
      </c>
      <c r="AB77" s="94">
        <f ca="1">TblMili[[#This Row],[Draftees]]</f>
        <v>542</v>
      </c>
      <c r="AC77" s="94">
        <f ca="1">TblProd[[#This Row],[Platinum]]</f>
        <v>185938</v>
      </c>
      <c r="AD77" s="215"/>
      <c r="AE77" s="45">
        <f ca="1">TblExplore[[#This Row],[Land]]-TblExplore[[#This Row],[Land Bonus]]*20</f>
        <v>50</v>
      </c>
      <c r="AF77" s="94">
        <f ca="1">ROUND((0.6*TblExplore[[#This Row],[Land-DB]]^1.299 + IF(TblExplore[[#This Row],[Land-DB]]&lt;1520, (-0.001*(TblExplore[[#This Row],[Land-DB]]^2)+1.91*TblExplore[[#This Row],[Land-DB]]-593), 0))*(1+ tech_2_6*Techs!AC77 + tech_2_9*Techs!AF77 + tech_3_7*Techs!AN77 + Overview!$I$33),0)</f>
        <v>-403</v>
      </c>
      <c r="AG77" s="94">
        <f ca="1">_xlfn.FLOOR.MATH(TblExplore[[#This Row],[Land-DB]]/150)+3+tech_2_9_2*TblTech[[#This Row],[2-9]]+tech_3_7_2*TblTech[[#This Row],[3-7]]</f>
        <v>3</v>
      </c>
      <c r="AH77" s="94">
        <f ca="1">SUM(TblExplore[[#This Row],[Plains Explore]:[Water Explore]])*TblExplore[[#This Row],[Plat/acre]]</f>
        <v>0</v>
      </c>
      <c r="AI77" s="94">
        <f ca="1">SUM(TblExplore[[#This Row],[Plains Explore]:[Water Explore]])*TblExplore[[#This Row],[Draftees/acre]]</f>
        <v>0</v>
      </c>
      <c r="AJ77" s="45">
        <f ca="1">_xlfn.FLOOR.MATH(MIN(TblExplore[[#This Row],[Platinum]]/TblExplore[[#This Row],[Plat/acre]],TblExplore[[#This Row],[Draftees]]/TblExplore[[#This Row],[Draftees/acre]]))</f>
        <v>-462</v>
      </c>
    </row>
    <row r="78" spans="1:36" x14ac:dyDescent="0.2">
      <c r="A78" s="175">
        <f>TblRezone[[#This Row],[Hour]]</f>
        <v>75</v>
      </c>
      <c r="B78" s="214">
        <f ca="1">TblConstr[[#This Row],[Land]]</f>
        <v>50</v>
      </c>
      <c r="C78" s="215"/>
      <c r="D78" s="216">
        <f ca="1">TblConstr[[#This Row],[Plain]]</f>
        <v>0</v>
      </c>
      <c r="E78" s="182">
        <f ca="1">TblConstr[[#This Row],[Forest]]</f>
        <v>0</v>
      </c>
      <c r="F78" s="359">
        <f ca="1">TblConstr[[#This Row],[Mountain]]</f>
        <v>0</v>
      </c>
      <c r="G78" s="363">
        <f ca="1">TblConstr[[#This Row],[Hill]]</f>
        <v>0</v>
      </c>
      <c r="H78" s="367">
        <f ca="1">TblConstr[[#This Row],[Swamp]]</f>
        <v>0</v>
      </c>
      <c r="I78" s="185">
        <f ca="1">TblConstr[[#This Row],[Cavern]]</f>
        <v>0</v>
      </c>
      <c r="J78" s="186">
        <f ca="1">TblConstr[[#This Row],[Water]]</f>
        <v>0</v>
      </c>
      <c r="K78" s="210"/>
      <c r="L78" s="210"/>
      <c r="M78" s="210"/>
      <c r="N78" s="217">
        <f ca="1">TblMili[[#This Row],[Smithies]]</f>
        <v>0</v>
      </c>
      <c r="O78" s="217">
        <f ca="1">TblPop[[#This Row],[Employment]]</f>
        <v>1</v>
      </c>
      <c r="P78" s="217">
        <f ca="1">TblImps[[#This Row],[Population]]</f>
        <v>1</v>
      </c>
      <c r="Q78" s="175">
        <f ca="1">TblExplore[[#This Row],[Land]]</f>
        <v>50</v>
      </c>
      <c r="R78" s="175">
        <f>TblExplore[[#This Row],[Hour]]</f>
        <v>75</v>
      </c>
      <c r="S78" s="218"/>
      <c r="T78" s="179"/>
      <c r="U78" s="179"/>
      <c r="V78" s="179"/>
      <c r="W78" s="179"/>
      <c r="X78" s="179"/>
      <c r="Y78" s="179"/>
      <c r="Z78" s="179"/>
      <c r="AA78" s="159">
        <f ca="1">TblImps[[#This Row],[Real time]]</f>
        <v>46323.083333333154</v>
      </c>
      <c r="AB78" s="94">
        <f ca="1">TblMili[[#This Row],[Draftees]]</f>
        <v>544</v>
      </c>
      <c r="AC78" s="94">
        <f ca="1">TblProd[[#This Row],[Platinum]]</f>
        <v>186550</v>
      </c>
      <c r="AD78" s="215"/>
      <c r="AE78" s="45">
        <f ca="1">TblExplore[[#This Row],[Land]]-TblExplore[[#This Row],[Land Bonus]]*20</f>
        <v>50</v>
      </c>
      <c r="AF78" s="94">
        <f ca="1">ROUND((0.6*TblExplore[[#This Row],[Land-DB]]^1.299 + IF(TblExplore[[#This Row],[Land-DB]]&lt;1520, (-0.001*(TblExplore[[#This Row],[Land-DB]]^2)+1.91*TblExplore[[#This Row],[Land-DB]]-593), 0))*(1+ tech_2_6*Techs!AC78 + tech_2_9*Techs!AF78 + tech_3_7*Techs!AN78 + Overview!$I$33),0)</f>
        <v>-403</v>
      </c>
      <c r="AG78" s="94">
        <f ca="1">_xlfn.FLOOR.MATH(TblExplore[[#This Row],[Land-DB]]/150)+3+tech_2_9_2*TblTech[[#This Row],[2-9]]+tech_3_7_2*TblTech[[#This Row],[3-7]]</f>
        <v>3</v>
      </c>
      <c r="AH78" s="94">
        <f ca="1">SUM(TblExplore[[#This Row],[Plains Explore]:[Water Explore]])*TblExplore[[#This Row],[Plat/acre]]</f>
        <v>0</v>
      </c>
      <c r="AI78" s="94">
        <f ca="1">SUM(TblExplore[[#This Row],[Plains Explore]:[Water Explore]])*TblExplore[[#This Row],[Draftees/acre]]</f>
        <v>0</v>
      </c>
      <c r="AJ78" s="45">
        <f ca="1">_xlfn.FLOOR.MATH(MIN(TblExplore[[#This Row],[Platinum]]/TblExplore[[#This Row],[Plat/acre]],TblExplore[[#This Row],[Draftees]]/TblExplore[[#This Row],[Draftees/acre]]))</f>
        <v>-463</v>
      </c>
    </row>
    <row r="79" spans="1:36" x14ac:dyDescent="0.2">
      <c r="A79" s="175">
        <f>TblRezone[[#This Row],[Hour]]</f>
        <v>76</v>
      </c>
      <c r="B79" s="214">
        <f ca="1">TblConstr[[#This Row],[Land]]</f>
        <v>50</v>
      </c>
      <c r="C79" s="215"/>
      <c r="D79" s="216">
        <f ca="1">TblConstr[[#This Row],[Plain]]</f>
        <v>0</v>
      </c>
      <c r="E79" s="182">
        <f ca="1">TblConstr[[#This Row],[Forest]]</f>
        <v>0</v>
      </c>
      <c r="F79" s="359">
        <f ca="1">TblConstr[[#This Row],[Mountain]]</f>
        <v>0</v>
      </c>
      <c r="G79" s="363">
        <f ca="1">TblConstr[[#This Row],[Hill]]</f>
        <v>0</v>
      </c>
      <c r="H79" s="367">
        <f ca="1">TblConstr[[#This Row],[Swamp]]</f>
        <v>0</v>
      </c>
      <c r="I79" s="185">
        <f ca="1">TblConstr[[#This Row],[Cavern]]</f>
        <v>0</v>
      </c>
      <c r="J79" s="186">
        <f ca="1">TblConstr[[#This Row],[Water]]</f>
        <v>0</v>
      </c>
      <c r="K79" s="210"/>
      <c r="L79" s="210"/>
      <c r="M79" s="210"/>
      <c r="N79" s="217">
        <f ca="1">TblMili[[#This Row],[Smithies]]</f>
        <v>0</v>
      </c>
      <c r="O79" s="217">
        <f ca="1">TblPop[[#This Row],[Employment]]</f>
        <v>1</v>
      </c>
      <c r="P79" s="217">
        <f ca="1">TblImps[[#This Row],[Population]]</f>
        <v>1</v>
      </c>
      <c r="Q79" s="175">
        <f ca="1">TblExplore[[#This Row],[Land]]</f>
        <v>50</v>
      </c>
      <c r="R79" s="175">
        <f>TblExplore[[#This Row],[Hour]]</f>
        <v>76</v>
      </c>
      <c r="S79" s="218"/>
      <c r="T79" s="158"/>
      <c r="U79" s="179"/>
      <c r="V79" s="179"/>
      <c r="W79" s="179"/>
      <c r="X79" s="179"/>
      <c r="Y79" s="179"/>
      <c r="Z79" s="179"/>
      <c r="AA79" s="159">
        <f ca="1">TblImps[[#This Row],[Real time]]</f>
        <v>46323.124999999818</v>
      </c>
      <c r="AB79" s="94">
        <f ca="1">TblMili[[#This Row],[Draftees]]</f>
        <v>546</v>
      </c>
      <c r="AC79" s="94">
        <f ca="1">TblProd[[#This Row],[Platinum]]</f>
        <v>187157</v>
      </c>
      <c r="AD79" s="215"/>
      <c r="AE79" s="45">
        <f ca="1">TblExplore[[#This Row],[Land]]-TblExplore[[#This Row],[Land Bonus]]*20</f>
        <v>50</v>
      </c>
      <c r="AF79" s="94">
        <f ca="1">ROUND((0.6*TblExplore[[#This Row],[Land-DB]]^1.299 + IF(TblExplore[[#This Row],[Land-DB]]&lt;1520, (-0.001*(TblExplore[[#This Row],[Land-DB]]^2)+1.91*TblExplore[[#This Row],[Land-DB]]-593), 0))*(1+ tech_2_6*Techs!AC79 + tech_2_9*Techs!AF79 + tech_3_7*Techs!AN79 + Overview!$I$33),0)</f>
        <v>-403</v>
      </c>
      <c r="AG79" s="94">
        <f ca="1">_xlfn.FLOOR.MATH(TblExplore[[#This Row],[Land-DB]]/150)+3+tech_2_9_2*TblTech[[#This Row],[2-9]]+tech_3_7_2*TblTech[[#This Row],[3-7]]</f>
        <v>3</v>
      </c>
      <c r="AH79" s="94">
        <f ca="1">SUM(TblExplore[[#This Row],[Plains Explore]:[Water Explore]])*TblExplore[[#This Row],[Plat/acre]]</f>
        <v>0</v>
      </c>
      <c r="AI79" s="94">
        <f ca="1">SUM(TblExplore[[#This Row],[Plains Explore]:[Water Explore]])*TblExplore[[#This Row],[Draftees/acre]]</f>
        <v>0</v>
      </c>
      <c r="AJ79" s="45">
        <f ca="1">_xlfn.FLOOR.MATH(MIN(TblExplore[[#This Row],[Platinum]]/TblExplore[[#This Row],[Plat/acre]],TblExplore[[#This Row],[Draftees]]/TblExplore[[#This Row],[Draftees/acre]]))</f>
        <v>-465</v>
      </c>
    </row>
    <row r="80" spans="1:36" x14ac:dyDescent="0.2">
      <c r="A80" s="175">
        <f>TblRezone[[#This Row],[Hour]]</f>
        <v>77</v>
      </c>
      <c r="B80" s="214">
        <f ca="1">TblConstr[[#This Row],[Land]]</f>
        <v>50</v>
      </c>
      <c r="C80" s="215"/>
      <c r="D80" s="216">
        <f ca="1">TblConstr[[#This Row],[Plain]]</f>
        <v>0</v>
      </c>
      <c r="E80" s="182">
        <f ca="1">TblConstr[[#This Row],[Forest]]</f>
        <v>0</v>
      </c>
      <c r="F80" s="359">
        <f ca="1">TblConstr[[#This Row],[Mountain]]</f>
        <v>0</v>
      </c>
      <c r="G80" s="363">
        <f ca="1">TblConstr[[#This Row],[Hill]]</f>
        <v>0</v>
      </c>
      <c r="H80" s="367">
        <f ca="1">TblConstr[[#This Row],[Swamp]]</f>
        <v>0</v>
      </c>
      <c r="I80" s="185">
        <f ca="1">TblConstr[[#This Row],[Cavern]]</f>
        <v>0</v>
      </c>
      <c r="J80" s="186">
        <f ca="1">TblConstr[[#This Row],[Water]]</f>
        <v>0</v>
      </c>
      <c r="K80" s="210"/>
      <c r="L80" s="210"/>
      <c r="M80" s="210"/>
      <c r="N80" s="217">
        <f ca="1">TblMili[[#This Row],[Smithies]]</f>
        <v>0</v>
      </c>
      <c r="O80" s="217">
        <f ca="1">TblPop[[#This Row],[Employment]]</f>
        <v>1</v>
      </c>
      <c r="P80" s="217">
        <f ca="1">TblImps[[#This Row],[Population]]</f>
        <v>1</v>
      </c>
      <c r="Q80" s="175">
        <f ca="1">TblExplore[[#This Row],[Land]]</f>
        <v>50</v>
      </c>
      <c r="R80" s="175">
        <f>TblExplore[[#This Row],[Hour]]</f>
        <v>77</v>
      </c>
      <c r="S80" s="218"/>
      <c r="T80" s="158"/>
      <c r="U80" s="179"/>
      <c r="V80" s="179"/>
      <c r="W80" s="179"/>
      <c r="X80" s="179"/>
      <c r="Y80" s="179"/>
      <c r="Z80" s="179"/>
      <c r="AA80" s="159">
        <f ca="1">TblImps[[#This Row],[Real time]]</f>
        <v>46323.166666666482</v>
      </c>
      <c r="AB80" s="94">
        <f ca="1">TblMili[[#This Row],[Draftees]]</f>
        <v>548</v>
      </c>
      <c r="AC80" s="94">
        <f ca="1">TblProd[[#This Row],[Platinum]]</f>
        <v>187759</v>
      </c>
      <c r="AD80" s="215"/>
      <c r="AE80" s="45">
        <f ca="1">TblExplore[[#This Row],[Land]]-TblExplore[[#This Row],[Land Bonus]]*20</f>
        <v>50</v>
      </c>
      <c r="AF80" s="94">
        <f ca="1">ROUND((0.6*TblExplore[[#This Row],[Land-DB]]^1.299 + IF(TblExplore[[#This Row],[Land-DB]]&lt;1520, (-0.001*(TblExplore[[#This Row],[Land-DB]]^2)+1.91*TblExplore[[#This Row],[Land-DB]]-593), 0))*(1+ tech_2_6*Techs!AC80 + tech_2_9*Techs!AF80 + tech_3_7*Techs!AN80 + Overview!$I$33),0)</f>
        <v>-403</v>
      </c>
      <c r="AG80" s="94">
        <f ca="1">_xlfn.FLOOR.MATH(TblExplore[[#This Row],[Land-DB]]/150)+3+tech_2_9_2*TblTech[[#This Row],[2-9]]+tech_3_7_2*TblTech[[#This Row],[3-7]]</f>
        <v>3</v>
      </c>
      <c r="AH80" s="94">
        <f ca="1">SUM(TblExplore[[#This Row],[Plains Explore]:[Water Explore]])*TblExplore[[#This Row],[Plat/acre]]</f>
        <v>0</v>
      </c>
      <c r="AI80" s="94">
        <f ca="1">SUM(TblExplore[[#This Row],[Plains Explore]:[Water Explore]])*TblExplore[[#This Row],[Draftees/acre]]</f>
        <v>0</v>
      </c>
      <c r="AJ80" s="45">
        <f ca="1">_xlfn.FLOOR.MATH(MIN(TblExplore[[#This Row],[Platinum]]/TblExplore[[#This Row],[Plat/acre]],TblExplore[[#This Row],[Draftees]]/TblExplore[[#This Row],[Draftees/acre]]))</f>
        <v>-466</v>
      </c>
    </row>
    <row r="81" spans="1:36" x14ac:dyDescent="0.2">
      <c r="A81" s="175">
        <f>TblRezone[[#This Row],[Hour]]</f>
        <v>78</v>
      </c>
      <c r="B81" s="214">
        <f ca="1">TblConstr[[#This Row],[Land]]</f>
        <v>50</v>
      </c>
      <c r="C81" s="215"/>
      <c r="D81" s="216">
        <f ca="1">TblConstr[[#This Row],[Plain]]</f>
        <v>0</v>
      </c>
      <c r="E81" s="182">
        <f ca="1">TblConstr[[#This Row],[Forest]]</f>
        <v>0</v>
      </c>
      <c r="F81" s="359">
        <f ca="1">TblConstr[[#This Row],[Mountain]]</f>
        <v>0</v>
      </c>
      <c r="G81" s="363">
        <f ca="1">TblConstr[[#This Row],[Hill]]</f>
        <v>0</v>
      </c>
      <c r="H81" s="367">
        <f ca="1">TblConstr[[#This Row],[Swamp]]</f>
        <v>0</v>
      </c>
      <c r="I81" s="185">
        <f ca="1">TblConstr[[#This Row],[Cavern]]</f>
        <v>0</v>
      </c>
      <c r="J81" s="186">
        <f ca="1">TblConstr[[#This Row],[Water]]</f>
        <v>0</v>
      </c>
      <c r="K81" s="210"/>
      <c r="L81" s="210"/>
      <c r="M81" s="210"/>
      <c r="N81" s="217">
        <f ca="1">TblMili[[#This Row],[Smithies]]</f>
        <v>0</v>
      </c>
      <c r="O81" s="217">
        <f ca="1">TblPop[[#This Row],[Employment]]</f>
        <v>1</v>
      </c>
      <c r="P81" s="217">
        <f ca="1">TblImps[[#This Row],[Population]]</f>
        <v>1</v>
      </c>
      <c r="Q81" s="175">
        <f ca="1">TblExplore[[#This Row],[Land]]</f>
        <v>50</v>
      </c>
      <c r="R81" s="175">
        <f>TblExplore[[#This Row],[Hour]]</f>
        <v>78</v>
      </c>
      <c r="S81" s="218"/>
      <c r="T81" s="179"/>
      <c r="U81" s="179"/>
      <c r="V81" s="179"/>
      <c r="W81" s="179"/>
      <c r="X81" s="179"/>
      <c r="Y81" s="179"/>
      <c r="Z81" s="179"/>
      <c r="AA81" s="159">
        <f ca="1">TblImps[[#This Row],[Real time]]</f>
        <v>46323.208333333147</v>
      </c>
      <c r="AB81" s="94">
        <f ca="1">TblMili[[#This Row],[Draftees]]</f>
        <v>550</v>
      </c>
      <c r="AC81" s="94">
        <f ca="1">TblProd[[#This Row],[Platinum]]</f>
        <v>188355</v>
      </c>
      <c r="AD81" s="215"/>
      <c r="AE81" s="45">
        <f ca="1">TblExplore[[#This Row],[Land]]-TblExplore[[#This Row],[Land Bonus]]*20</f>
        <v>50</v>
      </c>
      <c r="AF81" s="94">
        <f ca="1">ROUND((0.6*TblExplore[[#This Row],[Land-DB]]^1.299 + IF(TblExplore[[#This Row],[Land-DB]]&lt;1520, (-0.001*(TblExplore[[#This Row],[Land-DB]]^2)+1.91*TblExplore[[#This Row],[Land-DB]]-593), 0))*(1+ tech_2_6*Techs!AC81 + tech_2_9*Techs!AF81 + tech_3_7*Techs!AN81 + Overview!$I$33),0)</f>
        <v>-403</v>
      </c>
      <c r="AG81" s="94">
        <f ca="1">_xlfn.FLOOR.MATH(TblExplore[[#This Row],[Land-DB]]/150)+3+tech_2_9_2*TblTech[[#This Row],[2-9]]+tech_3_7_2*TblTech[[#This Row],[3-7]]</f>
        <v>3</v>
      </c>
      <c r="AH81" s="94">
        <f ca="1">SUM(TblExplore[[#This Row],[Plains Explore]:[Water Explore]])*TblExplore[[#This Row],[Plat/acre]]</f>
        <v>0</v>
      </c>
      <c r="AI81" s="94">
        <f ca="1">SUM(TblExplore[[#This Row],[Plains Explore]:[Water Explore]])*TblExplore[[#This Row],[Draftees/acre]]</f>
        <v>0</v>
      </c>
      <c r="AJ81" s="45">
        <f ca="1">_xlfn.FLOOR.MATH(MIN(TblExplore[[#This Row],[Platinum]]/TblExplore[[#This Row],[Plat/acre]],TblExplore[[#This Row],[Draftees]]/TblExplore[[#This Row],[Draftees/acre]]))</f>
        <v>-468</v>
      </c>
    </row>
    <row r="82" spans="1:36" x14ac:dyDescent="0.2">
      <c r="A82" s="175">
        <f>TblRezone[[#This Row],[Hour]]</f>
        <v>79</v>
      </c>
      <c r="B82" s="214">
        <f ca="1">TblConstr[[#This Row],[Land]]</f>
        <v>50</v>
      </c>
      <c r="C82" s="215"/>
      <c r="D82" s="216">
        <f ca="1">TblConstr[[#This Row],[Plain]]</f>
        <v>0</v>
      </c>
      <c r="E82" s="182">
        <f ca="1">TblConstr[[#This Row],[Forest]]</f>
        <v>0</v>
      </c>
      <c r="F82" s="359">
        <f ca="1">TblConstr[[#This Row],[Mountain]]</f>
        <v>0</v>
      </c>
      <c r="G82" s="363">
        <f ca="1">TblConstr[[#This Row],[Hill]]</f>
        <v>0</v>
      </c>
      <c r="H82" s="367">
        <f ca="1">TblConstr[[#This Row],[Swamp]]</f>
        <v>0</v>
      </c>
      <c r="I82" s="185">
        <f ca="1">TblConstr[[#This Row],[Cavern]]</f>
        <v>0</v>
      </c>
      <c r="J82" s="186">
        <f ca="1">TblConstr[[#This Row],[Water]]</f>
        <v>0</v>
      </c>
      <c r="K82" s="210"/>
      <c r="L82" s="210"/>
      <c r="M82" s="210"/>
      <c r="N82" s="217">
        <f ca="1">TblMili[[#This Row],[Smithies]]</f>
        <v>0</v>
      </c>
      <c r="O82" s="217">
        <f ca="1">TblPop[[#This Row],[Employment]]</f>
        <v>1</v>
      </c>
      <c r="P82" s="217">
        <f ca="1">TblImps[[#This Row],[Population]]</f>
        <v>1</v>
      </c>
      <c r="Q82" s="175">
        <f ca="1">TblExplore[[#This Row],[Land]]</f>
        <v>50</v>
      </c>
      <c r="R82" s="175">
        <f>TblExplore[[#This Row],[Hour]]</f>
        <v>79</v>
      </c>
      <c r="S82" s="218"/>
      <c r="T82" s="179"/>
      <c r="U82" s="179"/>
      <c r="V82" s="179"/>
      <c r="W82" s="179"/>
      <c r="X82" s="179"/>
      <c r="Y82" s="179"/>
      <c r="Z82" s="179"/>
      <c r="AA82" s="159">
        <f ca="1">TblImps[[#This Row],[Real time]]</f>
        <v>46323.249999999811</v>
      </c>
      <c r="AB82" s="94">
        <f ca="1">TblMili[[#This Row],[Draftees]]</f>
        <v>552</v>
      </c>
      <c r="AC82" s="94">
        <f ca="1">TblProd[[#This Row],[Platinum]]</f>
        <v>188946</v>
      </c>
      <c r="AD82" s="215"/>
      <c r="AE82" s="45">
        <f ca="1">TblExplore[[#This Row],[Land]]-TblExplore[[#This Row],[Land Bonus]]*20</f>
        <v>50</v>
      </c>
      <c r="AF82" s="94">
        <f ca="1">ROUND((0.6*TblExplore[[#This Row],[Land-DB]]^1.299 + IF(TblExplore[[#This Row],[Land-DB]]&lt;1520, (-0.001*(TblExplore[[#This Row],[Land-DB]]^2)+1.91*TblExplore[[#This Row],[Land-DB]]-593), 0))*(1+ tech_2_6*Techs!AC82 + tech_2_9*Techs!AF82 + tech_3_7*Techs!AN82 + Overview!$I$33),0)</f>
        <v>-403</v>
      </c>
      <c r="AG82" s="94">
        <f ca="1">_xlfn.FLOOR.MATH(TblExplore[[#This Row],[Land-DB]]/150)+3+tech_2_9_2*TblTech[[#This Row],[2-9]]+tech_3_7_2*TblTech[[#This Row],[3-7]]</f>
        <v>3</v>
      </c>
      <c r="AH82" s="94">
        <f ca="1">SUM(TblExplore[[#This Row],[Plains Explore]:[Water Explore]])*TblExplore[[#This Row],[Plat/acre]]</f>
        <v>0</v>
      </c>
      <c r="AI82" s="94">
        <f ca="1">SUM(TblExplore[[#This Row],[Plains Explore]:[Water Explore]])*TblExplore[[#This Row],[Draftees/acre]]</f>
        <v>0</v>
      </c>
      <c r="AJ82" s="45">
        <f ca="1">_xlfn.FLOOR.MATH(MIN(TblExplore[[#This Row],[Platinum]]/TblExplore[[#This Row],[Plat/acre]],TblExplore[[#This Row],[Draftees]]/TblExplore[[#This Row],[Draftees/acre]]))</f>
        <v>-469</v>
      </c>
    </row>
    <row r="83" spans="1:36" x14ac:dyDescent="0.2">
      <c r="A83" s="175">
        <f>TblRezone[[#This Row],[Hour]]</f>
        <v>80</v>
      </c>
      <c r="B83" s="214">
        <f ca="1">TblConstr[[#This Row],[Land]]</f>
        <v>50</v>
      </c>
      <c r="C83" s="215"/>
      <c r="D83" s="216">
        <f ca="1">TblConstr[[#This Row],[Plain]]</f>
        <v>0</v>
      </c>
      <c r="E83" s="182">
        <f ca="1">TblConstr[[#This Row],[Forest]]</f>
        <v>0</v>
      </c>
      <c r="F83" s="359">
        <f ca="1">TblConstr[[#This Row],[Mountain]]</f>
        <v>0</v>
      </c>
      <c r="G83" s="363">
        <f ca="1">TblConstr[[#This Row],[Hill]]</f>
        <v>0</v>
      </c>
      <c r="H83" s="367">
        <f ca="1">TblConstr[[#This Row],[Swamp]]</f>
        <v>0</v>
      </c>
      <c r="I83" s="185">
        <f ca="1">TblConstr[[#This Row],[Cavern]]</f>
        <v>0</v>
      </c>
      <c r="J83" s="186">
        <f ca="1">TblConstr[[#This Row],[Water]]</f>
        <v>0</v>
      </c>
      <c r="K83" s="210"/>
      <c r="L83" s="210"/>
      <c r="M83" s="210"/>
      <c r="N83" s="217">
        <f ca="1">TblMili[[#This Row],[Smithies]]</f>
        <v>0</v>
      </c>
      <c r="O83" s="217">
        <f ca="1">TblPop[[#This Row],[Employment]]</f>
        <v>1</v>
      </c>
      <c r="P83" s="217">
        <f ca="1">TblImps[[#This Row],[Population]]</f>
        <v>1</v>
      </c>
      <c r="Q83" s="175">
        <f ca="1">TblExplore[[#This Row],[Land]]</f>
        <v>50</v>
      </c>
      <c r="R83" s="175">
        <f>TblExplore[[#This Row],[Hour]]</f>
        <v>80</v>
      </c>
      <c r="S83" s="218"/>
      <c r="T83" s="179"/>
      <c r="U83" s="179"/>
      <c r="V83" s="179"/>
      <c r="W83" s="179"/>
      <c r="X83" s="179"/>
      <c r="Y83" s="179"/>
      <c r="Z83" s="179"/>
      <c r="AA83" s="159">
        <f ca="1">TblImps[[#This Row],[Real time]]</f>
        <v>46323.291666666475</v>
      </c>
      <c r="AB83" s="94">
        <f ca="1">TblMili[[#This Row],[Draftees]]</f>
        <v>554</v>
      </c>
      <c r="AC83" s="94">
        <f ca="1">TblProd[[#This Row],[Platinum]]</f>
        <v>189531</v>
      </c>
      <c r="AD83" s="215"/>
      <c r="AE83" s="45">
        <f ca="1">TblExplore[[#This Row],[Land]]-TblExplore[[#This Row],[Land Bonus]]*20</f>
        <v>50</v>
      </c>
      <c r="AF83" s="94">
        <f ca="1">ROUND((0.6*TblExplore[[#This Row],[Land-DB]]^1.299 + IF(TblExplore[[#This Row],[Land-DB]]&lt;1520, (-0.001*(TblExplore[[#This Row],[Land-DB]]^2)+1.91*TblExplore[[#This Row],[Land-DB]]-593), 0))*(1+ tech_2_6*Techs!AC83 + tech_2_9*Techs!AF83 + tech_3_7*Techs!AN83 + Overview!$I$33),0)</f>
        <v>-403</v>
      </c>
      <c r="AG83" s="94">
        <f ca="1">_xlfn.FLOOR.MATH(TblExplore[[#This Row],[Land-DB]]/150)+3+tech_2_9_2*TblTech[[#This Row],[2-9]]+tech_3_7_2*TblTech[[#This Row],[3-7]]</f>
        <v>3</v>
      </c>
      <c r="AH83" s="94">
        <f ca="1">SUM(TblExplore[[#This Row],[Plains Explore]:[Water Explore]])*TblExplore[[#This Row],[Plat/acre]]</f>
        <v>0</v>
      </c>
      <c r="AI83" s="94">
        <f ca="1">SUM(TblExplore[[#This Row],[Plains Explore]:[Water Explore]])*TblExplore[[#This Row],[Draftees/acre]]</f>
        <v>0</v>
      </c>
      <c r="AJ83" s="45">
        <f ca="1">_xlfn.FLOOR.MATH(MIN(TblExplore[[#This Row],[Platinum]]/TblExplore[[#This Row],[Plat/acre]],TblExplore[[#This Row],[Draftees]]/TblExplore[[#This Row],[Draftees/acre]]))</f>
        <v>-471</v>
      </c>
    </row>
    <row r="84" spans="1:36" x14ac:dyDescent="0.2">
      <c r="A84" s="175">
        <f>TblRezone[[#This Row],[Hour]]</f>
        <v>81</v>
      </c>
      <c r="B84" s="214">
        <f ca="1">TblConstr[[#This Row],[Land]]</f>
        <v>50</v>
      </c>
      <c r="C84" s="215"/>
      <c r="D84" s="216">
        <f ca="1">TblConstr[[#This Row],[Plain]]</f>
        <v>0</v>
      </c>
      <c r="E84" s="182">
        <f ca="1">TblConstr[[#This Row],[Forest]]</f>
        <v>0</v>
      </c>
      <c r="F84" s="359">
        <f ca="1">TblConstr[[#This Row],[Mountain]]</f>
        <v>0</v>
      </c>
      <c r="G84" s="363">
        <f ca="1">TblConstr[[#This Row],[Hill]]</f>
        <v>0</v>
      </c>
      <c r="H84" s="367">
        <f ca="1">TblConstr[[#This Row],[Swamp]]</f>
        <v>0</v>
      </c>
      <c r="I84" s="185">
        <f ca="1">TblConstr[[#This Row],[Cavern]]</f>
        <v>0</v>
      </c>
      <c r="J84" s="186">
        <f ca="1">TblConstr[[#This Row],[Water]]</f>
        <v>0</v>
      </c>
      <c r="K84" s="210"/>
      <c r="L84" s="210"/>
      <c r="M84" s="210"/>
      <c r="N84" s="217">
        <f ca="1">TblMili[[#This Row],[Smithies]]</f>
        <v>0</v>
      </c>
      <c r="O84" s="217">
        <f ca="1">TblPop[[#This Row],[Employment]]</f>
        <v>1</v>
      </c>
      <c r="P84" s="217">
        <f ca="1">TblImps[[#This Row],[Population]]</f>
        <v>1</v>
      </c>
      <c r="Q84" s="175">
        <f ca="1">TblExplore[[#This Row],[Land]]</f>
        <v>50</v>
      </c>
      <c r="R84" s="175">
        <f>TblExplore[[#This Row],[Hour]]</f>
        <v>81</v>
      </c>
      <c r="S84" s="218"/>
      <c r="T84" s="179"/>
      <c r="U84" s="179"/>
      <c r="V84" s="179"/>
      <c r="W84" s="179"/>
      <c r="X84" s="179"/>
      <c r="Y84" s="179"/>
      <c r="Z84" s="179"/>
      <c r="AA84" s="159">
        <f ca="1">TblImps[[#This Row],[Real time]]</f>
        <v>46323.333333333139</v>
      </c>
      <c r="AB84" s="94">
        <f ca="1">TblMili[[#This Row],[Draftees]]</f>
        <v>556</v>
      </c>
      <c r="AC84" s="94">
        <f ca="1">TblProd[[#This Row],[Platinum]]</f>
        <v>190111</v>
      </c>
      <c r="AD84" s="215"/>
      <c r="AE84" s="45">
        <f ca="1">TblExplore[[#This Row],[Land]]-TblExplore[[#This Row],[Land Bonus]]*20</f>
        <v>50</v>
      </c>
      <c r="AF84" s="94">
        <f ca="1">ROUND((0.6*TblExplore[[#This Row],[Land-DB]]^1.299 + IF(TblExplore[[#This Row],[Land-DB]]&lt;1520, (-0.001*(TblExplore[[#This Row],[Land-DB]]^2)+1.91*TblExplore[[#This Row],[Land-DB]]-593), 0))*(1+ tech_2_6*Techs!AC84 + tech_2_9*Techs!AF84 + tech_3_7*Techs!AN84 + Overview!$I$33),0)</f>
        <v>-403</v>
      </c>
      <c r="AG84" s="94">
        <f ca="1">_xlfn.FLOOR.MATH(TblExplore[[#This Row],[Land-DB]]/150)+3+tech_2_9_2*TblTech[[#This Row],[2-9]]+tech_3_7_2*TblTech[[#This Row],[3-7]]</f>
        <v>3</v>
      </c>
      <c r="AH84" s="94">
        <f ca="1">SUM(TblExplore[[#This Row],[Plains Explore]:[Water Explore]])*TblExplore[[#This Row],[Plat/acre]]</f>
        <v>0</v>
      </c>
      <c r="AI84" s="94">
        <f ca="1">SUM(TblExplore[[#This Row],[Plains Explore]:[Water Explore]])*TblExplore[[#This Row],[Draftees/acre]]</f>
        <v>0</v>
      </c>
      <c r="AJ84" s="45">
        <f ca="1">_xlfn.FLOOR.MATH(MIN(TblExplore[[#This Row],[Platinum]]/TblExplore[[#This Row],[Plat/acre]],TblExplore[[#This Row],[Draftees]]/TblExplore[[#This Row],[Draftees/acre]]))</f>
        <v>-472</v>
      </c>
    </row>
    <row r="85" spans="1:36" x14ac:dyDescent="0.2">
      <c r="A85" s="175">
        <f>TblRezone[[#This Row],[Hour]]</f>
        <v>82</v>
      </c>
      <c r="B85" s="214">
        <f ca="1">TblConstr[[#This Row],[Land]]</f>
        <v>50</v>
      </c>
      <c r="C85" s="215"/>
      <c r="D85" s="216">
        <f ca="1">TblConstr[[#This Row],[Plain]]</f>
        <v>0</v>
      </c>
      <c r="E85" s="182">
        <f ca="1">TblConstr[[#This Row],[Forest]]</f>
        <v>0</v>
      </c>
      <c r="F85" s="359">
        <f ca="1">TblConstr[[#This Row],[Mountain]]</f>
        <v>0</v>
      </c>
      <c r="G85" s="363">
        <f ca="1">TblConstr[[#This Row],[Hill]]</f>
        <v>0</v>
      </c>
      <c r="H85" s="367">
        <f ca="1">TblConstr[[#This Row],[Swamp]]</f>
        <v>0</v>
      </c>
      <c r="I85" s="185">
        <f ca="1">TblConstr[[#This Row],[Cavern]]</f>
        <v>0</v>
      </c>
      <c r="J85" s="186">
        <f ca="1">TblConstr[[#This Row],[Water]]</f>
        <v>0</v>
      </c>
      <c r="K85" s="210"/>
      <c r="L85" s="210"/>
      <c r="M85" s="210"/>
      <c r="N85" s="217">
        <f ca="1">TblMili[[#This Row],[Smithies]]</f>
        <v>0</v>
      </c>
      <c r="O85" s="217">
        <f ca="1">TblPop[[#This Row],[Employment]]</f>
        <v>1</v>
      </c>
      <c r="P85" s="217">
        <f ca="1">TblImps[[#This Row],[Population]]</f>
        <v>1</v>
      </c>
      <c r="Q85" s="175">
        <f ca="1">TblExplore[[#This Row],[Land]]</f>
        <v>50</v>
      </c>
      <c r="R85" s="175">
        <f>TblExplore[[#This Row],[Hour]]</f>
        <v>82</v>
      </c>
      <c r="S85" s="218"/>
      <c r="T85" s="179"/>
      <c r="U85" s="179"/>
      <c r="V85" s="179"/>
      <c r="W85" s="179"/>
      <c r="X85" s="179"/>
      <c r="Y85" s="179"/>
      <c r="Z85" s="179"/>
      <c r="AA85" s="159">
        <f ca="1">TblImps[[#This Row],[Real time]]</f>
        <v>46323.374999999804</v>
      </c>
      <c r="AB85" s="94">
        <f ca="1">TblMili[[#This Row],[Draftees]]</f>
        <v>558</v>
      </c>
      <c r="AC85" s="94">
        <f ca="1">TblProd[[#This Row],[Platinum]]</f>
        <v>190686</v>
      </c>
      <c r="AD85" s="215"/>
      <c r="AE85" s="45">
        <f ca="1">TblExplore[[#This Row],[Land]]-TblExplore[[#This Row],[Land Bonus]]*20</f>
        <v>50</v>
      </c>
      <c r="AF85" s="94">
        <f ca="1">ROUND((0.6*TblExplore[[#This Row],[Land-DB]]^1.299 + IF(TblExplore[[#This Row],[Land-DB]]&lt;1520, (-0.001*(TblExplore[[#This Row],[Land-DB]]^2)+1.91*TblExplore[[#This Row],[Land-DB]]-593), 0))*(1+ tech_2_6*Techs!AC85 + tech_2_9*Techs!AF85 + tech_3_7*Techs!AN85 + Overview!$I$33),0)</f>
        <v>-403</v>
      </c>
      <c r="AG85" s="94">
        <f ca="1">_xlfn.FLOOR.MATH(TblExplore[[#This Row],[Land-DB]]/150)+3+tech_2_9_2*TblTech[[#This Row],[2-9]]+tech_3_7_2*TblTech[[#This Row],[3-7]]</f>
        <v>3</v>
      </c>
      <c r="AH85" s="94">
        <f ca="1">SUM(TblExplore[[#This Row],[Plains Explore]:[Water Explore]])*TblExplore[[#This Row],[Plat/acre]]</f>
        <v>0</v>
      </c>
      <c r="AI85" s="94">
        <f ca="1">SUM(TblExplore[[#This Row],[Plains Explore]:[Water Explore]])*TblExplore[[#This Row],[Draftees/acre]]</f>
        <v>0</v>
      </c>
      <c r="AJ85" s="45">
        <f ca="1">_xlfn.FLOOR.MATH(MIN(TblExplore[[#This Row],[Platinum]]/TblExplore[[#This Row],[Plat/acre]],TblExplore[[#This Row],[Draftees]]/TblExplore[[#This Row],[Draftees/acre]]))</f>
        <v>-474</v>
      </c>
    </row>
    <row r="86" spans="1:36" x14ac:dyDescent="0.2">
      <c r="A86" s="175">
        <f>TblRezone[[#This Row],[Hour]]</f>
        <v>83</v>
      </c>
      <c r="B86" s="214">
        <f ca="1">TblConstr[[#This Row],[Land]]</f>
        <v>50</v>
      </c>
      <c r="C86" s="215"/>
      <c r="D86" s="216">
        <f ca="1">TblConstr[[#This Row],[Plain]]</f>
        <v>0</v>
      </c>
      <c r="E86" s="182">
        <f ca="1">TblConstr[[#This Row],[Forest]]</f>
        <v>0</v>
      </c>
      <c r="F86" s="359">
        <f ca="1">TblConstr[[#This Row],[Mountain]]</f>
        <v>0</v>
      </c>
      <c r="G86" s="363">
        <f ca="1">TblConstr[[#This Row],[Hill]]</f>
        <v>0</v>
      </c>
      <c r="H86" s="367">
        <f ca="1">TblConstr[[#This Row],[Swamp]]</f>
        <v>0</v>
      </c>
      <c r="I86" s="185">
        <f ca="1">TblConstr[[#This Row],[Cavern]]</f>
        <v>0</v>
      </c>
      <c r="J86" s="186">
        <f ca="1">TblConstr[[#This Row],[Water]]</f>
        <v>0</v>
      </c>
      <c r="K86" s="210"/>
      <c r="L86" s="210"/>
      <c r="M86" s="210"/>
      <c r="N86" s="217">
        <f ca="1">TblMili[[#This Row],[Smithies]]</f>
        <v>0</v>
      </c>
      <c r="O86" s="217">
        <f ca="1">TblPop[[#This Row],[Employment]]</f>
        <v>1</v>
      </c>
      <c r="P86" s="217">
        <f ca="1">TblImps[[#This Row],[Population]]</f>
        <v>1</v>
      </c>
      <c r="Q86" s="175">
        <f ca="1">TblExplore[[#This Row],[Land]]</f>
        <v>50</v>
      </c>
      <c r="R86" s="175">
        <f>TblExplore[[#This Row],[Hour]]</f>
        <v>83</v>
      </c>
      <c r="S86" s="218"/>
      <c r="T86" s="179"/>
      <c r="U86" s="179"/>
      <c r="V86" s="179"/>
      <c r="W86" s="179"/>
      <c r="X86" s="179"/>
      <c r="Y86" s="179"/>
      <c r="Z86" s="179"/>
      <c r="AA86" s="159">
        <f ca="1">TblImps[[#This Row],[Real time]]</f>
        <v>46323.416666666468</v>
      </c>
      <c r="AB86" s="94">
        <f ca="1">TblMili[[#This Row],[Draftees]]</f>
        <v>560</v>
      </c>
      <c r="AC86" s="94">
        <f ca="1">TblProd[[#This Row],[Platinum]]</f>
        <v>191255</v>
      </c>
      <c r="AD86" s="215"/>
      <c r="AE86" s="45">
        <f ca="1">TblExplore[[#This Row],[Land]]-TblExplore[[#This Row],[Land Bonus]]*20</f>
        <v>50</v>
      </c>
      <c r="AF86" s="94">
        <f ca="1">ROUND((0.6*TblExplore[[#This Row],[Land-DB]]^1.299 + IF(TblExplore[[#This Row],[Land-DB]]&lt;1520, (-0.001*(TblExplore[[#This Row],[Land-DB]]^2)+1.91*TblExplore[[#This Row],[Land-DB]]-593), 0))*(1+ tech_2_6*Techs!AC86 + tech_2_9*Techs!AF86 + tech_3_7*Techs!AN86 + Overview!$I$33),0)</f>
        <v>-403</v>
      </c>
      <c r="AG86" s="94">
        <f ca="1">_xlfn.FLOOR.MATH(TblExplore[[#This Row],[Land-DB]]/150)+3+tech_2_9_2*TblTech[[#This Row],[2-9]]+tech_3_7_2*TblTech[[#This Row],[3-7]]</f>
        <v>3</v>
      </c>
      <c r="AH86" s="94">
        <f ca="1">SUM(TblExplore[[#This Row],[Plains Explore]:[Water Explore]])*TblExplore[[#This Row],[Plat/acre]]</f>
        <v>0</v>
      </c>
      <c r="AI86" s="94">
        <f ca="1">SUM(TblExplore[[#This Row],[Plains Explore]:[Water Explore]])*TblExplore[[#This Row],[Draftees/acre]]</f>
        <v>0</v>
      </c>
      <c r="AJ86" s="45">
        <f ca="1">_xlfn.FLOOR.MATH(MIN(TblExplore[[#This Row],[Platinum]]/TblExplore[[#This Row],[Plat/acre]],TblExplore[[#This Row],[Draftees]]/TblExplore[[#This Row],[Draftees/acre]]))</f>
        <v>-475</v>
      </c>
    </row>
    <row r="87" spans="1:36" x14ac:dyDescent="0.2">
      <c r="A87" s="175">
        <f>TblRezone[[#This Row],[Hour]]</f>
        <v>84</v>
      </c>
      <c r="B87" s="214">
        <f ca="1">TblConstr[[#This Row],[Land]]</f>
        <v>50</v>
      </c>
      <c r="C87" s="215"/>
      <c r="D87" s="216">
        <f ca="1">TblConstr[[#This Row],[Plain]]</f>
        <v>0</v>
      </c>
      <c r="E87" s="182">
        <f ca="1">TblConstr[[#This Row],[Forest]]</f>
        <v>0</v>
      </c>
      <c r="F87" s="359">
        <f ca="1">TblConstr[[#This Row],[Mountain]]</f>
        <v>0</v>
      </c>
      <c r="G87" s="363">
        <f ca="1">TblConstr[[#This Row],[Hill]]</f>
        <v>0</v>
      </c>
      <c r="H87" s="367">
        <f ca="1">TblConstr[[#This Row],[Swamp]]</f>
        <v>0</v>
      </c>
      <c r="I87" s="185">
        <f ca="1">TblConstr[[#This Row],[Cavern]]</f>
        <v>0</v>
      </c>
      <c r="J87" s="186">
        <f ca="1">TblConstr[[#This Row],[Water]]</f>
        <v>0</v>
      </c>
      <c r="K87" s="210"/>
      <c r="L87" s="210"/>
      <c r="M87" s="219"/>
      <c r="N87" s="217">
        <f ca="1">TblMili[[#This Row],[Smithies]]</f>
        <v>0</v>
      </c>
      <c r="O87" s="217">
        <f ca="1">TblPop[[#This Row],[Employment]]</f>
        <v>1</v>
      </c>
      <c r="P87" s="217">
        <f ca="1">TblImps[[#This Row],[Population]]</f>
        <v>1</v>
      </c>
      <c r="Q87" s="175">
        <f ca="1">TblExplore[[#This Row],[Land]]</f>
        <v>50</v>
      </c>
      <c r="R87" s="175">
        <f>TblExplore[[#This Row],[Hour]]</f>
        <v>84</v>
      </c>
      <c r="S87" s="218"/>
      <c r="T87" s="158"/>
      <c r="U87" s="179"/>
      <c r="V87" s="179"/>
      <c r="W87" s="179"/>
      <c r="X87" s="179"/>
      <c r="Y87" s="179"/>
      <c r="Z87" s="179"/>
      <c r="AA87" s="159">
        <f ca="1">TblImps[[#This Row],[Real time]]</f>
        <v>46323.458333333132</v>
      </c>
      <c r="AB87" s="94">
        <f ca="1">TblMili[[#This Row],[Draftees]]</f>
        <v>562</v>
      </c>
      <c r="AC87" s="94">
        <f ca="1">TblProd[[#This Row],[Platinum]]</f>
        <v>191819</v>
      </c>
      <c r="AD87" s="215"/>
      <c r="AE87" s="45">
        <f ca="1">TblExplore[[#This Row],[Land]]-TblExplore[[#This Row],[Land Bonus]]*20</f>
        <v>50</v>
      </c>
      <c r="AF87" s="94">
        <f ca="1">ROUND((0.6*TblExplore[[#This Row],[Land-DB]]^1.299 + IF(TblExplore[[#This Row],[Land-DB]]&lt;1520, (-0.001*(TblExplore[[#This Row],[Land-DB]]^2)+1.91*TblExplore[[#This Row],[Land-DB]]-593), 0))*(1+ tech_2_6*Techs!AC87 + tech_2_9*Techs!AF87 + tech_3_7*Techs!AN87 + Overview!$I$33),0)</f>
        <v>-403</v>
      </c>
      <c r="AG87" s="94">
        <f ca="1">_xlfn.FLOOR.MATH(TblExplore[[#This Row],[Land-DB]]/150)+3+tech_2_9_2*TblTech[[#This Row],[2-9]]+tech_3_7_2*TblTech[[#This Row],[3-7]]</f>
        <v>3</v>
      </c>
      <c r="AH87" s="94">
        <f ca="1">SUM(TblExplore[[#This Row],[Plains Explore]:[Water Explore]])*TblExplore[[#This Row],[Plat/acre]]</f>
        <v>0</v>
      </c>
      <c r="AI87" s="94">
        <f ca="1">SUM(TblExplore[[#This Row],[Plains Explore]:[Water Explore]])*TblExplore[[#This Row],[Draftees/acre]]</f>
        <v>0</v>
      </c>
      <c r="AJ87" s="45">
        <f ca="1">_xlfn.FLOOR.MATH(MIN(TblExplore[[#This Row],[Platinum]]/TblExplore[[#This Row],[Plat/acre]],TblExplore[[#This Row],[Draftees]]/TblExplore[[#This Row],[Draftees/acre]]))</f>
        <v>-476</v>
      </c>
    </row>
    <row r="88" spans="1:36" x14ac:dyDescent="0.2">
      <c r="A88" s="175">
        <f>TblRezone[[#This Row],[Hour]]</f>
        <v>85</v>
      </c>
      <c r="B88" s="214">
        <f ca="1">TblConstr[[#This Row],[Land]]</f>
        <v>50</v>
      </c>
      <c r="C88" s="215"/>
      <c r="D88" s="216">
        <f ca="1">TblConstr[[#This Row],[Plain]]</f>
        <v>0</v>
      </c>
      <c r="E88" s="182">
        <f ca="1">TblConstr[[#This Row],[Forest]]</f>
        <v>0</v>
      </c>
      <c r="F88" s="359">
        <f ca="1">TblConstr[[#This Row],[Mountain]]</f>
        <v>0</v>
      </c>
      <c r="G88" s="363">
        <f ca="1">TblConstr[[#This Row],[Hill]]</f>
        <v>0</v>
      </c>
      <c r="H88" s="367">
        <f ca="1">TblConstr[[#This Row],[Swamp]]</f>
        <v>0</v>
      </c>
      <c r="I88" s="185">
        <f ca="1">TblConstr[[#This Row],[Cavern]]</f>
        <v>0</v>
      </c>
      <c r="J88" s="186">
        <f ca="1">TblConstr[[#This Row],[Water]]</f>
        <v>0</v>
      </c>
      <c r="K88" s="210"/>
      <c r="L88" s="210"/>
      <c r="M88" s="210"/>
      <c r="N88" s="217">
        <f ca="1">TblMili[[#This Row],[Smithies]]</f>
        <v>0</v>
      </c>
      <c r="O88" s="217">
        <f ca="1">TblPop[[#This Row],[Employment]]</f>
        <v>1</v>
      </c>
      <c r="P88" s="217">
        <f ca="1">TblImps[[#This Row],[Population]]</f>
        <v>1</v>
      </c>
      <c r="Q88" s="175">
        <f ca="1">TblExplore[[#This Row],[Land]]</f>
        <v>50</v>
      </c>
      <c r="R88" s="175">
        <f>TblExplore[[#This Row],[Hour]]</f>
        <v>85</v>
      </c>
      <c r="S88" s="218"/>
      <c r="T88" s="179"/>
      <c r="U88" s="179"/>
      <c r="V88" s="179"/>
      <c r="W88" s="179"/>
      <c r="X88" s="179"/>
      <c r="Y88" s="179"/>
      <c r="Z88" s="179"/>
      <c r="AA88" s="159">
        <f ca="1">TblImps[[#This Row],[Real time]]</f>
        <v>46323.499999999796</v>
      </c>
      <c r="AB88" s="94">
        <f ca="1">TblMili[[#This Row],[Draftees]]</f>
        <v>564</v>
      </c>
      <c r="AC88" s="94">
        <f ca="1">TblProd[[#This Row],[Platinum]]</f>
        <v>192377</v>
      </c>
      <c r="AD88" s="215"/>
      <c r="AE88" s="45">
        <f ca="1">TblExplore[[#This Row],[Land]]-TblExplore[[#This Row],[Land Bonus]]*20</f>
        <v>50</v>
      </c>
      <c r="AF88" s="94">
        <f ca="1">ROUND((0.6*TblExplore[[#This Row],[Land-DB]]^1.299 + IF(TblExplore[[#This Row],[Land-DB]]&lt;1520, (-0.001*(TblExplore[[#This Row],[Land-DB]]^2)+1.91*TblExplore[[#This Row],[Land-DB]]-593), 0))*(1+ tech_2_6*Techs!AC88 + tech_2_9*Techs!AF88 + tech_3_7*Techs!AN88 + Overview!$I$33),0)</f>
        <v>-403</v>
      </c>
      <c r="AG88" s="94">
        <f ca="1">_xlfn.FLOOR.MATH(TblExplore[[#This Row],[Land-DB]]/150)+3+tech_2_9_2*TblTech[[#This Row],[2-9]]+tech_3_7_2*TblTech[[#This Row],[3-7]]</f>
        <v>3</v>
      </c>
      <c r="AH88" s="94">
        <f ca="1">SUM(TblExplore[[#This Row],[Plains Explore]:[Water Explore]])*TblExplore[[#This Row],[Plat/acre]]</f>
        <v>0</v>
      </c>
      <c r="AI88" s="94">
        <f ca="1">SUM(TblExplore[[#This Row],[Plains Explore]:[Water Explore]])*TblExplore[[#This Row],[Draftees/acre]]</f>
        <v>0</v>
      </c>
      <c r="AJ88" s="45">
        <f ca="1">_xlfn.FLOOR.MATH(MIN(TblExplore[[#This Row],[Platinum]]/TblExplore[[#This Row],[Plat/acre]],TblExplore[[#This Row],[Draftees]]/TblExplore[[#This Row],[Draftees/acre]]))</f>
        <v>-478</v>
      </c>
    </row>
    <row r="89" spans="1:36" x14ac:dyDescent="0.2">
      <c r="A89" s="175">
        <f>TblRezone[[#This Row],[Hour]]</f>
        <v>86</v>
      </c>
      <c r="B89" s="214">
        <f ca="1">TblConstr[[#This Row],[Land]]</f>
        <v>50</v>
      </c>
      <c r="C89" s="215"/>
      <c r="D89" s="216">
        <f ca="1">TblConstr[[#This Row],[Plain]]</f>
        <v>0</v>
      </c>
      <c r="E89" s="182">
        <f ca="1">TblConstr[[#This Row],[Forest]]</f>
        <v>0</v>
      </c>
      <c r="F89" s="359">
        <f ca="1">TblConstr[[#This Row],[Mountain]]</f>
        <v>0</v>
      </c>
      <c r="G89" s="363">
        <f ca="1">TblConstr[[#This Row],[Hill]]</f>
        <v>0</v>
      </c>
      <c r="H89" s="367">
        <f ca="1">TblConstr[[#This Row],[Swamp]]</f>
        <v>0</v>
      </c>
      <c r="I89" s="185">
        <f ca="1">TblConstr[[#This Row],[Cavern]]</f>
        <v>0</v>
      </c>
      <c r="J89" s="186">
        <f ca="1">TblConstr[[#This Row],[Water]]</f>
        <v>0</v>
      </c>
      <c r="K89" s="210"/>
      <c r="L89" s="210"/>
      <c r="M89" s="223"/>
      <c r="N89" s="217">
        <f ca="1">TblMili[[#This Row],[Smithies]]</f>
        <v>0</v>
      </c>
      <c r="O89" s="217">
        <f ca="1">TblPop[[#This Row],[Employment]]</f>
        <v>1</v>
      </c>
      <c r="P89" s="217">
        <f ca="1">TblImps[[#This Row],[Population]]</f>
        <v>1</v>
      </c>
      <c r="Q89" s="175">
        <f ca="1">TblExplore[[#This Row],[Land]]</f>
        <v>50</v>
      </c>
      <c r="R89" s="175">
        <f>TblExplore[[#This Row],[Hour]]</f>
        <v>86</v>
      </c>
      <c r="S89" s="218"/>
      <c r="T89" s="179"/>
      <c r="U89" s="179"/>
      <c r="V89" s="179"/>
      <c r="W89" s="179"/>
      <c r="X89" s="179"/>
      <c r="Y89" s="179"/>
      <c r="Z89" s="179"/>
      <c r="AA89" s="159">
        <f ca="1">TblImps[[#This Row],[Real time]]</f>
        <v>46323.541666666461</v>
      </c>
      <c r="AB89" s="94">
        <f ca="1">TblMili[[#This Row],[Draftees]]</f>
        <v>566</v>
      </c>
      <c r="AC89" s="94">
        <f ca="1">TblProd[[#This Row],[Platinum]]</f>
        <v>192930</v>
      </c>
      <c r="AD89" s="215"/>
      <c r="AE89" s="45">
        <f ca="1">TblExplore[[#This Row],[Land]]-TblExplore[[#This Row],[Land Bonus]]*20</f>
        <v>50</v>
      </c>
      <c r="AF89" s="94">
        <f ca="1">ROUND((0.6*TblExplore[[#This Row],[Land-DB]]^1.299 + IF(TblExplore[[#This Row],[Land-DB]]&lt;1520, (-0.001*(TblExplore[[#This Row],[Land-DB]]^2)+1.91*TblExplore[[#This Row],[Land-DB]]-593), 0))*(1+ tech_2_6*Techs!AC89 + tech_2_9*Techs!AF89 + tech_3_7*Techs!AN89 + Overview!$I$33),0)</f>
        <v>-403</v>
      </c>
      <c r="AG89" s="94">
        <f ca="1">_xlfn.FLOOR.MATH(TblExplore[[#This Row],[Land-DB]]/150)+3+tech_2_9_2*TblTech[[#This Row],[2-9]]+tech_3_7_2*TblTech[[#This Row],[3-7]]</f>
        <v>3</v>
      </c>
      <c r="AH89" s="94">
        <f ca="1">SUM(TblExplore[[#This Row],[Plains Explore]:[Water Explore]])*TblExplore[[#This Row],[Plat/acre]]</f>
        <v>0</v>
      </c>
      <c r="AI89" s="94">
        <f ca="1">SUM(TblExplore[[#This Row],[Plains Explore]:[Water Explore]])*TblExplore[[#This Row],[Draftees/acre]]</f>
        <v>0</v>
      </c>
      <c r="AJ89" s="45">
        <f ca="1">_xlfn.FLOOR.MATH(MIN(TblExplore[[#This Row],[Platinum]]/TblExplore[[#This Row],[Plat/acre]],TblExplore[[#This Row],[Draftees]]/TblExplore[[#This Row],[Draftees/acre]]))</f>
        <v>-479</v>
      </c>
    </row>
    <row r="90" spans="1:36" x14ac:dyDescent="0.2">
      <c r="A90" s="175">
        <f>TblRezone[[#This Row],[Hour]]</f>
        <v>87</v>
      </c>
      <c r="B90" s="214">
        <f ca="1">TblConstr[[#This Row],[Land]]</f>
        <v>50</v>
      </c>
      <c r="C90" s="215"/>
      <c r="D90" s="216">
        <f ca="1">TblConstr[[#This Row],[Plain]]</f>
        <v>0</v>
      </c>
      <c r="E90" s="182">
        <f ca="1">TblConstr[[#This Row],[Forest]]</f>
        <v>0</v>
      </c>
      <c r="F90" s="359">
        <f ca="1">TblConstr[[#This Row],[Mountain]]</f>
        <v>0</v>
      </c>
      <c r="G90" s="363">
        <f ca="1">TblConstr[[#This Row],[Hill]]</f>
        <v>0</v>
      </c>
      <c r="H90" s="367">
        <f ca="1">TblConstr[[#This Row],[Swamp]]</f>
        <v>0</v>
      </c>
      <c r="I90" s="185">
        <f ca="1">TblConstr[[#This Row],[Cavern]]</f>
        <v>0</v>
      </c>
      <c r="J90" s="186">
        <f ca="1">TblConstr[[#This Row],[Water]]</f>
        <v>0</v>
      </c>
      <c r="K90" s="210"/>
      <c r="L90" s="210"/>
      <c r="M90" s="223"/>
      <c r="N90" s="217">
        <f ca="1">TblMili[[#This Row],[Smithies]]</f>
        <v>0</v>
      </c>
      <c r="O90" s="217">
        <f ca="1">TblPop[[#This Row],[Employment]]</f>
        <v>1</v>
      </c>
      <c r="P90" s="217">
        <f ca="1">TblImps[[#This Row],[Population]]</f>
        <v>1</v>
      </c>
      <c r="Q90" s="175">
        <f ca="1">TblExplore[[#This Row],[Land]]</f>
        <v>50</v>
      </c>
      <c r="R90" s="175">
        <f>TblExplore[[#This Row],[Hour]]</f>
        <v>87</v>
      </c>
      <c r="S90" s="218"/>
      <c r="T90" s="179"/>
      <c r="U90" s="179"/>
      <c r="V90" s="179"/>
      <c r="W90" s="179"/>
      <c r="X90" s="179"/>
      <c r="Y90" s="179"/>
      <c r="Z90" s="179"/>
      <c r="AA90" s="159">
        <f ca="1">TblImps[[#This Row],[Real time]]</f>
        <v>46323.583333333125</v>
      </c>
      <c r="AB90" s="94">
        <f ca="1">TblMili[[#This Row],[Draftees]]</f>
        <v>568</v>
      </c>
      <c r="AC90" s="94">
        <f ca="1">TblProd[[#This Row],[Platinum]]</f>
        <v>193478</v>
      </c>
      <c r="AD90" s="215"/>
      <c r="AE90" s="45">
        <f ca="1">TblExplore[[#This Row],[Land]]-TblExplore[[#This Row],[Land Bonus]]*20</f>
        <v>50</v>
      </c>
      <c r="AF90" s="94">
        <f ca="1">ROUND((0.6*TblExplore[[#This Row],[Land-DB]]^1.299 + IF(TblExplore[[#This Row],[Land-DB]]&lt;1520, (-0.001*(TblExplore[[#This Row],[Land-DB]]^2)+1.91*TblExplore[[#This Row],[Land-DB]]-593), 0))*(1+ tech_2_6*Techs!AC90 + tech_2_9*Techs!AF90 + tech_3_7*Techs!AN90 + Overview!$I$33),0)</f>
        <v>-403</v>
      </c>
      <c r="AG90" s="94">
        <f ca="1">_xlfn.FLOOR.MATH(TblExplore[[#This Row],[Land-DB]]/150)+3+tech_2_9_2*TblTech[[#This Row],[2-9]]+tech_3_7_2*TblTech[[#This Row],[3-7]]</f>
        <v>3</v>
      </c>
      <c r="AH90" s="94">
        <f ca="1">SUM(TblExplore[[#This Row],[Plains Explore]:[Water Explore]])*TblExplore[[#This Row],[Plat/acre]]</f>
        <v>0</v>
      </c>
      <c r="AI90" s="94">
        <f ca="1">SUM(TblExplore[[#This Row],[Plains Explore]:[Water Explore]])*TblExplore[[#This Row],[Draftees/acre]]</f>
        <v>0</v>
      </c>
      <c r="AJ90" s="45">
        <f ca="1">_xlfn.FLOOR.MATH(MIN(TblExplore[[#This Row],[Platinum]]/TblExplore[[#This Row],[Plat/acre]],TblExplore[[#This Row],[Draftees]]/TblExplore[[#This Row],[Draftees/acre]]))</f>
        <v>-481</v>
      </c>
    </row>
    <row r="91" spans="1:36" x14ac:dyDescent="0.2">
      <c r="A91" s="175">
        <f>TblRezone[[#This Row],[Hour]]</f>
        <v>88</v>
      </c>
      <c r="B91" s="214">
        <f ca="1">TblConstr[[#This Row],[Land]]</f>
        <v>50</v>
      </c>
      <c r="C91" s="215"/>
      <c r="D91" s="216">
        <f ca="1">TblConstr[[#This Row],[Plain]]</f>
        <v>0</v>
      </c>
      <c r="E91" s="182">
        <f ca="1">TblConstr[[#This Row],[Forest]]</f>
        <v>0</v>
      </c>
      <c r="F91" s="359">
        <f ca="1">TblConstr[[#This Row],[Mountain]]</f>
        <v>0</v>
      </c>
      <c r="G91" s="363">
        <f ca="1">TblConstr[[#This Row],[Hill]]</f>
        <v>0</v>
      </c>
      <c r="H91" s="367">
        <f ca="1">TblConstr[[#This Row],[Swamp]]</f>
        <v>0</v>
      </c>
      <c r="I91" s="185">
        <f ca="1">TblConstr[[#This Row],[Cavern]]</f>
        <v>0</v>
      </c>
      <c r="J91" s="186">
        <f ca="1">TblConstr[[#This Row],[Water]]</f>
        <v>0</v>
      </c>
      <c r="K91" s="210"/>
      <c r="L91" s="210"/>
      <c r="M91" s="223"/>
      <c r="N91" s="217">
        <f ca="1">TblMili[[#This Row],[Smithies]]</f>
        <v>0</v>
      </c>
      <c r="O91" s="217">
        <f ca="1">TblPop[[#This Row],[Employment]]</f>
        <v>1</v>
      </c>
      <c r="P91" s="217">
        <f ca="1">TblImps[[#This Row],[Population]]</f>
        <v>1</v>
      </c>
      <c r="Q91" s="175">
        <f ca="1">TblExplore[[#This Row],[Land]]</f>
        <v>50</v>
      </c>
      <c r="R91" s="175">
        <f>TblExplore[[#This Row],[Hour]]</f>
        <v>88</v>
      </c>
      <c r="S91" s="218"/>
      <c r="T91" s="158"/>
      <c r="U91" s="179"/>
      <c r="V91" s="179"/>
      <c r="W91" s="179"/>
      <c r="X91" s="179"/>
      <c r="Y91" s="179"/>
      <c r="Z91" s="179"/>
      <c r="AA91" s="159">
        <f ca="1">TblImps[[#This Row],[Real time]]</f>
        <v>46323.624999999789</v>
      </c>
      <c r="AB91" s="94">
        <f ca="1">TblMili[[#This Row],[Draftees]]</f>
        <v>570</v>
      </c>
      <c r="AC91" s="94">
        <f ca="1">TblProd[[#This Row],[Platinum]]</f>
        <v>194020</v>
      </c>
      <c r="AD91" s="215"/>
      <c r="AE91" s="45">
        <f ca="1">TblExplore[[#This Row],[Land]]-TblExplore[[#This Row],[Land Bonus]]*20</f>
        <v>50</v>
      </c>
      <c r="AF91" s="94">
        <f ca="1">ROUND((0.6*TblExplore[[#This Row],[Land-DB]]^1.299 + IF(TblExplore[[#This Row],[Land-DB]]&lt;1520, (-0.001*(TblExplore[[#This Row],[Land-DB]]^2)+1.91*TblExplore[[#This Row],[Land-DB]]-593), 0))*(1+ tech_2_6*Techs!AC91 + tech_2_9*Techs!AF91 + tech_3_7*Techs!AN91 + Overview!$I$33),0)</f>
        <v>-403</v>
      </c>
      <c r="AG91" s="94">
        <f ca="1">_xlfn.FLOOR.MATH(TblExplore[[#This Row],[Land-DB]]/150)+3+tech_2_9_2*TblTech[[#This Row],[2-9]]+tech_3_7_2*TblTech[[#This Row],[3-7]]</f>
        <v>3</v>
      </c>
      <c r="AH91" s="94">
        <f ca="1">SUM(TblExplore[[#This Row],[Plains Explore]:[Water Explore]])*TblExplore[[#This Row],[Plat/acre]]</f>
        <v>0</v>
      </c>
      <c r="AI91" s="94">
        <f ca="1">SUM(TblExplore[[#This Row],[Plains Explore]:[Water Explore]])*TblExplore[[#This Row],[Draftees/acre]]</f>
        <v>0</v>
      </c>
      <c r="AJ91" s="45">
        <f ca="1">_xlfn.FLOOR.MATH(MIN(TblExplore[[#This Row],[Platinum]]/TblExplore[[#This Row],[Plat/acre]],TblExplore[[#This Row],[Draftees]]/TblExplore[[#This Row],[Draftees/acre]]))</f>
        <v>-482</v>
      </c>
    </row>
    <row r="92" spans="1:36" x14ac:dyDescent="0.2">
      <c r="A92" s="175">
        <f>TblRezone[[#This Row],[Hour]]</f>
        <v>89</v>
      </c>
      <c r="B92" s="214">
        <f ca="1">TblConstr[[#This Row],[Land]]</f>
        <v>50</v>
      </c>
      <c r="C92" s="215"/>
      <c r="D92" s="216">
        <f ca="1">TblConstr[[#This Row],[Plain]]</f>
        <v>0</v>
      </c>
      <c r="E92" s="182">
        <f ca="1">TblConstr[[#This Row],[Forest]]</f>
        <v>0</v>
      </c>
      <c r="F92" s="359">
        <f ca="1">TblConstr[[#This Row],[Mountain]]</f>
        <v>0</v>
      </c>
      <c r="G92" s="363">
        <f ca="1">TblConstr[[#This Row],[Hill]]</f>
        <v>0</v>
      </c>
      <c r="H92" s="367">
        <f ca="1">TblConstr[[#This Row],[Swamp]]</f>
        <v>0</v>
      </c>
      <c r="I92" s="185">
        <f ca="1">TblConstr[[#This Row],[Cavern]]</f>
        <v>0</v>
      </c>
      <c r="J92" s="186">
        <f ca="1">TblConstr[[#This Row],[Water]]</f>
        <v>0</v>
      </c>
      <c r="K92" s="210"/>
      <c r="L92" s="210"/>
      <c r="M92" s="223"/>
      <c r="N92" s="217">
        <f ca="1">TblMili[[#This Row],[Smithies]]</f>
        <v>0</v>
      </c>
      <c r="O92" s="217">
        <f ca="1">TblPop[[#This Row],[Employment]]</f>
        <v>1</v>
      </c>
      <c r="P92" s="217">
        <f ca="1">TblImps[[#This Row],[Population]]</f>
        <v>1</v>
      </c>
      <c r="Q92" s="175">
        <f ca="1">TblExplore[[#This Row],[Land]]</f>
        <v>50</v>
      </c>
      <c r="R92" s="175">
        <f>TblExplore[[#This Row],[Hour]]</f>
        <v>89</v>
      </c>
      <c r="S92" s="218"/>
      <c r="T92" s="158"/>
      <c r="U92" s="179"/>
      <c r="V92" s="179"/>
      <c r="W92" s="179"/>
      <c r="X92" s="179"/>
      <c r="Y92" s="179"/>
      <c r="Z92" s="179"/>
      <c r="AA92" s="159">
        <f ca="1">TblImps[[#This Row],[Real time]]</f>
        <v>46323.666666666453</v>
      </c>
      <c r="AB92" s="94">
        <f ca="1">TblMili[[#This Row],[Draftees]]</f>
        <v>572</v>
      </c>
      <c r="AC92" s="94">
        <f ca="1">TblProd[[#This Row],[Platinum]]</f>
        <v>194557</v>
      </c>
      <c r="AD92" s="215"/>
      <c r="AE92" s="45">
        <f ca="1">TblExplore[[#This Row],[Land]]-TblExplore[[#This Row],[Land Bonus]]*20</f>
        <v>50</v>
      </c>
      <c r="AF92" s="94">
        <f ca="1">ROUND((0.6*TblExplore[[#This Row],[Land-DB]]^1.299 + IF(TblExplore[[#This Row],[Land-DB]]&lt;1520, (-0.001*(TblExplore[[#This Row],[Land-DB]]^2)+1.91*TblExplore[[#This Row],[Land-DB]]-593), 0))*(1+ tech_2_6*Techs!AC92 + tech_2_9*Techs!AF92 + tech_3_7*Techs!AN92 + Overview!$I$33),0)</f>
        <v>-403</v>
      </c>
      <c r="AG92" s="94">
        <f ca="1">_xlfn.FLOOR.MATH(TblExplore[[#This Row],[Land-DB]]/150)+3+tech_2_9_2*TblTech[[#This Row],[2-9]]+tech_3_7_2*TblTech[[#This Row],[3-7]]</f>
        <v>3</v>
      </c>
      <c r="AH92" s="94">
        <f ca="1">SUM(TblExplore[[#This Row],[Plains Explore]:[Water Explore]])*TblExplore[[#This Row],[Plat/acre]]</f>
        <v>0</v>
      </c>
      <c r="AI92" s="94">
        <f ca="1">SUM(TblExplore[[#This Row],[Plains Explore]:[Water Explore]])*TblExplore[[#This Row],[Draftees/acre]]</f>
        <v>0</v>
      </c>
      <c r="AJ92" s="45">
        <f ca="1">_xlfn.FLOOR.MATH(MIN(TblExplore[[#This Row],[Platinum]]/TblExplore[[#This Row],[Plat/acre]],TblExplore[[#This Row],[Draftees]]/TblExplore[[#This Row],[Draftees/acre]]))</f>
        <v>-483</v>
      </c>
    </row>
    <row r="93" spans="1:36" x14ac:dyDescent="0.2">
      <c r="A93" s="175">
        <f>TblRezone[[#This Row],[Hour]]</f>
        <v>90</v>
      </c>
      <c r="B93" s="214">
        <f ca="1">TblConstr[[#This Row],[Land]]</f>
        <v>50</v>
      </c>
      <c r="C93" s="215"/>
      <c r="D93" s="216">
        <f ca="1">TblConstr[[#This Row],[Plain]]</f>
        <v>0</v>
      </c>
      <c r="E93" s="182">
        <f ca="1">TblConstr[[#This Row],[Forest]]</f>
        <v>0</v>
      </c>
      <c r="F93" s="359">
        <f ca="1">TblConstr[[#This Row],[Mountain]]</f>
        <v>0</v>
      </c>
      <c r="G93" s="363">
        <f ca="1">TblConstr[[#This Row],[Hill]]</f>
        <v>0</v>
      </c>
      <c r="H93" s="367">
        <f ca="1">TblConstr[[#This Row],[Swamp]]</f>
        <v>0</v>
      </c>
      <c r="I93" s="185">
        <f ca="1">TblConstr[[#This Row],[Cavern]]</f>
        <v>0</v>
      </c>
      <c r="J93" s="186">
        <f ca="1">TblConstr[[#This Row],[Water]]</f>
        <v>0</v>
      </c>
      <c r="K93" s="210"/>
      <c r="L93" s="210"/>
      <c r="M93" s="223"/>
      <c r="N93" s="217">
        <f ca="1">TblMili[[#This Row],[Smithies]]</f>
        <v>0</v>
      </c>
      <c r="O93" s="217">
        <f ca="1">TblPop[[#This Row],[Employment]]</f>
        <v>1</v>
      </c>
      <c r="P93" s="217">
        <f ca="1">TblImps[[#This Row],[Population]]</f>
        <v>1</v>
      </c>
      <c r="Q93" s="175">
        <f ca="1">TblExplore[[#This Row],[Land]]</f>
        <v>50</v>
      </c>
      <c r="R93" s="175">
        <f>TblExplore[[#This Row],[Hour]]</f>
        <v>90</v>
      </c>
      <c r="S93" s="218"/>
      <c r="T93" s="179"/>
      <c r="U93" s="179"/>
      <c r="V93" s="179"/>
      <c r="W93" s="179"/>
      <c r="X93" s="179"/>
      <c r="Y93" s="179"/>
      <c r="Z93" s="179"/>
      <c r="AA93" s="159">
        <f ca="1">TblImps[[#This Row],[Real time]]</f>
        <v>46323.708333333117</v>
      </c>
      <c r="AB93" s="94">
        <f ca="1">TblMili[[#This Row],[Draftees]]</f>
        <v>574</v>
      </c>
      <c r="AC93" s="94">
        <f ca="1">TblProd[[#This Row],[Platinum]]</f>
        <v>195088</v>
      </c>
      <c r="AD93" s="215"/>
      <c r="AE93" s="45">
        <f ca="1">TblExplore[[#This Row],[Land]]-TblExplore[[#This Row],[Land Bonus]]*20</f>
        <v>50</v>
      </c>
      <c r="AF93" s="94">
        <f ca="1">ROUND((0.6*TblExplore[[#This Row],[Land-DB]]^1.299 + IF(TblExplore[[#This Row],[Land-DB]]&lt;1520, (-0.001*(TblExplore[[#This Row],[Land-DB]]^2)+1.91*TblExplore[[#This Row],[Land-DB]]-593), 0))*(1+ tech_2_6*Techs!AC93 + tech_2_9*Techs!AF93 + tech_3_7*Techs!AN93 + Overview!$I$33),0)</f>
        <v>-403</v>
      </c>
      <c r="AG93" s="94">
        <f ca="1">_xlfn.FLOOR.MATH(TblExplore[[#This Row],[Land-DB]]/150)+3+tech_2_9_2*TblTech[[#This Row],[2-9]]+tech_3_7_2*TblTech[[#This Row],[3-7]]</f>
        <v>3</v>
      </c>
      <c r="AH93" s="94">
        <f ca="1">SUM(TblExplore[[#This Row],[Plains Explore]:[Water Explore]])*TblExplore[[#This Row],[Plat/acre]]</f>
        <v>0</v>
      </c>
      <c r="AI93" s="94">
        <f ca="1">SUM(TblExplore[[#This Row],[Plains Explore]:[Water Explore]])*TblExplore[[#This Row],[Draftees/acre]]</f>
        <v>0</v>
      </c>
      <c r="AJ93" s="45">
        <f ca="1">_xlfn.FLOOR.MATH(MIN(TblExplore[[#This Row],[Platinum]]/TblExplore[[#This Row],[Plat/acre]],TblExplore[[#This Row],[Draftees]]/TblExplore[[#This Row],[Draftees/acre]]))</f>
        <v>-485</v>
      </c>
    </row>
    <row r="94" spans="1:36" x14ac:dyDescent="0.2">
      <c r="A94" s="175">
        <f>TblRezone[[#This Row],[Hour]]</f>
        <v>91</v>
      </c>
      <c r="B94" s="214">
        <f ca="1">TblConstr[[#This Row],[Land]]</f>
        <v>50</v>
      </c>
      <c r="C94" s="215"/>
      <c r="D94" s="216">
        <f ca="1">TblConstr[[#This Row],[Plain]]</f>
        <v>0</v>
      </c>
      <c r="E94" s="182">
        <f ca="1">TblConstr[[#This Row],[Forest]]</f>
        <v>0</v>
      </c>
      <c r="F94" s="359">
        <f ca="1">TblConstr[[#This Row],[Mountain]]</f>
        <v>0</v>
      </c>
      <c r="G94" s="363">
        <f ca="1">TblConstr[[#This Row],[Hill]]</f>
        <v>0</v>
      </c>
      <c r="H94" s="367">
        <f ca="1">TblConstr[[#This Row],[Swamp]]</f>
        <v>0</v>
      </c>
      <c r="I94" s="185">
        <f ca="1">TblConstr[[#This Row],[Cavern]]</f>
        <v>0</v>
      </c>
      <c r="J94" s="186">
        <f ca="1">TblConstr[[#This Row],[Water]]</f>
        <v>0</v>
      </c>
      <c r="K94" s="210"/>
      <c r="L94" s="210"/>
      <c r="M94" s="223"/>
      <c r="N94" s="217">
        <f ca="1">TblMili[[#This Row],[Smithies]]</f>
        <v>0</v>
      </c>
      <c r="O94" s="217">
        <f ca="1">TblPop[[#This Row],[Employment]]</f>
        <v>1</v>
      </c>
      <c r="P94" s="217">
        <f ca="1">TblImps[[#This Row],[Population]]</f>
        <v>1</v>
      </c>
      <c r="Q94" s="175">
        <f ca="1">TblExplore[[#This Row],[Land]]</f>
        <v>50</v>
      </c>
      <c r="R94" s="175">
        <f>TblExplore[[#This Row],[Hour]]</f>
        <v>91</v>
      </c>
      <c r="S94" s="218"/>
      <c r="T94" s="179"/>
      <c r="U94" s="179"/>
      <c r="V94" s="179"/>
      <c r="W94" s="179"/>
      <c r="X94" s="179"/>
      <c r="Y94" s="179"/>
      <c r="Z94" s="179"/>
      <c r="AA94" s="159">
        <f ca="1">TblImps[[#This Row],[Real time]]</f>
        <v>46323.749999999782</v>
      </c>
      <c r="AB94" s="94">
        <f ca="1">TblMili[[#This Row],[Draftees]]</f>
        <v>576</v>
      </c>
      <c r="AC94" s="94">
        <f ca="1">TblProd[[#This Row],[Platinum]]</f>
        <v>195614</v>
      </c>
      <c r="AD94" s="215"/>
      <c r="AE94" s="45">
        <f ca="1">TblExplore[[#This Row],[Land]]-TblExplore[[#This Row],[Land Bonus]]*20</f>
        <v>50</v>
      </c>
      <c r="AF94" s="94">
        <f ca="1">ROUND((0.6*TblExplore[[#This Row],[Land-DB]]^1.299 + IF(TblExplore[[#This Row],[Land-DB]]&lt;1520, (-0.001*(TblExplore[[#This Row],[Land-DB]]^2)+1.91*TblExplore[[#This Row],[Land-DB]]-593), 0))*(1+ tech_2_6*Techs!AC94 + tech_2_9*Techs!AF94 + tech_3_7*Techs!AN94 + Overview!$I$33),0)</f>
        <v>-403</v>
      </c>
      <c r="AG94" s="94">
        <f ca="1">_xlfn.FLOOR.MATH(TblExplore[[#This Row],[Land-DB]]/150)+3+tech_2_9_2*TblTech[[#This Row],[2-9]]+tech_3_7_2*TblTech[[#This Row],[3-7]]</f>
        <v>3</v>
      </c>
      <c r="AH94" s="94">
        <f ca="1">SUM(TblExplore[[#This Row],[Plains Explore]:[Water Explore]])*TblExplore[[#This Row],[Plat/acre]]</f>
        <v>0</v>
      </c>
      <c r="AI94" s="94">
        <f ca="1">SUM(TblExplore[[#This Row],[Plains Explore]:[Water Explore]])*TblExplore[[#This Row],[Draftees/acre]]</f>
        <v>0</v>
      </c>
      <c r="AJ94" s="45">
        <f ca="1">_xlfn.FLOOR.MATH(MIN(TblExplore[[#This Row],[Platinum]]/TblExplore[[#This Row],[Plat/acre]],TblExplore[[#This Row],[Draftees]]/TblExplore[[#This Row],[Draftees/acre]]))</f>
        <v>-486</v>
      </c>
    </row>
    <row r="95" spans="1:36" x14ac:dyDescent="0.2">
      <c r="A95" s="175">
        <f>TblRezone[[#This Row],[Hour]]</f>
        <v>92</v>
      </c>
      <c r="B95" s="214">
        <f ca="1">TblConstr[[#This Row],[Land]]</f>
        <v>50</v>
      </c>
      <c r="C95" s="215"/>
      <c r="D95" s="216">
        <f ca="1">TblConstr[[#This Row],[Plain]]</f>
        <v>0</v>
      </c>
      <c r="E95" s="182">
        <f ca="1">TblConstr[[#This Row],[Forest]]</f>
        <v>0</v>
      </c>
      <c r="F95" s="359">
        <f ca="1">TblConstr[[#This Row],[Mountain]]</f>
        <v>0</v>
      </c>
      <c r="G95" s="363">
        <f ca="1">TblConstr[[#This Row],[Hill]]</f>
        <v>0</v>
      </c>
      <c r="H95" s="367">
        <f ca="1">TblConstr[[#This Row],[Swamp]]</f>
        <v>0</v>
      </c>
      <c r="I95" s="185">
        <f ca="1">TblConstr[[#This Row],[Cavern]]</f>
        <v>0</v>
      </c>
      <c r="J95" s="186">
        <f ca="1">TblConstr[[#This Row],[Water]]</f>
        <v>0</v>
      </c>
      <c r="K95" s="210"/>
      <c r="L95" s="210"/>
      <c r="M95" s="223"/>
      <c r="N95" s="217">
        <f ca="1">TblMili[[#This Row],[Smithies]]</f>
        <v>0</v>
      </c>
      <c r="O95" s="217">
        <f ca="1">TblPop[[#This Row],[Employment]]</f>
        <v>1</v>
      </c>
      <c r="P95" s="217">
        <f ca="1">TblImps[[#This Row],[Population]]</f>
        <v>1</v>
      </c>
      <c r="Q95" s="175">
        <f ca="1">TblExplore[[#This Row],[Land]]</f>
        <v>50</v>
      </c>
      <c r="R95" s="175">
        <f>TblExplore[[#This Row],[Hour]]</f>
        <v>92</v>
      </c>
      <c r="S95" s="218"/>
      <c r="T95" s="179"/>
      <c r="U95" s="179"/>
      <c r="V95" s="179"/>
      <c r="W95" s="179"/>
      <c r="X95" s="179"/>
      <c r="Y95" s="179"/>
      <c r="Z95" s="179"/>
      <c r="AA95" s="159">
        <f ca="1">TblImps[[#This Row],[Real time]]</f>
        <v>46323.791666666446</v>
      </c>
      <c r="AB95" s="94">
        <f ca="1">TblMili[[#This Row],[Draftees]]</f>
        <v>578</v>
      </c>
      <c r="AC95" s="94">
        <f ca="1">TblProd[[#This Row],[Platinum]]</f>
        <v>196135</v>
      </c>
      <c r="AD95" s="215"/>
      <c r="AE95" s="45">
        <f ca="1">TblExplore[[#This Row],[Land]]-TblExplore[[#This Row],[Land Bonus]]*20</f>
        <v>50</v>
      </c>
      <c r="AF95" s="94">
        <f ca="1">ROUND((0.6*TblExplore[[#This Row],[Land-DB]]^1.299 + IF(TblExplore[[#This Row],[Land-DB]]&lt;1520, (-0.001*(TblExplore[[#This Row],[Land-DB]]^2)+1.91*TblExplore[[#This Row],[Land-DB]]-593), 0))*(1+ tech_2_6*Techs!AC95 + tech_2_9*Techs!AF95 + tech_3_7*Techs!AN95 + Overview!$I$33),0)</f>
        <v>-403</v>
      </c>
      <c r="AG95" s="94">
        <f ca="1">_xlfn.FLOOR.MATH(TblExplore[[#This Row],[Land-DB]]/150)+3+tech_2_9_2*TblTech[[#This Row],[2-9]]+tech_3_7_2*TblTech[[#This Row],[3-7]]</f>
        <v>3</v>
      </c>
      <c r="AH95" s="94">
        <f ca="1">SUM(TblExplore[[#This Row],[Plains Explore]:[Water Explore]])*TblExplore[[#This Row],[Plat/acre]]</f>
        <v>0</v>
      </c>
      <c r="AI95" s="94">
        <f ca="1">SUM(TblExplore[[#This Row],[Plains Explore]:[Water Explore]])*TblExplore[[#This Row],[Draftees/acre]]</f>
        <v>0</v>
      </c>
      <c r="AJ95" s="45">
        <f ca="1">_xlfn.FLOOR.MATH(MIN(TblExplore[[#This Row],[Platinum]]/TblExplore[[#This Row],[Plat/acre]],TblExplore[[#This Row],[Draftees]]/TblExplore[[#This Row],[Draftees/acre]]))</f>
        <v>-487</v>
      </c>
    </row>
    <row r="96" spans="1:36" x14ac:dyDescent="0.2">
      <c r="A96" s="175">
        <f>TblRezone[[#This Row],[Hour]]</f>
        <v>93</v>
      </c>
      <c r="B96" s="214">
        <f ca="1">TblConstr[[#This Row],[Land]]</f>
        <v>50</v>
      </c>
      <c r="C96" s="215"/>
      <c r="D96" s="216">
        <f ca="1">TblConstr[[#This Row],[Plain]]</f>
        <v>0</v>
      </c>
      <c r="E96" s="182">
        <f ca="1">TblConstr[[#This Row],[Forest]]</f>
        <v>0</v>
      </c>
      <c r="F96" s="359">
        <f ca="1">TblConstr[[#This Row],[Mountain]]</f>
        <v>0</v>
      </c>
      <c r="G96" s="363">
        <f ca="1">TblConstr[[#This Row],[Hill]]</f>
        <v>0</v>
      </c>
      <c r="H96" s="367">
        <f ca="1">TblConstr[[#This Row],[Swamp]]</f>
        <v>0</v>
      </c>
      <c r="I96" s="185">
        <f ca="1">TblConstr[[#This Row],[Cavern]]</f>
        <v>0</v>
      </c>
      <c r="J96" s="186">
        <f ca="1">TblConstr[[#This Row],[Water]]</f>
        <v>0</v>
      </c>
      <c r="K96" s="210"/>
      <c r="L96" s="210"/>
      <c r="M96" s="210"/>
      <c r="N96" s="217">
        <f ca="1">TblMili[[#This Row],[Smithies]]</f>
        <v>0</v>
      </c>
      <c r="O96" s="217">
        <f ca="1">TblPop[[#This Row],[Employment]]</f>
        <v>1</v>
      </c>
      <c r="P96" s="217">
        <f ca="1">TblImps[[#This Row],[Population]]</f>
        <v>1</v>
      </c>
      <c r="Q96" s="175">
        <f ca="1">TblExplore[[#This Row],[Land]]</f>
        <v>50</v>
      </c>
      <c r="R96" s="214">
        <f>TblExplore[[#This Row],[Hour]]</f>
        <v>93</v>
      </c>
      <c r="S96" s="218"/>
      <c r="T96" s="179"/>
      <c r="U96" s="179"/>
      <c r="V96" s="179"/>
      <c r="W96" s="179"/>
      <c r="X96" s="179"/>
      <c r="Y96" s="179"/>
      <c r="Z96" s="179"/>
      <c r="AA96" s="159">
        <f ca="1">TblImps[[#This Row],[Real time]]</f>
        <v>46323.83333333311</v>
      </c>
      <c r="AB96" s="94">
        <f ca="1">TblMili[[#This Row],[Draftees]]</f>
        <v>580</v>
      </c>
      <c r="AC96" s="94">
        <f ca="1">TblProd[[#This Row],[Platinum]]</f>
        <v>196650</v>
      </c>
      <c r="AD96" s="215"/>
      <c r="AE96" s="45">
        <f ca="1">TblExplore[[#This Row],[Land]]-TblExplore[[#This Row],[Land Bonus]]*20</f>
        <v>50</v>
      </c>
      <c r="AF96" s="94">
        <f ca="1">ROUND((0.6*TblExplore[[#This Row],[Land-DB]]^1.299 + IF(TblExplore[[#This Row],[Land-DB]]&lt;1520, (-0.001*(TblExplore[[#This Row],[Land-DB]]^2)+1.91*TblExplore[[#This Row],[Land-DB]]-593), 0))*(1+ tech_2_6*Techs!AC96 + tech_2_9*Techs!AF96 + tech_3_7*Techs!AN96 + Overview!$I$33),0)</f>
        <v>-403</v>
      </c>
      <c r="AG96" s="94">
        <f ca="1">_xlfn.FLOOR.MATH(TblExplore[[#This Row],[Land-DB]]/150)+3+tech_2_9_2*TblTech[[#This Row],[2-9]]+tech_3_7_2*TblTech[[#This Row],[3-7]]</f>
        <v>3</v>
      </c>
      <c r="AH96" s="94">
        <f ca="1">SUM(TblExplore[[#This Row],[Plains Explore]:[Water Explore]])*TblExplore[[#This Row],[Plat/acre]]</f>
        <v>0</v>
      </c>
      <c r="AI96" s="94">
        <f ca="1">SUM(TblExplore[[#This Row],[Plains Explore]:[Water Explore]])*TblExplore[[#This Row],[Draftees/acre]]</f>
        <v>0</v>
      </c>
      <c r="AJ96" s="45">
        <f ca="1">_xlfn.FLOOR.MATH(MIN(TblExplore[[#This Row],[Platinum]]/TblExplore[[#This Row],[Plat/acre]],TblExplore[[#This Row],[Draftees]]/TblExplore[[#This Row],[Draftees/acre]]))</f>
        <v>-488</v>
      </c>
    </row>
    <row r="97" spans="1:36" x14ac:dyDescent="0.2">
      <c r="A97" s="175">
        <f>TblRezone[[#This Row],[Hour]]</f>
        <v>94</v>
      </c>
      <c r="B97" s="214">
        <f ca="1">TblConstr[[#This Row],[Land]]</f>
        <v>50</v>
      </c>
      <c r="C97" s="215"/>
      <c r="D97" s="216">
        <f ca="1">TblConstr[[#This Row],[Plain]]</f>
        <v>0</v>
      </c>
      <c r="E97" s="182">
        <f ca="1">TblConstr[[#This Row],[Forest]]</f>
        <v>0</v>
      </c>
      <c r="F97" s="359">
        <f ca="1">TblConstr[[#This Row],[Mountain]]</f>
        <v>0</v>
      </c>
      <c r="G97" s="363">
        <f ca="1">TblConstr[[#This Row],[Hill]]</f>
        <v>0</v>
      </c>
      <c r="H97" s="367">
        <f ca="1">TblConstr[[#This Row],[Swamp]]</f>
        <v>0</v>
      </c>
      <c r="I97" s="185">
        <f ca="1">TblConstr[[#This Row],[Cavern]]</f>
        <v>0</v>
      </c>
      <c r="J97" s="186">
        <f ca="1">TblConstr[[#This Row],[Water]]</f>
        <v>0</v>
      </c>
      <c r="K97" s="210"/>
      <c r="L97" s="210"/>
      <c r="M97" s="210"/>
      <c r="N97" s="217">
        <f ca="1">TblMili[[#This Row],[Smithies]]</f>
        <v>0</v>
      </c>
      <c r="O97" s="217">
        <f ca="1">TblPop[[#This Row],[Employment]]</f>
        <v>1</v>
      </c>
      <c r="P97" s="217">
        <f ca="1">TblImps[[#This Row],[Population]]</f>
        <v>1</v>
      </c>
      <c r="Q97" s="175">
        <f ca="1">TblExplore[[#This Row],[Land]]</f>
        <v>50</v>
      </c>
      <c r="R97" s="214">
        <f>TblExplore[[#This Row],[Hour]]</f>
        <v>94</v>
      </c>
      <c r="S97" s="218"/>
      <c r="T97" s="179"/>
      <c r="U97" s="179"/>
      <c r="V97" s="179"/>
      <c r="W97" s="179"/>
      <c r="X97" s="179"/>
      <c r="Y97" s="179"/>
      <c r="Z97" s="179"/>
      <c r="AA97" s="159">
        <f ca="1">TblImps[[#This Row],[Real time]]</f>
        <v>46323.874999999774</v>
      </c>
      <c r="AB97" s="94">
        <f ca="1">TblMili[[#This Row],[Draftees]]</f>
        <v>582</v>
      </c>
      <c r="AC97" s="94">
        <f ca="1">TblProd[[#This Row],[Platinum]]</f>
        <v>197160</v>
      </c>
      <c r="AD97" s="215"/>
      <c r="AE97" s="45">
        <f ca="1">TblExplore[[#This Row],[Land]]-TblExplore[[#This Row],[Land Bonus]]*20</f>
        <v>50</v>
      </c>
      <c r="AF97" s="94">
        <f ca="1">ROUND((0.6*TblExplore[[#This Row],[Land-DB]]^1.299 + IF(TblExplore[[#This Row],[Land-DB]]&lt;1520, (-0.001*(TblExplore[[#This Row],[Land-DB]]^2)+1.91*TblExplore[[#This Row],[Land-DB]]-593), 0))*(1+ tech_2_6*Techs!AC97 + tech_2_9*Techs!AF97 + tech_3_7*Techs!AN97 + Overview!$I$33),0)</f>
        <v>-403</v>
      </c>
      <c r="AG97" s="94">
        <f ca="1">_xlfn.FLOOR.MATH(TblExplore[[#This Row],[Land-DB]]/150)+3+tech_2_9_2*TblTech[[#This Row],[2-9]]+tech_3_7_2*TblTech[[#This Row],[3-7]]</f>
        <v>3</v>
      </c>
      <c r="AH97" s="94">
        <f ca="1">SUM(TblExplore[[#This Row],[Plains Explore]:[Water Explore]])*TblExplore[[#This Row],[Plat/acre]]</f>
        <v>0</v>
      </c>
      <c r="AI97" s="94">
        <f ca="1">SUM(TblExplore[[#This Row],[Plains Explore]:[Water Explore]])*TblExplore[[#This Row],[Draftees/acre]]</f>
        <v>0</v>
      </c>
      <c r="AJ97" s="45">
        <f ca="1">_xlfn.FLOOR.MATH(MIN(TblExplore[[#This Row],[Platinum]]/TblExplore[[#This Row],[Plat/acre]],TblExplore[[#This Row],[Draftees]]/TblExplore[[#This Row],[Draftees/acre]]))</f>
        <v>-490</v>
      </c>
    </row>
    <row r="98" spans="1:36" x14ac:dyDescent="0.2">
      <c r="A98" s="175">
        <f>TblRezone[[#This Row],[Hour]]</f>
        <v>95</v>
      </c>
      <c r="B98" s="214">
        <f ca="1">TblConstr[[#This Row],[Land]]</f>
        <v>50</v>
      </c>
      <c r="C98" s="215"/>
      <c r="D98" s="216">
        <f ca="1">TblConstr[[#This Row],[Plain]]</f>
        <v>0</v>
      </c>
      <c r="E98" s="182">
        <f ca="1">TblConstr[[#This Row],[Forest]]</f>
        <v>0</v>
      </c>
      <c r="F98" s="359">
        <f ca="1">TblConstr[[#This Row],[Mountain]]</f>
        <v>0</v>
      </c>
      <c r="G98" s="363">
        <f ca="1">TblConstr[[#This Row],[Hill]]</f>
        <v>0</v>
      </c>
      <c r="H98" s="367">
        <f ca="1">TblConstr[[#This Row],[Swamp]]</f>
        <v>0</v>
      </c>
      <c r="I98" s="185">
        <f ca="1">TblConstr[[#This Row],[Cavern]]</f>
        <v>0</v>
      </c>
      <c r="J98" s="186">
        <f ca="1">TblConstr[[#This Row],[Water]]</f>
        <v>0</v>
      </c>
      <c r="K98" s="210"/>
      <c r="L98" s="210"/>
      <c r="M98" s="223"/>
      <c r="N98" s="217">
        <f ca="1">TblMili[[#This Row],[Smithies]]</f>
        <v>0</v>
      </c>
      <c r="O98" s="217">
        <f ca="1">TblPop[[#This Row],[Employment]]</f>
        <v>1</v>
      </c>
      <c r="P98" s="217">
        <f ca="1">TblImps[[#This Row],[Population]]</f>
        <v>1</v>
      </c>
      <c r="Q98" s="175">
        <f ca="1">TblExplore[[#This Row],[Land]]</f>
        <v>50</v>
      </c>
      <c r="R98" s="175">
        <f>TblExplore[[#This Row],[Hour]]</f>
        <v>95</v>
      </c>
      <c r="S98" s="218"/>
      <c r="T98" s="179"/>
      <c r="U98" s="179"/>
      <c r="V98" s="179"/>
      <c r="W98" s="179"/>
      <c r="X98" s="179"/>
      <c r="Y98" s="179"/>
      <c r="Z98" s="179"/>
      <c r="AA98" s="159">
        <f ca="1">TblImps[[#This Row],[Real time]]</f>
        <v>46323.916666666439</v>
      </c>
      <c r="AB98" s="94">
        <f ca="1">TblMili[[#This Row],[Draftees]]</f>
        <v>584</v>
      </c>
      <c r="AC98" s="94">
        <f ca="1">TblProd[[#This Row],[Platinum]]</f>
        <v>197664</v>
      </c>
      <c r="AD98" s="215"/>
      <c r="AE98" s="45">
        <f ca="1">TblExplore[[#This Row],[Land]]-TblExplore[[#This Row],[Land Bonus]]*20</f>
        <v>50</v>
      </c>
      <c r="AF98" s="94">
        <f ca="1">ROUND((0.6*TblExplore[[#This Row],[Land-DB]]^1.299 + IF(TblExplore[[#This Row],[Land-DB]]&lt;1520, (-0.001*(TblExplore[[#This Row],[Land-DB]]^2)+1.91*TblExplore[[#This Row],[Land-DB]]-593), 0))*(1+ tech_2_6*Techs!AC98 + tech_2_9*Techs!AF98 + tech_3_7*Techs!AN98 + Overview!$I$33),0)</f>
        <v>-403</v>
      </c>
      <c r="AG98" s="94">
        <f ca="1">_xlfn.FLOOR.MATH(TblExplore[[#This Row],[Land-DB]]/150)+3+tech_2_9_2*TblTech[[#This Row],[2-9]]+tech_3_7_2*TblTech[[#This Row],[3-7]]</f>
        <v>3</v>
      </c>
      <c r="AH98" s="94">
        <f ca="1">SUM(TblExplore[[#This Row],[Plains Explore]:[Water Explore]])*TblExplore[[#This Row],[Plat/acre]]</f>
        <v>0</v>
      </c>
      <c r="AI98" s="94">
        <f ca="1">SUM(TblExplore[[#This Row],[Plains Explore]:[Water Explore]])*TblExplore[[#This Row],[Draftees/acre]]</f>
        <v>0</v>
      </c>
      <c r="AJ98" s="45">
        <f ca="1">_xlfn.FLOOR.MATH(MIN(TblExplore[[#This Row],[Platinum]]/TblExplore[[#This Row],[Plat/acre]],TblExplore[[#This Row],[Draftees]]/TblExplore[[#This Row],[Draftees/acre]]))</f>
        <v>-491</v>
      </c>
    </row>
    <row r="99" spans="1:36" x14ac:dyDescent="0.2">
      <c r="A99" s="175">
        <f>TblRezone[[#This Row],[Hour]]</f>
        <v>96</v>
      </c>
      <c r="B99" s="214">
        <f ca="1">TblConstr[[#This Row],[Land]]</f>
        <v>50</v>
      </c>
      <c r="C99" s="215"/>
      <c r="D99" s="216">
        <f ca="1">TblConstr[[#This Row],[Plain]]</f>
        <v>0</v>
      </c>
      <c r="E99" s="182">
        <f ca="1">TblConstr[[#This Row],[Forest]]</f>
        <v>0</v>
      </c>
      <c r="F99" s="359">
        <f ca="1">TblConstr[[#This Row],[Mountain]]</f>
        <v>0</v>
      </c>
      <c r="G99" s="363">
        <f ca="1">TblConstr[[#This Row],[Hill]]</f>
        <v>0</v>
      </c>
      <c r="H99" s="367">
        <f ca="1">TblConstr[[#This Row],[Swamp]]</f>
        <v>0</v>
      </c>
      <c r="I99" s="185">
        <f ca="1">TblConstr[[#This Row],[Cavern]]</f>
        <v>0</v>
      </c>
      <c r="J99" s="186">
        <f ca="1">TblConstr[[#This Row],[Water]]</f>
        <v>0</v>
      </c>
      <c r="K99" s="210"/>
      <c r="L99" s="210"/>
      <c r="M99" s="223"/>
      <c r="N99" s="217">
        <f ca="1">TblMili[[#This Row],[Smithies]]</f>
        <v>0</v>
      </c>
      <c r="O99" s="217">
        <f ca="1">TblPop[[#This Row],[Employment]]</f>
        <v>1</v>
      </c>
      <c r="P99" s="217">
        <f ca="1">TblImps[[#This Row],[Population]]</f>
        <v>1</v>
      </c>
      <c r="Q99" s="175">
        <f ca="1">TblExplore[[#This Row],[Land]]</f>
        <v>50</v>
      </c>
      <c r="R99" s="175">
        <f>TblExplore[[#This Row],[Hour]]</f>
        <v>96</v>
      </c>
      <c r="S99" s="218"/>
      <c r="T99" s="158"/>
      <c r="U99" s="179"/>
      <c r="V99" s="179"/>
      <c r="W99" s="179"/>
      <c r="X99" s="179"/>
      <c r="Y99" s="179"/>
      <c r="Z99" s="179"/>
      <c r="AA99" s="159">
        <f ca="1">TblImps[[#This Row],[Real time]]</f>
        <v>46323.958333333103</v>
      </c>
      <c r="AB99" s="94">
        <f ca="1">TblMili[[#This Row],[Draftees]]</f>
        <v>586</v>
      </c>
      <c r="AC99" s="94">
        <f ca="1">TblProd[[#This Row],[Platinum]]</f>
        <v>198163</v>
      </c>
      <c r="AD99" s="215"/>
      <c r="AE99" s="45">
        <f ca="1">TblExplore[[#This Row],[Land]]-TblExplore[[#This Row],[Land Bonus]]*20</f>
        <v>50</v>
      </c>
      <c r="AF99" s="94">
        <f ca="1">ROUND((0.6*TblExplore[[#This Row],[Land-DB]]^1.299 + IF(TblExplore[[#This Row],[Land-DB]]&lt;1520, (-0.001*(TblExplore[[#This Row],[Land-DB]]^2)+1.91*TblExplore[[#This Row],[Land-DB]]-593), 0))*(1+ tech_2_6*Techs!AC99 + tech_2_9*Techs!AF99 + tech_3_7*Techs!AN99 + Overview!$I$33),0)</f>
        <v>-403</v>
      </c>
      <c r="AG99" s="94">
        <f ca="1">_xlfn.FLOOR.MATH(TblExplore[[#This Row],[Land-DB]]/150)+3+tech_2_9_2*TblTech[[#This Row],[2-9]]+tech_3_7_2*TblTech[[#This Row],[3-7]]</f>
        <v>3</v>
      </c>
      <c r="AH99" s="94">
        <f ca="1">SUM(TblExplore[[#This Row],[Plains Explore]:[Water Explore]])*TblExplore[[#This Row],[Plat/acre]]</f>
        <v>0</v>
      </c>
      <c r="AI99" s="94">
        <f ca="1">SUM(TblExplore[[#This Row],[Plains Explore]:[Water Explore]])*TblExplore[[#This Row],[Draftees/acre]]</f>
        <v>0</v>
      </c>
      <c r="AJ99" s="45">
        <f ca="1">_xlfn.FLOOR.MATH(MIN(TblExplore[[#This Row],[Platinum]]/TblExplore[[#This Row],[Plat/acre]],TblExplore[[#This Row],[Draftees]]/TblExplore[[#This Row],[Draftees/acre]]))</f>
        <v>-492</v>
      </c>
    </row>
    <row r="100" spans="1:36" x14ac:dyDescent="0.2">
      <c r="A100" s="175">
        <f>TblRezone[[#This Row],[Hour]]</f>
        <v>97</v>
      </c>
      <c r="B100" s="214">
        <f ca="1">TblConstr[[#This Row],[Land]]</f>
        <v>50</v>
      </c>
      <c r="C100" s="215"/>
      <c r="D100" s="216">
        <f ca="1">TblConstr[[#This Row],[Plain]]</f>
        <v>0</v>
      </c>
      <c r="E100" s="182">
        <f ca="1">TblConstr[[#This Row],[Forest]]</f>
        <v>0</v>
      </c>
      <c r="F100" s="359">
        <f ca="1">TblConstr[[#This Row],[Mountain]]</f>
        <v>0</v>
      </c>
      <c r="G100" s="363">
        <f ca="1">TblConstr[[#This Row],[Hill]]</f>
        <v>0</v>
      </c>
      <c r="H100" s="367">
        <f ca="1">TblConstr[[#This Row],[Swamp]]</f>
        <v>0</v>
      </c>
      <c r="I100" s="185">
        <f ca="1">TblConstr[[#This Row],[Cavern]]</f>
        <v>0</v>
      </c>
      <c r="J100" s="186">
        <f ca="1">TblConstr[[#This Row],[Water]]</f>
        <v>0</v>
      </c>
      <c r="K100" s="210"/>
      <c r="L100" s="210"/>
      <c r="M100" s="223"/>
      <c r="N100" s="217">
        <f ca="1">TblMili[[#This Row],[Smithies]]</f>
        <v>0</v>
      </c>
      <c r="O100" s="217">
        <f ca="1">TblPop[[#This Row],[Employment]]</f>
        <v>1</v>
      </c>
      <c r="P100" s="217">
        <f ca="1">TblImps[[#This Row],[Population]]</f>
        <v>1</v>
      </c>
      <c r="Q100" s="175">
        <f ca="1">TblExplore[[#This Row],[Land]]</f>
        <v>50</v>
      </c>
      <c r="R100" s="175">
        <f>TblExplore[[#This Row],[Hour]]</f>
        <v>97</v>
      </c>
      <c r="S100" s="218"/>
      <c r="T100" s="179"/>
      <c r="U100" s="179"/>
      <c r="V100" s="179"/>
      <c r="W100" s="179"/>
      <c r="X100" s="179"/>
      <c r="Y100" s="179"/>
      <c r="Z100" s="179"/>
      <c r="AA100" s="159">
        <f ca="1">TblImps[[#This Row],[Real time]]</f>
        <v>46323.999999999767</v>
      </c>
      <c r="AB100" s="94">
        <f ca="1">TblMili[[#This Row],[Draftees]]</f>
        <v>588</v>
      </c>
      <c r="AC100" s="94">
        <f ca="1">TblProd[[#This Row],[Platinum]]</f>
        <v>198657</v>
      </c>
      <c r="AD100" s="215"/>
      <c r="AE100" s="45">
        <f ca="1">TblExplore[[#This Row],[Land]]-TblExplore[[#This Row],[Land Bonus]]*20</f>
        <v>50</v>
      </c>
      <c r="AF100" s="94">
        <f ca="1">ROUND((0.6*TblExplore[[#This Row],[Land-DB]]^1.299 + IF(TblExplore[[#This Row],[Land-DB]]&lt;1520, (-0.001*(TblExplore[[#This Row],[Land-DB]]^2)+1.91*TblExplore[[#This Row],[Land-DB]]-593), 0))*(1+ tech_2_6*Techs!AC100 + tech_2_9*Techs!AF100 + tech_3_7*Techs!AN100 + Overview!$I$33),0)</f>
        <v>-403</v>
      </c>
      <c r="AG100" s="94">
        <f ca="1">_xlfn.FLOOR.MATH(TblExplore[[#This Row],[Land-DB]]/150)+3+tech_2_9_2*TblTech[[#This Row],[2-9]]+tech_3_7_2*TblTech[[#This Row],[3-7]]</f>
        <v>3</v>
      </c>
      <c r="AH100" s="94">
        <f ca="1">SUM(TblExplore[[#This Row],[Plains Explore]:[Water Explore]])*TblExplore[[#This Row],[Plat/acre]]</f>
        <v>0</v>
      </c>
      <c r="AI100" s="94">
        <f ca="1">SUM(TblExplore[[#This Row],[Plains Explore]:[Water Explore]])*TblExplore[[#This Row],[Draftees/acre]]</f>
        <v>0</v>
      </c>
      <c r="AJ100" s="45">
        <f ca="1">_xlfn.FLOOR.MATH(MIN(TblExplore[[#This Row],[Platinum]]/TblExplore[[#This Row],[Plat/acre]],TblExplore[[#This Row],[Draftees]]/TblExplore[[#This Row],[Draftees/acre]]))</f>
        <v>-493</v>
      </c>
    </row>
    <row r="101" spans="1:36" x14ac:dyDescent="0.2">
      <c r="A101" s="175">
        <f>TblRezone[[#This Row],[Hour]]</f>
        <v>98</v>
      </c>
      <c r="B101" s="214">
        <f ca="1">TblConstr[[#This Row],[Land]]</f>
        <v>50</v>
      </c>
      <c r="C101" s="215"/>
      <c r="D101" s="216">
        <f ca="1">TblConstr[[#This Row],[Plain]]</f>
        <v>0</v>
      </c>
      <c r="E101" s="182">
        <f ca="1">TblConstr[[#This Row],[Forest]]</f>
        <v>0</v>
      </c>
      <c r="F101" s="359">
        <f ca="1">TblConstr[[#This Row],[Mountain]]</f>
        <v>0</v>
      </c>
      <c r="G101" s="363">
        <f ca="1">TblConstr[[#This Row],[Hill]]</f>
        <v>0</v>
      </c>
      <c r="H101" s="367">
        <f ca="1">TblConstr[[#This Row],[Swamp]]</f>
        <v>0</v>
      </c>
      <c r="I101" s="185">
        <f ca="1">TblConstr[[#This Row],[Cavern]]</f>
        <v>0</v>
      </c>
      <c r="J101" s="186">
        <f ca="1">TblConstr[[#This Row],[Water]]</f>
        <v>0</v>
      </c>
      <c r="K101" s="210"/>
      <c r="L101" s="210"/>
      <c r="M101" s="219"/>
      <c r="N101" s="217">
        <f ca="1">TblMili[[#This Row],[Smithies]]</f>
        <v>0</v>
      </c>
      <c r="O101" s="217">
        <f ca="1">TblPop[[#This Row],[Employment]]</f>
        <v>1</v>
      </c>
      <c r="P101" s="217">
        <f ca="1">TblImps[[#This Row],[Population]]</f>
        <v>1</v>
      </c>
      <c r="Q101" s="175">
        <f ca="1">TblExplore[[#This Row],[Land]]</f>
        <v>50</v>
      </c>
      <c r="R101" s="175">
        <f>TblExplore[[#This Row],[Hour]]</f>
        <v>98</v>
      </c>
      <c r="S101" s="218"/>
      <c r="T101" s="158"/>
      <c r="U101" s="179"/>
      <c r="V101" s="179"/>
      <c r="W101" s="179"/>
      <c r="X101" s="179"/>
      <c r="Y101" s="179"/>
      <c r="Z101" s="179"/>
      <c r="AA101" s="159">
        <f ca="1">TblImps[[#This Row],[Real time]]</f>
        <v>46324.041666666431</v>
      </c>
      <c r="AB101" s="94">
        <f ca="1">TblMili[[#This Row],[Draftees]]</f>
        <v>590</v>
      </c>
      <c r="AC101" s="94">
        <f ca="1">TblProd[[#This Row],[Platinum]]</f>
        <v>199145</v>
      </c>
      <c r="AD101" s="215"/>
      <c r="AE101" s="45">
        <f ca="1">TblExplore[[#This Row],[Land]]-TblExplore[[#This Row],[Land Bonus]]*20</f>
        <v>50</v>
      </c>
      <c r="AF101" s="94">
        <f ca="1">ROUND((0.6*TblExplore[[#This Row],[Land-DB]]^1.299 + IF(TblExplore[[#This Row],[Land-DB]]&lt;1520, (-0.001*(TblExplore[[#This Row],[Land-DB]]^2)+1.91*TblExplore[[#This Row],[Land-DB]]-593), 0))*(1+ tech_2_6*Techs!AC101 + tech_2_9*Techs!AF101 + tech_3_7*Techs!AN101 + Overview!$I$33),0)</f>
        <v>-403</v>
      </c>
      <c r="AG101" s="94">
        <f ca="1">_xlfn.FLOOR.MATH(TblExplore[[#This Row],[Land-DB]]/150)+3+tech_2_9_2*TblTech[[#This Row],[2-9]]+tech_3_7_2*TblTech[[#This Row],[3-7]]</f>
        <v>3</v>
      </c>
      <c r="AH101" s="94">
        <f ca="1">SUM(TblExplore[[#This Row],[Plains Explore]:[Water Explore]])*TblExplore[[#This Row],[Plat/acre]]</f>
        <v>0</v>
      </c>
      <c r="AI101" s="94">
        <f ca="1">SUM(TblExplore[[#This Row],[Plains Explore]:[Water Explore]])*TblExplore[[#This Row],[Draftees/acre]]</f>
        <v>0</v>
      </c>
      <c r="AJ101" s="45">
        <f ca="1">_xlfn.FLOOR.MATH(MIN(TblExplore[[#This Row],[Platinum]]/TblExplore[[#This Row],[Plat/acre]],TblExplore[[#This Row],[Draftees]]/TblExplore[[#This Row],[Draftees/acre]]))</f>
        <v>-495</v>
      </c>
    </row>
    <row r="102" spans="1:36" x14ac:dyDescent="0.2">
      <c r="A102" s="175">
        <f>TblRezone[[#This Row],[Hour]]</f>
        <v>99</v>
      </c>
      <c r="B102" s="214">
        <f ca="1">TblConstr[[#This Row],[Land]]</f>
        <v>50</v>
      </c>
      <c r="C102" s="215"/>
      <c r="D102" s="216">
        <f ca="1">TblConstr[[#This Row],[Plain]]</f>
        <v>0</v>
      </c>
      <c r="E102" s="182">
        <f ca="1">TblConstr[[#This Row],[Forest]]</f>
        <v>0</v>
      </c>
      <c r="F102" s="359">
        <f ca="1">TblConstr[[#This Row],[Mountain]]</f>
        <v>0</v>
      </c>
      <c r="G102" s="363">
        <f ca="1">TblConstr[[#This Row],[Hill]]</f>
        <v>0</v>
      </c>
      <c r="H102" s="367">
        <f ca="1">TblConstr[[#This Row],[Swamp]]</f>
        <v>0</v>
      </c>
      <c r="I102" s="185">
        <f ca="1">TblConstr[[#This Row],[Cavern]]</f>
        <v>0</v>
      </c>
      <c r="J102" s="186">
        <f ca="1">TblConstr[[#This Row],[Water]]</f>
        <v>0</v>
      </c>
      <c r="K102" s="210"/>
      <c r="L102" s="210"/>
      <c r="M102" s="223"/>
      <c r="N102" s="217">
        <f ca="1">TblMili[[#This Row],[Smithies]]</f>
        <v>0</v>
      </c>
      <c r="O102" s="217">
        <f ca="1">TblPop[[#This Row],[Employment]]</f>
        <v>1</v>
      </c>
      <c r="P102" s="217">
        <f ca="1">TblImps[[#This Row],[Population]]</f>
        <v>1</v>
      </c>
      <c r="Q102" s="175">
        <f ca="1">TblExplore[[#This Row],[Land]]</f>
        <v>50</v>
      </c>
      <c r="R102" s="175">
        <f>TblExplore[[#This Row],[Hour]]</f>
        <v>99</v>
      </c>
      <c r="S102" s="218"/>
      <c r="T102" s="158"/>
      <c r="U102" s="179"/>
      <c r="V102" s="179"/>
      <c r="W102" s="179"/>
      <c r="X102" s="179"/>
      <c r="Y102" s="179"/>
      <c r="Z102" s="179"/>
      <c r="AA102" s="159">
        <f ca="1">TblImps[[#This Row],[Real time]]</f>
        <v>46324.083333333096</v>
      </c>
      <c r="AB102" s="94">
        <f ca="1">TblMili[[#This Row],[Draftees]]</f>
        <v>592</v>
      </c>
      <c r="AC102" s="94">
        <f ca="1">TblProd[[#This Row],[Platinum]]</f>
        <v>199628</v>
      </c>
      <c r="AD102" s="215"/>
      <c r="AE102" s="45">
        <f ca="1">TblExplore[[#This Row],[Land]]-TblExplore[[#This Row],[Land Bonus]]*20</f>
        <v>50</v>
      </c>
      <c r="AF102" s="94">
        <f ca="1">ROUND((0.6*TblExplore[[#This Row],[Land-DB]]^1.299 + IF(TblExplore[[#This Row],[Land-DB]]&lt;1520, (-0.001*(TblExplore[[#This Row],[Land-DB]]^2)+1.91*TblExplore[[#This Row],[Land-DB]]-593), 0))*(1+ tech_2_6*Techs!AC102 + tech_2_9*Techs!AF102 + tech_3_7*Techs!AN102 + Overview!$I$33),0)</f>
        <v>-403</v>
      </c>
      <c r="AG102" s="94">
        <f ca="1">_xlfn.FLOOR.MATH(TblExplore[[#This Row],[Land-DB]]/150)+3+tech_2_9_2*TblTech[[#This Row],[2-9]]+tech_3_7_2*TblTech[[#This Row],[3-7]]</f>
        <v>3</v>
      </c>
      <c r="AH102" s="94">
        <f ca="1">SUM(TblExplore[[#This Row],[Plains Explore]:[Water Explore]])*TblExplore[[#This Row],[Plat/acre]]</f>
        <v>0</v>
      </c>
      <c r="AI102" s="94">
        <f ca="1">SUM(TblExplore[[#This Row],[Plains Explore]:[Water Explore]])*TblExplore[[#This Row],[Draftees/acre]]</f>
        <v>0</v>
      </c>
      <c r="AJ102" s="45">
        <f ca="1">_xlfn.FLOOR.MATH(MIN(TblExplore[[#This Row],[Platinum]]/TblExplore[[#This Row],[Plat/acre]],TblExplore[[#This Row],[Draftees]]/TblExplore[[#This Row],[Draftees/acre]]))</f>
        <v>-496</v>
      </c>
    </row>
    <row r="103" spans="1:36" x14ac:dyDescent="0.2">
      <c r="A103" s="175">
        <f>TblRezone[[#This Row],[Hour]]</f>
        <v>100</v>
      </c>
      <c r="B103" s="214">
        <f ca="1">TblConstr[[#This Row],[Land]]</f>
        <v>50</v>
      </c>
      <c r="C103" s="215"/>
      <c r="D103" s="216">
        <f ca="1">TblConstr[[#This Row],[Plain]]</f>
        <v>0</v>
      </c>
      <c r="E103" s="182">
        <f ca="1">TblConstr[[#This Row],[Forest]]</f>
        <v>0</v>
      </c>
      <c r="F103" s="359">
        <f ca="1">TblConstr[[#This Row],[Mountain]]</f>
        <v>0</v>
      </c>
      <c r="G103" s="363">
        <f ca="1">TblConstr[[#This Row],[Hill]]</f>
        <v>0</v>
      </c>
      <c r="H103" s="367">
        <f ca="1">TblConstr[[#This Row],[Swamp]]</f>
        <v>0</v>
      </c>
      <c r="I103" s="185">
        <f ca="1">TblConstr[[#This Row],[Cavern]]</f>
        <v>0</v>
      </c>
      <c r="J103" s="186">
        <f ca="1">TblConstr[[#This Row],[Water]]</f>
        <v>0</v>
      </c>
      <c r="K103" s="210"/>
      <c r="L103" s="210"/>
      <c r="M103" s="223"/>
      <c r="N103" s="217">
        <f ca="1">TblMili[[#This Row],[Smithies]]</f>
        <v>0</v>
      </c>
      <c r="O103" s="217">
        <f ca="1">TblPop[[#This Row],[Employment]]</f>
        <v>1</v>
      </c>
      <c r="P103" s="217">
        <f ca="1">TblImps[[#This Row],[Population]]</f>
        <v>1</v>
      </c>
      <c r="Q103" s="175">
        <f ca="1">TblExplore[[#This Row],[Land]]</f>
        <v>50</v>
      </c>
      <c r="R103" s="175">
        <f>TblExplore[[#This Row],[Hour]]</f>
        <v>100</v>
      </c>
      <c r="S103" s="218"/>
      <c r="T103" s="158"/>
      <c r="U103" s="179"/>
      <c r="V103" s="179"/>
      <c r="W103" s="179"/>
      <c r="X103" s="179"/>
      <c r="Y103" s="179"/>
      <c r="Z103" s="179"/>
      <c r="AA103" s="159">
        <f ca="1">TblImps[[#This Row],[Real time]]</f>
        <v>46324.12499999976</v>
      </c>
      <c r="AB103" s="94">
        <f ca="1">TblMili[[#This Row],[Draftees]]</f>
        <v>594</v>
      </c>
      <c r="AC103" s="94">
        <f ca="1">TblProd[[#This Row],[Platinum]]</f>
        <v>200105</v>
      </c>
      <c r="AD103" s="215"/>
      <c r="AE103" s="45">
        <f ca="1">TblExplore[[#This Row],[Land]]-TblExplore[[#This Row],[Land Bonus]]*20</f>
        <v>50</v>
      </c>
      <c r="AF103" s="94">
        <f ca="1">ROUND((0.6*TblExplore[[#This Row],[Land-DB]]^1.299 + IF(TblExplore[[#This Row],[Land-DB]]&lt;1520, (-0.001*(TblExplore[[#This Row],[Land-DB]]^2)+1.91*TblExplore[[#This Row],[Land-DB]]-593), 0))*(1+ tech_2_6*Techs!AC103 + tech_2_9*Techs!AF103 + tech_3_7*Techs!AN103 + Overview!$I$33),0)</f>
        <v>-403</v>
      </c>
      <c r="AG103" s="94">
        <f ca="1">_xlfn.FLOOR.MATH(TblExplore[[#This Row],[Land-DB]]/150)+3+tech_2_9_2*TblTech[[#This Row],[2-9]]+tech_3_7_2*TblTech[[#This Row],[3-7]]</f>
        <v>3</v>
      </c>
      <c r="AH103" s="94">
        <f ca="1">SUM(TblExplore[[#This Row],[Plains Explore]:[Water Explore]])*TblExplore[[#This Row],[Plat/acre]]</f>
        <v>0</v>
      </c>
      <c r="AI103" s="94">
        <f ca="1">SUM(TblExplore[[#This Row],[Plains Explore]:[Water Explore]])*TblExplore[[#This Row],[Draftees/acre]]</f>
        <v>0</v>
      </c>
      <c r="AJ103" s="45">
        <f ca="1">_xlfn.FLOOR.MATH(MIN(TblExplore[[#This Row],[Platinum]]/TblExplore[[#This Row],[Plat/acre]],TblExplore[[#This Row],[Draftees]]/TblExplore[[#This Row],[Draftees/acre]]))</f>
        <v>-497</v>
      </c>
    </row>
    <row r="104" spans="1:36" x14ac:dyDescent="0.2">
      <c r="A104" s="175">
        <f>TblRezone[[#This Row],[Hour]]</f>
        <v>101</v>
      </c>
      <c r="B104" s="214">
        <f ca="1">TblConstr[[#This Row],[Land]]</f>
        <v>50</v>
      </c>
      <c r="C104" s="215"/>
      <c r="D104" s="216">
        <f ca="1">TblConstr[[#This Row],[Plain]]</f>
        <v>0</v>
      </c>
      <c r="E104" s="182">
        <f ca="1">TblConstr[[#This Row],[Forest]]</f>
        <v>0</v>
      </c>
      <c r="F104" s="359">
        <f ca="1">TblConstr[[#This Row],[Mountain]]</f>
        <v>0</v>
      </c>
      <c r="G104" s="363">
        <f ca="1">TblConstr[[#This Row],[Hill]]</f>
        <v>0</v>
      </c>
      <c r="H104" s="367">
        <f ca="1">TblConstr[[#This Row],[Swamp]]</f>
        <v>0</v>
      </c>
      <c r="I104" s="185">
        <f ca="1">TblConstr[[#This Row],[Cavern]]</f>
        <v>0</v>
      </c>
      <c r="J104" s="186">
        <f ca="1">TblConstr[[#This Row],[Water]]</f>
        <v>0</v>
      </c>
      <c r="K104" s="210"/>
      <c r="L104" s="210"/>
      <c r="M104" s="223"/>
      <c r="N104" s="217">
        <f ca="1">TblMili[[#This Row],[Smithies]]</f>
        <v>0</v>
      </c>
      <c r="O104" s="217">
        <f ca="1">TblPop[[#This Row],[Employment]]</f>
        <v>1</v>
      </c>
      <c r="P104" s="217">
        <f ca="1">TblImps[[#This Row],[Population]]</f>
        <v>1</v>
      </c>
      <c r="Q104" s="175">
        <f ca="1">TblExplore[[#This Row],[Land]]</f>
        <v>50</v>
      </c>
      <c r="R104" s="175">
        <f>TblExplore[[#This Row],[Hour]]</f>
        <v>101</v>
      </c>
      <c r="S104" s="218"/>
      <c r="T104" s="158"/>
      <c r="U104" s="179"/>
      <c r="V104" s="179"/>
      <c r="W104" s="179"/>
      <c r="X104" s="179"/>
      <c r="Y104" s="179"/>
      <c r="Z104" s="179"/>
      <c r="AA104" s="159">
        <f ca="1">TblImps[[#This Row],[Real time]]</f>
        <v>46324.166666666424</v>
      </c>
      <c r="AB104" s="94">
        <f ca="1">TblMili[[#This Row],[Draftees]]</f>
        <v>596</v>
      </c>
      <c r="AC104" s="94">
        <f ca="1">TblProd[[#This Row],[Platinum]]</f>
        <v>200577</v>
      </c>
      <c r="AD104" s="215"/>
      <c r="AE104" s="45">
        <f ca="1">TblExplore[[#This Row],[Land]]-TblExplore[[#This Row],[Land Bonus]]*20</f>
        <v>50</v>
      </c>
      <c r="AF104" s="94">
        <f ca="1">ROUND((0.6*TblExplore[[#This Row],[Land-DB]]^1.299 + IF(TblExplore[[#This Row],[Land-DB]]&lt;1520, (-0.001*(TblExplore[[#This Row],[Land-DB]]^2)+1.91*TblExplore[[#This Row],[Land-DB]]-593), 0))*(1+ tech_2_6*Techs!AC104 + tech_2_9*Techs!AF104 + tech_3_7*Techs!AN104 + Overview!$I$33),0)</f>
        <v>-403</v>
      </c>
      <c r="AG104" s="94">
        <f ca="1">_xlfn.FLOOR.MATH(TblExplore[[#This Row],[Land-DB]]/150)+3+tech_2_9_2*TblTech[[#This Row],[2-9]]+tech_3_7_2*TblTech[[#This Row],[3-7]]</f>
        <v>3</v>
      </c>
      <c r="AH104" s="94">
        <f ca="1">SUM(TblExplore[[#This Row],[Plains Explore]:[Water Explore]])*TblExplore[[#This Row],[Plat/acre]]</f>
        <v>0</v>
      </c>
      <c r="AI104" s="94">
        <f ca="1">SUM(TblExplore[[#This Row],[Plains Explore]:[Water Explore]])*TblExplore[[#This Row],[Draftees/acre]]</f>
        <v>0</v>
      </c>
      <c r="AJ104" s="45">
        <f ca="1">_xlfn.FLOOR.MATH(MIN(TblExplore[[#This Row],[Platinum]]/TblExplore[[#This Row],[Plat/acre]],TblExplore[[#This Row],[Draftees]]/TblExplore[[#This Row],[Draftees/acre]]))</f>
        <v>-498</v>
      </c>
    </row>
    <row r="105" spans="1:36" x14ac:dyDescent="0.2">
      <c r="A105" s="175">
        <f>TblRezone[[#This Row],[Hour]]</f>
        <v>102</v>
      </c>
      <c r="B105" s="214">
        <f ca="1">TblConstr[[#This Row],[Land]]</f>
        <v>50</v>
      </c>
      <c r="C105" s="215"/>
      <c r="D105" s="216">
        <f ca="1">TblConstr[[#This Row],[Plain]]</f>
        <v>0</v>
      </c>
      <c r="E105" s="182">
        <f ca="1">TblConstr[[#This Row],[Forest]]</f>
        <v>0</v>
      </c>
      <c r="F105" s="359">
        <f ca="1">TblConstr[[#This Row],[Mountain]]</f>
        <v>0</v>
      </c>
      <c r="G105" s="363">
        <f ca="1">TblConstr[[#This Row],[Hill]]</f>
        <v>0</v>
      </c>
      <c r="H105" s="367">
        <f ca="1">TblConstr[[#This Row],[Swamp]]</f>
        <v>0</v>
      </c>
      <c r="I105" s="185">
        <f ca="1">TblConstr[[#This Row],[Cavern]]</f>
        <v>0</v>
      </c>
      <c r="J105" s="186">
        <f ca="1">TblConstr[[#This Row],[Water]]</f>
        <v>0</v>
      </c>
      <c r="K105" s="210"/>
      <c r="L105" s="210"/>
      <c r="M105" s="210"/>
      <c r="N105" s="217">
        <f ca="1">TblMili[[#This Row],[Smithies]]</f>
        <v>0</v>
      </c>
      <c r="O105" s="217">
        <f ca="1">TblPop[[#This Row],[Employment]]</f>
        <v>1</v>
      </c>
      <c r="P105" s="217">
        <f ca="1">TblImps[[#This Row],[Population]]</f>
        <v>1</v>
      </c>
      <c r="Q105" s="175">
        <f ca="1">TblExplore[[#This Row],[Land]]</f>
        <v>50</v>
      </c>
      <c r="R105" s="175">
        <f>TblExplore[[#This Row],[Hour]]</f>
        <v>102</v>
      </c>
      <c r="S105" s="218"/>
      <c r="T105" s="179"/>
      <c r="U105" s="179"/>
      <c r="V105" s="179"/>
      <c r="W105" s="179"/>
      <c r="X105" s="179"/>
      <c r="Y105" s="179"/>
      <c r="Z105" s="179"/>
      <c r="AA105" s="159">
        <f ca="1">TblImps[[#This Row],[Real time]]</f>
        <v>46324.208333333088</v>
      </c>
      <c r="AB105" s="94">
        <f ca="1">TblMili[[#This Row],[Draftees]]</f>
        <v>598</v>
      </c>
      <c r="AC105" s="94">
        <f ca="1">TblProd[[#This Row],[Platinum]]</f>
        <v>201044</v>
      </c>
      <c r="AD105" s="215"/>
      <c r="AE105" s="45">
        <f ca="1">TblExplore[[#This Row],[Land]]-TblExplore[[#This Row],[Land Bonus]]*20</f>
        <v>50</v>
      </c>
      <c r="AF105" s="94">
        <f ca="1">ROUND((0.6*TblExplore[[#This Row],[Land-DB]]^1.299 + IF(TblExplore[[#This Row],[Land-DB]]&lt;1520, (-0.001*(TblExplore[[#This Row],[Land-DB]]^2)+1.91*TblExplore[[#This Row],[Land-DB]]-593), 0))*(1+ tech_2_6*Techs!AC105 + tech_2_9*Techs!AF105 + tech_3_7*Techs!AN105 + Overview!$I$33),0)</f>
        <v>-403</v>
      </c>
      <c r="AG105" s="94">
        <f ca="1">_xlfn.FLOOR.MATH(TblExplore[[#This Row],[Land-DB]]/150)+3+tech_2_9_2*TblTech[[#This Row],[2-9]]+tech_3_7_2*TblTech[[#This Row],[3-7]]</f>
        <v>3</v>
      </c>
      <c r="AH105" s="94">
        <f ca="1">SUM(TblExplore[[#This Row],[Plains Explore]:[Water Explore]])*TblExplore[[#This Row],[Plat/acre]]</f>
        <v>0</v>
      </c>
      <c r="AI105" s="94">
        <f ca="1">SUM(TblExplore[[#This Row],[Plains Explore]:[Water Explore]])*TblExplore[[#This Row],[Draftees/acre]]</f>
        <v>0</v>
      </c>
      <c r="AJ105" s="45">
        <f ca="1">_xlfn.FLOOR.MATH(MIN(TblExplore[[#This Row],[Platinum]]/TblExplore[[#This Row],[Plat/acre]],TblExplore[[#This Row],[Draftees]]/TblExplore[[#This Row],[Draftees/acre]]))</f>
        <v>-499</v>
      </c>
    </row>
    <row r="106" spans="1:36" x14ac:dyDescent="0.2">
      <c r="A106" s="175">
        <f>TblRezone[[#This Row],[Hour]]</f>
        <v>103</v>
      </c>
      <c r="B106" s="214">
        <f ca="1">TblConstr[[#This Row],[Land]]</f>
        <v>50</v>
      </c>
      <c r="C106" s="215"/>
      <c r="D106" s="216">
        <f ca="1">TblConstr[[#This Row],[Plain]]</f>
        <v>0</v>
      </c>
      <c r="E106" s="182">
        <f ca="1">TblConstr[[#This Row],[Forest]]</f>
        <v>0</v>
      </c>
      <c r="F106" s="359">
        <f ca="1">TblConstr[[#This Row],[Mountain]]</f>
        <v>0</v>
      </c>
      <c r="G106" s="363">
        <f ca="1">TblConstr[[#This Row],[Hill]]</f>
        <v>0</v>
      </c>
      <c r="H106" s="367">
        <f ca="1">TblConstr[[#This Row],[Swamp]]</f>
        <v>0</v>
      </c>
      <c r="I106" s="185">
        <f ca="1">TblConstr[[#This Row],[Cavern]]</f>
        <v>0</v>
      </c>
      <c r="J106" s="186">
        <f ca="1">TblConstr[[#This Row],[Water]]</f>
        <v>0</v>
      </c>
      <c r="K106" s="210"/>
      <c r="L106" s="210"/>
      <c r="M106" s="227"/>
      <c r="N106" s="217">
        <f ca="1">TblMili[[#This Row],[Smithies]]</f>
        <v>0</v>
      </c>
      <c r="O106" s="217">
        <f ca="1">TblPop[[#This Row],[Employment]]</f>
        <v>1</v>
      </c>
      <c r="P106" s="217">
        <f ca="1">TblImps[[#This Row],[Population]]</f>
        <v>1</v>
      </c>
      <c r="Q106" s="175">
        <f ca="1">TblExplore[[#This Row],[Land]]</f>
        <v>50</v>
      </c>
      <c r="R106" s="175">
        <f>TblExplore[[#This Row],[Hour]]</f>
        <v>103</v>
      </c>
      <c r="S106" s="218"/>
      <c r="T106" s="179"/>
      <c r="U106" s="179"/>
      <c r="V106" s="179"/>
      <c r="W106" s="179"/>
      <c r="X106" s="179"/>
      <c r="Y106" s="179"/>
      <c r="Z106" s="179"/>
      <c r="AA106" s="159">
        <f ca="1">TblImps[[#This Row],[Real time]]</f>
        <v>46324.249999999753</v>
      </c>
      <c r="AB106" s="94">
        <f ca="1">TblMili[[#This Row],[Draftees]]</f>
        <v>600</v>
      </c>
      <c r="AC106" s="94">
        <f ca="1">TblProd[[#This Row],[Platinum]]</f>
        <v>201505</v>
      </c>
      <c r="AD106" s="215"/>
      <c r="AE106" s="45">
        <f ca="1">TblExplore[[#This Row],[Land]]-TblExplore[[#This Row],[Land Bonus]]*20</f>
        <v>50</v>
      </c>
      <c r="AF106" s="94">
        <f ca="1">ROUND((0.6*TblExplore[[#This Row],[Land-DB]]^1.299 + IF(TblExplore[[#This Row],[Land-DB]]&lt;1520, (-0.001*(TblExplore[[#This Row],[Land-DB]]^2)+1.91*TblExplore[[#This Row],[Land-DB]]-593), 0))*(1+ tech_2_6*Techs!AC106 + tech_2_9*Techs!AF106 + tech_3_7*Techs!AN106 + Overview!$I$33),0)</f>
        <v>-403</v>
      </c>
      <c r="AG106" s="94">
        <f ca="1">_xlfn.FLOOR.MATH(TblExplore[[#This Row],[Land-DB]]/150)+3+tech_2_9_2*TblTech[[#This Row],[2-9]]+tech_3_7_2*TblTech[[#This Row],[3-7]]</f>
        <v>3</v>
      </c>
      <c r="AH106" s="94">
        <f ca="1">SUM(TblExplore[[#This Row],[Plains Explore]:[Water Explore]])*TblExplore[[#This Row],[Plat/acre]]</f>
        <v>0</v>
      </c>
      <c r="AI106" s="94">
        <f ca="1">SUM(TblExplore[[#This Row],[Plains Explore]:[Water Explore]])*TblExplore[[#This Row],[Draftees/acre]]</f>
        <v>0</v>
      </c>
      <c r="AJ106" s="45">
        <f ca="1">_xlfn.FLOOR.MATH(MIN(TblExplore[[#This Row],[Platinum]]/TblExplore[[#This Row],[Plat/acre]],TblExplore[[#This Row],[Draftees]]/TblExplore[[#This Row],[Draftees/acre]]))</f>
        <v>-501</v>
      </c>
    </row>
    <row r="107" spans="1:36" x14ac:dyDescent="0.2">
      <c r="A107" s="175">
        <f>TblRezone[[#This Row],[Hour]]</f>
        <v>104</v>
      </c>
      <c r="B107" s="214">
        <f ca="1">TblConstr[[#This Row],[Land]]</f>
        <v>50</v>
      </c>
      <c r="C107" s="215"/>
      <c r="D107" s="216">
        <f ca="1">TblConstr[[#This Row],[Plain]]</f>
        <v>0</v>
      </c>
      <c r="E107" s="182">
        <f ca="1">TblConstr[[#This Row],[Forest]]</f>
        <v>0</v>
      </c>
      <c r="F107" s="359">
        <f ca="1">TblConstr[[#This Row],[Mountain]]</f>
        <v>0</v>
      </c>
      <c r="G107" s="363">
        <f ca="1">TblConstr[[#This Row],[Hill]]</f>
        <v>0</v>
      </c>
      <c r="H107" s="367">
        <f ca="1">TblConstr[[#This Row],[Swamp]]</f>
        <v>0</v>
      </c>
      <c r="I107" s="185">
        <f ca="1">TblConstr[[#This Row],[Cavern]]</f>
        <v>0</v>
      </c>
      <c r="J107" s="186">
        <f ca="1">TblConstr[[#This Row],[Water]]</f>
        <v>0</v>
      </c>
      <c r="K107" s="210"/>
      <c r="L107" s="210"/>
      <c r="M107" s="227"/>
      <c r="N107" s="217">
        <f ca="1">TblMili[[#This Row],[Smithies]]</f>
        <v>0</v>
      </c>
      <c r="O107" s="217">
        <f ca="1">TblPop[[#This Row],[Employment]]</f>
        <v>1</v>
      </c>
      <c r="P107" s="217">
        <f ca="1">TblImps[[#This Row],[Population]]</f>
        <v>1</v>
      </c>
      <c r="Q107" s="175">
        <f ca="1">TblExplore[[#This Row],[Land]]</f>
        <v>50</v>
      </c>
      <c r="R107" s="175">
        <f>TblExplore[[#This Row],[Hour]]</f>
        <v>104</v>
      </c>
      <c r="S107" s="218"/>
      <c r="T107" s="179"/>
      <c r="U107" s="179"/>
      <c r="V107" s="179"/>
      <c r="W107" s="179"/>
      <c r="X107" s="179"/>
      <c r="Y107" s="179"/>
      <c r="Z107" s="179"/>
      <c r="AA107" s="159">
        <f ca="1">TblImps[[#This Row],[Real time]]</f>
        <v>46324.291666666417</v>
      </c>
      <c r="AB107" s="94">
        <f ca="1">TblMili[[#This Row],[Draftees]]</f>
        <v>602</v>
      </c>
      <c r="AC107" s="94">
        <f ca="1">TblProd[[#This Row],[Platinum]]</f>
        <v>201961</v>
      </c>
      <c r="AD107" s="215"/>
      <c r="AE107" s="45">
        <f ca="1">TblExplore[[#This Row],[Land]]-TblExplore[[#This Row],[Land Bonus]]*20</f>
        <v>50</v>
      </c>
      <c r="AF107" s="94">
        <f ca="1">ROUND((0.6*TblExplore[[#This Row],[Land-DB]]^1.299 + IF(TblExplore[[#This Row],[Land-DB]]&lt;1520, (-0.001*(TblExplore[[#This Row],[Land-DB]]^2)+1.91*TblExplore[[#This Row],[Land-DB]]-593), 0))*(1+ tech_2_6*Techs!AC107 + tech_2_9*Techs!AF107 + tech_3_7*Techs!AN107 + Overview!$I$33),0)</f>
        <v>-403</v>
      </c>
      <c r="AG107" s="94">
        <f ca="1">_xlfn.FLOOR.MATH(TblExplore[[#This Row],[Land-DB]]/150)+3+tech_2_9_2*TblTech[[#This Row],[2-9]]+tech_3_7_2*TblTech[[#This Row],[3-7]]</f>
        <v>3</v>
      </c>
      <c r="AH107" s="94">
        <f ca="1">SUM(TblExplore[[#This Row],[Plains Explore]:[Water Explore]])*TblExplore[[#This Row],[Plat/acre]]</f>
        <v>0</v>
      </c>
      <c r="AI107" s="94">
        <f ca="1">SUM(TblExplore[[#This Row],[Plains Explore]:[Water Explore]])*TblExplore[[#This Row],[Draftees/acre]]</f>
        <v>0</v>
      </c>
      <c r="AJ107" s="45">
        <f ca="1">_xlfn.FLOOR.MATH(MIN(TblExplore[[#This Row],[Platinum]]/TblExplore[[#This Row],[Plat/acre]],TblExplore[[#This Row],[Draftees]]/TblExplore[[#This Row],[Draftees/acre]]))</f>
        <v>-502</v>
      </c>
    </row>
    <row r="108" spans="1:36" x14ac:dyDescent="0.2">
      <c r="A108" s="175">
        <f>TblRezone[[#This Row],[Hour]]</f>
        <v>105</v>
      </c>
      <c r="B108" s="214">
        <f ca="1">TblConstr[[#This Row],[Land]]</f>
        <v>50</v>
      </c>
      <c r="C108" s="215"/>
      <c r="D108" s="216">
        <f ca="1">TblConstr[[#This Row],[Plain]]</f>
        <v>0</v>
      </c>
      <c r="E108" s="182">
        <f ca="1">TblConstr[[#This Row],[Forest]]</f>
        <v>0</v>
      </c>
      <c r="F108" s="359">
        <f ca="1">TblConstr[[#This Row],[Mountain]]</f>
        <v>0</v>
      </c>
      <c r="G108" s="363">
        <f ca="1">TblConstr[[#This Row],[Hill]]</f>
        <v>0</v>
      </c>
      <c r="H108" s="367">
        <f ca="1">TblConstr[[#This Row],[Swamp]]</f>
        <v>0</v>
      </c>
      <c r="I108" s="185">
        <f ca="1">TblConstr[[#This Row],[Cavern]]</f>
        <v>0</v>
      </c>
      <c r="J108" s="186">
        <f ca="1">TblConstr[[#This Row],[Water]]</f>
        <v>0</v>
      </c>
      <c r="K108" s="210"/>
      <c r="L108" s="210"/>
      <c r="M108" s="210"/>
      <c r="N108" s="217">
        <f ca="1">TblMili[[#This Row],[Smithies]]</f>
        <v>0</v>
      </c>
      <c r="O108" s="217">
        <f ca="1">TblPop[[#This Row],[Employment]]</f>
        <v>1</v>
      </c>
      <c r="P108" s="217">
        <f ca="1">TblImps[[#This Row],[Population]]</f>
        <v>1</v>
      </c>
      <c r="Q108" s="175">
        <f ca="1">TblExplore[[#This Row],[Land]]</f>
        <v>50</v>
      </c>
      <c r="R108" s="175">
        <f>TblExplore[[#This Row],[Hour]]</f>
        <v>105</v>
      </c>
      <c r="S108" s="218"/>
      <c r="T108" s="179"/>
      <c r="U108" s="179"/>
      <c r="V108" s="179"/>
      <c r="W108" s="179"/>
      <c r="X108" s="179"/>
      <c r="Y108" s="179"/>
      <c r="Z108" s="179"/>
      <c r="AA108" s="159">
        <f ca="1">TblImps[[#This Row],[Real time]]</f>
        <v>46324.333333333081</v>
      </c>
      <c r="AB108" s="94">
        <f ca="1">TblMili[[#This Row],[Draftees]]</f>
        <v>604</v>
      </c>
      <c r="AC108" s="94">
        <f ca="1">TblProd[[#This Row],[Platinum]]</f>
        <v>202411</v>
      </c>
      <c r="AD108" s="215"/>
      <c r="AE108" s="45">
        <f ca="1">TblExplore[[#This Row],[Land]]-TblExplore[[#This Row],[Land Bonus]]*20</f>
        <v>50</v>
      </c>
      <c r="AF108" s="94">
        <f ca="1">ROUND((0.6*TblExplore[[#This Row],[Land-DB]]^1.299 + IF(TblExplore[[#This Row],[Land-DB]]&lt;1520, (-0.001*(TblExplore[[#This Row],[Land-DB]]^2)+1.91*TblExplore[[#This Row],[Land-DB]]-593), 0))*(1+ tech_2_6*Techs!AC108 + tech_2_9*Techs!AF108 + tech_3_7*Techs!AN108 + Overview!$I$33),0)</f>
        <v>-403</v>
      </c>
      <c r="AG108" s="94">
        <f ca="1">_xlfn.FLOOR.MATH(TblExplore[[#This Row],[Land-DB]]/150)+3+tech_2_9_2*TblTech[[#This Row],[2-9]]+tech_3_7_2*TblTech[[#This Row],[3-7]]</f>
        <v>3</v>
      </c>
      <c r="AH108" s="94">
        <f ca="1">SUM(TblExplore[[#This Row],[Plains Explore]:[Water Explore]])*TblExplore[[#This Row],[Plat/acre]]</f>
        <v>0</v>
      </c>
      <c r="AI108" s="94">
        <f ca="1">SUM(TblExplore[[#This Row],[Plains Explore]:[Water Explore]])*TblExplore[[#This Row],[Draftees/acre]]</f>
        <v>0</v>
      </c>
      <c r="AJ108" s="45">
        <f ca="1">_xlfn.FLOOR.MATH(MIN(TblExplore[[#This Row],[Platinum]]/TblExplore[[#This Row],[Plat/acre]],TblExplore[[#This Row],[Draftees]]/TblExplore[[#This Row],[Draftees/acre]]))</f>
        <v>-503</v>
      </c>
    </row>
    <row r="109" spans="1:36" x14ac:dyDescent="0.2">
      <c r="A109" s="175">
        <f>TblRezone[[#This Row],[Hour]]</f>
        <v>106</v>
      </c>
      <c r="B109" s="214">
        <f ca="1">TblConstr[[#This Row],[Land]]</f>
        <v>50</v>
      </c>
      <c r="C109" s="215"/>
      <c r="D109" s="216">
        <f ca="1">TblConstr[[#This Row],[Plain]]</f>
        <v>0</v>
      </c>
      <c r="E109" s="182">
        <f ca="1">TblConstr[[#This Row],[Forest]]</f>
        <v>0</v>
      </c>
      <c r="F109" s="359">
        <f ca="1">TblConstr[[#This Row],[Mountain]]</f>
        <v>0</v>
      </c>
      <c r="G109" s="363">
        <f ca="1">TblConstr[[#This Row],[Hill]]</f>
        <v>0</v>
      </c>
      <c r="H109" s="367">
        <f ca="1">TblConstr[[#This Row],[Swamp]]</f>
        <v>0</v>
      </c>
      <c r="I109" s="185">
        <f ca="1">TblConstr[[#This Row],[Cavern]]</f>
        <v>0</v>
      </c>
      <c r="J109" s="186">
        <f ca="1">TblConstr[[#This Row],[Water]]</f>
        <v>0</v>
      </c>
      <c r="K109" s="210"/>
      <c r="L109" s="210"/>
      <c r="M109" s="210"/>
      <c r="N109" s="217">
        <f ca="1">TblMili[[#This Row],[Smithies]]</f>
        <v>0</v>
      </c>
      <c r="O109" s="217">
        <f ca="1">TblPop[[#This Row],[Employment]]</f>
        <v>1</v>
      </c>
      <c r="P109" s="217">
        <f ca="1">TblImps[[#This Row],[Population]]</f>
        <v>1</v>
      </c>
      <c r="Q109" s="175">
        <f ca="1">TblExplore[[#This Row],[Land]]</f>
        <v>50</v>
      </c>
      <c r="R109" s="175">
        <f>TblExplore[[#This Row],[Hour]]</f>
        <v>106</v>
      </c>
      <c r="S109" s="218"/>
      <c r="T109" s="179"/>
      <c r="U109" s="179"/>
      <c r="V109" s="179"/>
      <c r="W109" s="179"/>
      <c r="X109" s="179"/>
      <c r="Y109" s="179"/>
      <c r="Z109" s="179"/>
      <c r="AA109" s="159">
        <f ca="1">TblImps[[#This Row],[Real time]]</f>
        <v>46324.374999999745</v>
      </c>
      <c r="AB109" s="94">
        <f ca="1">TblMili[[#This Row],[Draftees]]</f>
        <v>606</v>
      </c>
      <c r="AC109" s="94">
        <f ca="1">TblProd[[#This Row],[Platinum]]</f>
        <v>202856</v>
      </c>
      <c r="AD109" s="215"/>
      <c r="AE109" s="45">
        <f ca="1">TblExplore[[#This Row],[Land]]-TblExplore[[#This Row],[Land Bonus]]*20</f>
        <v>50</v>
      </c>
      <c r="AF109" s="94">
        <f ca="1">ROUND((0.6*TblExplore[[#This Row],[Land-DB]]^1.299 + IF(TblExplore[[#This Row],[Land-DB]]&lt;1520, (-0.001*(TblExplore[[#This Row],[Land-DB]]^2)+1.91*TblExplore[[#This Row],[Land-DB]]-593), 0))*(1+ tech_2_6*Techs!AC109 + tech_2_9*Techs!AF109 + tech_3_7*Techs!AN109 + Overview!$I$33),0)</f>
        <v>-403</v>
      </c>
      <c r="AG109" s="94">
        <f ca="1">_xlfn.FLOOR.MATH(TblExplore[[#This Row],[Land-DB]]/150)+3+tech_2_9_2*TblTech[[#This Row],[2-9]]+tech_3_7_2*TblTech[[#This Row],[3-7]]</f>
        <v>3</v>
      </c>
      <c r="AH109" s="94">
        <f ca="1">SUM(TblExplore[[#This Row],[Plains Explore]:[Water Explore]])*TblExplore[[#This Row],[Plat/acre]]</f>
        <v>0</v>
      </c>
      <c r="AI109" s="94">
        <f ca="1">SUM(TblExplore[[#This Row],[Plains Explore]:[Water Explore]])*TblExplore[[#This Row],[Draftees/acre]]</f>
        <v>0</v>
      </c>
      <c r="AJ109" s="45">
        <f ca="1">_xlfn.FLOOR.MATH(MIN(TblExplore[[#This Row],[Platinum]]/TblExplore[[#This Row],[Plat/acre]],TblExplore[[#This Row],[Draftees]]/TblExplore[[#This Row],[Draftees/acre]]))</f>
        <v>-504</v>
      </c>
    </row>
    <row r="110" spans="1:36" x14ac:dyDescent="0.2">
      <c r="A110" s="175">
        <f>TblRezone[[#This Row],[Hour]]</f>
        <v>107</v>
      </c>
      <c r="B110" s="214">
        <f ca="1">TblConstr[[#This Row],[Land]]</f>
        <v>50</v>
      </c>
      <c r="C110" s="215"/>
      <c r="D110" s="216">
        <f ca="1">TblConstr[[#This Row],[Plain]]</f>
        <v>0</v>
      </c>
      <c r="E110" s="182">
        <f ca="1">TblConstr[[#This Row],[Forest]]</f>
        <v>0</v>
      </c>
      <c r="F110" s="359">
        <f ca="1">TblConstr[[#This Row],[Mountain]]</f>
        <v>0</v>
      </c>
      <c r="G110" s="363">
        <f ca="1">TblConstr[[#This Row],[Hill]]</f>
        <v>0</v>
      </c>
      <c r="H110" s="367">
        <f ca="1">TblConstr[[#This Row],[Swamp]]</f>
        <v>0</v>
      </c>
      <c r="I110" s="185">
        <f ca="1">TblConstr[[#This Row],[Cavern]]</f>
        <v>0</v>
      </c>
      <c r="J110" s="186">
        <f ca="1">TblConstr[[#This Row],[Water]]</f>
        <v>0</v>
      </c>
      <c r="K110" s="210"/>
      <c r="L110" s="210"/>
      <c r="M110" s="210"/>
      <c r="N110" s="217">
        <f ca="1">TblMili[[#This Row],[Smithies]]</f>
        <v>0</v>
      </c>
      <c r="O110" s="217">
        <f ca="1">TblPop[[#This Row],[Employment]]</f>
        <v>1</v>
      </c>
      <c r="P110" s="217">
        <f ca="1">TblImps[[#This Row],[Population]]</f>
        <v>1</v>
      </c>
      <c r="Q110" s="175">
        <f ca="1">TblExplore[[#This Row],[Land]]</f>
        <v>50</v>
      </c>
      <c r="R110" s="175">
        <f>TblExplore[[#This Row],[Hour]]</f>
        <v>107</v>
      </c>
      <c r="S110" s="218"/>
      <c r="T110" s="158"/>
      <c r="U110" s="179"/>
      <c r="V110" s="179"/>
      <c r="W110" s="179"/>
      <c r="X110" s="179"/>
      <c r="Y110" s="179"/>
      <c r="Z110" s="179"/>
      <c r="AA110" s="159">
        <f ca="1">TblImps[[#This Row],[Real time]]</f>
        <v>46324.41666666641</v>
      </c>
      <c r="AB110" s="94">
        <f ca="1">TblMili[[#This Row],[Draftees]]</f>
        <v>608</v>
      </c>
      <c r="AC110" s="94">
        <f ca="1">TblProd[[#This Row],[Platinum]]</f>
        <v>203296</v>
      </c>
      <c r="AD110" s="215"/>
      <c r="AE110" s="45">
        <f ca="1">TblExplore[[#This Row],[Land]]-TblExplore[[#This Row],[Land Bonus]]*20</f>
        <v>50</v>
      </c>
      <c r="AF110" s="94">
        <f ca="1">ROUND((0.6*TblExplore[[#This Row],[Land-DB]]^1.299 + IF(TblExplore[[#This Row],[Land-DB]]&lt;1520, (-0.001*(TblExplore[[#This Row],[Land-DB]]^2)+1.91*TblExplore[[#This Row],[Land-DB]]-593), 0))*(1+ tech_2_6*Techs!AC110 + tech_2_9*Techs!AF110 + tech_3_7*Techs!AN110 + Overview!$I$33),0)</f>
        <v>-403</v>
      </c>
      <c r="AG110" s="94">
        <f ca="1">_xlfn.FLOOR.MATH(TblExplore[[#This Row],[Land-DB]]/150)+3+tech_2_9_2*TblTech[[#This Row],[2-9]]+tech_3_7_2*TblTech[[#This Row],[3-7]]</f>
        <v>3</v>
      </c>
      <c r="AH110" s="94">
        <f ca="1">SUM(TblExplore[[#This Row],[Plains Explore]:[Water Explore]])*TblExplore[[#This Row],[Plat/acre]]</f>
        <v>0</v>
      </c>
      <c r="AI110" s="94">
        <f ca="1">SUM(TblExplore[[#This Row],[Plains Explore]:[Water Explore]])*TblExplore[[#This Row],[Draftees/acre]]</f>
        <v>0</v>
      </c>
      <c r="AJ110" s="45">
        <f ca="1">_xlfn.FLOOR.MATH(MIN(TblExplore[[#This Row],[Platinum]]/TblExplore[[#This Row],[Plat/acre]],TblExplore[[#This Row],[Draftees]]/TblExplore[[#This Row],[Draftees/acre]]))</f>
        <v>-505</v>
      </c>
    </row>
    <row r="111" spans="1:36" x14ac:dyDescent="0.2">
      <c r="A111" s="175">
        <f>TblRezone[[#This Row],[Hour]]</f>
        <v>108</v>
      </c>
      <c r="B111" s="214">
        <f ca="1">TblConstr[[#This Row],[Land]]</f>
        <v>50</v>
      </c>
      <c r="C111" s="215"/>
      <c r="D111" s="216">
        <f ca="1">TblConstr[[#This Row],[Plain]]</f>
        <v>0</v>
      </c>
      <c r="E111" s="182">
        <f ca="1">TblConstr[[#This Row],[Forest]]</f>
        <v>0</v>
      </c>
      <c r="F111" s="359">
        <f ca="1">TblConstr[[#This Row],[Mountain]]</f>
        <v>0</v>
      </c>
      <c r="G111" s="363">
        <f ca="1">TblConstr[[#This Row],[Hill]]</f>
        <v>0</v>
      </c>
      <c r="H111" s="367">
        <f ca="1">TblConstr[[#This Row],[Swamp]]</f>
        <v>0</v>
      </c>
      <c r="I111" s="185">
        <f ca="1">TblConstr[[#This Row],[Cavern]]</f>
        <v>0</v>
      </c>
      <c r="J111" s="186">
        <f ca="1">TblConstr[[#This Row],[Water]]</f>
        <v>0</v>
      </c>
      <c r="K111" s="210"/>
      <c r="L111" s="210"/>
      <c r="M111" s="210"/>
      <c r="N111" s="217">
        <f ca="1">TblMili[[#This Row],[Smithies]]</f>
        <v>0</v>
      </c>
      <c r="O111" s="217">
        <f ca="1">TblPop[[#This Row],[Employment]]</f>
        <v>1</v>
      </c>
      <c r="P111" s="217">
        <f ca="1">TblImps[[#This Row],[Population]]</f>
        <v>1</v>
      </c>
      <c r="Q111" s="175">
        <f ca="1">TblExplore[[#This Row],[Land]]</f>
        <v>50</v>
      </c>
      <c r="R111" s="175">
        <f>TblExplore[[#This Row],[Hour]]</f>
        <v>108</v>
      </c>
      <c r="S111" s="218"/>
      <c r="T111" s="179"/>
      <c r="U111" s="179"/>
      <c r="V111" s="179"/>
      <c r="W111" s="179"/>
      <c r="X111" s="179"/>
      <c r="Y111" s="179"/>
      <c r="Z111" s="179"/>
      <c r="AA111" s="159">
        <f ca="1">TblImps[[#This Row],[Real time]]</f>
        <v>46324.458333333074</v>
      </c>
      <c r="AB111" s="94">
        <f ca="1">TblMili[[#This Row],[Draftees]]</f>
        <v>610</v>
      </c>
      <c r="AC111" s="94">
        <f ca="1">TblProd[[#This Row],[Platinum]]</f>
        <v>203730</v>
      </c>
      <c r="AD111" s="215"/>
      <c r="AE111" s="45">
        <f ca="1">TblExplore[[#This Row],[Land]]-TblExplore[[#This Row],[Land Bonus]]*20</f>
        <v>50</v>
      </c>
      <c r="AF111" s="94">
        <f ca="1">ROUND((0.6*TblExplore[[#This Row],[Land-DB]]^1.299 + IF(TblExplore[[#This Row],[Land-DB]]&lt;1520, (-0.001*(TblExplore[[#This Row],[Land-DB]]^2)+1.91*TblExplore[[#This Row],[Land-DB]]-593), 0))*(1+ tech_2_6*Techs!AC111 + tech_2_9*Techs!AF111 + tech_3_7*Techs!AN111 + Overview!$I$33),0)</f>
        <v>-403</v>
      </c>
      <c r="AG111" s="94">
        <f ca="1">_xlfn.FLOOR.MATH(TblExplore[[#This Row],[Land-DB]]/150)+3+tech_2_9_2*TblTech[[#This Row],[2-9]]+tech_3_7_2*TblTech[[#This Row],[3-7]]</f>
        <v>3</v>
      </c>
      <c r="AH111" s="94">
        <f ca="1">SUM(TblExplore[[#This Row],[Plains Explore]:[Water Explore]])*TblExplore[[#This Row],[Plat/acre]]</f>
        <v>0</v>
      </c>
      <c r="AI111" s="94">
        <f ca="1">SUM(TblExplore[[#This Row],[Plains Explore]:[Water Explore]])*TblExplore[[#This Row],[Draftees/acre]]</f>
        <v>0</v>
      </c>
      <c r="AJ111" s="45">
        <f ca="1">_xlfn.FLOOR.MATH(MIN(TblExplore[[#This Row],[Platinum]]/TblExplore[[#This Row],[Plat/acre]],TblExplore[[#This Row],[Draftees]]/TblExplore[[#This Row],[Draftees/acre]]))</f>
        <v>-506</v>
      </c>
    </row>
    <row r="112" spans="1:36" ht="12.75" customHeight="1" x14ac:dyDescent="0.2">
      <c r="A112" s="175">
        <f>TblRezone[[#This Row],[Hour]]</f>
        <v>109</v>
      </c>
      <c r="B112" s="214">
        <f ca="1">TblConstr[[#This Row],[Land]]</f>
        <v>50</v>
      </c>
      <c r="C112" s="215"/>
      <c r="D112" s="216">
        <f ca="1">TblConstr[[#This Row],[Plain]]</f>
        <v>0</v>
      </c>
      <c r="E112" s="182">
        <f ca="1">TblConstr[[#This Row],[Forest]]</f>
        <v>0</v>
      </c>
      <c r="F112" s="359">
        <f ca="1">TblConstr[[#This Row],[Mountain]]</f>
        <v>0</v>
      </c>
      <c r="G112" s="363">
        <f ca="1">TblConstr[[#This Row],[Hill]]</f>
        <v>0</v>
      </c>
      <c r="H112" s="367">
        <f ca="1">TblConstr[[#This Row],[Swamp]]</f>
        <v>0</v>
      </c>
      <c r="I112" s="185">
        <f ca="1">TblConstr[[#This Row],[Cavern]]</f>
        <v>0</v>
      </c>
      <c r="J112" s="186">
        <f ca="1">TblConstr[[#This Row],[Water]]</f>
        <v>0</v>
      </c>
      <c r="K112" s="210"/>
      <c r="L112" s="210"/>
      <c r="M112" s="210"/>
      <c r="N112" s="217">
        <f ca="1">TblMili[[#This Row],[Smithies]]</f>
        <v>0</v>
      </c>
      <c r="O112" s="217">
        <f ca="1">TblPop[[#This Row],[Employment]]</f>
        <v>1</v>
      </c>
      <c r="P112" s="217">
        <f ca="1">TblImps[[#This Row],[Population]]</f>
        <v>1</v>
      </c>
      <c r="Q112" s="175">
        <f ca="1">TblExplore[[#This Row],[Land]]</f>
        <v>50</v>
      </c>
      <c r="R112" s="175">
        <f>TblExplore[[#This Row],[Hour]]</f>
        <v>109</v>
      </c>
      <c r="S112" s="218"/>
      <c r="T112" s="179"/>
      <c r="U112" s="179"/>
      <c r="V112" s="179"/>
      <c r="W112" s="179"/>
      <c r="X112" s="179"/>
      <c r="Y112" s="179"/>
      <c r="Z112" s="179"/>
      <c r="AA112" s="159">
        <f ca="1">TblImps[[#This Row],[Real time]]</f>
        <v>46324.499999999738</v>
      </c>
      <c r="AB112" s="94">
        <f ca="1">TblMili[[#This Row],[Draftees]]</f>
        <v>612</v>
      </c>
      <c r="AC112" s="94">
        <f ca="1">TblProd[[#This Row],[Platinum]]</f>
        <v>204159</v>
      </c>
      <c r="AD112" s="215"/>
      <c r="AE112" s="45">
        <f ca="1">TblExplore[[#This Row],[Land]]-TblExplore[[#This Row],[Land Bonus]]*20</f>
        <v>50</v>
      </c>
      <c r="AF112" s="94">
        <f ca="1">ROUND((0.6*TblExplore[[#This Row],[Land-DB]]^1.299 + IF(TblExplore[[#This Row],[Land-DB]]&lt;1520, (-0.001*(TblExplore[[#This Row],[Land-DB]]^2)+1.91*TblExplore[[#This Row],[Land-DB]]-593), 0))*(1+ tech_2_6*Techs!AC112 + tech_2_9*Techs!AF112 + tech_3_7*Techs!AN112 + Overview!$I$33),0)</f>
        <v>-403</v>
      </c>
      <c r="AG112" s="94">
        <f ca="1">_xlfn.FLOOR.MATH(TblExplore[[#This Row],[Land-DB]]/150)+3+tech_2_9_2*TblTech[[#This Row],[2-9]]+tech_3_7_2*TblTech[[#This Row],[3-7]]</f>
        <v>3</v>
      </c>
      <c r="AH112" s="94">
        <f ca="1">SUM(TblExplore[[#This Row],[Plains Explore]:[Water Explore]])*TblExplore[[#This Row],[Plat/acre]]</f>
        <v>0</v>
      </c>
      <c r="AI112" s="94">
        <f ca="1">SUM(TblExplore[[#This Row],[Plains Explore]:[Water Explore]])*TblExplore[[#This Row],[Draftees/acre]]</f>
        <v>0</v>
      </c>
      <c r="AJ112" s="45">
        <f ca="1">_xlfn.FLOOR.MATH(MIN(TblExplore[[#This Row],[Platinum]]/TblExplore[[#This Row],[Plat/acre]],TblExplore[[#This Row],[Draftees]]/TblExplore[[#This Row],[Draftees/acre]]))</f>
        <v>-507</v>
      </c>
    </row>
    <row r="113" spans="1:36" x14ac:dyDescent="0.2">
      <c r="A113" s="175">
        <f>TblRezone[[#This Row],[Hour]]</f>
        <v>110</v>
      </c>
      <c r="B113" s="214">
        <f ca="1">TblConstr[[#This Row],[Land]]</f>
        <v>50</v>
      </c>
      <c r="C113" s="215"/>
      <c r="D113" s="216">
        <f ca="1">TblConstr[[#This Row],[Plain]]</f>
        <v>0</v>
      </c>
      <c r="E113" s="182">
        <f ca="1">TblConstr[[#This Row],[Forest]]</f>
        <v>0</v>
      </c>
      <c r="F113" s="359">
        <f ca="1">TblConstr[[#This Row],[Mountain]]</f>
        <v>0</v>
      </c>
      <c r="G113" s="363">
        <f ca="1">TblConstr[[#This Row],[Hill]]</f>
        <v>0</v>
      </c>
      <c r="H113" s="367">
        <f ca="1">TblConstr[[#This Row],[Swamp]]</f>
        <v>0</v>
      </c>
      <c r="I113" s="185">
        <f ca="1">TblConstr[[#This Row],[Cavern]]</f>
        <v>0</v>
      </c>
      <c r="J113" s="186">
        <f ca="1">TblConstr[[#This Row],[Water]]</f>
        <v>0</v>
      </c>
      <c r="K113" s="210"/>
      <c r="L113" s="210"/>
      <c r="M113" s="210"/>
      <c r="N113" s="217">
        <f ca="1">TblMili[[#This Row],[Smithies]]</f>
        <v>0</v>
      </c>
      <c r="O113" s="217">
        <f ca="1">TblPop[[#This Row],[Employment]]</f>
        <v>1</v>
      </c>
      <c r="P113" s="217">
        <f ca="1">TblImps[[#This Row],[Population]]</f>
        <v>1</v>
      </c>
      <c r="Q113" s="175">
        <f ca="1">TblExplore[[#This Row],[Land]]</f>
        <v>50</v>
      </c>
      <c r="R113" s="175">
        <f>TblExplore[[#This Row],[Hour]]</f>
        <v>110</v>
      </c>
      <c r="S113" s="218"/>
      <c r="T113" s="179"/>
      <c r="U113" s="179"/>
      <c r="V113" s="179"/>
      <c r="W113" s="179"/>
      <c r="X113" s="179"/>
      <c r="Y113" s="179"/>
      <c r="Z113" s="179"/>
      <c r="AA113" s="159">
        <f ca="1">TblImps[[#This Row],[Real time]]</f>
        <v>46324.541666666402</v>
      </c>
      <c r="AB113" s="94">
        <f ca="1">TblMili[[#This Row],[Draftees]]</f>
        <v>614</v>
      </c>
      <c r="AC113" s="94">
        <f ca="1">TblProd[[#This Row],[Platinum]]</f>
        <v>204582</v>
      </c>
      <c r="AD113" s="215"/>
      <c r="AE113" s="45">
        <f ca="1">TblExplore[[#This Row],[Land]]-TblExplore[[#This Row],[Land Bonus]]*20</f>
        <v>50</v>
      </c>
      <c r="AF113" s="94">
        <f ca="1">ROUND((0.6*TblExplore[[#This Row],[Land-DB]]^1.299 + IF(TblExplore[[#This Row],[Land-DB]]&lt;1520, (-0.001*(TblExplore[[#This Row],[Land-DB]]^2)+1.91*TblExplore[[#This Row],[Land-DB]]-593), 0))*(1+ tech_2_6*Techs!AC113 + tech_2_9*Techs!AF113 + tech_3_7*Techs!AN113 + Overview!$I$33),0)</f>
        <v>-403</v>
      </c>
      <c r="AG113" s="94">
        <f ca="1">_xlfn.FLOOR.MATH(TblExplore[[#This Row],[Land-DB]]/150)+3+tech_2_9_2*TblTech[[#This Row],[2-9]]+tech_3_7_2*TblTech[[#This Row],[3-7]]</f>
        <v>3</v>
      </c>
      <c r="AH113" s="94">
        <f ca="1">SUM(TblExplore[[#This Row],[Plains Explore]:[Water Explore]])*TblExplore[[#This Row],[Plat/acre]]</f>
        <v>0</v>
      </c>
      <c r="AI113" s="94">
        <f ca="1">SUM(TblExplore[[#This Row],[Plains Explore]:[Water Explore]])*TblExplore[[#This Row],[Draftees/acre]]</f>
        <v>0</v>
      </c>
      <c r="AJ113" s="45">
        <f ca="1">_xlfn.FLOOR.MATH(MIN(TblExplore[[#This Row],[Platinum]]/TblExplore[[#This Row],[Plat/acre]],TblExplore[[#This Row],[Draftees]]/TblExplore[[#This Row],[Draftees/acre]]))</f>
        <v>-508</v>
      </c>
    </row>
    <row r="114" spans="1:36" x14ac:dyDescent="0.2">
      <c r="A114" s="175">
        <f>TblRezone[[#This Row],[Hour]]</f>
        <v>111</v>
      </c>
      <c r="B114" s="214">
        <f ca="1">TblConstr[[#This Row],[Land]]</f>
        <v>50</v>
      </c>
      <c r="C114" s="215"/>
      <c r="D114" s="216">
        <f ca="1">TblConstr[[#This Row],[Plain]]</f>
        <v>0</v>
      </c>
      <c r="E114" s="182">
        <f ca="1">TblConstr[[#This Row],[Forest]]</f>
        <v>0</v>
      </c>
      <c r="F114" s="359">
        <f ca="1">TblConstr[[#This Row],[Mountain]]</f>
        <v>0</v>
      </c>
      <c r="G114" s="363">
        <f ca="1">TblConstr[[#This Row],[Hill]]</f>
        <v>0</v>
      </c>
      <c r="H114" s="367">
        <f ca="1">TblConstr[[#This Row],[Swamp]]</f>
        <v>0</v>
      </c>
      <c r="I114" s="185">
        <f ca="1">TblConstr[[#This Row],[Cavern]]</f>
        <v>0</v>
      </c>
      <c r="J114" s="186">
        <f ca="1">TblConstr[[#This Row],[Water]]</f>
        <v>0</v>
      </c>
      <c r="K114" s="210"/>
      <c r="L114" s="210"/>
      <c r="M114" s="210"/>
      <c r="N114" s="217">
        <f ca="1">TblMili[[#This Row],[Smithies]]</f>
        <v>0</v>
      </c>
      <c r="O114" s="217">
        <f ca="1">TblPop[[#This Row],[Employment]]</f>
        <v>1</v>
      </c>
      <c r="P114" s="217">
        <f ca="1">TblImps[[#This Row],[Population]]</f>
        <v>1</v>
      </c>
      <c r="Q114" s="175">
        <f ca="1">TblExplore[[#This Row],[Land]]</f>
        <v>50</v>
      </c>
      <c r="R114" s="175">
        <f>TblExplore[[#This Row],[Hour]]</f>
        <v>111</v>
      </c>
      <c r="S114" s="218"/>
      <c r="T114" s="179"/>
      <c r="U114" s="179"/>
      <c r="V114" s="179"/>
      <c r="W114" s="179"/>
      <c r="X114" s="179"/>
      <c r="Y114" s="179"/>
      <c r="Z114" s="179"/>
      <c r="AA114" s="159">
        <f ca="1">TblImps[[#This Row],[Real time]]</f>
        <v>46324.583333333067</v>
      </c>
      <c r="AB114" s="94">
        <f ca="1">TblMili[[#This Row],[Draftees]]</f>
        <v>616</v>
      </c>
      <c r="AC114" s="94">
        <f ca="1">TblProd[[#This Row],[Platinum]]</f>
        <v>205000</v>
      </c>
      <c r="AD114" s="215"/>
      <c r="AE114" s="45">
        <f ca="1">TblExplore[[#This Row],[Land]]-TblExplore[[#This Row],[Land Bonus]]*20</f>
        <v>50</v>
      </c>
      <c r="AF114" s="94">
        <f ca="1">ROUND((0.6*TblExplore[[#This Row],[Land-DB]]^1.299 + IF(TblExplore[[#This Row],[Land-DB]]&lt;1520, (-0.001*(TblExplore[[#This Row],[Land-DB]]^2)+1.91*TblExplore[[#This Row],[Land-DB]]-593), 0))*(1+ tech_2_6*Techs!AC114 + tech_2_9*Techs!AF114 + tech_3_7*Techs!AN114 + Overview!$I$33),0)</f>
        <v>-403</v>
      </c>
      <c r="AG114" s="94">
        <f ca="1">_xlfn.FLOOR.MATH(TblExplore[[#This Row],[Land-DB]]/150)+3+tech_2_9_2*TblTech[[#This Row],[2-9]]+tech_3_7_2*TblTech[[#This Row],[3-7]]</f>
        <v>3</v>
      </c>
      <c r="AH114" s="94">
        <f ca="1">SUM(TblExplore[[#This Row],[Plains Explore]:[Water Explore]])*TblExplore[[#This Row],[Plat/acre]]</f>
        <v>0</v>
      </c>
      <c r="AI114" s="94">
        <f ca="1">SUM(TblExplore[[#This Row],[Plains Explore]:[Water Explore]])*TblExplore[[#This Row],[Draftees/acre]]</f>
        <v>0</v>
      </c>
      <c r="AJ114" s="45">
        <f ca="1">_xlfn.FLOOR.MATH(MIN(TblExplore[[#This Row],[Platinum]]/TblExplore[[#This Row],[Plat/acre]],TblExplore[[#This Row],[Draftees]]/TblExplore[[#This Row],[Draftees/acre]]))</f>
        <v>-509</v>
      </c>
    </row>
    <row r="115" spans="1:36" x14ac:dyDescent="0.2">
      <c r="A115" s="175">
        <f>TblRezone[[#This Row],[Hour]]</f>
        <v>112</v>
      </c>
      <c r="B115" s="214">
        <f ca="1">TblConstr[[#This Row],[Land]]</f>
        <v>50</v>
      </c>
      <c r="C115" s="215"/>
      <c r="D115" s="216">
        <f ca="1">TblConstr[[#This Row],[Plain]]</f>
        <v>0</v>
      </c>
      <c r="E115" s="182">
        <f ca="1">TblConstr[[#This Row],[Forest]]</f>
        <v>0</v>
      </c>
      <c r="F115" s="359">
        <f ca="1">TblConstr[[#This Row],[Mountain]]</f>
        <v>0</v>
      </c>
      <c r="G115" s="363">
        <f ca="1">TblConstr[[#This Row],[Hill]]</f>
        <v>0</v>
      </c>
      <c r="H115" s="367">
        <f ca="1">TblConstr[[#This Row],[Swamp]]</f>
        <v>0</v>
      </c>
      <c r="I115" s="185">
        <f ca="1">TblConstr[[#This Row],[Cavern]]</f>
        <v>0</v>
      </c>
      <c r="J115" s="186">
        <f ca="1">TblConstr[[#This Row],[Water]]</f>
        <v>0</v>
      </c>
      <c r="K115" s="210"/>
      <c r="L115" s="210"/>
      <c r="M115" s="210"/>
      <c r="N115" s="217">
        <f ca="1">TblMili[[#This Row],[Smithies]]</f>
        <v>0</v>
      </c>
      <c r="O115" s="217">
        <f ca="1">TblPop[[#This Row],[Employment]]</f>
        <v>1</v>
      </c>
      <c r="P115" s="217">
        <f ca="1">TblImps[[#This Row],[Population]]</f>
        <v>1</v>
      </c>
      <c r="Q115" s="175">
        <f ca="1">TblExplore[[#This Row],[Land]]</f>
        <v>50</v>
      </c>
      <c r="R115" s="175">
        <f>TblExplore[[#This Row],[Hour]]</f>
        <v>112</v>
      </c>
      <c r="S115" s="218"/>
      <c r="T115" s="179"/>
      <c r="U115" s="179"/>
      <c r="V115" s="179"/>
      <c r="W115" s="179"/>
      <c r="X115" s="179"/>
      <c r="Y115" s="179"/>
      <c r="Z115" s="179"/>
      <c r="AA115" s="159">
        <f ca="1">TblImps[[#This Row],[Real time]]</f>
        <v>46324.624999999731</v>
      </c>
      <c r="AB115" s="94">
        <f ca="1">TblMili[[#This Row],[Draftees]]</f>
        <v>618</v>
      </c>
      <c r="AC115" s="94">
        <f ca="1">TblProd[[#This Row],[Platinum]]</f>
        <v>205413</v>
      </c>
      <c r="AD115" s="215"/>
      <c r="AE115" s="45">
        <f ca="1">TblExplore[[#This Row],[Land]]-TblExplore[[#This Row],[Land Bonus]]*20</f>
        <v>50</v>
      </c>
      <c r="AF115" s="94">
        <f ca="1">ROUND((0.6*TblExplore[[#This Row],[Land-DB]]^1.299 + IF(TblExplore[[#This Row],[Land-DB]]&lt;1520, (-0.001*(TblExplore[[#This Row],[Land-DB]]^2)+1.91*TblExplore[[#This Row],[Land-DB]]-593), 0))*(1+ tech_2_6*Techs!AC115 + tech_2_9*Techs!AF115 + tech_3_7*Techs!AN115 + Overview!$I$33),0)</f>
        <v>-403</v>
      </c>
      <c r="AG115" s="94">
        <f ca="1">_xlfn.FLOOR.MATH(TblExplore[[#This Row],[Land-DB]]/150)+3+tech_2_9_2*TblTech[[#This Row],[2-9]]+tech_3_7_2*TblTech[[#This Row],[3-7]]</f>
        <v>3</v>
      </c>
      <c r="AH115" s="94">
        <f ca="1">SUM(TblExplore[[#This Row],[Plains Explore]:[Water Explore]])*TblExplore[[#This Row],[Plat/acre]]</f>
        <v>0</v>
      </c>
      <c r="AI115" s="94">
        <f ca="1">SUM(TblExplore[[#This Row],[Plains Explore]:[Water Explore]])*TblExplore[[#This Row],[Draftees/acre]]</f>
        <v>0</v>
      </c>
      <c r="AJ115" s="45">
        <f ca="1">_xlfn.FLOOR.MATH(MIN(TblExplore[[#This Row],[Platinum]]/TblExplore[[#This Row],[Plat/acre]],TblExplore[[#This Row],[Draftees]]/TblExplore[[#This Row],[Draftees/acre]]))</f>
        <v>-510</v>
      </c>
    </row>
    <row r="116" spans="1:36" x14ac:dyDescent="0.2">
      <c r="A116" s="175">
        <f>TblRezone[[#This Row],[Hour]]</f>
        <v>113</v>
      </c>
      <c r="B116" s="214">
        <f ca="1">TblConstr[[#This Row],[Land]]</f>
        <v>50</v>
      </c>
      <c r="C116" s="215"/>
      <c r="D116" s="216">
        <f ca="1">TblConstr[[#This Row],[Plain]]</f>
        <v>0</v>
      </c>
      <c r="E116" s="182">
        <f ca="1">TblConstr[[#This Row],[Forest]]</f>
        <v>0</v>
      </c>
      <c r="F116" s="359">
        <f ca="1">TblConstr[[#This Row],[Mountain]]</f>
        <v>0</v>
      </c>
      <c r="G116" s="363">
        <f ca="1">TblConstr[[#This Row],[Hill]]</f>
        <v>0</v>
      </c>
      <c r="H116" s="367">
        <f ca="1">TblConstr[[#This Row],[Swamp]]</f>
        <v>0</v>
      </c>
      <c r="I116" s="185">
        <f ca="1">TblConstr[[#This Row],[Cavern]]</f>
        <v>0</v>
      </c>
      <c r="J116" s="186">
        <f ca="1">TblConstr[[#This Row],[Water]]</f>
        <v>0</v>
      </c>
      <c r="K116" s="210"/>
      <c r="L116" s="210"/>
      <c r="M116" s="210"/>
      <c r="N116" s="217">
        <f ca="1">TblMili[[#This Row],[Smithies]]</f>
        <v>0</v>
      </c>
      <c r="O116" s="217">
        <f ca="1">TblPop[[#This Row],[Employment]]</f>
        <v>1</v>
      </c>
      <c r="P116" s="217">
        <f ca="1">TblImps[[#This Row],[Population]]</f>
        <v>1</v>
      </c>
      <c r="Q116" s="175">
        <f ca="1">TblExplore[[#This Row],[Land]]</f>
        <v>50</v>
      </c>
      <c r="R116" s="175">
        <f>TblExplore[[#This Row],[Hour]]</f>
        <v>113</v>
      </c>
      <c r="S116" s="218"/>
      <c r="T116" s="179"/>
      <c r="U116" s="179"/>
      <c r="V116" s="179"/>
      <c r="W116" s="179"/>
      <c r="X116" s="179"/>
      <c r="Y116" s="179"/>
      <c r="Z116" s="179"/>
      <c r="AA116" s="159">
        <f ca="1">TblImps[[#This Row],[Real time]]</f>
        <v>46324.666666666395</v>
      </c>
      <c r="AB116" s="94">
        <f ca="1">TblMili[[#This Row],[Draftees]]</f>
        <v>620</v>
      </c>
      <c r="AC116" s="94">
        <f ca="1">TblProd[[#This Row],[Platinum]]</f>
        <v>205820</v>
      </c>
      <c r="AD116" s="215"/>
      <c r="AE116" s="45">
        <f ca="1">TblExplore[[#This Row],[Land]]-TblExplore[[#This Row],[Land Bonus]]*20</f>
        <v>50</v>
      </c>
      <c r="AF116" s="94">
        <f ca="1">ROUND((0.6*TblExplore[[#This Row],[Land-DB]]^1.299 + IF(TblExplore[[#This Row],[Land-DB]]&lt;1520, (-0.001*(TblExplore[[#This Row],[Land-DB]]^2)+1.91*TblExplore[[#This Row],[Land-DB]]-593), 0))*(1+ tech_2_6*Techs!AC116 + tech_2_9*Techs!AF116 + tech_3_7*Techs!AN116 + Overview!$I$33),0)</f>
        <v>-403</v>
      </c>
      <c r="AG116" s="94">
        <f ca="1">_xlfn.FLOOR.MATH(TblExplore[[#This Row],[Land-DB]]/150)+3+tech_2_9_2*TblTech[[#This Row],[2-9]]+tech_3_7_2*TblTech[[#This Row],[3-7]]</f>
        <v>3</v>
      </c>
      <c r="AH116" s="94">
        <f ca="1">SUM(TblExplore[[#This Row],[Plains Explore]:[Water Explore]])*TblExplore[[#This Row],[Plat/acre]]</f>
        <v>0</v>
      </c>
      <c r="AI116" s="94">
        <f ca="1">SUM(TblExplore[[#This Row],[Plains Explore]:[Water Explore]])*TblExplore[[#This Row],[Draftees/acre]]</f>
        <v>0</v>
      </c>
      <c r="AJ116" s="45">
        <f ca="1">_xlfn.FLOOR.MATH(MIN(TblExplore[[#This Row],[Platinum]]/TblExplore[[#This Row],[Plat/acre]],TblExplore[[#This Row],[Draftees]]/TblExplore[[#This Row],[Draftees/acre]]))</f>
        <v>-511</v>
      </c>
    </row>
    <row r="117" spans="1:36" x14ac:dyDescent="0.2">
      <c r="A117" s="175">
        <f>TblRezone[[#This Row],[Hour]]</f>
        <v>114</v>
      </c>
      <c r="B117" s="214">
        <f ca="1">TblConstr[[#This Row],[Land]]</f>
        <v>50</v>
      </c>
      <c r="C117" s="215"/>
      <c r="D117" s="216">
        <f ca="1">TblConstr[[#This Row],[Plain]]</f>
        <v>0</v>
      </c>
      <c r="E117" s="182">
        <f ca="1">TblConstr[[#This Row],[Forest]]</f>
        <v>0</v>
      </c>
      <c r="F117" s="359">
        <f ca="1">TblConstr[[#This Row],[Mountain]]</f>
        <v>0</v>
      </c>
      <c r="G117" s="363">
        <f ca="1">TblConstr[[#This Row],[Hill]]</f>
        <v>0</v>
      </c>
      <c r="H117" s="367">
        <f ca="1">TblConstr[[#This Row],[Swamp]]</f>
        <v>0</v>
      </c>
      <c r="I117" s="185">
        <f ca="1">TblConstr[[#This Row],[Cavern]]</f>
        <v>0</v>
      </c>
      <c r="J117" s="186">
        <f ca="1">TblConstr[[#This Row],[Water]]</f>
        <v>0</v>
      </c>
      <c r="K117" s="210"/>
      <c r="L117" s="210"/>
      <c r="M117" s="210"/>
      <c r="N117" s="217">
        <f ca="1">TblMili[[#This Row],[Smithies]]</f>
        <v>0</v>
      </c>
      <c r="O117" s="217">
        <f ca="1">TblPop[[#This Row],[Employment]]</f>
        <v>1</v>
      </c>
      <c r="P117" s="217">
        <f ca="1">TblImps[[#This Row],[Population]]</f>
        <v>1</v>
      </c>
      <c r="Q117" s="175">
        <f ca="1">TblExplore[[#This Row],[Land]]</f>
        <v>50</v>
      </c>
      <c r="R117" s="175">
        <f>TblExplore[[#This Row],[Hour]]</f>
        <v>114</v>
      </c>
      <c r="S117" s="218"/>
      <c r="T117" s="179"/>
      <c r="U117" s="179"/>
      <c r="V117" s="179"/>
      <c r="W117" s="179"/>
      <c r="X117" s="179"/>
      <c r="Y117" s="179"/>
      <c r="Z117" s="179"/>
      <c r="AA117" s="159">
        <f ca="1">TblImps[[#This Row],[Real time]]</f>
        <v>46324.708333333059</v>
      </c>
      <c r="AB117" s="94">
        <f ca="1">TblMili[[#This Row],[Draftees]]</f>
        <v>621</v>
      </c>
      <c r="AC117" s="94">
        <f ca="1">TblProd[[#This Row],[Platinum]]</f>
        <v>206222</v>
      </c>
      <c r="AD117" s="215"/>
      <c r="AE117" s="45">
        <f ca="1">TblExplore[[#This Row],[Land]]-TblExplore[[#This Row],[Land Bonus]]*20</f>
        <v>50</v>
      </c>
      <c r="AF117" s="94">
        <f ca="1">ROUND((0.6*TblExplore[[#This Row],[Land-DB]]^1.299 + IF(TblExplore[[#This Row],[Land-DB]]&lt;1520, (-0.001*(TblExplore[[#This Row],[Land-DB]]^2)+1.91*TblExplore[[#This Row],[Land-DB]]-593), 0))*(1+ tech_2_6*Techs!AC117 + tech_2_9*Techs!AF117 + tech_3_7*Techs!AN117 + Overview!$I$33),0)</f>
        <v>-403</v>
      </c>
      <c r="AG117" s="94">
        <f ca="1">_xlfn.FLOOR.MATH(TblExplore[[#This Row],[Land-DB]]/150)+3+tech_2_9_2*TblTech[[#This Row],[2-9]]+tech_3_7_2*TblTech[[#This Row],[3-7]]</f>
        <v>3</v>
      </c>
      <c r="AH117" s="94">
        <f ca="1">SUM(TblExplore[[#This Row],[Plains Explore]:[Water Explore]])*TblExplore[[#This Row],[Plat/acre]]</f>
        <v>0</v>
      </c>
      <c r="AI117" s="94">
        <f ca="1">SUM(TblExplore[[#This Row],[Plains Explore]:[Water Explore]])*TblExplore[[#This Row],[Draftees/acre]]</f>
        <v>0</v>
      </c>
      <c r="AJ117" s="45">
        <f ca="1">_xlfn.FLOOR.MATH(MIN(TblExplore[[#This Row],[Platinum]]/TblExplore[[#This Row],[Plat/acre]],TblExplore[[#This Row],[Draftees]]/TblExplore[[#This Row],[Draftees/acre]]))</f>
        <v>-512</v>
      </c>
    </row>
    <row r="118" spans="1:36" x14ac:dyDescent="0.2">
      <c r="A118" s="175">
        <f>TblRezone[[#This Row],[Hour]]</f>
        <v>115</v>
      </c>
      <c r="B118" s="214">
        <f ca="1">TblConstr[[#This Row],[Land]]</f>
        <v>50</v>
      </c>
      <c r="C118" s="215"/>
      <c r="D118" s="216">
        <f ca="1">TblConstr[[#This Row],[Plain]]</f>
        <v>0</v>
      </c>
      <c r="E118" s="182">
        <f ca="1">TblConstr[[#This Row],[Forest]]</f>
        <v>0</v>
      </c>
      <c r="F118" s="359">
        <f ca="1">TblConstr[[#This Row],[Mountain]]</f>
        <v>0</v>
      </c>
      <c r="G118" s="363">
        <f ca="1">TblConstr[[#This Row],[Hill]]</f>
        <v>0</v>
      </c>
      <c r="H118" s="367">
        <f ca="1">TblConstr[[#This Row],[Swamp]]</f>
        <v>0</v>
      </c>
      <c r="I118" s="185">
        <f ca="1">TblConstr[[#This Row],[Cavern]]</f>
        <v>0</v>
      </c>
      <c r="J118" s="186">
        <f ca="1">TblConstr[[#This Row],[Water]]</f>
        <v>0</v>
      </c>
      <c r="K118" s="210"/>
      <c r="L118" s="210"/>
      <c r="M118" s="210"/>
      <c r="N118" s="217">
        <f ca="1">TblMili[[#This Row],[Smithies]]</f>
        <v>0</v>
      </c>
      <c r="O118" s="217">
        <f ca="1">TblPop[[#This Row],[Employment]]</f>
        <v>1</v>
      </c>
      <c r="P118" s="217">
        <f ca="1">TblImps[[#This Row],[Population]]</f>
        <v>1</v>
      </c>
      <c r="Q118" s="175">
        <f ca="1">TblExplore[[#This Row],[Land]]</f>
        <v>50</v>
      </c>
      <c r="R118" s="175">
        <f>TblExplore[[#This Row],[Hour]]</f>
        <v>115</v>
      </c>
      <c r="S118" s="218"/>
      <c r="T118" s="179"/>
      <c r="U118" s="179"/>
      <c r="V118" s="179"/>
      <c r="W118" s="179"/>
      <c r="X118" s="179"/>
      <c r="Y118" s="179"/>
      <c r="Z118" s="179"/>
      <c r="AA118" s="159">
        <f ca="1">TblImps[[#This Row],[Real time]]</f>
        <v>46324.749999999724</v>
      </c>
      <c r="AB118" s="94">
        <f ca="1">TblMili[[#This Row],[Draftees]]</f>
        <v>622</v>
      </c>
      <c r="AC118" s="94">
        <f ca="1">TblProd[[#This Row],[Platinum]]</f>
        <v>206621</v>
      </c>
      <c r="AD118" s="215"/>
      <c r="AE118" s="45">
        <f ca="1">TblExplore[[#This Row],[Land]]-TblExplore[[#This Row],[Land Bonus]]*20</f>
        <v>50</v>
      </c>
      <c r="AF118" s="94">
        <f ca="1">ROUND((0.6*TblExplore[[#This Row],[Land-DB]]^1.299 + IF(TblExplore[[#This Row],[Land-DB]]&lt;1520, (-0.001*(TblExplore[[#This Row],[Land-DB]]^2)+1.91*TblExplore[[#This Row],[Land-DB]]-593), 0))*(1+ tech_2_6*Techs!AC118 + tech_2_9*Techs!AF118 + tech_3_7*Techs!AN118 + Overview!$I$33),0)</f>
        <v>-403</v>
      </c>
      <c r="AG118" s="94">
        <f ca="1">_xlfn.FLOOR.MATH(TblExplore[[#This Row],[Land-DB]]/150)+3+tech_2_9_2*TblTech[[#This Row],[2-9]]+tech_3_7_2*TblTech[[#This Row],[3-7]]</f>
        <v>3</v>
      </c>
      <c r="AH118" s="94">
        <f ca="1">SUM(TblExplore[[#This Row],[Plains Explore]:[Water Explore]])*TblExplore[[#This Row],[Plat/acre]]</f>
        <v>0</v>
      </c>
      <c r="AI118" s="94">
        <f ca="1">SUM(TblExplore[[#This Row],[Plains Explore]:[Water Explore]])*TblExplore[[#This Row],[Draftees/acre]]</f>
        <v>0</v>
      </c>
      <c r="AJ118" s="45">
        <f ca="1">_xlfn.FLOOR.MATH(MIN(TblExplore[[#This Row],[Platinum]]/TblExplore[[#This Row],[Plat/acre]],TblExplore[[#This Row],[Draftees]]/TblExplore[[#This Row],[Draftees/acre]]))</f>
        <v>-513</v>
      </c>
    </row>
    <row r="119" spans="1:36" x14ac:dyDescent="0.2">
      <c r="A119" s="175">
        <f>TblRezone[[#This Row],[Hour]]</f>
        <v>116</v>
      </c>
      <c r="B119" s="214">
        <f ca="1">TblConstr[[#This Row],[Land]]</f>
        <v>50</v>
      </c>
      <c r="C119" s="215"/>
      <c r="D119" s="216">
        <f ca="1">TblConstr[[#This Row],[Plain]]</f>
        <v>0</v>
      </c>
      <c r="E119" s="182">
        <f ca="1">TblConstr[[#This Row],[Forest]]</f>
        <v>0</v>
      </c>
      <c r="F119" s="359">
        <f ca="1">TblConstr[[#This Row],[Mountain]]</f>
        <v>0</v>
      </c>
      <c r="G119" s="363">
        <f ca="1">TblConstr[[#This Row],[Hill]]</f>
        <v>0</v>
      </c>
      <c r="H119" s="367">
        <f ca="1">TblConstr[[#This Row],[Swamp]]</f>
        <v>0</v>
      </c>
      <c r="I119" s="185">
        <f ca="1">TblConstr[[#This Row],[Cavern]]</f>
        <v>0</v>
      </c>
      <c r="J119" s="186">
        <f ca="1">TblConstr[[#This Row],[Water]]</f>
        <v>0</v>
      </c>
      <c r="K119" s="210"/>
      <c r="L119" s="210"/>
      <c r="M119" s="210"/>
      <c r="N119" s="217">
        <f ca="1">TblMili[[#This Row],[Smithies]]</f>
        <v>0</v>
      </c>
      <c r="O119" s="217">
        <f ca="1">TblPop[[#This Row],[Employment]]</f>
        <v>1</v>
      </c>
      <c r="P119" s="217">
        <f ca="1">TblImps[[#This Row],[Population]]</f>
        <v>1</v>
      </c>
      <c r="Q119" s="175">
        <f ca="1">TblExplore[[#This Row],[Land]]</f>
        <v>50</v>
      </c>
      <c r="R119" s="175">
        <f>TblExplore[[#This Row],[Hour]]</f>
        <v>116</v>
      </c>
      <c r="S119" s="218"/>
      <c r="T119" s="179"/>
      <c r="U119" s="179"/>
      <c r="V119" s="179"/>
      <c r="W119" s="179"/>
      <c r="X119" s="179"/>
      <c r="Y119" s="179"/>
      <c r="Z119" s="179"/>
      <c r="AA119" s="159">
        <f ca="1">TblImps[[#This Row],[Real time]]</f>
        <v>46324.791666666388</v>
      </c>
      <c r="AB119" s="94">
        <f ca="1">TblMili[[#This Row],[Draftees]]</f>
        <v>623</v>
      </c>
      <c r="AC119" s="94">
        <f ca="1">TblProd[[#This Row],[Platinum]]</f>
        <v>207017</v>
      </c>
      <c r="AD119" s="215"/>
      <c r="AE119" s="45">
        <f ca="1">TblExplore[[#This Row],[Land]]-TblExplore[[#This Row],[Land Bonus]]*20</f>
        <v>50</v>
      </c>
      <c r="AF119" s="94">
        <f ca="1">ROUND((0.6*TblExplore[[#This Row],[Land-DB]]^1.299 + IF(TblExplore[[#This Row],[Land-DB]]&lt;1520, (-0.001*(TblExplore[[#This Row],[Land-DB]]^2)+1.91*TblExplore[[#This Row],[Land-DB]]-593), 0))*(1+ tech_2_6*Techs!AC119 + tech_2_9*Techs!AF119 + tech_3_7*Techs!AN119 + Overview!$I$33),0)</f>
        <v>-403</v>
      </c>
      <c r="AG119" s="94">
        <f ca="1">_xlfn.FLOOR.MATH(TblExplore[[#This Row],[Land-DB]]/150)+3+tech_2_9_2*TblTech[[#This Row],[2-9]]+tech_3_7_2*TblTech[[#This Row],[3-7]]</f>
        <v>3</v>
      </c>
      <c r="AH119" s="94">
        <f ca="1">SUM(TblExplore[[#This Row],[Plains Explore]:[Water Explore]])*TblExplore[[#This Row],[Plat/acre]]</f>
        <v>0</v>
      </c>
      <c r="AI119" s="94">
        <f ca="1">SUM(TblExplore[[#This Row],[Plains Explore]:[Water Explore]])*TblExplore[[#This Row],[Draftees/acre]]</f>
        <v>0</v>
      </c>
      <c r="AJ119" s="45">
        <f ca="1">_xlfn.FLOOR.MATH(MIN(TblExplore[[#This Row],[Platinum]]/TblExplore[[#This Row],[Plat/acre]],TblExplore[[#This Row],[Draftees]]/TblExplore[[#This Row],[Draftees/acre]]))</f>
        <v>-514</v>
      </c>
    </row>
    <row r="120" spans="1:36" x14ac:dyDescent="0.2">
      <c r="A120" s="175">
        <f>TblRezone[[#This Row],[Hour]]</f>
        <v>117</v>
      </c>
      <c r="B120" s="214">
        <f ca="1">TblConstr[[#This Row],[Land]]</f>
        <v>50</v>
      </c>
      <c r="C120" s="215"/>
      <c r="D120" s="216">
        <f ca="1">TblConstr[[#This Row],[Plain]]</f>
        <v>0</v>
      </c>
      <c r="E120" s="182">
        <f ca="1">TblConstr[[#This Row],[Forest]]</f>
        <v>0</v>
      </c>
      <c r="F120" s="359">
        <f ca="1">TblConstr[[#This Row],[Mountain]]</f>
        <v>0</v>
      </c>
      <c r="G120" s="363">
        <f ca="1">TblConstr[[#This Row],[Hill]]</f>
        <v>0</v>
      </c>
      <c r="H120" s="367">
        <f ca="1">TblConstr[[#This Row],[Swamp]]</f>
        <v>0</v>
      </c>
      <c r="I120" s="185">
        <f ca="1">TblConstr[[#This Row],[Cavern]]</f>
        <v>0</v>
      </c>
      <c r="J120" s="186">
        <f ca="1">TblConstr[[#This Row],[Water]]</f>
        <v>0</v>
      </c>
      <c r="K120" s="210"/>
      <c r="L120" s="210"/>
      <c r="M120" s="210"/>
      <c r="N120" s="217">
        <f ca="1">TblMili[[#This Row],[Smithies]]</f>
        <v>0</v>
      </c>
      <c r="O120" s="217">
        <f ca="1">TblPop[[#This Row],[Employment]]</f>
        <v>1</v>
      </c>
      <c r="P120" s="217">
        <f ca="1">TblImps[[#This Row],[Population]]</f>
        <v>1</v>
      </c>
      <c r="Q120" s="175">
        <f ca="1">TblExplore[[#This Row],[Land]]</f>
        <v>50</v>
      </c>
      <c r="R120" s="175">
        <f>TblExplore[[#This Row],[Hour]]</f>
        <v>117</v>
      </c>
      <c r="S120" s="218"/>
      <c r="T120" s="179"/>
      <c r="U120" s="179"/>
      <c r="V120" s="179"/>
      <c r="W120" s="179"/>
      <c r="X120" s="179"/>
      <c r="Y120" s="179"/>
      <c r="Z120" s="179"/>
      <c r="AA120" s="159">
        <f ca="1">TblImps[[#This Row],[Real time]]</f>
        <v>46324.833333333052</v>
      </c>
      <c r="AB120" s="94">
        <f ca="1">TblMili[[#This Row],[Draftees]]</f>
        <v>624</v>
      </c>
      <c r="AC120" s="94">
        <f ca="1">TblProd[[#This Row],[Platinum]]</f>
        <v>207411</v>
      </c>
      <c r="AD120" s="215"/>
      <c r="AE120" s="45">
        <f ca="1">TblExplore[[#This Row],[Land]]-TblExplore[[#This Row],[Land Bonus]]*20</f>
        <v>50</v>
      </c>
      <c r="AF120" s="94">
        <f ca="1">ROUND((0.6*TblExplore[[#This Row],[Land-DB]]^1.299 + IF(TblExplore[[#This Row],[Land-DB]]&lt;1520, (-0.001*(TblExplore[[#This Row],[Land-DB]]^2)+1.91*TblExplore[[#This Row],[Land-DB]]-593), 0))*(1+ tech_2_6*Techs!AC120 + tech_2_9*Techs!AF120 + tech_3_7*Techs!AN120 + Overview!$I$33),0)</f>
        <v>-403</v>
      </c>
      <c r="AG120" s="94">
        <f ca="1">_xlfn.FLOOR.MATH(TblExplore[[#This Row],[Land-DB]]/150)+3+tech_2_9_2*TblTech[[#This Row],[2-9]]+tech_3_7_2*TblTech[[#This Row],[3-7]]</f>
        <v>3</v>
      </c>
      <c r="AH120" s="94">
        <f ca="1">SUM(TblExplore[[#This Row],[Plains Explore]:[Water Explore]])*TblExplore[[#This Row],[Plat/acre]]</f>
        <v>0</v>
      </c>
      <c r="AI120" s="94">
        <f ca="1">SUM(TblExplore[[#This Row],[Plains Explore]:[Water Explore]])*TblExplore[[#This Row],[Draftees/acre]]</f>
        <v>0</v>
      </c>
      <c r="AJ120" s="45">
        <f ca="1">_xlfn.FLOOR.MATH(MIN(TblExplore[[#This Row],[Platinum]]/TblExplore[[#This Row],[Plat/acre]],TblExplore[[#This Row],[Draftees]]/TblExplore[[#This Row],[Draftees/acre]]))</f>
        <v>-515</v>
      </c>
    </row>
    <row r="121" spans="1:36" x14ac:dyDescent="0.2">
      <c r="A121" s="175">
        <f>TblRezone[[#This Row],[Hour]]</f>
        <v>118</v>
      </c>
      <c r="B121" s="214">
        <f ca="1">TblConstr[[#This Row],[Land]]</f>
        <v>50</v>
      </c>
      <c r="C121" s="215"/>
      <c r="D121" s="216">
        <f ca="1">TblConstr[[#This Row],[Plain]]</f>
        <v>0</v>
      </c>
      <c r="E121" s="182">
        <f ca="1">TblConstr[[#This Row],[Forest]]</f>
        <v>0</v>
      </c>
      <c r="F121" s="359">
        <f ca="1">TblConstr[[#This Row],[Mountain]]</f>
        <v>0</v>
      </c>
      <c r="G121" s="363">
        <f ca="1">TblConstr[[#This Row],[Hill]]</f>
        <v>0</v>
      </c>
      <c r="H121" s="367">
        <f ca="1">TblConstr[[#This Row],[Swamp]]</f>
        <v>0</v>
      </c>
      <c r="I121" s="185">
        <f ca="1">TblConstr[[#This Row],[Cavern]]</f>
        <v>0</v>
      </c>
      <c r="J121" s="186">
        <f ca="1">TblConstr[[#This Row],[Water]]</f>
        <v>0</v>
      </c>
      <c r="K121" s="210"/>
      <c r="L121" s="210"/>
      <c r="M121" s="210"/>
      <c r="N121" s="217">
        <f ca="1">TblMili[[#This Row],[Smithies]]</f>
        <v>0</v>
      </c>
      <c r="O121" s="217">
        <f ca="1">TblPop[[#This Row],[Employment]]</f>
        <v>1</v>
      </c>
      <c r="P121" s="217">
        <f ca="1">TblImps[[#This Row],[Population]]</f>
        <v>1</v>
      </c>
      <c r="Q121" s="175">
        <f ca="1">TblExplore[[#This Row],[Land]]</f>
        <v>50</v>
      </c>
      <c r="R121" s="175">
        <f>TblExplore[[#This Row],[Hour]]</f>
        <v>118</v>
      </c>
      <c r="S121" s="218"/>
      <c r="T121" s="179"/>
      <c r="U121" s="179"/>
      <c r="V121" s="179"/>
      <c r="W121" s="179"/>
      <c r="X121" s="179"/>
      <c r="Y121" s="179"/>
      <c r="Z121" s="179"/>
      <c r="AA121" s="159">
        <f ca="1">TblImps[[#This Row],[Real time]]</f>
        <v>46324.874999999716</v>
      </c>
      <c r="AB121" s="94">
        <f ca="1">TblMili[[#This Row],[Draftees]]</f>
        <v>625</v>
      </c>
      <c r="AC121" s="94">
        <f ca="1">TblProd[[#This Row],[Platinum]]</f>
        <v>207802</v>
      </c>
      <c r="AD121" s="215"/>
      <c r="AE121" s="45">
        <f ca="1">TblExplore[[#This Row],[Land]]-TblExplore[[#This Row],[Land Bonus]]*20</f>
        <v>50</v>
      </c>
      <c r="AF121" s="94">
        <f ca="1">ROUND((0.6*TblExplore[[#This Row],[Land-DB]]^1.299 + IF(TblExplore[[#This Row],[Land-DB]]&lt;1520, (-0.001*(TblExplore[[#This Row],[Land-DB]]^2)+1.91*TblExplore[[#This Row],[Land-DB]]-593), 0))*(1+ tech_2_6*Techs!AC121 + tech_2_9*Techs!AF121 + tech_3_7*Techs!AN121 + Overview!$I$33),0)</f>
        <v>-403</v>
      </c>
      <c r="AG121" s="94">
        <f ca="1">_xlfn.FLOOR.MATH(TblExplore[[#This Row],[Land-DB]]/150)+3+tech_2_9_2*TblTech[[#This Row],[2-9]]+tech_3_7_2*TblTech[[#This Row],[3-7]]</f>
        <v>3</v>
      </c>
      <c r="AH121" s="94">
        <f ca="1">SUM(TblExplore[[#This Row],[Plains Explore]:[Water Explore]])*TblExplore[[#This Row],[Plat/acre]]</f>
        <v>0</v>
      </c>
      <c r="AI121" s="94">
        <f ca="1">SUM(TblExplore[[#This Row],[Plains Explore]:[Water Explore]])*TblExplore[[#This Row],[Draftees/acre]]</f>
        <v>0</v>
      </c>
      <c r="AJ121" s="45">
        <f ca="1">_xlfn.FLOOR.MATH(MIN(TblExplore[[#This Row],[Platinum]]/TblExplore[[#This Row],[Plat/acre]],TblExplore[[#This Row],[Draftees]]/TblExplore[[#This Row],[Draftees/acre]]))</f>
        <v>-516</v>
      </c>
    </row>
    <row r="122" spans="1:36" x14ac:dyDescent="0.2">
      <c r="A122" s="175">
        <f>TblRezone[[#This Row],[Hour]]</f>
        <v>119</v>
      </c>
      <c r="B122" s="214">
        <f ca="1">TblConstr[[#This Row],[Land]]</f>
        <v>50</v>
      </c>
      <c r="C122" s="215"/>
      <c r="D122" s="216">
        <f ca="1">TblConstr[[#This Row],[Plain]]</f>
        <v>0</v>
      </c>
      <c r="E122" s="182">
        <f ca="1">TblConstr[[#This Row],[Forest]]</f>
        <v>0</v>
      </c>
      <c r="F122" s="359">
        <f ca="1">TblConstr[[#This Row],[Mountain]]</f>
        <v>0</v>
      </c>
      <c r="G122" s="363">
        <f ca="1">TblConstr[[#This Row],[Hill]]</f>
        <v>0</v>
      </c>
      <c r="H122" s="367">
        <f ca="1">TblConstr[[#This Row],[Swamp]]</f>
        <v>0</v>
      </c>
      <c r="I122" s="185">
        <f ca="1">TblConstr[[#This Row],[Cavern]]</f>
        <v>0</v>
      </c>
      <c r="J122" s="186">
        <f ca="1">TblConstr[[#This Row],[Water]]</f>
        <v>0</v>
      </c>
      <c r="K122" s="210"/>
      <c r="L122" s="210"/>
      <c r="M122" s="210"/>
      <c r="N122" s="217">
        <f ca="1">TblMili[[#This Row],[Smithies]]</f>
        <v>0</v>
      </c>
      <c r="O122" s="217">
        <f ca="1">TblPop[[#This Row],[Employment]]</f>
        <v>1</v>
      </c>
      <c r="P122" s="217">
        <f ca="1">TblImps[[#This Row],[Population]]</f>
        <v>1</v>
      </c>
      <c r="Q122" s="175">
        <f ca="1">TblExplore[[#This Row],[Land]]</f>
        <v>50</v>
      </c>
      <c r="R122" s="175">
        <f>TblExplore[[#This Row],[Hour]]</f>
        <v>119</v>
      </c>
      <c r="S122" s="218"/>
      <c r="T122" s="179"/>
      <c r="U122" s="179"/>
      <c r="V122" s="179"/>
      <c r="W122" s="179"/>
      <c r="X122" s="179"/>
      <c r="Y122" s="179"/>
      <c r="Z122" s="179"/>
      <c r="AA122" s="159">
        <f ca="1">TblImps[[#This Row],[Real time]]</f>
        <v>46324.91666666638</v>
      </c>
      <c r="AB122" s="94">
        <f ca="1">TblMili[[#This Row],[Draftees]]</f>
        <v>626</v>
      </c>
      <c r="AC122" s="94">
        <f ca="1">TblProd[[#This Row],[Platinum]]</f>
        <v>208190</v>
      </c>
      <c r="AD122" s="215"/>
      <c r="AE122" s="45">
        <f ca="1">TblExplore[[#This Row],[Land]]-TblExplore[[#This Row],[Land Bonus]]*20</f>
        <v>50</v>
      </c>
      <c r="AF122" s="94">
        <f ca="1">ROUND((0.6*TblExplore[[#This Row],[Land-DB]]^1.299 + IF(TblExplore[[#This Row],[Land-DB]]&lt;1520, (-0.001*(TblExplore[[#This Row],[Land-DB]]^2)+1.91*TblExplore[[#This Row],[Land-DB]]-593), 0))*(1+ tech_2_6*Techs!AC122 + tech_2_9*Techs!AF122 + tech_3_7*Techs!AN122 + Overview!$I$33),0)</f>
        <v>-403</v>
      </c>
      <c r="AG122" s="94">
        <f ca="1">_xlfn.FLOOR.MATH(TblExplore[[#This Row],[Land-DB]]/150)+3+tech_2_9_2*TblTech[[#This Row],[2-9]]+tech_3_7_2*TblTech[[#This Row],[3-7]]</f>
        <v>3</v>
      </c>
      <c r="AH122" s="94">
        <f ca="1">SUM(TblExplore[[#This Row],[Plains Explore]:[Water Explore]])*TblExplore[[#This Row],[Plat/acre]]</f>
        <v>0</v>
      </c>
      <c r="AI122" s="94">
        <f ca="1">SUM(TblExplore[[#This Row],[Plains Explore]:[Water Explore]])*TblExplore[[#This Row],[Draftees/acre]]</f>
        <v>0</v>
      </c>
      <c r="AJ122" s="45">
        <f ca="1">_xlfn.FLOOR.MATH(MIN(TblExplore[[#This Row],[Platinum]]/TblExplore[[#This Row],[Plat/acre]],TblExplore[[#This Row],[Draftees]]/TblExplore[[#This Row],[Draftees/acre]]))</f>
        <v>-517</v>
      </c>
    </row>
    <row r="123" spans="1:36" x14ac:dyDescent="0.2">
      <c r="A123" s="175">
        <f>TblRezone[[#This Row],[Hour]]</f>
        <v>120</v>
      </c>
      <c r="B123" s="214">
        <f ca="1">TblConstr[[#This Row],[Land]]</f>
        <v>50</v>
      </c>
      <c r="C123" s="215"/>
      <c r="D123" s="216">
        <f ca="1">TblConstr[[#This Row],[Plain]]</f>
        <v>0</v>
      </c>
      <c r="E123" s="182">
        <f ca="1">TblConstr[[#This Row],[Forest]]</f>
        <v>0</v>
      </c>
      <c r="F123" s="359">
        <f ca="1">TblConstr[[#This Row],[Mountain]]</f>
        <v>0</v>
      </c>
      <c r="G123" s="363">
        <f ca="1">TblConstr[[#This Row],[Hill]]</f>
        <v>0</v>
      </c>
      <c r="H123" s="367">
        <f ca="1">TblConstr[[#This Row],[Swamp]]</f>
        <v>0</v>
      </c>
      <c r="I123" s="185">
        <f ca="1">TblConstr[[#This Row],[Cavern]]</f>
        <v>0</v>
      </c>
      <c r="J123" s="186">
        <f ca="1">TblConstr[[#This Row],[Water]]</f>
        <v>0</v>
      </c>
      <c r="K123" s="210"/>
      <c r="L123" s="210"/>
      <c r="M123" s="210"/>
      <c r="N123" s="217">
        <f ca="1">TblMili[[#This Row],[Smithies]]</f>
        <v>0</v>
      </c>
      <c r="O123" s="217">
        <f ca="1">TblPop[[#This Row],[Employment]]</f>
        <v>1</v>
      </c>
      <c r="P123" s="217">
        <f ca="1">TblImps[[#This Row],[Population]]</f>
        <v>1</v>
      </c>
      <c r="Q123" s="175">
        <f ca="1">TblExplore[[#This Row],[Land]]</f>
        <v>50</v>
      </c>
      <c r="R123" s="175">
        <f>TblExplore[[#This Row],[Hour]]</f>
        <v>120</v>
      </c>
      <c r="S123" s="218"/>
      <c r="T123" s="179"/>
      <c r="U123" s="179"/>
      <c r="V123" s="179"/>
      <c r="W123" s="179"/>
      <c r="X123" s="179"/>
      <c r="Y123" s="179"/>
      <c r="Z123" s="179"/>
      <c r="AA123" s="159">
        <f ca="1">TblImps[[#This Row],[Real time]]</f>
        <v>46324.958333333045</v>
      </c>
      <c r="AB123" s="94">
        <f ca="1">TblMili[[#This Row],[Draftees]]</f>
        <v>627</v>
      </c>
      <c r="AC123" s="94">
        <f ca="1">TblProd[[#This Row],[Platinum]]</f>
        <v>208576</v>
      </c>
      <c r="AD123" s="215"/>
      <c r="AE123" s="45">
        <f ca="1">TblExplore[[#This Row],[Land]]-TblExplore[[#This Row],[Land Bonus]]*20</f>
        <v>50</v>
      </c>
      <c r="AF123" s="94">
        <f ca="1">ROUND((0.6*TblExplore[[#This Row],[Land-DB]]^1.299 + IF(TblExplore[[#This Row],[Land-DB]]&lt;1520, (-0.001*(TblExplore[[#This Row],[Land-DB]]^2)+1.91*TblExplore[[#This Row],[Land-DB]]-593), 0))*(1+ tech_2_6*Techs!AC123 + tech_2_9*Techs!AF123 + tech_3_7*Techs!AN123 + Overview!$I$33),0)</f>
        <v>-403</v>
      </c>
      <c r="AG123" s="94">
        <f ca="1">_xlfn.FLOOR.MATH(TblExplore[[#This Row],[Land-DB]]/150)+3+tech_2_9_2*TblTech[[#This Row],[2-9]]+tech_3_7_2*TblTech[[#This Row],[3-7]]</f>
        <v>3</v>
      </c>
      <c r="AH123" s="94">
        <f ca="1">SUM(TblExplore[[#This Row],[Plains Explore]:[Water Explore]])*TblExplore[[#This Row],[Plat/acre]]</f>
        <v>0</v>
      </c>
      <c r="AI123" s="94">
        <f ca="1">SUM(TblExplore[[#This Row],[Plains Explore]:[Water Explore]])*TblExplore[[#This Row],[Draftees/acre]]</f>
        <v>0</v>
      </c>
      <c r="AJ123" s="45">
        <f ca="1">_xlfn.FLOOR.MATH(MIN(TblExplore[[#This Row],[Platinum]]/TblExplore[[#This Row],[Plat/acre]],TblExplore[[#This Row],[Draftees]]/TblExplore[[#This Row],[Draftees/acre]]))</f>
        <v>-518</v>
      </c>
    </row>
    <row r="124" spans="1:36" x14ac:dyDescent="0.2">
      <c r="A124" s="175">
        <f>TblRezone[[#This Row],[Hour]]</f>
        <v>121</v>
      </c>
      <c r="B124" s="214">
        <f ca="1">TblConstr[[#This Row],[Land]]</f>
        <v>50</v>
      </c>
      <c r="C124" s="215"/>
      <c r="D124" s="216">
        <f ca="1">TblConstr[[#This Row],[Plain]]</f>
        <v>0</v>
      </c>
      <c r="E124" s="182">
        <f ca="1">TblConstr[[#This Row],[Forest]]</f>
        <v>0</v>
      </c>
      <c r="F124" s="359">
        <f ca="1">TblConstr[[#This Row],[Mountain]]</f>
        <v>0</v>
      </c>
      <c r="G124" s="363">
        <f ca="1">TblConstr[[#This Row],[Hill]]</f>
        <v>0</v>
      </c>
      <c r="H124" s="367">
        <f ca="1">TblConstr[[#This Row],[Swamp]]</f>
        <v>0</v>
      </c>
      <c r="I124" s="185">
        <f ca="1">TblConstr[[#This Row],[Cavern]]</f>
        <v>0</v>
      </c>
      <c r="J124" s="186">
        <f ca="1">TblConstr[[#This Row],[Water]]</f>
        <v>0</v>
      </c>
      <c r="K124" s="210"/>
      <c r="L124" s="229" t="s">
        <v>298</v>
      </c>
      <c r="M124" s="228" t="s">
        <v>301</v>
      </c>
      <c r="N124" s="217">
        <f ca="1">TblMili[[#This Row],[Smithies]]</f>
        <v>0</v>
      </c>
      <c r="O124" s="217">
        <f ca="1">TblPop[[#This Row],[Employment]]</f>
        <v>1</v>
      </c>
      <c r="P124" s="217">
        <f ca="1">TblImps[[#This Row],[Population]]</f>
        <v>1</v>
      </c>
      <c r="Q124" s="175">
        <f ca="1">TblExplore[[#This Row],[Land]]</f>
        <v>50</v>
      </c>
      <c r="R124" s="175">
        <f>TblExplore[[#This Row],[Hour]]</f>
        <v>121</v>
      </c>
      <c r="S124" s="218"/>
      <c r="T124" s="179"/>
      <c r="U124" s="179"/>
      <c r="V124" s="179"/>
      <c r="W124" s="179"/>
      <c r="X124" s="179"/>
      <c r="Y124" s="179"/>
      <c r="Z124" s="179"/>
      <c r="AA124" s="159">
        <f ca="1">TblImps[[#This Row],[Real time]]</f>
        <v>46324.999999999709</v>
      </c>
      <c r="AB124" s="94">
        <f ca="1">TblMili[[#This Row],[Draftees]]</f>
        <v>628</v>
      </c>
      <c r="AC124" s="94">
        <f ca="1">TblProd[[#This Row],[Platinum]]</f>
        <v>208959</v>
      </c>
      <c r="AD124" s="215"/>
      <c r="AE124" s="45">
        <f ca="1">TblExplore[[#This Row],[Land]]-TblExplore[[#This Row],[Land Bonus]]*20</f>
        <v>50</v>
      </c>
      <c r="AF124" s="94">
        <f ca="1">ROUND((0.6*TblExplore[[#This Row],[Land-DB]]^1.299 + IF(TblExplore[[#This Row],[Land-DB]]&lt;1520, (-0.001*(TblExplore[[#This Row],[Land-DB]]^2)+1.91*TblExplore[[#This Row],[Land-DB]]-593), 0))*(1+ tech_2_6*Techs!AC124 + tech_2_9*Techs!AF124 + tech_3_7*Techs!AN124 + Overview!$I$33),0)</f>
        <v>-403</v>
      </c>
      <c r="AG124" s="94">
        <f ca="1">_xlfn.FLOOR.MATH(TblExplore[[#This Row],[Land-DB]]/150)+3+tech_2_9_2*TblTech[[#This Row],[2-9]]+tech_3_7_2*TblTech[[#This Row],[3-7]]</f>
        <v>3</v>
      </c>
      <c r="AH124" s="94">
        <f ca="1">SUM(TblExplore[[#This Row],[Plains Explore]:[Water Explore]])*TblExplore[[#This Row],[Plat/acre]]</f>
        <v>0</v>
      </c>
      <c r="AI124" s="94">
        <f ca="1">SUM(TblExplore[[#This Row],[Plains Explore]:[Water Explore]])*TblExplore[[#This Row],[Draftees/acre]]</f>
        <v>0</v>
      </c>
      <c r="AJ124" s="45">
        <f ca="1">_xlfn.FLOOR.MATH(MIN(TblExplore[[#This Row],[Platinum]]/TblExplore[[#This Row],[Plat/acre]],TblExplore[[#This Row],[Draftees]]/TblExplore[[#This Row],[Draftees/acre]]))</f>
        <v>-519</v>
      </c>
    </row>
    <row r="125" spans="1:36" x14ac:dyDescent="0.2">
      <c r="A125" s="175">
        <f>TblRezone[[#This Row],[Hour]]</f>
        <v>122</v>
      </c>
      <c r="B125" s="214">
        <f ca="1">TblConstr[[#This Row],[Land]]</f>
        <v>50</v>
      </c>
      <c r="C125" s="215"/>
      <c r="D125" s="216">
        <f ca="1">TblConstr[[#This Row],[Plain]]</f>
        <v>0</v>
      </c>
      <c r="E125" s="182">
        <f ca="1">TblConstr[[#This Row],[Forest]]</f>
        <v>0</v>
      </c>
      <c r="F125" s="359">
        <f ca="1">TblConstr[[#This Row],[Mountain]]</f>
        <v>0</v>
      </c>
      <c r="G125" s="363">
        <f ca="1">TblConstr[[#This Row],[Hill]]</f>
        <v>0</v>
      </c>
      <c r="H125" s="367">
        <f ca="1">TblConstr[[#This Row],[Swamp]]</f>
        <v>0</v>
      </c>
      <c r="I125" s="185">
        <f ca="1">TblConstr[[#This Row],[Cavern]]</f>
        <v>0</v>
      </c>
      <c r="J125" s="186">
        <f ca="1">TblConstr[[#This Row],[Water]]</f>
        <v>0</v>
      </c>
      <c r="K125" s="210"/>
      <c r="L125" s="229"/>
      <c r="M125" s="228"/>
      <c r="N125" s="217">
        <f ca="1">TblMili[[#This Row],[Smithies]]</f>
        <v>0</v>
      </c>
      <c r="O125" s="217">
        <f ca="1">TblPop[[#This Row],[Employment]]</f>
        <v>1</v>
      </c>
      <c r="P125" s="217">
        <f ca="1">TblImps[[#This Row],[Population]]</f>
        <v>1</v>
      </c>
      <c r="Q125" s="175">
        <f ca="1">TblExplore[[#This Row],[Land]]</f>
        <v>50</v>
      </c>
      <c r="R125" s="175">
        <f>TblExplore[[#This Row],[Hour]]</f>
        <v>122</v>
      </c>
      <c r="S125" s="218"/>
      <c r="T125" s="179"/>
      <c r="U125" s="179"/>
      <c r="V125" s="179"/>
      <c r="W125" s="179"/>
      <c r="X125" s="179"/>
      <c r="Y125" s="179"/>
      <c r="Z125" s="179"/>
      <c r="AA125" s="159">
        <f ca="1">TblImps[[#This Row],[Real time]]</f>
        <v>46325.041666666373</v>
      </c>
      <c r="AB125" s="94">
        <f ca="1">TblMili[[#This Row],[Draftees]]</f>
        <v>629</v>
      </c>
      <c r="AC125" s="94">
        <f ca="1">TblProd[[#This Row],[Platinum]]</f>
        <v>209339</v>
      </c>
      <c r="AD125" s="215"/>
      <c r="AE125" s="45">
        <f ca="1">TblExplore[[#This Row],[Land]]-TblExplore[[#This Row],[Land Bonus]]*20</f>
        <v>50</v>
      </c>
      <c r="AF125" s="94">
        <f ca="1">ROUND((0.6*TblExplore[[#This Row],[Land-DB]]^1.299 + IF(TblExplore[[#This Row],[Land-DB]]&lt;1520, (-0.001*(TblExplore[[#This Row],[Land-DB]]^2)+1.91*TblExplore[[#This Row],[Land-DB]]-593), 0))*(1+ tech_2_6*Techs!AC125 + tech_2_9*Techs!AF125 + tech_3_7*Techs!AN125 + Overview!$I$33),0)</f>
        <v>-403</v>
      </c>
      <c r="AG125" s="94">
        <f ca="1">_xlfn.FLOOR.MATH(TblExplore[[#This Row],[Land-DB]]/150)+3+tech_2_9_2*TblTech[[#This Row],[2-9]]+tech_3_7_2*TblTech[[#This Row],[3-7]]</f>
        <v>3</v>
      </c>
      <c r="AH125" s="94">
        <f ca="1">SUM(TblExplore[[#This Row],[Plains Explore]:[Water Explore]])*TblExplore[[#This Row],[Plat/acre]]</f>
        <v>0</v>
      </c>
      <c r="AI125" s="94">
        <f ca="1">SUM(TblExplore[[#This Row],[Plains Explore]:[Water Explore]])*TblExplore[[#This Row],[Draftees/acre]]</f>
        <v>0</v>
      </c>
      <c r="AJ125" s="45">
        <f ca="1">_xlfn.FLOOR.MATH(MIN(TblExplore[[#This Row],[Platinum]]/TblExplore[[#This Row],[Plat/acre]],TblExplore[[#This Row],[Draftees]]/TblExplore[[#This Row],[Draftees/acre]]))</f>
        <v>-520</v>
      </c>
    </row>
    <row r="126" spans="1:36" x14ac:dyDescent="0.2">
      <c r="A126" s="175">
        <f>TblRezone[[#This Row],[Hour]]</f>
        <v>123</v>
      </c>
      <c r="B126" s="214">
        <f ca="1">TblConstr[[#This Row],[Land]]</f>
        <v>50</v>
      </c>
      <c r="C126" s="215"/>
      <c r="D126" s="216">
        <f ca="1">TblConstr[[#This Row],[Plain]]</f>
        <v>0</v>
      </c>
      <c r="E126" s="182">
        <f ca="1">TblConstr[[#This Row],[Forest]]</f>
        <v>0</v>
      </c>
      <c r="F126" s="359">
        <f ca="1">TblConstr[[#This Row],[Mountain]]</f>
        <v>0</v>
      </c>
      <c r="G126" s="363">
        <f ca="1">TblConstr[[#This Row],[Hill]]</f>
        <v>0</v>
      </c>
      <c r="H126" s="367">
        <f ca="1">TblConstr[[#This Row],[Swamp]]</f>
        <v>0</v>
      </c>
      <c r="I126" s="185">
        <f ca="1">TblConstr[[#This Row],[Cavern]]</f>
        <v>0</v>
      </c>
      <c r="J126" s="186">
        <f ca="1">TblConstr[[#This Row],[Water]]</f>
        <v>0</v>
      </c>
      <c r="K126" s="210"/>
      <c r="L126" s="229"/>
      <c r="M126" s="228"/>
      <c r="N126" s="217">
        <f ca="1">TblMili[[#This Row],[Smithies]]</f>
        <v>0</v>
      </c>
      <c r="O126" s="217">
        <f ca="1">TblPop[[#This Row],[Employment]]</f>
        <v>1</v>
      </c>
      <c r="P126" s="217">
        <f ca="1">TblImps[[#This Row],[Population]]</f>
        <v>1</v>
      </c>
      <c r="Q126" s="175">
        <f ca="1">TblExplore[[#This Row],[Land]]</f>
        <v>50</v>
      </c>
      <c r="R126" s="175">
        <f>TblExplore[[#This Row],[Hour]]</f>
        <v>123</v>
      </c>
      <c r="S126" s="218"/>
      <c r="T126" s="179"/>
      <c r="U126" s="179"/>
      <c r="V126" s="179"/>
      <c r="W126" s="179"/>
      <c r="X126" s="179"/>
      <c r="Y126" s="179"/>
      <c r="Z126" s="179"/>
      <c r="AA126" s="159">
        <f ca="1">TblImps[[#This Row],[Real time]]</f>
        <v>46325.083333333037</v>
      </c>
      <c r="AB126" s="94">
        <f ca="1">TblMili[[#This Row],[Draftees]]</f>
        <v>630</v>
      </c>
      <c r="AC126" s="94">
        <f ca="1">TblProd[[#This Row],[Platinum]]</f>
        <v>209717</v>
      </c>
      <c r="AD126" s="215"/>
      <c r="AE126" s="45">
        <f ca="1">TblExplore[[#This Row],[Land]]-TblExplore[[#This Row],[Land Bonus]]*20</f>
        <v>50</v>
      </c>
      <c r="AF126" s="94">
        <f ca="1">ROUND((0.6*TblExplore[[#This Row],[Land-DB]]^1.299 + IF(TblExplore[[#This Row],[Land-DB]]&lt;1520, (-0.001*(TblExplore[[#This Row],[Land-DB]]^2)+1.91*TblExplore[[#This Row],[Land-DB]]-593), 0))*(1+ tech_2_6*Techs!AC126 + tech_2_9*Techs!AF126 + tech_3_7*Techs!AN126 + Overview!$I$33),0)</f>
        <v>-403</v>
      </c>
      <c r="AG126" s="94">
        <f ca="1">_xlfn.FLOOR.MATH(TblExplore[[#This Row],[Land-DB]]/150)+3+tech_2_9_2*TblTech[[#This Row],[2-9]]+tech_3_7_2*TblTech[[#This Row],[3-7]]</f>
        <v>3</v>
      </c>
      <c r="AH126" s="94">
        <f ca="1">SUM(TblExplore[[#This Row],[Plains Explore]:[Water Explore]])*TblExplore[[#This Row],[Plat/acre]]</f>
        <v>0</v>
      </c>
      <c r="AI126" s="94">
        <f ca="1">SUM(TblExplore[[#This Row],[Plains Explore]:[Water Explore]])*TblExplore[[#This Row],[Draftees/acre]]</f>
        <v>0</v>
      </c>
      <c r="AJ126" s="45">
        <f ca="1">_xlfn.FLOOR.MATH(MIN(TblExplore[[#This Row],[Platinum]]/TblExplore[[#This Row],[Plat/acre]],TblExplore[[#This Row],[Draftees]]/TblExplore[[#This Row],[Draftees/acre]]))</f>
        <v>-521</v>
      </c>
    </row>
    <row r="127" spans="1:36" x14ac:dyDescent="0.2">
      <c r="A127" s="175">
        <f>TblRezone[[#This Row],[Hour]]</f>
        <v>124</v>
      </c>
      <c r="B127" s="214">
        <f ca="1">TblConstr[[#This Row],[Land]]</f>
        <v>50</v>
      </c>
      <c r="C127" s="215"/>
      <c r="D127" s="216">
        <f ca="1">TblConstr[[#This Row],[Plain]]</f>
        <v>0</v>
      </c>
      <c r="E127" s="182">
        <f ca="1">TblConstr[[#This Row],[Forest]]</f>
        <v>0</v>
      </c>
      <c r="F127" s="359">
        <f ca="1">TblConstr[[#This Row],[Mountain]]</f>
        <v>0</v>
      </c>
      <c r="G127" s="363">
        <f ca="1">TblConstr[[#This Row],[Hill]]</f>
        <v>0</v>
      </c>
      <c r="H127" s="367">
        <f ca="1">TblConstr[[#This Row],[Swamp]]</f>
        <v>0</v>
      </c>
      <c r="I127" s="185">
        <f ca="1">TblConstr[[#This Row],[Cavern]]</f>
        <v>0</v>
      </c>
      <c r="J127" s="186">
        <f ca="1">TblConstr[[#This Row],[Water]]</f>
        <v>0</v>
      </c>
      <c r="K127" s="210"/>
      <c r="L127" s="210">
        <v>4</v>
      </c>
      <c r="M127" s="210">
        <v>299</v>
      </c>
      <c r="N127" s="217">
        <f ca="1">TblMili[[#This Row],[Smithies]]</f>
        <v>0</v>
      </c>
      <c r="O127" s="217">
        <f ca="1">TblPop[[#This Row],[Employment]]</f>
        <v>1</v>
      </c>
      <c r="P127" s="217">
        <f ca="1">TblImps[[#This Row],[Population]]</f>
        <v>1</v>
      </c>
      <c r="Q127" s="175">
        <f ca="1">TblExplore[[#This Row],[Land]]</f>
        <v>50</v>
      </c>
      <c r="R127" s="175">
        <f>TblExplore[[#This Row],[Hour]]</f>
        <v>124</v>
      </c>
      <c r="S127" s="218"/>
      <c r="T127" s="179"/>
      <c r="U127" s="179"/>
      <c r="V127" s="179"/>
      <c r="W127" s="179"/>
      <c r="X127" s="179"/>
      <c r="Y127" s="179"/>
      <c r="Z127" s="179"/>
      <c r="AA127" s="159">
        <f ca="1">TblImps[[#This Row],[Real time]]</f>
        <v>46325.124999999702</v>
      </c>
      <c r="AB127" s="94">
        <f ca="1">TblMili[[#This Row],[Draftees]]</f>
        <v>631</v>
      </c>
      <c r="AC127" s="94">
        <f ca="1">TblProd[[#This Row],[Platinum]]</f>
        <v>210092</v>
      </c>
      <c r="AD127" s="215"/>
      <c r="AE127" s="45">
        <f ca="1">TblExplore[[#This Row],[Land]]-TblExplore[[#This Row],[Land Bonus]]*20</f>
        <v>50</v>
      </c>
      <c r="AF127" s="94">
        <f ca="1">ROUND((0.6*TblExplore[[#This Row],[Land-DB]]^1.299 + IF(TblExplore[[#This Row],[Land-DB]]&lt;1520, (-0.001*(TblExplore[[#This Row],[Land-DB]]^2)+1.91*TblExplore[[#This Row],[Land-DB]]-593), 0))*(1+ tech_2_6*Techs!AC127 + tech_2_9*Techs!AF127 + tech_3_7*Techs!AN127 + Overview!$I$33),0)</f>
        <v>-403</v>
      </c>
      <c r="AG127" s="94">
        <f ca="1">_xlfn.FLOOR.MATH(TblExplore[[#This Row],[Land-DB]]/150)+3+tech_2_9_2*TblTech[[#This Row],[2-9]]+tech_3_7_2*TblTech[[#This Row],[3-7]]</f>
        <v>3</v>
      </c>
      <c r="AH127" s="94">
        <f ca="1">SUM(TblExplore[[#This Row],[Plains Explore]:[Water Explore]])*TblExplore[[#This Row],[Plat/acre]]</f>
        <v>0</v>
      </c>
      <c r="AI127" s="94">
        <f ca="1">SUM(TblExplore[[#This Row],[Plains Explore]:[Water Explore]])*TblExplore[[#This Row],[Draftees/acre]]</f>
        <v>0</v>
      </c>
      <c r="AJ127" s="45">
        <f ca="1">_xlfn.FLOOR.MATH(MIN(TblExplore[[#This Row],[Platinum]]/TblExplore[[#This Row],[Plat/acre]],TblExplore[[#This Row],[Draftees]]/TblExplore[[#This Row],[Draftees/acre]]))</f>
        <v>-522</v>
      </c>
    </row>
    <row r="128" spans="1:36" x14ac:dyDescent="0.2">
      <c r="A128" s="175">
        <f>TblRezone[[#This Row],[Hour]]</f>
        <v>125</v>
      </c>
      <c r="B128" s="214">
        <f ca="1">TblConstr[[#This Row],[Land]]</f>
        <v>50</v>
      </c>
      <c r="C128" s="215"/>
      <c r="D128" s="216">
        <f ca="1">TblConstr[[#This Row],[Plain]]</f>
        <v>0</v>
      </c>
      <c r="E128" s="182">
        <f ca="1">TblConstr[[#This Row],[Forest]]</f>
        <v>0</v>
      </c>
      <c r="F128" s="359">
        <f ca="1">TblConstr[[#This Row],[Mountain]]</f>
        <v>0</v>
      </c>
      <c r="G128" s="363">
        <f ca="1">TblConstr[[#This Row],[Hill]]</f>
        <v>0</v>
      </c>
      <c r="H128" s="367">
        <f ca="1">TblConstr[[#This Row],[Swamp]]</f>
        <v>0</v>
      </c>
      <c r="I128" s="185">
        <f ca="1">TblConstr[[#This Row],[Cavern]]</f>
        <v>0</v>
      </c>
      <c r="J128" s="186">
        <f ca="1">TblConstr[[#This Row],[Water]]</f>
        <v>0</v>
      </c>
      <c r="K128" s="210"/>
      <c r="L128" s="210">
        <v>5</v>
      </c>
      <c r="M128" s="210">
        <v>419</v>
      </c>
      <c r="N128" s="217">
        <f ca="1">TblMili[[#This Row],[Smithies]]</f>
        <v>0</v>
      </c>
      <c r="O128" s="217">
        <f ca="1">TblPop[[#This Row],[Employment]]</f>
        <v>1</v>
      </c>
      <c r="P128" s="217">
        <f ca="1">TblImps[[#This Row],[Population]]</f>
        <v>1</v>
      </c>
      <c r="Q128" s="175">
        <f ca="1">TblExplore[[#This Row],[Land]]</f>
        <v>50</v>
      </c>
      <c r="R128" s="175">
        <f>TblExplore[[#This Row],[Hour]]</f>
        <v>125</v>
      </c>
      <c r="S128" s="218"/>
      <c r="T128" s="179"/>
      <c r="U128" s="179"/>
      <c r="V128" s="179"/>
      <c r="W128" s="179"/>
      <c r="X128" s="179"/>
      <c r="Y128" s="179"/>
      <c r="Z128" s="179"/>
      <c r="AA128" s="159">
        <f ca="1">TblImps[[#This Row],[Real time]]</f>
        <v>46325.166666666366</v>
      </c>
      <c r="AB128" s="94">
        <f ca="1">TblMili[[#This Row],[Draftees]]</f>
        <v>632</v>
      </c>
      <c r="AC128" s="94">
        <f ca="1">TblProd[[#This Row],[Platinum]]</f>
        <v>210464</v>
      </c>
      <c r="AD128" s="215"/>
      <c r="AE128" s="45">
        <f ca="1">TblExplore[[#This Row],[Land]]-TblExplore[[#This Row],[Land Bonus]]*20</f>
        <v>50</v>
      </c>
      <c r="AF128" s="94">
        <f ca="1">ROUND((0.6*TblExplore[[#This Row],[Land-DB]]^1.299 + IF(TblExplore[[#This Row],[Land-DB]]&lt;1520, (-0.001*(TblExplore[[#This Row],[Land-DB]]^2)+1.91*TblExplore[[#This Row],[Land-DB]]-593), 0))*(1+ tech_2_6*Techs!AC128 + tech_2_9*Techs!AF128 + tech_3_7*Techs!AN128 + Overview!$I$33),0)</f>
        <v>-403</v>
      </c>
      <c r="AG128" s="94">
        <f ca="1">_xlfn.FLOOR.MATH(TblExplore[[#This Row],[Land-DB]]/150)+3+tech_2_9_2*TblTech[[#This Row],[2-9]]+tech_3_7_2*TblTech[[#This Row],[3-7]]</f>
        <v>3</v>
      </c>
      <c r="AH128" s="94">
        <f ca="1">SUM(TblExplore[[#This Row],[Plains Explore]:[Water Explore]])*TblExplore[[#This Row],[Plat/acre]]</f>
        <v>0</v>
      </c>
      <c r="AI128" s="94">
        <f ca="1">SUM(TblExplore[[#This Row],[Plains Explore]:[Water Explore]])*TblExplore[[#This Row],[Draftees/acre]]</f>
        <v>0</v>
      </c>
      <c r="AJ128" s="45">
        <f ca="1">_xlfn.FLOOR.MATH(MIN(TblExplore[[#This Row],[Platinum]]/TblExplore[[#This Row],[Plat/acre]],TblExplore[[#This Row],[Draftees]]/TblExplore[[#This Row],[Draftees/acre]]))</f>
        <v>-523</v>
      </c>
    </row>
    <row r="129" spans="1:36" x14ac:dyDescent="0.2">
      <c r="A129" s="175">
        <f>TblRezone[[#This Row],[Hour]]</f>
        <v>126</v>
      </c>
      <c r="B129" s="214">
        <f ca="1">TblConstr[[#This Row],[Land]]</f>
        <v>50</v>
      </c>
      <c r="C129" s="215"/>
      <c r="D129" s="216">
        <f ca="1">TblConstr[[#This Row],[Plain]]</f>
        <v>0</v>
      </c>
      <c r="E129" s="182">
        <f ca="1">TblConstr[[#This Row],[Forest]]</f>
        <v>0</v>
      </c>
      <c r="F129" s="359">
        <f ca="1">TblConstr[[#This Row],[Mountain]]</f>
        <v>0</v>
      </c>
      <c r="G129" s="363">
        <f ca="1">TblConstr[[#This Row],[Hill]]</f>
        <v>0</v>
      </c>
      <c r="H129" s="367">
        <f ca="1">TblConstr[[#This Row],[Swamp]]</f>
        <v>0</v>
      </c>
      <c r="I129" s="185">
        <f ca="1">TblConstr[[#This Row],[Cavern]]</f>
        <v>0</v>
      </c>
      <c r="J129" s="186">
        <f ca="1">TblConstr[[#This Row],[Water]]</f>
        <v>0</v>
      </c>
      <c r="K129" s="210"/>
      <c r="L129" s="210">
        <v>6</v>
      </c>
      <c r="M129" s="210">
        <v>632</v>
      </c>
      <c r="N129" s="217">
        <f ca="1">TblMili[[#This Row],[Smithies]]</f>
        <v>0</v>
      </c>
      <c r="O129" s="217">
        <f ca="1">TblPop[[#This Row],[Employment]]</f>
        <v>1</v>
      </c>
      <c r="P129" s="217">
        <f ca="1">TblImps[[#This Row],[Population]]</f>
        <v>1</v>
      </c>
      <c r="Q129" s="175">
        <f ca="1">TblExplore[[#This Row],[Land]]</f>
        <v>50</v>
      </c>
      <c r="R129" s="175">
        <f>TblExplore[[#This Row],[Hour]]</f>
        <v>126</v>
      </c>
      <c r="S129" s="218"/>
      <c r="T129" s="179"/>
      <c r="U129" s="179"/>
      <c r="V129" s="179"/>
      <c r="W129" s="179"/>
      <c r="X129" s="179"/>
      <c r="Y129" s="179"/>
      <c r="Z129" s="179"/>
      <c r="AA129" s="159">
        <f ca="1">TblImps[[#This Row],[Real time]]</f>
        <v>46325.20833333303</v>
      </c>
      <c r="AB129" s="94">
        <f ca="1">TblMili[[#This Row],[Draftees]]</f>
        <v>633</v>
      </c>
      <c r="AC129" s="94">
        <f ca="1">TblProd[[#This Row],[Platinum]]</f>
        <v>210833</v>
      </c>
      <c r="AD129" s="215"/>
      <c r="AE129" s="45">
        <f ca="1">TblExplore[[#This Row],[Land]]-TblExplore[[#This Row],[Land Bonus]]*20</f>
        <v>50</v>
      </c>
      <c r="AF129" s="94">
        <f ca="1">ROUND((0.6*TblExplore[[#This Row],[Land-DB]]^1.299 + IF(TblExplore[[#This Row],[Land-DB]]&lt;1520, (-0.001*(TblExplore[[#This Row],[Land-DB]]^2)+1.91*TblExplore[[#This Row],[Land-DB]]-593), 0))*(1+ tech_2_6*Techs!AC129 + tech_2_9*Techs!AF129 + tech_3_7*Techs!AN129 + Overview!$I$33),0)</f>
        <v>-403</v>
      </c>
      <c r="AG129" s="94">
        <f ca="1">_xlfn.FLOOR.MATH(TblExplore[[#This Row],[Land-DB]]/150)+3+tech_2_9_2*TblTech[[#This Row],[2-9]]+tech_3_7_2*TblTech[[#This Row],[3-7]]</f>
        <v>3</v>
      </c>
      <c r="AH129" s="94">
        <f ca="1">SUM(TblExplore[[#This Row],[Plains Explore]:[Water Explore]])*TblExplore[[#This Row],[Plat/acre]]</f>
        <v>0</v>
      </c>
      <c r="AI129" s="94">
        <f ca="1">SUM(TblExplore[[#This Row],[Plains Explore]:[Water Explore]])*TblExplore[[#This Row],[Draftees/acre]]</f>
        <v>0</v>
      </c>
      <c r="AJ129" s="45">
        <f ca="1">_xlfn.FLOOR.MATH(MIN(TblExplore[[#This Row],[Platinum]]/TblExplore[[#This Row],[Plat/acre]],TblExplore[[#This Row],[Draftees]]/TblExplore[[#This Row],[Draftees/acre]]))</f>
        <v>-524</v>
      </c>
    </row>
    <row r="130" spans="1:36" x14ac:dyDescent="0.2">
      <c r="A130" s="175">
        <f>TblRezone[[#This Row],[Hour]]</f>
        <v>127</v>
      </c>
      <c r="B130" s="214">
        <f ca="1">TblConstr[[#This Row],[Land]]</f>
        <v>50</v>
      </c>
      <c r="C130" s="215"/>
      <c r="D130" s="216">
        <f ca="1">TblConstr[[#This Row],[Plain]]</f>
        <v>0</v>
      </c>
      <c r="E130" s="182">
        <f ca="1">TblConstr[[#This Row],[Forest]]</f>
        <v>0</v>
      </c>
      <c r="F130" s="359">
        <f ca="1">TblConstr[[#This Row],[Mountain]]</f>
        <v>0</v>
      </c>
      <c r="G130" s="363">
        <f ca="1">TblConstr[[#This Row],[Hill]]</f>
        <v>0</v>
      </c>
      <c r="H130" s="367">
        <f ca="1">TblConstr[[#This Row],[Swamp]]</f>
        <v>0</v>
      </c>
      <c r="I130" s="185">
        <f ca="1">TblConstr[[#This Row],[Cavern]]</f>
        <v>0</v>
      </c>
      <c r="J130" s="186">
        <f ca="1">TblConstr[[#This Row],[Water]]</f>
        <v>0</v>
      </c>
      <c r="K130" s="210"/>
      <c r="L130" s="210">
        <v>7</v>
      </c>
      <c r="M130" s="210">
        <v>836</v>
      </c>
      <c r="N130" s="217">
        <f ca="1">TblMili[[#This Row],[Smithies]]</f>
        <v>0</v>
      </c>
      <c r="O130" s="217">
        <f ca="1">TblPop[[#This Row],[Employment]]</f>
        <v>1</v>
      </c>
      <c r="P130" s="217">
        <f ca="1">TblImps[[#This Row],[Population]]</f>
        <v>1</v>
      </c>
      <c r="Q130" s="175">
        <f ca="1">TblExplore[[#This Row],[Land]]</f>
        <v>50</v>
      </c>
      <c r="R130" s="175">
        <f>TblExplore[[#This Row],[Hour]]</f>
        <v>127</v>
      </c>
      <c r="S130" s="218"/>
      <c r="T130" s="179"/>
      <c r="U130" s="179"/>
      <c r="V130" s="179"/>
      <c r="W130" s="179"/>
      <c r="X130" s="179"/>
      <c r="Y130" s="179"/>
      <c r="Z130" s="179"/>
      <c r="AA130" s="159">
        <f ca="1">TblImps[[#This Row],[Real time]]</f>
        <v>46325.249999999694</v>
      </c>
      <c r="AB130" s="94">
        <f ca="1">TblMili[[#This Row],[Draftees]]</f>
        <v>634</v>
      </c>
      <c r="AC130" s="94">
        <f ca="1">TblProd[[#This Row],[Platinum]]</f>
        <v>211200</v>
      </c>
      <c r="AD130" s="215"/>
      <c r="AE130" s="45">
        <f ca="1">TblExplore[[#This Row],[Land]]-TblExplore[[#This Row],[Land Bonus]]*20</f>
        <v>50</v>
      </c>
      <c r="AF130" s="94">
        <f ca="1">ROUND((0.6*TblExplore[[#This Row],[Land-DB]]^1.299 + IF(TblExplore[[#This Row],[Land-DB]]&lt;1520, (-0.001*(TblExplore[[#This Row],[Land-DB]]^2)+1.91*TblExplore[[#This Row],[Land-DB]]-593), 0))*(1+ tech_2_6*Techs!AC130 + tech_2_9*Techs!AF130 + tech_3_7*Techs!AN130 + Overview!$I$33),0)</f>
        <v>-403</v>
      </c>
      <c r="AG130" s="94">
        <f ca="1">_xlfn.FLOOR.MATH(TblExplore[[#This Row],[Land-DB]]/150)+3+tech_2_9_2*TblTech[[#This Row],[2-9]]+tech_3_7_2*TblTech[[#This Row],[3-7]]</f>
        <v>3</v>
      </c>
      <c r="AH130" s="94">
        <f ca="1">SUM(TblExplore[[#This Row],[Plains Explore]:[Water Explore]])*TblExplore[[#This Row],[Plat/acre]]</f>
        <v>0</v>
      </c>
      <c r="AI130" s="94">
        <f ca="1">SUM(TblExplore[[#This Row],[Plains Explore]:[Water Explore]])*TblExplore[[#This Row],[Draftees/acre]]</f>
        <v>0</v>
      </c>
      <c r="AJ130" s="45">
        <f ca="1">_xlfn.FLOOR.MATH(MIN(TblExplore[[#This Row],[Platinum]]/TblExplore[[#This Row],[Plat/acre]],TblExplore[[#This Row],[Draftees]]/TblExplore[[#This Row],[Draftees/acre]]))</f>
        <v>-525</v>
      </c>
    </row>
    <row r="131" spans="1:36" x14ac:dyDescent="0.2">
      <c r="A131" s="175">
        <f>TblRezone[[#This Row],[Hour]]</f>
        <v>128</v>
      </c>
      <c r="B131" s="214">
        <f ca="1">TblConstr[[#This Row],[Land]]</f>
        <v>50</v>
      </c>
      <c r="C131" s="215"/>
      <c r="D131" s="216">
        <f ca="1">TblConstr[[#This Row],[Plain]]</f>
        <v>0</v>
      </c>
      <c r="E131" s="182">
        <f ca="1">TblConstr[[#This Row],[Forest]]</f>
        <v>0</v>
      </c>
      <c r="F131" s="359">
        <f ca="1">TblConstr[[#This Row],[Mountain]]</f>
        <v>0</v>
      </c>
      <c r="G131" s="363">
        <f ca="1">TblConstr[[#This Row],[Hill]]</f>
        <v>0</v>
      </c>
      <c r="H131" s="367">
        <f ca="1">TblConstr[[#This Row],[Swamp]]</f>
        <v>0</v>
      </c>
      <c r="I131" s="185">
        <f ca="1">TblConstr[[#This Row],[Cavern]]</f>
        <v>0</v>
      </c>
      <c r="J131" s="186">
        <f ca="1">TblConstr[[#This Row],[Water]]</f>
        <v>0</v>
      </c>
      <c r="K131" s="210"/>
      <c r="L131" s="210">
        <v>8</v>
      </c>
      <c r="M131" s="210">
        <v>1035</v>
      </c>
      <c r="N131" s="217">
        <f ca="1">TblMili[[#This Row],[Smithies]]</f>
        <v>0</v>
      </c>
      <c r="O131" s="217">
        <f ca="1">TblPop[[#This Row],[Employment]]</f>
        <v>1</v>
      </c>
      <c r="P131" s="217">
        <f ca="1">TblImps[[#This Row],[Population]]</f>
        <v>1</v>
      </c>
      <c r="Q131" s="175">
        <f ca="1">TblExplore[[#This Row],[Land]]</f>
        <v>50</v>
      </c>
      <c r="R131" s="175">
        <f>TblExplore[[#This Row],[Hour]]</f>
        <v>128</v>
      </c>
      <c r="S131" s="218"/>
      <c r="T131" s="179"/>
      <c r="U131" s="179"/>
      <c r="V131" s="179"/>
      <c r="W131" s="179"/>
      <c r="X131" s="179"/>
      <c r="Y131" s="179"/>
      <c r="Z131" s="179"/>
      <c r="AA131" s="159">
        <f ca="1">TblImps[[#This Row],[Real time]]</f>
        <v>46325.291666666359</v>
      </c>
      <c r="AB131" s="94">
        <f ca="1">TblMili[[#This Row],[Draftees]]</f>
        <v>635</v>
      </c>
      <c r="AC131" s="94">
        <f ca="1">TblProd[[#This Row],[Platinum]]</f>
        <v>211564</v>
      </c>
      <c r="AD131" s="215"/>
      <c r="AE131" s="45">
        <f ca="1">TblExplore[[#This Row],[Land]]-TblExplore[[#This Row],[Land Bonus]]*20</f>
        <v>50</v>
      </c>
      <c r="AF131" s="94">
        <f ca="1">ROUND((0.6*TblExplore[[#This Row],[Land-DB]]^1.299 + IF(TblExplore[[#This Row],[Land-DB]]&lt;1520, (-0.001*(TblExplore[[#This Row],[Land-DB]]^2)+1.91*TblExplore[[#This Row],[Land-DB]]-593), 0))*(1+ tech_2_6*Techs!AC131 + tech_2_9*Techs!AF131 + tech_3_7*Techs!AN131 + Overview!$I$33),0)</f>
        <v>-403</v>
      </c>
      <c r="AG131" s="94">
        <f ca="1">_xlfn.FLOOR.MATH(TblExplore[[#This Row],[Land-DB]]/150)+3+tech_2_9_2*TblTech[[#This Row],[2-9]]+tech_3_7_2*TblTech[[#This Row],[3-7]]</f>
        <v>3</v>
      </c>
      <c r="AH131" s="94">
        <f ca="1">SUM(TblExplore[[#This Row],[Plains Explore]:[Water Explore]])*TblExplore[[#This Row],[Plat/acre]]</f>
        <v>0</v>
      </c>
      <c r="AI131" s="94">
        <f ca="1">SUM(TblExplore[[#This Row],[Plains Explore]:[Water Explore]])*TblExplore[[#This Row],[Draftees/acre]]</f>
        <v>0</v>
      </c>
      <c r="AJ131" s="45">
        <f ca="1">_xlfn.FLOOR.MATH(MIN(TblExplore[[#This Row],[Platinum]]/TblExplore[[#This Row],[Plat/acre]],TblExplore[[#This Row],[Draftees]]/TblExplore[[#This Row],[Draftees/acre]]))</f>
        <v>-525</v>
      </c>
    </row>
    <row r="132" spans="1:36" x14ac:dyDescent="0.2">
      <c r="A132" s="175">
        <f>TblRezone[[#This Row],[Hour]]</f>
        <v>129</v>
      </c>
      <c r="B132" s="214">
        <f ca="1">TblConstr[[#This Row],[Land]]</f>
        <v>50</v>
      </c>
      <c r="C132" s="215"/>
      <c r="D132" s="216">
        <f ca="1">TblConstr[[#This Row],[Plain]]</f>
        <v>0</v>
      </c>
      <c r="E132" s="182">
        <f ca="1">TblConstr[[#This Row],[Forest]]</f>
        <v>0</v>
      </c>
      <c r="F132" s="359">
        <f ca="1">TblConstr[[#This Row],[Mountain]]</f>
        <v>0</v>
      </c>
      <c r="G132" s="363">
        <f ca="1">TblConstr[[#This Row],[Hill]]</f>
        <v>0</v>
      </c>
      <c r="H132" s="367">
        <f ca="1">TblConstr[[#This Row],[Swamp]]</f>
        <v>0</v>
      </c>
      <c r="I132" s="185">
        <f ca="1">TblConstr[[#This Row],[Cavern]]</f>
        <v>0</v>
      </c>
      <c r="J132" s="186">
        <f ca="1">TblConstr[[#This Row],[Water]]</f>
        <v>0</v>
      </c>
      <c r="K132" s="210"/>
      <c r="L132" s="210">
        <v>9</v>
      </c>
      <c r="M132" s="210">
        <v>1229</v>
      </c>
      <c r="N132" s="217">
        <f ca="1">TblMili[[#This Row],[Smithies]]</f>
        <v>0</v>
      </c>
      <c r="O132" s="217">
        <f ca="1">TblPop[[#This Row],[Employment]]</f>
        <v>1</v>
      </c>
      <c r="P132" s="217">
        <f ca="1">TblImps[[#This Row],[Population]]</f>
        <v>1</v>
      </c>
      <c r="Q132" s="175">
        <f ca="1">TblExplore[[#This Row],[Land]]</f>
        <v>50</v>
      </c>
      <c r="R132" s="175">
        <f>TblExplore[[#This Row],[Hour]]</f>
        <v>129</v>
      </c>
      <c r="S132" s="218"/>
      <c r="T132" s="179"/>
      <c r="U132" s="179"/>
      <c r="V132" s="179"/>
      <c r="W132" s="179"/>
      <c r="X132" s="179"/>
      <c r="Y132" s="179"/>
      <c r="Z132" s="179"/>
      <c r="AA132" s="159">
        <f ca="1">TblImps[[#This Row],[Real time]]</f>
        <v>46325.333333333023</v>
      </c>
      <c r="AB132" s="94">
        <f ca="1">TblMili[[#This Row],[Draftees]]</f>
        <v>636</v>
      </c>
      <c r="AC132" s="94">
        <f ca="1">TblProd[[#This Row],[Platinum]]</f>
        <v>211925</v>
      </c>
      <c r="AD132" s="215"/>
      <c r="AE132" s="45">
        <f ca="1">TblExplore[[#This Row],[Land]]-TblExplore[[#This Row],[Land Bonus]]*20</f>
        <v>50</v>
      </c>
      <c r="AF132" s="94">
        <f ca="1">ROUND((0.6*TblExplore[[#This Row],[Land-DB]]^1.299 + IF(TblExplore[[#This Row],[Land-DB]]&lt;1520, (-0.001*(TblExplore[[#This Row],[Land-DB]]^2)+1.91*TblExplore[[#This Row],[Land-DB]]-593), 0))*(1+ tech_2_6*Techs!AC132 + tech_2_9*Techs!AF132 + tech_3_7*Techs!AN132 + Overview!$I$33),0)</f>
        <v>-403</v>
      </c>
      <c r="AG132" s="94">
        <f ca="1">_xlfn.FLOOR.MATH(TblExplore[[#This Row],[Land-DB]]/150)+3+tech_2_9_2*TblTech[[#This Row],[2-9]]+tech_3_7_2*TblTech[[#This Row],[3-7]]</f>
        <v>3</v>
      </c>
      <c r="AH132" s="94">
        <f ca="1">SUM(TblExplore[[#This Row],[Plains Explore]:[Water Explore]])*TblExplore[[#This Row],[Plat/acre]]</f>
        <v>0</v>
      </c>
      <c r="AI132" s="94">
        <f ca="1">SUM(TblExplore[[#This Row],[Plains Explore]:[Water Explore]])*TblExplore[[#This Row],[Draftees/acre]]</f>
        <v>0</v>
      </c>
      <c r="AJ132" s="45">
        <f ca="1">_xlfn.FLOOR.MATH(MIN(TblExplore[[#This Row],[Platinum]]/TblExplore[[#This Row],[Plat/acre]],TblExplore[[#This Row],[Draftees]]/TblExplore[[#This Row],[Draftees/acre]]))</f>
        <v>-526</v>
      </c>
    </row>
    <row r="133" spans="1:36" x14ac:dyDescent="0.2">
      <c r="A133" s="175">
        <f>TblRezone[[#This Row],[Hour]]</f>
        <v>130</v>
      </c>
      <c r="B133" s="214">
        <f ca="1">TblConstr[[#This Row],[Land]]</f>
        <v>50</v>
      </c>
      <c r="C133" s="215"/>
      <c r="D133" s="216">
        <f ca="1">TblConstr[[#This Row],[Plain]]</f>
        <v>0</v>
      </c>
      <c r="E133" s="182">
        <f ca="1">TblConstr[[#This Row],[Forest]]</f>
        <v>0</v>
      </c>
      <c r="F133" s="359">
        <f ca="1">TblConstr[[#This Row],[Mountain]]</f>
        <v>0</v>
      </c>
      <c r="G133" s="363">
        <f ca="1">TblConstr[[#This Row],[Hill]]</f>
        <v>0</v>
      </c>
      <c r="H133" s="367">
        <f ca="1">TblConstr[[#This Row],[Swamp]]</f>
        <v>0</v>
      </c>
      <c r="I133" s="185">
        <f ca="1">TblConstr[[#This Row],[Cavern]]</f>
        <v>0</v>
      </c>
      <c r="J133" s="186">
        <f ca="1">TblConstr[[#This Row],[Water]]</f>
        <v>0</v>
      </c>
      <c r="K133" s="210"/>
      <c r="L133" s="210">
        <v>10</v>
      </c>
      <c r="M133" s="210">
        <v>1421</v>
      </c>
      <c r="N133" s="217">
        <f ca="1">TblMili[[#This Row],[Smithies]]</f>
        <v>0</v>
      </c>
      <c r="O133" s="217">
        <f ca="1">TblPop[[#This Row],[Employment]]</f>
        <v>1</v>
      </c>
      <c r="P133" s="217">
        <f ca="1">TblImps[[#This Row],[Population]]</f>
        <v>1</v>
      </c>
      <c r="Q133" s="175">
        <f ca="1">TblExplore[[#This Row],[Land]]</f>
        <v>50</v>
      </c>
      <c r="R133" s="175">
        <f>TblExplore[[#This Row],[Hour]]</f>
        <v>130</v>
      </c>
      <c r="S133" s="218"/>
      <c r="T133" s="179"/>
      <c r="U133" s="179"/>
      <c r="V133" s="179"/>
      <c r="W133" s="179"/>
      <c r="X133" s="179"/>
      <c r="Y133" s="179"/>
      <c r="Z133" s="179"/>
      <c r="AA133" s="159">
        <f ca="1">TblImps[[#This Row],[Real time]]</f>
        <v>46325.374999999687</v>
      </c>
      <c r="AB133" s="94">
        <f ca="1">TblMili[[#This Row],[Draftees]]</f>
        <v>637</v>
      </c>
      <c r="AC133" s="94">
        <f ca="1">TblProd[[#This Row],[Platinum]]</f>
        <v>212284</v>
      </c>
      <c r="AD133" s="215"/>
      <c r="AE133" s="45">
        <f ca="1">TblExplore[[#This Row],[Land]]-TblExplore[[#This Row],[Land Bonus]]*20</f>
        <v>50</v>
      </c>
      <c r="AF133" s="94">
        <f ca="1">ROUND((0.6*TblExplore[[#This Row],[Land-DB]]^1.299 + IF(TblExplore[[#This Row],[Land-DB]]&lt;1520, (-0.001*(TblExplore[[#This Row],[Land-DB]]^2)+1.91*TblExplore[[#This Row],[Land-DB]]-593), 0))*(1+ tech_2_6*Techs!AC133 + tech_2_9*Techs!AF133 + tech_3_7*Techs!AN133 + Overview!$I$33),0)</f>
        <v>-403</v>
      </c>
      <c r="AG133" s="94">
        <f ca="1">_xlfn.FLOOR.MATH(TblExplore[[#This Row],[Land-DB]]/150)+3+tech_2_9_2*TblTech[[#This Row],[2-9]]+tech_3_7_2*TblTech[[#This Row],[3-7]]</f>
        <v>3</v>
      </c>
      <c r="AH133" s="94">
        <f ca="1">SUM(TblExplore[[#This Row],[Plains Explore]:[Water Explore]])*TblExplore[[#This Row],[Plat/acre]]</f>
        <v>0</v>
      </c>
      <c r="AI133" s="94">
        <f ca="1">SUM(TblExplore[[#This Row],[Plains Explore]:[Water Explore]])*TblExplore[[#This Row],[Draftees/acre]]</f>
        <v>0</v>
      </c>
      <c r="AJ133" s="45">
        <f ca="1">_xlfn.FLOOR.MATH(MIN(TblExplore[[#This Row],[Platinum]]/TblExplore[[#This Row],[Plat/acre]],TblExplore[[#This Row],[Draftees]]/TblExplore[[#This Row],[Draftees/acre]]))</f>
        <v>-527</v>
      </c>
    </row>
    <row r="134" spans="1:36" x14ac:dyDescent="0.2">
      <c r="A134" s="175">
        <f>TblRezone[[#This Row],[Hour]]</f>
        <v>131</v>
      </c>
      <c r="B134" s="214">
        <f ca="1">TblConstr[[#This Row],[Land]]</f>
        <v>50</v>
      </c>
      <c r="C134" s="215"/>
      <c r="D134" s="216">
        <f ca="1">TblConstr[[#This Row],[Plain]]</f>
        <v>0</v>
      </c>
      <c r="E134" s="182">
        <f ca="1">TblConstr[[#This Row],[Forest]]</f>
        <v>0</v>
      </c>
      <c r="F134" s="359">
        <f ca="1">TblConstr[[#This Row],[Mountain]]</f>
        <v>0</v>
      </c>
      <c r="G134" s="363">
        <f ca="1">TblConstr[[#This Row],[Hill]]</f>
        <v>0</v>
      </c>
      <c r="H134" s="367">
        <f ca="1">TblConstr[[#This Row],[Swamp]]</f>
        <v>0</v>
      </c>
      <c r="I134" s="185">
        <f ca="1">TblConstr[[#This Row],[Cavern]]</f>
        <v>0</v>
      </c>
      <c r="J134" s="186">
        <f ca="1">TblConstr[[#This Row],[Water]]</f>
        <v>0</v>
      </c>
      <c r="K134" s="210"/>
      <c r="L134" s="210">
        <v>11</v>
      </c>
      <c r="M134" s="210">
        <v>1610</v>
      </c>
      <c r="N134" s="217">
        <f ca="1">TblMili[[#This Row],[Smithies]]</f>
        <v>0</v>
      </c>
      <c r="O134" s="217">
        <f ca="1">TblPop[[#This Row],[Employment]]</f>
        <v>1</v>
      </c>
      <c r="P134" s="217">
        <f ca="1">TblImps[[#This Row],[Population]]</f>
        <v>1</v>
      </c>
      <c r="Q134" s="175">
        <f ca="1">TblExplore[[#This Row],[Land]]</f>
        <v>50</v>
      </c>
      <c r="R134" s="175">
        <f>TblExplore[[#This Row],[Hour]]</f>
        <v>131</v>
      </c>
      <c r="S134" s="218"/>
      <c r="T134" s="179"/>
      <c r="U134" s="179"/>
      <c r="V134" s="179"/>
      <c r="W134" s="179"/>
      <c r="X134" s="179"/>
      <c r="Y134" s="179"/>
      <c r="Z134" s="179"/>
      <c r="AA134" s="159">
        <f ca="1">TblImps[[#This Row],[Real time]]</f>
        <v>46325.416666666351</v>
      </c>
      <c r="AB134" s="94">
        <f ca="1">TblMili[[#This Row],[Draftees]]</f>
        <v>638</v>
      </c>
      <c r="AC134" s="94">
        <f ca="1">TblProd[[#This Row],[Platinum]]</f>
        <v>212640</v>
      </c>
      <c r="AD134" s="215"/>
      <c r="AE134" s="45">
        <f ca="1">TblExplore[[#This Row],[Land]]-TblExplore[[#This Row],[Land Bonus]]*20</f>
        <v>50</v>
      </c>
      <c r="AF134" s="94">
        <f ca="1">ROUND((0.6*TblExplore[[#This Row],[Land-DB]]^1.299 + IF(TblExplore[[#This Row],[Land-DB]]&lt;1520, (-0.001*(TblExplore[[#This Row],[Land-DB]]^2)+1.91*TblExplore[[#This Row],[Land-DB]]-593), 0))*(1+ tech_2_6*Techs!AC134 + tech_2_9*Techs!AF134 + tech_3_7*Techs!AN134 + Overview!$I$33),0)</f>
        <v>-403</v>
      </c>
      <c r="AG134" s="94">
        <f ca="1">_xlfn.FLOOR.MATH(TblExplore[[#This Row],[Land-DB]]/150)+3+tech_2_9_2*TblTech[[#This Row],[2-9]]+tech_3_7_2*TblTech[[#This Row],[3-7]]</f>
        <v>3</v>
      </c>
      <c r="AH134" s="94">
        <f ca="1">SUM(TblExplore[[#This Row],[Plains Explore]:[Water Explore]])*TblExplore[[#This Row],[Plat/acre]]</f>
        <v>0</v>
      </c>
      <c r="AI134" s="94">
        <f ca="1">SUM(TblExplore[[#This Row],[Plains Explore]:[Water Explore]])*TblExplore[[#This Row],[Draftees/acre]]</f>
        <v>0</v>
      </c>
      <c r="AJ134" s="45">
        <f ca="1">_xlfn.FLOOR.MATH(MIN(TblExplore[[#This Row],[Platinum]]/TblExplore[[#This Row],[Plat/acre]],TblExplore[[#This Row],[Draftees]]/TblExplore[[#This Row],[Draftees/acre]]))</f>
        <v>-528</v>
      </c>
    </row>
    <row r="135" spans="1:36" x14ac:dyDescent="0.2">
      <c r="A135" s="175">
        <f>TblRezone[[#This Row],[Hour]]</f>
        <v>132</v>
      </c>
      <c r="B135" s="214">
        <f ca="1">TblConstr[[#This Row],[Land]]</f>
        <v>50</v>
      </c>
      <c r="C135" s="215"/>
      <c r="D135" s="216">
        <f ca="1">TblConstr[[#This Row],[Plain]]</f>
        <v>0</v>
      </c>
      <c r="E135" s="182">
        <f ca="1">TblConstr[[#This Row],[Forest]]</f>
        <v>0</v>
      </c>
      <c r="F135" s="359">
        <f ca="1">TblConstr[[#This Row],[Mountain]]</f>
        <v>0</v>
      </c>
      <c r="G135" s="363">
        <f ca="1">TblConstr[[#This Row],[Hill]]</f>
        <v>0</v>
      </c>
      <c r="H135" s="367">
        <f ca="1">TblConstr[[#This Row],[Swamp]]</f>
        <v>0</v>
      </c>
      <c r="I135" s="185">
        <f ca="1">TblConstr[[#This Row],[Cavern]]</f>
        <v>0</v>
      </c>
      <c r="J135" s="186">
        <f ca="1">TblConstr[[#This Row],[Water]]</f>
        <v>0</v>
      </c>
      <c r="K135" s="210"/>
      <c r="L135" s="210">
        <v>12</v>
      </c>
      <c r="M135" s="210">
        <v>1798</v>
      </c>
      <c r="N135" s="217">
        <f ca="1">TblMili[[#This Row],[Smithies]]</f>
        <v>0</v>
      </c>
      <c r="O135" s="217">
        <f ca="1">TblPop[[#This Row],[Employment]]</f>
        <v>1</v>
      </c>
      <c r="P135" s="217">
        <f ca="1">TblImps[[#This Row],[Population]]</f>
        <v>1</v>
      </c>
      <c r="Q135" s="175">
        <f ca="1">TblExplore[[#This Row],[Land]]</f>
        <v>50</v>
      </c>
      <c r="R135" s="175">
        <f>TblExplore[[#This Row],[Hour]]</f>
        <v>132</v>
      </c>
      <c r="S135" s="218"/>
      <c r="T135" s="179"/>
      <c r="U135" s="179"/>
      <c r="V135" s="179"/>
      <c r="W135" s="179"/>
      <c r="X135" s="179"/>
      <c r="Y135" s="179"/>
      <c r="Z135" s="179"/>
      <c r="AA135" s="159">
        <f ca="1">TblImps[[#This Row],[Real time]]</f>
        <v>46325.458333333016</v>
      </c>
      <c r="AB135" s="94">
        <f ca="1">TblMili[[#This Row],[Draftees]]</f>
        <v>639</v>
      </c>
      <c r="AC135" s="94">
        <f ca="1">TblProd[[#This Row],[Platinum]]</f>
        <v>212993</v>
      </c>
      <c r="AD135" s="215"/>
      <c r="AE135" s="45">
        <f ca="1">TblExplore[[#This Row],[Land]]-TblExplore[[#This Row],[Land Bonus]]*20</f>
        <v>50</v>
      </c>
      <c r="AF135" s="94">
        <f ca="1">ROUND((0.6*TblExplore[[#This Row],[Land-DB]]^1.299 + IF(TblExplore[[#This Row],[Land-DB]]&lt;1520, (-0.001*(TblExplore[[#This Row],[Land-DB]]^2)+1.91*TblExplore[[#This Row],[Land-DB]]-593), 0))*(1+ tech_2_6*Techs!AC135 + tech_2_9*Techs!AF135 + tech_3_7*Techs!AN135 + Overview!$I$33),0)</f>
        <v>-403</v>
      </c>
      <c r="AG135" s="94">
        <f ca="1">_xlfn.FLOOR.MATH(TblExplore[[#This Row],[Land-DB]]/150)+3+tech_2_9_2*TblTech[[#This Row],[2-9]]+tech_3_7_2*TblTech[[#This Row],[3-7]]</f>
        <v>3</v>
      </c>
      <c r="AH135" s="94">
        <f ca="1">SUM(TblExplore[[#This Row],[Plains Explore]:[Water Explore]])*TblExplore[[#This Row],[Plat/acre]]</f>
        <v>0</v>
      </c>
      <c r="AI135" s="94">
        <f ca="1">SUM(TblExplore[[#This Row],[Plains Explore]:[Water Explore]])*TblExplore[[#This Row],[Draftees/acre]]</f>
        <v>0</v>
      </c>
      <c r="AJ135" s="45">
        <f ca="1">_xlfn.FLOOR.MATH(MIN(TblExplore[[#This Row],[Platinum]]/TblExplore[[#This Row],[Plat/acre]],TblExplore[[#This Row],[Draftees]]/TblExplore[[#This Row],[Draftees/acre]]))</f>
        <v>-529</v>
      </c>
    </row>
    <row r="136" spans="1:36" x14ac:dyDescent="0.2">
      <c r="A136" s="175">
        <f>TblRezone[[#This Row],[Hour]]</f>
        <v>133</v>
      </c>
      <c r="B136" s="214">
        <f ca="1">TblConstr[[#This Row],[Land]]</f>
        <v>50</v>
      </c>
      <c r="C136" s="215"/>
      <c r="D136" s="216">
        <f ca="1">TblConstr[[#This Row],[Plain]]</f>
        <v>0</v>
      </c>
      <c r="E136" s="182">
        <f ca="1">TblConstr[[#This Row],[Forest]]</f>
        <v>0</v>
      </c>
      <c r="F136" s="359">
        <f ca="1">TblConstr[[#This Row],[Mountain]]</f>
        <v>0</v>
      </c>
      <c r="G136" s="363">
        <f ca="1">TblConstr[[#This Row],[Hill]]</f>
        <v>0</v>
      </c>
      <c r="H136" s="367">
        <f ca="1">TblConstr[[#This Row],[Swamp]]</f>
        <v>0</v>
      </c>
      <c r="I136" s="185">
        <f ca="1">TblConstr[[#This Row],[Cavern]]</f>
        <v>0</v>
      </c>
      <c r="J136" s="186">
        <f ca="1">TblConstr[[#This Row],[Water]]</f>
        <v>0</v>
      </c>
      <c r="K136" s="210"/>
      <c r="L136" s="210">
        <v>13</v>
      </c>
      <c r="M136" s="210">
        <v>1984</v>
      </c>
      <c r="N136" s="217">
        <f ca="1">TblMili[[#This Row],[Smithies]]</f>
        <v>0</v>
      </c>
      <c r="O136" s="217">
        <f ca="1">TblPop[[#This Row],[Employment]]</f>
        <v>0</v>
      </c>
      <c r="P136" s="217">
        <f ca="1">TblImps[[#This Row],[Population]]</f>
        <v>1</v>
      </c>
      <c r="Q136" s="175">
        <f ca="1">TblExplore[[#This Row],[Land]]</f>
        <v>50</v>
      </c>
      <c r="R136" s="175">
        <f>TblExplore[[#This Row],[Hour]]</f>
        <v>133</v>
      </c>
      <c r="S136" s="218"/>
      <c r="T136" s="179"/>
      <c r="U136" s="179"/>
      <c r="V136" s="179"/>
      <c r="W136" s="179"/>
      <c r="X136" s="179"/>
      <c r="Y136" s="179"/>
      <c r="Z136" s="179"/>
      <c r="AA136" s="159">
        <f ca="1">TblImps[[#This Row],[Real time]]</f>
        <v>46325.49999999968</v>
      </c>
      <c r="AB136" s="94">
        <f ca="1">TblMili[[#This Row],[Draftees]]</f>
        <v>640</v>
      </c>
      <c r="AC136" s="94">
        <f ca="1">TblProd[[#This Row],[Platinum]]</f>
        <v>213344</v>
      </c>
      <c r="AD136" s="215"/>
      <c r="AE136" s="45">
        <f ca="1">TblExplore[[#This Row],[Land]]-TblExplore[[#This Row],[Land Bonus]]*20</f>
        <v>50</v>
      </c>
      <c r="AF136" s="94">
        <f ca="1">ROUND((0.6*TblExplore[[#This Row],[Land-DB]]^1.299 + IF(TblExplore[[#This Row],[Land-DB]]&lt;1520, (-0.001*(TblExplore[[#This Row],[Land-DB]]^2)+1.91*TblExplore[[#This Row],[Land-DB]]-593), 0))*(1+ tech_2_6*Techs!AC136 + tech_2_9*Techs!AF136 + tech_3_7*Techs!AN136 + Overview!$I$33),0)</f>
        <v>-403</v>
      </c>
      <c r="AG136" s="94">
        <f ca="1">_xlfn.FLOOR.MATH(TblExplore[[#This Row],[Land-DB]]/150)+3+tech_2_9_2*TblTech[[#This Row],[2-9]]+tech_3_7_2*TblTech[[#This Row],[3-7]]</f>
        <v>3</v>
      </c>
      <c r="AH136" s="94">
        <f ca="1">SUM(TblExplore[[#This Row],[Plains Explore]:[Water Explore]])*TblExplore[[#This Row],[Plat/acre]]</f>
        <v>0</v>
      </c>
      <c r="AI136" s="94">
        <f ca="1">SUM(TblExplore[[#This Row],[Plains Explore]:[Water Explore]])*TblExplore[[#This Row],[Draftees/acre]]</f>
        <v>0</v>
      </c>
      <c r="AJ136" s="45">
        <f ca="1">_xlfn.FLOOR.MATH(MIN(TblExplore[[#This Row],[Platinum]]/TblExplore[[#This Row],[Plat/acre]],TblExplore[[#This Row],[Draftees]]/TblExplore[[#This Row],[Draftees/acre]]))</f>
        <v>-530</v>
      </c>
    </row>
    <row r="1269" spans="2:13" x14ac:dyDescent="0.2">
      <c r="B1269" s="531" t="s">
        <v>314</v>
      </c>
      <c r="C1269" s="531"/>
      <c r="L1269" s="234"/>
      <c r="M1269" s="234"/>
    </row>
    <row r="1270" spans="2:13" x14ac:dyDescent="0.2">
      <c r="B1270" s="28">
        <f>Overview!E17</f>
        <v>0</v>
      </c>
      <c r="C1270" s="28"/>
      <c r="L1270" s="234"/>
      <c r="M1270" s="234"/>
    </row>
  </sheetData>
  <mergeCells count="3">
    <mergeCell ref="AB1:AC1"/>
    <mergeCell ref="L1:Q1"/>
    <mergeCell ref="B1269:C1269"/>
  </mergeCells>
  <phoneticPr fontId="0" type="noConversion"/>
  <conditionalFormatting sqref="M26:M32 M98:M104">
    <cfRule type="expression" dxfId="488" priority="19" stopIfTrue="1">
      <formula>$M26&lt;$M17</formula>
    </cfRule>
    <cfRule type="expression" dxfId="487" priority="20" stopIfTrue="1">
      <formula>$M17&lt;$M26</formula>
    </cfRule>
  </conditionalFormatting>
  <conditionalFormatting sqref="C1270 D1269:AJ1270 A1269:B1270">
    <cfRule type="expression" dxfId="486" priority="17" stopIfTrue="1">
      <formula>$B$1270&gt;144</formula>
    </cfRule>
  </conditionalFormatting>
  <conditionalFormatting sqref="A4:J136 N4:AJ12 N49:AJ136 N41:S48 U41:AJ48 N16:AJ23 N13:V15 X13:AJ15 N27:AJ40 N24:V26 X24:AJ26">
    <cfRule type="expression" dxfId="485" priority="7" stopIfTrue="1">
      <formula>ROW()-3=$B$1270</formula>
    </cfRule>
  </conditionalFormatting>
  <conditionalFormatting sqref="D4:J136">
    <cfRule type="expression" dxfId="484" priority="8" stopIfTrue="1">
      <formula>OR(ROW()-3=$B$1270,D4&lt;0)</formula>
    </cfRule>
  </conditionalFormatting>
  <conditionalFormatting sqref="A1:XFD3">
    <cfRule type="expression" dxfId="483" priority="22" stopIfTrue="1">
      <formula>$B$1270&lt;0</formula>
    </cfRule>
  </conditionalFormatting>
  <conditionalFormatting sqref="A4:AJ12 A41:S48 U41:AJ48 A16:AJ23 A13:V15 X13:AJ15 A27:AJ40 A24:V26 X24:AJ26 A49:AJ136">
    <cfRule type="expression" dxfId="482" priority="9">
      <formula>$A4=49</formula>
    </cfRule>
    <cfRule type="expression" dxfId="481" priority="16">
      <formula>ROUND(($A4-1)/12,0)=INT($A4-1)/12</formula>
    </cfRule>
  </conditionalFormatting>
  <conditionalFormatting sqref="W13:W15">
    <cfRule type="expression" dxfId="480" priority="4" stopIfTrue="1">
      <formula>ROW()-3=$A$1270</formula>
    </cfRule>
    <cfRule type="expression" dxfId="479" priority="5">
      <formula>$A13=49</formula>
    </cfRule>
    <cfRule type="expression" dxfId="478" priority="6">
      <formula>ROUND(($A13-1)/12,0)=INT($A13-1)/12</formula>
    </cfRule>
  </conditionalFormatting>
  <conditionalFormatting sqref="W24:W26">
    <cfRule type="expression" dxfId="477" priority="1" stopIfTrue="1">
      <formula>ROW()-3=$B$1270</formula>
    </cfRule>
  </conditionalFormatting>
  <conditionalFormatting sqref="W24:W26">
    <cfRule type="expression" dxfId="476" priority="2">
      <formula>$A24=49</formula>
    </cfRule>
    <cfRule type="expression" dxfId="475" priority="3">
      <formula>ROUND(($A24-1)/12,0)=INT($A24-1)/12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5"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ColWidth="9.140625" defaultRowHeight="12.75" x14ac:dyDescent="0.2"/>
  <cols>
    <col min="1" max="1" width="7.7109375" style="45" customWidth="1"/>
    <col min="2" max="2" width="6.85546875" style="45" bestFit="1" customWidth="1"/>
    <col min="3" max="3" width="7.140625" style="45" customWidth="1"/>
    <col min="4" max="4" width="10.5703125" style="45" customWidth="1"/>
    <col min="5" max="5" width="4.85546875" style="45" customWidth="1"/>
    <col min="6" max="7" width="8" style="45" customWidth="1"/>
    <col min="8" max="8" width="6.5703125" style="45" customWidth="1"/>
    <col min="9" max="9" width="3.28515625" style="45" customWidth="1"/>
    <col min="10" max="10" width="7.5703125" style="57" customWidth="1"/>
    <col min="11" max="11" width="7.85546875" style="45" customWidth="1"/>
    <col min="12" max="12" width="6.85546875" style="45" customWidth="1"/>
    <col min="13" max="13" width="7.140625" style="45" customWidth="1"/>
    <col min="14" max="14" width="10.5703125" style="45" customWidth="1"/>
    <col min="15" max="15" width="4.85546875" style="45" customWidth="1"/>
    <col min="16" max="16" width="8.140625" style="45" customWidth="1"/>
    <col min="17" max="17" width="8" style="45" customWidth="1"/>
    <col min="18" max="18" width="6.5703125" style="45" customWidth="1"/>
    <col min="19" max="19" width="10.7109375" style="45" customWidth="1"/>
    <col min="20" max="20" width="6.85546875" style="45" customWidth="1"/>
    <col min="21" max="21" width="3.28515625" style="45" customWidth="1"/>
    <col min="22" max="22" width="11.28515625" style="45" customWidth="1"/>
    <col min="23" max="23" width="3.28515625" style="45" customWidth="1"/>
    <col min="24" max="24" width="11.140625" style="45" customWidth="1"/>
    <col min="25" max="25" width="12.28515625" style="45" customWidth="1"/>
    <col min="26" max="26" width="3" style="45" customWidth="1"/>
    <col min="27" max="27" width="11.7109375" style="45" customWidth="1"/>
    <col min="28" max="28" width="3.42578125" style="45" customWidth="1"/>
    <col min="29" max="29" width="10.140625" style="45" customWidth="1"/>
    <col min="30" max="16384" width="9.140625" style="45"/>
  </cols>
  <sheetData>
    <row r="1" spans="1:29" x14ac:dyDescent="0.2">
      <c r="A1" s="5"/>
      <c r="B1" s="5" t="s">
        <v>54</v>
      </c>
      <c r="C1" s="5"/>
      <c r="D1" s="5"/>
      <c r="E1" s="5"/>
      <c r="F1" s="5"/>
      <c r="G1" s="5"/>
      <c r="H1" s="5"/>
      <c r="I1" s="5"/>
      <c r="J1" s="28"/>
      <c r="K1" s="5"/>
      <c r="L1" s="235" t="s">
        <v>302</v>
      </c>
      <c r="M1" s="5"/>
      <c r="N1" s="5"/>
      <c r="O1" s="5"/>
      <c r="P1" s="5"/>
      <c r="Q1" s="5"/>
      <c r="R1" s="5"/>
      <c r="S1" s="5"/>
      <c r="T1" s="5"/>
      <c r="U1" s="5"/>
      <c r="V1" s="5" t="s">
        <v>192</v>
      </c>
      <c r="W1" s="5"/>
      <c r="X1" s="5" t="s">
        <v>33</v>
      </c>
      <c r="Y1" s="5"/>
      <c r="Z1" s="5"/>
      <c r="AA1" s="5" t="s">
        <v>191</v>
      </c>
      <c r="AB1" s="5"/>
      <c r="AC1" s="5"/>
    </row>
    <row r="2" spans="1:29" x14ac:dyDescent="0.2">
      <c r="A2" s="5"/>
      <c r="B2" s="5"/>
      <c r="C2" s="5"/>
      <c r="D2" s="5"/>
      <c r="E2" s="5"/>
      <c r="F2" s="5"/>
      <c r="G2" s="5"/>
      <c r="H2" s="5"/>
      <c r="I2" s="5"/>
      <c r="J2" s="28"/>
      <c r="K2" s="5"/>
      <c r="L2" s="235"/>
      <c r="M2" s="5"/>
      <c r="N2" s="5"/>
      <c r="O2" s="5"/>
      <c r="P2" s="5"/>
      <c r="Q2" s="5"/>
      <c r="R2" s="5"/>
      <c r="S2" s="5"/>
      <c r="T2" s="5"/>
      <c r="U2" s="5"/>
      <c r="V2" s="5"/>
      <c r="W2" s="5"/>
      <c r="X2" s="5"/>
      <c r="Y2" s="5"/>
      <c r="Z2" s="5"/>
      <c r="AA2" s="5"/>
      <c r="AB2" s="5"/>
      <c r="AC2" s="5"/>
    </row>
    <row r="3" spans="1:29" ht="15" customHeight="1" x14ac:dyDescent="0.2">
      <c r="A3" s="135" t="s">
        <v>1</v>
      </c>
      <c r="B3" s="135" t="s">
        <v>55</v>
      </c>
      <c r="C3" s="135" t="s">
        <v>58</v>
      </c>
      <c r="D3" s="135" t="s">
        <v>176</v>
      </c>
      <c r="E3" s="135" t="s">
        <v>59</v>
      </c>
      <c r="F3" s="135" t="s">
        <v>60</v>
      </c>
      <c r="G3" s="135" t="s">
        <v>61</v>
      </c>
      <c r="H3" s="135" t="s">
        <v>62</v>
      </c>
      <c r="I3" s="135" t="s">
        <v>765</v>
      </c>
      <c r="J3" s="135" t="s">
        <v>0</v>
      </c>
      <c r="K3" s="135" t="s">
        <v>309</v>
      </c>
      <c r="L3" s="135" t="s">
        <v>1016</v>
      </c>
      <c r="M3" s="135" t="s">
        <v>1017</v>
      </c>
      <c r="N3" s="135" t="s">
        <v>1018</v>
      </c>
      <c r="O3" s="135" t="s">
        <v>1019</v>
      </c>
      <c r="P3" s="135" t="s">
        <v>1020</v>
      </c>
      <c r="Q3" s="135" t="s">
        <v>1021</v>
      </c>
      <c r="R3" s="135" t="s">
        <v>1022</v>
      </c>
      <c r="S3" s="135" t="s">
        <v>300</v>
      </c>
      <c r="T3" s="135" t="s">
        <v>193</v>
      </c>
      <c r="U3" s="135" t="s">
        <v>766</v>
      </c>
      <c r="V3" s="135" t="s">
        <v>2</v>
      </c>
      <c r="W3" s="135" t="s">
        <v>767</v>
      </c>
      <c r="X3" s="135" t="s">
        <v>57</v>
      </c>
      <c r="Y3" s="135" t="s">
        <v>891</v>
      </c>
      <c r="Z3" s="135" t="s">
        <v>780</v>
      </c>
      <c r="AA3" s="135" t="s">
        <v>259</v>
      </c>
      <c r="AB3" s="135" t="s">
        <v>781</v>
      </c>
      <c r="AC3" s="135" t="s">
        <v>189</v>
      </c>
    </row>
    <row r="4" spans="1:29" ht="12.75" customHeight="1" x14ac:dyDescent="0.2">
      <c r="A4" s="214">
        <f ca="1">TblConstr[[#This Row],[Land]]</f>
        <v>50</v>
      </c>
      <c r="B4" s="216">
        <f ca="1">TblConstr[[#This Row],[Plain]]</f>
        <v>0</v>
      </c>
      <c r="C4" s="182">
        <f ca="1">TblConstr[[#This Row],[Forest]]</f>
        <v>0</v>
      </c>
      <c r="D4" s="359">
        <f ca="1">TblConstr[[#This Row],[Mountain]]</f>
        <v>0</v>
      </c>
      <c r="E4" s="363">
        <f ca="1">TblConstr[[#This Row],[Hill]]</f>
        <v>0</v>
      </c>
      <c r="F4" s="367">
        <f ca="1">TblConstr[[#This Row],[Swamp]]</f>
        <v>0</v>
      </c>
      <c r="G4" s="185">
        <f ca="1">TblConstr[[#This Row],[Cavern]]</f>
        <v>0</v>
      </c>
      <c r="H4" s="186">
        <f ca="1">TblConstr[[#This Row],[Water]]</f>
        <v>0</v>
      </c>
      <c r="I4" s="215"/>
      <c r="J4" s="175">
        <v>1</v>
      </c>
      <c r="K4" s="236">
        <f>TblImps[[#This Row],[Real time]]</f>
        <v>46320</v>
      </c>
      <c r="L4" s="158"/>
      <c r="M4" s="158"/>
      <c r="N4" s="179"/>
      <c r="O4" s="158"/>
      <c r="P4" s="158"/>
      <c r="Q4" s="158"/>
      <c r="R4" s="158"/>
      <c r="S4" s="94">
        <f>SUMIF(TblRezone[[#This Row],[Plains Rezone]:[Water Rezone]],"&gt;0")</f>
        <v>0</v>
      </c>
      <c r="T4" s="61" t="str">
        <f>IF(SUM(TblRezone[[#This Row],[Plains Rezone]:[Water Rezone]])=0,"Ok","Nope")</f>
        <v>Ok</v>
      </c>
      <c r="U4" s="215"/>
      <c r="V4" s="94">
        <f ca="1">TblProd[[#This Row],[Platinum]]</f>
        <v>120000</v>
      </c>
      <c r="W4" s="215"/>
      <c r="X4" s="94">
        <f ca="1">ROUND( (1-MIN(ROUND(facs_rezone_factor*TblRezone[[#This Row],[Facs]],4),facs_rezone_max) + tech_6_4*TblTech[[#This Row],[6-4]] + tech_10_2*TblTech[[#This Row],[10-2]] - IF(TblMagic[[#This Row],[Active Mechanical Genius]]&gt;0,mech_genius_bonus,0) + race_rezone_cost) * TblRezone[[#This Row],[Plat/acre*]],0)</f>
        <v>130</v>
      </c>
      <c r="Y4" s="94">
        <f ca="1">TblRezone[[#This Row],[Total acres]]*TblRezone[[#This Row],[Plat/acre]]</f>
        <v>0</v>
      </c>
      <c r="Z4" s="215"/>
      <c r="AA4" s="94">
        <f ca="1">(250+0.6*(TblRezone[[#This Row],[Land]]-250))</f>
        <v>130</v>
      </c>
      <c r="AB4" s="215"/>
      <c r="AC4" s="157">
        <f ca="1">TblConstr[[#This Row],[Facs DB]]</f>
        <v>0</v>
      </c>
    </row>
    <row r="5" spans="1:29" x14ac:dyDescent="0.2">
      <c r="A5" s="214">
        <f ca="1">TblConstr[[#This Row],[Land]]</f>
        <v>50</v>
      </c>
      <c r="B5" s="216">
        <f ca="1">TblConstr[[#This Row],[Plain]]</f>
        <v>0</v>
      </c>
      <c r="C5" s="182">
        <f ca="1">TblConstr[[#This Row],[Forest]]</f>
        <v>0</v>
      </c>
      <c r="D5" s="359">
        <f ca="1">TblConstr[[#This Row],[Mountain]]</f>
        <v>0</v>
      </c>
      <c r="E5" s="363">
        <f ca="1">TblConstr[[#This Row],[Hill]]</f>
        <v>0</v>
      </c>
      <c r="F5" s="367">
        <f ca="1">TblConstr[[#This Row],[Swamp]]</f>
        <v>0</v>
      </c>
      <c r="G5" s="185">
        <f ca="1">TblConstr[[#This Row],[Cavern]]</f>
        <v>0</v>
      </c>
      <c r="H5" s="186">
        <f ca="1">TblConstr[[#This Row],[Water]]</f>
        <v>0</v>
      </c>
      <c r="I5" s="215"/>
      <c r="J5" s="175">
        <f t="shared" ref="J5:J15" si="0">J4+1</f>
        <v>2</v>
      </c>
      <c r="K5" s="236">
        <f ca="1">TblImps[[#This Row],[Real time]]</f>
        <v>46320.041666666664</v>
      </c>
      <c r="L5" s="179"/>
      <c r="M5" s="179"/>
      <c r="N5" s="179"/>
      <c r="O5" s="179"/>
      <c r="P5" s="179"/>
      <c r="Q5" s="179"/>
      <c r="R5" s="179"/>
      <c r="S5" s="94">
        <f>SUMIF(TblRezone[[#This Row],[Plains Rezone]:[Water Rezone]],"&gt;0")</f>
        <v>0</v>
      </c>
      <c r="T5" s="61" t="str">
        <f>IF(SUM(TblRezone[[#This Row],[Plains Rezone]:[Water Rezone]])=0,"Ok","Nope")</f>
        <v>Ok</v>
      </c>
      <c r="U5" s="215"/>
      <c r="V5" s="94">
        <f ca="1">TblProd[[#This Row],[Platinum]]</f>
        <v>121266</v>
      </c>
      <c r="W5" s="215"/>
      <c r="X5" s="94">
        <f ca="1">ROUND( (1-MIN(ROUND(facs_rezone_factor*TblRezone[[#This Row],[Facs]],4),facs_rezone_max) + tech_6_4*TblTech[[#This Row],[6-4]] + tech_10_2*TblTech[[#This Row],[10-2]] - IF(TblMagic[[#This Row],[Active Mechanical Genius]]&gt;0,mech_genius_bonus,0) + race_rezone_cost) * TblRezone[[#This Row],[Plat/acre*]],0)</f>
        <v>130</v>
      </c>
      <c r="Y5" s="94">
        <f ca="1">TblRezone[[#This Row],[Total acres]]*TblRezone[[#This Row],[Plat/acre]]</f>
        <v>0</v>
      </c>
      <c r="Z5" s="215"/>
      <c r="AA5" s="94">
        <f ca="1">(250+0.6*(TblRezone[[#This Row],[Land]]-250))</f>
        <v>130</v>
      </c>
      <c r="AB5" s="215"/>
      <c r="AC5" s="157">
        <f ca="1">TblConstr[[#This Row],[Facs DB]]</f>
        <v>0</v>
      </c>
    </row>
    <row r="6" spans="1:29" x14ac:dyDescent="0.2">
      <c r="A6" s="214">
        <f ca="1">TblConstr[[#This Row],[Land]]</f>
        <v>50</v>
      </c>
      <c r="B6" s="216">
        <f ca="1">TblConstr[[#This Row],[Plain]]</f>
        <v>0</v>
      </c>
      <c r="C6" s="182">
        <f ca="1">TblConstr[[#This Row],[Forest]]</f>
        <v>0</v>
      </c>
      <c r="D6" s="359">
        <f ca="1">TblConstr[[#This Row],[Mountain]]</f>
        <v>0</v>
      </c>
      <c r="E6" s="363">
        <f ca="1">TblConstr[[#This Row],[Hill]]</f>
        <v>0</v>
      </c>
      <c r="F6" s="367">
        <f ca="1">TblConstr[[#This Row],[Swamp]]</f>
        <v>0</v>
      </c>
      <c r="G6" s="185">
        <f ca="1">TblConstr[[#This Row],[Cavern]]</f>
        <v>0</v>
      </c>
      <c r="H6" s="186">
        <f ca="1">TblConstr[[#This Row],[Water]]</f>
        <v>0</v>
      </c>
      <c r="I6" s="215"/>
      <c r="J6" s="175">
        <f t="shared" si="0"/>
        <v>3</v>
      </c>
      <c r="K6" s="236">
        <f ca="1">TblImps[[#This Row],[Real time]]</f>
        <v>46320.083333333328</v>
      </c>
      <c r="L6" s="179"/>
      <c r="M6" s="179"/>
      <c r="N6" s="179"/>
      <c r="O6" s="179"/>
      <c r="P6" s="179"/>
      <c r="Q6" s="179"/>
      <c r="R6" s="179"/>
      <c r="S6" s="94">
        <f>SUMIF(TblRezone[[#This Row],[Plains Rezone]:[Water Rezone]],"&gt;0")</f>
        <v>0</v>
      </c>
      <c r="T6" s="61" t="str">
        <f>IF(SUM(TblRezone[[#This Row],[Plains Rezone]:[Water Rezone]])=0,"Ok","Nope")</f>
        <v>Ok</v>
      </c>
      <c r="U6" s="215"/>
      <c r="V6" s="94">
        <f ca="1">TblProd[[#This Row],[Platinum]]</f>
        <v>122518</v>
      </c>
      <c r="W6" s="215"/>
      <c r="X6" s="94">
        <f ca="1">ROUND( (1-MIN(ROUND(facs_rezone_factor*TblRezone[[#This Row],[Facs]],4),facs_rezone_max) + tech_6_4*TblTech[[#This Row],[6-4]] + tech_10_2*TblTech[[#This Row],[10-2]] - IF(TblMagic[[#This Row],[Active Mechanical Genius]]&gt;0,mech_genius_bonus,0) + race_rezone_cost) * TblRezone[[#This Row],[Plat/acre*]],0)</f>
        <v>130</v>
      </c>
      <c r="Y6" s="94">
        <f ca="1">TblRezone[[#This Row],[Total acres]]*TblRezone[[#This Row],[Plat/acre]]</f>
        <v>0</v>
      </c>
      <c r="Z6" s="215"/>
      <c r="AA6" s="94">
        <f ca="1">(250+0.6*(TblRezone[[#This Row],[Land]]-250))</f>
        <v>130</v>
      </c>
      <c r="AB6" s="215"/>
      <c r="AC6" s="157">
        <f ca="1">TblConstr[[#This Row],[Facs DB]]</f>
        <v>0</v>
      </c>
    </row>
    <row r="7" spans="1:29" x14ac:dyDescent="0.2">
      <c r="A7" s="214">
        <f ca="1">TblConstr[[#This Row],[Land]]</f>
        <v>50</v>
      </c>
      <c r="B7" s="216">
        <f ca="1">TblConstr[[#This Row],[Plain]]</f>
        <v>0</v>
      </c>
      <c r="C7" s="182">
        <f ca="1">TblConstr[[#This Row],[Forest]]</f>
        <v>0</v>
      </c>
      <c r="D7" s="359">
        <f ca="1">TblConstr[[#This Row],[Mountain]]</f>
        <v>0</v>
      </c>
      <c r="E7" s="363">
        <f ca="1">TblConstr[[#This Row],[Hill]]</f>
        <v>0</v>
      </c>
      <c r="F7" s="367">
        <f ca="1">TblConstr[[#This Row],[Swamp]]</f>
        <v>0</v>
      </c>
      <c r="G7" s="185">
        <f ca="1">TblConstr[[#This Row],[Cavern]]</f>
        <v>0</v>
      </c>
      <c r="H7" s="186">
        <f ca="1">TblConstr[[#This Row],[Water]]</f>
        <v>0</v>
      </c>
      <c r="I7" s="215"/>
      <c r="J7" s="175">
        <f t="shared" si="0"/>
        <v>4</v>
      </c>
      <c r="K7" s="236">
        <f ca="1">TblImps[[#This Row],[Real time]]</f>
        <v>46320.124999999993</v>
      </c>
      <c r="L7" s="179"/>
      <c r="M7" s="179"/>
      <c r="N7" s="179"/>
      <c r="O7" s="179"/>
      <c r="P7" s="179"/>
      <c r="Q7" s="179"/>
      <c r="R7" s="179"/>
      <c r="S7" s="94">
        <f>SUMIF(TblRezone[[#This Row],[Plains Rezone]:[Water Rezone]],"&gt;0")</f>
        <v>0</v>
      </c>
      <c r="T7" s="61" t="str">
        <f>IF(SUM(TblRezone[[#This Row],[Plains Rezone]:[Water Rezone]])=0,"Ok","Nope")</f>
        <v>Ok</v>
      </c>
      <c r="U7" s="215"/>
      <c r="V7" s="94">
        <f ca="1">TblProd[[#This Row],[Platinum]]</f>
        <v>123757</v>
      </c>
      <c r="W7" s="215"/>
      <c r="X7" s="94">
        <f ca="1">ROUND( (1-MIN(ROUND(facs_rezone_factor*TblRezone[[#This Row],[Facs]],4),facs_rezone_max) + tech_6_4*TblTech[[#This Row],[6-4]] + tech_10_2*TblTech[[#This Row],[10-2]] - IF(TblMagic[[#This Row],[Active Mechanical Genius]]&gt;0,mech_genius_bonus,0) + race_rezone_cost) * TblRezone[[#This Row],[Plat/acre*]],0)</f>
        <v>130</v>
      </c>
      <c r="Y7" s="94">
        <f ca="1">TblRezone[[#This Row],[Total acres]]*TblRezone[[#This Row],[Plat/acre]]</f>
        <v>0</v>
      </c>
      <c r="Z7" s="215"/>
      <c r="AA7" s="94">
        <f ca="1">(250+0.6*(TblRezone[[#This Row],[Land]]-250))</f>
        <v>130</v>
      </c>
      <c r="AB7" s="215"/>
      <c r="AC7" s="157">
        <f ca="1">TblConstr[[#This Row],[Facs DB]]</f>
        <v>0</v>
      </c>
    </row>
    <row r="8" spans="1:29" x14ac:dyDescent="0.2">
      <c r="A8" s="214">
        <f ca="1">TblConstr[[#This Row],[Land]]</f>
        <v>50</v>
      </c>
      <c r="B8" s="216">
        <f ca="1">TblConstr[[#This Row],[Plain]]</f>
        <v>0</v>
      </c>
      <c r="C8" s="182">
        <f ca="1">TblConstr[[#This Row],[Forest]]</f>
        <v>0</v>
      </c>
      <c r="D8" s="359">
        <f ca="1">TblConstr[[#This Row],[Mountain]]</f>
        <v>0</v>
      </c>
      <c r="E8" s="363">
        <f ca="1">TblConstr[[#This Row],[Hill]]</f>
        <v>0</v>
      </c>
      <c r="F8" s="367">
        <f ca="1">TblConstr[[#This Row],[Swamp]]</f>
        <v>0</v>
      </c>
      <c r="G8" s="185">
        <f ca="1">TblConstr[[#This Row],[Cavern]]</f>
        <v>0</v>
      </c>
      <c r="H8" s="186">
        <f ca="1">TblConstr[[#This Row],[Water]]</f>
        <v>0</v>
      </c>
      <c r="I8" s="215"/>
      <c r="J8" s="175">
        <f t="shared" si="0"/>
        <v>5</v>
      </c>
      <c r="K8" s="236">
        <f ca="1">TblImps[[#This Row],[Real time]]</f>
        <v>46320.166666666657</v>
      </c>
      <c r="L8" s="179"/>
      <c r="M8" s="179"/>
      <c r="N8" s="179"/>
      <c r="O8" s="179"/>
      <c r="P8" s="179"/>
      <c r="Q8" s="179"/>
      <c r="R8" s="179"/>
      <c r="S8" s="94">
        <f>SUMIF(TblRezone[[#This Row],[Plains Rezone]:[Water Rezone]],"&gt;0")</f>
        <v>0</v>
      </c>
      <c r="T8" s="61" t="str">
        <f>IF(SUM(TblRezone[[#This Row],[Plains Rezone]:[Water Rezone]])=0,"Ok","Nope")</f>
        <v>Ok</v>
      </c>
      <c r="U8" s="215"/>
      <c r="V8" s="94">
        <f ca="1">TblProd[[#This Row],[Platinum]]</f>
        <v>124982</v>
      </c>
      <c r="W8" s="215"/>
      <c r="X8" s="94">
        <f ca="1">ROUND( (1-MIN(ROUND(facs_rezone_factor*TblRezone[[#This Row],[Facs]],4),facs_rezone_max) + tech_6_4*TblTech[[#This Row],[6-4]] + tech_10_2*TblTech[[#This Row],[10-2]] - IF(TblMagic[[#This Row],[Active Mechanical Genius]]&gt;0,mech_genius_bonus,0) + race_rezone_cost) * TblRezone[[#This Row],[Plat/acre*]],0)</f>
        <v>130</v>
      </c>
      <c r="Y8" s="94">
        <f ca="1">TblRezone[[#This Row],[Total acres]]*TblRezone[[#This Row],[Plat/acre]]</f>
        <v>0</v>
      </c>
      <c r="Z8" s="215"/>
      <c r="AA8" s="94">
        <f ca="1">(250+0.6*(TblRezone[[#This Row],[Land]]-250))</f>
        <v>130</v>
      </c>
      <c r="AB8" s="215"/>
      <c r="AC8" s="157">
        <f ca="1">TblConstr[[#This Row],[Facs DB]]</f>
        <v>0</v>
      </c>
    </row>
    <row r="9" spans="1:29" x14ac:dyDescent="0.2">
      <c r="A9" s="214">
        <f ca="1">TblConstr[[#This Row],[Land]]</f>
        <v>50</v>
      </c>
      <c r="B9" s="216">
        <f ca="1">TblConstr[[#This Row],[Plain]]</f>
        <v>0</v>
      </c>
      <c r="C9" s="182">
        <f ca="1">TblConstr[[#This Row],[Forest]]</f>
        <v>0</v>
      </c>
      <c r="D9" s="359">
        <f ca="1">TblConstr[[#This Row],[Mountain]]</f>
        <v>0</v>
      </c>
      <c r="E9" s="363">
        <f ca="1">TblConstr[[#This Row],[Hill]]</f>
        <v>0</v>
      </c>
      <c r="F9" s="367">
        <f ca="1">TblConstr[[#This Row],[Swamp]]</f>
        <v>0</v>
      </c>
      <c r="G9" s="185">
        <f ca="1">TblConstr[[#This Row],[Cavern]]</f>
        <v>0</v>
      </c>
      <c r="H9" s="186">
        <f ca="1">TblConstr[[#This Row],[Water]]</f>
        <v>0</v>
      </c>
      <c r="I9" s="215"/>
      <c r="J9" s="175">
        <f t="shared" si="0"/>
        <v>6</v>
      </c>
      <c r="K9" s="236">
        <f ca="1">TblImps[[#This Row],[Real time]]</f>
        <v>46320.208333333321</v>
      </c>
      <c r="L9" s="179"/>
      <c r="M9" s="179"/>
      <c r="N9" s="179"/>
      <c r="O9" s="179"/>
      <c r="P9" s="179"/>
      <c r="Q9" s="179"/>
      <c r="R9" s="179"/>
      <c r="S9" s="94">
        <f>SUMIF(TblRezone[[#This Row],[Plains Rezone]:[Water Rezone]],"&gt;0")</f>
        <v>0</v>
      </c>
      <c r="T9" s="61" t="str">
        <f>IF(SUM(TblRezone[[#This Row],[Plains Rezone]:[Water Rezone]])=0,"Ok","Nope")</f>
        <v>Ok</v>
      </c>
      <c r="U9" s="215"/>
      <c r="V9" s="94">
        <f ca="1">TblProd[[#This Row],[Platinum]]</f>
        <v>126194</v>
      </c>
      <c r="W9" s="215"/>
      <c r="X9" s="94">
        <f ca="1">ROUND( (1-MIN(ROUND(facs_rezone_factor*TblRezone[[#This Row],[Facs]],4),facs_rezone_max) + tech_6_4*TblTech[[#This Row],[6-4]] + tech_10_2*TblTech[[#This Row],[10-2]] - IF(TblMagic[[#This Row],[Active Mechanical Genius]]&gt;0,mech_genius_bonus,0) + race_rezone_cost) * TblRezone[[#This Row],[Plat/acre*]],0)</f>
        <v>130</v>
      </c>
      <c r="Y9" s="94">
        <f ca="1">TblRezone[[#This Row],[Total acres]]*TblRezone[[#This Row],[Plat/acre]]</f>
        <v>0</v>
      </c>
      <c r="Z9" s="215"/>
      <c r="AA9" s="94">
        <f ca="1">(250+0.6*(TblRezone[[#This Row],[Land]]-250))</f>
        <v>130</v>
      </c>
      <c r="AB9" s="215"/>
      <c r="AC9" s="157">
        <f ca="1">TblConstr[[#This Row],[Facs DB]]</f>
        <v>0</v>
      </c>
    </row>
    <row r="10" spans="1:29" x14ac:dyDescent="0.2">
      <c r="A10" s="214">
        <f ca="1">TblConstr[[#This Row],[Land]]</f>
        <v>50</v>
      </c>
      <c r="B10" s="216">
        <f ca="1">TblConstr[[#This Row],[Plain]]</f>
        <v>0</v>
      </c>
      <c r="C10" s="182">
        <f ca="1">TblConstr[[#This Row],[Forest]]</f>
        <v>0</v>
      </c>
      <c r="D10" s="359">
        <f ca="1">TblConstr[[#This Row],[Mountain]]</f>
        <v>0</v>
      </c>
      <c r="E10" s="363">
        <f ca="1">TblConstr[[#This Row],[Hill]]</f>
        <v>0</v>
      </c>
      <c r="F10" s="367">
        <f ca="1">TblConstr[[#This Row],[Swamp]]</f>
        <v>0</v>
      </c>
      <c r="G10" s="185">
        <f ca="1">TblConstr[[#This Row],[Cavern]]</f>
        <v>0</v>
      </c>
      <c r="H10" s="186">
        <f ca="1">TblConstr[[#This Row],[Water]]</f>
        <v>0</v>
      </c>
      <c r="I10" s="215"/>
      <c r="J10" s="175">
        <f t="shared" si="0"/>
        <v>7</v>
      </c>
      <c r="K10" s="236">
        <f ca="1">TblImps[[#This Row],[Real time]]</f>
        <v>46320.249999999985</v>
      </c>
      <c r="L10" s="179"/>
      <c r="M10" s="179"/>
      <c r="N10" s="179"/>
      <c r="O10" s="179"/>
      <c r="P10" s="179"/>
      <c r="Q10" s="179"/>
      <c r="R10" s="179"/>
      <c r="S10" s="94">
        <f>SUMIF(TblRezone[[#This Row],[Plains Rezone]:[Water Rezone]],"&gt;0")</f>
        <v>0</v>
      </c>
      <c r="T10" s="61" t="str">
        <f>IF(SUM(TblRezone[[#This Row],[Plains Rezone]:[Water Rezone]])=0,"Ok","Nope")</f>
        <v>Ok</v>
      </c>
      <c r="U10" s="215"/>
      <c r="V10" s="94">
        <f ca="1">TblProd[[#This Row],[Platinum]]</f>
        <v>127395</v>
      </c>
      <c r="W10" s="215"/>
      <c r="X10" s="94">
        <f ca="1">ROUND( (1-MIN(ROUND(facs_rezone_factor*TblRezone[[#This Row],[Facs]],4),facs_rezone_max) + tech_6_4*TblTech[[#This Row],[6-4]] + tech_10_2*TblTech[[#This Row],[10-2]] - IF(TblMagic[[#This Row],[Active Mechanical Genius]]&gt;0,mech_genius_bonus,0) + race_rezone_cost) * TblRezone[[#This Row],[Plat/acre*]],0)</f>
        <v>130</v>
      </c>
      <c r="Y10" s="94">
        <f ca="1">TblRezone[[#This Row],[Total acres]]*TblRezone[[#This Row],[Plat/acre]]</f>
        <v>0</v>
      </c>
      <c r="Z10" s="215"/>
      <c r="AA10" s="94">
        <f ca="1">(250+0.6*(TblRezone[[#This Row],[Land]]-250))</f>
        <v>130</v>
      </c>
      <c r="AB10" s="215"/>
      <c r="AC10" s="157">
        <f ca="1">TblConstr[[#This Row],[Facs DB]]</f>
        <v>0</v>
      </c>
    </row>
    <row r="11" spans="1:29" x14ac:dyDescent="0.2">
      <c r="A11" s="214">
        <f ca="1">TblConstr[[#This Row],[Land]]</f>
        <v>50</v>
      </c>
      <c r="B11" s="216">
        <f ca="1">TblConstr[[#This Row],[Plain]]</f>
        <v>0</v>
      </c>
      <c r="C11" s="182">
        <f ca="1">TblConstr[[#This Row],[Forest]]</f>
        <v>0</v>
      </c>
      <c r="D11" s="359">
        <f ca="1">TblConstr[[#This Row],[Mountain]]</f>
        <v>0</v>
      </c>
      <c r="E11" s="363">
        <f ca="1">TblConstr[[#This Row],[Hill]]</f>
        <v>0</v>
      </c>
      <c r="F11" s="367">
        <f ca="1">TblConstr[[#This Row],[Swamp]]</f>
        <v>0</v>
      </c>
      <c r="G11" s="185">
        <f ca="1">TblConstr[[#This Row],[Cavern]]</f>
        <v>0</v>
      </c>
      <c r="H11" s="186">
        <f ca="1">TblConstr[[#This Row],[Water]]</f>
        <v>0</v>
      </c>
      <c r="I11" s="215"/>
      <c r="J11" s="175">
        <f t="shared" si="0"/>
        <v>8</v>
      </c>
      <c r="K11" s="236">
        <f ca="1">TblImps[[#This Row],[Real time]]</f>
        <v>46320.29166666665</v>
      </c>
      <c r="L11" s="179"/>
      <c r="M11" s="179"/>
      <c r="N11" s="179"/>
      <c r="O11" s="179"/>
      <c r="P11" s="179"/>
      <c r="Q11" s="179"/>
      <c r="R11" s="179"/>
      <c r="S11" s="94">
        <f>SUMIF(TblRezone[[#This Row],[Plains Rezone]:[Water Rezone]],"&gt;0")</f>
        <v>0</v>
      </c>
      <c r="T11" s="61" t="str">
        <f>IF(SUM(TblRezone[[#This Row],[Plains Rezone]:[Water Rezone]])=0,"Ok","Nope")</f>
        <v>Ok</v>
      </c>
      <c r="U11" s="215"/>
      <c r="V11" s="94">
        <f ca="1">TblProd[[#This Row],[Platinum]]</f>
        <v>128585</v>
      </c>
      <c r="W11" s="215"/>
      <c r="X11" s="94">
        <f ca="1">ROUND( (1-MIN(ROUND(facs_rezone_factor*TblRezone[[#This Row],[Facs]],4),facs_rezone_max) + tech_6_4*TblTech[[#This Row],[6-4]] + tech_10_2*TblTech[[#This Row],[10-2]] - IF(TblMagic[[#This Row],[Active Mechanical Genius]]&gt;0,mech_genius_bonus,0) + race_rezone_cost) * TblRezone[[#This Row],[Plat/acre*]],0)</f>
        <v>130</v>
      </c>
      <c r="Y11" s="94">
        <f ca="1">TblRezone[[#This Row],[Total acres]]*TblRezone[[#This Row],[Plat/acre]]</f>
        <v>0</v>
      </c>
      <c r="Z11" s="215"/>
      <c r="AA11" s="94">
        <f ca="1">(250+0.6*(TblRezone[[#This Row],[Land]]-250))</f>
        <v>130</v>
      </c>
      <c r="AB11" s="215"/>
      <c r="AC11" s="157">
        <f ca="1">TblConstr[[#This Row],[Facs DB]]</f>
        <v>0</v>
      </c>
    </row>
    <row r="12" spans="1:29" x14ac:dyDescent="0.2">
      <c r="A12" s="214">
        <f ca="1">TblConstr[[#This Row],[Land]]</f>
        <v>50</v>
      </c>
      <c r="B12" s="216">
        <f ca="1">TblConstr[[#This Row],[Plain]]</f>
        <v>0</v>
      </c>
      <c r="C12" s="182">
        <f ca="1">TblConstr[[#This Row],[Forest]]</f>
        <v>0</v>
      </c>
      <c r="D12" s="359">
        <f ca="1">TblConstr[[#This Row],[Mountain]]</f>
        <v>0</v>
      </c>
      <c r="E12" s="363">
        <f ca="1">TblConstr[[#This Row],[Hill]]</f>
        <v>0</v>
      </c>
      <c r="F12" s="367">
        <f ca="1">TblConstr[[#This Row],[Swamp]]</f>
        <v>0</v>
      </c>
      <c r="G12" s="185">
        <f ca="1">TblConstr[[#This Row],[Cavern]]</f>
        <v>0</v>
      </c>
      <c r="H12" s="186">
        <f ca="1">TblConstr[[#This Row],[Water]]</f>
        <v>0</v>
      </c>
      <c r="I12" s="215"/>
      <c r="J12" s="175">
        <f t="shared" si="0"/>
        <v>9</v>
      </c>
      <c r="K12" s="236">
        <f ca="1">TblImps[[#This Row],[Real time]]</f>
        <v>46320.333333333314</v>
      </c>
      <c r="L12" s="179"/>
      <c r="M12" s="179"/>
      <c r="N12" s="179"/>
      <c r="O12" s="179"/>
      <c r="P12" s="179"/>
      <c r="Q12" s="179"/>
      <c r="R12" s="179"/>
      <c r="S12" s="94">
        <f>SUMIF(TblRezone[[#This Row],[Plains Rezone]:[Water Rezone]],"&gt;0")</f>
        <v>0</v>
      </c>
      <c r="T12" s="61" t="str">
        <f>IF(SUM(TblRezone[[#This Row],[Plains Rezone]:[Water Rezone]])=0,"Ok","Nope")</f>
        <v>Ok</v>
      </c>
      <c r="U12" s="215"/>
      <c r="V12" s="94">
        <f ca="1">TblProd[[#This Row],[Platinum]]</f>
        <v>129764</v>
      </c>
      <c r="W12" s="215"/>
      <c r="X12" s="94">
        <f ca="1">ROUND( (1-MIN(ROUND(facs_rezone_factor*TblRezone[[#This Row],[Facs]],4),facs_rezone_max) + tech_6_4*TblTech[[#This Row],[6-4]] + tech_10_2*TblTech[[#This Row],[10-2]] - IF(TblMagic[[#This Row],[Active Mechanical Genius]]&gt;0,mech_genius_bonus,0) + race_rezone_cost) * TblRezone[[#This Row],[Plat/acre*]],0)</f>
        <v>130</v>
      </c>
      <c r="Y12" s="94">
        <f ca="1">TblRezone[[#This Row],[Total acres]]*TblRezone[[#This Row],[Plat/acre]]</f>
        <v>0</v>
      </c>
      <c r="Z12" s="215"/>
      <c r="AA12" s="94">
        <f ca="1">(250+0.6*(TblRezone[[#This Row],[Land]]-250))</f>
        <v>130</v>
      </c>
      <c r="AB12" s="215"/>
      <c r="AC12" s="157">
        <f ca="1">TblConstr[[#This Row],[Facs DB]]</f>
        <v>0</v>
      </c>
    </row>
    <row r="13" spans="1:29" x14ac:dyDescent="0.2">
      <c r="A13" s="214">
        <f ca="1">TblConstr[[#This Row],[Land]]</f>
        <v>50</v>
      </c>
      <c r="B13" s="216">
        <f ca="1">TblConstr[[#This Row],[Plain]]</f>
        <v>0</v>
      </c>
      <c r="C13" s="182">
        <f ca="1">TblConstr[[#This Row],[Forest]]</f>
        <v>0</v>
      </c>
      <c r="D13" s="359">
        <f ca="1">TblConstr[[#This Row],[Mountain]]</f>
        <v>0</v>
      </c>
      <c r="E13" s="363">
        <f ca="1">TblConstr[[#This Row],[Hill]]</f>
        <v>0</v>
      </c>
      <c r="F13" s="367">
        <f ca="1">TblConstr[[#This Row],[Swamp]]</f>
        <v>0</v>
      </c>
      <c r="G13" s="185">
        <f ca="1">TblConstr[[#This Row],[Cavern]]</f>
        <v>0</v>
      </c>
      <c r="H13" s="186">
        <f ca="1">TblConstr[[#This Row],[Water]]</f>
        <v>0</v>
      </c>
      <c r="I13" s="215"/>
      <c r="J13" s="175">
        <f t="shared" si="0"/>
        <v>10</v>
      </c>
      <c r="K13" s="236">
        <f ca="1">TblImps[[#This Row],[Real time]]</f>
        <v>46320.374999999978</v>
      </c>
      <c r="L13" s="179"/>
      <c r="M13" s="179"/>
      <c r="N13" s="179"/>
      <c r="O13" s="179"/>
      <c r="P13" s="179"/>
      <c r="Q13" s="179"/>
      <c r="R13" s="179"/>
      <c r="S13" s="94">
        <f>SUMIF(TblRezone[[#This Row],[Plains Rezone]:[Water Rezone]],"&gt;0")</f>
        <v>0</v>
      </c>
      <c r="T13" s="61" t="str">
        <f>IF(SUM(TblRezone[[#This Row],[Plains Rezone]:[Water Rezone]])=0,"Ok","Nope")</f>
        <v>Ok</v>
      </c>
      <c r="U13" s="215"/>
      <c r="V13" s="94">
        <f ca="1">TblProd[[#This Row],[Platinum]]</f>
        <v>130933</v>
      </c>
      <c r="W13" s="215"/>
      <c r="X13" s="94">
        <f ca="1">ROUND( (1-MIN(ROUND(facs_rezone_factor*TblRezone[[#This Row],[Facs]],4),facs_rezone_max) + tech_6_4*TblTech[[#This Row],[6-4]] + tech_10_2*TblTech[[#This Row],[10-2]] - IF(TblMagic[[#This Row],[Active Mechanical Genius]]&gt;0,mech_genius_bonus,0) + race_rezone_cost) * TblRezone[[#This Row],[Plat/acre*]],0)</f>
        <v>130</v>
      </c>
      <c r="Y13" s="94">
        <f ca="1">TblRezone[[#This Row],[Total acres]]*TblRezone[[#This Row],[Plat/acre]]</f>
        <v>0</v>
      </c>
      <c r="Z13" s="215"/>
      <c r="AA13" s="94">
        <f ca="1">(250+0.6*(TblRezone[[#This Row],[Land]]-250))</f>
        <v>130</v>
      </c>
      <c r="AB13" s="215"/>
      <c r="AC13" s="157">
        <f ca="1">TblConstr[[#This Row],[Facs DB]]</f>
        <v>0</v>
      </c>
    </row>
    <row r="14" spans="1:29" x14ac:dyDescent="0.2">
      <c r="A14" s="214">
        <f ca="1">TblConstr[[#This Row],[Land]]</f>
        <v>50</v>
      </c>
      <c r="B14" s="216">
        <f ca="1">TblConstr[[#This Row],[Plain]]</f>
        <v>0</v>
      </c>
      <c r="C14" s="182">
        <f ca="1">TblConstr[[#This Row],[Forest]]</f>
        <v>0</v>
      </c>
      <c r="D14" s="359">
        <f ca="1">TblConstr[[#This Row],[Mountain]]</f>
        <v>0</v>
      </c>
      <c r="E14" s="363">
        <f ca="1">TblConstr[[#This Row],[Hill]]</f>
        <v>0</v>
      </c>
      <c r="F14" s="367">
        <f ca="1">TblConstr[[#This Row],[Swamp]]</f>
        <v>0</v>
      </c>
      <c r="G14" s="185">
        <f ca="1">TblConstr[[#This Row],[Cavern]]</f>
        <v>0</v>
      </c>
      <c r="H14" s="186">
        <f ca="1">TblConstr[[#This Row],[Water]]</f>
        <v>0</v>
      </c>
      <c r="I14" s="215"/>
      <c r="J14" s="175">
        <f t="shared" si="0"/>
        <v>11</v>
      </c>
      <c r="K14" s="236">
        <f ca="1">TblImps[[#This Row],[Real time]]</f>
        <v>46320.416666666642</v>
      </c>
      <c r="L14" s="179"/>
      <c r="M14" s="179"/>
      <c r="N14" s="179"/>
      <c r="O14" s="179"/>
      <c r="P14" s="179"/>
      <c r="Q14" s="179"/>
      <c r="R14" s="179"/>
      <c r="S14" s="94">
        <f>SUMIF(TblRezone[[#This Row],[Plains Rezone]:[Water Rezone]],"&gt;0")</f>
        <v>0</v>
      </c>
      <c r="T14" s="61" t="str">
        <f>IF(SUM(TblRezone[[#This Row],[Plains Rezone]:[Water Rezone]])=0,"Ok","Nope")</f>
        <v>Ok</v>
      </c>
      <c r="U14" s="215"/>
      <c r="V14" s="94">
        <f ca="1">TblProd[[#This Row],[Platinum]]</f>
        <v>132091</v>
      </c>
      <c r="W14" s="215"/>
      <c r="X14" s="94">
        <f ca="1">ROUND( (1-MIN(ROUND(facs_rezone_factor*TblRezone[[#This Row],[Facs]],4),facs_rezone_max) + tech_6_4*TblTech[[#This Row],[6-4]] + tech_10_2*TblTech[[#This Row],[10-2]] - IF(TblMagic[[#This Row],[Active Mechanical Genius]]&gt;0,mech_genius_bonus,0) + race_rezone_cost) * TblRezone[[#This Row],[Plat/acre*]],0)</f>
        <v>130</v>
      </c>
      <c r="Y14" s="94">
        <f ca="1">TblRezone[[#This Row],[Total acres]]*TblRezone[[#This Row],[Plat/acre]]</f>
        <v>0</v>
      </c>
      <c r="Z14" s="215"/>
      <c r="AA14" s="94">
        <f ca="1">(250+0.6*(TblRezone[[#This Row],[Land]]-250))</f>
        <v>130</v>
      </c>
      <c r="AB14" s="215"/>
      <c r="AC14" s="157">
        <f ca="1">TblConstr[[#This Row],[Facs DB]]</f>
        <v>0</v>
      </c>
    </row>
    <row r="15" spans="1:29" x14ac:dyDescent="0.2">
      <c r="A15" s="214">
        <f ca="1">TblConstr[[#This Row],[Land]]</f>
        <v>50</v>
      </c>
      <c r="B15" s="216">
        <f ca="1">TblConstr[[#This Row],[Plain]]</f>
        <v>0</v>
      </c>
      <c r="C15" s="182">
        <f ca="1">TblConstr[[#This Row],[Forest]]</f>
        <v>0</v>
      </c>
      <c r="D15" s="359">
        <f ca="1">TblConstr[[#This Row],[Mountain]]</f>
        <v>0</v>
      </c>
      <c r="E15" s="363">
        <f ca="1">TblConstr[[#This Row],[Hill]]</f>
        <v>0</v>
      </c>
      <c r="F15" s="367">
        <f ca="1">TblConstr[[#This Row],[Swamp]]</f>
        <v>0</v>
      </c>
      <c r="G15" s="185">
        <f ca="1">TblConstr[[#This Row],[Cavern]]</f>
        <v>0</v>
      </c>
      <c r="H15" s="186">
        <f ca="1">TblConstr[[#This Row],[Water]]</f>
        <v>0</v>
      </c>
      <c r="I15" s="215"/>
      <c r="J15" s="175">
        <f t="shared" si="0"/>
        <v>12</v>
      </c>
      <c r="K15" s="236">
        <f ca="1">TblImps[[#This Row],[Real time]]</f>
        <v>46320.458333333307</v>
      </c>
      <c r="L15" s="179"/>
      <c r="M15" s="179"/>
      <c r="N15" s="179"/>
      <c r="O15" s="179"/>
      <c r="P15" s="179"/>
      <c r="Q15" s="179"/>
      <c r="R15" s="179"/>
      <c r="S15" s="94">
        <f>SUMIF(TblRezone[[#This Row],[Plains Rezone]:[Water Rezone]],"&gt;0")</f>
        <v>0</v>
      </c>
      <c r="T15" s="61" t="str">
        <f>IF(SUM(TblRezone[[#This Row],[Plains Rezone]:[Water Rezone]])=0,"Ok","Nope")</f>
        <v>Ok</v>
      </c>
      <c r="U15" s="215"/>
      <c r="V15" s="94">
        <f ca="1">TblProd[[#This Row],[Platinum]]</f>
        <v>133238</v>
      </c>
      <c r="W15" s="215"/>
      <c r="X15" s="94">
        <f ca="1">ROUND( (1-MIN(ROUND(facs_rezone_factor*TblRezone[[#This Row],[Facs]],4),facs_rezone_max) + tech_6_4*TblTech[[#This Row],[6-4]] + tech_10_2*TblTech[[#This Row],[10-2]] - IF(TblMagic[[#This Row],[Active Mechanical Genius]]&gt;0,mech_genius_bonus,0) + race_rezone_cost) * TblRezone[[#This Row],[Plat/acre*]],0)</f>
        <v>130</v>
      </c>
      <c r="Y15" s="94">
        <f ca="1">TblRezone[[#This Row],[Total acres]]*TblRezone[[#This Row],[Plat/acre]]</f>
        <v>0</v>
      </c>
      <c r="Z15" s="215"/>
      <c r="AA15" s="94">
        <f ca="1">(250+0.6*(TblRezone[[#This Row],[Land]]-250))</f>
        <v>130</v>
      </c>
      <c r="AB15" s="215"/>
      <c r="AC15" s="157">
        <f ca="1">TblConstr[[#This Row],[Facs DB]]</f>
        <v>0</v>
      </c>
    </row>
    <row r="16" spans="1:29" x14ac:dyDescent="0.2">
      <c r="A16" s="214">
        <f ca="1">TblConstr[[#This Row],[Land]]</f>
        <v>50</v>
      </c>
      <c r="B16" s="216">
        <f ca="1">TblConstr[[#This Row],[Plain]]</f>
        <v>0</v>
      </c>
      <c r="C16" s="182">
        <f ca="1">TblConstr[[#This Row],[Forest]]</f>
        <v>0</v>
      </c>
      <c r="D16" s="359">
        <f ca="1">TblConstr[[#This Row],[Mountain]]</f>
        <v>0</v>
      </c>
      <c r="E16" s="363">
        <f ca="1">TblConstr[[#This Row],[Hill]]</f>
        <v>0</v>
      </c>
      <c r="F16" s="367">
        <f ca="1">TblConstr[[#This Row],[Swamp]]</f>
        <v>0</v>
      </c>
      <c r="G16" s="185">
        <f ca="1">TblConstr[[#This Row],[Cavern]]</f>
        <v>0</v>
      </c>
      <c r="H16" s="186">
        <f ca="1">TblConstr[[#This Row],[Water]]</f>
        <v>0</v>
      </c>
      <c r="I16" s="215"/>
      <c r="J16" s="175">
        <f>J15+1</f>
        <v>13</v>
      </c>
      <c r="K16" s="236">
        <f ca="1">TblImps[[#This Row],[Real time]]</f>
        <v>46320.499999999971</v>
      </c>
      <c r="L16" s="158"/>
      <c r="M16" s="158"/>
      <c r="N16" s="179"/>
      <c r="O16" s="179"/>
      <c r="P16" s="179"/>
      <c r="Q16" s="158"/>
      <c r="R16" s="158"/>
      <c r="S16" s="94">
        <f>SUMIF(TblRezone[[#This Row],[Plains Rezone]:[Water Rezone]],"&gt;0")</f>
        <v>0</v>
      </c>
      <c r="T16" s="61" t="str">
        <f>IF(SUM(TblRezone[[#This Row],[Plains Rezone]:[Water Rezone]])=0,"Ok","Nope")</f>
        <v>Ok</v>
      </c>
      <c r="U16" s="215"/>
      <c r="V16" s="94">
        <f ca="1">TblProd[[#This Row],[Platinum]]</f>
        <v>134374</v>
      </c>
      <c r="W16" s="215"/>
      <c r="X16" s="94">
        <f ca="1">ROUND( (1-MIN(ROUND(facs_rezone_factor*TblRezone[[#This Row],[Facs]],4),facs_rezone_max) + tech_6_4*TblTech[[#This Row],[6-4]] + tech_10_2*TblTech[[#This Row],[10-2]] - IF(TblMagic[[#This Row],[Active Mechanical Genius]]&gt;0,mech_genius_bonus,0) + race_rezone_cost) * TblRezone[[#This Row],[Plat/acre*]],0)</f>
        <v>130</v>
      </c>
      <c r="Y16" s="94">
        <f ca="1">TblRezone[[#This Row],[Total acres]]*TblRezone[[#This Row],[Plat/acre]]</f>
        <v>0</v>
      </c>
      <c r="Z16" s="215"/>
      <c r="AA16" s="94">
        <f ca="1">(250+0.6*(TblRezone[[#This Row],[Land]]-250))</f>
        <v>130</v>
      </c>
      <c r="AB16" s="215"/>
      <c r="AC16" s="157">
        <f ca="1">TblConstr[[#This Row],[Facs DB]]</f>
        <v>0</v>
      </c>
    </row>
    <row r="17" spans="1:29" x14ac:dyDescent="0.2">
      <c r="A17" s="214">
        <f ca="1">TblConstr[[#This Row],[Land]]</f>
        <v>50</v>
      </c>
      <c r="B17" s="216">
        <f ca="1">TblConstr[[#This Row],[Plain]]</f>
        <v>0</v>
      </c>
      <c r="C17" s="182">
        <f ca="1">TblConstr[[#This Row],[Forest]]</f>
        <v>0</v>
      </c>
      <c r="D17" s="359">
        <f ca="1">TblConstr[[#This Row],[Mountain]]</f>
        <v>0</v>
      </c>
      <c r="E17" s="363">
        <f ca="1">TblConstr[[#This Row],[Hill]]</f>
        <v>0</v>
      </c>
      <c r="F17" s="367">
        <f ca="1">TblConstr[[#This Row],[Swamp]]</f>
        <v>0</v>
      </c>
      <c r="G17" s="185">
        <f ca="1">TblConstr[[#This Row],[Cavern]]</f>
        <v>0</v>
      </c>
      <c r="H17" s="186">
        <f ca="1">TblConstr[[#This Row],[Water]]</f>
        <v>0</v>
      </c>
      <c r="I17" s="215"/>
      <c r="J17" s="175">
        <f t="shared" ref="J17:J76" si="1">J16+1</f>
        <v>14</v>
      </c>
      <c r="K17" s="236">
        <f ca="1">TblImps[[#This Row],[Real time]]</f>
        <v>46320.541666666635</v>
      </c>
      <c r="L17" s="179"/>
      <c r="M17" s="179"/>
      <c r="N17" s="179"/>
      <c r="O17" s="179"/>
      <c r="P17" s="179"/>
      <c r="Q17" s="179"/>
      <c r="R17" s="179"/>
      <c r="S17" s="94">
        <f>SUMIF(TblRezone[[#This Row],[Plains Rezone]:[Water Rezone]],"&gt;0")</f>
        <v>0</v>
      </c>
      <c r="T17" s="61" t="str">
        <f>IF(SUM(TblRezone[[#This Row],[Plains Rezone]:[Water Rezone]])=0,"Ok","Nope")</f>
        <v>Ok</v>
      </c>
      <c r="U17" s="215"/>
      <c r="V17" s="94">
        <f ca="1">TblProd[[#This Row],[Platinum]]</f>
        <v>135499</v>
      </c>
      <c r="W17" s="215"/>
      <c r="X17" s="94">
        <f ca="1">ROUND( (1-MIN(ROUND(facs_rezone_factor*TblRezone[[#This Row],[Facs]],4),facs_rezone_max) + tech_6_4*TblTech[[#This Row],[6-4]] + tech_10_2*TblTech[[#This Row],[10-2]] - IF(TblMagic[[#This Row],[Active Mechanical Genius]]&gt;0,mech_genius_bonus,0) + race_rezone_cost) * TblRezone[[#This Row],[Plat/acre*]],0)</f>
        <v>130</v>
      </c>
      <c r="Y17" s="94">
        <f ca="1">TblRezone[[#This Row],[Total acres]]*TblRezone[[#This Row],[Plat/acre]]</f>
        <v>0</v>
      </c>
      <c r="Z17" s="215"/>
      <c r="AA17" s="94">
        <f ca="1">(250+0.6*(TblRezone[[#This Row],[Land]]-250))</f>
        <v>130</v>
      </c>
      <c r="AB17" s="215"/>
      <c r="AC17" s="157">
        <f ca="1">TblConstr[[#This Row],[Facs DB]]</f>
        <v>0</v>
      </c>
    </row>
    <row r="18" spans="1:29" x14ac:dyDescent="0.2">
      <c r="A18" s="214">
        <f ca="1">TblConstr[[#This Row],[Land]]</f>
        <v>50</v>
      </c>
      <c r="B18" s="216">
        <f ca="1">TblConstr[[#This Row],[Plain]]</f>
        <v>0</v>
      </c>
      <c r="C18" s="182">
        <f ca="1">TblConstr[[#This Row],[Forest]]</f>
        <v>0</v>
      </c>
      <c r="D18" s="359">
        <f ca="1">TblConstr[[#This Row],[Mountain]]</f>
        <v>0</v>
      </c>
      <c r="E18" s="363">
        <f ca="1">TblConstr[[#This Row],[Hill]]</f>
        <v>0</v>
      </c>
      <c r="F18" s="367">
        <f ca="1">TblConstr[[#This Row],[Swamp]]</f>
        <v>0</v>
      </c>
      <c r="G18" s="185">
        <f ca="1">TblConstr[[#This Row],[Cavern]]</f>
        <v>0</v>
      </c>
      <c r="H18" s="186">
        <f ca="1">TblConstr[[#This Row],[Water]]</f>
        <v>0</v>
      </c>
      <c r="I18" s="215"/>
      <c r="J18" s="175">
        <f t="shared" si="1"/>
        <v>15</v>
      </c>
      <c r="K18" s="236">
        <f ca="1">TblImps[[#This Row],[Real time]]</f>
        <v>46320.583333333299</v>
      </c>
      <c r="L18" s="179"/>
      <c r="M18" s="179"/>
      <c r="N18" s="179"/>
      <c r="O18" s="179"/>
      <c r="P18" s="179"/>
      <c r="Q18" s="179"/>
      <c r="R18" s="179"/>
      <c r="S18" s="94">
        <f>SUMIF(TblRezone[[#This Row],[Plains Rezone]:[Water Rezone]],"&gt;0")</f>
        <v>0</v>
      </c>
      <c r="T18" s="61" t="str">
        <f>IF(SUM(TblRezone[[#This Row],[Plains Rezone]:[Water Rezone]])=0,"Ok","Nope")</f>
        <v>Ok</v>
      </c>
      <c r="U18" s="215"/>
      <c r="V18" s="94">
        <f ca="1">TblProd[[#This Row],[Platinum]]</f>
        <v>136614</v>
      </c>
      <c r="W18" s="215"/>
      <c r="X18" s="94">
        <f ca="1">ROUND( (1-MIN(ROUND(facs_rezone_factor*TblRezone[[#This Row],[Facs]],4),facs_rezone_max) + tech_6_4*TblTech[[#This Row],[6-4]] + tech_10_2*TblTech[[#This Row],[10-2]] - IF(TblMagic[[#This Row],[Active Mechanical Genius]]&gt;0,mech_genius_bonus,0) + race_rezone_cost) * TblRezone[[#This Row],[Plat/acre*]],0)</f>
        <v>130</v>
      </c>
      <c r="Y18" s="94">
        <f ca="1">TblRezone[[#This Row],[Total acres]]*TblRezone[[#This Row],[Plat/acre]]</f>
        <v>0</v>
      </c>
      <c r="Z18" s="215"/>
      <c r="AA18" s="94">
        <f ca="1">(250+0.6*(TblRezone[[#This Row],[Land]]-250))</f>
        <v>130</v>
      </c>
      <c r="AB18" s="215"/>
      <c r="AC18" s="157">
        <f ca="1">TblConstr[[#This Row],[Facs DB]]</f>
        <v>0</v>
      </c>
    </row>
    <row r="19" spans="1:29" x14ac:dyDescent="0.2">
      <c r="A19" s="214">
        <f ca="1">TblConstr[[#This Row],[Land]]</f>
        <v>50</v>
      </c>
      <c r="B19" s="216">
        <f ca="1">TblConstr[[#This Row],[Plain]]</f>
        <v>0</v>
      </c>
      <c r="C19" s="182">
        <f ca="1">TblConstr[[#This Row],[Forest]]</f>
        <v>0</v>
      </c>
      <c r="D19" s="359">
        <f ca="1">TblConstr[[#This Row],[Mountain]]</f>
        <v>0</v>
      </c>
      <c r="E19" s="363">
        <f ca="1">TblConstr[[#This Row],[Hill]]</f>
        <v>0</v>
      </c>
      <c r="F19" s="367">
        <f ca="1">TblConstr[[#This Row],[Swamp]]</f>
        <v>0</v>
      </c>
      <c r="G19" s="185">
        <f ca="1">TblConstr[[#This Row],[Cavern]]</f>
        <v>0</v>
      </c>
      <c r="H19" s="186">
        <f ca="1">TblConstr[[#This Row],[Water]]</f>
        <v>0</v>
      </c>
      <c r="I19" s="215"/>
      <c r="J19" s="175">
        <f t="shared" si="1"/>
        <v>16</v>
      </c>
      <c r="K19" s="236">
        <f ca="1">TblImps[[#This Row],[Real time]]</f>
        <v>46320.624999999964</v>
      </c>
      <c r="L19" s="179"/>
      <c r="M19" s="179"/>
      <c r="N19" s="179"/>
      <c r="O19" s="179"/>
      <c r="P19" s="179"/>
      <c r="Q19" s="179"/>
      <c r="R19" s="179"/>
      <c r="S19" s="94">
        <f>SUMIF(TblRezone[[#This Row],[Plains Rezone]:[Water Rezone]],"&gt;0")</f>
        <v>0</v>
      </c>
      <c r="T19" s="61" t="str">
        <f>IF(SUM(TblRezone[[#This Row],[Plains Rezone]:[Water Rezone]])=0,"Ok","Nope")</f>
        <v>Ok</v>
      </c>
      <c r="U19" s="215"/>
      <c r="V19" s="94">
        <f ca="1">TblProd[[#This Row],[Platinum]]</f>
        <v>137718</v>
      </c>
      <c r="W19" s="215"/>
      <c r="X19" s="94">
        <f ca="1">ROUND( (1-MIN(ROUND(facs_rezone_factor*TblRezone[[#This Row],[Facs]],4),facs_rezone_max) + tech_6_4*TblTech[[#This Row],[6-4]] + tech_10_2*TblTech[[#This Row],[10-2]] - IF(TblMagic[[#This Row],[Active Mechanical Genius]]&gt;0,mech_genius_bonus,0) + race_rezone_cost) * TblRezone[[#This Row],[Plat/acre*]],0)</f>
        <v>130</v>
      </c>
      <c r="Y19" s="94">
        <f ca="1">TblRezone[[#This Row],[Total acres]]*TblRezone[[#This Row],[Plat/acre]]</f>
        <v>0</v>
      </c>
      <c r="Z19" s="215"/>
      <c r="AA19" s="94">
        <f ca="1">(250+0.6*(TblRezone[[#This Row],[Land]]-250))</f>
        <v>130</v>
      </c>
      <c r="AB19" s="215"/>
      <c r="AC19" s="157">
        <f ca="1">TblConstr[[#This Row],[Facs DB]]</f>
        <v>0</v>
      </c>
    </row>
    <row r="20" spans="1:29" x14ac:dyDescent="0.2">
      <c r="A20" s="214">
        <f ca="1">TblConstr[[#This Row],[Land]]</f>
        <v>50</v>
      </c>
      <c r="B20" s="216">
        <f ca="1">TblConstr[[#This Row],[Plain]]</f>
        <v>0</v>
      </c>
      <c r="C20" s="182">
        <f ca="1">TblConstr[[#This Row],[Forest]]</f>
        <v>0</v>
      </c>
      <c r="D20" s="359">
        <f ca="1">TblConstr[[#This Row],[Mountain]]</f>
        <v>0</v>
      </c>
      <c r="E20" s="363">
        <f ca="1">TblConstr[[#This Row],[Hill]]</f>
        <v>0</v>
      </c>
      <c r="F20" s="367">
        <f ca="1">TblConstr[[#This Row],[Swamp]]</f>
        <v>0</v>
      </c>
      <c r="G20" s="185">
        <f ca="1">TblConstr[[#This Row],[Cavern]]</f>
        <v>0</v>
      </c>
      <c r="H20" s="186">
        <f ca="1">TblConstr[[#This Row],[Water]]</f>
        <v>0</v>
      </c>
      <c r="I20" s="215"/>
      <c r="J20" s="175">
        <f t="shared" si="1"/>
        <v>17</v>
      </c>
      <c r="K20" s="236">
        <f ca="1">TblImps[[#This Row],[Real time]]</f>
        <v>46320.666666666628</v>
      </c>
      <c r="L20" s="179"/>
      <c r="M20" s="179"/>
      <c r="N20" s="179"/>
      <c r="O20" s="179"/>
      <c r="P20" s="179"/>
      <c r="Q20" s="179"/>
      <c r="R20" s="179"/>
      <c r="S20" s="94">
        <f>SUMIF(TblRezone[[#This Row],[Plains Rezone]:[Water Rezone]],"&gt;0")</f>
        <v>0</v>
      </c>
      <c r="T20" s="61" t="str">
        <f>IF(SUM(TblRezone[[#This Row],[Plains Rezone]:[Water Rezone]])=0,"Ok","Nope")</f>
        <v>Ok</v>
      </c>
      <c r="U20" s="215"/>
      <c r="V20" s="94">
        <f ca="1">TblProd[[#This Row],[Platinum]]</f>
        <v>138811</v>
      </c>
      <c r="W20" s="215"/>
      <c r="X20" s="94">
        <f ca="1">ROUND( (1-MIN(ROUND(facs_rezone_factor*TblRezone[[#This Row],[Facs]],4),facs_rezone_max) + tech_6_4*TblTech[[#This Row],[6-4]] + tech_10_2*TblTech[[#This Row],[10-2]] - IF(TblMagic[[#This Row],[Active Mechanical Genius]]&gt;0,mech_genius_bonus,0) + race_rezone_cost) * TblRezone[[#This Row],[Plat/acre*]],0)</f>
        <v>130</v>
      </c>
      <c r="Y20" s="94">
        <f ca="1">TblRezone[[#This Row],[Total acres]]*TblRezone[[#This Row],[Plat/acre]]</f>
        <v>0</v>
      </c>
      <c r="Z20" s="215"/>
      <c r="AA20" s="94">
        <f ca="1">(250+0.6*(TblRezone[[#This Row],[Land]]-250))</f>
        <v>130</v>
      </c>
      <c r="AB20" s="215"/>
      <c r="AC20" s="157">
        <f ca="1">TblConstr[[#This Row],[Facs DB]]</f>
        <v>0</v>
      </c>
    </row>
    <row r="21" spans="1:29" x14ac:dyDescent="0.2">
      <c r="A21" s="214">
        <f ca="1">TblConstr[[#This Row],[Land]]</f>
        <v>50</v>
      </c>
      <c r="B21" s="216">
        <f ca="1">TblConstr[[#This Row],[Plain]]</f>
        <v>0</v>
      </c>
      <c r="C21" s="182">
        <f ca="1">TblConstr[[#This Row],[Forest]]</f>
        <v>0</v>
      </c>
      <c r="D21" s="359">
        <f ca="1">TblConstr[[#This Row],[Mountain]]</f>
        <v>0</v>
      </c>
      <c r="E21" s="363">
        <f ca="1">TblConstr[[#This Row],[Hill]]</f>
        <v>0</v>
      </c>
      <c r="F21" s="367">
        <f ca="1">TblConstr[[#This Row],[Swamp]]</f>
        <v>0</v>
      </c>
      <c r="G21" s="185">
        <f ca="1">TblConstr[[#This Row],[Cavern]]</f>
        <v>0</v>
      </c>
      <c r="H21" s="186">
        <f ca="1">TblConstr[[#This Row],[Water]]</f>
        <v>0</v>
      </c>
      <c r="I21" s="215"/>
      <c r="J21" s="175">
        <f t="shared" si="1"/>
        <v>18</v>
      </c>
      <c r="K21" s="236">
        <f ca="1">TblImps[[#This Row],[Real time]]</f>
        <v>46320.708333333292</v>
      </c>
      <c r="L21" s="179"/>
      <c r="M21" s="179"/>
      <c r="N21" s="179"/>
      <c r="O21" s="179"/>
      <c r="P21" s="179"/>
      <c r="Q21" s="179"/>
      <c r="R21" s="179"/>
      <c r="S21" s="94">
        <f>SUMIF(TblRezone[[#This Row],[Plains Rezone]:[Water Rezone]],"&gt;0")</f>
        <v>0</v>
      </c>
      <c r="T21" s="61" t="str">
        <f>IF(SUM(TblRezone[[#This Row],[Plains Rezone]:[Water Rezone]])=0,"Ok","Nope")</f>
        <v>Ok</v>
      </c>
      <c r="U21" s="215"/>
      <c r="V21" s="94">
        <f ca="1">TblProd[[#This Row],[Platinum]]</f>
        <v>139893</v>
      </c>
      <c r="W21" s="215"/>
      <c r="X21" s="94">
        <f ca="1">ROUND( (1-MIN(ROUND(facs_rezone_factor*TblRezone[[#This Row],[Facs]],4),facs_rezone_max) + tech_6_4*TblTech[[#This Row],[6-4]] + tech_10_2*TblTech[[#This Row],[10-2]] - IF(TblMagic[[#This Row],[Active Mechanical Genius]]&gt;0,mech_genius_bonus,0) + race_rezone_cost) * TblRezone[[#This Row],[Plat/acre*]],0)</f>
        <v>130</v>
      </c>
      <c r="Y21" s="94">
        <f ca="1">TblRezone[[#This Row],[Total acres]]*TblRezone[[#This Row],[Plat/acre]]</f>
        <v>0</v>
      </c>
      <c r="Z21" s="215"/>
      <c r="AA21" s="94">
        <f ca="1">(250+0.6*(TblRezone[[#This Row],[Land]]-250))</f>
        <v>130</v>
      </c>
      <c r="AB21" s="215"/>
      <c r="AC21" s="157">
        <f ca="1">TblConstr[[#This Row],[Facs DB]]</f>
        <v>0</v>
      </c>
    </row>
    <row r="22" spans="1:29" x14ac:dyDescent="0.2">
      <c r="A22" s="214">
        <f ca="1">TblConstr[[#This Row],[Land]]</f>
        <v>50</v>
      </c>
      <c r="B22" s="216">
        <f ca="1">TblConstr[[#This Row],[Plain]]</f>
        <v>0</v>
      </c>
      <c r="C22" s="182">
        <f ca="1">TblConstr[[#This Row],[Forest]]</f>
        <v>0</v>
      </c>
      <c r="D22" s="359">
        <f ca="1">TblConstr[[#This Row],[Mountain]]</f>
        <v>0</v>
      </c>
      <c r="E22" s="363">
        <f ca="1">TblConstr[[#This Row],[Hill]]</f>
        <v>0</v>
      </c>
      <c r="F22" s="367">
        <f ca="1">TblConstr[[#This Row],[Swamp]]</f>
        <v>0</v>
      </c>
      <c r="G22" s="185">
        <f ca="1">TblConstr[[#This Row],[Cavern]]</f>
        <v>0</v>
      </c>
      <c r="H22" s="186">
        <f ca="1">TblConstr[[#This Row],[Water]]</f>
        <v>0</v>
      </c>
      <c r="I22" s="215"/>
      <c r="J22" s="175">
        <f t="shared" si="1"/>
        <v>19</v>
      </c>
      <c r="K22" s="236">
        <f ca="1">TblImps[[#This Row],[Real time]]</f>
        <v>46320.749999999956</v>
      </c>
      <c r="L22" s="179"/>
      <c r="M22" s="179"/>
      <c r="N22" s="179"/>
      <c r="O22" s="179"/>
      <c r="P22" s="179"/>
      <c r="Q22" s="179"/>
      <c r="R22" s="179"/>
      <c r="S22" s="94">
        <f>SUMIF(TblRezone[[#This Row],[Plains Rezone]:[Water Rezone]],"&gt;0")</f>
        <v>0</v>
      </c>
      <c r="T22" s="61" t="str">
        <f>IF(SUM(TblRezone[[#This Row],[Plains Rezone]:[Water Rezone]])=0,"Ok","Nope")</f>
        <v>Ok</v>
      </c>
      <c r="U22" s="215"/>
      <c r="V22" s="94">
        <f ca="1">TblProd[[#This Row],[Platinum]]</f>
        <v>140964</v>
      </c>
      <c r="W22" s="215"/>
      <c r="X22" s="94">
        <f ca="1">ROUND( (1-MIN(ROUND(facs_rezone_factor*TblRezone[[#This Row],[Facs]],4),facs_rezone_max) + tech_6_4*TblTech[[#This Row],[6-4]] + tech_10_2*TblTech[[#This Row],[10-2]] - IF(TblMagic[[#This Row],[Active Mechanical Genius]]&gt;0,mech_genius_bonus,0) + race_rezone_cost) * TblRezone[[#This Row],[Plat/acre*]],0)</f>
        <v>130</v>
      </c>
      <c r="Y22" s="94">
        <f ca="1">TblRezone[[#This Row],[Total acres]]*TblRezone[[#This Row],[Plat/acre]]</f>
        <v>0</v>
      </c>
      <c r="Z22" s="215"/>
      <c r="AA22" s="94">
        <f ca="1">(250+0.6*(TblRezone[[#This Row],[Land]]-250))</f>
        <v>130</v>
      </c>
      <c r="AB22" s="215"/>
      <c r="AC22" s="157">
        <f ca="1">TblConstr[[#This Row],[Facs DB]]</f>
        <v>0</v>
      </c>
    </row>
    <row r="23" spans="1:29" x14ac:dyDescent="0.2">
      <c r="A23" s="214">
        <f ca="1">TblConstr[[#This Row],[Land]]</f>
        <v>50</v>
      </c>
      <c r="B23" s="216">
        <f ca="1">TblConstr[[#This Row],[Plain]]</f>
        <v>0</v>
      </c>
      <c r="C23" s="182">
        <f ca="1">TblConstr[[#This Row],[Forest]]</f>
        <v>0</v>
      </c>
      <c r="D23" s="359">
        <f ca="1">TblConstr[[#This Row],[Mountain]]</f>
        <v>0</v>
      </c>
      <c r="E23" s="363">
        <f ca="1">TblConstr[[#This Row],[Hill]]</f>
        <v>0</v>
      </c>
      <c r="F23" s="367">
        <f ca="1">TblConstr[[#This Row],[Swamp]]</f>
        <v>0</v>
      </c>
      <c r="G23" s="185">
        <f ca="1">TblConstr[[#This Row],[Cavern]]</f>
        <v>0</v>
      </c>
      <c r="H23" s="186">
        <f ca="1">TblConstr[[#This Row],[Water]]</f>
        <v>0</v>
      </c>
      <c r="I23" s="215"/>
      <c r="J23" s="175">
        <f t="shared" si="1"/>
        <v>20</v>
      </c>
      <c r="K23" s="236">
        <f ca="1">TblImps[[#This Row],[Real time]]</f>
        <v>46320.791666666621</v>
      </c>
      <c r="L23" s="179"/>
      <c r="M23" s="179"/>
      <c r="N23" s="179"/>
      <c r="O23" s="179"/>
      <c r="P23" s="179"/>
      <c r="Q23" s="179"/>
      <c r="R23" s="179"/>
      <c r="S23" s="94">
        <f>SUMIF(TblRezone[[#This Row],[Plains Rezone]:[Water Rezone]],"&gt;0")</f>
        <v>0</v>
      </c>
      <c r="T23" s="61" t="str">
        <f>IF(SUM(TblRezone[[#This Row],[Plains Rezone]:[Water Rezone]])=0,"Ok","Nope")</f>
        <v>Ok</v>
      </c>
      <c r="U23" s="215"/>
      <c r="V23" s="94">
        <f ca="1">TblProd[[#This Row],[Platinum]]</f>
        <v>142025</v>
      </c>
      <c r="W23" s="215"/>
      <c r="X23" s="94">
        <f ca="1">ROUND( (1-MIN(ROUND(facs_rezone_factor*TblRezone[[#This Row],[Facs]],4),facs_rezone_max) + tech_6_4*TblTech[[#This Row],[6-4]] + tech_10_2*TblTech[[#This Row],[10-2]] - IF(TblMagic[[#This Row],[Active Mechanical Genius]]&gt;0,mech_genius_bonus,0) + race_rezone_cost) * TblRezone[[#This Row],[Plat/acre*]],0)</f>
        <v>130</v>
      </c>
      <c r="Y23" s="94">
        <f ca="1">TblRezone[[#This Row],[Total acres]]*TblRezone[[#This Row],[Plat/acre]]</f>
        <v>0</v>
      </c>
      <c r="Z23" s="215"/>
      <c r="AA23" s="94">
        <f ca="1">(250+0.6*(TblRezone[[#This Row],[Land]]-250))</f>
        <v>130</v>
      </c>
      <c r="AB23" s="215"/>
      <c r="AC23" s="157">
        <f ca="1">TblConstr[[#This Row],[Facs DB]]</f>
        <v>0</v>
      </c>
    </row>
    <row r="24" spans="1:29" x14ac:dyDescent="0.2">
      <c r="A24" s="214">
        <f ca="1">TblConstr[[#This Row],[Land]]</f>
        <v>50</v>
      </c>
      <c r="B24" s="216">
        <f ca="1">TblConstr[[#This Row],[Plain]]</f>
        <v>0</v>
      </c>
      <c r="C24" s="182">
        <f ca="1">TblConstr[[#This Row],[Forest]]</f>
        <v>0</v>
      </c>
      <c r="D24" s="359">
        <f ca="1">TblConstr[[#This Row],[Mountain]]</f>
        <v>0</v>
      </c>
      <c r="E24" s="363">
        <f ca="1">TblConstr[[#This Row],[Hill]]</f>
        <v>0</v>
      </c>
      <c r="F24" s="367">
        <f ca="1">TblConstr[[#This Row],[Swamp]]</f>
        <v>0</v>
      </c>
      <c r="G24" s="185">
        <f ca="1">TblConstr[[#This Row],[Cavern]]</f>
        <v>0</v>
      </c>
      <c r="H24" s="186">
        <f ca="1">TblConstr[[#This Row],[Water]]</f>
        <v>0</v>
      </c>
      <c r="I24" s="215"/>
      <c r="J24" s="175">
        <f t="shared" si="1"/>
        <v>21</v>
      </c>
      <c r="K24" s="236">
        <f ca="1">TblImps[[#This Row],[Real time]]</f>
        <v>46320.833333333285</v>
      </c>
      <c r="L24" s="179"/>
      <c r="M24" s="179"/>
      <c r="N24" s="179"/>
      <c r="O24" s="179"/>
      <c r="P24" s="179"/>
      <c r="Q24" s="179"/>
      <c r="R24" s="179"/>
      <c r="S24" s="94">
        <f>SUMIF(TblRezone[[#This Row],[Plains Rezone]:[Water Rezone]],"&gt;0")</f>
        <v>0</v>
      </c>
      <c r="T24" s="61" t="str">
        <f>IF(SUM(TblRezone[[#This Row],[Plains Rezone]:[Water Rezone]])=0,"Ok","Nope")</f>
        <v>Ok</v>
      </c>
      <c r="U24" s="215"/>
      <c r="V24" s="94">
        <f ca="1">TblProd[[#This Row],[Platinum]]</f>
        <v>143075</v>
      </c>
      <c r="W24" s="215"/>
      <c r="X24" s="94">
        <f ca="1">ROUND( (1-MIN(ROUND(facs_rezone_factor*TblRezone[[#This Row],[Facs]],4),facs_rezone_max) + tech_6_4*TblTech[[#This Row],[6-4]] + tech_10_2*TblTech[[#This Row],[10-2]] - IF(TblMagic[[#This Row],[Active Mechanical Genius]]&gt;0,mech_genius_bonus,0) + race_rezone_cost) * TblRezone[[#This Row],[Plat/acre*]],0)</f>
        <v>130</v>
      </c>
      <c r="Y24" s="94">
        <f ca="1">TblRezone[[#This Row],[Total acres]]*TblRezone[[#This Row],[Plat/acre]]</f>
        <v>0</v>
      </c>
      <c r="Z24" s="215"/>
      <c r="AA24" s="94">
        <f ca="1">(250+0.6*(TblRezone[[#This Row],[Land]]-250))</f>
        <v>130</v>
      </c>
      <c r="AB24" s="215"/>
      <c r="AC24" s="157">
        <f ca="1">TblConstr[[#This Row],[Facs DB]]</f>
        <v>0</v>
      </c>
    </row>
    <row r="25" spans="1:29" x14ac:dyDescent="0.2">
      <c r="A25" s="214">
        <f ca="1">TblConstr[[#This Row],[Land]]</f>
        <v>50</v>
      </c>
      <c r="B25" s="216">
        <f ca="1">TblConstr[[#This Row],[Plain]]</f>
        <v>0</v>
      </c>
      <c r="C25" s="182">
        <f ca="1">TblConstr[[#This Row],[Forest]]</f>
        <v>0</v>
      </c>
      <c r="D25" s="359">
        <f ca="1">TblConstr[[#This Row],[Mountain]]</f>
        <v>0</v>
      </c>
      <c r="E25" s="363">
        <f ca="1">TblConstr[[#This Row],[Hill]]</f>
        <v>0</v>
      </c>
      <c r="F25" s="367">
        <f ca="1">TblConstr[[#This Row],[Swamp]]</f>
        <v>0</v>
      </c>
      <c r="G25" s="185">
        <f ca="1">TblConstr[[#This Row],[Cavern]]</f>
        <v>0</v>
      </c>
      <c r="H25" s="186">
        <f ca="1">TblConstr[[#This Row],[Water]]</f>
        <v>0</v>
      </c>
      <c r="I25" s="215"/>
      <c r="J25" s="175">
        <f t="shared" si="1"/>
        <v>22</v>
      </c>
      <c r="K25" s="236">
        <f ca="1">TblImps[[#This Row],[Real time]]</f>
        <v>46320.874999999949</v>
      </c>
      <c r="L25" s="179"/>
      <c r="M25" s="179"/>
      <c r="N25" s="179"/>
      <c r="O25" s="179"/>
      <c r="P25" s="179"/>
      <c r="Q25" s="179"/>
      <c r="R25" s="179"/>
      <c r="S25" s="94">
        <f>SUMIF(TblRezone[[#This Row],[Plains Rezone]:[Water Rezone]],"&gt;0")</f>
        <v>0</v>
      </c>
      <c r="T25" s="61" t="str">
        <f>IF(SUM(TblRezone[[#This Row],[Plains Rezone]:[Water Rezone]])=0,"Ok","Nope")</f>
        <v>Ok</v>
      </c>
      <c r="U25" s="215"/>
      <c r="V25" s="94">
        <f ca="1">TblProd[[#This Row],[Platinum]]</f>
        <v>144114</v>
      </c>
      <c r="W25" s="215"/>
      <c r="X25" s="94">
        <f ca="1">ROUND( (1-MIN(ROUND(facs_rezone_factor*TblRezone[[#This Row],[Facs]],4),facs_rezone_max) + tech_6_4*TblTech[[#This Row],[6-4]] + tech_10_2*TblTech[[#This Row],[10-2]] - IF(TblMagic[[#This Row],[Active Mechanical Genius]]&gt;0,mech_genius_bonus,0) + race_rezone_cost) * TblRezone[[#This Row],[Plat/acre*]],0)</f>
        <v>130</v>
      </c>
      <c r="Y25" s="94">
        <f ca="1">TblRezone[[#This Row],[Total acres]]*TblRezone[[#This Row],[Plat/acre]]</f>
        <v>0</v>
      </c>
      <c r="Z25" s="215"/>
      <c r="AA25" s="94">
        <f ca="1">(250+0.6*(TblRezone[[#This Row],[Land]]-250))</f>
        <v>130</v>
      </c>
      <c r="AB25" s="215"/>
      <c r="AC25" s="157">
        <f ca="1">TblConstr[[#This Row],[Facs DB]]</f>
        <v>0</v>
      </c>
    </row>
    <row r="26" spans="1:29" x14ac:dyDescent="0.2">
      <c r="A26" s="214">
        <f ca="1">TblConstr[[#This Row],[Land]]</f>
        <v>50</v>
      </c>
      <c r="B26" s="216">
        <f ca="1">TblConstr[[#This Row],[Plain]]</f>
        <v>0</v>
      </c>
      <c r="C26" s="182">
        <f ca="1">TblConstr[[#This Row],[Forest]]</f>
        <v>0</v>
      </c>
      <c r="D26" s="359">
        <f ca="1">TblConstr[[#This Row],[Mountain]]</f>
        <v>0</v>
      </c>
      <c r="E26" s="363">
        <f ca="1">TblConstr[[#This Row],[Hill]]</f>
        <v>0</v>
      </c>
      <c r="F26" s="367">
        <f ca="1">TblConstr[[#This Row],[Swamp]]</f>
        <v>0</v>
      </c>
      <c r="G26" s="185">
        <f ca="1">TblConstr[[#This Row],[Cavern]]</f>
        <v>0</v>
      </c>
      <c r="H26" s="186">
        <f ca="1">TblConstr[[#This Row],[Water]]</f>
        <v>0</v>
      </c>
      <c r="I26" s="215"/>
      <c r="J26" s="175">
        <f t="shared" si="1"/>
        <v>23</v>
      </c>
      <c r="K26" s="236">
        <f ca="1">TblImps[[#This Row],[Real time]]</f>
        <v>46320.916666666613</v>
      </c>
      <c r="L26" s="179"/>
      <c r="M26" s="179"/>
      <c r="N26" s="179"/>
      <c r="O26" s="179"/>
      <c r="P26" s="179"/>
      <c r="Q26" s="179"/>
      <c r="R26" s="179"/>
      <c r="S26" s="94">
        <f>SUMIF(TblRezone[[#This Row],[Plains Rezone]:[Water Rezone]],"&gt;0")</f>
        <v>0</v>
      </c>
      <c r="T26" s="61" t="str">
        <f>IF(SUM(TblRezone[[#This Row],[Plains Rezone]:[Water Rezone]])=0,"Ok","Nope")</f>
        <v>Ok</v>
      </c>
      <c r="U26" s="215"/>
      <c r="V26" s="94">
        <f ca="1">TblProd[[#This Row],[Platinum]]</f>
        <v>145142</v>
      </c>
      <c r="W26" s="215"/>
      <c r="X26" s="94">
        <f ca="1">ROUND( (1-MIN(ROUND(facs_rezone_factor*TblRezone[[#This Row],[Facs]],4),facs_rezone_max) + tech_6_4*TblTech[[#This Row],[6-4]] + tech_10_2*TblTech[[#This Row],[10-2]] - IF(TblMagic[[#This Row],[Active Mechanical Genius]]&gt;0,mech_genius_bonus,0) + race_rezone_cost) * TblRezone[[#This Row],[Plat/acre*]],0)</f>
        <v>130</v>
      </c>
      <c r="Y26" s="94">
        <f ca="1">TblRezone[[#This Row],[Total acres]]*TblRezone[[#This Row],[Plat/acre]]</f>
        <v>0</v>
      </c>
      <c r="Z26" s="215"/>
      <c r="AA26" s="94">
        <f ca="1">(250+0.6*(TblRezone[[#This Row],[Land]]-250))</f>
        <v>130</v>
      </c>
      <c r="AB26" s="215"/>
      <c r="AC26" s="157">
        <f ca="1">TblConstr[[#This Row],[Facs DB]]</f>
        <v>0</v>
      </c>
    </row>
    <row r="27" spans="1:29" x14ac:dyDescent="0.2">
      <c r="A27" s="214">
        <f ca="1">TblConstr[[#This Row],[Land]]</f>
        <v>50</v>
      </c>
      <c r="B27" s="216">
        <f ca="1">TblConstr[[#This Row],[Plain]]</f>
        <v>0</v>
      </c>
      <c r="C27" s="182">
        <f ca="1">TblConstr[[#This Row],[Forest]]</f>
        <v>0</v>
      </c>
      <c r="D27" s="359">
        <f ca="1">TblConstr[[#This Row],[Mountain]]</f>
        <v>0</v>
      </c>
      <c r="E27" s="363">
        <f ca="1">TblConstr[[#This Row],[Hill]]</f>
        <v>0</v>
      </c>
      <c r="F27" s="367">
        <f ca="1">TblConstr[[#This Row],[Swamp]]</f>
        <v>0</v>
      </c>
      <c r="G27" s="185">
        <f ca="1">TblConstr[[#This Row],[Cavern]]</f>
        <v>0</v>
      </c>
      <c r="H27" s="186">
        <f ca="1">TblConstr[[#This Row],[Water]]</f>
        <v>0</v>
      </c>
      <c r="I27" s="215"/>
      <c r="J27" s="175">
        <f t="shared" si="1"/>
        <v>24</v>
      </c>
      <c r="K27" s="236">
        <f ca="1">TblImps[[#This Row],[Real time]]</f>
        <v>46320.958333333278</v>
      </c>
      <c r="L27" s="179"/>
      <c r="M27" s="179"/>
      <c r="N27" s="179"/>
      <c r="O27" s="179"/>
      <c r="P27" s="179"/>
      <c r="Q27" s="179"/>
      <c r="R27" s="179"/>
      <c r="S27" s="94">
        <f>SUMIF(TblRezone[[#This Row],[Plains Rezone]:[Water Rezone]],"&gt;0")</f>
        <v>0</v>
      </c>
      <c r="T27" s="61" t="str">
        <f>IF(SUM(TblRezone[[#This Row],[Plains Rezone]:[Water Rezone]])=0,"Ok","Nope")</f>
        <v>Ok</v>
      </c>
      <c r="U27" s="215"/>
      <c r="V27" s="94">
        <f ca="1">TblProd[[#This Row],[Platinum]]</f>
        <v>146159</v>
      </c>
      <c r="W27" s="215"/>
      <c r="X27" s="94">
        <f ca="1">ROUND( (1-MIN(ROUND(facs_rezone_factor*TblRezone[[#This Row],[Facs]],4),facs_rezone_max) + tech_6_4*TblTech[[#This Row],[6-4]] + tech_10_2*TblTech[[#This Row],[10-2]] - IF(TblMagic[[#This Row],[Active Mechanical Genius]]&gt;0,mech_genius_bonus,0) + race_rezone_cost) * TblRezone[[#This Row],[Plat/acre*]],0)</f>
        <v>130</v>
      </c>
      <c r="Y27" s="94">
        <f ca="1">TblRezone[[#This Row],[Total acres]]*TblRezone[[#This Row],[Plat/acre]]</f>
        <v>0</v>
      </c>
      <c r="Z27" s="215"/>
      <c r="AA27" s="94">
        <f ca="1">(250+0.6*(TblRezone[[#This Row],[Land]]-250))</f>
        <v>130</v>
      </c>
      <c r="AB27" s="215"/>
      <c r="AC27" s="157">
        <f ca="1">TblConstr[[#This Row],[Facs DB]]</f>
        <v>0</v>
      </c>
    </row>
    <row r="28" spans="1:29" x14ac:dyDescent="0.2">
      <c r="A28" s="214">
        <f ca="1">TblConstr[[#This Row],[Land]]</f>
        <v>50</v>
      </c>
      <c r="B28" s="216">
        <f ca="1">TblConstr[[#This Row],[Plain]]</f>
        <v>0</v>
      </c>
      <c r="C28" s="182">
        <f ca="1">TblConstr[[#This Row],[Forest]]</f>
        <v>0</v>
      </c>
      <c r="D28" s="359">
        <f ca="1">TblConstr[[#This Row],[Mountain]]</f>
        <v>0</v>
      </c>
      <c r="E28" s="363">
        <f ca="1">TblConstr[[#This Row],[Hill]]</f>
        <v>0</v>
      </c>
      <c r="F28" s="367">
        <f ca="1">TblConstr[[#This Row],[Swamp]]</f>
        <v>0</v>
      </c>
      <c r="G28" s="185">
        <f ca="1">TblConstr[[#This Row],[Cavern]]</f>
        <v>0</v>
      </c>
      <c r="H28" s="186">
        <f ca="1">TblConstr[[#This Row],[Water]]</f>
        <v>0</v>
      </c>
      <c r="I28" s="215"/>
      <c r="J28" s="175">
        <f t="shared" si="1"/>
        <v>25</v>
      </c>
      <c r="K28" s="236">
        <f ca="1">TblImps[[#This Row],[Real time]]</f>
        <v>46320.999999999942</v>
      </c>
      <c r="L28" s="179"/>
      <c r="M28" s="179"/>
      <c r="N28" s="179"/>
      <c r="O28" s="179"/>
      <c r="P28" s="179"/>
      <c r="Q28" s="179"/>
      <c r="R28" s="179"/>
      <c r="S28" s="94">
        <f>SUMIF(TblRezone[[#This Row],[Plains Rezone]:[Water Rezone]],"&gt;0")</f>
        <v>0</v>
      </c>
      <c r="T28" s="61" t="str">
        <f>IF(SUM(TblRezone[[#This Row],[Plains Rezone]:[Water Rezone]])=0,"Ok","Nope")</f>
        <v>Ok</v>
      </c>
      <c r="U28" s="215"/>
      <c r="V28" s="94">
        <f ca="1">TblProd[[#This Row],[Platinum]]</f>
        <v>147166</v>
      </c>
      <c r="W28" s="215"/>
      <c r="X28" s="94">
        <f ca="1">ROUND( (1-MIN(ROUND(facs_rezone_factor*TblRezone[[#This Row],[Facs]],4),facs_rezone_max) + tech_6_4*TblTech[[#This Row],[6-4]] + tech_10_2*TblTech[[#This Row],[10-2]] - IF(TblMagic[[#This Row],[Active Mechanical Genius]]&gt;0,mech_genius_bonus,0) + race_rezone_cost) * TblRezone[[#This Row],[Plat/acre*]],0)</f>
        <v>130</v>
      </c>
      <c r="Y28" s="94">
        <f ca="1">TblRezone[[#This Row],[Total acres]]*TblRezone[[#This Row],[Plat/acre]]</f>
        <v>0</v>
      </c>
      <c r="Z28" s="215"/>
      <c r="AA28" s="94">
        <f ca="1">(250+0.6*(TblRezone[[#This Row],[Land]]-250))</f>
        <v>130</v>
      </c>
      <c r="AB28" s="215"/>
      <c r="AC28" s="157">
        <f ca="1">TblConstr[[#This Row],[Facs DB]]</f>
        <v>0</v>
      </c>
    </row>
    <row r="29" spans="1:29" x14ac:dyDescent="0.2">
      <c r="A29" s="214">
        <f ca="1">TblConstr[[#This Row],[Land]]</f>
        <v>50</v>
      </c>
      <c r="B29" s="216">
        <f ca="1">TblConstr[[#This Row],[Plain]]</f>
        <v>0</v>
      </c>
      <c r="C29" s="182">
        <f ca="1">TblConstr[[#This Row],[Forest]]</f>
        <v>0</v>
      </c>
      <c r="D29" s="359">
        <f ca="1">TblConstr[[#This Row],[Mountain]]</f>
        <v>0</v>
      </c>
      <c r="E29" s="363">
        <f ca="1">TblConstr[[#This Row],[Hill]]</f>
        <v>0</v>
      </c>
      <c r="F29" s="367">
        <f ca="1">TblConstr[[#This Row],[Swamp]]</f>
        <v>0</v>
      </c>
      <c r="G29" s="185">
        <f ca="1">TblConstr[[#This Row],[Cavern]]</f>
        <v>0</v>
      </c>
      <c r="H29" s="186">
        <f ca="1">TblConstr[[#This Row],[Water]]</f>
        <v>0</v>
      </c>
      <c r="I29" s="215"/>
      <c r="J29" s="175">
        <f t="shared" si="1"/>
        <v>26</v>
      </c>
      <c r="K29" s="236">
        <f ca="1">TblImps[[#This Row],[Real time]]</f>
        <v>46321.041666666606</v>
      </c>
      <c r="L29" s="179"/>
      <c r="M29" s="179"/>
      <c r="N29" s="179"/>
      <c r="O29" s="179"/>
      <c r="P29" s="179"/>
      <c r="Q29" s="179"/>
      <c r="R29" s="179"/>
      <c r="S29" s="94">
        <f>SUMIF(TblRezone[[#This Row],[Plains Rezone]:[Water Rezone]],"&gt;0")</f>
        <v>0</v>
      </c>
      <c r="T29" s="61" t="str">
        <f>IF(SUM(TblRezone[[#This Row],[Plains Rezone]:[Water Rezone]])=0,"Ok","Nope")</f>
        <v>Ok</v>
      </c>
      <c r="U29" s="215"/>
      <c r="V29" s="94">
        <f ca="1">TblProd[[#This Row],[Platinum]]</f>
        <v>148162</v>
      </c>
      <c r="W29" s="215"/>
      <c r="X29" s="94">
        <f ca="1">ROUND( (1-MIN(ROUND(facs_rezone_factor*TblRezone[[#This Row],[Facs]],4),facs_rezone_max) + tech_6_4*TblTech[[#This Row],[6-4]] + tech_10_2*TblTech[[#This Row],[10-2]] - IF(TblMagic[[#This Row],[Active Mechanical Genius]]&gt;0,mech_genius_bonus,0) + race_rezone_cost) * TblRezone[[#This Row],[Plat/acre*]],0)</f>
        <v>130</v>
      </c>
      <c r="Y29" s="94">
        <f ca="1">TblRezone[[#This Row],[Total acres]]*TblRezone[[#This Row],[Plat/acre]]</f>
        <v>0</v>
      </c>
      <c r="Z29" s="215"/>
      <c r="AA29" s="94">
        <f ca="1">(250+0.6*(TblRezone[[#This Row],[Land]]-250))</f>
        <v>130</v>
      </c>
      <c r="AB29" s="215"/>
      <c r="AC29" s="157">
        <f ca="1">TblConstr[[#This Row],[Facs DB]]</f>
        <v>0</v>
      </c>
    </row>
    <row r="30" spans="1:29" x14ac:dyDescent="0.2">
      <c r="A30" s="214">
        <f ca="1">TblConstr[[#This Row],[Land]]</f>
        <v>50</v>
      </c>
      <c r="B30" s="216">
        <f ca="1">TblConstr[[#This Row],[Plain]]</f>
        <v>0</v>
      </c>
      <c r="C30" s="182">
        <f ca="1">TblConstr[[#This Row],[Forest]]</f>
        <v>0</v>
      </c>
      <c r="D30" s="359">
        <f ca="1">TblConstr[[#This Row],[Mountain]]</f>
        <v>0</v>
      </c>
      <c r="E30" s="363">
        <f ca="1">TblConstr[[#This Row],[Hill]]</f>
        <v>0</v>
      </c>
      <c r="F30" s="367">
        <f ca="1">TblConstr[[#This Row],[Swamp]]</f>
        <v>0</v>
      </c>
      <c r="G30" s="185">
        <f ca="1">TblConstr[[#This Row],[Cavern]]</f>
        <v>0</v>
      </c>
      <c r="H30" s="186">
        <f ca="1">TblConstr[[#This Row],[Water]]</f>
        <v>0</v>
      </c>
      <c r="I30" s="215"/>
      <c r="J30" s="175">
        <f t="shared" si="1"/>
        <v>27</v>
      </c>
      <c r="K30" s="236">
        <f ca="1">TblImps[[#This Row],[Real time]]</f>
        <v>46321.08333333327</v>
      </c>
      <c r="L30" s="179"/>
      <c r="M30" s="179"/>
      <c r="N30" s="179"/>
      <c r="O30" s="179"/>
      <c r="P30" s="179"/>
      <c r="Q30" s="179"/>
      <c r="R30" s="179"/>
      <c r="S30" s="94">
        <f>SUMIF(TblRezone[[#This Row],[Plains Rezone]:[Water Rezone]],"&gt;0")</f>
        <v>0</v>
      </c>
      <c r="T30" s="61" t="str">
        <f>IF(SUM(TblRezone[[#This Row],[Plains Rezone]:[Water Rezone]])=0,"Ok","Nope")</f>
        <v>Ok</v>
      </c>
      <c r="U30" s="215"/>
      <c r="V30" s="94">
        <f ca="1">TblProd[[#This Row],[Platinum]]</f>
        <v>149147</v>
      </c>
      <c r="W30" s="215"/>
      <c r="X30" s="94">
        <f ca="1">ROUND( (1-MIN(ROUND(facs_rezone_factor*TblRezone[[#This Row],[Facs]],4),facs_rezone_max) + tech_6_4*TblTech[[#This Row],[6-4]] + tech_10_2*TblTech[[#This Row],[10-2]] - IF(TblMagic[[#This Row],[Active Mechanical Genius]]&gt;0,mech_genius_bonus,0) + race_rezone_cost) * TblRezone[[#This Row],[Plat/acre*]],0)</f>
        <v>130</v>
      </c>
      <c r="Y30" s="94">
        <f ca="1">TblRezone[[#This Row],[Total acres]]*TblRezone[[#This Row],[Plat/acre]]</f>
        <v>0</v>
      </c>
      <c r="Z30" s="215"/>
      <c r="AA30" s="94">
        <f ca="1">(250+0.6*(TblRezone[[#This Row],[Land]]-250))</f>
        <v>130</v>
      </c>
      <c r="AB30" s="215"/>
      <c r="AC30" s="157">
        <f ca="1">TblConstr[[#This Row],[Facs DB]]</f>
        <v>0</v>
      </c>
    </row>
    <row r="31" spans="1:29" x14ac:dyDescent="0.2">
      <c r="A31" s="214">
        <f ca="1">TblConstr[[#This Row],[Land]]</f>
        <v>50</v>
      </c>
      <c r="B31" s="216">
        <f ca="1">TblConstr[[#This Row],[Plain]]</f>
        <v>0</v>
      </c>
      <c r="C31" s="182">
        <f ca="1">TblConstr[[#This Row],[Forest]]</f>
        <v>0</v>
      </c>
      <c r="D31" s="359">
        <f ca="1">TblConstr[[#This Row],[Mountain]]</f>
        <v>0</v>
      </c>
      <c r="E31" s="363">
        <f ca="1">TblConstr[[#This Row],[Hill]]</f>
        <v>0</v>
      </c>
      <c r="F31" s="367">
        <f ca="1">TblConstr[[#This Row],[Swamp]]</f>
        <v>0</v>
      </c>
      <c r="G31" s="185">
        <f ca="1">TblConstr[[#This Row],[Cavern]]</f>
        <v>0</v>
      </c>
      <c r="H31" s="186">
        <f ca="1">TblConstr[[#This Row],[Water]]</f>
        <v>0</v>
      </c>
      <c r="I31" s="215"/>
      <c r="J31" s="175">
        <f t="shared" si="1"/>
        <v>28</v>
      </c>
      <c r="K31" s="236">
        <f ca="1">TblImps[[#This Row],[Real time]]</f>
        <v>46321.124999999935</v>
      </c>
      <c r="L31" s="179"/>
      <c r="M31" s="179"/>
      <c r="N31" s="179"/>
      <c r="O31" s="179"/>
      <c r="P31" s="179"/>
      <c r="Q31" s="179"/>
      <c r="R31" s="179"/>
      <c r="S31" s="94">
        <f>SUMIF(TblRezone[[#This Row],[Plains Rezone]:[Water Rezone]],"&gt;0")</f>
        <v>0</v>
      </c>
      <c r="T31" s="61" t="str">
        <f>IF(SUM(TblRezone[[#This Row],[Plains Rezone]:[Water Rezone]])=0,"Ok","Nope")</f>
        <v>Ok</v>
      </c>
      <c r="U31" s="215"/>
      <c r="V31" s="94">
        <f ca="1">TblProd[[#This Row],[Platinum]]</f>
        <v>150121</v>
      </c>
      <c r="W31" s="215"/>
      <c r="X31" s="94">
        <f ca="1">ROUND( (1-MIN(ROUND(facs_rezone_factor*TblRezone[[#This Row],[Facs]],4),facs_rezone_max) + tech_6_4*TblTech[[#This Row],[6-4]] + tech_10_2*TblTech[[#This Row],[10-2]] - IF(TblMagic[[#This Row],[Active Mechanical Genius]]&gt;0,mech_genius_bonus,0) + race_rezone_cost) * TblRezone[[#This Row],[Plat/acre*]],0)</f>
        <v>130</v>
      </c>
      <c r="Y31" s="94">
        <f ca="1">TblRezone[[#This Row],[Total acres]]*TblRezone[[#This Row],[Plat/acre]]</f>
        <v>0</v>
      </c>
      <c r="Z31" s="215"/>
      <c r="AA31" s="94">
        <f ca="1">(250+0.6*(TblRezone[[#This Row],[Land]]-250))</f>
        <v>130</v>
      </c>
      <c r="AB31" s="215"/>
      <c r="AC31" s="157">
        <f ca="1">TblConstr[[#This Row],[Facs DB]]</f>
        <v>0</v>
      </c>
    </row>
    <row r="32" spans="1:29" x14ac:dyDescent="0.2">
      <c r="A32" s="214">
        <f ca="1">TblConstr[[#This Row],[Land]]</f>
        <v>50</v>
      </c>
      <c r="B32" s="216">
        <f ca="1">TblConstr[[#This Row],[Plain]]</f>
        <v>0</v>
      </c>
      <c r="C32" s="182">
        <f ca="1">TblConstr[[#This Row],[Forest]]</f>
        <v>0</v>
      </c>
      <c r="D32" s="359">
        <f ca="1">TblConstr[[#This Row],[Mountain]]</f>
        <v>0</v>
      </c>
      <c r="E32" s="363">
        <f ca="1">TblConstr[[#This Row],[Hill]]</f>
        <v>0</v>
      </c>
      <c r="F32" s="367">
        <f ca="1">TblConstr[[#This Row],[Swamp]]</f>
        <v>0</v>
      </c>
      <c r="G32" s="185">
        <f ca="1">TblConstr[[#This Row],[Cavern]]</f>
        <v>0</v>
      </c>
      <c r="H32" s="186">
        <f ca="1">TblConstr[[#This Row],[Water]]</f>
        <v>0</v>
      </c>
      <c r="I32" s="215"/>
      <c r="J32" s="175">
        <f t="shared" si="1"/>
        <v>29</v>
      </c>
      <c r="K32" s="236">
        <f ca="1">TblImps[[#This Row],[Real time]]</f>
        <v>46321.166666666599</v>
      </c>
      <c r="L32" s="179"/>
      <c r="M32" s="179"/>
      <c r="N32" s="179"/>
      <c r="O32" s="179"/>
      <c r="P32" s="179"/>
      <c r="Q32" s="179"/>
      <c r="R32" s="179"/>
      <c r="S32" s="94">
        <f>SUMIF(TblRezone[[#This Row],[Plains Rezone]:[Water Rezone]],"&gt;0")</f>
        <v>0</v>
      </c>
      <c r="T32" s="61" t="str">
        <f>IF(SUM(TblRezone[[#This Row],[Plains Rezone]:[Water Rezone]])=0,"Ok","Nope")</f>
        <v>Ok</v>
      </c>
      <c r="U32" s="215"/>
      <c r="V32" s="94">
        <f ca="1">TblProd[[#This Row],[Platinum]]</f>
        <v>151084</v>
      </c>
      <c r="W32" s="215"/>
      <c r="X32" s="94">
        <f ca="1">ROUND( (1-MIN(ROUND(facs_rezone_factor*TblRezone[[#This Row],[Facs]],4),facs_rezone_max) + tech_6_4*TblTech[[#This Row],[6-4]] + tech_10_2*TblTech[[#This Row],[10-2]] - IF(TblMagic[[#This Row],[Active Mechanical Genius]]&gt;0,mech_genius_bonus,0) + race_rezone_cost) * TblRezone[[#This Row],[Plat/acre*]],0)</f>
        <v>130</v>
      </c>
      <c r="Y32" s="94">
        <f ca="1">TblRezone[[#This Row],[Total acres]]*TblRezone[[#This Row],[Plat/acre]]</f>
        <v>0</v>
      </c>
      <c r="Z32" s="215"/>
      <c r="AA32" s="94">
        <f ca="1">(250+0.6*(TblRezone[[#This Row],[Land]]-250))</f>
        <v>130</v>
      </c>
      <c r="AB32" s="215"/>
      <c r="AC32" s="157">
        <f ca="1">TblConstr[[#This Row],[Facs DB]]</f>
        <v>0</v>
      </c>
    </row>
    <row r="33" spans="1:29" x14ac:dyDescent="0.2">
      <c r="A33" s="214">
        <f ca="1">TblConstr[[#This Row],[Land]]</f>
        <v>50</v>
      </c>
      <c r="B33" s="216">
        <f ca="1">TblConstr[[#This Row],[Plain]]</f>
        <v>0</v>
      </c>
      <c r="C33" s="182">
        <f ca="1">TblConstr[[#This Row],[Forest]]</f>
        <v>0</v>
      </c>
      <c r="D33" s="359">
        <f ca="1">TblConstr[[#This Row],[Mountain]]</f>
        <v>0</v>
      </c>
      <c r="E33" s="363">
        <f ca="1">TblConstr[[#This Row],[Hill]]</f>
        <v>0</v>
      </c>
      <c r="F33" s="367">
        <f ca="1">TblConstr[[#This Row],[Swamp]]</f>
        <v>0</v>
      </c>
      <c r="G33" s="185">
        <f ca="1">TblConstr[[#This Row],[Cavern]]</f>
        <v>0</v>
      </c>
      <c r="H33" s="186">
        <f ca="1">TblConstr[[#This Row],[Water]]</f>
        <v>0</v>
      </c>
      <c r="I33" s="215"/>
      <c r="J33" s="175">
        <f t="shared" si="1"/>
        <v>30</v>
      </c>
      <c r="K33" s="236">
        <f ca="1">TblImps[[#This Row],[Real time]]</f>
        <v>46321.208333333263</v>
      </c>
      <c r="L33" s="179"/>
      <c r="M33" s="179"/>
      <c r="N33" s="179"/>
      <c r="O33" s="179"/>
      <c r="P33" s="179"/>
      <c r="Q33" s="179"/>
      <c r="R33" s="179"/>
      <c r="S33" s="94">
        <f>SUMIF(TblRezone[[#This Row],[Plains Rezone]:[Water Rezone]],"&gt;0")</f>
        <v>0</v>
      </c>
      <c r="T33" s="61" t="str">
        <f>IF(SUM(TblRezone[[#This Row],[Plains Rezone]:[Water Rezone]])=0,"Ok","Nope")</f>
        <v>Ok</v>
      </c>
      <c r="U33" s="215"/>
      <c r="V33" s="94">
        <f ca="1">TblProd[[#This Row],[Platinum]]</f>
        <v>152037</v>
      </c>
      <c r="W33" s="215"/>
      <c r="X33" s="94">
        <f ca="1">ROUND( (1-MIN(ROUND(facs_rezone_factor*TblRezone[[#This Row],[Facs]],4),facs_rezone_max) + tech_6_4*TblTech[[#This Row],[6-4]] + tech_10_2*TblTech[[#This Row],[10-2]] - IF(TblMagic[[#This Row],[Active Mechanical Genius]]&gt;0,mech_genius_bonus,0) + race_rezone_cost) * TblRezone[[#This Row],[Plat/acre*]],0)</f>
        <v>130</v>
      </c>
      <c r="Y33" s="94">
        <f ca="1">TblRezone[[#This Row],[Total acres]]*TblRezone[[#This Row],[Plat/acre]]</f>
        <v>0</v>
      </c>
      <c r="Z33" s="215"/>
      <c r="AA33" s="94">
        <f ca="1">(250+0.6*(TblRezone[[#This Row],[Land]]-250))</f>
        <v>130</v>
      </c>
      <c r="AB33" s="215"/>
      <c r="AC33" s="157">
        <f ca="1">TblConstr[[#This Row],[Facs DB]]</f>
        <v>0</v>
      </c>
    </row>
    <row r="34" spans="1:29" x14ac:dyDescent="0.2">
      <c r="A34" s="214">
        <f ca="1">TblConstr[[#This Row],[Land]]</f>
        <v>50</v>
      </c>
      <c r="B34" s="216">
        <f ca="1">TblConstr[[#This Row],[Plain]]</f>
        <v>0</v>
      </c>
      <c r="C34" s="182">
        <f ca="1">TblConstr[[#This Row],[Forest]]</f>
        <v>0</v>
      </c>
      <c r="D34" s="359">
        <f ca="1">TblConstr[[#This Row],[Mountain]]</f>
        <v>0</v>
      </c>
      <c r="E34" s="363">
        <f ca="1">TblConstr[[#This Row],[Hill]]</f>
        <v>0</v>
      </c>
      <c r="F34" s="367">
        <f ca="1">TblConstr[[#This Row],[Swamp]]</f>
        <v>0</v>
      </c>
      <c r="G34" s="185">
        <f ca="1">TblConstr[[#This Row],[Cavern]]</f>
        <v>0</v>
      </c>
      <c r="H34" s="186">
        <f ca="1">TblConstr[[#This Row],[Water]]</f>
        <v>0</v>
      </c>
      <c r="I34" s="215"/>
      <c r="J34" s="175">
        <f t="shared" si="1"/>
        <v>31</v>
      </c>
      <c r="K34" s="236">
        <f ca="1">TblImps[[#This Row],[Real time]]</f>
        <v>46321.249999999927</v>
      </c>
      <c r="L34" s="179"/>
      <c r="M34" s="179"/>
      <c r="N34" s="179"/>
      <c r="O34" s="179"/>
      <c r="P34" s="179"/>
      <c r="Q34" s="179"/>
      <c r="R34" s="179"/>
      <c r="S34" s="94">
        <f>SUMIF(TblRezone[[#This Row],[Plains Rezone]:[Water Rezone]],"&gt;0")</f>
        <v>0</v>
      </c>
      <c r="T34" s="61" t="str">
        <f>IF(SUM(TblRezone[[#This Row],[Plains Rezone]:[Water Rezone]])=0,"Ok","Nope")</f>
        <v>Ok</v>
      </c>
      <c r="U34" s="215"/>
      <c r="V34" s="94">
        <f ca="1">TblProd[[#This Row],[Platinum]]</f>
        <v>152979</v>
      </c>
      <c r="W34" s="215"/>
      <c r="X34" s="94">
        <f ca="1">ROUND( (1-MIN(ROUND(facs_rezone_factor*TblRezone[[#This Row],[Facs]],4),facs_rezone_max) + tech_6_4*TblTech[[#This Row],[6-4]] + tech_10_2*TblTech[[#This Row],[10-2]] - IF(TblMagic[[#This Row],[Active Mechanical Genius]]&gt;0,mech_genius_bonus,0) + race_rezone_cost) * TblRezone[[#This Row],[Plat/acre*]],0)</f>
        <v>130</v>
      </c>
      <c r="Y34" s="94">
        <f ca="1">TblRezone[[#This Row],[Total acres]]*TblRezone[[#This Row],[Plat/acre]]</f>
        <v>0</v>
      </c>
      <c r="Z34" s="215"/>
      <c r="AA34" s="94">
        <f ca="1">(250+0.6*(TblRezone[[#This Row],[Land]]-250))</f>
        <v>130</v>
      </c>
      <c r="AB34" s="215"/>
      <c r="AC34" s="157">
        <f ca="1">TblConstr[[#This Row],[Facs DB]]</f>
        <v>0</v>
      </c>
    </row>
    <row r="35" spans="1:29" x14ac:dyDescent="0.2">
      <c r="A35" s="214">
        <f ca="1">TblConstr[[#This Row],[Land]]</f>
        <v>50</v>
      </c>
      <c r="B35" s="216">
        <f ca="1">TblConstr[[#This Row],[Plain]]</f>
        <v>0</v>
      </c>
      <c r="C35" s="182">
        <f ca="1">TblConstr[[#This Row],[Forest]]</f>
        <v>0</v>
      </c>
      <c r="D35" s="359">
        <f ca="1">TblConstr[[#This Row],[Mountain]]</f>
        <v>0</v>
      </c>
      <c r="E35" s="363">
        <f ca="1">TblConstr[[#This Row],[Hill]]</f>
        <v>0</v>
      </c>
      <c r="F35" s="367">
        <f ca="1">TblConstr[[#This Row],[Swamp]]</f>
        <v>0</v>
      </c>
      <c r="G35" s="185">
        <f ca="1">TblConstr[[#This Row],[Cavern]]</f>
        <v>0</v>
      </c>
      <c r="H35" s="186">
        <f ca="1">TblConstr[[#This Row],[Water]]</f>
        <v>0</v>
      </c>
      <c r="I35" s="215"/>
      <c r="J35" s="175">
        <f t="shared" si="1"/>
        <v>32</v>
      </c>
      <c r="K35" s="236">
        <f ca="1">TblImps[[#This Row],[Real time]]</f>
        <v>46321.291666666591</v>
      </c>
      <c r="L35" s="179"/>
      <c r="M35" s="179"/>
      <c r="N35" s="179"/>
      <c r="O35" s="179"/>
      <c r="P35" s="179"/>
      <c r="Q35" s="179"/>
      <c r="R35" s="179"/>
      <c r="S35" s="94">
        <f>SUMIF(TblRezone[[#This Row],[Plains Rezone]:[Water Rezone]],"&gt;0")</f>
        <v>0</v>
      </c>
      <c r="T35" s="61" t="str">
        <f>IF(SUM(TblRezone[[#This Row],[Plains Rezone]:[Water Rezone]])=0,"Ok","Nope")</f>
        <v>Ok</v>
      </c>
      <c r="U35" s="215"/>
      <c r="V35" s="94">
        <f ca="1">TblProd[[#This Row],[Platinum]]</f>
        <v>153913</v>
      </c>
      <c r="W35" s="215"/>
      <c r="X35" s="94">
        <f ca="1">ROUND( (1-MIN(ROUND(facs_rezone_factor*TblRezone[[#This Row],[Facs]],4),facs_rezone_max) + tech_6_4*TblTech[[#This Row],[6-4]] + tech_10_2*TblTech[[#This Row],[10-2]] - IF(TblMagic[[#This Row],[Active Mechanical Genius]]&gt;0,mech_genius_bonus,0) + race_rezone_cost) * TblRezone[[#This Row],[Plat/acre*]],0)</f>
        <v>130</v>
      </c>
      <c r="Y35" s="94">
        <f ca="1">TblRezone[[#This Row],[Total acres]]*TblRezone[[#This Row],[Plat/acre]]</f>
        <v>0</v>
      </c>
      <c r="Z35" s="215"/>
      <c r="AA35" s="94">
        <f ca="1">(250+0.6*(TblRezone[[#This Row],[Land]]-250))</f>
        <v>130</v>
      </c>
      <c r="AB35" s="215"/>
      <c r="AC35" s="157">
        <f ca="1">TblConstr[[#This Row],[Facs DB]]</f>
        <v>0</v>
      </c>
    </row>
    <row r="36" spans="1:29" x14ac:dyDescent="0.2">
      <c r="A36" s="214">
        <f ca="1">TblConstr[[#This Row],[Land]]</f>
        <v>50</v>
      </c>
      <c r="B36" s="216">
        <f ca="1">TblConstr[[#This Row],[Plain]]</f>
        <v>0</v>
      </c>
      <c r="C36" s="182">
        <f ca="1">TblConstr[[#This Row],[Forest]]</f>
        <v>0</v>
      </c>
      <c r="D36" s="359">
        <f ca="1">TblConstr[[#This Row],[Mountain]]</f>
        <v>0</v>
      </c>
      <c r="E36" s="363">
        <f ca="1">TblConstr[[#This Row],[Hill]]</f>
        <v>0</v>
      </c>
      <c r="F36" s="367">
        <f ca="1">TblConstr[[#This Row],[Swamp]]</f>
        <v>0</v>
      </c>
      <c r="G36" s="185">
        <f ca="1">TblConstr[[#This Row],[Cavern]]</f>
        <v>0</v>
      </c>
      <c r="H36" s="186">
        <f ca="1">TblConstr[[#This Row],[Water]]</f>
        <v>0</v>
      </c>
      <c r="I36" s="215"/>
      <c r="J36" s="175">
        <f t="shared" si="1"/>
        <v>33</v>
      </c>
      <c r="K36" s="236">
        <f ca="1">TblImps[[#This Row],[Real time]]</f>
        <v>46321.333333333256</v>
      </c>
      <c r="L36" s="179"/>
      <c r="M36" s="179"/>
      <c r="N36" s="179"/>
      <c r="O36" s="179"/>
      <c r="P36" s="179"/>
      <c r="Q36" s="179"/>
      <c r="R36" s="179"/>
      <c r="S36" s="94">
        <f>SUMIF(TblRezone[[#This Row],[Plains Rezone]:[Water Rezone]],"&gt;0")</f>
        <v>0</v>
      </c>
      <c r="T36" s="61" t="str">
        <f>IF(SUM(TblRezone[[#This Row],[Plains Rezone]:[Water Rezone]])=0,"Ok","Nope")</f>
        <v>Ok</v>
      </c>
      <c r="U36" s="215"/>
      <c r="V36" s="94">
        <f ca="1">TblProd[[#This Row],[Platinum]]</f>
        <v>154839</v>
      </c>
      <c r="W36" s="215"/>
      <c r="X36" s="94">
        <f ca="1">ROUND( (1-MIN(ROUND(facs_rezone_factor*TblRezone[[#This Row],[Facs]],4),facs_rezone_max) + tech_6_4*TblTech[[#This Row],[6-4]] + tech_10_2*TblTech[[#This Row],[10-2]] - IF(TblMagic[[#This Row],[Active Mechanical Genius]]&gt;0,mech_genius_bonus,0) + race_rezone_cost) * TblRezone[[#This Row],[Plat/acre*]],0)</f>
        <v>130</v>
      </c>
      <c r="Y36" s="94">
        <f ca="1">TblRezone[[#This Row],[Total acres]]*TblRezone[[#This Row],[Plat/acre]]</f>
        <v>0</v>
      </c>
      <c r="Z36" s="215"/>
      <c r="AA36" s="94">
        <f ca="1">(250+0.6*(TblRezone[[#This Row],[Land]]-250))</f>
        <v>130</v>
      </c>
      <c r="AB36" s="215"/>
      <c r="AC36" s="157">
        <f ca="1">TblConstr[[#This Row],[Facs DB]]</f>
        <v>0</v>
      </c>
    </row>
    <row r="37" spans="1:29" x14ac:dyDescent="0.2">
      <c r="A37" s="214">
        <f ca="1">TblConstr[[#This Row],[Land]]</f>
        <v>50</v>
      </c>
      <c r="B37" s="216">
        <f ca="1">TblConstr[[#This Row],[Plain]]</f>
        <v>0</v>
      </c>
      <c r="C37" s="182">
        <f ca="1">TblConstr[[#This Row],[Forest]]</f>
        <v>0</v>
      </c>
      <c r="D37" s="359">
        <f ca="1">TblConstr[[#This Row],[Mountain]]</f>
        <v>0</v>
      </c>
      <c r="E37" s="363">
        <f ca="1">TblConstr[[#This Row],[Hill]]</f>
        <v>0</v>
      </c>
      <c r="F37" s="367">
        <f ca="1">TblConstr[[#This Row],[Swamp]]</f>
        <v>0</v>
      </c>
      <c r="G37" s="185">
        <f ca="1">TblConstr[[#This Row],[Cavern]]</f>
        <v>0</v>
      </c>
      <c r="H37" s="186">
        <f ca="1">TblConstr[[#This Row],[Water]]</f>
        <v>0</v>
      </c>
      <c r="I37" s="215"/>
      <c r="J37" s="175">
        <f t="shared" si="1"/>
        <v>34</v>
      </c>
      <c r="K37" s="236">
        <f ca="1">TblImps[[#This Row],[Real time]]</f>
        <v>46321.37499999992</v>
      </c>
      <c r="L37" s="179"/>
      <c r="M37" s="179"/>
      <c r="N37" s="179"/>
      <c r="O37" s="179"/>
      <c r="P37" s="179"/>
      <c r="Q37" s="179"/>
      <c r="R37" s="179"/>
      <c r="S37" s="94">
        <f>SUMIF(TblRezone[[#This Row],[Plains Rezone]:[Water Rezone]],"&gt;0")</f>
        <v>0</v>
      </c>
      <c r="T37" s="61" t="str">
        <f>IF(SUM(TblRezone[[#This Row],[Plains Rezone]:[Water Rezone]])=0,"Ok","Nope")</f>
        <v>Ok</v>
      </c>
      <c r="U37" s="215"/>
      <c r="V37" s="94">
        <f ca="1">TblProd[[#This Row],[Platinum]]</f>
        <v>155757</v>
      </c>
      <c r="W37" s="215"/>
      <c r="X37" s="94">
        <f ca="1">ROUND( (1-MIN(ROUND(facs_rezone_factor*TblRezone[[#This Row],[Facs]],4),facs_rezone_max) + tech_6_4*TblTech[[#This Row],[6-4]] + tech_10_2*TblTech[[#This Row],[10-2]] - IF(TblMagic[[#This Row],[Active Mechanical Genius]]&gt;0,mech_genius_bonus,0) + race_rezone_cost) * TblRezone[[#This Row],[Plat/acre*]],0)</f>
        <v>130</v>
      </c>
      <c r="Y37" s="94">
        <f ca="1">TblRezone[[#This Row],[Total acres]]*TblRezone[[#This Row],[Plat/acre]]</f>
        <v>0</v>
      </c>
      <c r="Z37" s="215"/>
      <c r="AA37" s="94">
        <f ca="1">(250+0.6*(TblRezone[[#This Row],[Land]]-250))</f>
        <v>130</v>
      </c>
      <c r="AB37" s="215"/>
      <c r="AC37" s="157">
        <f ca="1">TblConstr[[#This Row],[Facs DB]]</f>
        <v>0</v>
      </c>
    </row>
    <row r="38" spans="1:29" x14ac:dyDescent="0.2">
      <c r="A38" s="214">
        <f ca="1">TblConstr[[#This Row],[Land]]</f>
        <v>50</v>
      </c>
      <c r="B38" s="216">
        <f ca="1">TblConstr[[#This Row],[Plain]]</f>
        <v>0</v>
      </c>
      <c r="C38" s="182">
        <f ca="1">TblConstr[[#This Row],[Forest]]</f>
        <v>0</v>
      </c>
      <c r="D38" s="359">
        <f ca="1">TblConstr[[#This Row],[Mountain]]</f>
        <v>0</v>
      </c>
      <c r="E38" s="363">
        <f ca="1">TblConstr[[#This Row],[Hill]]</f>
        <v>0</v>
      </c>
      <c r="F38" s="367">
        <f ca="1">TblConstr[[#This Row],[Swamp]]</f>
        <v>0</v>
      </c>
      <c r="G38" s="185">
        <f ca="1">TblConstr[[#This Row],[Cavern]]</f>
        <v>0</v>
      </c>
      <c r="H38" s="186">
        <f ca="1">TblConstr[[#This Row],[Water]]</f>
        <v>0</v>
      </c>
      <c r="I38" s="215"/>
      <c r="J38" s="175">
        <f t="shared" si="1"/>
        <v>35</v>
      </c>
      <c r="K38" s="236">
        <f ca="1">TblImps[[#This Row],[Real time]]</f>
        <v>46321.416666666584</v>
      </c>
      <c r="L38" s="179"/>
      <c r="M38" s="179"/>
      <c r="N38" s="179"/>
      <c r="O38" s="179"/>
      <c r="P38" s="179"/>
      <c r="Q38" s="179"/>
      <c r="R38" s="179"/>
      <c r="S38" s="94">
        <f>SUMIF(TblRezone[[#This Row],[Plains Rezone]:[Water Rezone]],"&gt;0")</f>
        <v>0</v>
      </c>
      <c r="T38" s="61" t="str">
        <f>IF(SUM(TblRezone[[#This Row],[Plains Rezone]:[Water Rezone]])=0,"Ok","Nope")</f>
        <v>Ok</v>
      </c>
      <c r="U38" s="215"/>
      <c r="V38" s="94">
        <f ca="1">TblProd[[#This Row],[Platinum]]</f>
        <v>156666</v>
      </c>
      <c r="W38" s="215"/>
      <c r="X38" s="94">
        <f ca="1">ROUND( (1-MIN(ROUND(facs_rezone_factor*TblRezone[[#This Row],[Facs]],4),facs_rezone_max) + tech_6_4*TblTech[[#This Row],[6-4]] + tech_10_2*TblTech[[#This Row],[10-2]] - IF(TblMagic[[#This Row],[Active Mechanical Genius]]&gt;0,mech_genius_bonus,0) + race_rezone_cost) * TblRezone[[#This Row],[Plat/acre*]],0)</f>
        <v>130</v>
      </c>
      <c r="Y38" s="94">
        <f ca="1">TblRezone[[#This Row],[Total acres]]*TblRezone[[#This Row],[Plat/acre]]</f>
        <v>0</v>
      </c>
      <c r="Z38" s="215"/>
      <c r="AA38" s="94">
        <f ca="1">(250+0.6*(TblRezone[[#This Row],[Land]]-250))</f>
        <v>130</v>
      </c>
      <c r="AB38" s="215"/>
      <c r="AC38" s="157">
        <f ca="1">TblConstr[[#This Row],[Facs DB]]</f>
        <v>0</v>
      </c>
    </row>
    <row r="39" spans="1:29" x14ac:dyDescent="0.2">
      <c r="A39" s="214">
        <f ca="1">TblConstr[[#This Row],[Land]]</f>
        <v>50</v>
      </c>
      <c r="B39" s="216">
        <f ca="1">TblConstr[[#This Row],[Plain]]</f>
        <v>0</v>
      </c>
      <c r="C39" s="182">
        <f ca="1">TblConstr[[#This Row],[Forest]]</f>
        <v>0</v>
      </c>
      <c r="D39" s="359">
        <f ca="1">TblConstr[[#This Row],[Mountain]]</f>
        <v>0</v>
      </c>
      <c r="E39" s="363">
        <f ca="1">TblConstr[[#This Row],[Hill]]</f>
        <v>0</v>
      </c>
      <c r="F39" s="367">
        <f ca="1">TblConstr[[#This Row],[Swamp]]</f>
        <v>0</v>
      </c>
      <c r="G39" s="185">
        <f ca="1">TblConstr[[#This Row],[Cavern]]</f>
        <v>0</v>
      </c>
      <c r="H39" s="186">
        <f ca="1">TblConstr[[#This Row],[Water]]</f>
        <v>0</v>
      </c>
      <c r="I39" s="215"/>
      <c r="J39" s="175">
        <f t="shared" si="1"/>
        <v>36</v>
      </c>
      <c r="K39" s="236">
        <f ca="1">TblImps[[#This Row],[Real time]]</f>
        <v>46321.458333333248</v>
      </c>
      <c r="L39" s="179"/>
      <c r="M39" s="179"/>
      <c r="N39" s="179"/>
      <c r="O39" s="179"/>
      <c r="P39" s="179"/>
      <c r="Q39" s="179"/>
      <c r="R39" s="179"/>
      <c r="S39" s="94">
        <f>SUMIF(TblRezone[[#This Row],[Plains Rezone]:[Water Rezone]],"&gt;0")</f>
        <v>0</v>
      </c>
      <c r="T39" s="61" t="str">
        <f>IF(SUM(TblRezone[[#This Row],[Plains Rezone]:[Water Rezone]])=0,"Ok","Nope")</f>
        <v>Ok</v>
      </c>
      <c r="U39" s="215"/>
      <c r="V39" s="94">
        <f ca="1">TblProd[[#This Row],[Platinum]]</f>
        <v>157567</v>
      </c>
      <c r="W39" s="215"/>
      <c r="X39" s="94">
        <f ca="1">ROUND( (1-MIN(ROUND(facs_rezone_factor*TblRezone[[#This Row],[Facs]],4),facs_rezone_max) + tech_6_4*TblTech[[#This Row],[6-4]] + tech_10_2*TblTech[[#This Row],[10-2]] - IF(TblMagic[[#This Row],[Active Mechanical Genius]]&gt;0,mech_genius_bonus,0) + race_rezone_cost) * TblRezone[[#This Row],[Plat/acre*]],0)</f>
        <v>130</v>
      </c>
      <c r="Y39" s="94">
        <f ca="1">TblRezone[[#This Row],[Total acres]]*TblRezone[[#This Row],[Plat/acre]]</f>
        <v>0</v>
      </c>
      <c r="Z39" s="215"/>
      <c r="AA39" s="94">
        <f ca="1">(250+0.6*(TblRezone[[#This Row],[Land]]-250))</f>
        <v>130</v>
      </c>
      <c r="AB39" s="215"/>
      <c r="AC39" s="157">
        <f ca="1">TblConstr[[#This Row],[Facs DB]]</f>
        <v>0</v>
      </c>
    </row>
    <row r="40" spans="1:29" x14ac:dyDescent="0.2">
      <c r="A40" s="214">
        <f ca="1">TblConstr[[#This Row],[Land]]</f>
        <v>50</v>
      </c>
      <c r="B40" s="216">
        <f ca="1">TblConstr[[#This Row],[Plain]]</f>
        <v>0</v>
      </c>
      <c r="C40" s="182">
        <f ca="1">TblConstr[[#This Row],[Forest]]</f>
        <v>0</v>
      </c>
      <c r="D40" s="359">
        <f ca="1">TblConstr[[#This Row],[Mountain]]</f>
        <v>0</v>
      </c>
      <c r="E40" s="363">
        <f ca="1">TblConstr[[#This Row],[Hill]]</f>
        <v>0</v>
      </c>
      <c r="F40" s="367">
        <f ca="1">TblConstr[[#This Row],[Swamp]]</f>
        <v>0</v>
      </c>
      <c r="G40" s="185">
        <f ca="1">TblConstr[[#This Row],[Cavern]]</f>
        <v>0</v>
      </c>
      <c r="H40" s="186">
        <f ca="1">TblConstr[[#This Row],[Water]]</f>
        <v>0</v>
      </c>
      <c r="I40" s="215"/>
      <c r="J40" s="175">
        <f t="shared" si="1"/>
        <v>37</v>
      </c>
      <c r="K40" s="236">
        <f ca="1">TblImps[[#This Row],[Real time]]</f>
        <v>46321.499999999913</v>
      </c>
      <c r="L40" s="179"/>
      <c r="M40" s="179"/>
      <c r="N40" s="179"/>
      <c r="O40" s="179"/>
      <c r="P40" s="179"/>
      <c r="Q40" s="179"/>
      <c r="R40" s="179"/>
      <c r="S40" s="94">
        <f>SUMIF(TblRezone[[#This Row],[Plains Rezone]:[Water Rezone]],"&gt;0")</f>
        <v>0</v>
      </c>
      <c r="T40" s="61" t="str">
        <f>IF(SUM(TblRezone[[#This Row],[Plains Rezone]:[Water Rezone]])=0,"Ok","Nope")</f>
        <v>Ok</v>
      </c>
      <c r="U40" s="215"/>
      <c r="V40" s="94">
        <f ca="1">TblProd[[#This Row],[Platinum]]</f>
        <v>158460</v>
      </c>
      <c r="W40" s="215"/>
      <c r="X40" s="94">
        <f ca="1">ROUND( (1-MIN(ROUND(facs_rezone_factor*TblRezone[[#This Row],[Facs]],4),facs_rezone_max) + tech_6_4*TblTech[[#This Row],[6-4]] + tech_10_2*TblTech[[#This Row],[10-2]] - IF(TblMagic[[#This Row],[Active Mechanical Genius]]&gt;0,mech_genius_bonus,0) + race_rezone_cost) * TblRezone[[#This Row],[Plat/acre*]],0)</f>
        <v>130</v>
      </c>
      <c r="Y40" s="94">
        <f ca="1">TblRezone[[#This Row],[Total acres]]*TblRezone[[#This Row],[Plat/acre]]</f>
        <v>0</v>
      </c>
      <c r="Z40" s="215"/>
      <c r="AA40" s="94">
        <f ca="1">(250+0.6*(TblRezone[[#This Row],[Land]]-250))</f>
        <v>130</v>
      </c>
      <c r="AB40" s="215"/>
      <c r="AC40" s="157">
        <f ca="1">TblConstr[[#This Row],[Facs DB]]</f>
        <v>0</v>
      </c>
    </row>
    <row r="41" spans="1:29" x14ac:dyDescent="0.2">
      <c r="A41" s="214">
        <f ca="1">TblConstr[[#This Row],[Land]]</f>
        <v>50</v>
      </c>
      <c r="B41" s="216">
        <f ca="1">TblConstr[[#This Row],[Plain]]</f>
        <v>0</v>
      </c>
      <c r="C41" s="182">
        <f ca="1">TblConstr[[#This Row],[Forest]]</f>
        <v>0</v>
      </c>
      <c r="D41" s="359">
        <f ca="1">TblConstr[[#This Row],[Mountain]]</f>
        <v>0</v>
      </c>
      <c r="E41" s="363">
        <f ca="1">TblConstr[[#This Row],[Hill]]</f>
        <v>0</v>
      </c>
      <c r="F41" s="367">
        <f ca="1">TblConstr[[#This Row],[Swamp]]</f>
        <v>0</v>
      </c>
      <c r="G41" s="185">
        <f ca="1">TblConstr[[#This Row],[Cavern]]</f>
        <v>0</v>
      </c>
      <c r="H41" s="186">
        <f ca="1">TblConstr[[#This Row],[Water]]</f>
        <v>0</v>
      </c>
      <c r="I41" s="215"/>
      <c r="J41" s="175">
        <f t="shared" si="1"/>
        <v>38</v>
      </c>
      <c r="K41" s="236">
        <f ca="1">TblImps[[#This Row],[Real time]]</f>
        <v>46321.541666666577</v>
      </c>
      <c r="L41" s="179"/>
      <c r="M41" s="179"/>
      <c r="N41" s="179"/>
      <c r="O41" s="179"/>
      <c r="P41" s="179"/>
      <c r="Q41" s="179"/>
      <c r="R41" s="179"/>
      <c r="S41" s="94">
        <f>SUMIF(TblRezone[[#This Row],[Plains Rezone]:[Water Rezone]],"&gt;0")</f>
        <v>0</v>
      </c>
      <c r="T41" s="61" t="str">
        <f>IF(SUM(TblRezone[[#This Row],[Plains Rezone]:[Water Rezone]])=0,"Ok","Nope")</f>
        <v>Ok</v>
      </c>
      <c r="U41" s="215"/>
      <c r="V41" s="94">
        <f ca="1">TblProd[[#This Row],[Platinum]]</f>
        <v>159345</v>
      </c>
      <c r="W41" s="215"/>
      <c r="X41" s="94">
        <f ca="1">ROUND( (1-MIN(ROUND(facs_rezone_factor*TblRezone[[#This Row],[Facs]],4),facs_rezone_max) + tech_6_4*TblTech[[#This Row],[6-4]] + tech_10_2*TblTech[[#This Row],[10-2]] - IF(TblMagic[[#This Row],[Active Mechanical Genius]]&gt;0,mech_genius_bonus,0) + race_rezone_cost) * TblRezone[[#This Row],[Plat/acre*]],0)</f>
        <v>130</v>
      </c>
      <c r="Y41" s="94">
        <f ca="1">TblRezone[[#This Row],[Total acres]]*TblRezone[[#This Row],[Plat/acre]]</f>
        <v>0</v>
      </c>
      <c r="Z41" s="215"/>
      <c r="AA41" s="94">
        <f ca="1">(250+0.6*(TblRezone[[#This Row],[Land]]-250))</f>
        <v>130</v>
      </c>
      <c r="AB41" s="215"/>
      <c r="AC41" s="157">
        <f ca="1">TblConstr[[#This Row],[Facs DB]]</f>
        <v>0</v>
      </c>
    </row>
    <row r="42" spans="1:29" x14ac:dyDescent="0.2">
      <c r="A42" s="214">
        <f ca="1">TblConstr[[#This Row],[Land]]</f>
        <v>50</v>
      </c>
      <c r="B42" s="216">
        <f ca="1">TblConstr[[#This Row],[Plain]]</f>
        <v>0</v>
      </c>
      <c r="C42" s="182">
        <f ca="1">TblConstr[[#This Row],[Forest]]</f>
        <v>0</v>
      </c>
      <c r="D42" s="359">
        <f ca="1">TblConstr[[#This Row],[Mountain]]</f>
        <v>0</v>
      </c>
      <c r="E42" s="363">
        <f ca="1">TblConstr[[#This Row],[Hill]]</f>
        <v>0</v>
      </c>
      <c r="F42" s="367">
        <f ca="1">TblConstr[[#This Row],[Swamp]]</f>
        <v>0</v>
      </c>
      <c r="G42" s="185">
        <f ca="1">TblConstr[[#This Row],[Cavern]]</f>
        <v>0</v>
      </c>
      <c r="H42" s="186">
        <f ca="1">TblConstr[[#This Row],[Water]]</f>
        <v>0</v>
      </c>
      <c r="I42" s="215"/>
      <c r="J42" s="175">
        <f t="shared" si="1"/>
        <v>39</v>
      </c>
      <c r="K42" s="236">
        <f ca="1">TblImps[[#This Row],[Real time]]</f>
        <v>46321.583333333241</v>
      </c>
      <c r="L42" s="179"/>
      <c r="M42" s="179"/>
      <c r="N42" s="179"/>
      <c r="O42" s="179"/>
      <c r="P42" s="179"/>
      <c r="Q42" s="179"/>
      <c r="R42" s="179"/>
      <c r="S42" s="94">
        <f>SUMIF(TblRezone[[#This Row],[Plains Rezone]:[Water Rezone]],"&gt;0")</f>
        <v>0</v>
      </c>
      <c r="T42" s="61" t="str">
        <f>IF(SUM(TblRezone[[#This Row],[Plains Rezone]:[Water Rezone]])=0,"Ok","Nope")</f>
        <v>Ok</v>
      </c>
      <c r="U42" s="215"/>
      <c r="V42" s="94">
        <f ca="1">TblProd[[#This Row],[Platinum]]</f>
        <v>160222</v>
      </c>
      <c r="W42" s="215"/>
      <c r="X42" s="94">
        <f ca="1">ROUND( (1-MIN(ROUND(facs_rezone_factor*TblRezone[[#This Row],[Facs]],4),facs_rezone_max) + tech_6_4*TblTech[[#This Row],[6-4]] + tech_10_2*TblTech[[#This Row],[10-2]] - IF(TblMagic[[#This Row],[Active Mechanical Genius]]&gt;0,mech_genius_bonus,0) + race_rezone_cost) * TblRezone[[#This Row],[Plat/acre*]],0)</f>
        <v>130</v>
      </c>
      <c r="Y42" s="94">
        <f ca="1">TblRezone[[#This Row],[Total acres]]*TblRezone[[#This Row],[Plat/acre]]</f>
        <v>0</v>
      </c>
      <c r="Z42" s="215"/>
      <c r="AA42" s="94">
        <f ca="1">(250+0.6*(TblRezone[[#This Row],[Land]]-250))</f>
        <v>130</v>
      </c>
      <c r="AB42" s="215"/>
      <c r="AC42" s="157">
        <f ca="1">TblConstr[[#This Row],[Facs DB]]</f>
        <v>0</v>
      </c>
    </row>
    <row r="43" spans="1:29" x14ac:dyDescent="0.2">
      <c r="A43" s="214">
        <f ca="1">TblConstr[[#This Row],[Land]]</f>
        <v>50</v>
      </c>
      <c r="B43" s="216">
        <f ca="1">TblConstr[[#This Row],[Plain]]</f>
        <v>0</v>
      </c>
      <c r="C43" s="182">
        <f ca="1">TblConstr[[#This Row],[Forest]]</f>
        <v>0</v>
      </c>
      <c r="D43" s="359">
        <f ca="1">TblConstr[[#This Row],[Mountain]]</f>
        <v>0</v>
      </c>
      <c r="E43" s="363">
        <f ca="1">TblConstr[[#This Row],[Hill]]</f>
        <v>0</v>
      </c>
      <c r="F43" s="367">
        <f ca="1">TblConstr[[#This Row],[Swamp]]</f>
        <v>0</v>
      </c>
      <c r="G43" s="185">
        <f ca="1">TblConstr[[#This Row],[Cavern]]</f>
        <v>0</v>
      </c>
      <c r="H43" s="186">
        <f ca="1">TblConstr[[#This Row],[Water]]</f>
        <v>0</v>
      </c>
      <c r="I43" s="215"/>
      <c r="J43" s="175">
        <f t="shared" si="1"/>
        <v>40</v>
      </c>
      <c r="K43" s="236">
        <f ca="1">TblImps[[#This Row],[Real time]]</f>
        <v>46321.624999999905</v>
      </c>
      <c r="L43" s="179"/>
      <c r="M43" s="179"/>
      <c r="N43" s="179"/>
      <c r="O43" s="179"/>
      <c r="P43" s="179"/>
      <c r="Q43" s="179"/>
      <c r="R43" s="179"/>
      <c r="S43" s="94">
        <f>SUMIF(TblRezone[[#This Row],[Plains Rezone]:[Water Rezone]],"&gt;0")</f>
        <v>0</v>
      </c>
      <c r="T43" s="61" t="str">
        <f>IF(SUM(TblRezone[[#This Row],[Plains Rezone]:[Water Rezone]])=0,"Ok","Nope")</f>
        <v>Ok</v>
      </c>
      <c r="U43" s="215"/>
      <c r="V43" s="94">
        <f ca="1">TblProd[[#This Row],[Platinum]]</f>
        <v>161091</v>
      </c>
      <c r="W43" s="215"/>
      <c r="X43" s="94">
        <f ca="1">ROUND( (1-MIN(ROUND(facs_rezone_factor*TblRezone[[#This Row],[Facs]],4),facs_rezone_max) + tech_6_4*TblTech[[#This Row],[6-4]] + tech_10_2*TblTech[[#This Row],[10-2]] - IF(TblMagic[[#This Row],[Active Mechanical Genius]]&gt;0,mech_genius_bonus,0) + race_rezone_cost) * TblRezone[[#This Row],[Plat/acre*]],0)</f>
        <v>130</v>
      </c>
      <c r="Y43" s="94">
        <f ca="1">TblRezone[[#This Row],[Total acres]]*TblRezone[[#This Row],[Plat/acre]]</f>
        <v>0</v>
      </c>
      <c r="Z43" s="215"/>
      <c r="AA43" s="94">
        <f ca="1">(250+0.6*(TblRezone[[#This Row],[Land]]-250))</f>
        <v>130</v>
      </c>
      <c r="AB43" s="215"/>
      <c r="AC43" s="157">
        <f ca="1">TblConstr[[#This Row],[Facs DB]]</f>
        <v>0</v>
      </c>
    </row>
    <row r="44" spans="1:29" x14ac:dyDescent="0.2">
      <c r="A44" s="214">
        <f ca="1">TblConstr[[#This Row],[Land]]</f>
        <v>50</v>
      </c>
      <c r="B44" s="216">
        <f ca="1">TblConstr[[#This Row],[Plain]]</f>
        <v>0</v>
      </c>
      <c r="C44" s="182">
        <f ca="1">TblConstr[[#This Row],[Forest]]</f>
        <v>0</v>
      </c>
      <c r="D44" s="359">
        <f ca="1">TblConstr[[#This Row],[Mountain]]</f>
        <v>0</v>
      </c>
      <c r="E44" s="363">
        <f ca="1">TblConstr[[#This Row],[Hill]]</f>
        <v>0</v>
      </c>
      <c r="F44" s="367">
        <f ca="1">TblConstr[[#This Row],[Swamp]]</f>
        <v>0</v>
      </c>
      <c r="G44" s="185">
        <f ca="1">TblConstr[[#This Row],[Cavern]]</f>
        <v>0</v>
      </c>
      <c r="H44" s="186">
        <f ca="1">TblConstr[[#This Row],[Water]]</f>
        <v>0</v>
      </c>
      <c r="I44" s="215"/>
      <c r="J44" s="175">
        <f t="shared" si="1"/>
        <v>41</v>
      </c>
      <c r="K44" s="236">
        <f ca="1">TblImps[[#This Row],[Real time]]</f>
        <v>46321.66666666657</v>
      </c>
      <c r="L44" s="179"/>
      <c r="M44" s="179"/>
      <c r="N44" s="179"/>
      <c r="O44" s="179"/>
      <c r="P44" s="179"/>
      <c r="Q44" s="179"/>
      <c r="R44" s="179"/>
      <c r="S44" s="94">
        <f>SUMIF(TblRezone[[#This Row],[Plains Rezone]:[Water Rezone]],"&gt;0")</f>
        <v>0</v>
      </c>
      <c r="T44" s="61" t="str">
        <f>IF(SUM(TblRezone[[#This Row],[Plains Rezone]:[Water Rezone]])=0,"Ok","Nope")</f>
        <v>Ok</v>
      </c>
      <c r="U44" s="215"/>
      <c r="V44" s="94">
        <f ca="1">TblProd[[#This Row],[Platinum]]</f>
        <v>161952</v>
      </c>
      <c r="W44" s="215"/>
      <c r="X44" s="94">
        <f ca="1">ROUND( (1-MIN(ROUND(facs_rezone_factor*TblRezone[[#This Row],[Facs]],4),facs_rezone_max) + tech_6_4*TblTech[[#This Row],[6-4]] + tech_10_2*TblTech[[#This Row],[10-2]] - IF(TblMagic[[#This Row],[Active Mechanical Genius]]&gt;0,mech_genius_bonus,0) + race_rezone_cost) * TblRezone[[#This Row],[Plat/acre*]],0)</f>
        <v>130</v>
      </c>
      <c r="Y44" s="94">
        <f ca="1">TblRezone[[#This Row],[Total acres]]*TblRezone[[#This Row],[Plat/acre]]</f>
        <v>0</v>
      </c>
      <c r="Z44" s="215"/>
      <c r="AA44" s="94">
        <f ca="1">(250+0.6*(TblRezone[[#This Row],[Land]]-250))</f>
        <v>130</v>
      </c>
      <c r="AB44" s="215"/>
      <c r="AC44" s="157">
        <f ca="1">TblConstr[[#This Row],[Facs DB]]</f>
        <v>0</v>
      </c>
    </row>
    <row r="45" spans="1:29" x14ac:dyDescent="0.2">
      <c r="A45" s="214">
        <f ca="1">TblConstr[[#This Row],[Land]]</f>
        <v>50</v>
      </c>
      <c r="B45" s="216">
        <f ca="1">TblConstr[[#This Row],[Plain]]</f>
        <v>0</v>
      </c>
      <c r="C45" s="182">
        <f ca="1">TblConstr[[#This Row],[Forest]]</f>
        <v>0</v>
      </c>
      <c r="D45" s="359">
        <f ca="1">TblConstr[[#This Row],[Mountain]]</f>
        <v>0</v>
      </c>
      <c r="E45" s="363">
        <f ca="1">TblConstr[[#This Row],[Hill]]</f>
        <v>0</v>
      </c>
      <c r="F45" s="367">
        <f ca="1">TblConstr[[#This Row],[Swamp]]</f>
        <v>0</v>
      </c>
      <c r="G45" s="185">
        <f ca="1">TblConstr[[#This Row],[Cavern]]</f>
        <v>0</v>
      </c>
      <c r="H45" s="186">
        <f ca="1">TblConstr[[#This Row],[Water]]</f>
        <v>0</v>
      </c>
      <c r="I45" s="215"/>
      <c r="J45" s="175">
        <f t="shared" si="1"/>
        <v>42</v>
      </c>
      <c r="K45" s="236">
        <f ca="1">TblImps[[#This Row],[Real time]]</f>
        <v>46321.708333333234</v>
      </c>
      <c r="L45" s="179"/>
      <c r="M45" s="179"/>
      <c r="N45" s="179"/>
      <c r="O45" s="179"/>
      <c r="P45" s="179"/>
      <c r="Q45" s="179"/>
      <c r="R45" s="179"/>
      <c r="S45" s="94">
        <f>SUMIF(TblRezone[[#This Row],[Plains Rezone]:[Water Rezone]],"&gt;0")</f>
        <v>0</v>
      </c>
      <c r="T45" s="61" t="str">
        <f>IF(SUM(TblRezone[[#This Row],[Plains Rezone]:[Water Rezone]])=0,"Ok","Nope")</f>
        <v>Ok</v>
      </c>
      <c r="U45" s="215"/>
      <c r="V45" s="94">
        <f ca="1">TblProd[[#This Row],[Platinum]]</f>
        <v>162805</v>
      </c>
      <c r="W45" s="215"/>
      <c r="X45" s="94">
        <f ca="1">ROUND( (1-MIN(ROUND(facs_rezone_factor*TblRezone[[#This Row],[Facs]],4),facs_rezone_max) + tech_6_4*TblTech[[#This Row],[6-4]] + tech_10_2*TblTech[[#This Row],[10-2]] - IF(TblMagic[[#This Row],[Active Mechanical Genius]]&gt;0,mech_genius_bonus,0) + race_rezone_cost) * TblRezone[[#This Row],[Plat/acre*]],0)</f>
        <v>130</v>
      </c>
      <c r="Y45" s="94">
        <f ca="1">TblRezone[[#This Row],[Total acres]]*TblRezone[[#This Row],[Plat/acre]]</f>
        <v>0</v>
      </c>
      <c r="Z45" s="215"/>
      <c r="AA45" s="94">
        <f ca="1">(250+0.6*(TblRezone[[#This Row],[Land]]-250))</f>
        <v>130</v>
      </c>
      <c r="AB45" s="215"/>
      <c r="AC45" s="157">
        <f ca="1">TblConstr[[#This Row],[Facs DB]]</f>
        <v>0</v>
      </c>
    </row>
    <row r="46" spans="1:29" x14ac:dyDescent="0.2">
      <c r="A46" s="214">
        <f ca="1">TblConstr[[#This Row],[Land]]</f>
        <v>50</v>
      </c>
      <c r="B46" s="216">
        <f ca="1">TblConstr[[#This Row],[Plain]]</f>
        <v>0</v>
      </c>
      <c r="C46" s="182">
        <f ca="1">TblConstr[[#This Row],[Forest]]</f>
        <v>0</v>
      </c>
      <c r="D46" s="359">
        <f ca="1">TblConstr[[#This Row],[Mountain]]</f>
        <v>0</v>
      </c>
      <c r="E46" s="363">
        <f ca="1">TblConstr[[#This Row],[Hill]]</f>
        <v>0</v>
      </c>
      <c r="F46" s="367">
        <f ca="1">TblConstr[[#This Row],[Swamp]]</f>
        <v>0</v>
      </c>
      <c r="G46" s="185">
        <f ca="1">TblConstr[[#This Row],[Cavern]]</f>
        <v>0</v>
      </c>
      <c r="H46" s="186">
        <f ca="1">TblConstr[[#This Row],[Water]]</f>
        <v>0</v>
      </c>
      <c r="I46" s="215"/>
      <c r="J46" s="175">
        <f t="shared" si="1"/>
        <v>43</v>
      </c>
      <c r="K46" s="236">
        <f ca="1">TblImps[[#This Row],[Real time]]</f>
        <v>46321.749999999898</v>
      </c>
      <c r="L46" s="179"/>
      <c r="M46" s="179"/>
      <c r="N46" s="179"/>
      <c r="O46" s="179"/>
      <c r="P46" s="179"/>
      <c r="Q46" s="179"/>
      <c r="R46" s="179"/>
      <c r="S46" s="94">
        <f>SUMIF(TblRezone[[#This Row],[Plains Rezone]:[Water Rezone]],"&gt;0")</f>
        <v>0</v>
      </c>
      <c r="T46" s="61" t="str">
        <f>IF(SUM(TblRezone[[#This Row],[Plains Rezone]:[Water Rezone]])=0,"Ok","Nope")</f>
        <v>Ok</v>
      </c>
      <c r="U46" s="215"/>
      <c r="V46" s="94">
        <f ca="1">TblProd[[#This Row],[Platinum]]</f>
        <v>163650</v>
      </c>
      <c r="W46" s="215"/>
      <c r="X46" s="94">
        <f ca="1">ROUND( (1-MIN(ROUND(facs_rezone_factor*TblRezone[[#This Row],[Facs]],4),facs_rezone_max) + tech_6_4*TblTech[[#This Row],[6-4]] + tech_10_2*TblTech[[#This Row],[10-2]] - IF(TblMagic[[#This Row],[Active Mechanical Genius]]&gt;0,mech_genius_bonus,0) + race_rezone_cost) * TblRezone[[#This Row],[Plat/acre*]],0)</f>
        <v>130</v>
      </c>
      <c r="Y46" s="94">
        <f ca="1">TblRezone[[#This Row],[Total acres]]*TblRezone[[#This Row],[Plat/acre]]</f>
        <v>0</v>
      </c>
      <c r="Z46" s="215"/>
      <c r="AA46" s="94">
        <f ca="1">(250+0.6*(TblRezone[[#This Row],[Land]]-250))</f>
        <v>130</v>
      </c>
      <c r="AB46" s="215"/>
      <c r="AC46" s="157">
        <f ca="1">TblConstr[[#This Row],[Facs DB]]</f>
        <v>0</v>
      </c>
    </row>
    <row r="47" spans="1:29" x14ac:dyDescent="0.2">
      <c r="A47" s="214">
        <f ca="1">TblConstr[[#This Row],[Land]]</f>
        <v>50</v>
      </c>
      <c r="B47" s="216">
        <f ca="1">TblConstr[[#This Row],[Plain]]</f>
        <v>0</v>
      </c>
      <c r="C47" s="182">
        <f ca="1">TblConstr[[#This Row],[Forest]]</f>
        <v>0</v>
      </c>
      <c r="D47" s="359">
        <f ca="1">TblConstr[[#This Row],[Mountain]]</f>
        <v>0</v>
      </c>
      <c r="E47" s="363">
        <f ca="1">TblConstr[[#This Row],[Hill]]</f>
        <v>0</v>
      </c>
      <c r="F47" s="367">
        <f ca="1">TblConstr[[#This Row],[Swamp]]</f>
        <v>0</v>
      </c>
      <c r="G47" s="185">
        <f ca="1">TblConstr[[#This Row],[Cavern]]</f>
        <v>0</v>
      </c>
      <c r="H47" s="186">
        <f ca="1">TblConstr[[#This Row],[Water]]</f>
        <v>0</v>
      </c>
      <c r="I47" s="215"/>
      <c r="J47" s="175">
        <f t="shared" si="1"/>
        <v>44</v>
      </c>
      <c r="K47" s="236">
        <f ca="1">TblImps[[#This Row],[Real time]]</f>
        <v>46321.791666666562</v>
      </c>
      <c r="L47" s="179"/>
      <c r="M47" s="179"/>
      <c r="N47" s="179"/>
      <c r="O47" s="179"/>
      <c r="P47" s="179"/>
      <c r="Q47" s="179"/>
      <c r="R47" s="179"/>
      <c r="S47" s="94">
        <f>SUMIF(TblRezone[[#This Row],[Plains Rezone]:[Water Rezone]],"&gt;0")</f>
        <v>0</v>
      </c>
      <c r="T47" s="61" t="str">
        <f>IF(SUM(TblRezone[[#This Row],[Plains Rezone]:[Water Rezone]])=0,"Ok","Nope")</f>
        <v>Ok</v>
      </c>
      <c r="U47" s="215"/>
      <c r="V47" s="94">
        <f ca="1">TblProd[[#This Row],[Platinum]]</f>
        <v>164487</v>
      </c>
      <c r="W47" s="215"/>
      <c r="X47" s="94">
        <f ca="1">ROUND( (1-MIN(ROUND(facs_rezone_factor*TblRezone[[#This Row],[Facs]],4),facs_rezone_max) + tech_6_4*TblTech[[#This Row],[6-4]] + tech_10_2*TblTech[[#This Row],[10-2]] - IF(TblMagic[[#This Row],[Active Mechanical Genius]]&gt;0,mech_genius_bonus,0) + race_rezone_cost) * TblRezone[[#This Row],[Plat/acre*]],0)</f>
        <v>130</v>
      </c>
      <c r="Y47" s="94">
        <f ca="1">TblRezone[[#This Row],[Total acres]]*TblRezone[[#This Row],[Plat/acre]]</f>
        <v>0</v>
      </c>
      <c r="Z47" s="215"/>
      <c r="AA47" s="94">
        <f ca="1">(250+0.6*(TblRezone[[#This Row],[Land]]-250))</f>
        <v>130</v>
      </c>
      <c r="AB47" s="215"/>
      <c r="AC47" s="157">
        <f ca="1">TblConstr[[#This Row],[Facs DB]]</f>
        <v>0</v>
      </c>
    </row>
    <row r="48" spans="1:29" x14ac:dyDescent="0.2">
      <c r="A48" s="214">
        <f ca="1">TblConstr[[#This Row],[Land]]</f>
        <v>50</v>
      </c>
      <c r="B48" s="216">
        <f ca="1">TblConstr[[#This Row],[Plain]]</f>
        <v>0</v>
      </c>
      <c r="C48" s="182">
        <f ca="1">TblConstr[[#This Row],[Forest]]</f>
        <v>0</v>
      </c>
      <c r="D48" s="359">
        <f ca="1">TblConstr[[#This Row],[Mountain]]</f>
        <v>0</v>
      </c>
      <c r="E48" s="363">
        <f ca="1">TblConstr[[#This Row],[Hill]]</f>
        <v>0</v>
      </c>
      <c r="F48" s="367">
        <f ca="1">TblConstr[[#This Row],[Swamp]]</f>
        <v>0</v>
      </c>
      <c r="G48" s="185">
        <f ca="1">TblConstr[[#This Row],[Cavern]]</f>
        <v>0</v>
      </c>
      <c r="H48" s="186">
        <f ca="1">TblConstr[[#This Row],[Water]]</f>
        <v>0</v>
      </c>
      <c r="I48" s="215"/>
      <c r="J48" s="175">
        <f t="shared" si="1"/>
        <v>45</v>
      </c>
      <c r="K48" s="236">
        <f ca="1">TblImps[[#This Row],[Real time]]</f>
        <v>46321.833333333227</v>
      </c>
      <c r="L48" s="179"/>
      <c r="M48" s="179"/>
      <c r="N48" s="179"/>
      <c r="O48" s="179"/>
      <c r="P48" s="179"/>
      <c r="Q48" s="179"/>
      <c r="R48" s="179"/>
      <c r="S48" s="94">
        <f>SUMIF(TblRezone[[#This Row],[Plains Rezone]:[Water Rezone]],"&gt;0")</f>
        <v>0</v>
      </c>
      <c r="T48" s="61" t="str">
        <f>IF(SUM(TblRezone[[#This Row],[Plains Rezone]:[Water Rezone]])=0,"Ok","Nope")</f>
        <v>Ok</v>
      </c>
      <c r="U48" s="215"/>
      <c r="V48" s="94">
        <f ca="1">TblProd[[#This Row],[Platinum]]</f>
        <v>165315</v>
      </c>
      <c r="W48" s="215"/>
      <c r="X48" s="94">
        <f ca="1">ROUND( (1-MIN(ROUND(facs_rezone_factor*TblRezone[[#This Row],[Facs]],4),facs_rezone_max) + tech_6_4*TblTech[[#This Row],[6-4]] + tech_10_2*TblTech[[#This Row],[10-2]] - IF(TblMagic[[#This Row],[Active Mechanical Genius]]&gt;0,mech_genius_bonus,0) + race_rezone_cost) * TblRezone[[#This Row],[Plat/acre*]],0)</f>
        <v>130</v>
      </c>
      <c r="Y48" s="94">
        <f ca="1">TblRezone[[#This Row],[Total acres]]*TblRezone[[#This Row],[Plat/acre]]</f>
        <v>0</v>
      </c>
      <c r="Z48" s="215"/>
      <c r="AA48" s="94">
        <f ca="1">(250+0.6*(TblRezone[[#This Row],[Land]]-250))</f>
        <v>130</v>
      </c>
      <c r="AB48" s="215"/>
      <c r="AC48" s="157">
        <f ca="1">TblConstr[[#This Row],[Facs DB]]</f>
        <v>0</v>
      </c>
    </row>
    <row r="49" spans="1:29" x14ac:dyDescent="0.2">
      <c r="A49" s="214">
        <f ca="1">TblConstr[[#This Row],[Land]]</f>
        <v>50</v>
      </c>
      <c r="B49" s="216">
        <f ca="1">TblConstr[[#This Row],[Plain]]</f>
        <v>0</v>
      </c>
      <c r="C49" s="182">
        <f ca="1">TblConstr[[#This Row],[Forest]]</f>
        <v>0</v>
      </c>
      <c r="D49" s="359">
        <f ca="1">TblConstr[[#This Row],[Mountain]]</f>
        <v>0</v>
      </c>
      <c r="E49" s="363">
        <f ca="1">TblConstr[[#This Row],[Hill]]</f>
        <v>0</v>
      </c>
      <c r="F49" s="367">
        <f ca="1">TblConstr[[#This Row],[Swamp]]</f>
        <v>0</v>
      </c>
      <c r="G49" s="185">
        <f ca="1">TblConstr[[#This Row],[Cavern]]</f>
        <v>0</v>
      </c>
      <c r="H49" s="186">
        <f ca="1">TblConstr[[#This Row],[Water]]</f>
        <v>0</v>
      </c>
      <c r="I49" s="215"/>
      <c r="J49" s="175">
        <f t="shared" si="1"/>
        <v>46</v>
      </c>
      <c r="K49" s="236">
        <f ca="1">TblImps[[#This Row],[Real time]]</f>
        <v>46321.874999999891</v>
      </c>
      <c r="L49" s="179"/>
      <c r="M49" s="179"/>
      <c r="N49" s="179"/>
      <c r="O49" s="179"/>
      <c r="P49" s="179"/>
      <c r="Q49" s="179"/>
      <c r="R49" s="179"/>
      <c r="S49" s="94">
        <f>SUMIF(TblRezone[[#This Row],[Plains Rezone]:[Water Rezone]],"&gt;0")</f>
        <v>0</v>
      </c>
      <c r="T49" s="61" t="str">
        <f>IF(SUM(TblRezone[[#This Row],[Plains Rezone]:[Water Rezone]])=0,"Ok","Nope")</f>
        <v>Ok</v>
      </c>
      <c r="U49" s="215"/>
      <c r="V49" s="94">
        <f ca="1">TblProd[[#This Row],[Platinum]]</f>
        <v>166135</v>
      </c>
      <c r="W49" s="215"/>
      <c r="X49" s="94">
        <f ca="1">ROUND( (1-MIN(ROUND(facs_rezone_factor*TblRezone[[#This Row],[Facs]],4),facs_rezone_max) + tech_6_4*TblTech[[#This Row],[6-4]] + tech_10_2*TblTech[[#This Row],[10-2]] - IF(TblMagic[[#This Row],[Active Mechanical Genius]]&gt;0,mech_genius_bonus,0) + race_rezone_cost) * TblRezone[[#This Row],[Plat/acre*]],0)</f>
        <v>130</v>
      </c>
      <c r="Y49" s="94">
        <f ca="1">TblRezone[[#This Row],[Total acres]]*TblRezone[[#This Row],[Plat/acre]]</f>
        <v>0</v>
      </c>
      <c r="Z49" s="215"/>
      <c r="AA49" s="94">
        <f ca="1">(250+0.6*(TblRezone[[#This Row],[Land]]-250))</f>
        <v>130</v>
      </c>
      <c r="AB49" s="215"/>
      <c r="AC49" s="157">
        <f ca="1">TblConstr[[#This Row],[Facs DB]]</f>
        <v>0</v>
      </c>
    </row>
    <row r="50" spans="1:29" x14ac:dyDescent="0.2">
      <c r="A50" s="214">
        <f ca="1">TblConstr[[#This Row],[Land]]</f>
        <v>50</v>
      </c>
      <c r="B50" s="216">
        <f ca="1">TblConstr[[#This Row],[Plain]]</f>
        <v>0</v>
      </c>
      <c r="C50" s="182">
        <f ca="1">TblConstr[[#This Row],[Forest]]</f>
        <v>0</v>
      </c>
      <c r="D50" s="359">
        <f ca="1">TblConstr[[#This Row],[Mountain]]</f>
        <v>0</v>
      </c>
      <c r="E50" s="363">
        <f ca="1">TblConstr[[#This Row],[Hill]]</f>
        <v>0</v>
      </c>
      <c r="F50" s="367">
        <f ca="1">TblConstr[[#This Row],[Swamp]]</f>
        <v>0</v>
      </c>
      <c r="G50" s="185">
        <f ca="1">TblConstr[[#This Row],[Cavern]]</f>
        <v>0</v>
      </c>
      <c r="H50" s="186">
        <f ca="1">TblConstr[[#This Row],[Water]]</f>
        <v>0</v>
      </c>
      <c r="I50" s="215"/>
      <c r="J50" s="175">
        <f t="shared" si="1"/>
        <v>47</v>
      </c>
      <c r="K50" s="236">
        <f ca="1">TblImps[[#This Row],[Real time]]</f>
        <v>46321.916666666555</v>
      </c>
      <c r="L50" s="179"/>
      <c r="M50" s="179"/>
      <c r="N50" s="179"/>
      <c r="O50" s="179"/>
      <c r="P50" s="179"/>
      <c r="Q50" s="179"/>
      <c r="R50" s="179"/>
      <c r="S50" s="94">
        <f>SUMIF(TblRezone[[#This Row],[Plains Rezone]:[Water Rezone]],"&gt;0")</f>
        <v>0</v>
      </c>
      <c r="T50" s="61" t="str">
        <f>IF(SUM(TblRezone[[#This Row],[Plains Rezone]:[Water Rezone]])=0,"Ok","Nope")</f>
        <v>Ok</v>
      </c>
      <c r="U50" s="215"/>
      <c r="V50" s="94">
        <f ca="1">TblProd[[#This Row],[Platinum]]</f>
        <v>166947</v>
      </c>
      <c r="W50" s="215"/>
      <c r="X50" s="94">
        <f ca="1">ROUND( (1-MIN(ROUND(facs_rezone_factor*TblRezone[[#This Row],[Facs]],4),facs_rezone_max) + tech_6_4*TblTech[[#This Row],[6-4]] + tech_10_2*TblTech[[#This Row],[10-2]] - IF(TblMagic[[#This Row],[Active Mechanical Genius]]&gt;0,mech_genius_bonus,0) + race_rezone_cost) * TblRezone[[#This Row],[Plat/acre*]],0)</f>
        <v>130</v>
      </c>
      <c r="Y50" s="94">
        <f ca="1">TblRezone[[#This Row],[Total acres]]*TblRezone[[#This Row],[Plat/acre]]</f>
        <v>0</v>
      </c>
      <c r="Z50" s="215"/>
      <c r="AA50" s="94">
        <f ca="1">(250+0.6*(TblRezone[[#This Row],[Land]]-250))</f>
        <v>130</v>
      </c>
      <c r="AB50" s="215"/>
      <c r="AC50" s="157">
        <f ca="1">TblConstr[[#This Row],[Facs DB]]</f>
        <v>0</v>
      </c>
    </row>
    <row r="51" spans="1:29" x14ac:dyDescent="0.2">
      <c r="A51" s="214">
        <f ca="1">TblConstr[[#This Row],[Land]]</f>
        <v>50</v>
      </c>
      <c r="B51" s="216">
        <f ca="1">TblConstr[[#This Row],[Plain]]</f>
        <v>0</v>
      </c>
      <c r="C51" s="182">
        <f ca="1">TblConstr[[#This Row],[Forest]]</f>
        <v>0</v>
      </c>
      <c r="D51" s="359">
        <f ca="1">TblConstr[[#This Row],[Mountain]]</f>
        <v>0</v>
      </c>
      <c r="E51" s="363">
        <f ca="1">TblConstr[[#This Row],[Hill]]</f>
        <v>0</v>
      </c>
      <c r="F51" s="367">
        <f ca="1">TblConstr[[#This Row],[Swamp]]</f>
        <v>0</v>
      </c>
      <c r="G51" s="185">
        <f ca="1">TblConstr[[#This Row],[Cavern]]</f>
        <v>0</v>
      </c>
      <c r="H51" s="186">
        <f ca="1">TblConstr[[#This Row],[Water]]</f>
        <v>0</v>
      </c>
      <c r="I51" s="215"/>
      <c r="J51" s="175">
        <f t="shared" si="1"/>
        <v>48</v>
      </c>
      <c r="K51" s="236">
        <f ca="1">TblImps[[#This Row],[Real time]]</f>
        <v>46321.958333333219</v>
      </c>
      <c r="L51" s="179"/>
      <c r="M51" s="179"/>
      <c r="N51" s="179"/>
      <c r="O51" s="179"/>
      <c r="P51" s="179"/>
      <c r="Q51" s="179"/>
      <c r="R51" s="179"/>
      <c r="S51" s="94">
        <f>SUMIF(TblRezone[[#This Row],[Plains Rezone]:[Water Rezone]],"&gt;0")</f>
        <v>0</v>
      </c>
      <c r="T51" s="61" t="str">
        <f>IF(SUM(TblRezone[[#This Row],[Plains Rezone]:[Water Rezone]])=0,"Ok","Nope")</f>
        <v>Ok</v>
      </c>
      <c r="U51" s="215"/>
      <c r="V51" s="94">
        <f ca="1">TblProd[[#This Row],[Platinum]]</f>
        <v>167751</v>
      </c>
      <c r="W51" s="215"/>
      <c r="X51" s="94">
        <f ca="1">ROUND( (1-MIN(ROUND(facs_rezone_factor*TblRezone[[#This Row],[Facs]],4),facs_rezone_max) + tech_6_4*TblTech[[#This Row],[6-4]] + tech_10_2*TblTech[[#This Row],[10-2]] - IF(TblMagic[[#This Row],[Active Mechanical Genius]]&gt;0,mech_genius_bonus,0) + race_rezone_cost) * TblRezone[[#This Row],[Plat/acre*]],0)</f>
        <v>130</v>
      </c>
      <c r="Y51" s="94">
        <f ca="1">TblRezone[[#This Row],[Total acres]]*TblRezone[[#This Row],[Plat/acre]]</f>
        <v>0</v>
      </c>
      <c r="Z51" s="215"/>
      <c r="AA51" s="94">
        <f ca="1">(250+0.6*(TblRezone[[#This Row],[Land]]-250))</f>
        <v>130</v>
      </c>
      <c r="AB51" s="215"/>
      <c r="AC51" s="157">
        <f ca="1">TblConstr[[#This Row],[Facs DB]]</f>
        <v>0</v>
      </c>
    </row>
    <row r="52" spans="1:29" s="5" customFormat="1" x14ac:dyDescent="0.2">
      <c r="A52" s="230">
        <f ca="1">TblConstr[[#This Row],[Land]]</f>
        <v>50</v>
      </c>
      <c r="B52" s="232">
        <f ca="1">TblConstr[[#This Row],[Plain]]</f>
        <v>0</v>
      </c>
      <c r="C52" s="196">
        <f ca="1">TblConstr[[#This Row],[Forest]]</f>
        <v>0</v>
      </c>
      <c r="D52" s="360">
        <f ca="1">TblConstr[[#This Row],[Mountain]]</f>
        <v>0</v>
      </c>
      <c r="E52" s="364">
        <f ca="1">TblConstr[[#This Row],[Hill]]</f>
        <v>0</v>
      </c>
      <c r="F52" s="368">
        <f ca="1">TblConstr[[#This Row],[Swamp]]</f>
        <v>0</v>
      </c>
      <c r="G52" s="199">
        <f ca="1">TblConstr[[#This Row],[Cavern]]</f>
        <v>0</v>
      </c>
      <c r="H52" s="200">
        <f ca="1">TblConstr[[#This Row],[Water]]</f>
        <v>0</v>
      </c>
      <c r="I52" s="231"/>
      <c r="J52" s="193">
        <f t="shared" si="1"/>
        <v>49</v>
      </c>
      <c r="K52" s="237">
        <f ca="1">TblImps[[#This Row],[Real time]]</f>
        <v>46321.999999999884</v>
      </c>
      <c r="L52" s="201"/>
      <c r="M52" s="201"/>
      <c r="N52" s="201"/>
      <c r="O52" s="201"/>
      <c r="P52" s="201"/>
      <c r="Q52" s="201"/>
      <c r="R52" s="201"/>
      <c r="S52" s="35">
        <f>SUMIF(TblRezone[[#This Row],[Plains Rezone]:[Water Rezone]],"&gt;0")</f>
        <v>0</v>
      </c>
      <c r="T52" s="148" t="str">
        <f>IF(SUM(TblRezone[[#This Row],[Plains Rezone]:[Water Rezone]])=0,"Ok","Nope")</f>
        <v>Ok</v>
      </c>
      <c r="U52" s="231"/>
      <c r="V52" s="35">
        <f ca="1">TblProd[[#This Row],[Platinum]]</f>
        <v>168547</v>
      </c>
      <c r="W52" s="231"/>
      <c r="X52" s="35">
        <f ca="1">ROUND( (1-MIN(ROUND(facs_rezone_factor*TblRezone[[#This Row],[Facs]],4),facs_rezone_max) + tech_6_4*TblTech[[#This Row],[6-4]] + tech_10_2*TblTech[[#This Row],[10-2]] - IF(TblMagic[[#This Row],[Active Mechanical Genius]]&gt;0,mech_genius_bonus,0) + race_rezone_cost) * TblRezone[[#This Row],[Plat/acre*]],0)</f>
        <v>130</v>
      </c>
      <c r="Y52" s="35">
        <f ca="1">TblRezone[[#This Row],[Total acres]]*TblRezone[[#This Row],[Plat/acre]]</f>
        <v>0</v>
      </c>
      <c r="Z52" s="231"/>
      <c r="AA52" s="35">
        <f ca="1">(250+0.6*(TblRezone[[#This Row],[Land]]-250))</f>
        <v>130</v>
      </c>
      <c r="AB52" s="231"/>
      <c r="AC52" s="165">
        <f ca="1">TblConstr[[#This Row],[Facs DB]]</f>
        <v>0</v>
      </c>
    </row>
    <row r="53" spans="1:29" x14ac:dyDescent="0.2">
      <c r="A53" s="214">
        <f ca="1">TblConstr[[#This Row],[Land]]</f>
        <v>50</v>
      </c>
      <c r="B53" s="216">
        <f ca="1">TblConstr[[#This Row],[Plain]]</f>
        <v>0</v>
      </c>
      <c r="C53" s="182">
        <f ca="1">TblConstr[[#This Row],[Forest]]</f>
        <v>0</v>
      </c>
      <c r="D53" s="359">
        <f ca="1">TblConstr[[#This Row],[Mountain]]</f>
        <v>0</v>
      </c>
      <c r="E53" s="363">
        <f ca="1">TblConstr[[#This Row],[Hill]]</f>
        <v>0</v>
      </c>
      <c r="F53" s="367">
        <f ca="1">TblConstr[[#This Row],[Swamp]]</f>
        <v>0</v>
      </c>
      <c r="G53" s="185">
        <f ca="1">TblConstr[[#This Row],[Cavern]]</f>
        <v>0</v>
      </c>
      <c r="H53" s="186">
        <f ca="1">TblConstr[[#This Row],[Water]]</f>
        <v>0</v>
      </c>
      <c r="I53" s="215"/>
      <c r="J53" s="175">
        <f t="shared" si="1"/>
        <v>50</v>
      </c>
      <c r="K53" s="236">
        <f ca="1">TblImps[[#This Row],[Real time]]</f>
        <v>46322.041666666548</v>
      </c>
      <c r="L53" s="179"/>
      <c r="M53" s="179"/>
      <c r="N53" s="179"/>
      <c r="O53" s="179"/>
      <c r="P53" s="179"/>
      <c r="Q53" s="179"/>
      <c r="R53" s="179"/>
      <c r="S53" s="94">
        <f>SUMIF(TblRezone[[#This Row],[Plains Rezone]:[Water Rezone]],"&gt;0")</f>
        <v>0</v>
      </c>
      <c r="T53" s="61" t="str">
        <f>IF(SUM(TblRezone[[#This Row],[Plains Rezone]:[Water Rezone]])=0,"Ok","Nope")</f>
        <v>Ok</v>
      </c>
      <c r="U53" s="215"/>
      <c r="V53" s="94">
        <f ca="1">TblProd[[#This Row],[Platinum]]</f>
        <v>169335</v>
      </c>
      <c r="W53" s="215"/>
      <c r="X53" s="94">
        <f ca="1">ROUND( (1-MIN(ROUND(facs_rezone_factor*TblRezone[[#This Row],[Facs]],4),facs_rezone_max) + tech_6_4*TblTech[[#This Row],[6-4]] + tech_10_2*TblTech[[#This Row],[10-2]] - IF(TblMagic[[#This Row],[Active Mechanical Genius]]&gt;0,mech_genius_bonus,0) + race_rezone_cost) * TblRezone[[#This Row],[Plat/acre*]],0)</f>
        <v>130</v>
      </c>
      <c r="Y53" s="94">
        <f ca="1">TblRezone[[#This Row],[Total acres]]*TblRezone[[#This Row],[Plat/acre]]</f>
        <v>0</v>
      </c>
      <c r="Z53" s="215"/>
      <c r="AA53" s="94">
        <f ca="1">(250+0.6*(TblRezone[[#This Row],[Land]]-250))</f>
        <v>130</v>
      </c>
      <c r="AB53" s="215"/>
      <c r="AC53" s="157">
        <f ca="1">TblConstr[[#This Row],[Facs DB]]</f>
        <v>0</v>
      </c>
    </row>
    <row r="54" spans="1:29" x14ac:dyDescent="0.2">
      <c r="A54" s="214">
        <f ca="1">TblConstr[[#This Row],[Land]]</f>
        <v>50</v>
      </c>
      <c r="B54" s="216">
        <f ca="1">TblConstr[[#This Row],[Plain]]</f>
        <v>0</v>
      </c>
      <c r="C54" s="182">
        <f ca="1">TblConstr[[#This Row],[Forest]]</f>
        <v>0</v>
      </c>
      <c r="D54" s="359">
        <f ca="1">TblConstr[[#This Row],[Mountain]]</f>
        <v>0</v>
      </c>
      <c r="E54" s="363">
        <f ca="1">TblConstr[[#This Row],[Hill]]</f>
        <v>0</v>
      </c>
      <c r="F54" s="367">
        <f ca="1">TblConstr[[#This Row],[Swamp]]</f>
        <v>0</v>
      </c>
      <c r="G54" s="185">
        <f ca="1">TblConstr[[#This Row],[Cavern]]</f>
        <v>0</v>
      </c>
      <c r="H54" s="186">
        <f ca="1">TblConstr[[#This Row],[Water]]</f>
        <v>0</v>
      </c>
      <c r="I54" s="215"/>
      <c r="J54" s="175">
        <f t="shared" si="1"/>
        <v>51</v>
      </c>
      <c r="K54" s="236">
        <f ca="1">TblImps[[#This Row],[Real time]]</f>
        <v>46322.083333333212</v>
      </c>
      <c r="L54" s="179"/>
      <c r="M54" s="179"/>
      <c r="N54" s="179"/>
      <c r="O54" s="179"/>
      <c r="P54" s="179"/>
      <c r="Q54" s="179"/>
      <c r="R54" s="179"/>
      <c r="S54" s="94">
        <f>SUMIF(TblRezone[[#This Row],[Plains Rezone]:[Water Rezone]],"&gt;0")</f>
        <v>0</v>
      </c>
      <c r="T54" s="61" t="str">
        <f>IF(SUM(TblRezone[[#This Row],[Plains Rezone]:[Water Rezone]])=0,"Ok","Nope")</f>
        <v>Ok</v>
      </c>
      <c r="U54" s="215"/>
      <c r="V54" s="94">
        <f ca="1">TblProd[[#This Row],[Platinum]]</f>
        <v>170115</v>
      </c>
      <c r="W54" s="215"/>
      <c r="X54" s="94">
        <f ca="1">ROUND( (1-MIN(ROUND(facs_rezone_factor*TblRezone[[#This Row],[Facs]],4),facs_rezone_max) + tech_6_4*TblTech[[#This Row],[6-4]] + tech_10_2*TblTech[[#This Row],[10-2]] - IF(TblMagic[[#This Row],[Active Mechanical Genius]]&gt;0,mech_genius_bonus,0) + race_rezone_cost) * TblRezone[[#This Row],[Plat/acre*]],0)</f>
        <v>130</v>
      </c>
      <c r="Y54" s="94">
        <f ca="1">TblRezone[[#This Row],[Total acres]]*TblRezone[[#This Row],[Plat/acre]]</f>
        <v>0</v>
      </c>
      <c r="Z54" s="215"/>
      <c r="AA54" s="94">
        <f ca="1">(250+0.6*(TblRezone[[#This Row],[Land]]-250))</f>
        <v>130</v>
      </c>
      <c r="AB54" s="215"/>
      <c r="AC54" s="157">
        <f ca="1">TblConstr[[#This Row],[Facs DB]]</f>
        <v>0</v>
      </c>
    </row>
    <row r="55" spans="1:29" x14ac:dyDescent="0.2">
      <c r="A55" s="214">
        <f ca="1">TblConstr[[#This Row],[Land]]</f>
        <v>50</v>
      </c>
      <c r="B55" s="216">
        <f ca="1">TblConstr[[#This Row],[Plain]]</f>
        <v>0</v>
      </c>
      <c r="C55" s="182">
        <f ca="1">TblConstr[[#This Row],[Forest]]</f>
        <v>0</v>
      </c>
      <c r="D55" s="359">
        <f ca="1">TblConstr[[#This Row],[Mountain]]</f>
        <v>0</v>
      </c>
      <c r="E55" s="363">
        <f ca="1">TblConstr[[#This Row],[Hill]]</f>
        <v>0</v>
      </c>
      <c r="F55" s="367">
        <f ca="1">TblConstr[[#This Row],[Swamp]]</f>
        <v>0</v>
      </c>
      <c r="G55" s="185">
        <f ca="1">TblConstr[[#This Row],[Cavern]]</f>
        <v>0</v>
      </c>
      <c r="H55" s="186">
        <f ca="1">TblConstr[[#This Row],[Water]]</f>
        <v>0</v>
      </c>
      <c r="I55" s="215"/>
      <c r="J55" s="175">
        <f t="shared" si="1"/>
        <v>52</v>
      </c>
      <c r="K55" s="236">
        <f ca="1">TblImps[[#This Row],[Real time]]</f>
        <v>46322.124999999876</v>
      </c>
      <c r="L55" s="179"/>
      <c r="M55" s="179"/>
      <c r="N55" s="179"/>
      <c r="O55" s="179"/>
      <c r="P55" s="179"/>
      <c r="Q55" s="179"/>
      <c r="R55" s="179"/>
      <c r="S55" s="94">
        <f>SUMIF(TblRezone[[#This Row],[Plains Rezone]:[Water Rezone]],"&gt;0")</f>
        <v>0</v>
      </c>
      <c r="T55" s="61" t="str">
        <f>IF(SUM(TblRezone[[#This Row],[Plains Rezone]:[Water Rezone]])=0,"Ok","Nope")</f>
        <v>Ok</v>
      </c>
      <c r="U55" s="215"/>
      <c r="V55" s="94">
        <f ca="1">TblProd[[#This Row],[Platinum]]</f>
        <v>170887</v>
      </c>
      <c r="W55" s="215"/>
      <c r="X55" s="94">
        <f ca="1">ROUND( (1-MIN(ROUND(facs_rezone_factor*TblRezone[[#This Row],[Facs]],4),facs_rezone_max) + tech_6_4*TblTech[[#This Row],[6-4]] + tech_10_2*TblTech[[#This Row],[10-2]] - IF(TblMagic[[#This Row],[Active Mechanical Genius]]&gt;0,mech_genius_bonus,0) + race_rezone_cost) * TblRezone[[#This Row],[Plat/acre*]],0)</f>
        <v>130</v>
      </c>
      <c r="Y55" s="94">
        <f ca="1">TblRezone[[#This Row],[Total acres]]*TblRezone[[#This Row],[Plat/acre]]</f>
        <v>0</v>
      </c>
      <c r="Z55" s="215"/>
      <c r="AA55" s="94">
        <f ca="1">(250+0.6*(TblRezone[[#This Row],[Land]]-250))</f>
        <v>130</v>
      </c>
      <c r="AB55" s="215"/>
      <c r="AC55" s="157">
        <f ca="1">TblConstr[[#This Row],[Facs DB]]</f>
        <v>0</v>
      </c>
    </row>
    <row r="56" spans="1:29" x14ac:dyDescent="0.2">
      <c r="A56" s="214">
        <f ca="1">TblConstr[[#This Row],[Land]]</f>
        <v>50</v>
      </c>
      <c r="B56" s="216">
        <f ca="1">TblConstr[[#This Row],[Plain]]</f>
        <v>0</v>
      </c>
      <c r="C56" s="182">
        <f ca="1">TblConstr[[#This Row],[Forest]]</f>
        <v>0</v>
      </c>
      <c r="D56" s="359">
        <f ca="1">TblConstr[[#This Row],[Mountain]]</f>
        <v>0</v>
      </c>
      <c r="E56" s="363">
        <f ca="1">TblConstr[[#This Row],[Hill]]</f>
        <v>0</v>
      </c>
      <c r="F56" s="367">
        <f ca="1">TblConstr[[#This Row],[Swamp]]</f>
        <v>0</v>
      </c>
      <c r="G56" s="185">
        <f ca="1">TblConstr[[#This Row],[Cavern]]</f>
        <v>0</v>
      </c>
      <c r="H56" s="186">
        <f ca="1">TblConstr[[#This Row],[Water]]</f>
        <v>0</v>
      </c>
      <c r="I56" s="215"/>
      <c r="J56" s="175">
        <f t="shared" si="1"/>
        <v>53</v>
      </c>
      <c r="K56" s="236">
        <f ca="1">TblImps[[#This Row],[Real time]]</f>
        <v>46322.166666666541</v>
      </c>
      <c r="L56" s="179"/>
      <c r="M56" s="179"/>
      <c r="N56" s="179"/>
      <c r="O56" s="179"/>
      <c r="P56" s="179"/>
      <c r="Q56" s="179"/>
      <c r="R56" s="179"/>
      <c r="S56" s="94">
        <f>SUMIF(TblRezone[[#This Row],[Plains Rezone]:[Water Rezone]],"&gt;0")</f>
        <v>0</v>
      </c>
      <c r="T56" s="61" t="str">
        <f>IF(SUM(TblRezone[[#This Row],[Plains Rezone]:[Water Rezone]])=0,"Ok","Nope")</f>
        <v>Ok</v>
      </c>
      <c r="U56" s="215"/>
      <c r="V56" s="94">
        <f ca="1">TblProd[[#This Row],[Platinum]]</f>
        <v>171651</v>
      </c>
      <c r="W56" s="215"/>
      <c r="X56" s="94">
        <f ca="1">ROUND( (1-MIN(ROUND(facs_rezone_factor*TblRezone[[#This Row],[Facs]],4),facs_rezone_max) + tech_6_4*TblTech[[#This Row],[6-4]] + tech_10_2*TblTech[[#This Row],[10-2]] - IF(TblMagic[[#This Row],[Active Mechanical Genius]]&gt;0,mech_genius_bonus,0) + race_rezone_cost) * TblRezone[[#This Row],[Plat/acre*]],0)</f>
        <v>130</v>
      </c>
      <c r="Y56" s="94">
        <f ca="1">TblRezone[[#This Row],[Total acres]]*TblRezone[[#This Row],[Plat/acre]]</f>
        <v>0</v>
      </c>
      <c r="Z56" s="215"/>
      <c r="AA56" s="94">
        <f ca="1">(250+0.6*(TblRezone[[#This Row],[Land]]-250))</f>
        <v>130</v>
      </c>
      <c r="AB56" s="215"/>
      <c r="AC56" s="157">
        <f ca="1">TblConstr[[#This Row],[Facs DB]]</f>
        <v>0</v>
      </c>
    </row>
    <row r="57" spans="1:29" x14ac:dyDescent="0.2">
      <c r="A57" s="214">
        <f ca="1">TblConstr[[#This Row],[Land]]</f>
        <v>50</v>
      </c>
      <c r="B57" s="216">
        <f ca="1">TblConstr[[#This Row],[Plain]]</f>
        <v>0</v>
      </c>
      <c r="C57" s="182">
        <f ca="1">TblConstr[[#This Row],[Forest]]</f>
        <v>0</v>
      </c>
      <c r="D57" s="359">
        <f ca="1">TblConstr[[#This Row],[Mountain]]</f>
        <v>0</v>
      </c>
      <c r="E57" s="363">
        <f ca="1">TblConstr[[#This Row],[Hill]]</f>
        <v>0</v>
      </c>
      <c r="F57" s="367">
        <f ca="1">TblConstr[[#This Row],[Swamp]]</f>
        <v>0</v>
      </c>
      <c r="G57" s="185">
        <f ca="1">TblConstr[[#This Row],[Cavern]]</f>
        <v>0</v>
      </c>
      <c r="H57" s="186">
        <f ca="1">TblConstr[[#This Row],[Water]]</f>
        <v>0</v>
      </c>
      <c r="I57" s="215"/>
      <c r="J57" s="175">
        <f t="shared" si="1"/>
        <v>54</v>
      </c>
      <c r="K57" s="236">
        <f ca="1">TblImps[[#This Row],[Real time]]</f>
        <v>46322.208333333205</v>
      </c>
      <c r="L57" s="179"/>
      <c r="M57" s="179"/>
      <c r="N57" s="179"/>
      <c r="O57" s="179"/>
      <c r="P57" s="179"/>
      <c r="Q57" s="179"/>
      <c r="R57" s="179"/>
      <c r="S57" s="94">
        <f>SUMIF(TblRezone[[#This Row],[Plains Rezone]:[Water Rezone]],"&gt;0")</f>
        <v>0</v>
      </c>
      <c r="T57" s="61" t="str">
        <f>IF(SUM(TblRezone[[#This Row],[Plains Rezone]:[Water Rezone]])=0,"Ok","Nope")</f>
        <v>Ok</v>
      </c>
      <c r="U57" s="215"/>
      <c r="V57" s="94">
        <f ca="1">TblProd[[#This Row],[Platinum]]</f>
        <v>172407</v>
      </c>
      <c r="W57" s="215"/>
      <c r="X57" s="94">
        <f ca="1">ROUND( (1-MIN(ROUND(facs_rezone_factor*TblRezone[[#This Row],[Facs]],4),facs_rezone_max) + tech_6_4*TblTech[[#This Row],[6-4]] + tech_10_2*TblTech[[#This Row],[10-2]] - IF(TblMagic[[#This Row],[Active Mechanical Genius]]&gt;0,mech_genius_bonus,0) + race_rezone_cost) * TblRezone[[#This Row],[Plat/acre*]],0)</f>
        <v>130</v>
      </c>
      <c r="Y57" s="94">
        <f ca="1">TblRezone[[#This Row],[Total acres]]*TblRezone[[#This Row],[Plat/acre]]</f>
        <v>0</v>
      </c>
      <c r="Z57" s="215"/>
      <c r="AA57" s="94">
        <f ca="1">(250+0.6*(TblRezone[[#This Row],[Land]]-250))</f>
        <v>130</v>
      </c>
      <c r="AB57" s="215"/>
      <c r="AC57" s="157">
        <f ca="1">TblConstr[[#This Row],[Facs DB]]</f>
        <v>0</v>
      </c>
    </row>
    <row r="58" spans="1:29" x14ac:dyDescent="0.2">
      <c r="A58" s="214">
        <f ca="1">TblConstr[[#This Row],[Land]]</f>
        <v>50</v>
      </c>
      <c r="B58" s="216">
        <f ca="1">TblConstr[[#This Row],[Plain]]</f>
        <v>0</v>
      </c>
      <c r="C58" s="182">
        <f ca="1">TblConstr[[#This Row],[Forest]]</f>
        <v>0</v>
      </c>
      <c r="D58" s="359">
        <f ca="1">TblConstr[[#This Row],[Mountain]]</f>
        <v>0</v>
      </c>
      <c r="E58" s="363">
        <f ca="1">TblConstr[[#This Row],[Hill]]</f>
        <v>0</v>
      </c>
      <c r="F58" s="367">
        <f ca="1">TblConstr[[#This Row],[Swamp]]</f>
        <v>0</v>
      </c>
      <c r="G58" s="185">
        <f ca="1">TblConstr[[#This Row],[Cavern]]</f>
        <v>0</v>
      </c>
      <c r="H58" s="186">
        <f ca="1">TblConstr[[#This Row],[Water]]</f>
        <v>0</v>
      </c>
      <c r="I58" s="215"/>
      <c r="J58" s="175">
        <f t="shared" si="1"/>
        <v>55</v>
      </c>
      <c r="K58" s="236">
        <f ca="1">TblImps[[#This Row],[Real time]]</f>
        <v>46322.249999999869</v>
      </c>
      <c r="L58" s="179"/>
      <c r="M58" s="179"/>
      <c r="N58" s="179"/>
      <c r="O58" s="179"/>
      <c r="P58" s="179"/>
      <c r="Q58" s="179"/>
      <c r="R58" s="179"/>
      <c r="S58" s="94">
        <f>SUMIF(TblRezone[[#This Row],[Plains Rezone]:[Water Rezone]],"&gt;0")</f>
        <v>0</v>
      </c>
      <c r="T58" s="61" t="str">
        <f>IF(SUM(TblRezone[[#This Row],[Plains Rezone]:[Water Rezone]])=0,"Ok","Nope")</f>
        <v>Ok</v>
      </c>
      <c r="U58" s="215"/>
      <c r="V58" s="94">
        <f ca="1">TblProd[[#This Row],[Platinum]]</f>
        <v>173154</v>
      </c>
      <c r="W58" s="215"/>
      <c r="X58" s="94">
        <f ca="1">ROUND( (1-MIN(ROUND(facs_rezone_factor*TblRezone[[#This Row],[Facs]],4),facs_rezone_max) + tech_6_4*TblTech[[#This Row],[6-4]] + tech_10_2*TblTech[[#This Row],[10-2]] - IF(TblMagic[[#This Row],[Active Mechanical Genius]]&gt;0,mech_genius_bonus,0) + race_rezone_cost) * TblRezone[[#This Row],[Plat/acre*]],0)</f>
        <v>130</v>
      </c>
      <c r="Y58" s="94">
        <f ca="1">TblRezone[[#This Row],[Total acres]]*TblRezone[[#This Row],[Plat/acre]]</f>
        <v>0</v>
      </c>
      <c r="Z58" s="215"/>
      <c r="AA58" s="94">
        <f ca="1">(250+0.6*(TblRezone[[#This Row],[Land]]-250))</f>
        <v>130</v>
      </c>
      <c r="AB58" s="215"/>
      <c r="AC58" s="157">
        <f ca="1">TblConstr[[#This Row],[Facs DB]]</f>
        <v>0</v>
      </c>
    </row>
    <row r="59" spans="1:29" x14ac:dyDescent="0.2">
      <c r="A59" s="214">
        <f ca="1">TblConstr[[#This Row],[Land]]</f>
        <v>50</v>
      </c>
      <c r="B59" s="216">
        <f ca="1">TblConstr[[#This Row],[Plain]]</f>
        <v>0</v>
      </c>
      <c r="C59" s="182">
        <f ca="1">TblConstr[[#This Row],[Forest]]</f>
        <v>0</v>
      </c>
      <c r="D59" s="359">
        <f ca="1">TblConstr[[#This Row],[Mountain]]</f>
        <v>0</v>
      </c>
      <c r="E59" s="363">
        <f ca="1">TblConstr[[#This Row],[Hill]]</f>
        <v>0</v>
      </c>
      <c r="F59" s="367">
        <f ca="1">TblConstr[[#This Row],[Swamp]]</f>
        <v>0</v>
      </c>
      <c r="G59" s="185">
        <f ca="1">TblConstr[[#This Row],[Cavern]]</f>
        <v>0</v>
      </c>
      <c r="H59" s="186">
        <f ca="1">TblConstr[[#This Row],[Water]]</f>
        <v>0</v>
      </c>
      <c r="I59" s="215"/>
      <c r="J59" s="175">
        <f t="shared" si="1"/>
        <v>56</v>
      </c>
      <c r="K59" s="236">
        <f ca="1">TblImps[[#This Row],[Real time]]</f>
        <v>46322.291666666533</v>
      </c>
      <c r="L59" s="179"/>
      <c r="M59" s="179"/>
      <c r="N59" s="179"/>
      <c r="O59" s="179"/>
      <c r="P59" s="179"/>
      <c r="Q59" s="179"/>
      <c r="R59" s="179"/>
      <c r="S59" s="94">
        <f>SUMIF(TblRezone[[#This Row],[Plains Rezone]:[Water Rezone]],"&gt;0")</f>
        <v>0</v>
      </c>
      <c r="T59" s="61" t="str">
        <f>IF(SUM(TblRezone[[#This Row],[Plains Rezone]:[Water Rezone]])=0,"Ok","Nope")</f>
        <v>Ok</v>
      </c>
      <c r="U59" s="215"/>
      <c r="V59" s="94">
        <f ca="1">TblProd[[#This Row],[Platinum]]</f>
        <v>173893</v>
      </c>
      <c r="W59" s="215"/>
      <c r="X59" s="94">
        <f ca="1">ROUND( (1-MIN(ROUND(facs_rezone_factor*TblRezone[[#This Row],[Facs]],4),facs_rezone_max) + tech_6_4*TblTech[[#This Row],[6-4]] + tech_10_2*TblTech[[#This Row],[10-2]] - IF(TblMagic[[#This Row],[Active Mechanical Genius]]&gt;0,mech_genius_bonus,0) + race_rezone_cost) * TblRezone[[#This Row],[Plat/acre*]],0)</f>
        <v>130</v>
      </c>
      <c r="Y59" s="94">
        <f ca="1">TblRezone[[#This Row],[Total acres]]*TblRezone[[#This Row],[Plat/acre]]</f>
        <v>0</v>
      </c>
      <c r="Z59" s="215"/>
      <c r="AA59" s="94">
        <f ca="1">(250+0.6*(TblRezone[[#This Row],[Land]]-250))</f>
        <v>130</v>
      </c>
      <c r="AB59" s="215"/>
      <c r="AC59" s="157">
        <f ca="1">TblConstr[[#This Row],[Facs DB]]</f>
        <v>0</v>
      </c>
    </row>
    <row r="60" spans="1:29" x14ac:dyDescent="0.2">
      <c r="A60" s="214">
        <f ca="1">TblConstr[[#This Row],[Land]]</f>
        <v>50</v>
      </c>
      <c r="B60" s="216">
        <f ca="1">TblConstr[[#This Row],[Plain]]</f>
        <v>0</v>
      </c>
      <c r="C60" s="182">
        <f ca="1">TblConstr[[#This Row],[Forest]]</f>
        <v>0</v>
      </c>
      <c r="D60" s="359">
        <f ca="1">TblConstr[[#This Row],[Mountain]]</f>
        <v>0</v>
      </c>
      <c r="E60" s="363">
        <f ca="1">TblConstr[[#This Row],[Hill]]</f>
        <v>0</v>
      </c>
      <c r="F60" s="367">
        <f ca="1">TblConstr[[#This Row],[Swamp]]</f>
        <v>0</v>
      </c>
      <c r="G60" s="185">
        <f ca="1">TblConstr[[#This Row],[Cavern]]</f>
        <v>0</v>
      </c>
      <c r="H60" s="186">
        <f ca="1">TblConstr[[#This Row],[Water]]</f>
        <v>0</v>
      </c>
      <c r="I60" s="215"/>
      <c r="J60" s="175">
        <f t="shared" si="1"/>
        <v>57</v>
      </c>
      <c r="K60" s="236">
        <f ca="1">TblImps[[#This Row],[Real time]]</f>
        <v>46322.333333333198</v>
      </c>
      <c r="L60" s="179"/>
      <c r="M60" s="179"/>
      <c r="N60" s="179"/>
      <c r="O60" s="179"/>
      <c r="P60" s="179"/>
      <c r="Q60" s="179"/>
      <c r="R60" s="179"/>
      <c r="S60" s="94">
        <f>SUMIF(TblRezone[[#This Row],[Plains Rezone]:[Water Rezone]],"&gt;0")</f>
        <v>0</v>
      </c>
      <c r="T60" s="61" t="str">
        <f>IF(SUM(TblRezone[[#This Row],[Plains Rezone]:[Water Rezone]])=0,"Ok","Nope")</f>
        <v>Ok</v>
      </c>
      <c r="U60" s="215"/>
      <c r="V60" s="94">
        <f ca="1">TblProd[[#This Row],[Platinum]]</f>
        <v>174624</v>
      </c>
      <c r="W60" s="215"/>
      <c r="X60" s="94">
        <f ca="1">ROUND( (1-MIN(ROUND(facs_rezone_factor*TblRezone[[#This Row],[Facs]],4),facs_rezone_max) + tech_6_4*TblTech[[#This Row],[6-4]] + tech_10_2*TblTech[[#This Row],[10-2]] - IF(TblMagic[[#This Row],[Active Mechanical Genius]]&gt;0,mech_genius_bonus,0) + race_rezone_cost) * TblRezone[[#This Row],[Plat/acre*]],0)</f>
        <v>130</v>
      </c>
      <c r="Y60" s="94">
        <f ca="1">TblRezone[[#This Row],[Total acres]]*TblRezone[[#This Row],[Plat/acre]]</f>
        <v>0</v>
      </c>
      <c r="Z60" s="215"/>
      <c r="AA60" s="94">
        <f ca="1">(250+0.6*(TblRezone[[#This Row],[Land]]-250))</f>
        <v>130</v>
      </c>
      <c r="AB60" s="215"/>
      <c r="AC60" s="157">
        <f ca="1">TblConstr[[#This Row],[Facs DB]]</f>
        <v>0</v>
      </c>
    </row>
    <row r="61" spans="1:29" x14ac:dyDescent="0.2">
      <c r="A61" s="214">
        <f ca="1">TblConstr[[#This Row],[Land]]</f>
        <v>50</v>
      </c>
      <c r="B61" s="216">
        <f ca="1">TblConstr[[#This Row],[Plain]]</f>
        <v>0</v>
      </c>
      <c r="C61" s="182">
        <f ca="1">TblConstr[[#This Row],[Forest]]</f>
        <v>0</v>
      </c>
      <c r="D61" s="359">
        <f ca="1">TblConstr[[#This Row],[Mountain]]</f>
        <v>0</v>
      </c>
      <c r="E61" s="363">
        <f ca="1">TblConstr[[#This Row],[Hill]]</f>
        <v>0</v>
      </c>
      <c r="F61" s="367">
        <f ca="1">TblConstr[[#This Row],[Swamp]]</f>
        <v>0</v>
      </c>
      <c r="G61" s="185">
        <f ca="1">TblConstr[[#This Row],[Cavern]]</f>
        <v>0</v>
      </c>
      <c r="H61" s="186">
        <f ca="1">TblConstr[[#This Row],[Water]]</f>
        <v>0</v>
      </c>
      <c r="I61" s="215"/>
      <c r="J61" s="175">
        <f t="shared" si="1"/>
        <v>58</v>
      </c>
      <c r="K61" s="236">
        <f ca="1">TblImps[[#This Row],[Real time]]</f>
        <v>46322.374999999862</v>
      </c>
      <c r="L61" s="179"/>
      <c r="M61" s="179"/>
      <c r="N61" s="179"/>
      <c r="O61" s="179"/>
      <c r="P61" s="179"/>
      <c r="Q61" s="179"/>
      <c r="R61" s="179"/>
      <c r="S61" s="94">
        <f>SUMIF(TblRezone[[#This Row],[Plains Rezone]:[Water Rezone]],"&gt;0")</f>
        <v>0</v>
      </c>
      <c r="T61" s="61" t="str">
        <f>IF(SUM(TblRezone[[#This Row],[Plains Rezone]:[Water Rezone]])=0,"Ok","Nope")</f>
        <v>Ok</v>
      </c>
      <c r="U61" s="215"/>
      <c r="V61" s="94">
        <f ca="1">TblProd[[#This Row],[Platinum]]</f>
        <v>175347</v>
      </c>
      <c r="W61" s="215"/>
      <c r="X61" s="94">
        <f ca="1">ROUND( (1-MIN(ROUND(facs_rezone_factor*TblRezone[[#This Row],[Facs]],4),facs_rezone_max) + tech_6_4*TblTech[[#This Row],[6-4]] + tech_10_2*TblTech[[#This Row],[10-2]] - IF(TblMagic[[#This Row],[Active Mechanical Genius]]&gt;0,mech_genius_bonus,0) + race_rezone_cost) * TblRezone[[#This Row],[Plat/acre*]],0)</f>
        <v>130</v>
      </c>
      <c r="Y61" s="94">
        <f ca="1">TblRezone[[#This Row],[Total acres]]*TblRezone[[#This Row],[Plat/acre]]</f>
        <v>0</v>
      </c>
      <c r="Z61" s="215"/>
      <c r="AA61" s="94">
        <f ca="1">(250+0.6*(TblRezone[[#This Row],[Land]]-250))</f>
        <v>130</v>
      </c>
      <c r="AB61" s="215"/>
      <c r="AC61" s="157">
        <f ca="1">TblConstr[[#This Row],[Facs DB]]</f>
        <v>0</v>
      </c>
    </row>
    <row r="62" spans="1:29" x14ac:dyDescent="0.2">
      <c r="A62" s="214">
        <f ca="1">TblConstr[[#This Row],[Land]]</f>
        <v>50</v>
      </c>
      <c r="B62" s="216">
        <f ca="1">TblConstr[[#This Row],[Plain]]</f>
        <v>0</v>
      </c>
      <c r="C62" s="182">
        <f ca="1">TblConstr[[#This Row],[Forest]]</f>
        <v>0</v>
      </c>
      <c r="D62" s="359">
        <f ca="1">TblConstr[[#This Row],[Mountain]]</f>
        <v>0</v>
      </c>
      <c r="E62" s="363">
        <f ca="1">TblConstr[[#This Row],[Hill]]</f>
        <v>0</v>
      </c>
      <c r="F62" s="367">
        <f ca="1">TblConstr[[#This Row],[Swamp]]</f>
        <v>0</v>
      </c>
      <c r="G62" s="185">
        <f ca="1">TblConstr[[#This Row],[Cavern]]</f>
        <v>0</v>
      </c>
      <c r="H62" s="186">
        <f ca="1">TblConstr[[#This Row],[Water]]</f>
        <v>0</v>
      </c>
      <c r="I62" s="215"/>
      <c r="J62" s="175">
        <f t="shared" si="1"/>
        <v>59</v>
      </c>
      <c r="K62" s="236">
        <f ca="1">TblImps[[#This Row],[Real time]]</f>
        <v>46322.416666666526</v>
      </c>
      <c r="L62" s="179"/>
      <c r="M62" s="179"/>
      <c r="N62" s="179"/>
      <c r="O62" s="179"/>
      <c r="P62" s="179"/>
      <c r="Q62" s="179"/>
      <c r="R62" s="179"/>
      <c r="S62" s="94">
        <f>SUMIF(TblRezone[[#This Row],[Plains Rezone]:[Water Rezone]],"&gt;0")</f>
        <v>0</v>
      </c>
      <c r="T62" s="61" t="str">
        <f>IF(SUM(TblRezone[[#This Row],[Plains Rezone]:[Water Rezone]])=0,"Ok","Nope")</f>
        <v>Ok</v>
      </c>
      <c r="U62" s="215"/>
      <c r="V62" s="94">
        <f ca="1">TblProd[[#This Row],[Platinum]]</f>
        <v>176062</v>
      </c>
      <c r="W62" s="215"/>
      <c r="X62" s="94">
        <f ca="1">ROUND( (1-MIN(ROUND(facs_rezone_factor*TblRezone[[#This Row],[Facs]],4),facs_rezone_max) + tech_6_4*TblTech[[#This Row],[6-4]] + tech_10_2*TblTech[[#This Row],[10-2]] - IF(TblMagic[[#This Row],[Active Mechanical Genius]]&gt;0,mech_genius_bonus,0) + race_rezone_cost) * TblRezone[[#This Row],[Plat/acre*]],0)</f>
        <v>130</v>
      </c>
      <c r="Y62" s="94">
        <f ca="1">TblRezone[[#This Row],[Total acres]]*TblRezone[[#This Row],[Plat/acre]]</f>
        <v>0</v>
      </c>
      <c r="Z62" s="215"/>
      <c r="AA62" s="94">
        <f ca="1">(250+0.6*(TblRezone[[#This Row],[Land]]-250))</f>
        <v>130</v>
      </c>
      <c r="AB62" s="215"/>
      <c r="AC62" s="157">
        <f ca="1">TblConstr[[#This Row],[Facs DB]]</f>
        <v>0</v>
      </c>
    </row>
    <row r="63" spans="1:29" x14ac:dyDescent="0.2">
      <c r="A63" s="214">
        <f ca="1">TblConstr[[#This Row],[Land]]</f>
        <v>50</v>
      </c>
      <c r="B63" s="216">
        <f ca="1">TblConstr[[#This Row],[Plain]]</f>
        <v>0</v>
      </c>
      <c r="C63" s="182">
        <f ca="1">TblConstr[[#This Row],[Forest]]</f>
        <v>0</v>
      </c>
      <c r="D63" s="359">
        <f ca="1">TblConstr[[#This Row],[Mountain]]</f>
        <v>0</v>
      </c>
      <c r="E63" s="363">
        <f ca="1">TblConstr[[#This Row],[Hill]]</f>
        <v>0</v>
      </c>
      <c r="F63" s="367">
        <f ca="1">TblConstr[[#This Row],[Swamp]]</f>
        <v>0</v>
      </c>
      <c r="G63" s="185">
        <f ca="1">TblConstr[[#This Row],[Cavern]]</f>
        <v>0</v>
      </c>
      <c r="H63" s="186">
        <f ca="1">TblConstr[[#This Row],[Water]]</f>
        <v>0</v>
      </c>
      <c r="I63" s="215"/>
      <c r="J63" s="175">
        <f t="shared" si="1"/>
        <v>60</v>
      </c>
      <c r="K63" s="236">
        <f ca="1">TblImps[[#This Row],[Real time]]</f>
        <v>46322.45833333319</v>
      </c>
      <c r="L63" s="179"/>
      <c r="M63" s="179"/>
      <c r="N63" s="179"/>
      <c r="O63" s="179"/>
      <c r="P63" s="179"/>
      <c r="Q63" s="179"/>
      <c r="R63" s="179"/>
      <c r="S63" s="94">
        <f>SUMIF(TblRezone[[#This Row],[Plains Rezone]:[Water Rezone]],"&gt;0")</f>
        <v>0</v>
      </c>
      <c r="T63" s="61" t="str">
        <f>IF(SUM(TblRezone[[#This Row],[Plains Rezone]:[Water Rezone]])=0,"Ok","Nope")</f>
        <v>Ok</v>
      </c>
      <c r="U63" s="215"/>
      <c r="V63" s="94">
        <f ca="1">TblProd[[#This Row],[Platinum]]</f>
        <v>176769</v>
      </c>
      <c r="W63" s="215"/>
      <c r="X63" s="94">
        <f ca="1">ROUND( (1-MIN(ROUND(facs_rezone_factor*TblRezone[[#This Row],[Facs]],4),facs_rezone_max) + tech_6_4*TblTech[[#This Row],[6-4]] + tech_10_2*TblTech[[#This Row],[10-2]] - IF(TblMagic[[#This Row],[Active Mechanical Genius]]&gt;0,mech_genius_bonus,0) + race_rezone_cost) * TblRezone[[#This Row],[Plat/acre*]],0)</f>
        <v>130</v>
      </c>
      <c r="Y63" s="94">
        <f ca="1">TblRezone[[#This Row],[Total acres]]*TblRezone[[#This Row],[Plat/acre]]</f>
        <v>0</v>
      </c>
      <c r="Z63" s="215"/>
      <c r="AA63" s="94">
        <f ca="1">(250+0.6*(TblRezone[[#This Row],[Land]]-250))</f>
        <v>130</v>
      </c>
      <c r="AB63" s="215"/>
      <c r="AC63" s="157">
        <f ca="1">TblConstr[[#This Row],[Facs DB]]</f>
        <v>0</v>
      </c>
    </row>
    <row r="64" spans="1:29" x14ac:dyDescent="0.2">
      <c r="A64" s="214">
        <f ca="1">TblConstr[[#This Row],[Land]]</f>
        <v>50</v>
      </c>
      <c r="B64" s="216">
        <f ca="1">TblConstr[[#This Row],[Plain]]</f>
        <v>0</v>
      </c>
      <c r="C64" s="182">
        <f ca="1">TblConstr[[#This Row],[Forest]]</f>
        <v>0</v>
      </c>
      <c r="D64" s="359">
        <f ca="1">TblConstr[[#This Row],[Mountain]]</f>
        <v>0</v>
      </c>
      <c r="E64" s="363">
        <f ca="1">TblConstr[[#This Row],[Hill]]</f>
        <v>0</v>
      </c>
      <c r="F64" s="367">
        <f ca="1">TblConstr[[#This Row],[Swamp]]</f>
        <v>0</v>
      </c>
      <c r="G64" s="185">
        <f ca="1">TblConstr[[#This Row],[Cavern]]</f>
        <v>0</v>
      </c>
      <c r="H64" s="186">
        <f ca="1">TblConstr[[#This Row],[Water]]</f>
        <v>0</v>
      </c>
      <c r="I64" s="215"/>
      <c r="J64" s="175">
        <f t="shared" si="1"/>
        <v>61</v>
      </c>
      <c r="K64" s="236">
        <f ca="1">TblImps[[#This Row],[Real time]]</f>
        <v>46322.499999999854</v>
      </c>
      <c r="L64" s="179"/>
      <c r="M64" s="179"/>
      <c r="N64" s="179"/>
      <c r="O64" s="179"/>
      <c r="P64" s="179"/>
      <c r="Q64" s="179"/>
      <c r="R64" s="179"/>
      <c r="S64" s="94">
        <f>SUMIF(TblRezone[[#This Row],[Plains Rezone]:[Water Rezone]],"&gt;0")</f>
        <v>0</v>
      </c>
      <c r="T64" s="61" t="str">
        <f>IF(SUM(TblRezone[[#This Row],[Plains Rezone]:[Water Rezone]])=0,"Ok","Nope")</f>
        <v>Ok</v>
      </c>
      <c r="U64" s="215"/>
      <c r="V64" s="94">
        <f ca="1">TblProd[[#This Row],[Platinum]]</f>
        <v>177468</v>
      </c>
      <c r="W64" s="215"/>
      <c r="X64" s="94">
        <f ca="1">ROUND( (1-MIN(ROUND(facs_rezone_factor*TblRezone[[#This Row],[Facs]],4),facs_rezone_max) + tech_6_4*TblTech[[#This Row],[6-4]] + tech_10_2*TblTech[[#This Row],[10-2]] - IF(TblMagic[[#This Row],[Active Mechanical Genius]]&gt;0,mech_genius_bonus,0) + race_rezone_cost) * TblRezone[[#This Row],[Plat/acre*]],0)</f>
        <v>130</v>
      </c>
      <c r="Y64" s="94">
        <f ca="1">TblRezone[[#This Row],[Total acres]]*TblRezone[[#This Row],[Plat/acre]]</f>
        <v>0</v>
      </c>
      <c r="Z64" s="215"/>
      <c r="AA64" s="94">
        <f ca="1">(250+0.6*(TblRezone[[#This Row],[Land]]-250))</f>
        <v>130</v>
      </c>
      <c r="AB64" s="215"/>
      <c r="AC64" s="157">
        <f ca="1">TblConstr[[#This Row],[Facs DB]]</f>
        <v>0</v>
      </c>
    </row>
    <row r="65" spans="1:29" x14ac:dyDescent="0.2">
      <c r="A65" s="214">
        <f ca="1">TblConstr[[#This Row],[Land]]</f>
        <v>50</v>
      </c>
      <c r="B65" s="216">
        <f ca="1">TblConstr[[#This Row],[Plain]]</f>
        <v>0</v>
      </c>
      <c r="C65" s="182">
        <f ca="1">TblConstr[[#This Row],[Forest]]</f>
        <v>0</v>
      </c>
      <c r="D65" s="359">
        <f ca="1">TblConstr[[#This Row],[Mountain]]</f>
        <v>0</v>
      </c>
      <c r="E65" s="363">
        <f ca="1">TblConstr[[#This Row],[Hill]]</f>
        <v>0</v>
      </c>
      <c r="F65" s="367">
        <f ca="1">TblConstr[[#This Row],[Swamp]]</f>
        <v>0</v>
      </c>
      <c r="G65" s="185">
        <f ca="1">TblConstr[[#This Row],[Cavern]]</f>
        <v>0</v>
      </c>
      <c r="H65" s="186">
        <f ca="1">TblConstr[[#This Row],[Water]]</f>
        <v>0</v>
      </c>
      <c r="I65" s="215"/>
      <c r="J65" s="175">
        <f t="shared" si="1"/>
        <v>62</v>
      </c>
      <c r="K65" s="236">
        <f ca="1">TblImps[[#This Row],[Real time]]</f>
        <v>46322.541666666519</v>
      </c>
      <c r="L65" s="179"/>
      <c r="M65" s="179"/>
      <c r="N65" s="179"/>
      <c r="O65" s="179"/>
      <c r="P65" s="179"/>
      <c r="Q65" s="179"/>
      <c r="R65" s="179"/>
      <c r="S65" s="94">
        <f>SUMIF(TblRezone[[#This Row],[Plains Rezone]:[Water Rezone]],"&gt;0")</f>
        <v>0</v>
      </c>
      <c r="T65" s="61" t="str">
        <f>IF(SUM(TblRezone[[#This Row],[Plains Rezone]:[Water Rezone]])=0,"Ok","Nope")</f>
        <v>Ok</v>
      </c>
      <c r="U65" s="215"/>
      <c r="V65" s="94">
        <f ca="1">TblProd[[#This Row],[Platinum]]</f>
        <v>178159</v>
      </c>
      <c r="W65" s="215"/>
      <c r="X65" s="94">
        <f ca="1">ROUND( (1-MIN(ROUND(facs_rezone_factor*TblRezone[[#This Row],[Facs]],4),facs_rezone_max) + tech_6_4*TblTech[[#This Row],[6-4]] + tech_10_2*TblTech[[#This Row],[10-2]] - IF(TblMagic[[#This Row],[Active Mechanical Genius]]&gt;0,mech_genius_bonus,0) + race_rezone_cost) * TblRezone[[#This Row],[Plat/acre*]],0)</f>
        <v>130</v>
      </c>
      <c r="Y65" s="94">
        <f ca="1">TblRezone[[#This Row],[Total acres]]*TblRezone[[#This Row],[Plat/acre]]</f>
        <v>0</v>
      </c>
      <c r="Z65" s="215"/>
      <c r="AA65" s="94">
        <f ca="1">(250+0.6*(TblRezone[[#This Row],[Land]]-250))</f>
        <v>130</v>
      </c>
      <c r="AB65" s="215"/>
      <c r="AC65" s="157">
        <f ca="1">TblConstr[[#This Row],[Facs DB]]</f>
        <v>0</v>
      </c>
    </row>
    <row r="66" spans="1:29" x14ac:dyDescent="0.2">
      <c r="A66" s="214">
        <f ca="1">TblConstr[[#This Row],[Land]]</f>
        <v>50</v>
      </c>
      <c r="B66" s="216">
        <f ca="1">TblConstr[[#This Row],[Plain]]</f>
        <v>0</v>
      </c>
      <c r="C66" s="182">
        <f ca="1">TblConstr[[#This Row],[Forest]]</f>
        <v>0</v>
      </c>
      <c r="D66" s="359">
        <f ca="1">TblConstr[[#This Row],[Mountain]]</f>
        <v>0</v>
      </c>
      <c r="E66" s="363">
        <f ca="1">TblConstr[[#This Row],[Hill]]</f>
        <v>0</v>
      </c>
      <c r="F66" s="367">
        <f ca="1">TblConstr[[#This Row],[Swamp]]</f>
        <v>0</v>
      </c>
      <c r="G66" s="185">
        <f ca="1">TblConstr[[#This Row],[Cavern]]</f>
        <v>0</v>
      </c>
      <c r="H66" s="186">
        <f ca="1">TblConstr[[#This Row],[Water]]</f>
        <v>0</v>
      </c>
      <c r="I66" s="215"/>
      <c r="J66" s="175">
        <f t="shared" si="1"/>
        <v>63</v>
      </c>
      <c r="K66" s="236">
        <f ca="1">TblImps[[#This Row],[Real time]]</f>
        <v>46322.583333333183</v>
      </c>
      <c r="L66" s="179"/>
      <c r="M66" s="179"/>
      <c r="N66" s="179"/>
      <c r="O66" s="179"/>
      <c r="P66" s="179"/>
      <c r="Q66" s="179"/>
      <c r="R66" s="179"/>
      <c r="S66" s="94">
        <f>SUMIF(TblRezone[[#This Row],[Plains Rezone]:[Water Rezone]],"&gt;0")</f>
        <v>0</v>
      </c>
      <c r="T66" s="61" t="str">
        <f>IF(SUM(TblRezone[[#This Row],[Plains Rezone]:[Water Rezone]])=0,"Ok","Nope")</f>
        <v>Ok</v>
      </c>
      <c r="U66" s="215"/>
      <c r="V66" s="94">
        <f ca="1">TblProd[[#This Row],[Platinum]]</f>
        <v>178842</v>
      </c>
      <c r="W66" s="215"/>
      <c r="X66" s="94">
        <f ca="1">ROUND( (1-MIN(ROUND(facs_rezone_factor*TblRezone[[#This Row],[Facs]],4),facs_rezone_max) + tech_6_4*TblTech[[#This Row],[6-4]] + tech_10_2*TblTech[[#This Row],[10-2]] - IF(TblMagic[[#This Row],[Active Mechanical Genius]]&gt;0,mech_genius_bonus,0) + race_rezone_cost) * TblRezone[[#This Row],[Plat/acre*]],0)</f>
        <v>130</v>
      </c>
      <c r="Y66" s="94">
        <f ca="1">TblRezone[[#This Row],[Total acres]]*TblRezone[[#This Row],[Plat/acre]]</f>
        <v>0</v>
      </c>
      <c r="Z66" s="215"/>
      <c r="AA66" s="94">
        <f ca="1">(250+0.6*(TblRezone[[#This Row],[Land]]-250))</f>
        <v>130</v>
      </c>
      <c r="AB66" s="215"/>
      <c r="AC66" s="157">
        <f ca="1">TblConstr[[#This Row],[Facs DB]]</f>
        <v>0</v>
      </c>
    </row>
    <row r="67" spans="1:29" x14ac:dyDescent="0.2">
      <c r="A67" s="214">
        <f ca="1">TblConstr[[#This Row],[Land]]</f>
        <v>50</v>
      </c>
      <c r="B67" s="216">
        <f ca="1">TblConstr[[#This Row],[Plain]]</f>
        <v>0</v>
      </c>
      <c r="C67" s="182">
        <f ca="1">TblConstr[[#This Row],[Forest]]</f>
        <v>0</v>
      </c>
      <c r="D67" s="359">
        <f ca="1">TblConstr[[#This Row],[Mountain]]</f>
        <v>0</v>
      </c>
      <c r="E67" s="363">
        <f ca="1">TblConstr[[#This Row],[Hill]]</f>
        <v>0</v>
      </c>
      <c r="F67" s="367">
        <f ca="1">TblConstr[[#This Row],[Swamp]]</f>
        <v>0</v>
      </c>
      <c r="G67" s="185">
        <f ca="1">TblConstr[[#This Row],[Cavern]]</f>
        <v>0</v>
      </c>
      <c r="H67" s="186">
        <f ca="1">TblConstr[[#This Row],[Water]]</f>
        <v>0</v>
      </c>
      <c r="I67" s="215"/>
      <c r="J67" s="175">
        <f t="shared" si="1"/>
        <v>64</v>
      </c>
      <c r="K67" s="236">
        <f ca="1">TblImps[[#This Row],[Real time]]</f>
        <v>46322.624999999847</v>
      </c>
      <c r="L67" s="179"/>
      <c r="M67" s="179"/>
      <c r="N67" s="179"/>
      <c r="O67" s="179"/>
      <c r="P67" s="179"/>
      <c r="Q67" s="179"/>
      <c r="R67" s="179"/>
      <c r="S67" s="94">
        <f>SUMIF(TblRezone[[#This Row],[Plains Rezone]:[Water Rezone]],"&gt;0")</f>
        <v>0</v>
      </c>
      <c r="T67" s="61" t="str">
        <f>IF(SUM(TblRezone[[#This Row],[Plains Rezone]:[Water Rezone]])=0,"Ok","Nope")</f>
        <v>Ok</v>
      </c>
      <c r="U67" s="215"/>
      <c r="V67" s="94">
        <f ca="1">TblProd[[#This Row],[Platinum]]</f>
        <v>179517</v>
      </c>
      <c r="W67" s="215"/>
      <c r="X67" s="94">
        <f ca="1">ROUND( (1-MIN(ROUND(facs_rezone_factor*TblRezone[[#This Row],[Facs]],4),facs_rezone_max) + tech_6_4*TblTech[[#This Row],[6-4]] + tech_10_2*TblTech[[#This Row],[10-2]] - IF(TblMagic[[#This Row],[Active Mechanical Genius]]&gt;0,mech_genius_bonus,0) + race_rezone_cost) * TblRezone[[#This Row],[Plat/acre*]],0)</f>
        <v>130</v>
      </c>
      <c r="Y67" s="94">
        <f ca="1">TblRezone[[#This Row],[Total acres]]*TblRezone[[#This Row],[Plat/acre]]</f>
        <v>0</v>
      </c>
      <c r="Z67" s="215"/>
      <c r="AA67" s="94">
        <f ca="1">(250+0.6*(TblRezone[[#This Row],[Land]]-250))</f>
        <v>130</v>
      </c>
      <c r="AB67" s="215"/>
      <c r="AC67" s="157">
        <f ca="1">TblConstr[[#This Row],[Facs DB]]</f>
        <v>0</v>
      </c>
    </row>
    <row r="68" spans="1:29" x14ac:dyDescent="0.2">
      <c r="A68" s="214">
        <f ca="1">TblConstr[[#This Row],[Land]]</f>
        <v>50</v>
      </c>
      <c r="B68" s="216">
        <f ca="1">TblConstr[[#This Row],[Plain]]</f>
        <v>0</v>
      </c>
      <c r="C68" s="182">
        <f ca="1">TblConstr[[#This Row],[Forest]]</f>
        <v>0</v>
      </c>
      <c r="D68" s="359">
        <f ca="1">TblConstr[[#This Row],[Mountain]]</f>
        <v>0</v>
      </c>
      <c r="E68" s="363">
        <f ca="1">TblConstr[[#This Row],[Hill]]</f>
        <v>0</v>
      </c>
      <c r="F68" s="367">
        <f ca="1">TblConstr[[#This Row],[Swamp]]</f>
        <v>0</v>
      </c>
      <c r="G68" s="185">
        <f ca="1">TblConstr[[#This Row],[Cavern]]</f>
        <v>0</v>
      </c>
      <c r="H68" s="186">
        <f ca="1">TblConstr[[#This Row],[Water]]</f>
        <v>0</v>
      </c>
      <c r="I68" s="215"/>
      <c r="J68" s="175">
        <f t="shared" si="1"/>
        <v>65</v>
      </c>
      <c r="K68" s="236">
        <f ca="1">TblImps[[#This Row],[Real time]]</f>
        <v>46322.666666666511</v>
      </c>
      <c r="L68" s="179"/>
      <c r="M68" s="179"/>
      <c r="N68" s="179"/>
      <c r="O68" s="179"/>
      <c r="P68" s="179"/>
      <c r="Q68" s="179"/>
      <c r="R68" s="179"/>
      <c r="S68" s="94">
        <f>SUMIF(TblRezone[[#This Row],[Plains Rezone]:[Water Rezone]],"&gt;0")</f>
        <v>0</v>
      </c>
      <c r="T68" s="61" t="str">
        <f>IF(SUM(TblRezone[[#This Row],[Plains Rezone]:[Water Rezone]])=0,"Ok","Nope")</f>
        <v>Ok</v>
      </c>
      <c r="U68" s="215"/>
      <c r="V68" s="94">
        <f ca="1">TblProd[[#This Row],[Platinum]]</f>
        <v>180183</v>
      </c>
      <c r="W68" s="215"/>
      <c r="X68" s="94">
        <f ca="1">ROUND( (1-MIN(ROUND(facs_rezone_factor*TblRezone[[#This Row],[Facs]],4),facs_rezone_max) + tech_6_4*TblTech[[#This Row],[6-4]] + tech_10_2*TblTech[[#This Row],[10-2]] - IF(TblMagic[[#This Row],[Active Mechanical Genius]]&gt;0,mech_genius_bonus,0) + race_rezone_cost) * TblRezone[[#This Row],[Plat/acre*]],0)</f>
        <v>130</v>
      </c>
      <c r="Y68" s="94">
        <f ca="1">TblRezone[[#This Row],[Total acres]]*TblRezone[[#This Row],[Plat/acre]]</f>
        <v>0</v>
      </c>
      <c r="Z68" s="215"/>
      <c r="AA68" s="94">
        <f ca="1">(250+0.6*(TblRezone[[#This Row],[Land]]-250))</f>
        <v>130</v>
      </c>
      <c r="AB68" s="215"/>
      <c r="AC68" s="157">
        <f ca="1">TblConstr[[#This Row],[Facs DB]]</f>
        <v>0</v>
      </c>
    </row>
    <row r="69" spans="1:29" x14ac:dyDescent="0.2">
      <c r="A69" s="214">
        <f ca="1">TblConstr[[#This Row],[Land]]</f>
        <v>50</v>
      </c>
      <c r="B69" s="216">
        <f ca="1">TblConstr[[#This Row],[Plain]]</f>
        <v>0</v>
      </c>
      <c r="C69" s="182">
        <f ca="1">TblConstr[[#This Row],[Forest]]</f>
        <v>0</v>
      </c>
      <c r="D69" s="359">
        <f ca="1">TblConstr[[#This Row],[Mountain]]</f>
        <v>0</v>
      </c>
      <c r="E69" s="363">
        <f ca="1">TblConstr[[#This Row],[Hill]]</f>
        <v>0</v>
      </c>
      <c r="F69" s="367">
        <f ca="1">TblConstr[[#This Row],[Swamp]]</f>
        <v>0</v>
      </c>
      <c r="G69" s="185">
        <f ca="1">TblConstr[[#This Row],[Cavern]]</f>
        <v>0</v>
      </c>
      <c r="H69" s="186">
        <f ca="1">TblConstr[[#This Row],[Water]]</f>
        <v>0</v>
      </c>
      <c r="I69" s="215"/>
      <c r="J69" s="175">
        <f t="shared" si="1"/>
        <v>66</v>
      </c>
      <c r="K69" s="236">
        <f ca="1">TblImps[[#This Row],[Real time]]</f>
        <v>46322.708333333176</v>
      </c>
      <c r="L69" s="179"/>
      <c r="M69" s="179"/>
      <c r="N69" s="179"/>
      <c r="O69" s="179"/>
      <c r="P69" s="179"/>
      <c r="Q69" s="179"/>
      <c r="R69" s="179"/>
      <c r="S69" s="94">
        <f>SUMIF(TblRezone[[#This Row],[Plains Rezone]:[Water Rezone]],"&gt;0")</f>
        <v>0</v>
      </c>
      <c r="T69" s="61" t="str">
        <f>IF(SUM(TblRezone[[#This Row],[Plains Rezone]:[Water Rezone]])=0,"Ok","Nope")</f>
        <v>Ok</v>
      </c>
      <c r="U69" s="215"/>
      <c r="V69" s="94">
        <f ca="1">TblProd[[#This Row],[Platinum]]</f>
        <v>180844</v>
      </c>
      <c r="W69" s="215"/>
      <c r="X69" s="94">
        <f ca="1">ROUND( (1-MIN(ROUND(facs_rezone_factor*TblRezone[[#This Row],[Facs]],4),facs_rezone_max) + tech_6_4*TblTech[[#This Row],[6-4]] + tech_10_2*TblTech[[#This Row],[10-2]] - IF(TblMagic[[#This Row],[Active Mechanical Genius]]&gt;0,mech_genius_bonus,0) + race_rezone_cost) * TblRezone[[#This Row],[Plat/acre*]],0)</f>
        <v>130</v>
      </c>
      <c r="Y69" s="94">
        <f ca="1">TblRezone[[#This Row],[Total acres]]*TblRezone[[#This Row],[Plat/acre]]</f>
        <v>0</v>
      </c>
      <c r="Z69" s="215"/>
      <c r="AA69" s="94">
        <f ca="1">(250+0.6*(TblRezone[[#This Row],[Land]]-250))</f>
        <v>130</v>
      </c>
      <c r="AB69" s="215"/>
      <c r="AC69" s="157">
        <f ca="1">TblConstr[[#This Row],[Facs DB]]</f>
        <v>0</v>
      </c>
    </row>
    <row r="70" spans="1:29" x14ac:dyDescent="0.2">
      <c r="A70" s="214">
        <f ca="1">TblConstr[[#This Row],[Land]]</f>
        <v>50</v>
      </c>
      <c r="B70" s="216">
        <f ca="1">TblConstr[[#This Row],[Plain]]</f>
        <v>0</v>
      </c>
      <c r="C70" s="182">
        <f ca="1">TblConstr[[#This Row],[Forest]]</f>
        <v>0</v>
      </c>
      <c r="D70" s="359">
        <f ca="1">TblConstr[[#This Row],[Mountain]]</f>
        <v>0</v>
      </c>
      <c r="E70" s="363">
        <f ca="1">TblConstr[[#This Row],[Hill]]</f>
        <v>0</v>
      </c>
      <c r="F70" s="367">
        <f ca="1">TblConstr[[#This Row],[Swamp]]</f>
        <v>0</v>
      </c>
      <c r="G70" s="185">
        <f ca="1">TblConstr[[#This Row],[Cavern]]</f>
        <v>0</v>
      </c>
      <c r="H70" s="186">
        <f ca="1">TblConstr[[#This Row],[Water]]</f>
        <v>0</v>
      </c>
      <c r="I70" s="215"/>
      <c r="J70" s="175">
        <f t="shared" si="1"/>
        <v>67</v>
      </c>
      <c r="K70" s="236">
        <f ca="1">TblImps[[#This Row],[Real time]]</f>
        <v>46322.74999999984</v>
      </c>
      <c r="L70" s="179"/>
      <c r="M70" s="179"/>
      <c r="N70" s="179"/>
      <c r="O70" s="179"/>
      <c r="P70" s="179"/>
      <c r="Q70" s="179"/>
      <c r="R70" s="179"/>
      <c r="S70" s="94">
        <f>SUMIF(TblRezone[[#This Row],[Plains Rezone]:[Water Rezone]],"&gt;0")</f>
        <v>0</v>
      </c>
      <c r="T70" s="61" t="str">
        <f>IF(SUM(TblRezone[[#This Row],[Plains Rezone]:[Water Rezone]])=0,"Ok","Nope")</f>
        <v>Ok</v>
      </c>
      <c r="U70" s="215"/>
      <c r="V70" s="94">
        <f ca="1">TblProd[[#This Row],[Platinum]]</f>
        <v>181500</v>
      </c>
      <c r="W70" s="215"/>
      <c r="X70" s="94">
        <f ca="1">ROUND( (1-MIN(ROUND(facs_rezone_factor*TblRezone[[#This Row],[Facs]],4),facs_rezone_max) + tech_6_4*TblTech[[#This Row],[6-4]] + tech_10_2*TblTech[[#This Row],[10-2]] - IF(TblMagic[[#This Row],[Active Mechanical Genius]]&gt;0,mech_genius_bonus,0) + race_rezone_cost) * TblRezone[[#This Row],[Plat/acre*]],0)</f>
        <v>130</v>
      </c>
      <c r="Y70" s="94">
        <f ca="1">TblRezone[[#This Row],[Total acres]]*TblRezone[[#This Row],[Plat/acre]]</f>
        <v>0</v>
      </c>
      <c r="Z70" s="215"/>
      <c r="AA70" s="94">
        <f ca="1">(250+0.6*(TblRezone[[#This Row],[Land]]-250))</f>
        <v>130</v>
      </c>
      <c r="AB70" s="215"/>
      <c r="AC70" s="157">
        <f ca="1">TblConstr[[#This Row],[Facs DB]]</f>
        <v>0</v>
      </c>
    </row>
    <row r="71" spans="1:29" x14ac:dyDescent="0.2">
      <c r="A71" s="214">
        <f ca="1">TblConstr[[#This Row],[Land]]</f>
        <v>50</v>
      </c>
      <c r="B71" s="216">
        <f ca="1">TblConstr[[#This Row],[Plain]]</f>
        <v>0</v>
      </c>
      <c r="C71" s="182">
        <f ca="1">TblConstr[[#This Row],[Forest]]</f>
        <v>0</v>
      </c>
      <c r="D71" s="359">
        <f ca="1">TblConstr[[#This Row],[Mountain]]</f>
        <v>0</v>
      </c>
      <c r="E71" s="363">
        <f ca="1">TblConstr[[#This Row],[Hill]]</f>
        <v>0</v>
      </c>
      <c r="F71" s="367">
        <f ca="1">TblConstr[[#This Row],[Swamp]]</f>
        <v>0</v>
      </c>
      <c r="G71" s="185">
        <f ca="1">TblConstr[[#This Row],[Cavern]]</f>
        <v>0</v>
      </c>
      <c r="H71" s="186">
        <f ca="1">TblConstr[[#This Row],[Water]]</f>
        <v>0</v>
      </c>
      <c r="I71" s="215"/>
      <c r="J71" s="175">
        <f t="shared" si="1"/>
        <v>68</v>
      </c>
      <c r="K71" s="236">
        <f ca="1">TblImps[[#This Row],[Real time]]</f>
        <v>46322.791666666504</v>
      </c>
      <c r="L71" s="179"/>
      <c r="M71" s="179"/>
      <c r="N71" s="179"/>
      <c r="O71" s="179"/>
      <c r="P71" s="179"/>
      <c r="Q71" s="179"/>
      <c r="R71" s="179"/>
      <c r="S71" s="94">
        <f>SUMIF(TblRezone[[#This Row],[Plains Rezone]:[Water Rezone]],"&gt;0")</f>
        <v>0</v>
      </c>
      <c r="T71" s="61" t="str">
        <f>IF(SUM(TblRezone[[#This Row],[Plains Rezone]:[Water Rezone]])=0,"Ok","Nope")</f>
        <v>Ok</v>
      </c>
      <c r="U71" s="215"/>
      <c r="V71" s="94">
        <f ca="1">TblProd[[#This Row],[Platinum]]</f>
        <v>182150</v>
      </c>
      <c r="W71" s="215"/>
      <c r="X71" s="94">
        <f ca="1">ROUND( (1-MIN(ROUND(facs_rezone_factor*TblRezone[[#This Row],[Facs]],4),facs_rezone_max) + tech_6_4*TblTech[[#This Row],[6-4]] + tech_10_2*TblTech[[#This Row],[10-2]] - IF(TblMagic[[#This Row],[Active Mechanical Genius]]&gt;0,mech_genius_bonus,0) + race_rezone_cost) * TblRezone[[#This Row],[Plat/acre*]],0)</f>
        <v>130</v>
      </c>
      <c r="Y71" s="94">
        <f ca="1">TblRezone[[#This Row],[Total acres]]*TblRezone[[#This Row],[Plat/acre]]</f>
        <v>0</v>
      </c>
      <c r="Z71" s="215"/>
      <c r="AA71" s="94">
        <f ca="1">(250+0.6*(TblRezone[[#This Row],[Land]]-250))</f>
        <v>130</v>
      </c>
      <c r="AB71" s="215"/>
      <c r="AC71" s="157">
        <f ca="1">TblConstr[[#This Row],[Facs DB]]</f>
        <v>0</v>
      </c>
    </row>
    <row r="72" spans="1:29" x14ac:dyDescent="0.2">
      <c r="A72" s="214">
        <f ca="1">TblConstr[[#This Row],[Land]]</f>
        <v>50</v>
      </c>
      <c r="B72" s="216">
        <f ca="1">TblConstr[[#This Row],[Plain]]</f>
        <v>0</v>
      </c>
      <c r="C72" s="182">
        <f ca="1">TblConstr[[#This Row],[Forest]]</f>
        <v>0</v>
      </c>
      <c r="D72" s="359">
        <f ca="1">TblConstr[[#This Row],[Mountain]]</f>
        <v>0</v>
      </c>
      <c r="E72" s="363">
        <f ca="1">TblConstr[[#This Row],[Hill]]</f>
        <v>0</v>
      </c>
      <c r="F72" s="367">
        <f ca="1">TblConstr[[#This Row],[Swamp]]</f>
        <v>0</v>
      </c>
      <c r="G72" s="185">
        <f ca="1">TblConstr[[#This Row],[Cavern]]</f>
        <v>0</v>
      </c>
      <c r="H72" s="186">
        <f ca="1">TblConstr[[#This Row],[Water]]</f>
        <v>0</v>
      </c>
      <c r="I72" s="215"/>
      <c r="J72" s="175">
        <f t="shared" si="1"/>
        <v>69</v>
      </c>
      <c r="K72" s="236">
        <f ca="1">TblImps[[#This Row],[Real time]]</f>
        <v>46322.833333333168</v>
      </c>
      <c r="L72" s="179"/>
      <c r="M72" s="179"/>
      <c r="N72" s="179"/>
      <c r="O72" s="179"/>
      <c r="P72" s="179"/>
      <c r="Q72" s="179"/>
      <c r="R72" s="179"/>
      <c r="S72" s="94">
        <f>SUMIF(TblRezone[[#This Row],[Plains Rezone]:[Water Rezone]],"&gt;0")</f>
        <v>0</v>
      </c>
      <c r="T72" s="61" t="str">
        <f>IF(SUM(TblRezone[[#This Row],[Plains Rezone]:[Water Rezone]])=0,"Ok","Nope")</f>
        <v>Ok</v>
      </c>
      <c r="U72" s="215"/>
      <c r="V72" s="94">
        <f ca="1">TblProd[[#This Row],[Platinum]]</f>
        <v>182795</v>
      </c>
      <c r="W72" s="215"/>
      <c r="X72" s="94">
        <f ca="1">ROUND( (1-MIN(ROUND(facs_rezone_factor*TblRezone[[#This Row],[Facs]],4),facs_rezone_max) + tech_6_4*TblTech[[#This Row],[6-4]] + tech_10_2*TblTech[[#This Row],[10-2]] - IF(TblMagic[[#This Row],[Active Mechanical Genius]]&gt;0,mech_genius_bonus,0) + race_rezone_cost) * TblRezone[[#This Row],[Plat/acre*]],0)</f>
        <v>130</v>
      </c>
      <c r="Y72" s="94">
        <f ca="1">TblRezone[[#This Row],[Total acres]]*TblRezone[[#This Row],[Plat/acre]]</f>
        <v>0</v>
      </c>
      <c r="Z72" s="215"/>
      <c r="AA72" s="94">
        <f ca="1">(250+0.6*(TblRezone[[#This Row],[Land]]-250))</f>
        <v>130</v>
      </c>
      <c r="AB72" s="215"/>
      <c r="AC72" s="157">
        <f ca="1">TblConstr[[#This Row],[Facs DB]]</f>
        <v>0</v>
      </c>
    </row>
    <row r="73" spans="1:29" x14ac:dyDescent="0.2">
      <c r="A73" s="214">
        <f ca="1">TblConstr[[#This Row],[Land]]</f>
        <v>50</v>
      </c>
      <c r="B73" s="216">
        <f ca="1">TblConstr[[#This Row],[Plain]]</f>
        <v>0</v>
      </c>
      <c r="C73" s="182">
        <f ca="1">TblConstr[[#This Row],[Forest]]</f>
        <v>0</v>
      </c>
      <c r="D73" s="359">
        <f ca="1">TblConstr[[#This Row],[Mountain]]</f>
        <v>0</v>
      </c>
      <c r="E73" s="363">
        <f ca="1">TblConstr[[#This Row],[Hill]]</f>
        <v>0</v>
      </c>
      <c r="F73" s="367">
        <f ca="1">TblConstr[[#This Row],[Swamp]]</f>
        <v>0</v>
      </c>
      <c r="G73" s="185">
        <f ca="1">TblConstr[[#This Row],[Cavern]]</f>
        <v>0</v>
      </c>
      <c r="H73" s="186">
        <f ca="1">TblConstr[[#This Row],[Water]]</f>
        <v>0</v>
      </c>
      <c r="I73" s="215"/>
      <c r="J73" s="175">
        <f t="shared" si="1"/>
        <v>70</v>
      </c>
      <c r="K73" s="236">
        <f ca="1">TblImps[[#This Row],[Real time]]</f>
        <v>46322.874999999833</v>
      </c>
      <c r="L73" s="179"/>
      <c r="M73" s="179"/>
      <c r="N73" s="179"/>
      <c r="O73" s="179"/>
      <c r="P73" s="179"/>
      <c r="Q73" s="179"/>
      <c r="R73" s="179"/>
      <c r="S73" s="94">
        <f>SUMIF(TblRezone[[#This Row],[Plains Rezone]:[Water Rezone]],"&gt;0")</f>
        <v>0</v>
      </c>
      <c r="T73" s="61" t="str">
        <f>IF(SUM(TblRezone[[#This Row],[Plains Rezone]:[Water Rezone]])=0,"Ok","Nope")</f>
        <v>Ok</v>
      </c>
      <c r="U73" s="215"/>
      <c r="V73" s="94">
        <f ca="1">TblProd[[#This Row],[Platinum]]</f>
        <v>183434</v>
      </c>
      <c r="W73" s="215"/>
      <c r="X73" s="94">
        <f ca="1">ROUND( (1-MIN(ROUND(facs_rezone_factor*TblRezone[[#This Row],[Facs]],4),facs_rezone_max) + tech_6_4*TblTech[[#This Row],[6-4]] + tech_10_2*TblTech[[#This Row],[10-2]] - IF(TblMagic[[#This Row],[Active Mechanical Genius]]&gt;0,mech_genius_bonus,0) + race_rezone_cost) * TblRezone[[#This Row],[Plat/acre*]],0)</f>
        <v>130</v>
      </c>
      <c r="Y73" s="94">
        <f ca="1">TblRezone[[#This Row],[Total acres]]*TblRezone[[#This Row],[Plat/acre]]</f>
        <v>0</v>
      </c>
      <c r="Z73" s="215"/>
      <c r="AA73" s="94">
        <f ca="1">(250+0.6*(TblRezone[[#This Row],[Land]]-250))</f>
        <v>130</v>
      </c>
      <c r="AB73" s="215"/>
      <c r="AC73" s="157">
        <f ca="1">TblConstr[[#This Row],[Facs DB]]</f>
        <v>0</v>
      </c>
    </row>
    <row r="74" spans="1:29" x14ac:dyDescent="0.2">
      <c r="A74" s="214">
        <f ca="1">TblConstr[[#This Row],[Land]]</f>
        <v>50</v>
      </c>
      <c r="B74" s="216">
        <f ca="1">TblConstr[[#This Row],[Plain]]</f>
        <v>0</v>
      </c>
      <c r="C74" s="182">
        <f ca="1">TblConstr[[#This Row],[Forest]]</f>
        <v>0</v>
      </c>
      <c r="D74" s="359">
        <f ca="1">TblConstr[[#This Row],[Mountain]]</f>
        <v>0</v>
      </c>
      <c r="E74" s="363">
        <f ca="1">TblConstr[[#This Row],[Hill]]</f>
        <v>0</v>
      </c>
      <c r="F74" s="367">
        <f ca="1">TblConstr[[#This Row],[Swamp]]</f>
        <v>0</v>
      </c>
      <c r="G74" s="185">
        <f ca="1">TblConstr[[#This Row],[Cavern]]</f>
        <v>0</v>
      </c>
      <c r="H74" s="186">
        <f ca="1">TblConstr[[#This Row],[Water]]</f>
        <v>0</v>
      </c>
      <c r="I74" s="215"/>
      <c r="J74" s="175">
        <f t="shared" si="1"/>
        <v>71</v>
      </c>
      <c r="K74" s="236">
        <f ca="1">TblImps[[#This Row],[Real time]]</f>
        <v>46322.916666666497</v>
      </c>
      <c r="L74" s="179"/>
      <c r="M74" s="179"/>
      <c r="N74" s="179"/>
      <c r="O74" s="179"/>
      <c r="P74" s="179"/>
      <c r="Q74" s="179"/>
      <c r="R74" s="179"/>
      <c r="S74" s="94">
        <f>SUMIF(TblRezone[[#This Row],[Plains Rezone]:[Water Rezone]],"&gt;0")</f>
        <v>0</v>
      </c>
      <c r="T74" s="61" t="str">
        <f>IF(SUM(TblRezone[[#This Row],[Plains Rezone]:[Water Rezone]])=0,"Ok","Nope")</f>
        <v>Ok</v>
      </c>
      <c r="U74" s="215"/>
      <c r="V74" s="94">
        <f ca="1">TblProd[[#This Row],[Platinum]]</f>
        <v>184068</v>
      </c>
      <c r="W74" s="215"/>
      <c r="X74" s="94">
        <f ca="1">ROUND( (1-MIN(ROUND(facs_rezone_factor*TblRezone[[#This Row],[Facs]],4),facs_rezone_max) + tech_6_4*TblTech[[#This Row],[6-4]] + tech_10_2*TblTech[[#This Row],[10-2]] - IF(TblMagic[[#This Row],[Active Mechanical Genius]]&gt;0,mech_genius_bonus,0) + race_rezone_cost) * TblRezone[[#This Row],[Plat/acre*]],0)</f>
        <v>130</v>
      </c>
      <c r="Y74" s="94">
        <f ca="1">TblRezone[[#This Row],[Total acres]]*TblRezone[[#This Row],[Plat/acre]]</f>
        <v>0</v>
      </c>
      <c r="Z74" s="215"/>
      <c r="AA74" s="94">
        <f ca="1">(250+0.6*(TblRezone[[#This Row],[Land]]-250))</f>
        <v>130</v>
      </c>
      <c r="AB74" s="215"/>
      <c r="AC74" s="157">
        <f ca="1">TblConstr[[#This Row],[Facs DB]]</f>
        <v>0</v>
      </c>
    </row>
    <row r="75" spans="1:29" x14ac:dyDescent="0.2">
      <c r="A75" s="214">
        <f ca="1">TblConstr[[#This Row],[Land]]</f>
        <v>50</v>
      </c>
      <c r="B75" s="216">
        <f ca="1">TblConstr[[#This Row],[Plain]]</f>
        <v>0</v>
      </c>
      <c r="C75" s="182">
        <f ca="1">TblConstr[[#This Row],[Forest]]</f>
        <v>0</v>
      </c>
      <c r="D75" s="359">
        <f ca="1">TblConstr[[#This Row],[Mountain]]</f>
        <v>0</v>
      </c>
      <c r="E75" s="363">
        <f ca="1">TblConstr[[#This Row],[Hill]]</f>
        <v>0</v>
      </c>
      <c r="F75" s="367">
        <f ca="1">TblConstr[[#This Row],[Swamp]]</f>
        <v>0</v>
      </c>
      <c r="G75" s="185">
        <f ca="1">TblConstr[[#This Row],[Cavern]]</f>
        <v>0</v>
      </c>
      <c r="H75" s="186">
        <f ca="1">TblConstr[[#This Row],[Water]]</f>
        <v>0</v>
      </c>
      <c r="I75" s="215"/>
      <c r="J75" s="175">
        <f t="shared" si="1"/>
        <v>72</v>
      </c>
      <c r="K75" s="236">
        <f ca="1">TblImps[[#This Row],[Real time]]</f>
        <v>46322.958333333161</v>
      </c>
      <c r="L75" s="179"/>
      <c r="M75" s="179"/>
      <c r="N75" s="179"/>
      <c r="O75" s="179"/>
      <c r="P75" s="179"/>
      <c r="Q75" s="179"/>
      <c r="R75" s="179"/>
      <c r="S75" s="94">
        <f>SUMIF(TblRezone[[#This Row],[Plains Rezone]:[Water Rezone]],"&gt;0")</f>
        <v>0</v>
      </c>
      <c r="T75" s="61" t="str">
        <f>IF(SUM(TblRezone[[#This Row],[Plains Rezone]:[Water Rezone]])=0,"Ok","Nope")</f>
        <v>Ok</v>
      </c>
      <c r="U75" s="215"/>
      <c r="V75" s="94">
        <f ca="1">TblProd[[#This Row],[Platinum]]</f>
        <v>184697</v>
      </c>
      <c r="W75" s="215"/>
      <c r="X75" s="94">
        <f ca="1">ROUND( (1-MIN(ROUND(facs_rezone_factor*TblRezone[[#This Row],[Facs]],4),facs_rezone_max) + tech_6_4*TblTech[[#This Row],[6-4]] + tech_10_2*TblTech[[#This Row],[10-2]] - IF(TblMagic[[#This Row],[Active Mechanical Genius]]&gt;0,mech_genius_bonus,0) + race_rezone_cost) * TblRezone[[#This Row],[Plat/acre*]],0)</f>
        <v>130</v>
      </c>
      <c r="Y75" s="94">
        <f ca="1">TblRezone[[#This Row],[Total acres]]*TblRezone[[#This Row],[Plat/acre]]</f>
        <v>0</v>
      </c>
      <c r="Z75" s="215"/>
      <c r="AA75" s="94">
        <f ca="1">(250+0.6*(TblRezone[[#This Row],[Land]]-250))</f>
        <v>130</v>
      </c>
      <c r="AB75" s="215"/>
      <c r="AC75" s="157">
        <f ca="1">TblConstr[[#This Row],[Facs DB]]</f>
        <v>0</v>
      </c>
    </row>
    <row r="76" spans="1:29" x14ac:dyDescent="0.2">
      <c r="A76" s="214">
        <f ca="1">TblConstr[[#This Row],[Land]]</f>
        <v>50</v>
      </c>
      <c r="B76" s="216">
        <f ca="1">TblConstr[[#This Row],[Plain]]</f>
        <v>0</v>
      </c>
      <c r="C76" s="182">
        <f ca="1">TblConstr[[#This Row],[Forest]]</f>
        <v>0</v>
      </c>
      <c r="D76" s="359">
        <f ca="1">TblConstr[[#This Row],[Mountain]]</f>
        <v>0</v>
      </c>
      <c r="E76" s="363">
        <f ca="1">TblConstr[[#This Row],[Hill]]</f>
        <v>0</v>
      </c>
      <c r="F76" s="367">
        <f ca="1">TblConstr[[#This Row],[Swamp]]</f>
        <v>0</v>
      </c>
      <c r="G76" s="185">
        <f ca="1">TblConstr[[#This Row],[Cavern]]</f>
        <v>0</v>
      </c>
      <c r="H76" s="186">
        <f ca="1">TblConstr[[#This Row],[Water]]</f>
        <v>0</v>
      </c>
      <c r="I76" s="215"/>
      <c r="J76" s="175">
        <f t="shared" si="1"/>
        <v>73</v>
      </c>
      <c r="K76" s="236">
        <f ca="1">TblImps[[#This Row],[Real time]]</f>
        <v>46322.999999999825</v>
      </c>
      <c r="L76" s="179"/>
      <c r="M76" s="179"/>
      <c r="N76" s="179"/>
      <c r="O76" s="179"/>
      <c r="P76" s="179"/>
      <c r="Q76" s="179"/>
      <c r="R76" s="179"/>
      <c r="S76" s="430">
        <f>SUMIF(TblRezone[[#This Row],[Plains Rezone]:[Water Rezone]],"&gt;0")</f>
        <v>0</v>
      </c>
      <c r="T76" s="428" t="str">
        <f>IF(SUM(TblRezone[[#This Row],[Plains Rezone]:[Water Rezone]])=0,"Ok","Nope")</f>
        <v>Ok</v>
      </c>
      <c r="U76" s="215"/>
      <c r="V76" s="430">
        <f ca="1">TblProd[[#This Row],[Platinum]]</f>
        <v>185320</v>
      </c>
      <c r="W76" s="215"/>
      <c r="X76" s="430">
        <f ca="1">ROUND( (1-MIN(ROUND(facs_rezone_factor*TblRezone[[#This Row],[Facs]],4),facs_rezone_max) + tech_6_4*TblTech[[#This Row],[6-4]] + tech_10_2*TblTech[[#This Row],[10-2]] - IF(TblMagic[[#This Row],[Active Mechanical Genius]]&gt;0,mech_genius_bonus,0) + race_rezone_cost) * TblRezone[[#This Row],[Plat/acre*]],0)</f>
        <v>130</v>
      </c>
      <c r="Y76" s="430">
        <f ca="1">TblRezone[[#This Row],[Total acres]]*TblRezone[[#This Row],[Plat/acre]]</f>
        <v>0</v>
      </c>
      <c r="Z76" s="215"/>
      <c r="AA76" s="430">
        <f ca="1">(250+0.6*(TblRezone[[#This Row],[Land]]-250))</f>
        <v>130</v>
      </c>
      <c r="AB76" s="215"/>
      <c r="AC76" s="442">
        <f ca="1">TblConstr[[#This Row],[Facs DB]]</f>
        <v>0</v>
      </c>
    </row>
    <row r="77" spans="1:29" x14ac:dyDescent="0.2">
      <c r="A77" s="214">
        <f ca="1">TblConstr[[#This Row],[Land]]</f>
        <v>50</v>
      </c>
      <c r="B77" s="216">
        <f ca="1">TblConstr[[#This Row],[Plain]]</f>
        <v>0</v>
      </c>
      <c r="C77" s="182">
        <f ca="1">TblConstr[[#This Row],[Forest]]</f>
        <v>0</v>
      </c>
      <c r="D77" s="359">
        <f ca="1">TblConstr[[#This Row],[Mountain]]</f>
        <v>0</v>
      </c>
      <c r="E77" s="363">
        <f ca="1">TblConstr[[#This Row],[Hill]]</f>
        <v>0</v>
      </c>
      <c r="F77" s="367">
        <f ca="1">TblConstr[[#This Row],[Swamp]]</f>
        <v>0</v>
      </c>
      <c r="G77" s="185">
        <f ca="1">TblConstr[[#This Row],[Cavern]]</f>
        <v>0</v>
      </c>
      <c r="H77" s="186">
        <f ca="1">TblConstr[[#This Row],[Water]]</f>
        <v>0</v>
      </c>
      <c r="I77" s="215"/>
      <c r="J77" s="175">
        <f t="shared" ref="J77:J87" si="2">J76+1</f>
        <v>74</v>
      </c>
      <c r="K77" s="236">
        <f ca="1">TblImps[[#This Row],[Real time]]</f>
        <v>46323.04166666649</v>
      </c>
      <c r="L77" s="179"/>
      <c r="M77" s="179"/>
      <c r="N77" s="179"/>
      <c r="O77" s="179"/>
      <c r="P77" s="179"/>
      <c r="Q77" s="179"/>
      <c r="R77" s="179"/>
      <c r="S77" s="94">
        <f>SUMIF(TblRezone[[#This Row],[Plains Rezone]:[Water Rezone]],"&gt;0")</f>
        <v>0</v>
      </c>
      <c r="T77" s="61" t="str">
        <f>IF(SUM(TblRezone[[#This Row],[Plains Rezone]:[Water Rezone]])=0,"Ok","Nope")</f>
        <v>Ok</v>
      </c>
      <c r="U77" s="215"/>
      <c r="V77" s="94">
        <f ca="1">TblProd[[#This Row],[Platinum]]</f>
        <v>185938</v>
      </c>
      <c r="W77" s="215"/>
      <c r="X77" s="94">
        <f ca="1">ROUND( (1-MIN(ROUND(facs_rezone_factor*TblRezone[[#This Row],[Facs]],4),facs_rezone_max) + tech_6_4*TblTech[[#This Row],[6-4]] + tech_10_2*TblTech[[#This Row],[10-2]] - IF(TblMagic[[#This Row],[Active Mechanical Genius]]&gt;0,mech_genius_bonus,0) + race_rezone_cost) * TblRezone[[#This Row],[Plat/acre*]],0)</f>
        <v>130</v>
      </c>
      <c r="Y77" s="94">
        <f ca="1">TblRezone[[#This Row],[Total acres]]*TblRezone[[#This Row],[Plat/acre]]</f>
        <v>0</v>
      </c>
      <c r="Z77" s="215"/>
      <c r="AA77" s="94">
        <f ca="1">(250+0.6*(TblRezone[[#This Row],[Land]]-250))</f>
        <v>130</v>
      </c>
      <c r="AB77" s="215"/>
      <c r="AC77" s="157">
        <f ca="1">TblConstr[[#This Row],[Facs DB]]</f>
        <v>0</v>
      </c>
    </row>
    <row r="78" spans="1:29" x14ac:dyDescent="0.2">
      <c r="A78" s="214">
        <f ca="1">TblConstr[[#This Row],[Land]]</f>
        <v>50</v>
      </c>
      <c r="B78" s="216">
        <f ca="1">TblConstr[[#This Row],[Plain]]</f>
        <v>0</v>
      </c>
      <c r="C78" s="182">
        <f ca="1">TblConstr[[#This Row],[Forest]]</f>
        <v>0</v>
      </c>
      <c r="D78" s="359">
        <f ca="1">TblConstr[[#This Row],[Mountain]]</f>
        <v>0</v>
      </c>
      <c r="E78" s="363">
        <f ca="1">TblConstr[[#This Row],[Hill]]</f>
        <v>0</v>
      </c>
      <c r="F78" s="367">
        <f ca="1">TblConstr[[#This Row],[Swamp]]</f>
        <v>0</v>
      </c>
      <c r="G78" s="185">
        <f ca="1">TblConstr[[#This Row],[Cavern]]</f>
        <v>0</v>
      </c>
      <c r="H78" s="186">
        <f ca="1">TblConstr[[#This Row],[Water]]</f>
        <v>0</v>
      </c>
      <c r="I78" s="215"/>
      <c r="J78" s="175">
        <f t="shared" si="2"/>
        <v>75</v>
      </c>
      <c r="K78" s="236">
        <f ca="1">TblImps[[#This Row],[Real time]]</f>
        <v>46323.083333333154</v>
      </c>
      <c r="L78" s="179"/>
      <c r="M78" s="179"/>
      <c r="N78" s="179"/>
      <c r="O78" s="179"/>
      <c r="P78" s="179"/>
      <c r="Q78" s="179"/>
      <c r="R78" s="179"/>
      <c r="S78" s="94">
        <f>SUMIF(TblRezone[[#This Row],[Plains Rezone]:[Water Rezone]],"&gt;0")</f>
        <v>0</v>
      </c>
      <c r="T78" s="61" t="str">
        <f>IF(SUM(TblRezone[[#This Row],[Plains Rezone]:[Water Rezone]])=0,"Ok","Nope")</f>
        <v>Ok</v>
      </c>
      <c r="U78" s="215"/>
      <c r="V78" s="94">
        <f ca="1">TblProd[[#This Row],[Platinum]]</f>
        <v>186550</v>
      </c>
      <c r="W78" s="215"/>
      <c r="X78" s="94">
        <f ca="1">ROUND( (1-MIN(ROUND(facs_rezone_factor*TblRezone[[#This Row],[Facs]],4),facs_rezone_max) + tech_6_4*TblTech[[#This Row],[6-4]] + tech_10_2*TblTech[[#This Row],[10-2]] - IF(TblMagic[[#This Row],[Active Mechanical Genius]]&gt;0,mech_genius_bonus,0) + race_rezone_cost) * TblRezone[[#This Row],[Plat/acre*]],0)</f>
        <v>130</v>
      </c>
      <c r="Y78" s="94">
        <f ca="1">TblRezone[[#This Row],[Total acres]]*TblRezone[[#This Row],[Plat/acre]]</f>
        <v>0</v>
      </c>
      <c r="Z78" s="215"/>
      <c r="AA78" s="94">
        <f ca="1">(250+0.6*(TblRezone[[#This Row],[Land]]-250))</f>
        <v>130</v>
      </c>
      <c r="AB78" s="215"/>
      <c r="AC78" s="157">
        <f ca="1">TblConstr[[#This Row],[Facs DB]]</f>
        <v>0</v>
      </c>
    </row>
    <row r="79" spans="1:29" x14ac:dyDescent="0.2">
      <c r="A79" s="214">
        <f ca="1">TblConstr[[#This Row],[Land]]</f>
        <v>50</v>
      </c>
      <c r="B79" s="216">
        <f ca="1">TblConstr[[#This Row],[Plain]]</f>
        <v>0</v>
      </c>
      <c r="C79" s="182">
        <f ca="1">TblConstr[[#This Row],[Forest]]</f>
        <v>0</v>
      </c>
      <c r="D79" s="359">
        <f ca="1">TblConstr[[#This Row],[Mountain]]</f>
        <v>0</v>
      </c>
      <c r="E79" s="363">
        <f ca="1">TblConstr[[#This Row],[Hill]]</f>
        <v>0</v>
      </c>
      <c r="F79" s="367">
        <f ca="1">TblConstr[[#This Row],[Swamp]]</f>
        <v>0</v>
      </c>
      <c r="G79" s="185">
        <f ca="1">TblConstr[[#This Row],[Cavern]]</f>
        <v>0</v>
      </c>
      <c r="H79" s="186">
        <f ca="1">TblConstr[[#This Row],[Water]]</f>
        <v>0</v>
      </c>
      <c r="I79" s="215"/>
      <c r="J79" s="175">
        <f t="shared" si="2"/>
        <v>76</v>
      </c>
      <c r="K79" s="236">
        <f ca="1">TblImps[[#This Row],[Real time]]</f>
        <v>46323.124999999818</v>
      </c>
      <c r="L79" s="179"/>
      <c r="M79" s="179"/>
      <c r="N79" s="179"/>
      <c r="O79" s="179"/>
      <c r="P79" s="179"/>
      <c r="Q79" s="179"/>
      <c r="R79" s="179"/>
      <c r="S79" s="94">
        <f>SUMIF(TblRezone[[#This Row],[Plains Rezone]:[Water Rezone]],"&gt;0")</f>
        <v>0</v>
      </c>
      <c r="T79" s="61" t="str">
        <f>IF(SUM(TblRezone[[#This Row],[Plains Rezone]:[Water Rezone]])=0,"Ok","Nope")</f>
        <v>Ok</v>
      </c>
      <c r="U79" s="215"/>
      <c r="V79" s="94">
        <f ca="1">TblProd[[#This Row],[Platinum]]</f>
        <v>187157</v>
      </c>
      <c r="W79" s="215"/>
      <c r="X79" s="94">
        <f ca="1">ROUND( (1-MIN(ROUND(facs_rezone_factor*TblRezone[[#This Row],[Facs]],4),facs_rezone_max) + tech_6_4*TblTech[[#This Row],[6-4]] + tech_10_2*TblTech[[#This Row],[10-2]] - IF(TblMagic[[#This Row],[Active Mechanical Genius]]&gt;0,mech_genius_bonus,0) + race_rezone_cost) * TblRezone[[#This Row],[Plat/acre*]],0)</f>
        <v>130</v>
      </c>
      <c r="Y79" s="94">
        <f ca="1">TblRezone[[#This Row],[Total acres]]*TblRezone[[#This Row],[Plat/acre]]</f>
        <v>0</v>
      </c>
      <c r="Z79" s="215"/>
      <c r="AA79" s="94">
        <f ca="1">(250+0.6*(TblRezone[[#This Row],[Land]]-250))</f>
        <v>130</v>
      </c>
      <c r="AB79" s="215"/>
      <c r="AC79" s="157">
        <f ca="1">TblConstr[[#This Row],[Facs DB]]</f>
        <v>0</v>
      </c>
    </row>
    <row r="80" spans="1:29" x14ac:dyDescent="0.2">
      <c r="A80" s="214">
        <f ca="1">TblConstr[[#This Row],[Land]]</f>
        <v>50</v>
      </c>
      <c r="B80" s="216">
        <f ca="1">TblConstr[[#This Row],[Plain]]</f>
        <v>0</v>
      </c>
      <c r="C80" s="182">
        <f ca="1">TblConstr[[#This Row],[Forest]]</f>
        <v>0</v>
      </c>
      <c r="D80" s="359">
        <f ca="1">TblConstr[[#This Row],[Mountain]]</f>
        <v>0</v>
      </c>
      <c r="E80" s="363">
        <f ca="1">TblConstr[[#This Row],[Hill]]</f>
        <v>0</v>
      </c>
      <c r="F80" s="367">
        <f ca="1">TblConstr[[#This Row],[Swamp]]</f>
        <v>0</v>
      </c>
      <c r="G80" s="185">
        <f ca="1">TblConstr[[#This Row],[Cavern]]</f>
        <v>0</v>
      </c>
      <c r="H80" s="186">
        <f ca="1">TblConstr[[#This Row],[Water]]</f>
        <v>0</v>
      </c>
      <c r="I80" s="215"/>
      <c r="J80" s="175">
        <f t="shared" si="2"/>
        <v>77</v>
      </c>
      <c r="K80" s="236">
        <f ca="1">TblImps[[#This Row],[Real time]]</f>
        <v>46323.166666666482</v>
      </c>
      <c r="L80" s="179"/>
      <c r="M80" s="179"/>
      <c r="N80" s="179"/>
      <c r="O80" s="179"/>
      <c r="P80" s="179"/>
      <c r="Q80" s="179"/>
      <c r="R80" s="179"/>
      <c r="S80" s="94">
        <f>SUMIF(TblRezone[[#This Row],[Plains Rezone]:[Water Rezone]],"&gt;0")</f>
        <v>0</v>
      </c>
      <c r="T80" s="61" t="str">
        <f>IF(SUM(TblRezone[[#This Row],[Plains Rezone]:[Water Rezone]])=0,"Ok","Nope")</f>
        <v>Ok</v>
      </c>
      <c r="U80" s="215"/>
      <c r="V80" s="94">
        <f ca="1">TblProd[[#This Row],[Platinum]]</f>
        <v>187759</v>
      </c>
      <c r="W80" s="215"/>
      <c r="X80" s="94">
        <f ca="1">ROUND( (1-MIN(ROUND(facs_rezone_factor*TblRezone[[#This Row],[Facs]],4),facs_rezone_max) + tech_6_4*TblTech[[#This Row],[6-4]] + tech_10_2*TblTech[[#This Row],[10-2]] - IF(TblMagic[[#This Row],[Active Mechanical Genius]]&gt;0,mech_genius_bonus,0) + race_rezone_cost) * TblRezone[[#This Row],[Plat/acre*]],0)</f>
        <v>130</v>
      </c>
      <c r="Y80" s="94">
        <f ca="1">TblRezone[[#This Row],[Total acres]]*TblRezone[[#This Row],[Plat/acre]]</f>
        <v>0</v>
      </c>
      <c r="Z80" s="215"/>
      <c r="AA80" s="94">
        <f ca="1">(250+0.6*(TblRezone[[#This Row],[Land]]-250))</f>
        <v>130</v>
      </c>
      <c r="AB80" s="215"/>
      <c r="AC80" s="157">
        <f ca="1">TblConstr[[#This Row],[Facs DB]]</f>
        <v>0</v>
      </c>
    </row>
    <row r="81" spans="1:29" x14ac:dyDescent="0.2">
      <c r="A81" s="214">
        <f ca="1">TblConstr[[#This Row],[Land]]</f>
        <v>50</v>
      </c>
      <c r="B81" s="216">
        <f ca="1">TblConstr[[#This Row],[Plain]]</f>
        <v>0</v>
      </c>
      <c r="C81" s="182">
        <f ca="1">TblConstr[[#This Row],[Forest]]</f>
        <v>0</v>
      </c>
      <c r="D81" s="359">
        <f ca="1">TblConstr[[#This Row],[Mountain]]</f>
        <v>0</v>
      </c>
      <c r="E81" s="363">
        <f ca="1">TblConstr[[#This Row],[Hill]]</f>
        <v>0</v>
      </c>
      <c r="F81" s="367">
        <f ca="1">TblConstr[[#This Row],[Swamp]]</f>
        <v>0</v>
      </c>
      <c r="G81" s="185">
        <f ca="1">TblConstr[[#This Row],[Cavern]]</f>
        <v>0</v>
      </c>
      <c r="H81" s="186">
        <f ca="1">TblConstr[[#This Row],[Water]]</f>
        <v>0</v>
      </c>
      <c r="I81" s="215"/>
      <c r="J81" s="175">
        <f t="shared" si="2"/>
        <v>78</v>
      </c>
      <c r="K81" s="236">
        <f ca="1">TblImps[[#This Row],[Real time]]</f>
        <v>46323.208333333147</v>
      </c>
      <c r="L81" s="179"/>
      <c r="M81" s="179"/>
      <c r="N81" s="179"/>
      <c r="O81" s="179"/>
      <c r="P81" s="179"/>
      <c r="Q81" s="179"/>
      <c r="R81" s="179"/>
      <c r="S81" s="94">
        <f>SUMIF(TblRezone[[#This Row],[Plains Rezone]:[Water Rezone]],"&gt;0")</f>
        <v>0</v>
      </c>
      <c r="T81" s="61" t="str">
        <f>IF(SUM(TblRezone[[#This Row],[Plains Rezone]:[Water Rezone]])=0,"Ok","Nope")</f>
        <v>Ok</v>
      </c>
      <c r="U81" s="215"/>
      <c r="V81" s="94">
        <f ca="1">TblProd[[#This Row],[Platinum]]</f>
        <v>188355</v>
      </c>
      <c r="W81" s="215"/>
      <c r="X81" s="94">
        <f ca="1">ROUND( (1-MIN(ROUND(facs_rezone_factor*TblRezone[[#This Row],[Facs]],4),facs_rezone_max) + tech_6_4*TblTech[[#This Row],[6-4]] + tech_10_2*TblTech[[#This Row],[10-2]] - IF(TblMagic[[#This Row],[Active Mechanical Genius]]&gt;0,mech_genius_bonus,0) + race_rezone_cost) * TblRezone[[#This Row],[Plat/acre*]],0)</f>
        <v>130</v>
      </c>
      <c r="Y81" s="94">
        <f ca="1">TblRezone[[#This Row],[Total acres]]*TblRezone[[#This Row],[Plat/acre]]</f>
        <v>0</v>
      </c>
      <c r="Z81" s="215"/>
      <c r="AA81" s="94">
        <f ca="1">(250+0.6*(TblRezone[[#This Row],[Land]]-250))</f>
        <v>130</v>
      </c>
      <c r="AB81" s="215"/>
      <c r="AC81" s="157">
        <f ca="1">TblConstr[[#This Row],[Facs DB]]</f>
        <v>0</v>
      </c>
    </row>
    <row r="82" spans="1:29" x14ac:dyDescent="0.2">
      <c r="A82" s="214">
        <f ca="1">TblConstr[[#This Row],[Land]]</f>
        <v>50</v>
      </c>
      <c r="B82" s="216">
        <f ca="1">TblConstr[[#This Row],[Plain]]</f>
        <v>0</v>
      </c>
      <c r="C82" s="182">
        <f ca="1">TblConstr[[#This Row],[Forest]]</f>
        <v>0</v>
      </c>
      <c r="D82" s="359">
        <f ca="1">TblConstr[[#This Row],[Mountain]]</f>
        <v>0</v>
      </c>
      <c r="E82" s="363">
        <f ca="1">TblConstr[[#This Row],[Hill]]</f>
        <v>0</v>
      </c>
      <c r="F82" s="367">
        <f ca="1">TblConstr[[#This Row],[Swamp]]</f>
        <v>0</v>
      </c>
      <c r="G82" s="185">
        <f ca="1">TblConstr[[#This Row],[Cavern]]</f>
        <v>0</v>
      </c>
      <c r="H82" s="186">
        <f ca="1">TblConstr[[#This Row],[Water]]</f>
        <v>0</v>
      </c>
      <c r="I82" s="215"/>
      <c r="J82" s="175">
        <f t="shared" si="2"/>
        <v>79</v>
      </c>
      <c r="K82" s="236">
        <f ca="1">TblImps[[#This Row],[Real time]]</f>
        <v>46323.249999999811</v>
      </c>
      <c r="L82" s="179"/>
      <c r="M82" s="179"/>
      <c r="N82" s="179"/>
      <c r="O82" s="179"/>
      <c r="P82" s="179"/>
      <c r="Q82" s="179"/>
      <c r="R82" s="179"/>
      <c r="S82" s="94">
        <f>SUMIF(TblRezone[[#This Row],[Plains Rezone]:[Water Rezone]],"&gt;0")</f>
        <v>0</v>
      </c>
      <c r="T82" s="61" t="str">
        <f>IF(SUM(TblRezone[[#This Row],[Plains Rezone]:[Water Rezone]])=0,"Ok","Nope")</f>
        <v>Ok</v>
      </c>
      <c r="U82" s="215"/>
      <c r="V82" s="94">
        <f ca="1">TblProd[[#This Row],[Platinum]]</f>
        <v>188946</v>
      </c>
      <c r="W82" s="215"/>
      <c r="X82" s="94">
        <f ca="1">ROUND( (1-MIN(ROUND(facs_rezone_factor*TblRezone[[#This Row],[Facs]],4),facs_rezone_max) + tech_6_4*TblTech[[#This Row],[6-4]] + tech_10_2*TblTech[[#This Row],[10-2]] - IF(TblMagic[[#This Row],[Active Mechanical Genius]]&gt;0,mech_genius_bonus,0) + race_rezone_cost) * TblRezone[[#This Row],[Plat/acre*]],0)</f>
        <v>130</v>
      </c>
      <c r="Y82" s="94">
        <f ca="1">TblRezone[[#This Row],[Total acres]]*TblRezone[[#This Row],[Plat/acre]]</f>
        <v>0</v>
      </c>
      <c r="Z82" s="215"/>
      <c r="AA82" s="94">
        <f ca="1">(250+0.6*(TblRezone[[#This Row],[Land]]-250))</f>
        <v>130</v>
      </c>
      <c r="AB82" s="215"/>
      <c r="AC82" s="157">
        <f ca="1">TblConstr[[#This Row],[Facs DB]]</f>
        <v>0</v>
      </c>
    </row>
    <row r="83" spans="1:29" x14ac:dyDescent="0.2">
      <c r="A83" s="214">
        <f ca="1">TblConstr[[#This Row],[Land]]</f>
        <v>50</v>
      </c>
      <c r="B83" s="216">
        <f ca="1">TblConstr[[#This Row],[Plain]]</f>
        <v>0</v>
      </c>
      <c r="C83" s="182">
        <f ca="1">TblConstr[[#This Row],[Forest]]</f>
        <v>0</v>
      </c>
      <c r="D83" s="359">
        <f ca="1">TblConstr[[#This Row],[Mountain]]</f>
        <v>0</v>
      </c>
      <c r="E83" s="363">
        <f ca="1">TblConstr[[#This Row],[Hill]]</f>
        <v>0</v>
      </c>
      <c r="F83" s="367">
        <f ca="1">TblConstr[[#This Row],[Swamp]]</f>
        <v>0</v>
      </c>
      <c r="G83" s="185">
        <f ca="1">TblConstr[[#This Row],[Cavern]]</f>
        <v>0</v>
      </c>
      <c r="H83" s="186">
        <f ca="1">TblConstr[[#This Row],[Water]]</f>
        <v>0</v>
      </c>
      <c r="I83" s="215"/>
      <c r="J83" s="175">
        <f t="shared" si="2"/>
        <v>80</v>
      </c>
      <c r="K83" s="236">
        <f ca="1">TblImps[[#This Row],[Real time]]</f>
        <v>46323.291666666475</v>
      </c>
      <c r="L83" s="179"/>
      <c r="M83" s="179"/>
      <c r="N83" s="179"/>
      <c r="O83" s="179"/>
      <c r="P83" s="179"/>
      <c r="Q83" s="179"/>
      <c r="R83" s="179"/>
      <c r="S83" s="94">
        <f>SUMIF(TblRezone[[#This Row],[Plains Rezone]:[Water Rezone]],"&gt;0")</f>
        <v>0</v>
      </c>
      <c r="T83" s="61" t="str">
        <f>IF(SUM(TblRezone[[#This Row],[Plains Rezone]:[Water Rezone]])=0,"Ok","Nope")</f>
        <v>Ok</v>
      </c>
      <c r="U83" s="215"/>
      <c r="V83" s="94">
        <f ca="1">TblProd[[#This Row],[Platinum]]</f>
        <v>189531</v>
      </c>
      <c r="W83" s="215"/>
      <c r="X83" s="94">
        <f ca="1">ROUND( (1-MIN(ROUND(facs_rezone_factor*TblRezone[[#This Row],[Facs]],4),facs_rezone_max) + tech_6_4*TblTech[[#This Row],[6-4]] + tech_10_2*TblTech[[#This Row],[10-2]] - IF(TblMagic[[#This Row],[Active Mechanical Genius]]&gt;0,mech_genius_bonus,0) + race_rezone_cost) * TblRezone[[#This Row],[Plat/acre*]],0)</f>
        <v>130</v>
      </c>
      <c r="Y83" s="94">
        <f ca="1">TblRezone[[#This Row],[Total acres]]*TblRezone[[#This Row],[Plat/acre]]</f>
        <v>0</v>
      </c>
      <c r="Z83" s="215"/>
      <c r="AA83" s="94">
        <f ca="1">(250+0.6*(TblRezone[[#This Row],[Land]]-250))</f>
        <v>130</v>
      </c>
      <c r="AB83" s="215"/>
      <c r="AC83" s="157">
        <f ca="1">TblConstr[[#This Row],[Facs DB]]</f>
        <v>0</v>
      </c>
    </row>
    <row r="84" spans="1:29" x14ac:dyDescent="0.2">
      <c r="A84" s="214">
        <f ca="1">TblConstr[[#This Row],[Land]]</f>
        <v>50</v>
      </c>
      <c r="B84" s="216">
        <f ca="1">TblConstr[[#This Row],[Plain]]</f>
        <v>0</v>
      </c>
      <c r="C84" s="182">
        <f ca="1">TblConstr[[#This Row],[Forest]]</f>
        <v>0</v>
      </c>
      <c r="D84" s="359">
        <f ca="1">TblConstr[[#This Row],[Mountain]]</f>
        <v>0</v>
      </c>
      <c r="E84" s="363">
        <f ca="1">TblConstr[[#This Row],[Hill]]</f>
        <v>0</v>
      </c>
      <c r="F84" s="367">
        <f ca="1">TblConstr[[#This Row],[Swamp]]</f>
        <v>0</v>
      </c>
      <c r="G84" s="185">
        <f ca="1">TblConstr[[#This Row],[Cavern]]</f>
        <v>0</v>
      </c>
      <c r="H84" s="186">
        <f ca="1">TblConstr[[#This Row],[Water]]</f>
        <v>0</v>
      </c>
      <c r="I84" s="215"/>
      <c r="J84" s="175">
        <f t="shared" si="2"/>
        <v>81</v>
      </c>
      <c r="K84" s="236">
        <f ca="1">TblImps[[#This Row],[Real time]]</f>
        <v>46323.333333333139</v>
      </c>
      <c r="L84" s="179"/>
      <c r="M84" s="179"/>
      <c r="N84" s="179"/>
      <c r="O84" s="179"/>
      <c r="P84" s="179"/>
      <c r="Q84" s="179"/>
      <c r="R84" s="179"/>
      <c r="S84" s="94">
        <f>SUMIF(TblRezone[[#This Row],[Plains Rezone]:[Water Rezone]],"&gt;0")</f>
        <v>0</v>
      </c>
      <c r="T84" s="61" t="str">
        <f>IF(SUM(TblRezone[[#This Row],[Plains Rezone]:[Water Rezone]])=0,"Ok","Nope")</f>
        <v>Ok</v>
      </c>
      <c r="U84" s="215"/>
      <c r="V84" s="94">
        <f ca="1">TblProd[[#This Row],[Platinum]]</f>
        <v>190111</v>
      </c>
      <c r="W84" s="215"/>
      <c r="X84" s="94">
        <f ca="1">ROUND( (1-MIN(ROUND(facs_rezone_factor*TblRezone[[#This Row],[Facs]],4),facs_rezone_max) + tech_6_4*TblTech[[#This Row],[6-4]] + tech_10_2*TblTech[[#This Row],[10-2]] - IF(TblMagic[[#This Row],[Active Mechanical Genius]]&gt;0,mech_genius_bonus,0) + race_rezone_cost) * TblRezone[[#This Row],[Plat/acre*]],0)</f>
        <v>130</v>
      </c>
      <c r="Y84" s="94">
        <f ca="1">TblRezone[[#This Row],[Total acres]]*TblRezone[[#This Row],[Plat/acre]]</f>
        <v>0</v>
      </c>
      <c r="Z84" s="215"/>
      <c r="AA84" s="94">
        <f ca="1">(250+0.6*(TblRezone[[#This Row],[Land]]-250))</f>
        <v>130</v>
      </c>
      <c r="AB84" s="215"/>
      <c r="AC84" s="157">
        <f ca="1">TblConstr[[#This Row],[Facs DB]]</f>
        <v>0</v>
      </c>
    </row>
    <row r="85" spans="1:29" x14ac:dyDescent="0.2">
      <c r="A85" s="214">
        <f ca="1">TblConstr[[#This Row],[Land]]</f>
        <v>50</v>
      </c>
      <c r="B85" s="216">
        <f ca="1">TblConstr[[#This Row],[Plain]]</f>
        <v>0</v>
      </c>
      <c r="C85" s="182">
        <f ca="1">TblConstr[[#This Row],[Forest]]</f>
        <v>0</v>
      </c>
      <c r="D85" s="359">
        <f ca="1">TblConstr[[#This Row],[Mountain]]</f>
        <v>0</v>
      </c>
      <c r="E85" s="363">
        <f ca="1">TblConstr[[#This Row],[Hill]]</f>
        <v>0</v>
      </c>
      <c r="F85" s="367">
        <f ca="1">TblConstr[[#This Row],[Swamp]]</f>
        <v>0</v>
      </c>
      <c r="G85" s="185">
        <f ca="1">TblConstr[[#This Row],[Cavern]]</f>
        <v>0</v>
      </c>
      <c r="H85" s="186">
        <f ca="1">TblConstr[[#This Row],[Water]]</f>
        <v>0</v>
      </c>
      <c r="I85" s="215"/>
      <c r="J85" s="175">
        <f t="shared" si="2"/>
        <v>82</v>
      </c>
      <c r="K85" s="236">
        <f ca="1">TblImps[[#This Row],[Real time]]</f>
        <v>46323.374999999804</v>
      </c>
      <c r="L85" s="179"/>
      <c r="M85" s="179"/>
      <c r="N85" s="179"/>
      <c r="O85" s="179"/>
      <c r="P85" s="179"/>
      <c r="Q85" s="179"/>
      <c r="R85" s="179"/>
      <c r="S85" s="94">
        <f>SUMIF(TblRezone[[#This Row],[Plains Rezone]:[Water Rezone]],"&gt;0")</f>
        <v>0</v>
      </c>
      <c r="T85" s="61" t="str">
        <f>IF(SUM(TblRezone[[#This Row],[Plains Rezone]:[Water Rezone]])=0,"Ok","Nope")</f>
        <v>Ok</v>
      </c>
      <c r="U85" s="215"/>
      <c r="V85" s="94">
        <f ca="1">TblProd[[#This Row],[Platinum]]</f>
        <v>190686</v>
      </c>
      <c r="W85" s="215"/>
      <c r="X85" s="94">
        <f ca="1">ROUND( (1-MIN(ROUND(facs_rezone_factor*TblRezone[[#This Row],[Facs]],4),facs_rezone_max) + tech_6_4*TblTech[[#This Row],[6-4]] + tech_10_2*TblTech[[#This Row],[10-2]] - IF(TblMagic[[#This Row],[Active Mechanical Genius]]&gt;0,mech_genius_bonus,0) + race_rezone_cost) * TblRezone[[#This Row],[Plat/acre*]],0)</f>
        <v>130</v>
      </c>
      <c r="Y85" s="94">
        <f ca="1">TblRezone[[#This Row],[Total acres]]*TblRezone[[#This Row],[Plat/acre]]</f>
        <v>0</v>
      </c>
      <c r="Z85" s="215"/>
      <c r="AA85" s="94">
        <f ca="1">(250+0.6*(TblRezone[[#This Row],[Land]]-250))</f>
        <v>130</v>
      </c>
      <c r="AB85" s="215"/>
      <c r="AC85" s="157">
        <f ca="1">TblConstr[[#This Row],[Facs DB]]</f>
        <v>0</v>
      </c>
    </row>
    <row r="86" spans="1:29" x14ac:dyDescent="0.2">
      <c r="A86" s="214">
        <f ca="1">TblConstr[[#This Row],[Land]]</f>
        <v>50</v>
      </c>
      <c r="B86" s="216">
        <f ca="1">TblConstr[[#This Row],[Plain]]</f>
        <v>0</v>
      </c>
      <c r="C86" s="182">
        <f ca="1">TblConstr[[#This Row],[Forest]]</f>
        <v>0</v>
      </c>
      <c r="D86" s="359">
        <f ca="1">TblConstr[[#This Row],[Mountain]]</f>
        <v>0</v>
      </c>
      <c r="E86" s="363">
        <f ca="1">TblConstr[[#This Row],[Hill]]</f>
        <v>0</v>
      </c>
      <c r="F86" s="367">
        <f ca="1">TblConstr[[#This Row],[Swamp]]</f>
        <v>0</v>
      </c>
      <c r="G86" s="185">
        <f ca="1">TblConstr[[#This Row],[Cavern]]</f>
        <v>0</v>
      </c>
      <c r="H86" s="186">
        <f ca="1">TblConstr[[#This Row],[Water]]</f>
        <v>0</v>
      </c>
      <c r="I86" s="215"/>
      <c r="J86" s="175">
        <f t="shared" si="2"/>
        <v>83</v>
      </c>
      <c r="K86" s="236">
        <f ca="1">TblImps[[#This Row],[Real time]]</f>
        <v>46323.416666666468</v>
      </c>
      <c r="L86" s="179"/>
      <c r="M86" s="179"/>
      <c r="N86" s="179"/>
      <c r="O86" s="179"/>
      <c r="P86" s="179"/>
      <c r="Q86" s="179"/>
      <c r="R86" s="179"/>
      <c r="S86" s="94">
        <f>SUMIF(TblRezone[[#This Row],[Plains Rezone]:[Water Rezone]],"&gt;0")</f>
        <v>0</v>
      </c>
      <c r="T86" s="61" t="str">
        <f>IF(SUM(TblRezone[[#This Row],[Plains Rezone]:[Water Rezone]])=0,"Ok","Nope")</f>
        <v>Ok</v>
      </c>
      <c r="U86" s="215"/>
      <c r="V86" s="94">
        <f ca="1">TblProd[[#This Row],[Platinum]]</f>
        <v>191255</v>
      </c>
      <c r="W86" s="215"/>
      <c r="X86" s="94">
        <f ca="1">ROUND( (1-MIN(ROUND(facs_rezone_factor*TblRezone[[#This Row],[Facs]],4),facs_rezone_max) + tech_6_4*TblTech[[#This Row],[6-4]] + tech_10_2*TblTech[[#This Row],[10-2]] - IF(TblMagic[[#This Row],[Active Mechanical Genius]]&gt;0,mech_genius_bonus,0) + race_rezone_cost) * TblRezone[[#This Row],[Plat/acre*]],0)</f>
        <v>130</v>
      </c>
      <c r="Y86" s="94">
        <f ca="1">TblRezone[[#This Row],[Total acres]]*TblRezone[[#This Row],[Plat/acre]]</f>
        <v>0</v>
      </c>
      <c r="Z86" s="215"/>
      <c r="AA86" s="94">
        <f ca="1">(250+0.6*(TblRezone[[#This Row],[Land]]-250))</f>
        <v>130</v>
      </c>
      <c r="AB86" s="215"/>
      <c r="AC86" s="157">
        <f ca="1">TblConstr[[#This Row],[Facs DB]]</f>
        <v>0</v>
      </c>
    </row>
    <row r="87" spans="1:29" x14ac:dyDescent="0.2">
      <c r="A87" s="214">
        <f ca="1">TblConstr[[#This Row],[Land]]</f>
        <v>50</v>
      </c>
      <c r="B87" s="216">
        <f ca="1">TblConstr[[#This Row],[Plain]]</f>
        <v>0</v>
      </c>
      <c r="C87" s="182">
        <f ca="1">TblConstr[[#This Row],[Forest]]</f>
        <v>0</v>
      </c>
      <c r="D87" s="359">
        <f ca="1">TblConstr[[#This Row],[Mountain]]</f>
        <v>0</v>
      </c>
      <c r="E87" s="363">
        <f ca="1">TblConstr[[#This Row],[Hill]]</f>
        <v>0</v>
      </c>
      <c r="F87" s="367">
        <f ca="1">TblConstr[[#This Row],[Swamp]]</f>
        <v>0</v>
      </c>
      <c r="G87" s="185">
        <f ca="1">TblConstr[[#This Row],[Cavern]]</f>
        <v>0</v>
      </c>
      <c r="H87" s="186">
        <f ca="1">TblConstr[[#This Row],[Water]]</f>
        <v>0</v>
      </c>
      <c r="I87" s="215"/>
      <c r="J87" s="175">
        <f t="shared" si="2"/>
        <v>84</v>
      </c>
      <c r="K87" s="236">
        <f ca="1">TblImps[[#This Row],[Real time]]</f>
        <v>46323.458333333132</v>
      </c>
      <c r="L87" s="179"/>
      <c r="M87" s="179"/>
      <c r="N87" s="179"/>
      <c r="O87" s="179"/>
      <c r="P87" s="179"/>
      <c r="Q87" s="179"/>
      <c r="R87" s="179"/>
      <c r="S87" s="94">
        <f>SUMIF(TblRezone[[#This Row],[Plains Rezone]:[Water Rezone]],"&gt;0")</f>
        <v>0</v>
      </c>
      <c r="T87" s="61" t="str">
        <f>IF(SUM(TblRezone[[#This Row],[Plains Rezone]:[Water Rezone]])=0,"Ok","Nope")</f>
        <v>Ok</v>
      </c>
      <c r="U87" s="215"/>
      <c r="V87" s="94">
        <f ca="1">TblProd[[#This Row],[Platinum]]</f>
        <v>191819</v>
      </c>
      <c r="W87" s="215"/>
      <c r="X87" s="94">
        <f ca="1">ROUND( (1-MIN(ROUND(facs_rezone_factor*TblRezone[[#This Row],[Facs]],4),facs_rezone_max) + tech_6_4*TblTech[[#This Row],[6-4]] + tech_10_2*TblTech[[#This Row],[10-2]] - IF(TblMagic[[#This Row],[Active Mechanical Genius]]&gt;0,mech_genius_bonus,0) + race_rezone_cost) * TblRezone[[#This Row],[Plat/acre*]],0)</f>
        <v>130</v>
      </c>
      <c r="Y87" s="94">
        <f ca="1">TblRezone[[#This Row],[Total acres]]*TblRezone[[#This Row],[Plat/acre]]</f>
        <v>0</v>
      </c>
      <c r="Z87" s="215"/>
      <c r="AA87" s="94">
        <f ca="1">(250+0.6*(TblRezone[[#This Row],[Land]]-250))</f>
        <v>130</v>
      </c>
      <c r="AB87" s="215"/>
      <c r="AC87" s="157">
        <f ca="1">TblConstr[[#This Row],[Facs DB]]</f>
        <v>0</v>
      </c>
    </row>
    <row r="88" spans="1:29" x14ac:dyDescent="0.2">
      <c r="A88" s="214">
        <f ca="1">TblConstr[[#This Row],[Land]]</f>
        <v>50</v>
      </c>
      <c r="B88" s="216">
        <f ca="1">TblConstr[[#This Row],[Plain]]</f>
        <v>0</v>
      </c>
      <c r="C88" s="182">
        <f ca="1">TblConstr[[#This Row],[Forest]]</f>
        <v>0</v>
      </c>
      <c r="D88" s="359">
        <f ca="1">TblConstr[[#This Row],[Mountain]]</f>
        <v>0</v>
      </c>
      <c r="E88" s="363">
        <f ca="1">TblConstr[[#This Row],[Hill]]</f>
        <v>0</v>
      </c>
      <c r="F88" s="367">
        <f ca="1">TblConstr[[#This Row],[Swamp]]</f>
        <v>0</v>
      </c>
      <c r="G88" s="185">
        <f ca="1">TblConstr[[#This Row],[Cavern]]</f>
        <v>0</v>
      </c>
      <c r="H88" s="186">
        <f ca="1">TblConstr[[#This Row],[Water]]</f>
        <v>0</v>
      </c>
      <c r="I88" s="215"/>
      <c r="J88" s="175">
        <f>J87+1</f>
        <v>85</v>
      </c>
      <c r="K88" s="236">
        <f ca="1">TblImps[[#This Row],[Real time]]</f>
        <v>46323.499999999796</v>
      </c>
      <c r="L88" s="158"/>
      <c r="M88" s="158"/>
      <c r="N88" s="179"/>
      <c r="O88" s="179"/>
      <c r="P88" s="179"/>
      <c r="Q88" s="179"/>
      <c r="R88" s="158"/>
      <c r="S88" s="94">
        <f>SUMIF(TblRezone[[#This Row],[Plains Rezone]:[Water Rezone]],"&gt;0")</f>
        <v>0</v>
      </c>
      <c r="T88" s="61" t="str">
        <f>IF(SUM(TblRezone[[#This Row],[Plains Rezone]:[Water Rezone]])=0,"Ok","Nope")</f>
        <v>Ok</v>
      </c>
      <c r="U88" s="215"/>
      <c r="V88" s="94">
        <f ca="1">TblProd[[#This Row],[Platinum]]</f>
        <v>192377</v>
      </c>
      <c r="W88" s="215"/>
      <c r="X88" s="94">
        <f ca="1">ROUND( (1-MIN(ROUND(facs_rezone_factor*TblRezone[[#This Row],[Facs]],4),facs_rezone_max) + tech_6_4*TblTech[[#This Row],[6-4]] + tech_10_2*TblTech[[#This Row],[10-2]] - IF(TblMagic[[#This Row],[Active Mechanical Genius]]&gt;0,mech_genius_bonus,0) + race_rezone_cost) * TblRezone[[#This Row],[Plat/acre*]],0)</f>
        <v>130</v>
      </c>
      <c r="Y88" s="94">
        <f ca="1">TblRezone[[#This Row],[Total acres]]*TblRezone[[#This Row],[Plat/acre]]</f>
        <v>0</v>
      </c>
      <c r="Z88" s="215"/>
      <c r="AA88" s="94">
        <f ca="1">(250+0.6*(TblRezone[[#This Row],[Land]]-250))</f>
        <v>130</v>
      </c>
      <c r="AB88" s="215"/>
      <c r="AC88" s="157">
        <f ca="1">TblConstr[[#This Row],[Facs DB]]</f>
        <v>0</v>
      </c>
    </row>
    <row r="89" spans="1:29" x14ac:dyDescent="0.2">
      <c r="A89" s="214">
        <f ca="1">TblConstr[[#This Row],[Land]]</f>
        <v>50</v>
      </c>
      <c r="B89" s="216">
        <f ca="1">TblConstr[[#This Row],[Plain]]</f>
        <v>0</v>
      </c>
      <c r="C89" s="182">
        <f ca="1">TblConstr[[#This Row],[Forest]]</f>
        <v>0</v>
      </c>
      <c r="D89" s="359">
        <f ca="1">TblConstr[[#This Row],[Mountain]]</f>
        <v>0</v>
      </c>
      <c r="E89" s="363">
        <f ca="1">TblConstr[[#This Row],[Hill]]</f>
        <v>0</v>
      </c>
      <c r="F89" s="367">
        <f ca="1">TblConstr[[#This Row],[Swamp]]</f>
        <v>0</v>
      </c>
      <c r="G89" s="185">
        <f ca="1">TblConstr[[#This Row],[Cavern]]</f>
        <v>0</v>
      </c>
      <c r="H89" s="186">
        <f ca="1">TblConstr[[#This Row],[Water]]</f>
        <v>0</v>
      </c>
      <c r="I89" s="215"/>
      <c r="J89" s="175">
        <f t="shared" ref="J89:J136" si="3">J88+1</f>
        <v>86</v>
      </c>
      <c r="K89" s="236">
        <f ca="1">TblImps[[#This Row],[Real time]]</f>
        <v>46323.541666666461</v>
      </c>
      <c r="L89" s="179"/>
      <c r="M89" s="179"/>
      <c r="N89" s="179"/>
      <c r="O89" s="179"/>
      <c r="P89" s="179"/>
      <c r="Q89" s="179"/>
      <c r="R89" s="179"/>
      <c r="S89" s="94">
        <f>SUMIF(TblRezone[[#This Row],[Plains Rezone]:[Water Rezone]],"&gt;0")</f>
        <v>0</v>
      </c>
      <c r="T89" s="61" t="str">
        <f>IF(SUM(TblRezone[[#This Row],[Plains Rezone]:[Water Rezone]])=0,"Ok","Nope")</f>
        <v>Ok</v>
      </c>
      <c r="U89" s="215"/>
      <c r="V89" s="94">
        <f ca="1">TblProd[[#This Row],[Platinum]]</f>
        <v>192930</v>
      </c>
      <c r="W89" s="215"/>
      <c r="X89" s="94">
        <f ca="1">ROUND( (1-MIN(ROUND(facs_rezone_factor*TblRezone[[#This Row],[Facs]],4),facs_rezone_max) + tech_6_4*TblTech[[#This Row],[6-4]] + tech_10_2*TblTech[[#This Row],[10-2]] - IF(TblMagic[[#This Row],[Active Mechanical Genius]]&gt;0,mech_genius_bonus,0) + race_rezone_cost) * TblRezone[[#This Row],[Plat/acre*]],0)</f>
        <v>130</v>
      </c>
      <c r="Y89" s="94">
        <f ca="1">TblRezone[[#This Row],[Total acres]]*TblRezone[[#This Row],[Plat/acre]]</f>
        <v>0</v>
      </c>
      <c r="Z89" s="215"/>
      <c r="AA89" s="94">
        <f ca="1">(250+0.6*(TblRezone[[#This Row],[Land]]-250))</f>
        <v>130</v>
      </c>
      <c r="AB89" s="215"/>
      <c r="AC89" s="157">
        <f ca="1">TblConstr[[#This Row],[Facs DB]]</f>
        <v>0</v>
      </c>
    </row>
    <row r="90" spans="1:29" x14ac:dyDescent="0.2">
      <c r="A90" s="214">
        <f ca="1">TblConstr[[#This Row],[Land]]</f>
        <v>50</v>
      </c>
      <c r="B90" s="216">
        <f ca="1">TblConstr[[#This Row],[Plain]]</f>
        <v>0</v>
      </c>
      <c r="C90" s="182">
        <f ca="1">TblConstr[[#This Row],[Forest]]</f>
        <v>0</v>
      </c>
      <c r="D90" s="359">
        <f ca="1">TblConstr[[#This Row],[Mountain]]</f>
        <v>0</v>
      </c>
      <c r="E90" s="363">
        <f ca="1">TblConstr[[#This Row],[Hill]]</f>
        <v>0</v>
      </c>
      <c r="F90" s="367">
        <f ca="1">TblConstr[[#This Row],[Swamp]]</f>
        <v>0</v>
      </c>
      <c r="G90" s="185">
        <f ca="1">TblConstr[[#This Row],[Cavern]]</f>
        <v>0</v>
      </c>
      <c r="H90" s="186">
        <f ca="1">TblConstr[[#This Row],[Water]]</f>
        <v>0</v>
      </c>
      <c r="I90" s="215"/>
      <c r="J90" s="175">
        <f t="shared" si="3"/>
        <v>87</v>
      </c>
      <c r="K90" s="236">
        <f ca="1">TblImps[[#This Row],[Real time]]</f>
        <v>46323.583333333125</v>
      </c>
      <c r="L90" s="179"/>
      <c r="M90" s="179"/>
      <c r="N90" s="179"/>
      <c r="O90" s="179"/>
      <c r="P90" s="179"/>
      <c r="Q90" s="179"/>
      <c r="R90" s="179"/>
      <c r="S90" s="94">
        <f>SUMIF(TblRezone[[#This Row],[Plains Rezone]:[Water Rezone]],"&gt;0")</f>
        <v>0</v>
      </c>
      <c r="T90" s="61" t="str">
        <f>IF(SUM(TblRezone[[#This Row],[Plains Rezone]:[Water Rezone]])=0,"Ok","Nope")</f>
        <v>Ok</v>
      </c>
      <c r="U90" s="215"/>
      <c r="V90" s="94">
        <f ca="1">TblProd[[#This Row],[Platinum]]</f>
        <v>193478</v>
      </c>
      <c r="W90" s="215"/>
      <c r="X90" s="94">
        <f ca="1">ROUND( (1-MIN(ROUND(facs_rezone_factor*TblRezone[[#This Row],[Facs]],4),facs_rezone_max) + tech_6_4*TblTech[[#This Row],[6-4]] + tech_10_2*TblTech[[#This Row],[10-2]] - IF(TblMagic[[#This Row],[Active Mechanical Genius]]&gt;0,mech_genius_bonus,0) + race_rezone_cost) * TblRezone[[#This Row],[Plat/acre*]],0)</f>
        <v>130</v>
      </c>
      <c r="Y90" s="94">
        <f ca="1">TblRezone[[#This Row],[Total acres]]*TblRezone[[#This Row],[Plat/acre]]</f>
        <v>0</v>
      </c>
      <c r="Z90" s="215"/>
      <c r="AA90" s="94">
        <f ca="1">(250+0.6*(TblRezone[[#This Row],[Land]]-250))</f>
        <v>130</v>
      </c>
      <c r="AB90" s="215"/>
      <c r="AC90" s="157">
        <f ca="1">TblConstr[[#This Row],[Facs DB]]</f>
        <v>0</v>
      </c>
    </row>
    <row r="91" spans="1:29" x14ac:dyDescent="0.2">
      <c r="A91" s="214">
        <f ca="1">TblConstr[[#This Row],[Land]]</f>
        <v>50</v>
      </c>
      <c r="B91" s="216">
        <f ca="1">TblConstr[[#This Row],[Plain]]</f>
        <v>0</v>
      </c>
      <c r="C91" s="182">
        <f ca="1">TblConstr[[#This Row],[Forest]]</f>
        <v>0</v>
      </c>
      <c r="D91" s="359">
        <f ca="1">TblConstr[[#This Row],[Mountain]]</f>
        <v>0</v>
      </c>
      <c r="E91" s="363">
        <f ca="1">TblConstr[[#This Row],[Hill]]</f>
        <v>0</v>
      </c>
      <c r="F91" s="367">
        <f ca="1">TblConstr[[#This Row],[Swamp]]</f>
        <v>0</v>
      </c>
      <c r="G91" s="185">
        <f ca="1">TblConstr[[#This Row],[Cavern]]</f>
        <v>0</v>
      </c>
      <c r="H91" s="186">
        <f ca="1">TblConstr[[#This Row],[Water]]</f>
        <v>0</v>
      </c>
      <c r="I91" s="215"/>
      <c r="J91" s="175">
        <f t="shared" si="3"/>
        <v>88</v>
      </c>
      <c r="K91" s="236">
        <f ca="1">TblImps[[#This Row],[Real time]]</f>
        <v>46323.624999999789</v>
      </c>
      <c r="L91" s="179"/>
      <c r="M91" s="179"/>
      <c r="N91" s="179"/>
      <c r="O91" s="179"/>
      <c r="P91" s="179"/>
      <c r="Q91" s="179"/>
      <c r="R91" s="179"/>
      <c r="S91" s="94">
        <f>SUMIF(TblRezone[[#This Row],[Plains Rezone]:[Water Rezone]],"&gt;0")</f>
        <v>0</v>
      </c>
      <c r="T91" s="61" t="str">
        <f>IF(SUM(TblRezone[[#This Row],[Plains Rezone]:[Water Rezone]])=0,"Ok","Nope")</f>
        <v>Ok</v>
      </c>
      <c r="U91" s="215"/>
      <c r="V91" s="94">
        <f ca="1">TblProd[[#This Row],[Platinum]]</f>
        <v>194020</v>
      </c>
      <c r="W91" s="215"/>
      <c r="X91" s="94">
        <f ca="1">ROUND( (1-MIN(ROUND(facs_rezone_factor*TblRezone[[#This Row],[Facs]],4),facs_rezone_max) + tech_6_4*TblTech[[#This Row],[6-4]] + tech_10_2*TblTech[[#This Row],[10-2]] - IF(TblMagic[[#This Row],[Active Mechanical Genius]]&gt;0,mech_genius_bonus,0) + race_rezone_cost) * TblRezone[[#This Row],[Plat/acre*]],0)</f>
        <v>130</v>
      </c>
      <c r="Y91" s="94">
        <f ca="1">TblRezone[[#This Row],[Total acres]]*TblRezone[[#This Row],[Plat/acre]]</f>
        <v>0</v>
      </c>
      <c r="Z91" s="215"/>
      <c r="AA91" s="94">
        <f ca="1">(250+0.6*(TblRezone[[#This Row],[Land]]-250))</f>
        <v>130</v>
      </c>
      <c r="AB91" s="215"/>
      <c r="AC91" s="157">
        <f ca="1">TblConstr[[#This Row],[Facs DB]]</f>
        <v>0</v>
      </c>
    </row>
    <row r="92" spans="1:29" x14ac:dyDescent="0.2">
      <c r="A92" s="214">
        <f ca="1">TblConstr[[#This Row],[Land]]</f>
        <v>50</v>
      </c>
      <c r="B92" s="216">
        <f ca="1">TblConstr[[#This Row],[Plain]]</f>
        <v>0</v>
      </c>
      <c r="C92" s="182">
        <f ca="1">TblConstr[[#This Row],[Forest]]</f>
        <v>0</v>
      </c>
      <c r="D92" s="359">
        <f ca="1">TblConstr[[#This Row],[Mountain]]</f>
        <v>0</v>
      </c>
      <c r="E92" s="363">
        <f ca="1">TblConstr[[#This Row],[Hill]]</f>
        <v>0</v>
      </c>
      <c r="F92" s="367">
        <f ca="1">TblConstr[[#This Row],[Swamp]]</f>
        <v>0</v>
      </c>
      <c r="G92" s="185">
        <f ca="1">TblConstr[[#This Row],[Cavern]]</f>
        <v>0</v>
      </c>
      <c r="H92" s="186">
        <f ca="1">TblConstr[[#This Row],[Water]]</f>
        <v>0</v>
      </c>
      <c r="I92" s="215"/>
      <c r="J92" s="175">
        <f t="shared" si="3"/>
        <v>89</v>
      </c>
      <c r="K92" s="236">
        <f ca="1">TblImps[[#This Row],[Real time]]</f>
        <v>46323.666666666453</v>
      </c>
      <c r="L92" s="179"/>
      <c r="M92" s="179"/>
      <c r="N92" s="179"/>
      <c r="O92" s="179"/>
      <c r="P92" s="179"/>
      <c r="Q92" s="179"/>
      <c r="R92" s="179"/>
      <c r="S92" s="94">
        <f>SUMIF(TblRezone[[#This Row],[Plains Rezone]:[Water Rezone]],"&gt;0")</f>
        <v>0</v>
      </c>
      <c r="T92" s="61" t="str">
        <f>IF(SUM(TblRezone[[#This Row],[Plains Rezone]:[Water Rezone]])=0,"Ok","Nope")</f>
        <v>Ok</v>
      </c>
      <c r="U92" s="215"/>
      <c r="V92" s="94">
        <f ca="1">TblProd[[#This Row],[Platinum]]</f>
        <v>194557</v>
      </c>
      <c r="W92" s="215"/>
      <c r="X92" s="94">
        <f ca="1">ROUND( (1-MIN(ROUND(facs_rezone_factor*TblRezone[[#This Row],[Facs]],4),facs_rezone_max) + tech_6_4*TblTech[[#This Row],[6-4]] + tech_10_2*TblTech[[#This Row],[10-2]] - IF(TblMagic[[#This Row],[Active Mechanical Genius]]&gt;0,mech_genius_bonus,0) + race_rezone_cost) * TblRezone[[#This Row],[Plat/acre*]],0)</f>
        <v>130</v>
      </c>
      <c r="Y92" s="94">
        <f ca="1">TblRezone[[#This Row],[Total acres]]*TblRezone[[#This Row],[Plat/acre]]</f>
        <v>0</v>
      </c>
      <c r="Z92" s="215"/>
      <c r="AA92" s="94">
        <f ca="1">(250+0.6*(TblRezone[[#This Row],[Land]]-250))</f>
        <v>130</v>
      </c>
      <c r="AB92" s="215"/>
      <c r="AC92" s="157">
        <f ca="1">TblConstr[[#This Row],[Facs DB]]</f>
        <v>0</v>
      </c>
    </row>
    <row r="93" spans="1:29" x14ac:dyDescent="0.2">
      <c r="A93" s="214">
        <f ca="1">TblConstr[[#This Row],[Land]]</f>
        <v>50</v>
      </c>
      <c r="B93" s="216">
        <f ca="1">TblConstr[[#This Row],[Plain]]</f>
        <v>0</v>
      </c>
      <c r="C93" s="182">
        <f ca="1">TblConstr[[#This Row],[Forest]]</f>
        <v>0</v>
      </c>
      <c r="D93" s="359">
        <f ca="1">TblConstr[[#This Row],[Mountain]]</f>
        <v>0</v>
      </c>
      <c r="E93" s="363">
        <f ca="1">TblConstr[[#This Row],[Hill]]</f>
        <v>0</v>
      </c>
      <c r="F93" s="367">
        <f ca="1">TblConstr[[#This Row],[Swamp]]</f>
        <v>0</v>
      </c>
      <c r="G93" s="185">
        <f ca="1">TblConstr[[#This Row],[Cavern]]</f>
        <v>0</v>
      </c>
      <c r="H93" s="186">
        <f ca="1">TblConstr[[#This Row],[Water]]</f>
        <v>0</v>
      </c>
      <c r="I93" s="215"/>
      <c r="J93" s="175">
        <f t="shared" si="3"/>
        <v>90</v>
      </c>
      <c r="K93" s="236">
        <f ca="1">TblImps[[#This Row],[Real time]]</f>
        <v>46323.708333333117</v>
      </c>
      <c r="L93" s="179"/>
      <c r="M93" s="179"/>
      <c r="N93" s="179"/>
      <c r="O93" s="179"/>
      <c r="P93" s="179"/>
      <c r="Q93" s="179"/>
      <c r="R93" s="179"/>
      <c r="S93" s="94">
        <f>SUMIF(TblRezone[[#This Row],[Plains Rezone]:[Water Rezone]],"&gt;0")</f>
        <v>0</v>
      </c>
      <c r="T93" s="61" t="str">
        <f>IF(SUM(TblRezone[[#This Row],[Plains Rezone]:[Water Rezone]])=0,"Ok","Nope")</f>
        <v>Ok</v>
      </c>
      <c r="U93" s="215"/>
      <c r="V93" s="94">
        <f ca="1">TblProd[[#This Row],[Platinum]]</f>
        <v>195088</v>
      </c>
      <c r="W93" s="215"/>
      <c r="X93" s="94">
        <f ca="1">ROUND( (1-MIN(ROUND(facs_rezone_factor*TblRezone[[#This Row],[Facs]],4),facs_rezone_max) + tech_6_4*TblTech[[#This Row],[6-4]] + tech_10_2*TblTech[[#This Row],[10-2]] - IF(TblMagic[[#This Row],[Active Mechanical Genius]]&gt;0,mech_genius_bonus,0) + race_rezone_cost) * TblRezone[[#This Row],[Plat/acre*]],0)</f>
        <v>130</v>
      </c>
      <c r="Y93" s="94">
        <f ca="1">TblRezone[[#This Row],[Total acres]]*TblRezone[[#This Row],[Plat/acre]]</f>
        <v>0</v>
      </c>
      <c r="Z93" s="215"/>
      <c r="AA93" s="94">
        <f ca="1">(250+0.6*(TblRezone[[#This Row],[Land]]-250))</f>
        <v>130</v>
      </c>
      <c r="AB93" s="215"/>
      <c r="AC93" s="157">
        <f ca="1">TblConstr[[#This Row],[Facs DB]]</f>
        <v>0</v>
      </c>
    </row>
    <row r="94" spans="1:29" x14ac:dyDescent="0.2">
      <c r="A94" s="214">
        <f ca="1">TblConstr[[#This Row],[Land]]</f>
        <v>50</v>
      </c>
      <c r="B94" s="216">
        <f ca="1">TblConstr[[#This Row],[Plain]]</f>
        <v>0</v>
      </c>
      <c r="C94" s="182">
        <f ca="1">TblConstr[[#This Row],[Forest]]</f>
        <v>0</v>
      </c>
      <c r="D94" s="359">
        <f ca="1">TblConstr[[#This Row],[Mountain]]</f>
        <v>0</v>
      </c>
      <c r="E94" s="363">
        <f ca="1">TblConstr[[#This Row],[Hill]]</f>
        <v>0</v>
      </c>
      <c r="F94" s="367">
        <f ca="1">TblConstr[[#This Row],[Swamp]]</f>
        <v>0</v>
      </c>
      <c r="G94" s="185">
        <f ca="1">TblConstr[[#This Row],[Cavern]]</f>
        <v>0</v>
      </c>
      <c r="H94" s="186">
        <f ca="1">TblConstr[[#This Row],[Water]]</f>
        <v>0</v>
      </c>
      <c r="I94" s="215"/>
      <c r="J94" s="175">
        <f t="shared" si="3"/>
        <v>91</v>
      </c>
      <c r="K94" s="236">
        <f ca="1">TblImps[[#This Row],[Real time]]</f>
        <v>46323.749999999782</v>
      </c>
      <c r="L94" s="179"/>
      <c r="M94" s="179"/>
      <c r="N94" s="179"/>
      <c r="O94" s="179"/>
      <c r="P94" s="179"/>
      <c r="Q94" s="179"/>
      <c r="R94" s="179"/>
      <c r="S94" s="94">
        <f>SUMIF(TblRezone[[#This Row],[Plains Rezone]:[Water Rezone]],"&gt;0")</f>
        <v>0</v>
      </c>
      <c r="T94" s="61" t="str">
        <f>IF(SUM(TblRezone[[#This Row],[Plains Rezone]:[Water Rezone]])=0,"Ok","Nope")</f>
        <v>Ok</v>
      </c>
      <c r="U94" s="215"/>
      <c r="V94" s="94">
        <f ca="1">TblProd[[#This Row],[Platinum]]</f>
        <v>195614</v>
      </c>
      <c r="W94" s="215"/>
      <c r="X94" s="94">
        <f ca="1">ROUND( (1-MIN(ROUND(facs_rezone_factor*TblRezone[[#This Row],[Facs]],4),facs_rezone_max) + tech_6_4*TblTech[[#This Row],[6-4]] + tech_10_2*TblTech[[#This Row],[10-2]] - IF(TblMagic[[#This Row],[Active Mechanical Genius]]&gt;0,mech_genius_bonus,0) + race_rezone_cost) * TblRezone[[#This Row],[Plat/acre*]],0)</f>
        <v>130</v>
      </c>
      <c r="Y94" s="94">
        <f ca="1">TblRezone[[#This Row],[Total acres]]*TblRezone[[#This Row],[Plat/acre]]</f>
        <v>0</v>
      </c>
      <c r="Z94" s="215"/>
      <c r="AA94" s="94">
        <f ca="1">(250+0.6*(TblRezone[[#This Row],[Land]]-250))</f>
        <v>130</v>
      </c>
      <c r="AB94" s="215"/>
      <c r="AC94" s="157">
        <f ca="1">TblConstr[[#This Row],[Facs DB]]</f>
        <v>0</v>
      </c>
    </row>
    <row r="95" spans="1:29" x14ac:dyDescent="0.2">
      <c r="A95" s="214">
        <f ca="1">TblConstr[[#This Row],[Land]]</f>
        <v>50</v>
      </c>
      <c r="B95" s="216">
        <f ca="1">TblConstr[[#This Row],[Plain]]</f>
        <v>0</v>
      </c>
      <c r="C95" s="182">
        <f ca="1">TblConstr[[#This Row],[Forest]]</f>
        <v>0</v>
      </c>
      <c r="D95" s="359">
        <f ca="1">TblConstr[[#This Row],[Mountain]]</f>
        <v>0</v>
      </c>
      <c r="E95" s="363">
        <f ca="1">TblConstr[[#This Row],[Hill]]</f>
        <v>0</v>
      </c>
      <c r="F95" s="367">
        <f ca="1">TblConstr[[#This Row],[Swamp]]</f>
        <v>0</v>
      </c>
      <c r="G95" s="185">
        <f ca="1">TblConstr[[#This Row],[Cavern]]</f>
        <v>0</v>
      </c>
      <c r="H95" s="186">
        <f ca="1">TblConstr[[#This Row],[Water]]</f>
        <v>0</v>
      </c>
      <c r="I95" s="215"/>
      <c r="J95" s="175">
        <f t="shared" si="3"/>
        <v>92</v>
      </c>
      <c r="K95" s="236">
        <f ca="1">TblImps[[#This Row],[Real time]]</f>
        <v>46323.791666666446</v>
      </c>
      <c r="L95" s="179"/>
      <c r="M95" s="179"/>
      <c r="N95" s="179"/>
      <c r="O95" s="179"/>
      <c r="P95" s="179"/>
      <c r="Q95" s="179"/>
      <c r="R95" s="179"/>
      <c r="S95" s="94">
        <f>SUMIF(TblRezone[[#This Row],[Plains Rezone]:[Water Rezone]],"&gt;0")</f>
        <v>0</v>
      </c>
      <c r="T95" s="61" t="str">
        <f>IF(SUM(TblRezone[[#This Row],[Plains Rezone]:[Water Rezone]])=0,"Ok","Nope")</f>
        <v>Ok</v>
      </c>
      <c r="U95" s="215"/>
      <c r="V95" s="94">
        <f ca="1">TblProd[[#This Row],[Platinum]]</f>
        <v>196135</v>
      </c>
      <c r="W95" s="215"/>
      <c r="X95" s="94">
        <f ca="1">ROUND( (1-MIN(ROUND(facs_rezone_factor*TblRezone[[#This Row],[Facs]],4),facs_rezone_max) + tech_6_4*TblTech[[#This Row],[6-4]] + tech_10_2*TblTech[[#This Row],[10-2]] - IF(TblMagic[[#This Row],[Active Mechanical Genius]]&gt;0,mech_genius_bonus,0) + race_rezone_cost) * TblRezone[[#This Row],[Plat/acre*]],0)</f>
        <v>130</v>
      </c>
      <c r="Y95" s="94">
        <f ca="1">TblRezone[[#This Row],[Total acres]]*TblRezone[[#This Row],[Plat/acre]]</f>
        <v>0</v>
      </c>
      <c r="Z95" s="215"/>
      <c r="AA95" s="94">
        <f ca="1">(250+0.6*(TblRezone[[#This Row],[Land]]-250))</f>
        <v>130</v>
      </c>
      <c r="AB95" s="215"/>
      <c r="AC95" s="157">
        <f ca="1">TblConstr[[#This Row],[Facs DB]]</f>
        <v>0</v>
      </c>
    </row>
    <row r="96" spans="1:29" x14ac:dyDescent="0.2">
      <c r="A96" s="214">
        <f ca="1">TblConstr[[#This Row],[Land]]</f>
        <v>50</v>
      </c>
      <c r="B96" s="216">
        <f ca="1">TblConstr[[#This Row],[Plain]]</f>
        <v>0</v>
      </c>
      <c r="C96" s="182">
        <f ca="1">TblConstr[[#This Row],[Forest]]</f>
        <v>0</v>
      </c>
      <c r="D96" s="359">
        <f ca="1">TblConstr[[#This Row],[Mountain]]</f>
        <v>0</v>
      </c>
      <c r="E96" s="363">
        <f ca="1">TblConstr[[#This Row],[Hill]]</f>
        <v>0</v>
      </c>
      <c r="F96" s="367">
        <f ca="1">TblConstr[[#This Row],[Swamp]]</f>
        <v>0</v>
      </c>
      <c r="G96" s="185">
        <f ca="1">TblConstr[[#This Row],[Cavern]]</f>
        <v>0</v>
      </c>
      <c r="H96" s="186">
        <f ca="1">TblConstr[[#This Row],[Water]]</f>
        <v>0</v>
      </c>
      <c r="I96" s="215"/>
      <c r="J96" s="175">
        <f t="shared" si="3"/>
        <v>93</v>
      </c>
      <c r="K96" s="236">
        <f ca="1">TblImps[[#This Row],[Real time]]</f>
        <v>46323.83333333311</v>
      </c>
      <c r="L96" s="179"/>
      <c r="M96" s="179"/>
      <c r="N96" s="179"/>
      <c r="O96" s="179"/>
      <c r="P96" s="179"/>
      <c r="Q96" s="179"/>
      <c r="R96" s="179"/>
      <c r="S96" s="94">
        <f>SUMIF(TblRezone[[#This Row],[Plains Rezone]:[Water Rezone]],"&gt;0")</f>
        <v>0</v>
      </c>
      <c r="T96" s="61" t="str">
        <f>IF(SUM(TblRezone[[#This Row],[Plains Rezone]:[Water Rezone]])=0,"Ok","Nope")</f>
        <v>Ok</v>
      </c>
      <c r="U96" s="215"/>
      <c r="V96" s="94">
        <f ca="1">TblProd[[#This Row],[Platinum]]</f>
        <v>196650</v>
      </c>
      <c r="W96" s="215"/>
      <c r="X96" s="94">
        <f ca="1">ROUND( (1-MIN(ROUND(facs_rezone_factor*TblRezone[[#This Row],[Facs]],4),facs_rezone_max) + tech_6_4*TblTech[[#This Row],[6-4]] + tech_10_2*TblTech[[#This Row],[10-2]] - IF(TblMagic[[#This Row],[Active Mechanical Genius]]&gt;0,mech_genius_bonus,0) + race_rezone_cost) * TblRezone[[#This Row],[Plat/acre*]],0)</f>
        <v>130</v>
      </c>
      <c r="Y96" s="94">
        <f ca="1">TblRezone[[#This Row],[Total acres]]*TblRezone[[#This Row],[Plat/acre]]</f>
        <v>0</v>
      </c>
      <c r="Z96" s="215"/>
      <c r="AA96" s="94">
        <f ca="1">(250+0.6*(TblRezone[[#This Row],[Land]]-250))</f>
        <v>130</v>
      </c>
      <c r="AB96" s="215"/>
      <c r="AC96" s="157">
        <f ca="1">TblConstr[[#This Row],[Facs DB]]</f>
        <v>0</v>
      </c>
    </row>
    <row r="97" spans="1:29" x14ac:dyDescent="0.2">
      <c r="A97" s="214">
        <f ca="1">TblConstr[[#This Row],[Land]]</f>
        <v>50</v>
      </c>
      <c r="B97" s="216">
        <f ca="1">TblConstr[[#This Row],[Plain]]</f>
        <v>0</v>
      </c>
      <c r="C97" s="182">
        <f ca="1">TblConstr[[#This Row],[Forest]]</f>
        <v>0</v>
      </c>
      <c r="D97" s="359">
        <f ca="1">TblConstr[[#This Row],[Mountain]]</f>
        <v>0</v>
      </c>
      <c r="E97" s="363">
        <f ca="1">TblConstr[[#This Row],[Hill]]</f>
        <v>0</v>
      </c>
      <c r="F97" s="367">
        <f ca="1">TblConstr[[#This Row],[Swamp]]</f>
        <v>0</v>
      </c>
      <c r="G97" s="185">
        <f ca="1">TblConstr[[#This Row],[Cavern]]</f>
        <v>0</v>
      </c>
      <c r="H97" s="186">
        <f ca="1">TblConstr[[#This Row],[Water]]</f>
        <v>0</v>
      </c>
      <c r="I97" s="215"/>
      <c r="J97" s="175">
        <f t="shared" si="3"/>
        <v>94</v>
      </c>
      <c r="K97" s="236">
        <f ca="1">TblImps[[#This Row],[Real time]]</f>
        <v>46323.874999999774</v>
      </c>
      <c r="L97" s="179"/>
      <c r="M97" s="179"/>
      <c r="N97" s="179"/>
      <c r="O97" s="179"/>
      <c r="P97" s="179"/>
      <c r="Q97" s="179"/>
      <c r="R97" s="179"/>
      <c r="S97" s="94">
        <f>SUMIF(TblRezone[[#This Row],[Plains Rezone]:[Water Rezone]],"&gt;0")</f>
        <v>0</v>
      </c>
      <c r="T97" s="61" t="str">
        <f>IF(SUM(TblRezone[[#This Row],[Plains Rezone]:[Water Rezone]])=0,"Ok","Nope")</f>
        <v>Ok</v>
      </c>
      <c r="U97" s="215"/>
      <c r="V97" s="94">
        <f ca="1">TblProd[[#This Row],[Platinum]]</f>
        <v>197160</v>
      </c>
      <c r="W97" s="215"/>
      <c r="X97" s="94">
        <f ca="1">ROUND( (1-MIN(ROUND(facs_rezone_factor*TblRezone[[#This Row],[Facs]],4),facs_rezone_max) + tech_6_4*TblTech[[#This Row],[6-4]] + tech_10_2*TblTech[[#This Row],[10-2]] - IF(TblMagic[[#This Row],[Active Mechanical Genius]]&gt;0,mech_genius_bonus,0) + race_rezone_cost) * TblRezone[[#This Row],[Plat/acre*]],0)</f>
        <v>130</v>
      </c>
      <c r="Y97" s="94">
        <f ca="1">TblRezone[[#This Row],[Total acres]]*TblRezone[[#This Row],[Plat/acre]]</f>
        <v>0</v>
      </c>
      <c r="Z97" s="215"/>
      <c r="AA97" s="94">
        <f ca="1">(250+0.6*(TblRezone[[#This Row],[Land]]-250))</f>
        <v>130</v>
      </c>
      <c r="AB97" s="215"/>
      <c r="AC97" s="157">
        <f ca="1">TblConstr[[#This Row],[Facs DB]]</f>
        <v>0</v>
      </c>
    </row>
    <row r="98" spans="1:29" x14ac:dyDescent="0.2">
      <c r="A98" s="214">
        <f ca="1">TblConstr[[#This Row],[Land]]</f>
        <v>50</v>
      </c>
      <c r="B98" s="216">
        <f ca="1">TblConstr[[#This Row],[Plain]]</f>
        <v>0</v>
      </c>
      <c r="C98" s="182">
        <f ca="1">TblConstr[[#This Row],[Forest]]</f>
        <v>0</v>
      </c>
      <c r="D98" s="359">
        <f ca="1">TblConstr[[#This Row],[Mountain]]</f>
        <v>0</v>
      </c>
      <c r="E98" s="363">
        <f ca="1">TblConstr[[#This Row],[Hill]]</f>
        <v>0</v>
      </c>
      <c r="F98" s="367">
        <f ca="1">TblConstr[[#This Row],[Swamp]]</f>
        <v>0</v>
      </c>
      <c r="G98" s="185">
        <f ca="1">TblConstr[[#This Row],[Cavern]]</f>
        <v>0</v>
      </c>
      <c r="H98" s="186">
        <f ca="1">TblConstr[[#This Row],[Water]]</f>
        <v>0</v>
      </c>
      <c r="I98" s="215"/>
      <c r="J98" s="175">
        <f t="shared" si="3"/>
        <v>95</v>
      </c>
      <c r="K98" s="236">
        <f ca="1">TblImps[[#This Row],[Real time]]</f>
        <v>46323.916666666439</v>
      </c>
      <c r="L98" s="179"/>
      <c r="M98" s="179"/>
      <c r="N98" s="179"/>
      <c r="O98" s="179"/>
      <c r="P98" s="179"/>
      <c r="Q98" s="179"/>
      <c r="R98" s="179"/>
      <c r="S98" s="94">
        <f>SUMIF(TblRezone[[#This Row],[Plains Rezone]:[Water Rezone]],"&gt;0")</f>
        <v>0</v>
      </c>
      <c r="T98" s="61" t="str">
        <f>IF(SUM(TblRezone[[#This Row],[Plains Rezone]:[Water Rezone]])=0,"Ok","Nope")</f>
        <v>Ok</v>
      </c>
      <c r="U98" s="215"/>
      <c r="V98" s="94">
        <f ca="1">TblProd[[#This Row],[Platinum]]</f>
        <v>197664</v>
      </c>
      <c r="W98" s="215"/>
      <c r="X98" s="94">
        <f ca="1">ROUND( (1-MIN(ROUND(facs_rezone_factor*TblRezone[[#This Row],[Facs]],4),facs_rezone_max) + tech_6_4*TblTech[[#This Row],[6-4]] + tech_10_2*TblTech[[#This Row],[10-2]] - IF(TblMagic[[#This Row],[Active Mechanical Genius]]&gt;0,mech_genius_bonus,0) + race_rezone_cost) * TblRezone[[#This Row],[Plat/acre*]],0)</f>
        <v>130</v>
      </c>
      <c r="Y98" s="94">
        <f ca="1">TblRezone[[#This Row],[Total acres]]*TblRezone[[#This Row],[Plat/acre]]</f>
        <v>0</v>
      </c>
      <c r="Z98" s="215"/>
      <c r="AA98" s="94">
        <f ca="1">(250+0.6*(TblRezone[[#This Row],[Land]]-250))</f>
        <v>130</v>
      </c>
      <c r="AB98" s="215"/>
      <c r="AC98" s="157">
        <f ca="1">TblConstr[[#This Row],[Facs DB]]</f>
        <v>0</v>
      </c>
    </row>
    <row r="99" spans="1:29" x14ac:dyDescent="0.2">
      <c r="A99" s="214">
        <f ca="1">TblConstr[[#This Row],[Land]]</f>
        <v>50</v>
      </c>
      <c r="B99" s="216">
        <f ca="1">TblConstr[[#This Row],[Plain]]</f>
        <v>0</v>
      </c>
      <c r="C99" s="182">
        <f ca="1">TblConstr[[#This Row],[Forest]]</f>
        <v>0</v>
      </c>
      <c r="D99" s="359">
        <f ca="1">TblConstr[[#This Row],[Mountain]]</f>
        <v>0</v>
      </c>
      <c r="E99" s="363">
        <f ca="1">TblConstr[[#This Row],[Hill]]</f>
        <v>0</v>
      </c>
      <c r="F99" s="367">
        <f ca="1">TblConstr[[#This Row],[Swamp]]</f>
        <v>0</v>
      </c>
      <c r="G99" s="185">
        <f ca="1">TblConstr[[#This Row],[Cavern]]</f>
        <v>0</v>
      </c>
      <c r="H99" s="186">
        <f ca="1">TblConstr[[#This Row],[Water]]</f>
        <v>0</v>
      </c>
      <c r="I99" s="215"/>
      <c r="J99" s="175">
        <f t="shared" si="3"/>
        <v>96</v>
      </c>
      <c r="K99" s="236">
        <f ca="1">TblImps[[#This Row],[Real time]]</f>
        <v>46323.958333333103</v>
      </c>
      <c r="L99" s="179"/>
      <c r="M99" s="179"/>
      <c r="N99" s="179"/>
      <c r="O99" s="179"/>
      <c r="P99" s="179"/>
      <c r="Q99" s="179"/>
      <c r="R99" s="179"/>
      <c r="S99" s="94">
        <f>SUMIF(TblRezone[[#This Row],[Plains Rezone]:[Water Rezone]],"&gt;0")</f>
        <v>0</v>
      </c>
      <c r="T99" s="61" t="str">
        <f>IF(SUM(TblRezone[[#This Row],[Plains Rezone]:[Water Rezone]])=0,"Ok","Nope")</f>
        <v>Ok</v>
      </c>
      <c r="U99" s="215"/>
      <c r="V99" s="94">
        <f ca="1">TblProd[[#This Row],[Platinum]]</f>
        <v>198163</v>
      </c>
      <c r="W99" s="215"/>
      <c r="X99" s="94">
        <f ca="1">ROUND( (1-MIN(ROUND(facs_rezone_factor*TblRezone[[#This Row],[Facs]],4),facs_rezone_max) + tech_6_4*TblTech[[#This Row],[6-4]] + tech_10_2*TblTech[[#This Row],[10-2]] - IF(TblMagic[[#This Row],[Active Mechanical Genius]]&gt;0,mech_genius_bonus,0) + race_rezone_cost) * TblRezone[[#This Row],[Plat/acre*]],0)</f>
        <v>130</v>
      </c>
      <c r="Y99" s="94">
        <f ca="1">TblRezone[[#This Row],[Total acres]]*TblRezone[[#This Row],[Plat/acre]]</f>
        <v>0</v>
      </c>
      <c r="Z99" s="215"/>
      <c r="AA99" s="94">
        <f ca="1">(250+0.6*(TblRezone[[#This Row],[Land]]-250))</f>
        <v>130</v>
      </c>
      <c r="AB99" s="215"/>
      <c r="AC99" s="157">
        <f ca="1">TblConstr[[#This Row],[Facs DB]]</f>
        <v>0</v>
      </c>
    </row>
    <row r="100" spans="1:29" x14ac:dyDescent="0.2">
      <c r="A100" s="214">
        <f ca="1">TblConstr[[#This Row],[Land]]</f>
        <v>50</v>
      </c>
      <c r="B100" s="216">
        <f ca="1">TblConstr[[#This Row],[Plain]]</f>
        <v>0</v>
      </c>
      <c r="C100" s="182">
        <f ca="1">TblConstr[[#This Row],[Forest]]</f>
        <v>0</v>
      </c>
      <c r="D100" s="359">
        <f ca="1">TblConstr[[#This Row],[Mountain]]</f>
        <v>0</v>
      </c>
      <c r="E100" s="363">
        <f ca="1">TblConstr[[#This Row],[Hill]]</f>
        <v>0</v>
      </c>
      <c r="F100" s="367">
        <f ca="1">TblConstr[[#This Row],[Swamp]]</f>
        <v>0</v>
      </c>
      <c r="G100" s="185">
        <f ca="1">TblConstr[[#This Row],[Cavern]]</f>
        <v>0</v>
      </c>
      <c r="H100" s="186">
        <f ca="1">TblConstr[[#This Row],[Water]]</f>
        <v>0</v>
      </c>
      <c r="I100" s="215"/>
      <c r="J100" s="175">
        <f t="shared" si="3"/>
        <v>97</v>
      </c>
      <c r="K100" s="236">
        <f ca="1">TblImps[[#This Row],[Real time]]</f>
        <v>46323.999999999767</v>
      </c>
      <c r="L100" s="179"/>
      <c r="M100" s="179"/>
      <c r="N100" s="179"/>
      <c r="O100" s="179"/>
      <c r="P100" s="179"/>
      <c r="Q100" s="179"/>
      <c r="R100" s="179"/>
      <c r="S100" s="94">
        <f>SUMIF(TblRezone[[#This Row],[Plains Rezone]:[Water Rezone]],"&gt;0")</f>
        <v>0</v>
      </c>
      <c r="T100" s="61" t="str">
        <f>IF(SUM(TblRezone[[#This Row],[Plains Rezone]:[Water Rezone]])=0,"Ok","Nope")</f>
        <v>Ok</v>
      </c>
      <c r="U100" s="215"/>
      <c r="V100" s="94">
        <f ca="1">TblProd[[#This Row],[Platinum]]</f>
        <v>198657</v>
      </c>
      <c r="W100" s="215"/>
      <c r="X100" s="94">
        <f ca="1">ROUND( (1-MIN(ROUND(facs_rezone_factor*TblRezone[[#This Row],[Facs]],4),facs_rezone_max) + tech_6_4*TblTech[[#This Row],[6-4]] + tech_10_2*TblTech[[#This Row],[10-2]] - IF(TblMagic[[#This Row],[Active Mechanical Genius]]&gt;0,mech_genius_bonus,0) + race_rezone_cost) * TblRezone[[#This Row],[Plat/acre*]],0)</f>
        <v>130</v>
      </c>
      <c r="Y100" s="94">
        <f ca="1">TblRezone[[#This Row],[Total acres]]*TblRezone[[#This Row],[Plat/acre]]</f>
        <v>0</v>
      </c>
      <c r="Z100" s="215"/>
      <c r="AA100" s="94">
        <f ca="1">(250+0.6*(TblRezone[[#This Row],[Land]]-250))</f>
        <v>130</v>
      </c>
      <c r="AB100" s="215"/>
      <c r="AC100" s="157">
        <f ca="1">TblConstr[[#This Row],[Facs DB]]</f>
        <v>0</v>
      </c>
    </row>
    <row r="101" spans="1:29" x14ac:dyDescent="0.2">
      <c r="A101" s="214">
        <f ca="1">TblConstr[[#This Row],[Land]]</f>
        <v>50</v>
      </c>
      <c r="B101" s="216">
        <f ca="1">TblConstr[[#This Row],[Plain]]</f>
        <v>0</v>
      </c>
      <c r="C101" s="182">
        <f ca="1">TblConstr[[#This Row],[Forest]]</f>
        <v>0</v>
      </c>
      <c r="D101" s="359">
        <f ca="1">TblConstr[[#This Row],[Mountain]]</f>
        <v>0</v>
      </c>
      <c r="E101" s="363">
        <f ca="1">TblConstr[[#This Row],[Hill]]</f>
        <v>0</v>
      </c>
      <c r="F101" s="367">
        <f ca="1">TblConstr[[#This Row],[Swamp]]</f>
        <v>0</v>
      </c>
      <c r="G101" s="185">
        <f ca="1">TblConstr[[#This Row],[Cavern]]</f>
        <v>0</v>
      </c>
      <c r="H101" s="186">
        <f ca="1">TblConstr[[#This Row],[Water]]</f>
        <v>0</v>
      </c>
      <c r="I101" s="215"/>
      <c r="J101" s="175">
        <f t="shared" si="3"/>
        <v>98</v>
      </c>
      <c r="K101" s="236">
        <f ca="1">TblImps[[#This Row],[Real time]]</f>
        <v>46324.041666666431</v>
      </c>
      <c r="L101" s="179"/>
      <c r="M101" s="179"/>
      <c r="N101" s="179"/>
      <c r="O101" s="179"/>
      <c r="P101" s="179"/>
      <c r="Q101" s="179"/>
      <c r="R101" s="179"/>
      <c r="S101" s="94">
        <f>SUMIF(TblRezone[[#This Row],[Plains Rezone]:[Water Rezone]],"&gt;0")</f>
        <v>0</v>
      </c>
      <c r="T101" s="61" t="str">
        <f>IF(SUM(TblRezone[[#This Row],[Plains Rezone]:[Water Rezone]])=0,"Ok","Nope")</f>
        <v>Ok</v>
      </c>
      <c r="U101" s="215"/>
      <c r="V101" s="94">
        <f ca="1">TblProd[[#This Row],[Platinum]]</f>
        <v>199145</v>
      </c>
      <c r="W101" s="215"/>
      <c r="X101" s="94">
        <f ca="1">ROUND( (1-MIN(ROUND(facs_rezone_factor*TblRezone[[#This Row],[Facs]],4),facs_rezone_max) + tech_6_4*TblTech[[#This Row],[6-4]] + tech_10_2*TblTech[[#This Row],[10-2]] - IF(TblMagic[[#This Row],[Active Mechanical Genius]]&gt;0,mech_genius_bonus,0) + race_rezone_cost) * TblRezone[[#This Row],[Plat/acre*]],0)</f>
        <v>130</v>
      </c>
      <c r="Y101" s="94">
        <f ca="1">TblRezone[[#This Row],[Total acres]]*TblRezone[[#This Row],[Plat/acre]]</f>
        <v>0</v>
      </c>
      <c r="Z101" s="215"/>
      <c r="AA101" s="94">
        <f ca="1">(250+0.6*(TblRezone[[#This Row],[Land]]-250))</f>
        <v>130</v>
      </c>
      <c r="AB101" s="215"/>
      <c r="AC101" s="157">
        <f ca="1">TblConstr[[#This Row],[Facs DB]]</f>
        <v>0</v>
      </c>
    </row>
    <row r="102" spans="1:29" x14ac:dyDescent="0.2">
      <c r="A102" s="214">
        <f ca="1">TblConstr[[#This Row],[Land]]</f>
        <v>50</v>
      </c>
      <c r="B102" s="216">
        <f ca="1">TblConstr[[#This Row],[Plain]]</f>
        <v>0</v>
      </c>
      <c r="C102" s="182">
        <f ca="1">TblConstr[[#This Row],[Forest]]</f>
        <v>0</v>
      </c>
      <c r="D102" s="359">
        <f ca="1">TblConstr[[#This Row],[Mountain]]</f>
        <v>0</v>
      </c>
      <c r="E102" s="363">
        <f ca="1">TblConstr[[#This Row],[Hill]]</f>
        <v>0</v>
      </c>
      <c r="F102" s="367">
        <f ca="1">TblConstr[[#This Row],[Swamp]]</f>
        <v>0</v>
      </c>
      <c r="G102" s="185">
        <f ca="1">TblConstr[[#This Row],[Cavern]]</f>
        <v>0</v>
      </c>
      <c r="H102" s="186">
        <f ca="1">TblConstr[[#This Row],[Water]]</f>
        <v>0</v>
      </c>
      <c r="I102" s="215"/>
      <c r="J102" s="175">
        <f t="shared" si="3"/>
        <v>99</v>
      </c>
      <c r="K102" s="236">
        <f ca="1">TblImps[[#This Row],[Real time]]</f>
        <v>46324.083333333096</v>
      </c>
      <c r="L102" s="179"/>
      <c r="M102" s="179"/>
      <c r="N102" s="179"/>
      <c r="O102" s="179"/>
      <c r="P102" s="179"/>
      <c r="Q102" s="179"/>
      <c r="R102" s="179"/>
      <c r="S102" s="94">
        <f>SUMIF(TblRezone[[#This Row],[Plains Rezone]:[Water Rezone]],"&gt;0")</f>
        <v>0</v>
      </c>
      <c r="T102" s="61" t="str">
        <f>IF(SUM(TblRezone[[#This Row],[Plains Rezone]:[Water Rezone]])=0,"Ok","Nope")</f>
        <v>Ok</v>
      </c>
      <c r="U102" s="215"/>
      <c r="V102" s="94">
        <f ca="1">TblProd[[#This Row],[Platinum]]</f>
        <v>199628</v>
      </c>
      <c r="W102" s="215"/>
      <c r="X102" s="94">
        <f ca="1">ROUND( (1-MIN(ROUND(facs_rezone_factor*TblRezone[[#This Row],[Facs]],4),facs_rezone_max) + tech_6_4*TblTech[[#This Row],[6-4]] + tech_10_2*TblTech[[#This Row],[10-2]] - IF(TblMagic[[#This Row],[Active Mechanical Genius]]&gt;0,mech_genius_bonus,0) + race_rezone_cost) * TblRezone[[#This Row],[Plat/acre*]],0)</f>
        <v>130</v>
      </c>
      <c r="Y102" s="94">
        <f ca="1">TblRezone[[#This Row],[Total acres]]*TblRezone[[#This Row],[Plat/acre]]</f>
        <v>0</v>
      </c>
      <c r="Z102" s="215"/>
      <c r="AA102" s="94">
        <f ca="1">(250+0.6*(TblRezone[[#This Row],[Land]]-250))</f>
        <v>130</v>
      </c>
      <c r="AB102" s="215"/>
      <c r="AC102" s="157">
        <f ca="1">TblConstr[[#This Row],[Facs DB]]</f>
        <v>0</v>
      </c>
    </row>
    <row r="103" spans="1:29" x14ac:dyDescent="0.2">
      <c r="A103" s="214">
        <f ca="1">TblConstr[[#This Row],[Land]]</f>
        <v>50</v>
      </c>
      <c r="B103" s="216">
        <f ca="1">TblConstr[[#This Row],[Plain]]</f>
        <v>0</v>
      </c>
      <c r="C103" s="182">
        <f ca="1">TblConstr[[#This Row],[Forest]]</f>
        <v>0</v>
      </c>
      <c r="D103" s="359">
        <f ca="1">TblConstr[[#This Row],[Mountain]]</f>
        <v>0</v>
      </c>
      <c r="E103" s="363">
        <f ca="1">TblConstr[[#This Row],[Hill]]</f>
        <v>0</v>
      </c>
      <c r="F103" s="367">
        <f ca="1">TblConstr[[#This Row],[Swamp]]</f>
        <v>0</v>
      </c>
      <c r="G103" s="185">
        <f ca="1">TblConstr[[#This Row],[Cavern]]</f>
        <v>0</v>
      </c>
      <c r="H103" s="186">
        <f ca="1">TblConstr[[#This Row],[Water]]</f>
        <v>0</v>
      </c>
      <c r="I103" s="215"/>
      <c r="J103" s="175">
        <f t="shared" si="3"/>
        <v>100</v>
      </c>
      <c r="K103" s="236">
        <f ca="1">TblImps[[#This Row],[Real time]]</f>
        <v>46324.12499999976</v>
      </c>
      <c r="L103" s="179"/>
      <c r="M103" s="179"/>
      <c r="N103" s="179"/>
      <c r="O103" s="179"/>
      <c r="P103" s="179"/>
      <c r="Q103" s="179"/>
      <c r="R103" s="179"/>
      <c r="S103" s="94">
        <f>SUMIF(TblRezone[[#This Row],[Plains Rezone]:[Water Rezone]],"&gt;0")</f>
        <v>0</v>
      </c>
      <c r="T103" s="61" t="str">
        <f>IF(SUM(TblRezone[[#This Row],[Plains Rezone]:[Water Rezone]])=0,"Ok","Nope")</f>
        <v>Ok</v>
      </c>
      <c r="U103" s="215"/>
      <c r="V103" s="94">
        <f ca="1">TblProd[[#This Row],[Platinum]]</f>
        <v>200105</v>
      </c>
      <c r="W103" s="215"/>
      <c r="X103" s="94">
        <f ca="1">ROUND( (1-MIN(ROUND(facs_rezone_factor*TblRezone[[#This Row],[Facs]],4),facs_rezone_max) + tech_6_4*TblTech[[#This Row],[6-4]] + tech_10_2*TblTech[[#This Row],[10-2]] - IF(TblMagic[[#This Row],[Active Mechanical Genius]]&gt;0,mech_genius_bonus,0) + race_rezone_cost) * TblRezone[[#This Row],[Plat/acre*]],0)</f>
        <v>130</v>
      </c>
      <c r="Y103" s="94">
        <f ca="1">TblRezone[[#This Row],[Total acres]]*TblRezone[[#This Row],[Plat/acre]]</f>
        <v>0</v>
      </c>
      <c r="Z103" s="215"/>
      <c r="AA103" s="94">
        <f ca="1">(250+0.6*(TblRezone[[#This Row],[Land]]-250))</f>
        <v>130</v>
      </c>
      <c r="AB103" s="215"/>
      <c r="AC103" s="157">
        <f ca="1">TblConstr[[#This Row],[Facs DB]]</f>
        <v>0</v>
      </c>
    </row>
    <row r="104" spans="1:29" x14ac:dyDescent="0.2">
      <c r="A104" s="214">
        <f ca="1">TblConstr[[#This Row],[Land]]</f>
        <v>50</v>
      </c>
      <c r="B104" s="216">
        <f ca="1">TblConstr[[#This Row],[Plain]]</f>
        <v>0</v>
      </c>
      <c r="C104" s="182">
        <f ca="1">TblConstr[[#This Row],[Forest]]</f>
        <v>0</v>
      </c>
      <c r="D104" s="359">
        <f ca="1">TblConstr[[#This Row],[Mountain]]</f>
        <v>0</v>
      </c>
      <c r="E104" s="363">
        <f ca="1">TblConstr[[#This Row],[Hill]]</f>
        <v>0</v>
      </c>
      <c r="F104" s="367">
        <f ca="1">TblConstr[[#This Row],[Swamp]]</f>
        <v>0</v>
      </c>
      <c r="G104" s="185">
        <f ca="1">TblConstr[[#This Row],[Cavern]]</f>
        <v>0</v>
      </c>
      <c r="H104" s="186">
        <f ca="1">TblConstr[[#This Row],[Water]]</f>
        <v>0</v>
      </c>
      <c r="I104" s="215"/>
      <c r="J104" s="175">
        <f t="shared" si="3"/>
        <v>101</v>
      </c>
      <c r="K104" s="236">
        <f ca="1">TblImps[[#This Row],[Real time]]</f>
        <v>46324.166666666424</v>
      </c>
      <c r="L104" s="179"/>
      <c r="M104" s="179"/>
      <c r="N104" s="179"/>
      <c r="O104" s="179"/>
      <c r="P104" s="179"/>
      <c r="Q104" s="179"/>
      <c r="R104" s="179"/>
      <c r="S104" s="94">
        <f>SUMIF(TblRezone[[#This Row],[Plains Rezone]:[Water Rezone]],"&gt;0")</f>
        <v>0</v>
      </c>
      <c r="T104" s="61" t="str">
        <f>IF(SUM(TblRezone[[#This Row],[Plains Rezone]:[Water Rezone]])=0,"Ok","Nope")</f>
        <v>Ok</v>
      </c>
      <c r="U104" s="215"/>
      <c r="V104" s="94">
        <f ca="1">TblProd[[#This Row],[Platinum]]</f>
        <v>200577</v>
      </c>
      <c r="W104" s="215"/>
      <c r="X104" s="94">
        <f ca="1">ROUND( (1-MIN(ROUND(facs_rezone_factor*TblRezone[[#This Row],[Facs]],4),facs_rezone_max) + tech_6_4*TblTech[[#This Row],[6-4]] + tech_10_2*TblTech[[#This Row],[10-2]] - IF(TblMagic[[#This Row],[Active Mechanical Genius]]&gt;0,mech_genius_bonus,0) + race_rezone_cost) * TblRezone[[#This Row],[Plat/acre*]],0)</f>
        <v>130</v>
      </c>
      <c r="Y104" s="94">
        <f ca="1">TblRezone[[#This Row],[Total acres]]*TblRezone[[#This Row],[Plat/acre]]</f>
        <v>0</v>
      </c>
      <c r="Z104" s="215"/>
      <c r="AA104" s="94">
        <f ca="1">(250+0.6*(TblRezone[[#This Row],[Land]]-250))</f>
        <v>130</v>
      </c>
      <c r="AB104" s="215"/>
      <c r="AC104" s="157">
        <f ca="1">TblConstr[[#This Row],[Facs DB]]</f>
        <v>0</v>
      </c>
    </row>
    <row r="105" spans="1:29" x14ac:dyDescent="0.2">
      <c r="A105" s="214">
        <f ca="1">TblConstr[[#This Row],[Land]]</f>
        <v>50</v>
      </c>
      <c r="B105" s="216">
        <f ca="1">TblConstr[[#This Row],[Plain]]</f>
        <v>0</v>
      </c>
      <c r="C105" s="182">
        <f ca="1">TblConstr[[#This Row],[Forest]]</f>
        <v>0</v>
      </c>
      <c r="D105" s="359">
        <f ca="1">TblConstr[[#This Row],[Mountain]]</f>
        <v>0</v>
      </c>
      <c r="E105" s="363">
        <f ca="1">TblConstr[[#This Row],[Hill]]</f>
        <v>0</v>
      </c>
      <c r="F105" s="367">
        <f ca="1">TblConstr[[#This Row],[Swamp]]</f>
        <v>0</v>
      </c>
      <c r="G105" s="185">
        <f ca="1">TblConstr[[#This Row],[Cavern]]</f>
        <v>0</v>
      </c>
      <c r="H105" s="186">
        <f ca="1">TblConstr[[#This Row],[Water]]</f>
        <v>0</v>
      </c>
      <c r="I105" s="215"/>
      <c r="J105" s="175">
        <f t="shared" si="3"/>
        <v>102</v>
      </c>
      <c r="K105" s="236">
        <f ca="1">TblImps[[#This Row],[Real time]]</f>
        <v>46324.208333333088</v>
      </c>
      <c r="L105" s="179"/>
      <c r="M105" s="179"/>
      <c r="N105" s="179"/>
      <c r="O105" s="179"/>
      <c r="P105" s="179"/>
      <c r="Q105" s="179"/>
      <c r="R105" s="179"/>
      <c r="S105" s="94">
        <f>SUMIF(TblRezone[[#This Row],[Plains Rezone]:[Water Rezone]],"&gt;0")</f>
        <v>0</v>
      </c>
      <c r="T105" s="61" t="str">
        <f>IF(SUM(TblRezone[[#This Row],[Plains Rezone]:[Water Rezone]])=0,"Ok","Nope")</f>
        <v>Ok</v>
      </c>
      <c r="U105" s="215"/>
      <c r="V105" s="94">
        <f ca="1">TblProd[[#This Row],[Platinum]]</f>
        <v>201044</v>
      </c>
      <c r="W105" s="215"/>
      <c r="X105" s="94">
        <f ca="1">ROUND( (1-MIN(ROUND(facs_rezone_factor*TblRezone[[#This Row],[Facs]],4),facs_rezone_max) + tech_6_4*TblTech[[#This Row],[6-4]] + tech_10_2*TblTech[[#This Row],[10-2]] - IF(TblMagic[[#This Row],[Active Mechanical Genius]]&gt;0,mech_genius_bonus,0) + race_rezone_cost) * TblRezone[[#This Row],[Plat/acre*]],0)</f>
        <v>130</v>
      </c>
      <c r="Y105" s="94">
        <f ca="1">TblRezone[[#This Row],[Total acres]]*TblRezone[[#This Row],[Plat/acre]]</f>
        <v>0</v>
      </c>
      <c r="Z105" s="215"/>
      <c r="AA105" s="94">
        <f ca="1">(250+0.6*(TblRezone[[#This Row],[Land]]-250))</f>
        <v>130</v>
      </c>
      <c r="AB105" s="215"/>
      <c r="AC105" s="157">
        <f ca="1">TblConstr[[#This Row],[Facs DB]]</f>
        <v>0</v>
      </c>
    </row>
    <row r="106" spans="1:29" x14ac:dyDescent="0.2">
      <c r="A106" s="214">
        <f ca="1">TblConstr[[#This Row],[Land]]</f>
        <v>50</v>
      </c>
      <c r="B106" s="216">
        <f ca="1">TblConstr[[#This Row],[Plain]]</f>
        <v>0</v>
      </c>
      <c r="C106" s="182">
        <f ca="1">TblConstr[[#This Row],[Forest]]</f>
        <v>0</v>
      </c>
      <c r="D106" s="359">
        <f ca="1">TblConstr[[#This Row],[Mountain]]</f>
        <v>0</v>
      </c>
      <c r="E106" s="363">
        <f ca="1">TblConstr[[#This Row],[Hill]]</f>
        <v>0</v>
      </c>
      <c r="F106" s="367">
        <f ca="1">TblConstr[[#This Row],[Swamp]]</f>
        <v>0</v>
      </c>
      <c r="G106" s="185">
        <f ca="1">TblConstr[[#This Row],[Cavern]]</f>
        <v>0</v>
      </c>
      <c r="H106" s="186">
        <f ca="1">TblConstr[[#This Row],[Water]]</f>
        <v>0</v>
      </c>
      <c r="I106" s="215"/>
      <c r="J106" s="175">
        <f t="shared" si="3"/>
        <v>103</v>
      </c>
      <c r="K106" s="236">
        <f ca="1">TblImps[[#This Row],[Real time]]</f>
        <v>46324.249999999753</v>
      </c>
      <c r="L106" s="179"/>
      <c r="M106" s="179"/>
      <c r="N106" s="179"/>
      <c r="O106" s="179"/>
      <c r="P106" s="179"/>
      <c r="Q106" s="179"/>
      <c r="R106" s="179"/>
      <c r="S106" s="94">
        <f>SUMIF(TblRezone[[#This Row],[Plains Rezone]:[Water Rezone]],"&gt;0")</f>
        <v>0</v>
      </c>
      <c r="T106" s="61" t="str">
        <f>IF(SUM(TblRezone[[#This Row],[Plains Rezone]:[Water Rezone]])=0,"Ok","Nope")</f>
        <v>Ok</v>
      </c>
      <c r="U106" s="215"/>
      <c r="V106" s="94">
        <f ca="1">TblProd[[#This Row],[Platinum]]</f>
        <v>201505</v>
      </c>
      <c r="W106" s="215"/>
      <c r="X106" s="94">
        <f ca="1">ROUND( (1-MIN(ROUND(facs_rezone_factor*TblRezone[[#This Row],[Facs]],4),facs_rezone_max) + tech_6_4*TblTech[[#This Row],[6-4]] + tech_10_2*TblTech[[#This Row],[10-2]] - IF(TblMagic[[#This Row],[Active Mechanical Genius]]&gt;0,mech_genius_bonus,0) + race_rezone_cost) * TblRezone[[#This Row],[Plat/acre*]],0)</f>
        <v>130</v>
      </c>
      <c r="Y106" s="94">
        <f ca="1">TblRezone[[#This Row],[Total acres]]*TblRezone[[#This Row],[Plat/acre]]</f>
        <v>0</v>
      </c>
      <c r="Z106" s="215"/>
      <c r="AA106" s="94">
        <f ca="1">(250+0.6*(TblRezone[[#This Row],[Land]]-250))</f>
        <v>130</v>
      </c>
      <c r="AB106" s="215"/>
      <c r="AC106" s="157">
        <f ca="1">TblConstr[[#This Row],[Facs DB]]</f>
        <v>0</v>
      </c>
    </row>
    <row r="107" spans="1:29" x14ac:dyDescent="0.2">
      <c r="A107" s="214">
        <f ca="1">TblConstr[[#This Row],[Land]]</f>
        <v>50</v>
      </c>
      <c r="B107" s="216">
        <f ca="1">TblConstr[[#This Row],[Plain]]</f>
        <v>0</v>
      </c>
      <c r="C107" s="182">
        <f ca="1">TblConstr[[#This Row],[Forest]]</f>
        <v>0</v>
      </c>
      <c r="D107" s="359">
        <f ca="1">TblConstr[[#This Row],[Mountain]]</f>
        <v>0</v>
      </c>
      <c r="E107" s="363">
        <f ca="1">TblConstr[[#This Row],[Hill]]</f>
        <v>0</v>
      </c>
      <c r="F107" s="367">
        <f ca="1">TblConstr[[#This Row],[Swamp]]</f>
        <v>0</v>
      </c>
      <c r="G107" s="185">
        <f ca="1">TblConstr[[#This Row],[Cavern]]</f>
        <v>0</v>
      </c>
      <c r="H107" s="186">
        <f ca="1">TblConstr[[#This Row],[Water]]</f>
        <v>0</v>
      </c>
      <c r="I107" s="215"/>
      <c r="J107" s="175">
        <f t="shared" si="3"/>
        <v>104</v>
      </c>
      <c r="K107" s="236">
        <f ca="1">TblImps[[#This Row],[Real time]]</f>
        <v>46324.291666666417</v>
      </c>
      <c r="L107" s="179"/>
      <c r="M107" s="179"/>
      <c r="N107" s="179"/>
      <c r="O107" s="179"/>
      <c r="P107" s="179"/>
      <c r="Q107" s="179"/>
      <c r="R107" s="179"/>
      <c r="S107" s="94">
        <f>SUMIF(TblRezone[[#This Row],[Plains Rezone]:[Water Rezone]],"&gt;0")</f>
        <v>0</v>
      </c>
      <c r="T107" s="61" t="str">
        <f>IF(SUM(TblRezone[[#This Row],[Plains Rezone]:[Water Rezone]])=0,"Ok","Nope")</f>
        <v>Ok</v>
      </c>
      <c r="U107" s="215"/>
      <c r="V107" s="94">
        <f ca="1">TblProd[[#This Row],[Platinum]]</f>
        <v>201961</v>
      </c>
      <c r="W107" s="215"/>
      <c r="X107" s="94">
        <f ca="1">ROUND( (1-MIN(ROUND(facs_rezone_factor*TblRezone[[#This Row],[Facs]],4),facs_rezone_max) + tech_6_4*TblTech[[#This Row],[6-4]] + tech_10_2*TblTech[[#This Row],[10-2]] - IF(TblMagic[[#This Row],[Active Mechanical Genius]]&gt;0,mech_genius_bonus,0) + race_rezone_cost) * TblRezone[[#This Row],[Plat/acre*]],0)</f>
        <v>130</v>
      </c>
      <c r="Y107" s="94">
        <f ca="1">TblRezone[[#This Row],[Total acres]]*TblRezone[[#This Row],[Plat/acre]]</f>
        <v>0</v>
      </c>
      <c r="Z107" s="215"/>
      <c r="AA107" s="94">
        <f ca="1">(250+0.6*(TblRezone[[#This Row],[Land]]-250))</f>
        <v>130</v>
      </c>
      <c r="AB107" s="215"/>
      <c r="AC107" s="157">
        <f ca="1">TblConstr[[#This Row],[Facs DB]]</f>
        <v>0</v>
      </c>
    </row>
    <row r="108" spans="1:29" x14ac:dyDescent="0.2">
      <c r="A108" s="214">
        <f ca="1">TblConstr[[#This Row],[Land]]</f>
        <v>50</v>
      </c>
      <c r="B108" s="216">
        <f ca="1">TblConstr[[#This Row],[Plain]]</f>
        <v>0</v>
      </c>
      <c r="C108" s="182">
        <f ca="1">TblConstr[[#This Row],[Forest]]</f>
        <v>0</v>
      </c>
      <c r="D108" s="359">
        <f ca="1">TblConstr[[#This Row],[Mountain]]</f>
        <v>0</v>
      </c>
      <c r="E108" s="363">
        <f ca="1">TblConstr[[#This Row],[Hill]]</f>
        <v>0</v>
      </c>
      <c r="F108" s="367">
        <f ca="1">TblConstr[[#This Row],[Swamp]]</f>
        <v>0</v>
      </c>
      <c r="G108" s="185">
        <f ca="1">TblConstr[[#This Row],[Cavern]]</f>
        <v>0</v>
      </c>
      <c r="H108" s="186">
        <f ca="1">TblConstr[[#This Row],[Water]]</f>
        <v>0</v>
      </c>
      <c r="I108" s="215"/>
      <c r="J108" s="175">
        <f t="shared" si="3"/>
        <v>105</v>
      </c>
      <c r="K108" s="236">
        <f ca="1">TblImps[[#This Row],[Real time]]</f>
        <v>46324.333333333081</v>
      </c>
      <c r="L108" s="179"/>
      <c r="M108" s="179"/>
      <c r="N108" s="179"/>
      <c r="O108" s="179"/>
      <c r="P108" s="179"/>
      <c r="Q108" s="179"/>
      <c r="R108" s="179"/>
      <c r="S108" s="94">
        <f>SUMIF(TblRezone[[#This Row],[Plains Rezone]:[Water Rezone]],"&gt;0")</f>
        <v>0</v>
      </c>
      <c r="T108" s="61" t="str">
        <f>IF(SUM(TblRezone[[#This Row],[Plains Rezone]:[Water Rezone]])=0,"Ok","Nope")</f>
        <v>Ok</v>
      </c>
      <c r="U108" s="215"/>
      <c r="V108" s="94">
        <f ca="1">TblProd[[#This Row],[Platinum]]</f>
        <v>202411</v>
      </c>
      <c r="W108" s="215"/>
      <c r="X108" s="94">
        <f ca="1">ROUND( (1-MIN(ROUND(facs_rezone_factor*TblRezone[[#This Row],[Facs]],4),facs_rezone_max) + tech_6_4*TblTech[[#This Row],[6-4]] + tech_10_2*TblTech[[#This Row],[10-2]] - IF(TblMagic[[#This Row],[Active Mechanical Genius]]&gt;0,mech_genius_bonus,0) + race_rezone_cost) * TblRezone[[#This Row],[Plat/acre*]],0)</f>
        <v>130</v>
      </c>
      <c r="Y108" s="94">
        <f ca="1">TblRezone[[#This Row],[Total acres]]*TblRezone[[#This Row],[Plat/acre]]</f>
        <v>0</v>
      </c>
      <c r="Z108" s="215"/>
      <c r="AA108" s="94">
        <f ca="1">(250+0.6*(TblRezone[[#This Row],[Land]]-250))</f>
        <v>130</v>
      </c>
      <c r="AB108" s="215"/>
      <c r="AC108" s="157">
        <f ca="1">TblConstr[[#This Row],[Facs DB]]</f>
        <v>0</v>
      </c>
    </row>
    <row r="109" spans="1:29" x14ac:dyDescent="0.2">
      <c r="A109" s="214">
        <f ca="1">TblConstr[[#This Row],[Land]]</f>
        <v>50</v>
      </c>
      <c r="B109" s="216">
        <f ca="1">TblConstr[[#This Row],[Plain]]</f>
        <v>0</v>
      </c>
      <c r="C109" s="182">
        <f ca="1">TblConstr[[#This Row],[Forest]]</f>
        <v>0</v>
      </c>
      <c r="D109" s="359">
        <f ca="1">TblConstr[[#This Row],[Mountain]]</f>
        <v>0</v>
      </c>
      <c r="E109" s="363">
        <f ca="1">TblConstr[[#This Row],[Hill]]</f>
        <v>0</v>
      </c>
      <c r="F109" s="367">
        <f ca="1">TblConstr[[#This Row],[Swamp]]</f>
        <v>0</v>
      </c>
      <c r="G109" s="185">
        <f ca="1">TblConstr[[#This Row],[Cavern]]</f>
        <v>0</v>
      </c>
      <c r="H109" s="186">
        <f ca="1">TblConstr[[#This Row],[Water]]</f>
        <v>0</v>
      </c>
      <c r="I109" s="215"/>
      <c r="J109" s="175">
        <f t="shared" si="3"/>
        <v>106</v>
      </c>
      <c r="K109" s="236">
        <f ca="1">TblImps[[#This Row],[Real time]]</f>
        <v>46324.374999999745</v>
      </c>
      <c r="L109" s="179"/>
      <c r="M109" s="179"/>
      <c r="N109" s="179"/>
      <c r="O109" s="179"/>
      <c r="P109" s="179"/>
      <c r="Q109" s="179"/>
      <c r="R109" s="179"/>
      <c r="S109" s="94">
        <f>SUMIF(TblRezone[[#This Row],[Plains Rezone]:[Water Rezone]],"&gt;0")</f>
        <v>0</v>
      </c>
      <c r="T109" s="61" t="str">
        <f>IF(SUM(TblRezone[[#This Row],[Plains Rezone]:[Water Rezone]])=0,"Ok","Nope")</f>
        <v>Ok</v>
      </c>
      <c r="U109" s="215"/>
      <c r="V109" s="94">
        <f ca="1">TblProd[[#This Row],[Platinum]]</f>
        <v>202856</v>
      </c>
      <c r="W109" s="215"/>
      <c r="X109" s="94">
        <f ca="1">ROUND( (1-MIN(ROUND(facs_rezone_factor*TblRezone[[#This Row],[Facs]],4),facs_rezone_max) + tech_6_4*TblTech[[#This Row],[6-4]] + tech_10_2*TblTech[[#This Row],[10-2]] - IF(TblMagic[[#This Row],[Active Mechanical Genius]]&gt;0,mech_genius_bonus,0) + race_rezone_cost) * TblRezone[[#This Row],[Plat/acre*]],0)</f>
        <v>130</v>
      </c>
      <c r="Y109" s="94">
        <f ca="1">TblRezone[[#This Row],[Total acres]]*TblRezone[[#This Row],[Plat/acre]]</f>
        <v>0</v>
      </c>
      <c r="Z109" s="215"/>
      <c r="AA109" s="94">
        <f ca="1">(250+0.6*(TblRezone[[#This Row],[Land]]-250))</f>
        <v>130</v>
      </c>
      <c r="AB109" s="215"/>
      <c r="AC109" s="157">
        <f ca="1">TblConstr[[#This Row],[Facs DB]]</f>
        <v>0</v>
      </c>
    </row>
    <row r="110" spans="1:29" x14ac:dyDescent="0.2">
      <c r="A110" s="214">
        <f ca="1">TblConstr[[#This Row],[Land]]</f>
        <v>50</v>
      </c>
      <c r="B110" s="216">
        <f ca="1">TblConstr[[#This Row],[Plain]]</f>
        <v>0</v>
      </c>
      <c r="C110" s="182">
        <f ca="1">TblConstr[[#This Row],[Forest]]</f>
        <v>0</v>
      </c>
      <c r="D110" s="359">
        <f ca="1">TblConstr[[#This Row],[Mountain]]</f>
        <v>0</v>
      </c>
      <c r="E110" s="363">
        <f ca="1">TblConstr[[#This Row],[Hill]]</f>
        <v>0</v>
      </c>
      <c r="F110" s="367">
        <f ca="1">TblConstr[[#This Row],[Swamp]]</f>
        <v>0</v>
      </c>
      <c r="G110" s="185">
        <f ca="1">TblConstr[[#This Row],[Cavern]]</f>
        <v>0</v>
      </c>
      <c r="H110" s="186">
        <f ca="1">TblConstr[[#This Row],[Water]]</f>
        <v>0</v>
      </c>
      <c r="I110" s="215"/>
      <c r="J110" s="175">
        <f t="shared" si="3"/>
        <v>107</v>
      </c>
      <c r="K110" s="236">
        <f ca="1">TblImps[[#This Row],[Real time]]</f>
        <v>46324.41666666641</v>
      </c>
      <c r="L110" s="179"/>
      <c r="M110" s="179"/>
      <c r="N110" s="179"/>
      <c r="O110" s="179"/>
      <c r="P110" s="179"/>
      <c r="Q110" s="179"/>
      <c r="R110" s="179"/>
      <c r="S110" s="94">
        <f>SUMIF(TblRezone[[#This Row],[Plains Rezone]:[Water Rezone]],"&gt;0")</f>
        <v>0</v>
      </c>
      <c r="T110" s="61" t="str">
        <f>IF(SUM(TblRezone[[#This Row],[Plains Rezone]:[Water Rezone]])=0,"Ok","Nope")</f>
        <v>Ok</v>
      </c>
      <c r="U110" s="215"/>
      <c r="V110" s="94">
        <f ca="1">TblProd[[#This Row],[Platinum]]</f>
        <v>203296</v>
      </c>
      <c r="W110" s="215"/>
      <c r="X110" s="94">
        <f ca="1">ROUND( (1-MIN(ROUND(facs_rezone_factor*TblRezone[[#This Row],[Facs]],4),facs_rezone_max) + tech_6_4*TblTech[[#This Row],[6-4]] + tech_10_2*TblTech[[#This Row],[10-2]] - IF(TblMagic[[#This Row],[Active Mechanical Genius]]&gt;0,mech_genius_bonus,0) + race_rezone_cost) * TblRezone[[#This Row],[Plat/acre*]],0)</f>
        <v>130</v>
      </c>
      <c r="Y110" s="94">
        <f ca="1">TblRezone[[#This Row],[Total acres]]*TblRezone[[#This Row],[Plat/acre]]</f>
        <v>0</v>
      </c>
      <c r="Z110" s="215"/>
      <c r="AA110" s="94">
        <f ca="1">(250+0.6*(TblRezone[[#This Row],[Land]]-250))</f>
        <v>130</v>
      </c>
      <c r="AB110" s="215"/>
      <c r="AC110" s="157">
        <f ca="1">TblConstr[[#This Row],[Facs DB]]</f>
        <v>0</v>
      </c>
    </row>
    <row r="111" spans="1:29" x14ac:dyDescent="0.2">
      <c r="A111" s="214">
        <f ca="1">TblConstr[[#This Row],[Land]]</f>
        <v>50</v>
      </c>
      <c r="B111" s="216">
        <f ca="1">TblConstr[[#This Row],[Plain]]</f>
        <v>0</v>
      </c>
      <c r="C111" s="182">
        <f ca="1">TblConstr[[#This Row],[Forest]]</f>
        <v>0</v>
      </c>
      <c r="D111" s="359">
        <f ca="1">TblConstr[[#This Row],[Mountain]]</f>
        <v>0</v>
      </c>
      <c r="E111" s="363">
        <f ca="1">TblConstr[[#This Row],[Hill]]</f>
        <v>0</v>
      </c>
      <c r="F111" s="367">
        <f ca="1">TblConstr[[#This Row],[Swamp]]</f>
        <v>0</v>
      </c>
      <c r="G111" s="185">
        <f ca="1">TblConstr[[#This Row],[Cavern]]</f>
        <v>0</v>
      </c>
      <c r="H111" s="186">
        <f ca="1">TblConstr[[#This Row],[Water]]</f>
        <v>0</v>
      </c>
      <c r="I111" s="215"/>
      <c r="J111" s="175">
        <f t="shared" si="3"/>
        <v>108</v>
      </c>
      <c r="K111" s="236">
        <f ca="1">TblImps[[#This Row],[Real time]]</f>
        <v>46324.458333333074</v>
      </c>
      <c r="L111" s="179"/>
      <c r="M111" s="179"/>
      <c r="N111" s="179"/>
      <c r="O111" s="179"/>
      <c r="P111" s="179"/>
      <c r="Q111" s="179"/>
      <c r="R111" s="179"/>
      <c r="S111" s="94">
        <f>SUMIF(TblRezone[[#This Row],[Plains Rezone]:[Water Rezone]],"&gt;0")</f>
        <v>0</v>
      </c>
      <c r="T111" s="61" t="str">
        <f>IF(SUM(TblRezone[[#This Row],[Plains Rezone]:[Water Rezone]])=0,"Ok","Nope")</f>
        <v>Ok</v>
      </c>
      <c r="U111" s="215"/>
      <c r="V111" s="94">
        <f ca="1">TblProd[[#This Row],[Platinum]]</f>
        <v>203730</v>
      </c>
      <c r="W111" s="215"/>
      <c r="X111" s="94">
        <f ca="1">ROUND( (1-MIN(ROUND(facs_rezone_factor*TblRezone[[#This Row],[Facs]],4),facs_rezone_max) + tech_6_4*TblTech[[#This Row],[6-4]] + tech_10_2*TblTech[[#This Row],[10-2]] - IF(TblMagic[[#This Row],[Active Mechanical Genius]]&gt;0,mech_genius_bonus,0) + race_rezone_cost) * TblRezone[[#This Row],[Plat/acre*]],0)</f>
        <v>130</v>
      </c>
      <c r="Y111" s="94">
        <f ca="1">TblRezone[[#This Row],[Total acres]]*TblRezone[[#This Row],[Plat/acre]]</f>
        <v>0</v>
      </c>
      <c r="Z111" s="215"/>
      <c r="AA111" s="94">
        <f ca="1">(250+0.6*(TblRezone[[#This Row],[Land]]-250))</f>
        <v>130</v>
      </c>
      <c r="AB111" s="215"/>
      <c r="AC111" s="157">
        <f ca="1">TblConstr[[#This Row],[Facs DB]]</f>
        <v>0</v>
      </c>
    </row>
    <row r="112" spans="1:29" x14ac:dyDescent="0.2">
      <c r="A112" s="214">
        <f ca="1">TblConstr[[#This Row],[Land]]</f>
        <v>50</v>
      </c>
      <c r="B112" s="216">
        <f ca="1">TblConstr[[#This Row],[Plain]]</f>
        <v>0</v>
      </c>
      <c r="C112" s="182">
        <f ca="1">TblConstr[[#This Row],[Forest]]</f>
        <v>0</v>
      </c>
      <c r="D112" s="359">
        <f ca="1">TblConstr[[#This Row],[Mountain]]</f>
        <v>0</v>
      </c>
      <c r="E112" s="363">
        <f ca="1">TblConstr[[#This Row],[Hill]]</f>
        <v>0</v>
      </c>
      <c r="F112" s="367">
        <f ca="1">TblConstr[[#This Row],[Swamp]]</f>
        <v>0</v>
      </c>
      <c r="G112" s="185">
        <f ca="1">TblConstr[[#This Row],[Cavern]]</f>
        <v>0</v>
      </c>
      <c r="H112" s="186">
        <f ca="1">TblConstr[[#This Row],[Water]]</f>
        <v>0</v>
      </c>
      <c r="I112" s="215"/>
      <c r="J112" s="175">
        <f t="shared" si="3"/>
        <v>109</v>
      </c>
      <c r="K112" s="236">
        <f ca="1">TblImps[[#This Row],[Real time]]</f>
        <v>46324.499999999738</v>
      </c>
      <c r="L112" s="179"/>
      <c r="M112" s="179"/>
      <c r="N112" s="179"/>
      <c r="O112" s="179"/>
      <c r="P112" s="179"/>
      <c r="Q112" s="179"/>
      <c r="R112" s="179"/>
      <c r="S112" s="94">
        <f>SUMIF(TblRezone[[#This Row],[Plains Rezone]:[Water Rezone]],"&gt;0")</f>
        <v>0</v>
      </c>
      <c r="T112" s="61" t="str">
        <f>IF(SUM(TblRezone[[#This Row],[Plains Rezone]:[Water Rezone]])=0,"Ok","Nope")</f>
        <v>Ok</v>
      </c>
      <c r="U112" s="215"/>
      <c r="V112" s="94">
        <f ca="1">TblProd[[#This Row],[Platinum]]</f>
        <v>204159</v>
      </c>
      <c r="W112" s="215"/>
      <c r="X112" s="94">
        <f ca="1">ROUND( (1-MIN(ROUND(facs_rezone_factor*TblRezone[[#This Row],[Facs]],4),facs_rezone_max) + tech_6_4*TblTech[[#This Row],[6-4]] + tech_10_2*TblTech[[#This Row],[10-2]] - IF(TblMagic[[#This Row],[Active Mechanical Genius]]&gt;0,mech_genius_bonus,0) + race_rezone_cost) * TblRezone[[#This Row],[Plat/acre*]],0)</f>
        <v>130</v>
      </c>
      <c r="Y112" s="94">
        <f ca="1">TblRezone[[#This Row],[Total acres]]*TblRezone[[#This Row],[Plat/acre]]</f>
        <v>0</v>
      </c>
      <c r="Z112" s="215"/>
      <c r="AA112" s="94">
        <f ca="1">(250+0.6*(TblRezone[[#This Row],[Land]]-250))</f>
        <v>130</v>
      </c>
      <c r="AB112" s="215"/>
      <c r="AC112" s="157">
        <f ca="1">TblConstr[[#This Row],[Facs DB]]</f>
        <v>0</v>
      </c>
    </row>
    <row r="113" spans="1:29" x14ac:dyDescent="0.2">
      <c r="A113" s="214">
        <f ca="1">TblConstr[[#This Row],[Land]]</f>
        <v>50</v>
      </c>
      <c r="B113" s="216">
        <f ca="1">TblConstr[[#This Row],[Plain]]</f>
        <v>0</v>
      </c>
      <c r="C113" s="182">
        <f ca="1">TblConstr[[#This Row],[Forest]]</f>
        <v>0</v>
      </c>
      <c r="D113" s="359">
        <f ca="1">TblConstr[[#This Row],[Mountain]]</f>
        <v>0</v>
      </c>
      <c r="E113" s="363">
        <f ca="1">TblConstr[[#This Row],[Hill]]</f>
        <v>0</v>
      </c>
      <c r="F113" s="367">
        <f ca="1">TblConstr[[#This Row],[Swamp]]</f>
        <v>0</v>
      </c>
      <c r="G113" s="185">
        <f ca="1">TblConstr[[#This Row],[Cavern]]</f>
        <v>0</v>
      </c>
      <c r="H113" s="186">
        <f ca="1">TblConstr[[#This Row],[Water]]</f>
        <v>0</v>
      </c>
      <c r="I113" s="215"/>
      <c r="J113" s="175">
        <f t="shared" si="3"/>
        <v>110</v>
      </c>
      <c r="K113" s="236">
        <f ca="1">TblImps[[#This Row],[Real time]]</f>
        <v>46324.541666666402</v>
      </c>
      <c r="L113" s="179"/>
      <c r="M113" s="179"/>
      <c r="N113" s="179"/>
      <c r="O113" s="179"/>
      <c r="P113" s="179"/>
      <c r="Q113" s="179"/>
      <c r="R113" s="179"/>
      <c r="S113" s="94">
        <f>SUMIF(TblRezone[[#This Row],[Plains Rezone]:[Water Rezone]],"&gt;0")</f>
        <v>0</v>
      </c>
      <c r="T113" s="61" t="str">
        <f>IF(SUM(TblRezone[[#This Row],[Plains Rezone]:[Water Rezone]])=0,"Ok","Nope")</f>
        <v>Ok</v>
      </c>
      <c r="U113" s="215"/>
      <c r="V113" s="94">
        <f ca="1">TblProd[[#This Row],[Platinum]]</f>
        <v>204582</v>
      </c>
      <c r="W113" s="215"/>
      <c r="X113" s="94">
        <f ca="1">ROUND( (1-MIN(ROUND(facs_rezone_factor*TblRezone[[#This Row],[Facs]],4),facs_rezone_max) + tech_6_4*TblTech[[#This Row],[6-4]] + tech_10_2*TblTech[[#This Row],[10-2]] - IF(TblMagic[[#This Row],[Active Mechanical Genius]]&gt;0,mech_genius_bonus,0) + race_rezone_cost) * TblRezone[[#This Row],[Plat/acre*]],0)</f>
        <v>130</v>
      </c>
      <c r="Y113" s="94">
        <f ca="1">TblRezone[[#This Row],[Total acres]]*TblRezone[[#This Row],[Plat/acre]]</f>
        <v>0</v>
      </c>
      <c r="Z113" s="215"/>
      <c r="AA113" s="94">
        <f ca="1">(250+0.6*(TblRezone[[#This Row],[Land]]-250))</f>
        <v>130</v>
      </c>
      <c r="AB113" s="215"/>
      <c r="AC113" s="157">
        <f ca="1">TblConstr[[#This Row],[Facs DB]]</f>
        <v>0</v>
      </c>
    </row>
    <row r="114" spans="1:29" x14ac:dyDescent="0.2">
      <c r="A114" s="214">
        <f ca="1">TblConstr[[#This Row],[Land]]</f>
        <v>50</v>
      </c>
      <c r="B114" s="216">
        <f ca="1">TblConstr[[#This Row],[Plain]]</f>
        <v>0</v>
      </c>
      <c r="C114" s="182">
        <f ca="1">TblConstr[[#This Row],[Forest]]</f>
        <v>0</v>
      </c>
      <c r="D114" s="359">
        <f ca="1">TblConstr[[#This Row],[Mountain]]</f>
        <v>0</v>
      </c>
      <c r="E114" s="363">
        <f ca="1">TblConstr[[#This Row],[Hill]]</f>
        <v>0</v>
      </c>
      <c r="F114" s="367">
        <f ca="1">TblConstr[[#This Row],[Swamp]]</f>
        <v>0</v>
      </c>
      <c r="G114" s="185">
        <f ca="1">TblConstr[[#This Row],[Cavern]]</f>
        <v>0</v>
      </c>
      <c r="H114" s="186">
        <f ca="1">TblConstr[[#This Row],[Water]]</f>
        <v>0</v>
      </c>
      <c r="I114" s="215"/>
      <c r="J114" s="175">
        <f t="shared" si="3"/>
        <v>111</v>
      </c>
      <c r="K114" s="236">
        <f ca="1">TblImps[[#This Row],[Real time]]</f>
        <v>46324.583333333067</v>
      </c>
      <c r="L114" s="179"/>
      <c r="M114" s="179"/>
      <c r="N114" s="179"/>
      <c r="O114" s="179"/>
      <c r="P114" s="179"/>
      <c r="Q114" s="179"/>
      <c r="R114" s="179"/>
      <c r="S114" s="94">
        <f>SUMIF(TblRezone[[#This Row],[Plains Rezone]:[Water Rezone]],"&gt;0")</f>
        <v>0</v>
      </c>
      <c r="T114" s="61" t="str">
        <f>IF(SUM(TblRezone[[#This Row],[Plains Rezone]:[Water Rezone]])=0,"Ok","Nope")</f>
        <v>Ok</v>
      </c>
      <c r="U114" s="215"/>
      <c r="V114" s="94">
        <f ca="1">TblProd[[#This Row],[Platinum]]</f>
        <v>205000</v>
      </c>
      <c r="W114" s="215"/>
      <c r="X114" s="94">
        <f ca="1">ROUND( (1-MIN(ROUND(facs_rezone_factor*TblRezone[[#This Row],[Facs]],4),facs_rezone_max) + tech_6_4*TblTech[[#This Row],[6-4]] + tech_10_2*TblTech[[#This Row],[10-2]] - IF(TblMagic[[#This Row],[Active Mechanical Genius]]&gt;0,mech_genius_bonus,0) + race_rezone_cost) * TblRezone[[#This Row],[Plat/acre*]],0)</f>
        <v>130</v>
      </c>
      <c r="Y114" s="94">
        <f ca="1">TblRezone[[#This Row],[Total acres]]*TblRezone[[#This Row],[Plat/acre]]</f>
        <v>0</v>
      </c>
      <c r="Z114" s="215"/>
      <c r="AA114" s="94">
        <f ca="1">(250+0.6*(TblRezone[[#This Row],[Land]]-250))</f>
        <v>130</v>
      </c>
      <c r="AB114" s="215"/>
      <c r="AC114" s="157">
        <f ca="1">TblConstr[[#This Row],[Facs DB]]</f>
        <v>0</v>
      </c>
    </row>
    <row r="115" spans="1:29" x14ac:dyDescent="0.2">
      <c r="A115" s="214">
        <f ca="1">TblConstr[[#This Row],[Land]]</f>
        <v>50</v>
      </c>
      <c r="B115" s="216">
        <f ca="1">TblConstr[[#This Row],[Plain]]</f>
        <v>0</v>
      </c>
      <c r="C115" s="182">
        <f ca="1">TblConstr[[#This Row],[Forest]]</f>
        <v>0</v>
      </c>
      <c r="D115" s="359">
        <f ca="1">TblConstr[[#This Row],[Mountain]]</f>
        <v>0</v>
      </c>
      <c r="E115" s="363">
        <f ca="1">TblConstr[[#This Row],[Hill]]</f>
        <v>0</v>
      </c>
      <c r="F115" s="367">
        <f ca="1">TblConstr[[#This Row],[Swamp]]</f>
        <v>0</v>
      </c>
      <c r="G115" s="185">
        <f ca="1">TblConstr[[#This Row],[Cavern]]</f>
        <v>0</v>
      </c>
      <c r="H115" s="186">
        <f ca="1">TblConstr[[#This Row],[Water]]</f>
        <v>0</v>
      </c>
      <c r="I115" s="215"/>
      <c r="J115" s="175">
        <f t="shared" si="3"/>
        <v>112</v>
      </c>
      <c r="K115" s="236">
        <f ca="1">TblImps[[#This Row],[Real time]]</f>
        <v>46324.624999999731</v>
      </c>
      <c r="L115" s="179"/>
      <c r="M115" s="179"/>
      <c r="N115" s="179"/>
      <c r="O115" s="179"/>
      <c r="P115" s="179"/>
      <c r="Q115" s="179"/>
      <c r="R115" s="179"/>
      <c r="S115" s="94">
        <f>SUMIF(TblRezone[[#This Row],[Plains Rezone]:[Water Rezone]],"&gt;0")</f>
        <v>0</v>
      </c>
      <c r="T115" s="61" t="str">
        <f>IF(SUM(TblRezone[[#This Row],[Plains Rezone]:[Water Rezone]])=0,"Ok","Nope")</f>
        <v>Ok</v>
      </c>
      <c r="U115" s="215"/>
      <c r="V115" s="94">
        <f ca="1">TblProd[[#This Row],[Platinum]]</f>
        <v>205413</v>
      </c>
      <c r="W115" s="215"/>
      <c r="X115" s="94">
        <f ca="1">ROUND( (1-MIN(ROUND(facs_rezone_factor*TblRezone[[#This Row],[Facs]],4),facs_rezone_max) + tech_6_4*TblTech[[#This Row],[6-4]] + tech_10_2*TblTech[[#This Row],[10-2]] - IF(TblMagic[[#This Row],[Active Mechanical Genius]]&gt;0,mech_genius_bonus,0) + race_rezone_cost) * TblRezone[[#This Row],[Plat/acre*]],0)</f>
        <v>130</v>
      </c>
      <c r="Y115" s="94">
        <f ca="1">TblRezone[[#This Row],[Total acres]]*TblRezone[[#This Row],[Plat/acre]]</f>
        <v>0</v>
      </c>
      <c r="Z115" s="215"/>
      <c r="AA115" s="94">
        <f ca="1">(250+0.6*(TblRezone[[#This Row],[Land]]-250))</f>
        <v>130</v>
      </c>
      <c r="AB115" s="215"/>
      <c r="AC115" s="157">
        <f ca="1">TblConstr[[#This Row],[Facs DB]]</f>
        <v>0</v>
      </c>
    </row>
    <row r="116" spans="1:29" x14ac:dyDescent="0.2">
      <c r="A116" s="214">
        <f ca="1">TblConstr[[#This Row],[Land]]</f>
        <v>50</v>
      </c>
      <c r="B116" s="216">
        <f ca="1">TblConstr[[#This Row],[Plain]]</f>
        <v>0</v>
      </c>
      <c r="C116" s="182">
        <f ca="1">TblConstr[[#This Row],[Forest]]</f>
        <v>0</v>
      </c>
      <c r="D116" s="359">
        <f ca="1">TblConstr[[#This Row],[Mountain]]</f>
        <v>0</v>
      </c>
      <c r="E116" s="363">
        <f ca="1">TblConstr[[#This Row],[Hill]]</f>
        <v>0</v>
      </c>
      <c r="F116" s="367">
        <f ca="1">TblConstr[[#This Row],[Swamp]]</f>
        <v>0</v>
      </c>
      <c r="G116" s="185">
        <f ca="1">TblConstr[[#This Row],[Cavern]]</f>
        <v>0</v>
      </c>
      <c r="H116" s="186">
        <f ca="1">TblConstr[[#This Row],[Water]]</f>
        <v>0</v>
      </c>
      <c r="I116" s="215"/>
      <c r="J116" s="175">
        <f t="shared" si="3"/>
        <v>113</v>
      </c>
      <c r="K116" s="236">
        <f ca="1">TblImps[[#This Row],[Real time]]</f>
        <v>46324.666666666395</v>
      </c>
      <c r="L116" s="179"/>
      <c r="M116" s="179"/>
      <c r="N116" s="179"/>
      <c r="O116" s="179"/>
      <c r="P116" s="179"/>
      <c r="Q116" s="179"/>
      <c r="R116" s="179"/>
      <c r="S116" s="94">
        <f>SUMIF(TblRezone[[#This Row],[Plains Rezone]:[Water Rezone]],"&gt;0")</f>
        <v>0</v>
      </c>
      <c r="T116" s="61" t="str">
        <f>IF(SUM(TblRezone[[#This Row],[Plains Rezone]:[Water Rezone]])=0,"Ok","Nope")</f>
        <v>Ok</v>
      </c>
      <c r="U116" s="215"/>
      <c r="V116" s="94">
        <f ca="1">TblProd[[#This Row],[Platinum]]</f>
        <v>205820</v>
      </c>
      <c r="W116" s="215"/>
      <c r="X116" s="94">
        <f ca="1">ROUND( (1-MIN(ROUND(facs_rezone_factor*TblRezone[[#This Row],[Facs]],4),facs_rezone_max) + tech_6_4*TblTech[[#This Row],[6-4]] + tech_10_2*TblTech[[#This Row],[10-2]] - IF(TblMagic[[#This Row],[Active Mechanical Genius]]&gt;0,mech_genius_bonus,0) + race_rezone_cost) * TblRezone[[#This Row],[Plat/acre*]],0)</f>
        <v>130</v>
      </c>
      <c r="Y116" s="94">
        <f ca="1">TblRezone[[#This Row],[Total acres]]*TblRezone[[#This Row],[Plat/acre]]</f>
        <v>0</v>
      </c>
      <c r="Z116" s="215"/>
      <c r="AA116" s="94">
        <f ca="1">(250+0.6*(TblRezone[[#This Row],[Land]]-250))</f>
        <v>130</v>
      </c>
      <c r="AB116" s="215"/>
      <c r="AC116" s="157">
        <f ca="1">TblConstr[[#This Row],[Facs DB]]</f>
        <v>0</v>
      </c>
    </row>
    <row r="117" spans="1:29" x14ac:dyDescent="0.2">
      <c r="A117" s="214">
        <f ca="1">TblConstr[[#This Row],[Land]]</f>
        <v>50</v>
      </c>
      <c r="B117" s="216">
        <f ca="1">TblConstr[[#This Row],[Plain]]</f>
        <v>0</v>
      </c>
      <c r="C117" s="182">
        <f ca="1">TblConstr[[#This Row],[Forest]]</f>
        <v>0</v>
      </c>
      <c r="D117" s="359">
        <f ca="1">TblConstr[[#This Row],[Mountain]]</f>
        <v>0</v>
      </c>
      <c r="E117" s="363">
        <f ca="1">TblConstr[[#This Row],[Hill]]</f>
        <v>0</v>
      </c>
      <c r="F117" s="367">
        <f ca="1">TblConstr[[#This Row],[Swamp]]</f>
        <v>0</v>
      </c>
      <c r="G117" s="185">
        <f ca="1">TblConstr[[#This Row],[Cavern]]</f>
        <v>0</v>
      </c>
      <c r="H117" s="186">
        <f ca="1">TblConstr[[#This Row],[Water]]</f>
        <v>0</v>
      </c>
      <c r="I117" s="215"/>
      <c r="J117" s="175">
        <f t="shared" si="3"/>
        <v>114</v>
      </c>
      <c r="K117" s="236">
        <f ca="1">TblImps[[#This Row],[Real time]]</f>
        <v>46324.708333333059</v>
      </c>
      <c r="L117" s="179"/>
      <c r="M117" s="179"/>
      <c r="N117" s="179"/>
      <c r="O117" s="179"/>
      <c r="P117" s="179"/>
      <c r="Q117" s="179"/>
      <c r="R117" s="179"/>
      <c r="S117" s="94">
        <f>SUMIF(TblRezone[[#This Row],[Plains Rezone]:[Water Rezone]],"&gt;0")</f>
        <v>0</v>
      </c>
      <c r="T117" s="61" t="str">
        <f>IF(SUM(TblRezone[[#This Row],[Plains Rezone]:[Water Rezone]])=0,"Ok","Nope")</f>
        <v>Ok</v>
      </c>
      <c r="U117" s="215"/>
      <c r="V117" s="94">
        <f ca="1">TblProd[[#This Row],[Platinum]]</f>
        <v>206222</v>
      </c>
      <c r="W117" s="215"/>
      <c r="X117" s="94">
        <f ca="1">ROUND( (1-MIN(ROUND(facs_rezone_factor*TblRezone[[#This Row],[Facs]],4),facs_rezone_max) + tech_6_4*TblTech[[#This Row],[6-4]] + tech_10_2*TblTech[[#This Row],[10-2]] - IF(TblMagic[[#This Row],[Active Mechanical Genius]]&gt;0,mech_genius_bonus,0) + race_rezone_cost) * TblRezone[[#This Row],[Plat/acre*]],0)</f>
        <v>130</v>
      </c>
      <c r="Y117" s="94">
        <f ca="1">TblRezone[[#This Row],[Total acres]]*TblRezone[[#This Row],[Plat/acre]]</f>
        <v>0</v>
      </c>
      <c r="Z117" s="215"/>
      <c r="AA117" s="94">
        <f ca="1">(250+0.6*(TblRezone[[#This Row],[Land]]-250))</f>
        <v>130</v>
      </c>
      <c r="AB117" s="215"/>
      <c r="AC117" s="157">
        <f ca="1">TblConstr[[#This Row],[Facs DB]]</f>
        <v>0</v>
      </c>
    </row>
    <row r="118" spans="1:29" x14ac:dyDescent="0.2">
      <c r="A118" s="214">
        <f ca="1">TblConstr[[#This Row],[Land]]</f>
        <v>50</v>
      </c>
      <c r="B118" s="216">
        <f ca="1">TblConstr[[#This Row],[Plain]]</f>
        <v>0</v>
      </c>
      <c r="C118" s="182">
        <f ca="1">TblConstr[[#This Row],[Forest]]</f>
        <v>0</v>
      </c>
      <c r="D118" s="359">
        <f ca="1">TblConstr[[#This Row],[Mountain]]</f>
        <v>0</v>
      </c>
      <c r="E118" s="363">
        <f ca="1">TblConstr[[#This Row],[Hill]]</f>
        <v>0</v>
      </c>
      <c r="F118" s="367">
        <f ca="1">TblConstr[[#This Row],[Swamp]]</f>
        <v>0</v>
      </c>
      <c r="G118" s="185">
        <f ca="1">TblConstr[[#This Row],[Cavern]]</f>
        <v>0</v>
      </c>
      <c r="H118" s="186">
        <f ca="1">TblConstr[[#This Row],[Water]]</f>
        <v>0</v>
      </c>
      <c r="I118" s="215"/>
      <c r="J118" s="175">
        <f t="shared" si="3"/>
        <v>115</v>
      </c>
      <c r="K118" s="236">
        <f ca="1">TblImps[[#This Row],[Real time]]</f>
        <v>46324.749999999724</v>
      </c>
      <c r="L118" s="179"/>
      <c r="M118" s="179"/>
      <c r="N118" s="179"/>
      <c r="O118" s="179"/>
      <c r="P118" s="179"/>
      <c r="Q118" s="179"/>
      <c r="R118" s="179"/>
      <c r="S118" s="94">
        <f>SUMIF(TblRezone[[#This Row],[Plains Rezone]:[Water Rezone]],"&gt;0")</f>
        <v>0</v>
      </c>
      <c r="T118" s="61" t="str">
        <f>IF(SUM(TblRezone[[#This Row],[Plains Rezone]:[Water Rezone]])=0,"Ok","Nope")</f>
        <v>Ok</v>
      </c>
      <c r="U118" s="215"/>
      <c r="V118" s="94">
        <f ca="1">TblProd[[#This Row],[Platinum]]</f>
        <v>206621</v>
      </c>
      <c r="W118" s="215"/>
      <c r="X118" s="94">
        <f ca="1">ROUND( (1-MIN(ROUND(facs_rezone_factor*TblRezone[[#This Row],[Facs]],4),facs_rezone_max) + tech_6_4*TblTech[[#This Row],[6-4]] + tech_10_2*TblTech[[#This Row],[10-2]] - IF(TblMagic[[#This Row],[Active Mechanical Genius]]&gt;0,mech_genius_bonus,0) + race_rezone_cost) * TblRezone[[#This Row],[Plat/acre*]],0)</f>
        <v>130</v>
      </c>
      <c r="Y118" s="94">
        <f ca="1">TblRezone[[#This Row],[Total acres]]*TblRezone[[#This Row],[Plat/acre]]</f>
        <v>0</v>
      </c>
      <c r="Z118" s="215"/>
      <c r="AA118" s="94">
        <f ca="1">(250+0.6*(TblRezone[[#This Row],[Land]]-250))</f>
        <v>130</v>
      </c>
      <c r="AB118" s="215"/>
      <c r="AC118" s="157">
        <f ca="1">TblConstr[[#This Row],[Facs DB]]</f>
        <v>0</v>
      </c>
    </row>
    <row r="119" spans="1:29" x14ac:dyDescent="0.2">
      <c r="A119" s="214">
        <f ca="1">TblConstr[[#This Row],[Land]]</f>
        <v>50</v>
      </c>
      <c r="B119" s="216">
        <f ca="1">TblConstr[[#This Row],[Plain]]</f>
        <v>0</v>
      </c>
      <c r="C119" s="182">
        <f ca="1">TblConstr[[#This Row],[Forest]]</f>
        <v>0</v>
      </c>
      <c r="D119" s="359">
        <f ca="1">TblConstr[[#This Row],[Mountain]]</f>
        <v>0</v>
      </c>
      <c r="E119" s="363">
        <f ca="1">TblConstr[[#This Row],[Hill]]</f>
        <v>0</v>
      </c>
      <c r="F119" s="367">
        <f ca="1">TblConstr[[#This Row],[Swamp]]</f>
        <v>0</v>
      </c>
      <c r="G119" s="185">
        <f ca="1">TblConstr[[#This Row],[Cavern]]</f>
        <v>0</v>
      </c>
      <c r="H119" s="186">
        <f ca="1">TblConstr[[#This Row],[Water]]</f>
        <v>0</v>
      </c>
      <c r="I119" s="215"/>
      <c r="J119" s="175">
        <f t="shared" si="3"/>
        <v>116</v>
      </c>
      <c r="K119" s="236">
        <f ca="1">TblImps[[#This Row],[Real time]]</f>
        <v>46324.791666666388</v>
      </c>
      <c r="L119" s="179"/>
      <c r="M119" s="179"/>
      <c r="N119" s="179"/>
      <c r="O119" s="179"/>
      <c r="P119" s="179"/>
      <c r="Q119" s="179"/>
      <c r="R119" s="179"/>
      <c r="S119" s="94">
        <f>SUMIF(TblRezone[[#This Row],[Plains Rezone]:[Water Rezone]],"&gt;0")</f>
        <v>0</v>
      </c>
      <c r="T119" s="61" t="str">
        <f>IF(SUM(TblRezone[[#This Row],[Plains Rezone]:[Water Rezone]])=0,"Ok","Nope")</f>
        <v>Ok</v>
      </c>
      <c r="U119" s="215"/>
      <c r="V119" s="94">
        <f ca="1">TblProd[[#This Row],[Platinum]]</f>
        <v>207017</v>
      </c>
      <c r="W119" s="215"/>
      <c r="X119" s="94">
        <f ca="1">ROUND( (1-MIN(ROUND(facs_rezone_factor*TblRezone[[#This Row],[Facs]],4),facs_rezone_max) + tech_6_4*TblTech[[#This Row],[6-4]] + tech_10_2*TblTech[[#This Row],[10-2]] - IF(TblMagic[[#This Row],[Active Mechanical Genius]]&gt;0,mech_genius_bonus,0) + race_rezone_cost) * TblRezone[[#This Row],[Plat/acre*]],0)</f>
        <v>130</v>
      </c>
      <c r="Y119" s="94">
        <f ca="1">TblRezone[[#This Row],[Total acres]]*TblRezone[[#This Row],[Plat/acre]]</f>
        <v>0</v>
      </c>
      <c r="Z119" s="215"/>
      <c r="AA119" s="94">
        <f ca="1">(250+0.6*(TblRezone[[#This Row],[Land]]-250))</f>
        <v>130</v>
      </c>
      <c r="AB119" s="215"/>
      <c r="AC119" s="157">
        <f ca="1">TblConstr[[#This Row],[Facs DB]]</f>
        <v>0</v>
      </c>
    </row>
    <row r="120" spans="1:29" x14ac:dyDescent="0.2">
      <c r="A120" s="214">
        <f ca="1">TblConstr[[#This Row],[Land]]</f>
        <v>50</v>
      </c>
      <c r="B120" s="216">
        <f ca="1">TblConstr[[#This Row],[Plain]]</f>
        <v>0</v>
      </c>
      <c r="C120" s="182">
        <f ca="1">TblConstr[[#This Row],[Forest]]</f>
        <v>0</v>
      </c>
      <c r="D120" s="359">
        <f ca="1">TblConstr[[#This Row],[Mountain]]</f>
        <v>0</v>
      </c>
      <c r="E120" s="363">
        <f ca="1">TblConstr[[#This Row],[Hill]]</f>
        <v>0</v>
      </c>
      <c r="F120" s="367">
        <f ca="1">TblConstr[[#This Row],[Swamp]]</f>
        <v>0</v>
      </c>
      <c r="G120" s="185">
        <f ca="1">TblConstr[[#This Row],[Cavern]]</f>
        <v>0</v>
      </c>
      <c r="H120" s="186">
        <f ca="1">TblConstr[[#This Row],[Water]]</f>
        <v>0</v>
      </c>
      <c r="I120" s="215"/>
      <c r="J120" s="175">
        <f t="shared" si="3"/>
        <v>117</v>
      </c>
      <c r="K120" s="236">
        <f ca="1">TblImps[[#This Row],[Real time]]</f>
        <v>46324.833333333052</v>
      </c>
      <c r="L120" s="179"/>
      <c r="M120" s="179"/>
      <c r="N120" s="179"/>
      <c r="O120" s="179"/>
      <c r="P120" s="179"/>
      <c r="Q120" s="179"/>
      <c r="R120" s="179"/>
      <c r="S120" s="94">
        <f>SUMIF(TblRezone[[#This Row],[Plains Rezone]:[Water Rezone]],"&gt;0")</f>
        <v>0</v>
      </c>
      <c r="T120" s="61" t="str">
        <f>IF(SUM(TblRezone[[#This Row],[Plains Rezone]:[Water Rezone]])=0,"Ok","Nope")</f>
        <v>Ok</v>
      </c>
      <c r="U120" s="215"/>
      <c r="V120" s="94">
        <f ca="1">TblProd[[#This Row],[Platinum]]</f>
        <v>207411</v>
      </c>
      <c r="W120" s="215"/>
      <c r="X120" s="94">
        <f ca="1">ROUND( (1-MIN(ROUND(facs_rezone_factor*TblRezone[[#This Row],[Facs]],4),facs_rezone_max) + tech_6_4*TblTech[[#This Row],[6-4]] + tech_10_2*TblTech[[#This Row],[10-2]] - IF(TblMagic[[#This Row],[Active Mechanical Genius]]&gt;0,mech_genius_bonus,0) + race_rezone_cost) * TblRezone[[#This Row],[Plat/acre*]],0)</f>
        <v>130</v>
      </c>
      <c r="Y120" s="94">
        <f ca="1">TblRezone[[#This Row],[Total acres]]*TblRezone[[#This Row],[Plat/acre]]</f>
        <v>0</v>
      </c>
      <c r="Z120" s="215"/>
      <c r="AA120" s="94">
        <f ca="1">(250+0.6*(TblRezone[[#This Row],[Land]]-250))</f>
        <v>130</v>
      </c>
      <c r="AB120" s="215"/>
      <c r="AC120" s="157">
        <f ca="1">TblConstr[[#This Row],[Facs DB]]</f>
        <v>0</v>
      </c>
    </row>
    <row r="121" spans="1:29" x14ac:dyDescent="0.2">
      <c r="A121" s="214">
        <f ca="1">TblConstr[[#This Row],[Land]]</f>
        <v>50</v>
      </c>
      <c r="B121" s="216">
        <f ca="1">TblConstr[[#This Row],[Plain]]</f>
        <v>0</v>
      </c>
      <c r="C121" s="182">
        <f ca="1">TblConstr[[#This Row],[Forest]]</f>
        <v>0</v>
      </c>
      <c r="D121" s="359">
        <f ca="1">TblConstr[[#This Row],[Mountain]]</f>
        <v>0</v>
      </c>
      <c r="E121" s="363">
        <f ca="1">TblConstr[[#This Row],[Hill]]</f>
        <v>0</v>
      </c>
      <c r="F121" s="367">
        <f ca="1">TblConstr[[#This Row],[Swamp]]</f>
        <v>0</v>
      </c>
      <c r="G121" s="185">
        <f ca="1">TblConstr[[#This Row],[Cavern]]</f>
        <v>0</v>
      </c>
      <c r="H121" s="186">
        <f ca="1">TblConstr[[#This Row],[Water]]</f>
        <v>0</v>
      </c>
      <c r="I121" s="215"/>
      <c r="J121" s="175">
        <f t="shared" si="3"/>
        <v>118</v>
      </c>
      <c r="K121" s="236">
        <f ca="1">TblImps[[#This Row],[Real time]]</f>
        <v>46324.874999999716</v>
      </c>
      <c r="L121" s="179"/>
      <c r="M121" s="179"/>
      <c r="N121" s="179"/>
      <c r="O121" s="179"/>
      <c r="P121" s="179"/>
      <c r="Q121" s="179"/>
      <c r="R121" s="179"/>
      <c r="S121" s="94">
        <f>SUMIF(TblRezone[[#This Row],[Plains Rezone]:[Water Rezone]],"&gt;0")</f>
        <v>0</v>
      </c>
      <c r="T121" s="61" t="str">
        <f>IF(SUM(TblRezone[[#This Row],[Plains Rezone]:[Water Rezone]])=0,"Ok","Nope")</f>
        <v>Ok</v>
      </c>
      <c r="U121" s="215"/>
      <c r="V121" s="94">
        <f ca="1">TblProd[[#This Row],[Platinum]]</f>
        <v>207802</v>
      </c>
      <c r="W121" s="215"/>
      <c r="X121" s="94">
        <f ca="1">ROUND( (1-MIN(ROUND(facs_rezone_factor*TblRezone[[#This Row],[Facs]],4),facs_rezone_max) + tech_6_4*TblTech[[#This Row],[6-4]] + tech_10_2*TblTech[[#This Row],[10-2]] - IF(TblMagic[[#This Row],[Active Mechanical Genius]]&gt;0,mech_genius_bonus,0) + race_rezone_cost) * TblRezone[[#This Row],[Plat/acre*]],0)</f>
        <v>130</v>
      </c>
      <c r="Y121" s="94">
        <f ca="1">TblRezone[[#This Row],[Total acres]]*TblRezone[[#This Row],[Plat/acre]]</f>
        <v>0</v>
      </c>
      <c r="Z121" s="215"/>
      <c r="AA121" s="94">
        <f ca="1">(250+0.6*(TblRezone[[#This Row],[Land]]-250))</f>
        <v>130</v>
      </c>
      <c r="AB121" s="215"/>
      <c r="AC121" s="157">
        <f ca="1">TblConstr[[#This Row],[Facs DB]]</f>
        <v>0</v>
      </c>
    </row>
    <row r="122" spans="1:29" x14ac:dyDescent="0.2">
      <c r="A122" s="214">
        <f ca="1">TblConstr[[#This Row],[Land]]</f>
        <v>50</v>
      </c>
      <c r="B122" s="216">
        <f ca="1">TblConstr[[#This Row],[Plain]]</f>
        <v>0</v>
      </c>
      <c r="C122" s="182">
        <f ca="1">TblConstr[[#This Row],[Forest]]</f>
        <v>0</v>
      </c>
      <c r="D122" s="359">
        <f ca="1">TblConstr[[#This Row],[Mountain]]</f>
        <v>0</v>
      </c>
      <c r="E122" s="363">
        <f ca="1">TblConstr[[#This Row],[Hill]]</f>
        <v>0</v>
      </c>
      <c r="F122" s="367">
        <f ca="1">TblConstr[[#This Row],[Swamp]]</f>
        <v>0</v>
      </c>
      <c r="G122" s="185">
        <f ca="1">TblConstr[[#This Row],[Cavern]]</f>
        <v>0</v>
      </c>
      <c r="H122" s="186">
        <f ca="1">TblConstr[[#This Row],[Water]]</f>
        <v>0</v>
      </c>
      <c r="I122" s="215"/>
      <c r="J122" s="175">
        <f t="shared" si="3"/>
        <v>119</v>
      </c>
      <c r="K122" s="236">
        <f ca="1">TblImps[[#This Row],[Real time]]</f>
        <v>46324.91666666638</v>
      </c>
      <c r="L122" s="179"/>
      <c r="M122" s="179"/>
      <c r="N122" s="179"/>
      <c r="O122" s="179"/>
      <c r="P122" s="179"/>
      <c r="Q122" s="179"/>
      <c r="R122" s="179"/>
      <c r="S122" s="94">
        <f>SUMIF(TblRezone[[#This Row],[Plains Rezone]:[Water Rezone]],"&gt;0")</f>
        <v>0</v>
      </c>
      <c r="T122" s="61" t="str">
        <f>IF(SUM(TblRezone[[#This Row],[Plains Rezone]:[Water Rezone]])=0,"Ok","Nope")</f>
        <v>Ok</v>
      </c>
      <c r="U122" s="215"/>
      <c r="V122" s="94">
        <f ca="1">TblProd[[#This Row],[Platinum]]</f>
        <v>208190</v>
      </c>
      <c r="W122" s="215"/>
      <c r="X122" s="94">
        <f ca="1">ROUND( (1-MIN(ROUND(facs_rezone_factor*TblRezone[[#This Row],[Facs]],4),facs_rezone_max) + tech_6_4*TblTech[[#This Row],[6-4]] + tech_10_2*TblTech[[#This Row],[10-2]] - IF(TblMagic[[#This Row],[Active Mechanical Genius]]&gt;0,mech_genius_bonus,0) + race_rezone_cost) * TblRezone[[#This Row],[Plat/acre*]],0)</f>
        <v>130</v>
      </c>
      <c r="Y122" s="94">
        <f ca="1">TblRezone[[#This Row],[Total acres]]*TblRezone[[#This Row],[Plat/acre]]</f>
        <v>0</v>
      </c>
      <c r="Z122" s="215"/>
      <c r="AA122" s="94">
        <f ca="1">(250+0.6*(TblRezone[[#This Row],[Land]]-250))</f>
        <v>130</v>
      </c>
      <c r="AB122" s="215"/>
      <c r="AC122" s="157">
        <f ca="1">TblConstr[[#This Row],[Facs DB]]</f>
        <v>0</v>
      </c>
    </row>
    <row r="123" spans="1:29" x14ac:dyDescent="0.2">
      <c r="A123" s="214">
        <f ca="1">TblConstr[[#This Row],[Land]]</f>
        <v>50</v>
      </c>
      <c r="B123" s="216">
        <f ca="1">TblConstr[[#This Row],[Plain]]</f>
        <v>0</v>
      </c>
      <c r="C123" s="182">
        <f ca="1">TblConstr[[#This Row],[Forest]]</f>
        <v>0</v>
      </c>
      <c r="D123" s="359">
        <f ca="1">TblConstr[[#This Row],[Mountain]]</f>
        <v>0</v>
      </c>
      <c r="E123" s="363">
        <f ca="1">TblConstr[[#This Row],[Hill]]</f>
        <v>0</v>
      </c>
      <c r="F123" s="367">
        <f ca="1">TblConstr[[#This Row],[Swamp]]</f>
        <v>0</v>
      </c>
      <c r="G123" s="185">
        <f ca="1">TblConstr[[#This Row],[Cavern]]</f>
        <v>0</v>
      </c>
      <c r="H123" s="186">
        <f ca="1">TblConstr[[#This Row],[Water]]</f>
        <v>0</v>
      </c>
      <c r="I123" s="215"/>
      <c r="J123" s="175">
        <f t="shared" si="3"/>
        <v>120</v>
      </c>
      <c r="K123" s="236">
        <f ca="1">TblImps[[#This Row],[Real time]]</f>
        <v>46324.958333333045</v>
      </c>
      <c r="L123" s="179"/>
      <c r="M123" s="179"/>
      <c r="N123" s="179"/>
      <c r="O123" s="179"/>
      <c r="P123" s="179"/>
      <c r="Q123" s="179"/>
      <c r="R123" s="179"/>
      <c r="S123" s="94">
        <f>SUMIF(TblRezone[[#This Row],[Plains Rezone]:[Water Rezone]],"&gt;0")</f>
        <v>0</v>
      </c>
      <c r="T123" s="61" t="str">
        <f>IF(SUM(TblRezone[[#This Row],[Plains Rezone]:[Water Rezone]])=0,"Ok","Nope")</f>
        <v>Ok</v>
      </c>
      <c r="U123" s="215"/>
      <c r="V123" s="94">
        <f ca="1">TblProd[[#This Row],[Platinum]]</f>
        <v>208576</v>
      </c>
      <c r="W123" s="215"/>
      <c r="X123" s="94">
        <f ca="1">ROUND( (1-MIN(ROUND(facs_rezone_factor*TblRezone[[#This Row],[Facs]],4),facs_rezone_max) + tech_6_4*TblTech[[#This Row],[6-4]] + tech_10_2*TblTech[[#This Row],[10-2]] - IF(TblMagic[[#This Row],[Active Mechanical Genius]]&gt;0,mech_genius_bonus,0) + race_rezone_cost) * TblRezone[[#This Row],[Plat/acre*]],0)</f>
        <v>130</v>
      </c>
      <c r="Y123" s="94">
        <f ca="1">TblRezone[[#This Row],[Total acres]]*TblRezone[[#This Row],[Plat/acre]]</f>
        <v>0</v>
      </c>
      <c r="Z123" s="215"/>
      <c r="AA123" s="94">
        <f ca="1">(250+0.6*(TblRezone[[#This Row],[Land]]-250))</f>
        <v>130</v>
      </c>
      <c r="AB123" s="215"/>
      <c r="AC123" s="157">
        <f ca="1">TblConstr[[#This Row],[Facs DB]]</f>
        <v>0</v>
      </c>
    </row>
    <row r="124" spans="1:29" x14ac:dyDescent="0.2">
      <c r="A124" s="214">
        <f ca="1">TblConstr[[#This Row],[Land]]</f>
        <v>50</v>
      </c>
      <c r="B124" s="216">
        <f ca="1">TblConstr[[#This Row],[Plain]]</f>
        <v>0</v>
      </c>
      <c r="C124" s="182">
        <f ca="1">TblConstr[[#This Row],[Forest]]</f>
        <v>0</v>
      </c>
      <c r="D124" s="359">
        <f ca="1">TblConstr[[#This Row],[Mountain]]</f>
        <v>0</v>
      </c>
      <c r="E124" s="363">
        <f ca="1">TblConstr[[#This Row],[Hill]]</f>
        <v>0</v>
      </c>
      <c r="F124" s="367">
        <f ca="1">TblConstr[[#This Row],[Swamp]]</f>
        <v>0</v>
      </c>
      <c r="G124" s="185">
        <f ca="1">TblConstr[[#This Row],[Cavern]]</f>
        <v>0</v>
      </c>
      <c r="H124" s="186">
        <f ca="1">TblConstr[[#This Row],[Water]]</f>
        <v>0</v>
      </c>
      <c r="I124" s="215"/>
      <c r="J124" s="175">
        <f t="shared" si="3"/>
        <v>121</v>
      </c>
      <c r="K124" s="236">
        <f ca="1">TblImps[[#This Row],[Real time]]</f>
        <v>46324.999999999709</v>
      </c>
      <c r="L124" s="179"/>
      <c r="M124" s="179"/>
      <c r="N124" s="179"/>
      <c r="O124" s="179"/>
      <c r="P124" s="179"/>
      <c r="Q124" s="179"/>
      <c r="R124" s="179"/>
      <c r="S124" s="94">
        <f>SUMIF(TblRezone[[#This Row],[Plains Rezone]:[Water Rezone]],"&gt;0")</f>
        <v>0</v>
      </c>
      <c r="T124" s="61" t="str">
        <f>IF(SUM(TblRezone[[#This Row],[Plains Rezone]:[Water Rezone]])=0,"Ok","Nope")</f>
        <v>Ok</v>
      </c>
      <c r="U124" s="215"/>
      <c r="V124" s="94">
        <f ca="1">TblProd[[#This Row],[Platinum]]</f>
        <v>208959</v>
      </c>
      <c r="W124" s="215"/>
      <c r="X124" s="94">
        <f ca="1">ROUND( (1-MIN(ROUND(facs_rezone_factor*TblRezone[[#This Row],[Facs]],4),facs_rezone_max) + tech_6_4*TblTech[[#This Row],[6-4]] + tech_10_2*TblTech[[#This Row],[10-2]] - IF(TblMagic[[#This Row],[Active Mechanical Genius]]&gt;0,mech_genius_bonus,0) + race_rezone_cost) * TblRezone[[#This Row],[Plat/acre*]],0)</f>
        <v>130</v>
      </c>
      <c r="Y124" s="94">
        <f ca="1">TblRezone[[#This Row],[Total acres]]*TblRezone[[#This Row],[Plat/acre]]</f>
        <v>0</v>
      </c>
      <c r="Z124" s="215"/>
      <c r="AA124" s="94">
        <f ca="1">(250+0.6*(TblRezone[[#This Row],[Land]]-250))</f>
        <v>130</v>
      </c>
      <c r="AB124" s="215"/>
      <c r="AC124" s="157">
        <f ca="1">TblConstr[[#This Row],[Facs DB]]</f>
        <v>0</v>
      </c>
    </row>
    <row r="125" spans="1:29" x14ac:dyDescent="0.2">
      <c r="A125" s="214">
        <f ca="1">TblConstr[[#This Row],[Land]]</f>
        <v>50</v>
      </c>
      <c r="B125" s="216">
        <f ca="1">TblConstr[[#This Row],[Plain]]</f>
        <v>0</v>
      </c>
      <c r="C125" s="182">
        <f ca="1">TblConstr[[#This Row],[Forest]]</f>
        <v>0</v>
      </c>
      <c r="D125" s="359">
        <f ca="1">TblConstr[[#This Row],[Mountain]]</f>
        <v>0</v>
      </c>
      <c r="E125" s="363">
        <f ca="1">TblConstr[[#This Row],[Hill]]</f>
        <v>0</v>
      </c>
      <c r="F125" s="367">
        <f ca="1">TblConstr[[#This Row],[Swamp]]</f>
        <v>0</v>
      </c>
      <c r="G125" s="185">
        <f ca="1">TblConstr[[#This Row],[Cavern]]</f>
        <v>0</v>
      </c>
      <c r="H125" s="186">
        <f ca="1">TblConstr[[#This Row],[Water]]</f>
        <v>0</v>
      </c>
      <c r="I125" s="215"/>
      <c r="J125" s="175">
        <f t="shared" si="3"/>
        <v>122</v>
      </c>
      <c r="K125" s="236">
        <f ca="1">TblImps[[#This Row],[Real time]]</f>
        <v>46325.041666666373</v>
      </c>
      <c r="L125" s="179"/>
      <c r="M125" s="179"/>
      <c r="N125" s="179"/>
      <c r="O125" s="179"/>
      <c r="P125" s="179"/>
      <c r="Q125" s="179"/>
      <c r="R125" s="179"/>
      <c r="S125" s="94">
        <f>SUMIF(TblRezone[[#This Row],[Plains Rezone]:[Water Rezone]],"&gt;0")</f>
        <v>0</v>
      </c>
      <c r="T125" s="61" t="str">
        <f>IF(SUM(TblRezone[[#This Row],[Plains Rezone]:[Water Rezone]])=0,"Ok","Nope")</f>
        <v>Ok</v>
      </c>
      <c r="U125" s="215"/>
      <c r="V125" s="94">
        <f ca="1">TblProd[[#This Row],[Platinum]]</f>
        <v>209339</v>
      </c>
      <c r="W125" s="215"/>
      <c r="X125" s="94">
        <f ca="1">ROUND( (1-MIN(ROUND(facs_rezone_factor*TblRezone[[#This Row],[Facs]],4),facs_rezone_max) + tech_6_4*TblTech[[#This Row],[6-4]] + tech_10_2*TblTech[[#This Row],[10-2]] - IF(TblMagic[[#This Row],[Active Mechanical Genius]]&gt;0,mech_genius_bonus,0) + race_rezone_cost) * TblRezone[[#This Row],[Plat/acre*]],0)</f>
        <v>130</v>
      </c>
      <c r="Y125" s="94">
        <f ca="1">TblRezone[[#This Row],[Total acres]]*TblRezone[[#This Row],[Plat/acre]]</f>
        <v>0</v>
      </c>
      <c r="Z125" s="215"/>
      <c r="AA125" s="94">
        <f ca="1">(250+0.6*(TblRezone[[#This Row],[Land]]-250))</f>
        <v>130</v>
      </c>
      <c r="AB125" s="215"/>
      <c r="AC125" s="157">
        <f ca="1">TblConstr[[#This Row],[Facs DB]]</f>
        <v>0</v>
      </c>
    </row>
    <row r="126" spans="1:29" x14ac:dyDescent="0.2">
      <c r="A126" s="214">
        <f ca="1">TblConstr[[#This Row],[Land]]</f>
        <v>50</v>
      </c>
      <c r="B126" s="216">
        <f ca="1">TblConstr[[#This Row],[Plain]]</f>
        <v>0</v>
      </c>
      <c r="C126" s="182">
        <f ca="1">TblConstr[[#This Row],[Forest]]</f>
        <v>0</v>
      </c>
      <c r="D126" s="359">
        <f ca="1">TblConstr[[#This Row],[Mountain]]</f>
        <v>0</v>
      </c>
      <c r="E126" s="363">
        <f ca="1">TblConstr[[#This Row],[Hill]]</f>
        <v>0</v>
      </c>
      <c r="F126" s="367">
        <f ca="1">TblConstr[[#This Row],[Swamp]]</f>
        <v>0</v>
      </c>
      <c r="G126" s="185">
        <f ca="1">TblConstr[[#This Row],[Cavern]]</f>
        <v>0</v>
      </c>
      <c r="H126" s="186">
        <f ca="1">TblConstr[[#This Row],[Water]]</f>
        <v>0</v>
      </c>
      <c r="I126" s="215"/>
      <c r="J126" s="175">
        <f t="shared" si="3"/>
        <v>123</v>
      </c>
      <c r="K126" s="236">
        <f ca="1">TblImps[[#This Row],[Real time]]</f>
        <v>46325.083333333037</v>
      </c>
      <c r="L126" s="179"/>
      <c r="M126" s="179"/>
      <c r="N126" s="179"/>
      <c r="O126" s="179"/>
      <c r="P126" s="179"/>
      <c r="Q126" s="179"/>
      <c r="R126" s="179"/>
      <c r="S126" s="94">
        <f>SUMIF(TblRezone[[#This Row],[Plains Rezone]:[Water Rezone]],"&gt;0")</f>
        <v>0</v>
      </c>
      <c r="T126" s="61" t="str">
        <f>IF(SUM(TblRezone[[#This Row],[Plains Rezone]:[Water Rezone]])=0,"Ok","Nope")</f>
        <v>Ok</v>
      </c>
      <c r="U126" s="215"/>
      <c r="V126" s="94">
        <f ca="1">TblProd[[#This Row],[Platinum]]</f>
        <v>209717</v>
      </c>
      <c r="W126" s="215"/>
      <c r="X126" s="94">
        <f ca="1">ROUND( (1-MIN(ROUND(facs_rezone_factor*TblRezone[[#This Row],[Facs]],4),facs_rezone_max) + tech_6_4*TblTech[[#This Row],[6-4]] + tech_10_2*TblTech[[#This Row],[10-2]] - IF(TblMagic[[#This Row],[Active Mechanical Genius]]&gt;0,mech_genius_bonus,0) + race_rezone_cost) * TblRezone[[#This Row],[Plat/acre*]],0)</f>
        <v>130</v>
      </c>
      <c r="Y126" s="94">
        <f ca="1">TblRezone[[#This Row],[Total acres]]*TblRezone[[#This Row],[Plat/acre]]</f>
        <v>0</v>
      </c>
      <c r="Z126" s="215"/>
      <c r="AA126" s="94">
        <f ca="1">(250+0.6*(TblRezone[[#This Row],[Land]]-250))</f>
        <v>130</v>
      </c>
      <c r="AB126" s="215"/>
      <c r="AC126" s="157">
        <f ca="1">TblConstr[[#This Row],[Facs DB]]</f>
        <v>0</v>
      </c>
    </row>
    <row r="127" spans="1:29" x14ac:dyDescent="0.2">
      <c r="A127" s="214">
        <f ca="1">TblConstr[[#This Row],[Land]]</f>
        <v>50</v>
      </c>
      <c r="B127" s="216">
        <f ca="1">TblConstr[[#This Row],[Plain]]</f>
        <v>0</v>
      </c>
      <c r="C127" s="182">
        <f ca="1">TblConstr[[#This Row],[Forest]]</f>
        <v>0</v>
      </c>
      <c r="D127" s="359">
        <f ca="1">TblConstr[[#This Row],[Mountain]]</f>
        <v>0</v>
      </c>
      <c r="E127" s="363">
        <f ca="1">TblConstr[[#This Row],[Hill]]</f>
        <v>0</v>
      </c>
      <c r="F127" s="367">
        <f ca="1">TblConstr[[#This Row],[Swamp]]</f>
        <v>0</v>
      </c>
      <c r="G127" s="185">
        <f ca="1">TblConstr[[#This Row],[Cavern]]</f>
        <v>0</v>
      </c>
      <c r="H127" s="186">
        <f ca="1">TblConstr[[#This Row],[Water]]</f>
        <v>0</v>
      </c>
      <c r="I127" s="215"/>
      <c r="J127" s="175">
        <f t="shared" si="3"/>
        <v>124</v>
      </c>
      <c r="K127" s="236">
        <f ca="1">TblImps[[#This Row],[Real time]]</f>
        <v>46325.124999999702</v>
      </c>
      <c r="L127" s="179"/>
      <c r="M127" s="179"/>
      <c r="N127" s="179"/>
      <c r="O127" s="179"/>
      <c r="P127" s="179"/>
      <c r="Q127" s="179"/>
      <c r="R127" s="179"/>
      <c r="S127" s="94">
        <f>SUMIF(TblRezone[[#This Row],[Plains Rezone]:[Water Rezone]],"&gt;0")</f>
        <v>0</v>
      </c>
      <c r="T127" s="61" t="str">
        <f>IF(SUM(TblRezone[[#This Row],[Plains Rezone]:[Water Rezone]])=0,"Ok","Nope")</f>
        <v>Ok</v>
      </c>
      <c r="U127" s="215"/>
      <c r="V127" s="94">
        <f ca="1">TblProd[[#This Row],[Platinum]]</f>
        <v>210092</v>
      </c>
      <c r="W127" s="215"/>
      <c r="X127" s="94">
        <f ca="1">ROUND( (1-MIN(ROUND(facs_rezone_factor*TblRezone[[#This Row],[Facs]],4),facs_rezone_max) + tech_6_4*TblTech[[#This Row],[6-4]] + tech_10_2*TblTech[[#This Row],[10-2]] - IF(TblMagic[[#This Row],[Active Mechanical Genius]]&gt;0,mech_genius_bonus,0) + race_rezone_cost) * TblRezone[[#This Row],[Plat/acre*]],0)</f>
        <v>130</v>
      </c>
      <c r="Y127" s="94">
        <f ca="1">TblRezone[[#This Row],[Total acres]]*TblRezone[[#This Row],[Plat/acre]]</f>
        <v>0</v>
      </c>
      <c r="Z127" s="215"/>
      <c r="AA127" s="94">
        <f ca="1">(250+0.6*(TblRezone[[#This Row],[Land]]-250))</f>
        <v>130</v>
      </c>
      <c r="AB127" s="215"/>
      <c r="AC127" s="157">
        <f ca="1">TblConstr[[#This Row],[Facs DB]]</f>
        <v>0</v>
      </c>
    </row>
    <row r="128" spans="1:29" x14ac:dyDescent="0.2">
      <c r="A128" s="214">
        <f ca="1">TblConstr[[#This Row],[Land]]</f>
        <v>50</v>
      </c>
      <c r="B128" s="216">
        <f ca="1">TblConstr[[#This Row],[Plain]]</f>
        <v>0</v>
      </c>
      <c r="C128" s="182">
        <f ca="1">TblConstr[[#This Row],[Forest]]</f>
        <v>0</v>
      </c>
      <c r="D128" s="359">
        <f ca="1">TblConstr[[#This Row],[Mountain]]</f>
        <v>0</v>
      </c>
      <c r="E128" s="363">
        <f ca="1">TblConstr[[#This Row],[Hill]]</f>
        <v>0</v>
      </c>
      <c r="F128" s="367">
        <f ca="1">TblConstr[[#This Row],[Swamp]]</f>
        <v>0</v>
      </c>
      <c r="G128" s="185">
        <f ca="1">TblConstr[[#This Row],[Cavern]]</f>
        <v>0</v>
      </c>
      <c r="H128" s="186">
        <f ca="1">TblConstr[[#This Row],[Water]]</f>
        <v>0</v>
      </c>
      <c r="I128" s="215"/>
      <c r="J128" s="175">
        <f t="shared" si="3"/>
        <v>125</v>
      </c>
      <c r="K128" s="236">
        <f ca="1">TblImps[[#This Row],[Real time]]</f>
        <v>46325.166666666366</v>
      </c>
      <c r="L128" s="179"/>
      <c r="M128" s="179"/>
      <c r="N128" s="179"/>
      <c r="O128" s="179"/>
      <c r="P128" s="179"/>
      <c r="Q128" s="179"/>
      <c r="R128" s="179"/>
      <c r="S128" s="94">
        <f>SUMIF(TblRezone[[#This Row],[Plains Rezone]:[Water Rezone]],"&gt;0")</f>
        <v>0</v>
      </c>
      <c r="T128" s="61" t="str">
        <f>IF(SUM(TblRezone[[#This Row],[Plains Rezone]:[Water Rezone]])=0,"Ok","Nope")</f>
        <v>Ok</v>
      </c>
      <c r="U128" s="215"/>
      <c r="V128" s="94">
        <f ca="1">TblProd[[#This Row],[Platinum]]</f>
        <v>210464</v>
      </c>
      <c r="W128" s="215"/>
      <c r="X128" s="94">
        <f ca="1">ROUND( (1-MIN(ROUND(facs_rezone_factor*TblRezone[[#This Row],[Facs]],4),facs_rezone_max) + tech_6_4*TblTech[[#This Row],[6-4]] + tech_10_2*TblTech[[#This Row],[10-2]] - IF(TblMagic[[#This Row],[Active Mechanical Genius]]&gt;0,mech_genius_bonus,0) + race_rezone_cost) * TblRezone[[#This Row],[Plat/acre*]],0)</f>
        <v>130</v>
      </c>
      <c r="Y128" s="94">
        <f ca="1">TblRezone[[#This Row],[Total acres]]*TblRezone[[#This Row],[Plat/acre]]</f>
        <v>0</v>
      </c>
      <c r="Z128" s="215"/>
      <c r="AA128" s="94">
        <f ca="1">(250+0.6*(TblRezone[[#This Row],[Land]]-250))</f>
        <v>130</v>
      </c>
      <c r="AB128" s="215"/>
      <c r="AC128" s="157">
        <f ca="1">TblConstr[[#This Row],[Facs DB]]</f>
        <v>0</v>
      </c>
    </row>
    <row r="129" spans="1:29" x14ac:dyDescent="0.2">
      <c r="A129" s="214">
        <f ca="1">TblConstr[[#This Row],[Land]]</f>
        <v>50</v>
      </c>
      <c r="B129" s="216">
        <f ca="1">TblConstr[[#This Row],[Plain]]</f>
        <v>0</v>
      </c>
      <c r="C129" s="182">
        <f ca="1">TblConstr[[#This Row],[Forest]]</f>
        <v>0</v>
      </c>
      <c r="D129" s="359">
        <f ca="1">TblConstr[[#This Row],[Mountain]]</f>
        <v>0</v>
      </c>
      <c r="E129" s="363">
        <f ca="1">TblConstr[[#This Row],[Hill]]</f>
        <v>0</v>
      </c>
      <c r="F129" s="367">
        <f ca="1">TblConstr[[#This Row],[Swamp]]</f>
        <v>0</v>
      </c>
      <c r="G129" s="185">
        <f ca="1">TblConstr[[#This Row],[Cavern]]</f>
        <v>0</v>
      </c>
      <c r="H129" s="186">
        <f ca="1">TblConstr[[#This Row],[Water]]</f>
        <v>0</v>
      </c>
      <c r="I129" s="215"/>
      <c r="J129" s="175">
        <f t="shared" si="3"/>
        <v>126</v>
      </c>
      <c r="K129" s="236">
        <f ca="1">TblImps[[#This Row],[Real time]]</f>
        <v>46325.20833333303</v>
      </c>
      <c r="L129" s="179"/>
      <c r="M129" s="179"/>
      <c r="N129" s="179"/>
      <c r="O129" s="179"/>
      <c r="P129" s="179"/>
      <c r="Q129" s="179"/>
      <c r="R129" s="179"/>
      <c r="S129" s="94">
        <f>SUMIF(TblRezone[[#This Row],[Plains Rezone]:[Water Rezone]],"&gt;0")</f>
        <v>0</v>
      </c>
      <c r="T129" s="61" t="str">
        <f>IF(SUM(TblRezone[[#This Row],[Plains Rezone]:[Water Rezone]])=0,"Ok","Nope")</f>
        <v>Ok</v>
      </c>
      <c r="U129" s="215"/>
      <c r="V129" s="94">
        <f ca="1">TblProd[[#This Row],[Platinum]]</f>
        <v>210833</v>
      </c>
      <c r="W129" s="215"/>
      <c r="X129" s="94">
        <f ca="1">ROUND( (1-MIN(ROUND(facs_rezone_factor*TblRezone[[#This Row],[Facs]],4),facs_rezone_max) + tech_6_4*TblTech[[#This Row],[6-4]] + tech_10_2*TblTech[[#This Row],[10-2]] - IF(TblMagic[[#This Row],[Active Mechanical Genius]]&gt;0,mech_genius_bonus,0) + race_rezone_cost) * TblRezone[[#This Row],[Plat/acre*]],0)</f>
        <v>130</v>
      </c>
      <c r="Y129" s="94">
        <f ca="1">TblRezone[[#This Row],[Total acres]]*TblRezone[[#This Row],[Plat/acre]]</f>
        <v>0</v>
      </c>
      <c r="Z129" s="215"/>
      <c r="AA129" s="94">
        <f ca="1">(250+0.6*(TblRezone[[#This Row],[Land]]-250))</f>
        <v>130</v>
      </c>
      <c r="AB129" s="215"/>
      <c r="AC129" s="157">
        <f ca="1">TblConstr[[#This Row],[Facs DB]]</f>
        <v>0</v>
      </c>
    </row>
    <row r="130" spans="1:29" x14ac:dyDescent="0.2">
      <c r="A130" s="214">
        <f ca="1">TblConstr[[#This Row],[Land]]</f>
        <v>50</v>
      </c>
      <c r="B130" s="216">
        <f ca="1">TblConstr[[#This Row],[Plain]]</f>
        <v>0</v>
      </c>
      <c r="C130" s="182">
        <f ca="1">TblConstr[[#This Row],[Forest]]</f>
        <v>0</v>
      </c>
      <c r="D130" s="359">
        <f ca="1">TblConstr[[#This Row],[Mountain]]</f>
        <v>0</v>
      </c>
      <c r="E130" s="363">
        <f ca="1">TblConstr[[#This Row],[Hill]]</f>
        <v>0</v>
      </c>
      <c r="F130" s="367">
        <f ca="1">TblConstr[[#This Row],[Swamp]]</f>
        <v>0</v>
      </c>
      <c r="G130" s="185">
        <f ca="1">TblConstr[[#This Row],[Cavern]]</f>
        <v>0</v>
      </c>
      <c r="H130" s="186">
        <f ca="1">TblConstr[[#This Row],[Water]]</f>
        <v>0</v>
      </c>
      <c r="I130" s="215"/>
      <c r="J130" s="175">
        <f t="shared" si="3"/>
        <v>127</v>
      </c>
      <c r="K130" s="236">
        <f ca="1">TblImps[[#This Row],[Real time]]</f>
        <v>46325.249999999694</v>
      </c>
      <c r="L130" s="179"/>
      <c r="M130" s="179"/>
      <c r="N130" s="179"/>
      <c r="O130" s="179"/>
      <c r="P130" s="179"/>
      <c r="Q130" s="179"/>
      <c r="R130" s="179"/>
      <c r="S130" s="94">
        <f>SUMIF(TblRezone[[#This Row],[Plains Rezone]:[Water Rezone]],"&gt;0")</f>
        <v>0</v>
      </c>
      <c r="T130" s="61" t="str">
        <f>IF(SUM(TblRezone[[#This Row],[Plains Rezone]:[Water Rezone]])=0,"Ok","Nope")</f>
        <v>Ok</v>
      </c>
      <c r="U130" s="215"/>
      <c r="V130" s="94">
        <f ca="1">TblProd[[#This Row],[Platinum]]</f>
        <v>211200</v>
      </c>
      <c r="W130" s="215"/>
      <c r="X130" s="94">
        <f ca="1">ROUND( (1-MIN(ROUND(facs_rezone_factor*TblRezone[[#This Row],[Facs]],4),facs_rezone_max) + tech_6_4*TblTech[[#This Row],[6-4]] + tech_10_2*TblTech[[#This Row],[10-2]] - IF(TblMagic[[#This Row],[Active Mechanical Genius]]&gt;0,mech_genius_bonus,0) + race_rezone_cost) * TblRezone[[#This Row],[Plat/acre*]],0)</f>
        <v>130</v>
      </c>
      <c r="Y130" s="94">
        <f ca="1">TblRezone[[#This Row],[Total acres]]*TblRezone[[#This Row],[Plat/acre]]</f>
        <v>0</v>
      </c>
      <c r="Z130" s="215"/>
      <c r="AA130" s="94">
        <f ca="1">(250+0.6*(TblRezone[[#This Row],[Land]]-250))</f>
        <v>130</v>
      </c>
      <c r="AB130" s="215"/>
      <c r="AC130" s="157">
        <f ca="1">TblConstr[[#This Row],[Facs DB]]</f>
        <v>0</v>
      </c>
    </row>
    <row r="131" spans="1:29" x14ac:dyDescent="0.2">
      <c r="A131" s="214">
        <f ca="1">TblConstr[[#This Row],[Land]]</f>
        <v>50</v>
      </c>
      <c r="B131" s="216">
        <f ca="1">TblConstr[[#This Row],[Plain]]</f>
        <v>0</v>
      </c>
      <c r="C131" s="182">
        <f ca="1">TblConstr[[#This Row],[Forest]]</f>
        <v>0</v>
      </c>
      <c r="D131" s="359">
        <f ca="1">TblConstr[[#This Row],[Mountain]]</f>
        <v>0</v>
      </c>
      <c r="E131" s="363">
        <f ca="1">TblConstr[[#This Row],[Hill]]</f>
        <v>0</v>
      </c>
      <c r="F131" s="367">
        <f ca="1">TblConstr[[#This Row],[Swamp]]</f>
        <v>0</v>
      </c>
      <c r="G131" s="185">
        <f ca="1">TblConstr[[#This Row],[Cavern]]</f>
        <v>0</v>
      </c>
      <c r="H131" s="186">
        <f ca="1">TblConstr[[#This Row],[Water]]</f>
        <v>0</v>
      </c>
      <c r="I131" s="215"/>
      <c r="J131" s="175">
        <f t="shared" si="3"/>
        <v>128</v>
      </c>
      <c r="K131" s="236">
        <f ca="1">TblImps[[#This Row],[Real time]]</f>
        <v>46325.291666666359</v>
      </c>
      <c r="L131" s="179"/>
      <c r="M131" s="179"/>
      <c r="N131" s="179"/>
      <c r="O131" s="179"/>
      <c r="P131" s="179"/>
      <c r="Q131" s="179"/>
      <c r="R131" s="179"/>
      <c r="S131" s="94">
        <f>SUMIF(TblRezone[[#This Row],[Plains Rezone]:[Water Rezone]],"&gt;0")</f>
        <v>0</v>
      </c>
      <c r="T131" s="61" t="str">
        <f>IF(SUM(TblRezone[[#This Row],[Plains Rezone]:[Water Rezone]])=0,"Ok","Nope")</f>
        <v>Ok</v>
      </c>
      <c r="U131" s="215"/>
      <c r="V131" s="94">
        <f ca="1">TblProd[[#This Row],[Platinum]]</f>
        <v>211564</v>
      </c>
      <c r="W131" s="215"/>
      <c r="X131" s="94">
        <f ca="1">ROUND( (1-MIN(ROUND(facs_rezone_factor*TblRezone[[#This Row],[Facs]],4),facs_rezone_max) + tech_6_4*TblTech[[#This Row],[6-4]] + tech_10_2*TblTech[[#This Row],[10-2]] - IF(TblMagic[[#This Row],[Active Mechanical Genius]]&gt;0,mech_genius_bonus,0) + race_rezone_cost) * TblRezone[[#This Row],[Plat/acre*]],0)</f>
        <v>130</v>
      </c>
      <c r="Y131" s="94">
        <f ca="1">TblRezone[[#This Row],[Total acres]]*TblRezone[[#This Row],[Plat/acre]]</f>
        <v>0</v>
      </c>
      <c r="Z131" s="215"/>
      <c r="AA131" s="94">
        <f ca="1">(250+0.6*(TblRezone[[#This Row],[Land]]-250))</f>
        <v>130</v>
      </c>
      <c r="AB131" s="215"/>
      <c r="AC131" s="157">
        <f ca="1">TblConstr[[#This Row],[Facs DB]]</f>
        <v>0</v>
      </c>
    </row>
    <row r="132" spans="1:29" x14ac:dyDescent="0.2">
      <c r="A132" s="214">
        <f ca="1">TblConstr[[#This Row],[Land]]</f>
        <v>50</v>
      </c>
      <c r="B132" s="216">
        <f ca="1">TblConstr[[#This Row],[Plain]]</f>
        <v>0</v>
      </c>
      <c r="C132" s="182">
        <f ca="1">TblConstr[[#This Row],[Forest]]</f>
        <v>0</v>
      </c>
      <c r="D132" s="359">
        <f ca="1">TblConstr[[#This Row],[Mountain]]</f>
        <v>0</v>
      </c>
      <c r="E132" s="363">
        <f ca="1">TblConstr[[#This Row],[Hill]]</f>
        <v>0</v>
      </c>
      <c r="F132" s="367">
        <f ca="1">TblConstr[[#This Row],[Swamp]]</f>
        <v>0</v>
      </c>
      <c r="G132" s="185">
        <f ca="1">TblConstr[[#This Row],[Cavern]]</f>
        <v>0</v>
      </c>
      <c r="H132" s="186">
        <f ca="1">TblConstr[[#This Row],[Water]]</f>
        <v>0</v>
      </c>
      <c r="I132" s="215"/>
      <c r="J132" s="175">
        <f t="shared" si="3"/>
        <v>129</v>
      </c>
      <c r="K132" s="236">
        <f ca="1">TblImps[[#This Row],[Real time]]</f>
        <v>46325.333333333023</v>
      </c>
      <c r="L132" s="179"/>
      <c r="M132" s="179"/>
      <c r="N132" s="179"/>
      <c r="O132" s="179"/>
      <c r="P132" s="179"/>
      <c r="Q132" s="179"/>
      <c r="R132" s="179"/>
      <c r="S132" s="94">
        <f>SUMIF(TblRezone[[#This Row],[Plains Rezone]:[Water Rezone]],"&gt;0")</f>
        <v>0</v>
      </c>
      <c r="T132" s="61" t="str">
        <f>IF(SUM(TblRezone[[#This Row],[Plains Rezone]:[Water Rezone]])=0,"Ok","Nope")</f>
        <v>Ok</v>
      </c>
      <c r="U132" s="215"/>
      <c r="V132" s="94">
        <f ca="1">TblProd[[#This Row],[Platinum]]</f>
        <v>211925</v>
      </c>
      <c r="W132" s="215"/>
      <c r="X132" s="94">
        <f ca="1">ROUND( (1-MIN(ROUND(facs_rezone_factor*TblRezone[[#This Row],[Facs]],4),facs_rezone_max) + tech_6_4*TblTech[[#This Row],[6-4]] + tech_10_2*TblTech[[#This Row],[10-2]] - IF(TblMagic[[#This Row],[Active Mechanical Genius]]&gt;0,mech_genius_bonus,0) + race_rezone_cost) * TblRezone[[#This Row],[Plat/acre*]],0)</f>
        <v>130</v>
      </c>
      <c r="Y132" s="94">
        <f ca="1">TblRezone[[#This Row],[Total acres]]*TblRezone[[#This Row],[Plat/acre]]</f>
        <v>0</v>
      </c>
      <c r="Z132" s="215"/>
      <c r="AA132" s="94">
        <f ca="1">(250+0.6*(TblRezone[[#This Row],[Land]]-250))</f>
        <v>130</v>
      </c>
      <c r="AB132" s="215"/>
      <c r="AC132" s="157">
        <f ca="1">TblConstr[[#This Row],[Facs DB]]</f>
        <v>0</v>
      </c>
    </row>
    <row r="133" spans="1:29" x14ac:dyDescent="0.2">
      <c r="A133" s="214">
        <f ca="1">TblConstr[[#This Row],[Land]]</f>
        <v>50</v>
      </c>
      <c r="B133" s="216">
        <f ca="1">TblConstr[[#This Row],[Plain]]</f>
        <v>0</v>
      </c>
      <c r="C133" s="182">
        <f ca="1">TblConstr[[#This Row],[Forest]]</f>
        <v>0</v>
      </c>
      <c r="D133" s="359">
        <f ca="1">TblConstr[[#This Row],[Mountain]]</f>
        <v>0</v>
      </c>
      <c r="E133" s="363">
        <f ca="1">TblConstr[[#This Row],[Hill]]</f>
        <v>0</v>
      </c>
      <c r="F133" s="367">
        <f ca="1">TblConstr[[#This Row],[Swamp]]</f>
        <v>0</v>
      </c>
      <c r="G133" s="185">
        <f ca="1">TblConstr[[#This Row],[Cavern]]</f>
        <v>0</v>
      </c>
      <c r="H133" s="186">
        <f ca="1">TblConstr[[#This Row],[Water]]</f>
        <v>0</v>
      </c>
      <c r="I133" s="215"/>
      <c r="J133" s="175">
        <f t="shared" si="3"/>
        <v>130</v>
      </c>
      <c r="K133" s="236">
        <f ca="1">TblImps[[#This Row],[Real time]]</f>
        <v>46325.374999999687</v>
      </c>
      <c r="L133" s="179"/>
      <c r="M133" s="179"/>
      <c r="N133" s="179"/>
      <c r="O133" s="179"/>
      <c r="P133" s="179"/>
      <c r="Q133" s="179"/>
      <c r="R133" s="179"/>
      <c r="S133" s="94">
        <f>SUMIF(TblRezone[[#This Row],[Plains Rezone]:[Water Rezone]],"&gt;0")</f>
        <v>0</v>
      </c>
      <c r="T133" s="61" t="str">
        <f>IF(SUM(TblRezone[[#This Row],[Plains Rezone]:[Water Rezone]])=0,"Ok","Nope")</f>
        <v>Ok</v>
      </c>
      <c r="U133" s="215"/>
      <c r="V133" s="94">
        <f ca="1">TblProd[[#This Row],[Platinum]]</f>
        <v>212284</v>
      </c>
      <c r="W133" s="215"/>
      <c r="X133" s="94">
        <f ca="1">ROUND( (1-MIN(ROUND(facs_rezone_factor*TblRezone[[#This Row],[Facs]],4),facs_rezone_max) + tech_6_4*TblTech[[#This Row],[6-4]] + tech_10_2*TblTech[[#This Row],[10-2]] - IF(TblMagic[[#This Row],[Active Mechanical Genius]]&gt;0,mech_genius_bonus,0) + race_rezone_cost) * TblRezone[[#This Row],[Plat/acre*]],0)</f>
        <v>130</v>
      </c>
      <c r="Y133" s="94">
        <f ca="1">TblRezone[[#This Row],[Total acres]]*TblRezone[[#This Row],[Plat/acre]]</f>
        <v>0</v>
      </c>
      <c r="Z133" s="215"/>
      <c r="AA133" s="94">
        <f ca="1">(250+0.6*(TblRezone[[#This Row],[Land]]-250))</f>
        <v>130</v>
      </c>
      <c r="AB133" s="215"/>
      <c r="AC133" s="157">
        <f ca="1">TblConstr[[#This Row],[Facs DB]]</f>
        <v>0</v>
      </c>
    </row>
    <row r="134" spans="1:29" x14ac:dyDescent="0.2">
      <c r="A134" s="214">
        <f ca="1">TblConstr[[#This Row],[Land]]</f>
        <v>50</v>
      </c>
      <c r="B134" s="216">
        <f ca="1">TblConstr[[#This Row],[Plain]]</f>
        <v>0</v>
      </c>
      <c r="C134" s="182">
        <f ca="1">TblConstr[[#This Row],[Forest]]</f>
        <v>0</v>
      </c>
      <c r="D134" s="359">
        <f ca="1">TblConstr[[#This Row],[Mountain]]</f>
        <v>0</v>
      </c>
      <c r="E134" s="363">
        <f ca="1">TblConstr[[#This Row],[Hill]]</f>
        <v>0</v>
      </c>
      <c r="F134" s="367">
        <f ca="1">TblConstr[[#This Row],[Swamp]]</f>
        <v>0</v>
      </c>
      <c r="G134" s="185">
        <f ca="1">TblConstr[[#This Row],[Cavern]]</f>
        <v>0</v>
      </c>
      <c r="H134" s="186">
        <f ca="1">TblConstr[[#This Row],[Water]]</f>
        <v>0</v>
      </c>
      <c r="I134" s="215"/>
      <c r="J134" s="175">
        <f t="shared" si="3"/>
        <v>131</v>
      </c>
      <c r="K134" s="236">
        <f ca="1">TblImps[[#This Row],[Real time]]</f>
        <v>46325.416666666351</v>
      </c>
      <c r="L134" s="179"/>
      <c r="M134" s="179"/>
      <c r="N134" s="179"/>
      <c r="O134" s="179"/>
      <c r="P134" s="179"/>
      <c r="Q134" s="179"/>
      <c r="R134" s="179"/>
      <c r="S134" s="94">
        <f>SUMIF(TblRezone[[#This Row],[Plains Rezone]:[Water Rezone]],"&gt;0")</f>
        <v>0</v>
      </c>
      <c r="T134" s="61" t="str">
        <f>IF(SUM(TblRezone[[#This Row],[Plains Rezone]:[Water Rezone]])=0,"Ok","Nope")</f>
        <v>Ok</v>
      </c>
      <c r="U134" s="215"/>
      <c r="V134" s="94">
        <f ca="1">TblProd[[#This Row],[Platinum]]</f>
        <v>212640</v>
      </c>
      <c r="W134" s="215"/>
      <c r="X134" s="94">
        <f ca="1">ROUND( (1-MIN(ROUND(facs_rezone_factor*TblRezone[[#This Row],[Facs]],4),facs_rezone_max) + tech_6_4*TblTech[[#This Row],[6-4]] + tech_10_2*TblTech[[#This Row],[10-2]] - IF(TblMagic[[#This Row],[Active Mechanical Genius]]&gt;0,mech_genius_bonus,0) + race_rezone_cost) * TblRezone[[#This Row],[Plat/acre*]],0)</f>
        <v>130</v>
      </c>
      <c r="Y134" s="94">
        <f ca="1">TblRezone[[#This Row],[Total acres]]*TblRezone[[#This Row],[Plat/acre]]</f>
        <v>0</v>
      </c>
      <c r="Z134" s="215"/>
      <c r="AA134" s="94">
        <f ca="1">(250+0.6*(TblRezone[[#This Row],[Land]]-250))</f>
        <v>130</v>
      </c>
      <c r="AB134" s="215"/>
      <c r="AC134" s="157">
        <f ca="1">TblConstr[[#This Row],[Facs DB]]</f>
        <v>0</v>
      </c>
    </row>
    <row r="135" spans="1:29" x14ac:dyDescent="0.2">
      <c r="A135" s="214">
        <f ca="1">TblConstr[[#This Row],[Land]]</f>
        <v>50</v>
      </c>
      <c r="B135" s="216">
        <f ca="1">TblConstr[[#This Row],[Plain]]</f>
        <v>0</v>
      </c>
      <c r="C135" s="182">
        <f ca="1">TblConstr[[#This Row],[Forest]]</f>
        <v>0</v>
      </c>
      <c r="D135" s="359">
        <f ca="1">TblConstr[[#This Row],[Mountain]]</f>
        <v>0</v>
      </c>
      <c r="E135" s="363">
        <f ca="1">TblConstr[[#This Row],[Hill]]</f>
        <v>0</v>
      </c>
      <c r="F135" s="367">
        <f ca="1">TblConstr[[#This Row],[Swamp]]</f>
        <v>0</v>
      </c>
      <c r="G135" s="185">
        <f ca="1">TblConstr[[#This Row],[Cavern]]</f>
        <v>0</v>
      </c>
      <c r="H135" s="186">
        <f ca="1">TblConstr[[#This Row],[Water]]</f>
        <v>0</v>
      </c>
      <c r="I135" s="215"/>
      <c r="J135" s="175">
        <f t="shared" si="3"/>
        <v>132</v>
      </c>
      <c r="K135" s="236">
        <f ca="1">TblImps[[#This Row],[Real time]]</f>
        <v>46325.458333333016</v>
      </c>
      <c r="L135" s="179"/>
      <c r="M135" s="179"/>
      <c r="N135" s="179"/>
      <c r="O135" s="179"/>
      <c r="P135" s="179"/>
      <c r="Q135" s="179"/>
      <c r="R135" s="179"/>
      <c r="S135" s="94">
        <f>SUMIF(TblRezone[[#This Row],[Plains Rezone]:[Water Rezone]],"&gt;0")</f>
        <v>0</v>
      </c>
      <c r="T135" s="61" t="str">
        <f>IF(SUM(TblRezone[[#This Row],[Plains Rezone]:[Water Rezone]])=0,"Ok","Nope")</f>
        <v>Ok</v>
      </c>
      <c r="U135" s="215"/>
      <c r="V135" s="94">
        <f ca="1">TblProd[[#This Row],[Platinum]]</f>
        <v>212993</v>
      </c>
      <c r="W135" s="215"/>
      <c r="X135" s="94">
        <f ca="1">ROUND( (1-MIN(ROUND(facs_rezone_factor*TblRezone[[#This Row],[Facs]],4),facs_rezone_max) + tech_6_4*TblTech[[#This Row],[6-4]] + tech_10_2*TblTech[[#This Row],[10-2]] - IF(TblMagic[[#This Row],[Active Mechanical Genius]]&gt;0,mech_genius_bonus,0) + race_rezone_cost) * TblRezone[[#This Row],[Plat/acre*]],0)</f>
        <v>130</v>
      </c>
      <c r="Y135" s="94">
        <f ca="1">TblRezone[[#This Row],[Total acres]]*TblRezone[[#This Row],[Plat/acre]]</f>
        <v>0</v>
      </c>
      <c r="Z135" s="215"/>
      <c r="AA135" s="94">
        <f ca="1">(250+0.6*(TblRezone[[#This Row],[Land]]-250))</f>
        <v>130</v>
      </c>
      <c r="AB135" s="215"/>
      <c r="AC135" s="157">
        <f ca="1">TblConstr[[#This Row],[Facs DB]]</f>
        <v>0</v>
      </c>
    </row>
    <row r="136" spans="1:29" x14ac:dyDescent="0.2">
      <c r="A136" s="214">
        <f ca="1">TblConstr[[#This Row],[Land]]</f>
        <v>50</v>
      </c>
      <c r="B136" s="216">
        <f ca="1">TblConstr[[#This Row],[Plain]]</f>
        <v>0</v>
      </c>
      <c r="C136" s="182">
        <f ca="1">TblConstr[[#This Row],[Forest]]</f>
        <v>0</v>
      </c>
      <c r="D136" s="359">
        <f ca="1">TblConstr[[#This Row],[Mountain]]</f>
        <v>0</v>
      </c>
      <c r="E136" s="363">
        <f ca="1">TblConstr[[#This Row],[Hill]]</f>
        <v>0</v>
      </c>
      <c r="F136" s="367">
        <f ca="1">TblConstr[[#This Row],[Swamp]]</f>
        <v>0</v>
      </c>
      <c r="G136" s="185">
        <f ca="1">TblConstr[[#This Row],[Cavern]]</f>
        <v>0</v>
      </c>
      <c r="H136" s="186">
        <f ca="1">TblConstr[[#This Row],[Water]]</f>
        <v>0</v>
      </c>
      <c r="I136" s="215"/>
      <c r="J136" s="175">
        <f t="shared" si="3"/>
        <v>133</v>
      </c>
      <c r="K136" s="236">
        <f ca="1">TblImps[[#This Row],[Real time]]</f>
        <v>46325.49999999968</v>
      </c>
      <c r="L136" s="179"/>
      <c r="M136" s="179"/>
      <c r="N136" s="179"/>
      <c r="O136" s="179"/>
      <c r="P136" s="179"/>
      <c r="Q136" s="179"/>
      <c r="R136" s="179"/>
      <c r="S136" s="94">
        <f>SUMIF(TblRezone[[#This Row],[Plains Rezone]:[Water Rezone]],"&gt;0")</f>
        <v>0</v>
      </c>
      <c r="T136" s="61" t="str">
        <f>IF(SUM(TblRezone[[#This Row],[Plains Rezone]:[Water Rezone]])=0,"Ok","Nope")</f>
        <v>Ok</v>
      </c>
      <c r="U136" s="215"/>
      <c r="V136" s="94">
        <f ca="1">TblProd[[#This Row],[Platinum]]</f>
        <v>213344</v>
      </c>
      <c r="W136" s="215"/>
      <c r="X136" s="94">
        <f ca="1">ROUND( (1-MIN(ROUND(facs_rezone_factor*TblRezone[[#This Row],[Facs]],4),facs_rezone_max) + tech_6_4*TblTech[[#This Row],[6-4]] + tech_10_2*TblTech[[#This Row],[10-2]] - IF(TblMagic[[#This Row],[Active Mechanical Genius]]&gt;0,mech_genius_bonus,0) + race_rezone_cost) * TblRezone[[#This Row],[Plat/acre*]],0)</f>
        <v>130</v>
      </c>
      <c r="Y136" s="94">
        <f ca="1">TblRezone[[#This Row],[Total acres]]*TblRezone[[#This Row],[Plat/acre]]</f>
        <v>0</v>
      </c>
      <c r="Z136" s="215"/>
      <c r="AA136" s="94">
        <f ca="1">(250+0.6*(TblRezone[[#This Row],[Land]]-250))</f>
        <v>130</v>
      </c>
      <c r="AB136" s="215"/>
      <c r="AC136" s="157">
        <f ca="1">TblConstr[[#This Row],[Facs DB]]</f>
        <v>0</v>
      </c>
    </row>
    <row r="1269" spans="1:18" x14ac:dyDescent="0.2">
      <c r="A1269" s="531" t="s">
        <v>314</v>
      </c>
      <c r="B1269" s="531"/>
      <c r="I1269" s="238" t="s">
        <v>304</v>
      </c>
      <c r="L1269" s="239"/>
      <c r="M1269" s="239">
        <v>-10</v>
      </c>
      <c r="N1269" s="239">
        <v>10</v>
      </c>
      <c r="O1269" s="239"/>
      <c r="P1269" s="239"/>
      <c r="Q1269" s="239"/>
      <c r="R1269" s="239"/>
    </row>
    <row r="1270" spans="1:18" x14ac:dyDescent="0.2">
      <c r="A1270" s="28">
        <f>Overview!E17</f>
        <v>0</v>
      </c>
      <c r="B1270" s="28"/>
      <c r="L1270" s="536" t="s">
        <v>303</v>
      </c>
      <c r="M1270" s="487"/>
      <c r="N1270" s="487"/>
      <c r="O1270" s="487"/>
      <c r="P1270" s="487"/>
      <c r="Q1270" s="487"/>
      <c r="R1270" s="487"/>
    </row>
  </sheetData>
  <mergeCells count="2">
    <mergeCell ref="L1270:R1270"/>
    <mergeCell ref="A1269:B1269"/>
  </mergeCells>
  <phoneticPr fontId="0" type="noConversion"/>
  <conditionalFormatting sqref="A1271:AC60158 A137:AC1268">
    <cfRule type="expression" dxfId="435" priority="14" stopIfTrue="1">
      <formula>ROW()-2=#REF!</formula>
    </cfRule>
  </conditionalFormatting>
  <conditionalFormatting sqref="A1269:AC1270">
    <cfRule type="expression" dxfId="434" priority="15" stopIfTrue="1">
      <formula>$A$1270&gt;144</formula>
    </cfRule>
  </conditionalFormatting>
  <conditionalFormatting sqref="A1:AC3">
    <cfRule type="expression" dxfId="433" priority="19" stopIfTrue="1">
      <formula>$A$1270&lt;0</formula>
    </cfRule>
  </conditionalFormatting>
  <conditionalFormatting sqref="A4:AC136">
    <cfRule type="expression" dxfId="432" priority="1" stopIfTrue="1">
      <formula>ROW()-3=$A$1270</formula>
    </cfRule>
    <cfRule type="expression" dxfId="431" priority="2" stopIfTrue="1">
      <formula>OR(AND(ROW()-3=$A$1270,A4="Ok",XFD4&lt;&gt;0),A4="Nope")</formula>
    </cfRule>
    <cfRule type="expression" dxfId="430" priority="4">
      <formula>$J4=49</formula>
    </cfRule>
    <cfRule type="expression" dxfId="429" priority="7">
      <formula>ROUND(($J4-1)/12,0)=INT($J4-1)/12</formula>
    </cfRule>
  </conditionalFormatting>
  <conditionalFormatting sqref="T76">
    <cfRule type="expression" dxfId="428" priority="13" stopIfTrue="1">
      <formula>S76=0</formula>
    </cfRule>
  </conditionalFormatting>
  <conditionalFormatting sqref="B4:H136">
    <cfRule type="cellIs" dxfId="427"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I1270"/>
  <sheetViews>
    <sheetView zoomScale="85" zoomScaleNormal="85" workbookViewId="0">
      <pane ySplit="3" topLeftCell="A4" activePane="bottomLeft" state="frozenSplit"/>
      <selection activeCell="A3" sqref="A3"/>
      <selection pane="bottomLeft" activeCell="Y4" sqref="Y4"/>
    </sheetView>
  </sheetViews>
  <sheetFormatPr defaultColWidth="9.140625" defaultRowHeight="12.75" x14ac:dyDescent="0.2"/>
  <cols>
    <col min="1" max="1" width="7.5703125" style="45" customWidth="1"/>
    <col min="2" max="2" width="8.85546875" style="45" customWidth="1"/>
    <col min="3" max="3" width="11.42578125" style="45" customWidth="1"/>
    <col min="4" max="4" width="2.85546875" style="45" customWidth="1"/>
    <col min="5" max="12" width="10" style="45" customWidth="1"/>
    <col min="13" max="13" width="2.85546875" style="45" customWidth="1"/>
    <col min="14" max="14" width="11.7109375" style="45" customWidth="1"/>
    <col min="15" max="15" width="2.85546875" style="45" customWidth="1"/>
    <col min="16" max="20" width="10" style="45" customWidth="1"/>
    <col min="21" max="21" width="10" style="177" customWidth="1"/>
    <col min="22" max="22" width="10" style="249" customWidth="1"/>
    <col min="23" max="24" width="10" style="45" customWidth="1"/>
    <col min="25" max="25" width="6.85546875" style="45" bestFit="1" customWidth="1"/>
    <col min="26" max="26" width="11.28515625" style="45" customWidth="1"/>
    <col min="27" max="27" width="11.140625" style="45" customWidth="1"/>
    <col min="28" max="28" width="2.85546875" style="45" customWidth="1"/>
    <col min="29" max="29" width="11.42578125" style="45" customWidth="1"/>
    <col min="30" max="30" width="2.85546875" style="45" customWidth="1"/>
    <col min="31" max="31" width="8.5703125" style="45" customWidth="1"/>
    <col min="32" max="32" width="7.85546875" style="45" customWidth="1"/>
    <col min="33" max="36" width="11.140625" style="45" bestFit="1" customWidth="1"/>
    <col min="37" max="37" width="10.5703125" style="45" bestFit="1" customWidth="1"/>
    <col min="38" max="38" width="10.5703125" style="45" customWidth="1"/>
    <col min="39" max="39" width="9.28515625" style="45" bestFit="1" customWidth="1"/>
    <col min="40" max="40" width="11.7109375" style="45" bestFit="1" customWidth="1"/>
    <col min="41" max="41" width="7.5703125" style="45" hidden="1" customWidth="1"/>
    <col min="42" max="42" width="2.85546875" style="45" customWidth="1"/>
    <col min="43" max="57" width="11.42578125" style="45" customWidth="1"/>
    <col min="58" max="58" width="11.28515625" style="45" bestFit="1" customWidth="1"/>
    <col min="59" max="59" width="2.85546875" style="45" customWidth="1"/>
    <col min="60" max="60" width="7" style="45" customWidth="1"/>
    <col min="61" max="62" width="9.5703125" style="45" customWidth="1"/>
    <col min="63" max="64" width="9.42578125" style="45" customWidth="1"/>
    <col min="65" max="68" width="9.140625" style="45" customWidth="1"/>
    <col min="69" max="70" width="10.42578125" style="45" customWidth="1"/>
    <col min="71" max="71" width="10.28515625" style="45" customWidth="1"/>
    <col min="72" max="72" width="10.140625" style="45" customWidth="1"/>
    <col min="73" max="73" width="8.7109375" style="45" customWidth="1"/>
    <col min="74" max="74" width="2.85546875" style="45" customWidth="1"/>
    <col min="75" max="107" width="12.85546875" style="45" hidden="1" customWidth="1"/>
    <col min="108" max="108" width="10.140625" style="45" hidden="1" customWidth="1"/>
    <col min="109" max="109" width="2.85546875" style="45" hidden="1" customWidth="1"/>
    <col min="110" max="110" width="12.85546875" style="45" hidden="1" customWidth="1"/>
    <col min="111" max="113" width="9.140625" style="45" hidden="1" customWidth="1"/>
    <col min="114" max="16384" width="9.140625" style="45"/>
  </cols>
  <sheetData>
    <row r="1" spans="1:113" x14ac:dyDescent="0.2">
      <c r="A1" s="5"/>
      <c r="B1" s="5"/>
      <c r="C1" s="5"/>
      <c r="D1" s="5"/>
      <c r="E1" s="5"/>
      <c r="F1" s="5"/>
      <c r="G1" s="5"/>
      <c r="H1" s="5"/>
      <c r="I1" s="5"/>
      <c r="J1" s="5"/>
      <c r="K1" s="5"/>
      <c r="L1" s="5"/>
      <c r="M1" s="5"/>
      <c r="N1" s="5"/>
      <c r="O1" s="5"/>
      <c r="P1" s="532" t="s">
        <v>31</v>
      </c>
      <c r="Q1" s="532"/>
      <c r="R1" s="532"/>
      <c r="S1" s="537" t="s">
        <v>472</v>
      </c>
      <c r="T1" s="532"/>
      <c r="U1" s="173"/>
      <c r="V1" s="532" t="s">
        <v>473</v>
      </c>
      <c r="W1" s="532"/>
      <c r="X1" s="5"/>
      <c r="Y1" s="532" t="s">
        <v>24</v>
      </c>
      <c r="Z1" s="532"/>
      <c r="AA1" s="532"/>
      <c r="AB1" s="28"/>
      <c r="AC1" s="5"/>
      <c r="AD1" s="5"/>
      <c r="AE1" s="5"/>
      <c r="AF1" s="5"/>
      <c r="AG1" s="5" t="s">
        <v>180</v>
      </c>
      <c r="AH1" s="5"/>
      <c r="AI1" s="5"/>
      <c r="AJ1" s="5"/>
      <c r="AK1" s="5"/>
      <c r="AL1" s="5"/>
      <c r="AM1" s="5"/>
      <c r="AN1" s="5"/>
      <c r="AO1" s="5"/>
      <c r="AQ1" s="5" t="s">
        <v>77</v>
      </c>
      <c r="AR1" s="5"/>
      <c r="AS1" s="5" t="s">
        <v>33</v>
      </c>
      <c r="AT1" s="5"/>
      <c r="AU1" s="5"/>
      <c r="AV1" s="5"/>
      <c r="AX1" s="5" t="s">
        <v>185</v>
      </c>
      <c r="AY1" s="5"/>
      <c r="AZ1" s="5"/>
      <c r="BA1" s="5"/>
      <c r="BB1" s="5"/>
      <c r="BC1" s="5"/>
      <c r="BD1" s="5"/>
      <c r="BE1" s="5"/>
      <c r="BF1" s="5"/>
      <c r="BG1" s="5"/>
      <c r="BH1" s="5"/>
      <c r="BI1" s="532" t="s">
        <v>488</v>
      </c>
      <c r="BJ1" s="532"/>
      <c r="BK1" s="532"/>
      <c r="BL1" s="532"/>
      <c r="BM1" s="532"/>
      <c r="BN1" s="532"/>
      <c r="BO1" s="532"/>
      <c r="BP1" s="532"/>
      <c r="BQ1" s="533"/>
      <c r="BR1" s="533"/>
      <c r="BS1" s="533"/>
      <c r="BT1" s="533"/>
      <c r="BU1" s="5"/>
      <c r="BW1" s="534" t="s">
        <v>296</v>
      </c>
      <c r="BX1" s="487"/>
      <c r="BY1" s="487"/>
      <c r="BZ1" s="28"/>
      <c r="CA1" s="5"/>
      <c r="CB1" s="5"/>
      <c r="CC1" s="28"/>
      <c r="CD1" s="28"/>
      <c r="CE1" s="28"/>
      <c r="CF1" s="28"/>
      <c r="CG1" s="28"/>
      <c r="CH1" s="28"/>
      <c r="CI1" s="28"/>
      <c r="CJ1" s="28"/>
      <c r="CK1" s="5"/>
      <c r="CL1" s="5"/>
      <c r="CM1" s="5"/>
      <c r="CO1" s="532" t="s">
        <v>310</v>
      </c>
      <c r="CP1" s="532"/>
      <c r="CQ1" s="532"/>
      <c r="CR1" s="533"/>
      <c r="CS1" s="533"/>
      <c r="CT1" s="533"/>
      <c r="CU1" s="533"/>
      <c r="CV1" s="533"/>
      <c r="CW1" s="533"/>
      <c r="CX1" s="57"/>
      <c r="CY1" s="57"/>
      <c r="CZ1" s="57"/>
      <c r="DA1" s="57"/>
      <c r="DB1" s="57"/>
      <c r="DC1" s="5"/>
      <c r="DD1" s="5"/>
      <c r="DF1" s="5" t="s">
        <v>253</v>
      </c>
    </row>
    <row r="2" spans="1:113" x14ac:dyDescent="0.2">
      <c r="A2" s="5"/>
      <c r="B2" s="5"/>
      <c r="C2" s="5"/>
      <c r="D2" s="5"/>
      <c r="E2" s="240" t="str">
        <f>Overview!$A$22</f>
        <v>Spearman</v>
      </c>
      <c r="F2" s="240" t="str">
        <f>Overview!$A$23</f>
        <v>Archer</v>
      </c>
      <c r="G2" s="240" t="str">
        <f>Overview!$A$24</f>
        <v>Knight</v>
      </c>
      <c r="H2" s="240" t="str">
        <f>Overview!$A$25</f>
        <v>Cavalry</v>
      </c>
      <c r="I2" s="240" t="s">
        <v>25</v>
      </c>
      <c r="J2" s="240" t="s">
        <v>1073</v>
      </c>
      <c r="K2" s="240" t="s">
        <v>26</v>
      </c>
      <c r="L2" s="240" t="s">
        <v>27</v>
      </c>
      <c r="M2" s="5"/>
      <c r="N2" s="5"/>
      <c r="O2" s="5"/>
      <c r="P2" s="28"/>
      <c r="Q2" s="28"/>
      <c r="R2" s="28"/>
      <c r="S2" s="241"/>
      <c r="T2" s="28"/>
      <c r="U2" s="173"/>
      <c r="V2" s="28"/>
      <c r="W2" s="28"/>
      <c r="X2" s="5"/>
      <c r="Y2" s="5"/>
      <c r="Z2" s="5"/>
      <c r="AA2" s="5"/>
      <c r="AB2" s="5"/>
      <c r="AC2" s="5"/>
      <c r="AD2" s="5"/>
      <c r="AE2" s="5"/>
      <c r="AF2" s="5"/>
      <c r="AG2" s="240" t="str">
        <f>Overview!$A$22</f>
        <v>Spearman</v>
      </c>
      <c r="AH2" s="240" t="str">
        <f>Overview!$A$23</f>
        <v>Archer</v>
      </c>
      <c r="AI2" s="240" t="str">
        <f>Overview!$A$24</f>
        <v>Knight</v>
      </c>
      <c r="AJ2" s="240" t="str">
        <f>Overview!$A$25</f>
        <v>Cavalry</v>
      </c>
      <c r="AK2" s="240" t="s">
        <v>25</v>
      </c>
      <c r="AL2" s="240" t="s">
        <v>1073</v>
      </c>
      <c r="AM2" s="240" t="s">
        <v>26</v>
      </c>
      <c r="AN2" s="240" t="s">
        <v>27</v>
      </c>
      <c r="AO2" s="5"/>
      <c r="AQ2" s="5"/>
      <c r="AR2" s="242" t="str">
        <f>INDEX(Constants!A138:B159,MATCH(race,Constants!A138:A159,0),2)</f>
        <v>Ore</v>
      </c>
      <c r="AS2" s="5"/>
      <c r="AT2" s="242" t="str">
        <f>AR2</f>
        <v>Ore</v>
      </c>
      <c r="AU2" s="5"/>
      <c r="AV2" s="5"/>
      <c r="AX2" s="240" t="s">
        <v>24</v>
      </c>
      <c r="AY2" s="240" t="str">
        <f>Overview!$A$22</f>
        <v>Spearman</v>
      </c>
      <c r="AZ2" s="240" t="str">
        <f>Overview!$A$23</f>
        <v>Archer</v>
      </c>
      <c r="BA2" s="240" t="str">
        <f>Overview!$A$24</f>
        <v>Knight</v>
      </c>
      <c r="BB2" s="240" t="str">
        <f>Overview!$A$25</f>
        <v>Cavalry</v>
      </c>
      <c r="BC2" s="240" t="s">
        <v>25</v>
      </c>
      <c r="BD2" s="240" t="s">
        <v>1073</v>
      </c>
      <c r="BE2" s="240" t="s">
        <v>26</v>
      </c>
      <c r="BF2" s="240" t="s">
        <v>27</v>
      </c>
      <c r="BG2" s="5"/>
      <c r="BH2" s="5"/>
      <c r="BI2" s="28"/>
      <c r="BJ2" s="28"/>
      <c r="BK2" s="28"/>
      <c r="BL2" s="28"/>
      <c r="BM2" s="28"/>
      <c r="BN2" s="28"/>
      <c r="BO2" s="28"/>
      <c r="BP2" s="28"/>
      <c r="BQ2" s="57"/>
      <c r="BR2" s="57"/>
      <c r="BS2" s="57"/>
      <c r="BT2" s="57"/>
      <c r="BU2" s="5"/>
      <c r="BY2" s="28"/>
      <c r="BZ2" s="28"/>
      <c r="CA2" s="5"/>
      <c r="CB2" s="5"/>
      <c r="CC2" s="28"/>
      <c r="CD2" s="28"/>
      <c r="CE2" s="28"/>
      <c r="CF2" s="28"/>
      <c r="CG2" s="28"/>
      <c r="CH2" s="28"/>
      <c r="CI2" s="28"/>
      <c r="CJ2" s="28"/>
      <c r="CK2" s="5"/>
      <c r="CL2" s="5"/>
      <c r="CM2" s="5"/>
      <c r="CN2" s="28"/>
      <c r="CX2" s="57"/>
      <c r="CY2" s="57"/>
      <c r="CZ2" s="57"/>
      <c r="DA2" s="57"/>
      <c r="DB2" s="57"/>
      <c r="DC2" s="5"/>
      <c r="DD2" s="5"/>
      <c r="DE2" s="5"/>
      <c r="DF2" s="5"/>
    </row>
    <row r="3" spans="1:113" ht="30" customHeight="1" x14ac:dyDescent="0.2">
      <c r="A3" s="135" t="s">
        <v>0</v>
      </c>
      <c r="B3" s="135" t="s">
        <v>22</v>
      </c>
      <c r="C3" s="135" t="s">
        <v>187</v>
      </c>
      <c r="D3" s="135" t="s">
        <v>765</v>
      </c>
      <c r="E3" s="135" t="s">
        <v>761</v>
      </c>
      <c r="F3" s="135" t="s">
        <v>762</v>
      </c>
      <c r="G3" s="135" t="s">
        <v>763</v>
      </c>
      <c r="H3" s="135" t="s">
        <v>764</v>
      </c>
      <c r="I3" s="135" t="s">
        <v>25</v>
      </c>
      <c r="J3" s="135" t="s">
        <v>1073</v>
      </c>
      <c r="K3" s="135" t="s">
        <v>26</v>
      </c>
      <c r="L3" s="135" t="s">
        <v>27</v>
      </c>
      <c r="M3" s="135" t="s">
        <v>766</v>
      </c>
      <c r="N3" s="135" t="s">
        <v>230</v>
      </c>
      <c r="O3" s="135" t="s">
        <v>767</v>
      </c>
      <c r="P3" s="135" t="s">
        <v>188</v>
      </c>
      <c r="Q3" s="135" t="s">
        <v>790</v>
      </c>
      <c r="R3" s="135" t="s">
        <v>227</v>
      </c>
      <c r="S3" s="243" t="s">
        <v>474</v>
      </c>
      <c r="T3" s="135" t="s">
        <v>471</v>
      </c>
      <c r="U3" s="135" t="s">
        <v>791</v>
      </c>
      <c r="V3" s="244" t="s">
        <v>859</v>
      </c>
      <c r="W3" s="135" t="s">
        <v>860</v>
      </c>
      <c r="X3" s="135" t="s">
        <v>1</v>
      </c>
      <c r="Y3" s="135" t="s">
        <v>179</v>
      </c>
      <c r="Z3" s="135" t="s">
        <v>178</v>
      </c>
      <c r="AA3" s="135" t="s">
        <v>24</v>
      </c>
      <c r="AB3" s="135" t="s">
        <v>780</v>
      </c>
      <c r="AC3" s="135" t="s">
        <v>183</v>
      </c>
      <c r="AD3" s="135" t="s">
        <v>781</v>
      </c>
      <c r="AE3" s="135" t="s">
        <v>845</v>
      </c>
      <c r="AF3" s="135" t="s">
        <v>309</v>
      </c>
      <c r="AG3" s="135" t="s">
        <v>774</v>
      </c>
      <c r="AH3" s="135" t="s">
        <v>775</v>
      </c>
      <c r="AI3" s="135" t="s">
        <v>776</v>
      </c>
      <c r="AJ3" s="135" t="s">
        <v>777</v>
      </c>
      <c r="AK3" s="135" t="s">
        <v>778</v>
      </c>
      <c r="AL3" s="135" t="s">
        <v>1072</v>
      </c>
      <c r="AM3" s="135" t="s">
        <v>779</v>
      </c>
      <c r="AN3" s="135" t="s">
        <v>1071</v>
      </c>
      <c r="AO3" s="135" t="s">
        <v>1105</v>
      </c>
      <c r="AP3" s="135" t="s">
        <v>1037</v>
      </c>
      <c r="AQ3" s="135" t="s">
        <v>2</v>
      </c>
      <c r="AR3" s="243" t="s">
        <v>997</v>
      </c>
      <c r="AS3" s="135" t="s">
        <v>792</v>
      </c>
      <c r="AT3" s="243" t="s">
        <v>998</v>
      </c>
      <c r="AU3" s="135" t="s">
        <v>1034</v>
      </c>
      <c r="AV3" s="135" t="s">
        <v>1036</v>
      </c>
      <c r="AW3" s="135" t="s">
        <v>1130</v>
      </c>
      <c r="AX3" s="135" t="s">
        <v>783</v>
      </c>
      <c r="AY3" s="135" t="s">
        <v>784</v>
      </c>
      <c r="AZ3" s="135" t="s">
        <v>785</v>
      </c>
      <c r="BA3" s="135" t="s">
        <v>786</v>
      </c>
      <c r="BB3" s="135" t="s">
        <v>787</v>
      </c>
      <c r="BC3" s="135" t="s">
        <v>788</v>
      </c>
      <c r="BD3" s="135" t="s">
        <v>1074</v>
      </c>
      <c r="BE3" s="135" t="s">
        <v>789</v>
      </c>
      <c r="BF3" s="135" t="s">
        <v>1075</v>
      </c>
      <c r="BG3" s="135" t="s">
        <v>1005</v>
      </c>
      <c r="BH3" s="135" t="s">
        <v>231</v>
      </c>
      <c r="BI3" s="135" t="s">
        <v>352</v>
      </c>
      <c r="BJ3" s="135" t="s">
        <v>489</v>
      </c>
      <c r="BK3" s="135" t="s">
        <v>490</v>
      </c>
      <c r="BL3" s="135" t="s">
        <v>491</v>
      </c>
      <c r="BM3" s="135" t="s">
        <v>492</v>
      </c>
      <c r="BN3" s="135" t="s">
        <v>493</v>
      </c>
      <c r="BO3" s="135" t="s">
        <v>494</v>
      </c>
      <c r="BP3" s="135" t="s">
        <v>495</v>
      </c>
      <c r="BQ3" s="135" t="s">
        <v>496</v>
      </c>
      <c r="BR3" s="135" t="s">
        <v>888</v>
      </c>
      <c r="BS3" s="135" t="s">
        <v>1076</v>
      </c>
      <c r="BT3" s="135" t="s">
        <v>889</v>
      </c>
      <c r="BU3" s="135" t="s">
        <v>890</v>
      </c>
      <c r="BV3" s="135" t="s">
        <v>353</v>
      </c>
      <c r="BW3" s="135" t="s">
        <v>1121</v>
      </c>
      <c r="BX3" s="135" t="s">
        <v>295</v>
      </c>
      <c r="BY3" s="135" t="s">
        <v>124</v>
      </c>
      <c r="BZ3" s="135" t="s">
        <v>1000</v>
      </c>
      <c r="CA3" s="135" t="s">
        <v>999</v>
      </c>
      <c r="CB3" s="135" t="s">
        <v>139</v>
      </c>
      <c r="CC3" s="135" t="s">
        <v>132</v>
      </c>
      <c r="CD3" s="135" t="s">
        <v>1058</v>
      </c>
      <c r="CE3" s="135" t="s">
        <v>1059</v>
      </c>
      <c r="CF3" s="135" t="s">
        <v>326</v>
      </c>
      <c r="CG3" s="135" t="s">
        <v>327</v>
      </c>
      <c r="CH3" s="135" t="s">
        <v>331</v>
      </c>
      <c r="CI3" s="135" t="s">
        <v>332</v>
      </c>
      <c r="CJ3" s="135" t="s">
        <v>143</v>
      </c>
      <c r="CK3" s="135" t="s">
        <v>498</v>
      </c>
      <c r="CL3" s="135" t="s">
        <v>1123</v>
      </c>
      <c r="CM3" s="135" t="s">
        <v>1153</v>
      </c>
      <c r="CN3" s="245" t="s">
        <v>769</v>
      </c>
      <c r="CO3" s="245" t="s">
        <v>770</v>
      </c>
      <c r="CP3" s="245" t="s">
        <v>771</v>
      </c>
      <c r="CQ3" s="135" t="s">
        <v>1001</v>
      </c>
      <c r="CR3" s="135" t="s">
        <v>874</v>
      </c>
      <c r="CS3" s="135" t="s">
        <v>875</v>
      </c>
      <c r="CT3" s="135" t="s">
        <v>876</v>
      </c>
      <c r="CU3" s="135" t="s">
        <v>877</v>
      </c>
      <c r="CV3" s="135" t="s">
        <v>878</v>
      </c>
      <c r="CW3" s="135" t="s">
        <v>879</v>
      </c>
      <c r="CX3" s="135" t="s">
        <v>880</v>
      </c>
      <c r="CY3" s="135" t="s">
        <v>881</v>
      </c>
      <c r="CZ3" s="135" t="s">
        <v>882</v>
      </c>
      <c r="DA3" s="135" t="s">
        <v>883</v>
      </c>
      <c r="DB3" s="135" t="s">
        <v>884</v>
      </c>
      <c r="DC3" s="245" t="s">
        <v>772</v>
      </c>
      <c r="DD3" s="135" t="s">
        <v>1066</v>
      </c>
      <c r="DE3" s="245" t="s">
        <v>773</v>
      </c>
      <c r="DF3" s="135" t="s">
        <v>885</v>
      </c>
      <c r="DG3" s="135" t="s">
        <v>1114</v>
      </c>
      <c r="DH3" s="135" t="s">
        <v>886</v>
      </c>
      <c r="DI3" s="135" t="s">
        <v>887</v>
      </c>
    </row>
    <row r="4" spans="1:113" x14ac:dyDescent="0.2">
      <c r="A4" s="137">
        <f>TblRezone[[#This Row],[Hour]]</f>
        <v>1</v>
      </c>
      <c r="B4" s="246">
        <f ca="1">SUM(TblMili[[#This Row],[Unit 1]:[Archmages]])+SUM(TblMili[[#This Row],[Train Unit 1]:[Train Unit 4]])+TblMili[[#This Row],[Draftees]]</f>
        <v>300</v>
      </c>
      <c r="C4" s="157">
        <f ca="1">TblPop[[#This Row],[Military%]]</f>
        <v>0.39011703511053314</v>
      </c>
      <c r="D4" s="142"/>
      <c r="E4" s="395">
        <f>start_op_specs - TblMili[[#This Row],[Release Unit 1]]</f>
        <v>0</v>
      </c>
      <c r="F4" s="395">
        <f>start_dp_specs - TblMili[[#This Row],[Release Unit 2]]+days_late*days_late_def_specs</f>
        <v>0</v>
      </c>
      <c r="G4" s="395">
        <f>start_elite1s - TblMili[[#This Row],[Release Unit 3]]</f>
        <v>0</v>
      </c>
      <c r="H4" s="395">
        <f>start_elite2s - TblMili[[#This Row],[Release Unit 4]]</f>
        <v>0</v>
      </c>
      <c r="I4" s="396">
        <f>start_spies -TblMili[[#This Row],[Release Spies]]-TblMili[[#This Row],[Train AS]]</f>
        <v>0</v>
      </c>
      <c r="J4" s="396">
        <f>start_ass - TblMili[[#This Row],[Release AS]]</f>
        <v>0</v>
      </c>
      <c r="K4" s="396">
        <f>start_wizards  - TblMili[[#This Row],[Train AM]] - TblMili[[#This Row],[Release Wizards]]</f>
        <v>0</v>
      </c>
      <c r="L4" s="395">
        <f>start_ams  - TblMili[[#This Row],[Release AM]]</f>
        <v>0</v>
      </c>
      <c r="M4" s="142"/>
      <c r="N4" s="94">
        <f ca="1">TblProd[[#This Row],[Networth]]</f>
        <v>1250</v>
      </c>
      <c r="O4" s="142"/>
      <c r="P4"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 s="247">
        <f ca="1">TblMili[[#This Row],[Raw]]*(1+TblMili[[#This Row],[Mods_Off]])</f>
        <v>0</v>
      </c>
      <c r="S4"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4" s="247">
        <f ca="1">TblMili[[#This Row],[Non Draft]]+TblMili[[#This Row],[Draftees]]</f>
        <v>300</v>
      </c>
      <c r="U4" s="248">
        <f ca="1">race_defense + TblImps[[#This Row],[Walls]] + ROUND( MIN(gt_bonus*TblConstr[[#This Row],[Tot GT]]/TblConstr[[#This Row],[Land]],gt_bonus_cap), 4) + IF(TblMagic[[#This Row],[Active Howling]]&gt;0,howling_dp_bonus,IF(TblMagic[[#This Row],[Active Ares Call]]&gt;0,ares_call_bonus))</f>
        <v>0</v>
      </c>
      <c r="V4" s="249">
        <f ca="1">TblMili[[#This Row],[Non Draft]] * (1 + TblMili[[#This Row],[Mods_Def]])</f>
        <v>0</v>
      </c>
      <c r="W4" s="247">
        <f ca="1">TblMili[[#This Row],[Draft]] * (1 + TblMili[[#This Row],[Mods_Def]])</f>
        <v>300</v>
      </c>
      <c r="X4" s="247">
        <f ca="1">TblConstr[[#This Row],[Land]]</f>
        <v>50</v>
      </c>
      <c r="Y4" s="250"/>
      <c r="Z4" s="255">
        <f>IF(TblMili[[#This Row],[Set]]&lt;&gt;"",TblMili[[#This Row],[Set]],0.9)</f>
        <v>0.9</v>
      </c>
      <c r="AA4" s="378">
        <f ca="1">start_draftees - SUM(TblMili[[#This Row],[Train Unit 1]:[Train Spies]],TblMili[[#This Row],[Train Wiz]]) - TblMili[[#This Row],[Release Draft]] + SUM(TblMili[[#This Row],[Release Unit 1]:[Release AM]]) - TblExplore[[#This Row],[Draftees (2)]]+MIN(13,days_late)*days_late_draftees</f>
        <v>300</v>
      </c>
      <c r="AB4" s="154"/>
      <c r="AC4" s="180">
        <f ca="1">(TblConstr[[#This Row],[Tot Smi]]+TblConstr[[#This Row],[Dest Smi]])/(TblConstr[[#This Row],[Land]]-TblExplore[[#This Row],[Land Bonus]]*20)</f>
        <v>0</v>
      </c>
      <c r="AD4" s="246"/>
      <c r="AE4" s="246">
        <f>TblMili[[#This Row],[Hour]]</f>
        <v>1</v>
      </c>
      <c r="AF4" s="138">
        <f>TblExplore[[#This Row],[Time]]</f>
        <v>46320</v>
      </c>
      <c r="AG4" s="179"/>
      <c r="AH4" s="179"/>
      <c r="AI4" s="179"/>
      <c r="AJ4" s="179"/>
      <c r="AK4" s="179"/>
      <c r="AL4" s="179"/>
      <c r="AM4" s="179"/>
      <c r="AN4" s="179"/>
      <c r="AO4" s="420">
        <f ca="1">ROUND(IF(AND(TblMagic[[#This Row],[Active DnD]]&lt;12,TblMagic[[#This Row],[Active DnD]]&gt;5),OFFSET(TblPop[[#This Row],[Draft Growth]],-1,0)*0.375,0),0)</f>
        <v>0</v>
      </c>
      <c r="AP4" s="142"/>
      <c r="AQ4" s="94">
        <f ca="1">TblProd[[#This Row],[Platinum]]</f>
        <v>120000</v>
      </c>
      <c r="AR4" s="94">
        <f ca="1">INDEX(TblProd[[#Headers],[Lumber]]:TblProd[[#This Row],[Ore]],COUNTA(TblProd[[#Headers],[Lumber]]:TblProd[[#This Row],[Lumber]]),MATCH(Military!$AR$2,TblProd[[#Headers],[Lumber]:[Ore]],0))</f>
        <v>0</v>
      </c>
      <c r="AS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4" s="94">
        <f ca="1">TblMili[[#This Row],[Train Unit 1]]*TblMili[[#This Row],[OP Ore]]+TblMili[[#This Row],[Train Unit 2]]*TblMili[[#This Row],[DP Ore]]+TblMili[[#This Row],[Train Unit 3]]*TblMili[[#This Row],[E1 Ore]]+TblMili[[#This Row],[Train Unit 4]]*TblMili[[#This Row],[E2 Ore]]</f>
        <v>0</v>
      </c>
      <c r="AU4" s="142">
        <f>TblMili[[#This Row],[Hour]]</f>
        <v>1</v>
      </c>
      <c r="AV4" s="152">
        <f>TblMili[[#This Row],[Time]]</f>
        <v>46320</v>
      </c>
      <c r="AW4" s="94">
        <f ca="1">TblMili[[#This Row],[Draftees]]</f>
        <v>300</v>
      </c>
      <c r="AX4" s="179"/>
      <c r="AY4" s="179"/>
      <c r="AZ4" s="179"/>
      <c r="BA4" s="179"/>
      <c r="BB4" s="179"/>
      <c r="BC4" s="179"/>
      <c r="BD4" s="179"/>
      <c r="BE4" s="179"/>
      <c r="BF4" s="179"/>
      <c r="BG4" s="142"/>
      <c r="BH4" s="157">
        <f ca="1">TblConstr[[#This Row],[Tot WG]]/TblConstr[[#This Row],[Land]]</f>
        <v>0</v>
      </c>
      <c r="BI4" s="157">
        <f ca="1">TblConstr[[#This Row],[Tot Hav]]/TblConstr[[#This Row],[Land]]</f>
        <v>0</v>
      </c>
      <c r="BJ4" s="94">
        <f ca="1">ROUNDUP((1-MIN(TblMili[[#This Row],[Smithies]]*smithy_bonus,smithy_bonus_cap) + tech_3_5*TblTech[[#This Row],[3-5]] + tech_5_3*TblTech[[#This Row],[5-3]] + tech_5_5*TblTech[[#This Row],[5-5]])*spec_op_plat,0)</f>
        <v>315</v>
      </c>
      <c r="BK4" s="94">
        <f ca="1">ROUNDUP(IF(race="Gnome",1,(1-MIN(TblMili[[#This Row],[Smithies]]*smithy_bonus,smithy_bonus_cap) + tech_3_5*TblTech[[#This Row],[3-5]] + tech_5_3*TblTech[[#This Row],[5-3]] + tech_5_5*TblTech[[#This Row],[5-5]]))*spec_op_ore,0)</f>
        <v>25</v>
      </c>
      <c r="BL4" s="94">
        <f ca="1">ROUNDUP((1-MIN(TblMili[[#This Row],[Smithies]]*smithy_bonus,smithy_bonus_cap) + tech_3_5*TblTech[[#This Row],[3-5]] + tech_5_3*TblTech[[#This Row],[5-3]] + tech_5_5*TblTech[[#This Row],[5-5]])*spec_dp_plat,0)</f>
        <v>275</v>
      </c>
      <c r="BM4" s="94">
        <f ca="1">ROUNDUP(IF(race="Gnome",1,(1-MIN(TblMili[[#This Row],[Smithies]]*smithy_bonus,smithy_bonus_cap) + tech_3_5*TblTech[[#This Row],[3-5]] + tech_5_3*TblTech[[#This Row],[5-3]] + tech_5_5*TblTech[[#This Row],[5-5]]))*spec_dp_ore,0)</f>
        <v>15</v>
      </c>
      <c r="BN4" s="94">
        <f ca="1">ROUNDUP((1-MIN(TblMili[[#This Row],[Smithies]]*smithy_bonus,smithy_bonus_cap) + tech_3_5*TblTech[[#This Row],[3-5]] + tech_5_3*TblTech[[#This Row],[5-3]] + tech_5_5*TblTech[[#This Row],[5-5]])*elite1_plat,0)</f>
        <v>1040</v>
      </c>
      <c r="BO4" s="94">
        <f ca="1">ROUNDUP(IF(race="Gnome",1,(1-MIN(TblMili[[#This Row],[Smithies]]*smithy_bonus,smithy_bonus_cap) + tech_3_5*TblTech[[#This Row],[3-5]] + tech_5_3*TblTech[[#This Row],[5-3]] + tech_5_5*TblTech[[#This Row],[5-5]]))*elite1_ore,0)</f>
        <v>75</v>
      </c>
      <c r="BP4" s="94">
        <f ca="1">ROUNDUP((1-MIN(TblMili[[#This Row],[Smithies]]*smithy_bonus,smithy_bonus_cap) + tech_3_5*TblTech[[#This Row],[3-5]] + tech_5_3*TblTech[[#This Row],[5-3]] + tech_5_5*TblTech[[#This Row],[5-5]])*elite2_plat,0)</f>
        <v>1280</v>
      </c>
      <c r="BQ4" s="94">
        <f ca="1">ROUNDUP(IF(race="Gnome",1,(1-MIN(TblMili[[#This Row],[Smithies]]*smithy_bonus,smithy_bonus_cap) + tech_3_5*TblTech[[#This Row],[3-5]] + tech_5_3*TblTech[[#This Row],[5-3]] + tech_5_5*TblTech[[#This Row],[5-5]]))*elite2_ore,0)</f>
        <v>100</v>
      </c>
      <c r="BR4" s="94">
        <f ca="1">ROUNDUP((1-MIN(ROUND(fh_spy_cost_red*TblMili[[#This Row],[FH''s]],4),fh_spy_cost_cap)+ tech_1_9*TblTech[[#This Row],[1-9]] + tech_9_1*TblTech[[#This Row],[9-1]])*spy_plat,0)</f>
        <v>500</v>
      </c>
      <c r="BS4" s="94">
        <f ca="1">ROUNDUP((1-MIN(ROUND(fh_spy_cost_red*TblMili[[#This Row],[FH''s]],4),fh_spy_cost_cap)+ tech_1_9*TblTech[[#This Row],[1-9]] + tech_9_1*TblTech[[#This Row],[9-1]])*archspy_plat,0)</f>
        <v>1000</v>
      </c>
      <c r="BT4" s="94">
        <f ca="1">ROUNDUP((1-MIN(ROUND(wg_wiz_cost_bonus*TblMili[[#This Row],[WG''s]],4),wg_wiz_cost_cap) + tech_1_9_2*TblTech[[#This Row],[1-9]] + tech_9_1_2*TblTech[[#This Row],[9-1]])*wizard_plat,0)</f>
        <v>500</v>
      </c>
      <c r="BU4" s="94">
        <f ca="1">ROUNDUP((1-MIN(ROUND(wg_wiz_cost_bonus*TblMili[[#This Row],[WG''s]],4),wg_wiz_cost_cap) + tech_1_9_2*TblTech[[#This Row],[1-9]] + tech_9_1_2*TblTech[[#This Row],[9-1]])*(archmage_plat + IF(TblMagic[[#This Row],[Active Arc Infusion]]&gt;0,400,0)),0)</f>
        <v>1000</v>
      </c>
      <c r="BV4" s="142"/>
      <c r="BW4" s="157">
        <f ca="1">TblConstr[[#This Row],[Homeland]]/TblConstr[[#This Row],[Land]]</f>
        <v>0.6</v>
      </c>
      <c r="BX4" s="157">
        <f ca="1">TblMili[[#This Row],[WG''s]]</f>
        <v>0</v>
      </c>
      <c r="BY4" s="251">
        <f ca="1">IF(mystic_cap="none",TblMili[[#This Row],[Homeland%]]/mystic_bonus,MIN(mystic_cap,TblMili[[#This Row],[Homeland%]]/mystic_bonus))</f>
        <v>2</v>
      </c>
      <c r="BZ4" s="251">
        <f ca="1">IF(druid_op_cap="none",TblMili[[#This Row],[Homeland%]]/druid_op_bonus,MIN(druid_op_cap,TblMili[[#This Row],[Homeland%]]/druid_op_bonus))</f>
        <v>2</v>
      </c>
      <c r="CA4" s="251">
        <f ca="1">IF(druid_dp_cap="none",TblMili[[#This Row],[Homeland%]]/druid_dp_bonus,MIN(druid_dp_cap,TblMili[[#This Row],[Homeland%]]/druid_dp_bonus))</f>
        <v>2</v>
      </c>
      <c r="CB4" s="251">
        <f ca="1">MIN(dryad_cap,TblMili[[#This Row],[Homeland%]]/dryad_bonus)</f>
        <v>2.9999999999999996</v>
      </c>
      <c r="CC4" s="251">
        <f ca="1">MIN(rocka_cap,TblMili[[#This Row],[Homeland%]]/rocka_bonus)</f>
        <v>2</v>
      </c>
      <c r="CD4" s="251">
        <f ca="1">MIN(adept_op_cap,TblMili[[#This Row],[WG]]/adept_op_bonus)</f>
        <v>0</v>
      </c>
      <c r="CE4" s="251">
        <f ca="1">MIN(adept_dp_cap,TblMili[[#This Row],[WG]]/adept_dp_bonus)</f>
        <v>0</v>
      </c>
      <c r="CF4" s="94">
        <f>MIN(TblMili[[#This Row],[Unit 3]],TblMili[[#This Row],[Unit 2]])*2</f>
        <v>0</v>
      </c>
      <c r="CG4" s="94">
        <f>MIN(TblMili[[#This Row],[Unit 1]],TblMili[[#This Row],[Unit 4]])*2</f>
        <v>0</v>
      </c>
      <c r="CH4" s="251">
        <f ca="1">MIN(frost_mage_cap,TblMili[[#This Row],[Homeland%]]/frost_mage_bonus)</f>
        <v>2.9999999999999996</v>
      </c>
      <c r="CI4" s="45">
        <f ca="1">MIN(ice_elem_cap,TblMili[[#This Row],[Raw (2)]]*ice_elem_bonus)</f>
        <v>0</v>
      </c>
      <c r="CJ4" s="251">
        <f t="shared" ref="CJ4:CJ35" si="0">MIN(bone_breaker_cap,250/bone_breaker_bonus)</f>
        <v>0.83333333333333337</v>
      </c>
      <c r="CK4" s="251">
        <f ca="1">MIN(nox_nightshade_cap,TblConstr[[#This Row],[Homeland]]/TblConstr[[#This Row],[Land]]/nox_nightshade_swamp_bonus)</f>
        <v>4</v>
      </c>
      <c r="CL4" s="251">
        <f ca="1">MIN(TblConstr[[#This Row],[Total Swamp]]/TblConstr[[#This Row],[Land]]/abyss_enforce_bonus,abyss_enforcer_cap)</f>
        <v>0</v>
      </c>
      <c r="CM4" s="251">
        <f>IF(TblMagic[[#This Row],[Active Infernal Command]]&gt;0,TblMili[[#This Row],[Unit 1]]*infernal_cmd_op,0)</f>
        <v>0</v>
      </c>
      <c r="CN4" s="252"/>
      <c r="CO4" s="252"/>
      <c r="CP4" s="252"/>
      <c r="CQ4" s="251">
        <f ca="1">TblMili[[#This Row],[Mystic]]*2</f>
        <v>4</v>
      </c>
      <c r="CR4" s="251">
        <f ca="1">TblMili[[#This Row],[Druid (op)]]*2</f>
        <v>4</v>
      </c>
      <c r="CS4" s="94">
        <f ca="1">TblMili[[#This Row],[Mystic bonus]]*TblMili[[#This Row],[Unit 3]]+TblMili[[#This Row],[Druid bonus]]*TblMili[[#This Row],[Unit 4]]</f>
        <v>0</v>
      </c>
      <c r="CT4" s="155">
        <f ca="1">TblMili[[#This Row],[Dryad]]*2</f>
        <v>5.9999999999999991</v>
      </c>
      <c r="CU4" s="94">
        <f ca="1">sylvan*(TblMili[[#This Row],[Mystic bonus]]*TblMili[[#This Row],[Unit 3]])</f>
        <v>0</v>
      </c>
      <c r="CV4" s="155">
        <f ca="1">TblMili[[#This Row],[Rockapult]]*2</f>
        <v>4</v>
      </c>
      <c r="CW4" s="94">
        <f ca="1">gnome*(TblMili[[#This Row],[Rockapult bonus]]*TblMili[[#This Row],[Unit 3]])</f>
        <v>0</v>
      </c>
      <c r="CX4" s="155">
        <f ca="1">TblMili[[#This Row],[Adept-DP]]*2</f>
        <v>0</v>
      </c>
      <c r="CY4" s="94">
        <f ca="1">dark_elf*(TblMili[[#This Row],[Adept bonus]]*TblMili[[#This Row],[Unit 3]])</f>
        <v>0</v>
      </c>
      <c r="CZ4" s="251">
        <f ca="1">TblMili[[#This Row],[Frost Mage]]*2</f>
        <v>5.9999999999999991</v>
      </c>
      <c r="DA4" s="251">
        <f ca="1">TblMili[[#This Row],[Ice Elemental]]*2</f>
        <v>0</v>
      </c>
      <c r="DB4" s="94">
        <f ca="1">TblMili[[#This Row],[Frost Mage bonus]]*TblMili[[#This Row],[Unit 3]]+TblMili[[#This Row],[Ice Elemental bonus]]*TblMili[[#This Row],[Unit 4]]</f>
        <v>0</v>
      </c>
      <c r="DC4" s="253"/>
      <c r="DD4" s="143">
        <f ca="1">MIN(SUM(TblConstr[[#This Row],[Plain]:[Water]])/TblMili[[#This Row],[Land]]/favorable_terrain_bonus/100,favorable_terrain_max)</f>
        <v>0</v>
      </c>
      <c r="DE4" s="253"/>
      <c r="DF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 s="142"/>
      <c r="DH4" s="254">
        <f ca="1">(TblMili[[#This Row],[Wizards]]+2*TblMili[[#This Row],[Archmages]])/TblConstr[[#This Row],[Land]]</f>
        <v>0</v>
      </c>
      <c r="DI4" s="254">
        <f ca="1">TblMili[[#This Row],[Raw (2)]]*(1+race_wizard_strength+IF(TblMili[[#This Row],[Hour]]&gt;72,tech_magical_weaponry_wiz*TblTech[[#This Row],[3-5]],0))</f>
        <v>0</v>
      </c>
    </row>
    <row r="5" spans="1:113" x14ac:dyDescent="0.2">
      <c r="A5" s="137">
        <f>TblRezone[[#This Row],[Hour]]</f>
        <v>2</v>
      </c>
      <c r="B5" s="246">
        <f ca="1">SUM(TblMili[[#This Row],[Unit 1]:[Archmages]])+SUM(OFFSET(TblMili[[#This Row],[Train Unit 1]],-1,0):TblMili[[#This Row],[Train Unit 4]])+TblMili[[#This Row],[Draftees]]</f>
        <v>305</v>
      </c>
      <c r="C5" s="157">
        <f ca="1">TblPop[[#This Row],[Military%]]</f>
        <v>0.39661898569570869</v>
      </c>
      <c r="D5" s="142"/>
      <c r="E5" s="45">
        <f ca="1">OFFSET(TblMili[[#This Row],[Unit 1]],-1,0) - TblMili[[#This Row],[Release Unit 1]]</f>
        <v>0</v>
      </c>
      <c r="F5" s="45">
        <f ca="1">OFFSET(TblMili[[#This Row],[Unit 2]],-1,0)-TblMili[[#This Row],[Release Unit 2]]</f>
        <v>0</v>
      </c>
      <c r="G5" s="45">
        <f ca="1">OFFSET(TblMili[[#This Row],[Unit 3]],-1,0)-TblMili[[#This Row],[Release Unit 3]]</f>
        <v>0</v>
      </c>
      <c r="H5" s="45">
        <f ca="1">OFFSET(TblMili[[#This Row],[Unit 4]],-1,0)-TblMili[[#This Row],[Release Unit 4]]</f>
        <v>0</v>
      </c>
      <c r="I5" s="45">
        <f ca="1">OFFSET(TblMili[[#This Row],[Spies]],-1,0)-TblMili[[#This Row],[Release Spies]]-TblMili[[#This Row],[Train AS]]</f>
        <v>0</v>
      </c>
      <c r="J5" s="45">
        <f ca="1">OFFSET(TblMili[[#This Row],[Archspies]],-1,0)-TblMili[[#This Row],[Release AS]]</f>
        <v>0</v>
      </c>
      <c r="K5" s="45">
        <f ca="1">OFFSET(TblMili[[#This Row],[Wizards]],-1,0)-TblMili[[#This Row],[Release Wizards]]-TblMili[[#This Row],[Train AM]]</f>
        <v>0</v>
      </c>
      <c r="L5" s="45">
        <f ca="1">OFFSET(TblMili[[#This Row],[Archmages]],-1,0)-TblMili[[#This Row],[Release AM]]</f>
        <v>0</v>
      </c>
      <c r="M5" s="142"/>
      <c r="N5" s="94">
        <f ca="1">TblProd[[#This Row],[Networth]]</f>
        <v>1250</v>
      </c>
      <c r="O5" s="142"/>
      <c r="P5"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 s="247">
        <f ca="1">TblMili[[#This Row],[Raw]]*(1+TblMili[[#This Row],[Mods_Off]])</f>
        <v>0</v>
      </c>
      <c r="S5"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5" s="247">
        <f ca="1">TblMili[[#This Row],[Non Draft]]+TblMili[[#This Row],[Draftees]]</f>
        <v>305</v>
      </c>
      <c r="U5" s="248">
        <f ca="1">race_defense + TblImps[[#This Row],[Walls]] + ROUND( MIN(gt_bonus*TblConstr[[#This Row],[Tot GT]]/TblConstr[[#This Row],[Land]],gt_bonus_cap), 4) + IF(TblMagic[[#This Row],[Active Howling]]&gt;0,howling_dp_bonus,IF(TblMagic[[#This Row],[Active Ares Call]]&gt;0,ares_call_bonus))</f>
        <v>0</v>
      </c>
      <c r="V5" s="249">
        <f ca="1">TblMili[[#This Row],[Non Draft]] * (1 + TblMili[[#This Row],[Mods_Def]])</f>
        <v>0</v>
      </c>
      <c r="W5" s="247">
        <f ca="1">TblMili[[#This Row],[Draft]] * (1 + TblMili[[#This Row],[Mods_Def]])</f>
        <v>305</v>
      </c>
      <c r="X5" s="247">
        <f ca="1">TblConstr[[#This Row],[Land]]</f>
        <v>50</v>
      </c>
      <c r="Y5" s="250"/>
      <c r="Z5" s="255">
        <f ca="1">IF(TblMili[[#This Row],[Set]]&lt;&gt;"",TblMili[[#This Row],[Set]],OFFSET(TblMili[[#This Row],[Draftrate]],-1,0))</f>
        <v>0.9</v>
      </c>
      <c r="AA5"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305</v>
      </c>
      <c r="AB5" s="154"/>
      <c r="AC5" s="180">
        <f ca="1">(TblConstr[[#This Row],[Tot Smi]]+TblConstr[[#This Row],[Dest Smi]])/(TblConstr[[#This Row],[Land]]-TblExplore[[#This Row],[Land Bonus]]*20)</f>
        <v>0</v>
      </c>
      <c r="AD5" s="137"/>
      <c r="AE5" s="246">
        <f>TblMili[[#This Row],[Hour]]</f>
        <v>2</v>
      </c>
      <c r="AF5" s="138">
        <f ca="1">TblExplore[[#This Row],[Time]]</f>
        <v>46320.041666666664</v>
      </c>
      <c r="AG5" s="179"/>
      <c r="AH5" s="179"/>
      <c r="AI5" s="179"/>
      <c r="AJ5" s="179"/>
      <c r="AK5" s="179"/>
      <c r="AL5" s="179"/>
      <c r="AM5" s="179"/>
      <c r="AN5" s="179"/>
      <c r="AO5" s="420">
        <f ca="1">ROUND(IF(AND(TblMagic[[#This Row],[Active DnD]]&lt;12,TblMagic[[#This Row],[Active DnD]]&gt;5),OFFSET(TblPop[[#This Row],[Draft Growth]],-1,0)*0.375,0),0)</f>
        <v>0</v>
      </c>
      <c r="AP5" s="142"/>
      <c r="AQ5" s="94">
        <f ca="1">TblProd[[#This Row],[Platinum]]</f>
        <v>121266</v>
      </c>
      <c r="AR5" s="94">
        <f ca="1">INDEX(TblProd[[#Headers],[Lumber]]:TblProd[[#This Row],[Ore]],COUNTA(TblProd[[#Headers],[Lumber]]:TblProd[[#This Row],[Lumber]]),MATCH(Military!$AR$2,TblProd[[#Headers],[Lumber]:[Ore]],0))</f>
        <v>0</v>
      </c>
      <c r="AS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5" s="94">
        <f ca="1">TblMili[[#This Row],[Train Unit 1]]*TblMili[[#This Row],[OP Ore]]+TblMili[[#This Row],[Train Unit 2]]*TblMili[[#This Row],[DP Ore]]+TblMili[[#This Row],[Train Unit 3]]*TblMili[[#This Row],[E1 Ore]]+TblMili[[#This Row],[Train Unit 4]]*TblMili[[#This Row],[E2 Ore]]</f>
        <v>0</v>
      </c>
      <c r="AU5" s="142">
        <f>TblMili[[#This Row],[Hour]]</f>
        <v>2</v>
      </c>
      <c r="AV5" s="152">
        <f ca="1">TblMili[[#This Row],[Time]]</f>
        <v>46320.041666666664</v>
      </c>
      <c r="AW5" s="94">
        <f ca="1">TblMili[[#This Row],[Draftees]]</f>
        <v>305</v>
      </c>
      <c r="AX5" s="158"/>
      <c r="AY5" s="179"/>
      <c r="AZ5" s="179"/>
      <c r="BA5" s="179"/>
      <c r="BB5" s="179"/>
      <c r="BC5" s="179"/>
      <c r="BD5" s="179"/>
      <c r="BE5" s="179"/>
      <c r="BF5" s="179"/>
      <c r="BG5" s="142"/>
      <c r="BH5" s="157">
        <f ca="1">TblConstr[[#This Row],[Tot WG]]/TblConstr[[#This Row],[Land]]</f>
        <v>0</v>
      </c>
      <c r="BI5" s="157">
        <f ca="1">TblConstr[[#This Row],[Tot Hav]]/TblConstr[[#This Row],[Land]]</f>
        <v>0</v>
      </c>
      <c r="BJ5" s="94">
        <f ca="1">ROUNDUP((1-MIN(TblMili[[#This Row],[Smithies]]*smithy_bonus,smithy_bonus_cap) + tech_3_5*TblTech[[#This Row],[3-5]] + tech_5_3*TblTech[[#This Row],[5-3]] + tech_5_5*TblTech[[#This Row],[5-5]])*spec_op_plat,0)</f>
        <v>315</v>
      </c>
      <c r="BK5" s="94">
        <f ca="1">ROUNDUP(IF(race="Gnome",1,(1-MIN(TblMili[[#This Row],[Smithies]]*smithy_bonus,smithy_bonus_cap) + tech_3_5*TblTech[[#This Row],[3-5]] + tech_5_3*TblTech[[#This Row],[5-3]] + tech_5_5*TblTech[[#This Row],[5-5]]))*spec_op_ore,0)</f>
        <v>25</v>
      </c>
      <c r="BL5" s="94">
        <f ca="1">ROUNDUP((1-MIN(TblMili[[#This Row],[Smithies]]*smithy_bonus,smithy_bonus_cap) + tech_3_5*TblTech[[#This Row],[3-5]] + tech_5_3*TblTech[[#This Row],[5-3]] + tech_5_5*TblTech[[#This Row],[5-5]])*spec_dp_plat,0)</f>
        <v>275</v>
      </c>
      <c r="BM5" s="94">
        <f ca="1">ROUNDUP(IF(race="Gnome",1,(1-MIN(TblMili[[#This Row],[Smithies]]*smithy_bonus,smithy_bonus_cap) + tech_3_5*TblTech[[#This Row],[3-5]] + tech_5_3*TblTech[[#This Row],[5-3]] + tech_5_5*TblTech[[#This Row],[5-5]]))*spec_dp_ore,0)</f>
        <v>15</v>
      </c>
      <c r="BN5" s="94">
        <f ca="1">ROUNDUP((1-MIN(TblMili[[#This Row],[Smithies]]*smithy_bonus,smithy_bonus_cap) + tech_3_5*TblTech[[#This Row],[3-5]] + tech_5_3*TblTech[[#This Row],[5-3]] + tech_5_5*TblTech[[#This Row],[5-5]])*elite1_plat,0)</f>
        <v>1040</v>
      </c>
      <c r="BO5" s="94">
        <f ca="1">ROUNDUP(IF(race="Gnome",1,(1-MIN(TblMili[[#This Row],[Smithies]]*smithy_bonus,smithy_bonus_cap) + tech_3_5*TblTech[[#This Row],[3-5]] + tech_5_3*TblTech[[#This Row],[5-3]] + tech_5_5*TblTech[[#This Row],[5-5]]))*elite1_ore,0)</f>
        <v>75</v>
      </c>
      <c r="BP5" s="94">
        <f ca="1">ROUNDUP((1-MIN(TblMili[[#This Row],[Smithies]]*smithy_bonus,smithy_bonus_cap) + tech_3_5*TblTech[[#This Row],[3-5]] + tech_5_3*TblTech[[#This Row],[5-3]] + tech_5_5*TblTech[[#This Row],[5-5]])*elite2_plat,0)</f>
        <v>1280</v>
      </c>
      <c r="BQ5" s="94">
        <f ca="1">ROUNDUP(IF(race="Gnome",1,(1-MIN(TblMili[[#This Row],[Smithies]]*smithy_bonus,smithy_bonus_cap) + tech_3_5*TblTech[[#This Row],[3-5]] + tech_5_3*TblTech[[#This Row],[5-3]] + tech_5_5*TblTech[[#This Row],[5-5]]))*elite2_ore,0)</f>
        <v>100</v>
      </c>
      <c r="BR5" s="94">
        <f ca="1">ROUNDUP((1-MIN(ROUND(fh_spy_cost_red*TblMili[[#This Row],[FH''s]],4),fh_spy_cost_cap)+ tech_1_9*TblTech[[#This Row],[1-9]] + tech_9_1*TblTech[[#This Row],[9-1]])*spy_plat,0)</f>
        <v>500</v>
      </c>
      <c r="BS5" s="94">
        <f ca="1">ROUNDUP((1-MIN(ROUND(fh_spy_cost_red*TblMili[[#This Row],[FH''s]],4),fh_spy_cost_cap)+ tech_1_9*TblTech[[#This Row],[1-9]] + tech_9_1*TblTech[[#This Row],[9-1]])*archspy_plat,0)</f>
        <v>1000</v>
      </c>
      <c r="BT5" s="94">
        <f ca="1">ROUNDUP((1-MIN(ROUND(wg_wiz_cost_bonus*TblMili[[#This Row],[WG''s]],4),wg_wiz_cost_cap) + tech_1_9_2*TblTech[[#This Row],[1-9]] + tech_9_1_2*TblTech[[#This Row],[9-1]])*wizard_plat,0)</f>
        <v>500</v>
      </c>
      <c r="BU5" s="94">
        <f ca="1">ROUNDUP((1-MIN(ROUND(wg_wiz_cost_bonus*TblMili[[#This Row],[WG''s]],4),wg_wiz_cost_cap) + tech_1_9_2*TblTech[[#This Row],[1-9]] + tech_9_1_2*TblTech[[#This Row],[9-1]])*(archmage_plat + IF(TblMagic[[#This Row],[Active Arc Infusion]]&gt;0,400,0)),0)</f>
        <v>1000</v>
      </c>
      <c r="BV5" s="142"/>
      <c r="BW5" s="157">
        <f ca="1">TblConstr[[#This Row],[Homeland]]/TblConstr[[#This Row],[Land]]</f>
        <v>0.6</v>
      </c>
      <c r="BX5" s="157">
        <f ca="1">TblMili[[#This Row],[WG''s]]</f>
        <v>0</v>
      </c>
      <c r="BY5" s="251">
        <f ca="1">IF(mystic_cap="none",TblMili[[#This Row],[Homeland%]]/mystic_bonus,MIN(mystic_cap,TblMili[[#This Row],[Homeland%]]/mystic_bonus))</f>
        <v>2</v>
      </c>
      <c r="BZ5" s="251">
        <f ca="1">IF(druid_op_cap="none",TblMili[[#This Row],[Homeland%]]/druid_op_bonus,MIN(druid_op_cap,TblMili[[#This Row],[Homeland%]]/druid_op_bonus))</f>
        <v>2</v>
      </c>
      <c r="CA5" s="251">
        <f ca="1">IF(druid_dp_cap="none",TblMili[[#This Row],[Homeland%]]/druid_dp_bonus,MIN(druid_dp_cap,TblMili[[#This Row],[Homeland%]]/druid_dp_bonus))</f>
        <v>2</v>
      </c>
      <c r="CB5" s="251">
        <f ca="1">MIN(dryad_cap,TblMili[[#This Row],[Homeland%]]/dryad_bonus)</f>
        <v>2.9999999999999996</v>
      </c>
      <c r="CC5" s="251">
        <f ca="1">MIN(rocka_cap,TblMili[[#This Row],[Homeland%]]/rocka_bonus)</f>
        <v>2</v>
      </c>
      <c r="CD5" s="251">
        <f ca="1">MIN(adept_op_cap,TblMili[[#This Row],[WG]]/adept_op_bonus)</f>
        <v>0</v>
      </c>
      <c r="CE5" s="251">
        <f ca="1">MIN(adept_dp_cap,TblMili[[#This Row],[WG]]/adept_dp_bonus)</f>
        <v>0</v>
      </c>
      <c r="CF5" s="94">
        <f ca="1">MIN(TblMili[[#This Row],[Unit 3]],TblMili[[#This Row],[Unit 2]])*2</f>
        <v>0</v>
      </c>
      <c r="CG5" s="94">
        <f ca="1">MIN(TblMili[[#This Row],[Unit 1]],TblMili[[#This Row],[Unit 4]])*2</f>
        <v>0</v>
      </c>
      <c r="CH5" s="251">
        <f ca="1">MIN(frost_mage_cap,TblMili[[#This Row],[Homeland%]]/frost_mage_bonus)</f>
        <v>2.9999999999999996</v>
      </c>
      <c r="CI5" s="45">
        <f ca="1">MIN(ice_elem_cap,TblMili[[#This Row],[Raw (2)]]*ice_elem_bonus)</f>
        <v>0</v>
      </c>
      <c r="CJ5" s="251">
        <f t="shared" si="0"/>
        <v>0.83333333333333337</v>
      </c>
      <c r="CK5" s="251">
        <f ca="1">MIN(nox_nightshade_cap,TblConstr[[#This Row],[Homeland]]/TblConstr[[#This Row],[Land]]/nox_nightshade_swamp_bonus)</f>
        <v>4</v>
      </c>
      <c r="CL5" s="251">
        <f ca="1">MIN(TblConstr[[#This Row],[Total Swamp]]/TblConstr[[#This Row],[Land]]/abyss_enforce_bonus,abyss_enforcer_cap)</f>
        <v>0</v>
      </c>
      <c r="CM5" s="251">
        <f ca="1">IF(TblMagic[[#This Row],[Active Infernal Command]]&gt;0,TblMili[[#This Row],[Unit 1]]*infernal_cmd_op,0)</f>
        <v>0</v>
      </c>
      <c r="CN5" s="252" t="s">
        <v>92</v>
      </c>
      <c r="CO5" s="252" t="b">
        <f t="shared" ref="CO5:CO12" si="1">race=CN5</f>
        <v>0</v>
      </c>
      <c r="CP5" s="252"/>
      <c r="CQ5" s="251">
        <f ca="1">TblMili[[#This Row],[Mystic]]*2</f>
        <v>4</v>
      </c>
      <c r="CR5" s="251">
        <f ca="1">TblMili[[#This Row],[Druid (op)]]*2</f>
        <v>4</v>
      </c>
      <c r="CS5" s="94">
        <f ca="1">TblMili[[#This Row],[Mystic bonus]]*TblMili[[#This Row],[Unit 3]]+TblMili[[#This Row],[Druid bonus]]*TblMili[[#This Row],[Unit 4]]</f>
        <v>0</v>
      </c>
      <c r="CT5" s="155">
        <f ca="1">TblMili[[#This Row],[Dryad]]*2</f>
        <v>5.9999999999999991</v>
      </c>
      <c r="CU5" s="94">
        <f ca="1">sylvan*(TblMili[[#This Row],[Mystic bonus]]*TblMili[[#This Row],[Unit 3]])</f>
        <v>0</v>
      </c>
      <c r="CV5" s="155">
        <f ca="1">TblMili[[#This Row],[Rockapult]]*2</f>
        <v>4</v>
      </c>
      <c r="CW5" s="94">
        <f ca="1">gnome*(TblMili[[#This Row],[Rockapult bonus]]*TblMili[[#This Row],[Unit 3]])</f>
        <v>0</v>
      </c>
      <c r="CX5" s="155">
        <f ca="1">TblMili[[#This Row],[Adept-DP]]*2</f>
        <v>0</v>
      </c>
      <c r="CY5" s="94">
        <f ca="1">dark_elf*(TblMili[[#This Row],[Adept bonus]]*TblMili[[#This Row],[Unit 3]])</f>
        <v>0</v>
      </c>
      <c r="CZ5" s="155">
        <f ca="1">TblMili[[#This Row],[Frost Mage]]*2</f>
        <v>5.9999999999999991</v>
      </c>
      <c r="DA5" s="155">
        <f ca="1">TblMili[[#This Row],[Ice Elemental]]*2</f>
        <v>0</v>
      </c>
      <c r="DB5" s="94">
        <f ca="1">TblMili[[#This Row],[Frost Mage bonus]]*TblMili[[#This Row],[Unit 3]]+TblMili[[#This Row],[Ice Elemental bonus]]*TblMili[[#This Row],[Unit 4]]</f>
        <v>0</v>
      </c>
      <c r="DC5" s="253"/>
      <c r="DD5" s="143">
        <f ca="1">MIN(SUM(TblConstr[[#This Row],[Plain]:[Water]])/TblMili[[#This Row],[Land]]/favorable_terrain_bonus/100,favorable_terrain_max)</f>
        <v>0</v>
      </c>
      <c r="DE5" s="253"/>
      <c r="DF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 s="142"/>
      <c r="DH5" s="254">
        <f ca="1">(TblMili[[#This Row],[Wizards]]+2*TblMili[[#This Row],[Archmages]])/TblConstr[[#This Row],[Land]]</f>
        <v>0</v>
      </c>
      <c r="DI5" s="254">
        <f ca="1">TblMili[[#This Row],[Raw (2)]]*(1+race_wizard_strength+IF(TblMili[[#This Row],[Hour]]&gt;72,tech_magical_weaponry_wiz*TblTech[[#This Row],[3-5]],0))</f>
        <v>0</v>
      </c>
    </row>
    <row r="6" spans="1:113" x14ac:dyDescent="0.2">
      <c r="A6" s="137">
        <f>TblRezone[[#This Row],[Hour]]</f>
        <v>3</v>
      </c>
      <c r="B6" s="246">
        <f ca="1">SUM(TblMili[[#This Row],[Unit 1]:[Archmages]])+SUM(OFFSET(TblMili[[#This Row],[Train Unit 1]],-2,0):TblMili[[#This Row],[Train Unit 4]])+TblMili[[#This Row],[Draftees]]</f>
        <v>310</v>
      </c>
      <c r="C6" s="157">
        <f ca="1">TblPop[[#This Row],[Military%]]</f>
        <v>0.40312093628088425</v>
      </c>
      <c r="D6" s="142"/>
      <c r="E6" s="45">
        <f ca="1">OFFSET(TblMili[[#This Row],[Unit 1]],-1,0) - TblMili[[#This Row],[Release Unit 1]]</f>
        <v>0</v>
      </c>
      <c r="F6" s="45">
        <f ca="1">OFFSET(TblMili[[#This Row],[Unit 2]],-1,0)-TblMili[[#This Row],[Release Unit 2]]</f>
        <v>0</v>
      </c>
      <c r="G6" s="45">
        <f ca="1">OFFSET(TblMili[[#This Row],[Unit 3]],-1,0)-TblMili[[#This Row],[Release Unit 3]]</f>
        <v>0</v>
      </c>
      <c r="H6" s="45">
        <f ca="1">OFFSET(TblMili[[#This Row],[Unit 4]],-1,0)-TblMili[[#This Row],[Release Unit 4]]</f>
        <v>0</v>
      </c>
      <c r="I6" s="45">
        <f ca="1">OFFSET(TblMili[[#This Row],[Spies]],-1,0)-TblMili[[#This Row],[Release Spies]]-TblMili[[#This Row],[Train AS]]</f>
        <v>0</v>
      </c>
      <c r="J6" s="45">
        <f ca="1">OFFSET(TblMili[[#This Row],[Archspies]],-1,0)-TblMili[[#This Row],[Release AS]]</f>
        <v>0</v>
      </c>
      <c r="K6" s="45">
        <f ca="1">OFFSET(TblMili[[#This Row],[Wizards]],-1,0)-TblMili[[#This Row],[Release Wizards]]-TblMili[[#This Row],[Train AM]]</f>
        <v>0</v>
      </c>
      <c r="L6" s="45">
        <f ca="1">OFFSET(TblMili[[#This Row],[Archmages]],-1,0)-TblMili[[#This Row],[Release AM]]</f>
        <v>0</v>
      </c>
      <c r="M6" s="142"/>
      <c r="N6" s="94">
        <f ca="1">TblProd[[#This Row],[Networth]]</f>
        <v>1250</v>
      </c>
      <c r="O6" s="142"/>
      <c r="P6"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 s="247">
        <f ca="1">TblMili[[#This Row],[Raw]]*(1+TblMili[[#This Row],[Mods_Off]])</f>
        <v>0</v>
      </c>
      <c r="S6"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6" s="247">
        <f ca="1">TblMili[[#This Row],[Non Draft]]+TblMili[[#This Row],[Draftees]]</f>
        <v>310</v>
      </c>
      <c r="U6" s="248">
        <f ca="1">race_defense + TblImps[[#This Row],[Walls]] + ROUND( MIN(gt_bonus*TblConstr[[#This Row],[Tot GT]]/TblConstr[[#This Row],[Land]],gt_bonus_cap), 4) + IF(TblMagic[[#This Row],[Active Howling]]&gt;0,howling_dp_bonus,IF(TblMagic[[#This Row],[Active Ares Call]]&gt;0,ares_call_bonus))</f>
        <v>0</v>
      </c>
      <c r="V6" s="249">
        <f ca="1">TblMili[[#This Row],[Non Draft]] * (1 + TblMili[[#This Row],[Mods_Def]])</f>
        <v>0</v>
      </c>
      <c r="W6" s="247">
        <f ca="1">TblMili[[#This Row],[Draft]] * (1 + TblMili[[#This Row],[Mods_Def]])</f>
        <v>310</v>
      </c>
      <c r="X6" s="247">
        <f ca="1">TblConstr[[#This Row],[Land]]</f>
        <v>50</v>
      </c>
      <c r="Y6" s="250"/>
      <c r="Z6" s="255">
        <f ca="1">IF(TblMili[[#This Row],[Set]]&lt;&gt;"",TblMili[[#This Row],[Set]],OFFSET(TblMili[[#This Row],[Draftrate]],-1,0))</f>
        <v>0.9</v>
      </c>
      <c r="AA6"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310</v>
      </c>
      <c r="AB6" s="154"/>
      <c r="AC6" s="180">
        <f ca="1">(TblConstr[[#This Row],[Tot Smi]]+TblConstr[[#This Row],[Dest Smi]])/(TblConstr[[#This Row],[Land]]-TblExplore[[#This Row],[Land Bonus]]*20)</f>
        <v>0</v>
      </c>
      <c r="AD6" s="137"/>
      <c r="AE6" s="246">
        <f>TblMili[[#This Row],[Hour]]</f>
        <v>3</v>
      </c>
      <c r="AF6" s="138">
        <f ca="1">TblExplore[[#This Row],[Time]]</f>
        <v>46320.083333333328</v>
      </c>
      <c r="AG6" s="179"/>
      <c r="AH6" s="179"/>
      <c r="AI6" s="179"/>
      <c r="AJ6" s="179"/>
      <c r="AK6" s="179"/>
      <c r="AL6" s="179"/>
      <c r="AM6" s="179"/>
      <c r="AN6" s="179"/>
      <c r="AO6" s="420">
        <f ca="1">ROUND(IF(AND(TblMagic[[#This Row],[Active DnD]]&lt;12,TblMagic[[#This Row],[Active DnD]]&gt;5),OFFSET(TblPop[[#This Row],[Draft Growth]],-1,0)*0.375,0),0)</f>
        <v>0</v>
      </c>
      <c r="AP6" s="142"/>
      <c r="AQ6" s="94">
        <f ca="1">TblProd[[#This Row],[Platinum]]</f>
        <v>122518</v>
      </c>
      <c r="AR6" s="94">
        <f ca="1">INDEX(TblProd[[#Headers],[Lumber]]:TblProd[[#This Row],[Ore]],COUNTA(TblProd[[#Headers],[Lumber]]:TblProd[[#This Row],[Lumber]]),MATCH(Military!$AR$2,TblProd[[#Headers],[Lumber]:[Ore]],0))</f>
        <v>0</v>
      </c>
      <c r="AS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6" s="94">
        <f ca="1">TblMili[[#This Row],[Train Unit 1]]*TblMili[[#This Row],[OP Ore]]+TblMili[[#This Row],[Train Unit 2]]*TblMili[[#This Row],[DP Ore]]+TblMili[[#This Row],[Train Unit 3]]*TblMili[[#This Row],[E1 Ore]]+TblMili[[#This Row],[Train Unit 4]]*TblMili[[#This Row],[E2 Ore]]</f>
        <v>0</v>
      </c>
      <c r="AU6" s="142">
        <f>TblMili[[#This Row],[Hour]]</f>
        <v>3</v>
      </c>
      <c r="AV6" s="152">
        <f ca="1">TblMili[[#This Row],[Time]]</f>
        <v>46320.083333333328</v>
      </c>
      <c r="AW6" s="94">
        <f ca="1">TblMili[[#This Row],[Draftees]]</f>
        <v>310</v>
      </c>
      <c r="AX6" s="179"/>
      <c r="AY6" s="179"/>
      <c r="AZ6" s="179"/>
      <c r="BA6" s="179"/>
      <c r="BB6" s="179"/>
      <c r="BC6" s="179"/>
      <c r="BD6" s="179"/>
      <c r="BE6" s="179"/>
      <c r="BF6" s="179"/>
      <c r="BG6" s="142"/>
      <c r="BH6" s="157">
        <f ca="1">TblConstr[[#This Row],[Tot WG]]/TblConstr[[#This Row],[Land]]</f>
        <v>0</v>
      </c>
      <c r="BI6" s="157">
        <f ca="1">TblConstr[[#This Row],[Tot Hav]]/TblConstr[[#This Row],[Land]]</f>
        <v>0</v>
      </c>
      <c r="BJ6" s="94">
        <f ca="1">ROUNDUP((1-MIN(TblMili[[#This Row],[Smithies]]*smithy_bonus,smithy_bonus_cap) + tech_3_5*TblTech[[#This Row],[3-5]] + tech_5_3*TblTech[[#This Row],[5-3]] + tech_5_5*TblTech[[#This Row],[5-5]])*spec_op_plat,0)</f>
        <v>315</v>
      </c>
      <c r="BK6" s="94">
        <f ca="1">ROUNDUP(IF(race="Gnome",1,(1-MIN(TblMili[[#This Row],[Smithies]]*smithy_bonus,smithy_bonus_cap) + tech_3_5*TblTech[[#This Row],[3-5]] + tech_5_3*TblTech[[#This Row],[5-3]] + tech_5_5*TblTech[[#This Row],[5-5]]))*spec_op_ore,0)</f>
        <v>25</v>
      </c>
      <c r="BL6" s="94">
        <f ca="1">ROUNDUP((1-MIN(TblMili[[#This Row],[Smithies]]*smithy_bonus,smithy_bonus_cap) + tech_3_5*TblTech[[#This Row],[3-5]] + tech_5_3*TblTech[[#This Row],[5-3]] + tech_5_5*TblTech[[#This Row],[5-5]])*spec_dp_plat,0)</f>
        <v>275</v>
      </c>
      <c r="BM6" s="94">
        <f ca="1">ROUNDUP(IF(race="Gnome",1,(1-MIN(TblMili[[#This Row],[Smithies]]*smithy_bonus,smithy_bonus_cap) + tech_3_5*TblTech[[#This Row],[3-5]] + tech_5_3*TblTech[[#This Row],[5-3]] + tech_5_5*TblTech[[#This Row],[5-5]]))*spec_dp_ore,0)</f>
        <v>15</v>
      </c>
      <c r="BN6" s="94">
        <f ca="1">ROUNDUP((1-MIN(TblMili[[#This Row],[Smithies]]*smithy_bonus,smithy_bonus_cap) + tech_3_5*TblTech[[#This Row],[3-5]] + tech_5_3*TblTech[[#This Row],[5-3]] + tech_5_5*TblTech[[#This Row],[5-5]])*elite1_plat,0)</f>
        <v>1040</v>
      </c>
      <c r="BO6" s="94">
        <f ca="1">ROUNDUP(IF(race="Gnome",1,(1-MIN(TblMili[[#This Row],[Smithies]]*smithy_bonus,smithy_bonus_cap) + tech_3_5*TblTech[[#This Row],[3-5]] + tech_5_3*TblTech[[#This Row],[5-3]] + tech_5_5*TblTech[[#This Row],[5-5]]))*elite1_ore,0)</f>
        <v>75</v>
      </c>
      <c r="BP6" s="94">
        <f ca="1">ROUNDUP((1-MIN(TblMili[[#This Row],[Smithies]]*smithy_bonus,smithy_bonus_cap) + tech_3_5*TblTech[[#This Row],[3-5]] + tech_5_3*TblTech[[#This Row],[5-3]] + tech_5_5*TblTech[[#This Row],[5-5]])*elite2_plat,0)</f>
        <v>1280</v>
      </c>
      <c r="BQ6" s="94">
        <f ca="1">ROUNDUP(IF(race="Gnome",1,(1-MIN(TblMili[[#This Row],[Smithies]]*smithy_bonus,smithy_bonus_cap) + tech_3_5*TblTech[[#This Row],[3-5]] + tech_5_3*TblTech[[#This Row],[5-3]] + tech_5_5*TblTech[[#This Row],[5-5]]))*elite2_ore,0)</f>
        <v>100</v>
      </c>
      <c r="BR6" s="94">
        <f ca="1">ROUNDUP((1-MIN(ROUND(fh_spy_cost_red*TblMili[[#This Row],[FH''s]],4),fh_spy_cost_cap)+ tech_1_9*TblTech[[#This Row],[1-9]] + tech_9_1*TblTech[[#This Row],[9-1]])*spy_plat,0)</f>
        <v>500</v>
      </c>
      <c r="BS6" s="94">
        <f ca="1">ROUNDUP((1-MIN(ROUND(fh_spy_cost_red*TblMili[[#This Row],[FH''s]],4),fh_spy_cost_cap)+ tech_1_9*TblTech[[#This Row],[1-9]] + tech_9_1*TblTech[[#This Row],[9-1]])*archspy_plat,0)</f>
        <v>1000</v>
      </c>
      <c r="BT6" s="94">
        <f ca="1">ROUNDUP((1-MIN(ROUND(wg_wiz_cost_bonus*TblMili[[#This Row],[WG''s]],4),wg_wiz_cost_cap) + tech_1_9_2*TblTech[[#This Row],[1-9]] + tech_9_1_2*TblTech[[#This Row],[9-1]])*wizard_plat,0)</f>
        <v>500</v>
      </c>
      <c r="BU6" s="94">
        <f ca="1">ROUNDUP((1-MIN(ROUND(wg_wiz_cost_bonus*TblMili[[#This Row],[WG''s]],4),wg_wiz_cost_cap) + tech_1_9_2*TblTech[[#This Row],[1-9]] + tech_9_1_2*TblTech[[#This Row],[9-1]])*(archmage_plat + IF(TblMagic[[#This Row],[Active Arc Infusion]]&gt;0,400,0)),0)</f>
        <v>1000</v>
      </c>
      <c r="BV6" s="142"/>
      <c r="BW6" s="157">
        <f ca="1">TblConstr[[#This Row],[Homeland]]/TblConstr[[#This Row],[Land]]</f>
        <v>0.6</v>
      </c>
      <c r="BX6" s="157">
        <f ca="1">TblMili[[#This Row],[WG''s]]</f>
        <v>0</v>
      </c>
      <c r="BY6" s="251">
        <f ca="1">IF(mystic_cap="none",TblMili[[#This Row],[Homeland%]]/mystic_bonus,MIN(mystic_cap,TblMili[[#This Row],[Homeland%]]/mystic_bonus))</f>
        <v>2</v>
      </c>
      <c r="BZ6" s="251">
        <f ca="1">IF(druid_op_cap="none",TblMili[[#This Row],[Homeland%]]/druid_op_bonus,MIN(druid_op_cap,TblMili[[#This Row],[Homeland%]]/druid_op_bonus))</f>
        <v>2</v>
      </c>
      <c r="CA6" s="251">
        <f ca="1">IF(druid_dp_cap="none",TblMili[[#This Row],[Homeland%]]/druid_dp_bonus,MIN(druid_dp_cap,TblMili[[#This Row],[Homeland%]]/druid_dp_bonus))</f>
        <v>2</v>
      </c>
      <c r="CB6" s="251">
        <f ca="1">MIN(dryad_cap,TblMili[[#This Row],[Homeland%]]/dryad_bonus)</f>
        <v>2.9999999999999996</v>
      </c>
      <c r="CC6" s="251">
        <f ca="1">MIN(rocka_cap,TblMili[[#This Row],[Homeland%]]/rocka_bonus)</f>
        <v>2</v>
      </c>
      <c r="CD6" s="251">
        <f ca="1">MIN(adept_op_cap,TblMili[[#This Row],[WG]]/adept_op_bonus)</f>
        <v>0</v>
      </c>
      <c r="CE6" s="251">
        <f ca="1">MIN(adept_dp_cap,TblMili[[#This Row],[WG]]/adept_dp_bonus)</f>
        <v>0</v>
      </c>
      <c r="CF6" s="94">
        <f ca="1">MIN(TblMili[[#This Row],[Unit 3]],TblMili[[#This Row],[Unit 2]])*2</f>
        <v>0</v>
      </c>
      <c r="CG6" s="94">
        <f ca="1">MIN(TblMili[[#This Row],[Unit 1]],TblMili[[#This Row],[Unit 4]])*2</f>
        <v>0</v>
      </c>
      <c r="CH6" s="251">
        <f ca="1">MIN(frost_mage_cap,TblMili[[#This Row],[Homeland%]]/frost_mage_bonus)</f>
        <v>2.9999999999999996</v>
      </c>
      <c r="CI6" s="45">
        <f ca="1">MIN(ice_elem_cap,TblMili[[#This Row],[Raw (2)]]*ice_elem_bonus)</f>
        <v>0</v>
      </c>
      <c r="CJ6" s="251">
        <f t="shared" si="0"/>
        <v>0.83333333333333337</v>
      </c>
      <c r="CK6" s="251">
        <f ca="1">MIN(nox_nightshade_cap,TblConstr[[#This Row],[Homeland]]/TblConstr[[#This Row],[Land]]/nox_nightshade_swamp_bonus)</f>
        <v>4</v>
      </c>
      <c r="CL6" s="251">
        <f ca="1">MIN(TblConstr[[#This Row],[Total Swamp]]/TblConstr[[#This Row],[Land]]/abyss_enforce_bonus,abyss_enforcer_cap)</f>
        <v>0</v>
      </c>
      <c r="CM6" s="251">
        <f ca="1">IF(TblMagic[[#This Row],[Active Infernal Command]]&gt;0,TblMili[[#This Row],[Unit 1]]*infernal_cmd_op,0)</f>
        <v>0</v>
      </c>
      <c r="CN6" s="252" t="s">
        <v>96</v>
      </c>
      <c r="CO6" s="252" t="b">
        <f t="shared" si="1"/>
        <v>0</v>
      </c>
      <c r="CP6" s="252"/>
      <c r="CQ6" s="251">
        <f ca="1">TblMili[[#This Row],[Mystic]]*2</f>
        <v>4</v>
      </c>
      <c r="CR6" s="251">
        <f ca="1">TblMili[[#This Row],[Druid (op)]]*2</f>
        <v>4</v>
      </c>
      <c r="CS6" s="94">
        <f ca="1">TblMili[[#This Row],[Mystic bonus]]*TblMili[[#This Row],[Unit 3]]+TblMili[[#This Row],[Druid bonus]]*TblMili[[#This Row],[Unit 4]]</f>
        <v>0</v>
      </c>
      <c r="CT6" s="155">
        <f ca="1">TblMili[[#This Row],[Dryad]]*2</f>
        <v>5.9999999999999991</v>
      </c>
      <c r="CU6" s="94">
        <f ca="1">sylvan*(TblMili[[#This Row],[Mystic bonus]]*TblMili[[#This Row],[Unit 3]])</f>
        <v>0</v>
      </c>
      <c r="CV6" s="155">
        <f ca="1">TblMili[[#This Row],[Rockapult]]*2</f>
        <v>4</v>
      </c>
      <c r="CW6" s="94">
        <f ca="1">gnome*(TblMili[[#This Row],[Rockapult bonus]]*TblMili[[#This Row],[Unit 3]])</f>
        <v>0</v>
      </c>
      <c r="CX6" s="155">
        <f ca="1">TblMili[[#This Row],[Adept-DP]]*2</f>
        <v>0</v>
      </c>
      <c r="CY6" s="94">
        <f ca="1">dark_elf*(TblMili[[#This Row],[Adept bonus]]*TblMili[[#This Row],[Unit 3]])</f>
        <v>0</v>
      </c>
      <c r="CZ6" s="155">
        <f ca="1">TblMili[[#This Row],[Frost Mage]]*2</f>
        <v>5.9999999999999991</v>
      </c>
      <c r="DA6" s="155">
        <f ca="1">TblMili[[#This Row],[Ice Elemental]]*2</f>
        <v>0</v>
      </c>
      <c r="DB6" s="94">
        <f ca="1">TblMili[[#This Row],[Frost Mage bonus]]*TblMili[[#This Row],[Unit 3]]+TblMili[[#This Row],[Ice Elemental bonus]]*TblMili[[#This Row],[Unit 4]]</f>
        <v>0</v>
      </c>
      <c r="DC6" s="253"/>
      <c r="DD6" s="143">
        <f ca="1">MIN(SUM(TblConstr[[#This Row],[Plain]:[Water]])/TblMili[[#This Row],[Land]]/favorable_terrain_bonus/100,favorable_terrain_max)</f>
        <v>0</v>
      </c>
      <c r="DE6" s="253"/>
      <c r="DF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 s="142"/>
      <c r="DH6" s="254">
        <f ca="1">(TblMili[[#This Row],[Wizards]]+2*TblMili[[#This Row],[Archmages]])/TblConstr[[#This Row],[Land]]</f>
        <v>0</v>
      </c>
      <c r="DI6" s="254">
        <f ca="1">TblMili[[#This Row],[Raw (2)]]*(1+race_wizard_strength+IF(TblMili[[#This Row],[Hour]]&gt;72,tech_magical_weaponry_wiz*TblTech[[#This Row],[3-5]],0))</f>
        <v>0</v>
      </c>
    </row>
    <row r="7" spans="1:113" x14ac:dyDescent="0.2">
      <c r="A7" s="137">
        <f>TblRezone[[#This Row],[Hour]]</f>
        <v>4</v>
      </c>
      <c r="B7" s="246">
        <f ca="1">SUM(TblMili[[#This Row],[Unit 1]:[Archmages]])+SUM(OFFSET(TblMili[[#This Row],[Train Unit 1]],-3,0):TblMili[[#This Row],[Train Unit 4]])+TblMili[[#This Row],[Draftees]]</f>
        <v>315</v>
      </c>
      <c r="C7" s="157">
        <f ca="1">TblPop[[#This Row],[Military%]]</f>
        <v>0.4096228868660598</v>
      </c>
      <c r="D7" s="142"/>
      <c r="E7" s="45">
        <f ca="1">OFFSET(TblMili[[#This Row],[Unit 1]],-1,0) - TblMili[[#This Row],[Release Unit 1]]</f>
        <v>0</v>
      </c>
      <c r="F7" s="45">
        <f ca="1">OFFSET(TblMili[[#This Row],[Unit 2]],-1,0)-TblMili[[#This Row],[Release Unit 2]]</f>
        <v>0</v>
      </c>
      <c r="G7" s="45">
        <f ca="1">OFFSET(TblMili[[#This Row],[Unit 3]],-1,0)-TblMili[[#This Row],[Release Unit 3]]</f>
        <v>0</v>
      </c>
      <c r="H7" s="45">
        <f ca="1">OFFSET(TblMili[[#This Row],[Unit 4]],-1,0)-TblMili[[#This Row],[Release Unit 4]]</f>
        <v>0</v>
      </c>
      <c r="I7" s="45">
        <f ca="1">OFFSET(TblMili[[#This Row],[Spies]],-1,0)-TblMili[[#This Row],[Release Spies]]-TblMili[[#This Row],[Train AS]]</f>
        <v>0</v>
      </c>
      <c r="J7" s="45">
        <f ca="1">OFFSET(TblMili[[#This Row],[Archspies]],-1,0)-TblMili[[#This Row],[Release AS]]</f>
        <v>0</v>
      </c>
      <c r="K7" s="45">
        <f ca="1">OFFSET(TblMili[[#This Row],[Wizards]],-1,0)-TblMili[[#This Row],[Release Wizards]]-TblMili[[#This Row],[Train AM]]</f>
        <v>0</v>
      </c>
      <c r="L7" s="45">
        <f ca="1">OFFSET(TblMili[[#This Row],[Archmages]],-1,0)-TblMili[[#This Row],[Release AM]]</f>
        <v>0</v>
      </c>
      <c r="M7" s="142"/>
      <c r="N7" s="94">
        <f ca="1">TblProd[[#This Row],[Networth]]</f>
        <v>1250</v>
      </c>
      <c r="O7" s="142"/>
      <c r="P7"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 s="247">
        <f ca="1">TblMili[[#This Row],[Raw]]*(1+TblMili[[#This Row],[Mods_Off]])</f>
        <v>0</v>
      </c>
      <c r="S7"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7" s="247">
        <f ca="1">TblMili[[#This Row],[Non Draft]]+TblMili[[#This Row],[Draftees]]</f>
        <v>315</v>
      </c>
      <c r="U7" s="248">
        <f ca="1">race_defense + TblImps[[#This Row],[Walls]] + ROUND( MIN(gt_bonus*TblConstr[[#This Row],[Tot GT]]/TblConstr[[#This Row],[Land]],gt_bonus_cap), 4) + IF(TblMagic[[#This Row],[Active Howling]]&gt;0,howling_dp_bonus,IF(TblMagic[[#This Row],[Active Ares Call]]&gt;0,ares_call_bonus))</f>
        <v>0</v>
      </c>
      <c r="V7" s="249">
        <f ca="1">TblMili[[#This Row],[Non Draft]] * (1 + TblMili[[#This Row],[Mods_Def]])</f>
        <v>0</v>
      </c>
      <c r="W7" s="247">
        <f ca="1">TblMili[[#This Row],[Draft]] * (1 + TblMili[[#This Row],[Mods_Def]])</f>
        <v>315</v>
      </c>
      <c r="X7" s="247">
        <f ca="1">TblConstr[[#This Row],[Land]]</f>
        <v>50</v>
      </c>
      <c r="Y7" s="250"/>
      <c r="Z7" s="255">
        <f ca="1">IF(TblMili[[#This Row],[Set]]&lt;&gt;"",TblMili[[#This Row],[Set]],OFFSET(TblMili[[#This Row],[Draftrate]],-1,0))</f>
        <v>0.9</v>
      </c>
      <c r="AA7"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315</v>
      </c>
      <c r="AB7" s="154"/>
      <c r="AC7" s="180">
        <f ca="1">(TblConstr[[#This Row],[Tot Smi]]+TblConstr[[#This Row],[Dest Smi]])/(TblConstr[[#This Row],[Land]]-TblExplore[[#This Row],[Land Bonus]]*20)</f>
        <v>0</v>
      </c>
      <c r="AD7" s="137"/>
      <c r="AE7" s="246">
        <f>TblMili[[#This Row],[Hour]]</f>
        <v>4</v>
      </c>
      <c r="AF7" s="138">
        <f ca="1">TblExplore[[#This Row],[Time]]</f>
        <v>46320.124999999993</v>
      </c>
      <c r="AG7" s="179"/>
      <c r="AH7" s="179"/>
      <c r="AI7" s="179"/>
      <c r="AJ7" s="179"/>
      <c r="AK7" s="179"/>
      <c r="AL7" s="179"/>
      <c r="AM7" s="179"/>
      <c r="AN7" s="179"/>
      <c r="AO7" s="420">
        <f ca="1">ROUND(IF(AND(TblMagic[[#This Row],[Active DnD]]&lt;12,TblMagic[[#This Row],[Active DnD]]&gt;5),OFFSET(TblPop[[#This Row],[Draft Growth]],-1,0)*0.375,0),0)</f>
        <v>0</v>
      </c>
      <c r="AP7" s="142"/>
      <c r="AQ7" s="94">
        <f ca="1">TblProd[[#This Row],[Platinum]]</f>
        <v>123757</v>
      </c>
      <c r="AR7" s="94">
        <f ca="1">INDEX(TblProd[[#Headers],[Lumber]]:TblProd[[#This Row],[Ore]],COUNTA(TblProd[[#Headers],[Lumber]]:TblProd[[#This Row],[Lumber]]),MATCH(Military!$AR$2,TblProd[[#Headers],[Lumber]:[Ore]],0))</f>
        <v>0</v>
      </c>
      <c r="AS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7" s="94">
        <f ca="1">TblMili[[#This Row],[Train Unit 1]]*TblMili[[#This Row],[OP Ore]]+TblMili[[#This Row],[Train Unit 2]]*TblMili[[#This Row],[DP Ore]]+TblMili[[#This Row],[Train Unit 3]]*TblMili[[#This Row],[E1 Ore]]+TblMili[[#This Row],[Train Unit 4]]*TblMili[[#This Row],[E2 Ore]]</f>
        <v>0</v>
      </c>
      <c r="AU7" s="142">
        <f>TblMili[[#This Row],[Hour]]</f>
        <v>4</v>
      </c>
      <c r="AV7" s="152">
        <f ca="1">TblMili[[#This Row],[Time]]</f>
        <v>46320.124999999993</v>
      </c>
      <c r="AW7" s="94">
        <f ca="1">TblMili[[#This Row],[Draftees]]</f>
        <v>315</v>
      </c>
      <c r="AX7" s="179"/>
      <c r="AY7" s="179"/>
      <c r="AZ7" s="179"/>
      <c r="BA7" s="179"/>
      <c r="BB7" s="179"/>
      <c r="BC7" s="179"/>
      <c r="BD7" s="179"/>
      <c r="BE7" s="179"/>
      <c r="BF7" s="179"/>
      <c r="BG7" s="142"/>
      <c r="BH7" s="157">
        <f ca="1">TblConstr[[#This Row],[Tot WG]]/TblConstr[[#This Row],[Land]]</f>
        <v>0</v>
      </c>
      <c r="BI7" s="157">
        <f ca="1">TblConstr[[#This Row],[Tot Hav]]/TblConstr[[#This Row],[Land]]</f>
        <v>0</v>
      </c>
      <c r="BJ7" s="94">
        <f ca="1">ROUNDUP((1-MIN(TblMili[[#This Row],[Smithies]]*smithy_bonus,smithy_bonus_cap) + tech_3_5*TblTech[[#This Row],[3-5]] + tech_5_3*TblTech[[#This Row],[5-3]] + tech_5_5*TblTech[[#This Row],[5-5]])*spec_op_plat,0)</f>
        <v>315</v>
      </c>
      <c r="BK7" s="94">
        <f ca="1">ROUNDUP(IF(race="Gnome",1,(1-MIN(TblMili[[#This Row],[Smithies]]*smithy_bonus,smithy_bonus_cap) + tech_3_5*TblTech[[#This Row],[3-5]] + tech_5_3*TblTech[[#This Row],[5-3]] + tech_5_5*TblTech[[#This Row],[5-5]]))*spec_op_ore,0)</f>
        <v>25</v>
      </c>
      <c r="BL7" s="94">
        <f ca="1">ROUNDUP((1-MIN(TblMili[[#This Row],[Smithies]]*smithy_bonus,smithy_bonus_cap) + tech_3_5*TblTech[[#This Row],[3-5]] + tech_5_3*TblTech[[#This Row],[5-3]] + tech_5_5*TblTech[[#This Row],[5-5]])*spec_dp_plat,0)</f>
        <v>275</v>
      </c>
      <c r="BM7" s="94">
        <f ca="1">ROUNDUP(IF(race="Gnome",1,(1-MIN(TblMili[[#This Row],[Smithies]]*smithy_bonus,smithy_bonus_cap) + tech_3_5*TblTech[[#This Row],[3-5]] + tech_5_3*TblTech[[#This Row],[5-3]] + tech_5_5*TblTech[[#This Row],[5-5]]))*spec_dp_ore,0)</f>
        <v>15</v>
      </c>
      <c r="BN7" s="94">
        <f ca="1">ROUNDUP((1-MIN(TblMili[[#This Row],[Smithies]]*smithy_bonus,smithy_bonus_cap) + tech_3_5*TblTech[[#This Row],[3-5]] + tech_5_3*TblTech[[#This Row],[5-3]] + tech_5_5*TblTech[[#This Row],[5-5]])*elite1_plat,0)</f>
        <v>1040</v>
      </c>
      <c r="BO7" s="94">
        <f ca="1">ROUNDUP(IF(race="Gnome",1,(1-MIN(TblMili[[#This Row],[Smithies]]*smithy_bonus,smithy_bonus_cap) + tech_3_5*TblTech[[#This Row],[3-5]] + tech_5_3*TblTech[[#This Row],[5-3]] + tech_5_5*TblTech[[#This Row],[5-5]]))*elite1_ore,0)</f>
        <v>75</v>
      </c>
      <c r="BP7" s="94">
        <f ca="1">ROUNDUP((1-MIN(TblMili[[#This Row],[Smithies]]*smithy_bonus,smithy_bonus_cap) + tech_3_5*TblTech[[#This Row],[3-5]] + tech_5_3*TblTech[[#This Row],[5-3]] + tech_5_5*TblTech[[#This Row],[5-5]])*elite2_plat,0)</f>
        <v>1280</v>
      </c>
      <c r="BQ7" s="94">
        <f ca="1">ROUNDUP(IF(race="Gnome",1,(1-MIN(TblMili[[#This Row],[Smithies]]*smithy_bonus,smithy_bonus_cap) + tech_3_5*TblTech[[#This Row],[3-5]] + tech_5_3*TblTech[[#This Row],[5-3]] + tech_5_5*TblTech[[#This Row],[5-5]]))*elite2_ore,0)</f>
        <v>100</v>
      </c>
      <c r="BR7" s="94">
        <f ca="1">ROUNDUP((1-MIN(ROUND(fh_spy_cost_red*TblMili[[#This Row],[FH''s]],4),fh_spy_cost_cap)+ tech_1_9*TblTech[[#This Row],[1-9]] + tech_9_1*TblTech[[#This Row],[9-1]])*spy_plat,0)</f>
        <v>500</v>
      </c>
      <c r="BS7" s="94">
        <f ca="1">ROUNDUP((1-MIN(ROUND(fh_spy_cost_red*TblMili[[#This Row],[FH''s]],4),fh_spy_cost_cap)+ tech_1_9*TblTech[[#This Row],[1-9]] + tech_9_1*TblTech[[#This Row],[9-1]])*archspy_plat,0)</f>
        <v>1000</v>
      </c>
      <c r="BT7" s="94">
        <f ca="1">ROUNDUP((1-MIN(ROUND(wg_wiz_cost_bonus*TblMili[[#This Row],[WG''s]],4),wg_wiz_cost_cap) + tech_1_9_2*TblTech[[#This Row],[1-9]] + tech_9_1_2*TblTech[[#This Row],[9-1]])*wizard_plat,0)</f>
        <v>500</v>
      </c>
      <c r="BU7" s="94">
        <f ca="1">ROUNDUP((1-MIN(ROUND(wg_wiz_cost_bonus*TblMili[[#This Row],[WG''s]],4),wg_wiz_cost_cap) + tech_1_9_2*TblTech[[#This Row],[1-9]] + tech_9_1_2*TblTech[[#This Row],[9-1]])*(archmage_plat + IF(TblMagic[[#This Row],[Active Arc Infusion]]&gt;0,400,0)),0)</f>
        <v>1000</v>
      </c>
      <c r="BV7" s="142"/>
      <c r="BW7" s="157">
        <f ca="1">TblConstr[[#This Row],[Homeland]]/TblConstr[[#This Row],[Land]]</f>
        <v>0.6</v>
      </c>
      <c r="BX7" s="157">
        <f ca="1">TblMili[[#This Row],[WG''s]]</f>
        <v>0</v>
      </c>
      <c r="BY7" s="251">
        <f ca="1">IF(mystic_cap="none",TblMili[[#This Row],[Homeland%]]/mystic_bonus,MIN(mystic_cap,TblMili[[#This Row],[Homeland%]]/mystic_bonus))</f>
        <v>2</v>
      </c>
      <c r="BZ7" s="251">
        <f ca="1">IF(druid_op_cap="none",TblMili[[#This Row],[Homeland%]]/druid_op_bonus,MIN(druid_op_cap,TblMili[[#This Row],[Homeland%]]/druid_op_bonus))</f>
        <v>2</v>
      </c>
      <c r="CA7" s="251">
        <f ca="1">IF(druid_dp_cap="none",TblMili[[#This Row],[Homeland%]]/druid_dp_bonus,MIN(druid_dp_cap,TblMili[[#This Row],[Homeland%]]/druid_dp_bonus))</f>
        <v>2</v>
      </c>
      <c r="CB7" s="251">
        <f ca="1">MIN(dryad_cap,TblMili[[#This Row],[Homeland%]]/dryad_bonus)</f>
        <v>2.9999999999999996</v>
      </c>
      <c r="CC7" s="251">
        <f ca="1">MIN(rocka_cap,TblMili[[#This Row],[Homeland%]]/rocka_bonus)</f>
        <v>2</v>
      </c>
      <c r="CD7" s="251">
        <f ca="1">MIN(adept_op_cap,TblMili[[#This Row],[WG]]/adept_op_bonus)</f>
        <v>0</v>
      </c>
      <c r="CE7" s="251">
        <f ca="1">MIN(adept_dp_cap,TblMili[[#This Row],[WG]]/adept_dp_bonus)</f>
        <v>0</v>
      </c>
      <c r="CF7" s="94">
        <f ca="1">MIN(TblMili[[#This Row],[Unit 3]],TblMili[[#This Row],[Unit 2]])*2</f>
        <v>0</v>
      </c>
      <c r="CG7" s="94">
        <f ca="1">MIN(TblMili[[#This Row],[Unit 1]],TblMili[[#This Row],[Unit 4]])*2</f>
        <v>0</v>
      </c>
      <c r="CH7" s="251">
        <f ca="1">MIN(frost_mage_cap,TblMili[[#This Row],[Homeland%]]/frost_mage_bonus)</f>
        <v>2.9999999999999996</v>
      </c>
      <c r="CI7" s="45">
        <f ca="1">MIN(ice_elem_cap,TblMili[[#This Row],[Raw (2)]]*ice_elem_bonus)</f>
        <v>0</v>
      </c>
      <c r="CJ7" s="251">
        <f t="shared" si="0"/>
        <v>0.83333333333333337</v>
      </c>
      <c r="CK7" s="251">
        <f ca="1">MIN(nox_nightshade_cap,TblConstr[[#This Row],[Homeland]]/TblConstr[[#This Row],[Land]]/nox_nightshade_swamp_bonus)</f>
        <v>4</v>
      </c>
      <c r="CL7" s="251">
        <f ca="1">MIN(TblConstr[[#This Row],[Total Swamp]]/TblConstr[[#This Row],[Land]]/abyss_enforce_bonus,abyss_enforcer_cap)</f>
        <v>0</v>
      </c>
      <c r="CM7" s="251">
        <f ca="1">IF(TblMagic[[#This Row],[Active Infernal Command]]&gt;0,TblMili[[#This Row],[Unit 1]]*infernal_cmd_op,0)</f>
        <v>0</v>
      </c>
      <c r="CN7" s="252" t="s">
        <v>94</v>
      </c>
      <c r="CO7" s="252" t="b">
        <f t="shared" si="1"/>
        <v>0</v>
      </c>
      <c r="CP7" s="252"/>
      <c r="CQ7" s="251">
        <f ca="1">TblMili[[#This Row],[Mystic]]*2</f>
        <v>4</v>
      </c>
      <c r="CR7" s="251">
        <f ca="1">TblMili[[#This Row],[Druid (op)]]*2</f>
        <v>4</v>
      </c>
      <c r="CS7" s="94">
        <f ca="1">TblMili[[#This Row],[Mystic bonus]]*TblMili[[#This Row],[Unit 3]]+TblMili[[#This Row],[Druid bonus]]*TblMili[[#This Row],[Unit 4]]</f>
        <v>0</v>
      </c>
      <c r="CT7" s="155">
        <f ca="1">TblMili[[#This Row],[Dryad]]*2</f>
        <v>5.9999999999999991</v>
      </c>
      <c r="CU7" s="94">
        <f ca="1">sylvan*(TblMili[[#This Row],[Mystic bonus]]*TblMili[[#This Row],[Unit 3]])</f>
        <v>0</v>
      </c>
      <c r="CV7" s="155">
        <f ca="1">TblMili[[#This Row],[Rockapult]]*2</f>
        <v>4</v>
      </c>
      <c r="CW7" s="94">
        <f ca="1">gnome*(TblMili[[#This Row],[Rockapult bonus]]*TblMili[[#This Row],[Unit 3]])</f>
        <v>0</v>
      </c>
      <c r="CX7" s="155">
        <f ca="1">TblMili[[#This Row],[Adept-DP]]*2</f>
        <v>0</v>
      </c>
      <c r="CY7" s="94">
        <f ca="1">dark_elf*(TblMili[[#This Row],[Adept bonus]]*TblMili[[#This Row],[Unit 3]])</f>
        <v>0</v>
      </c>
      <c r="CZ7" s="155">
        <f ca="1">TblMili[[#This Row],[Frost Mage]]*2</f>
        <v>5.9999999999999991</v>
      </c>
      <c r="DA7" s="155">
        <f ca="1">TblMili[[#This Row],[Ice Elemental]]*2</f>
        <v>0</v>
      </c>
      <c r="DB7" s="94">
        <f ca="1">TblMili[[#This Row],[Frost Mage bonus]]*TblMili[[#This Row],[Unit 3]]+TblMili[[#This Row],[Ice Elemental bonus]]*TblMili[[#This Row],[Unit 4]]</f>
        <v>0</v>
      </c>
      <c r="DC7" s="253"/>
      <c r="DD7" s="143">
        <f ca="1">MIN(SUM(TblConstr[[#This Row],[Plain]:[Water]])/TblMili[[#This Row],[Land]]/favorable_terrain_bonus/100,favorable_terrain_max)</f>
        <v>0</v>
      </c>
      <c r="DE7" s="253"/>
      <c r="DF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 s="142"/>
      <c r="DH7" s="254">
        <f ca="1">(TblMili[[#This Row],[Wizards]]+2*TblMili[[#This Row],[Archmages]])/TblConstr[[#This Row],[Land]]</f>
        <v>0</v>
      </c>
      <c r="DI7" s="254">
        <f ca="1">TblMili[[#This Row],[Raw (2)]]*(1+race_wizard_strength+IF(TblMili[[#This Row],[Hour]]&gt;72,tech_magical_weaponry_wiz*TblTech[[#This Row],[3-5]],0))</f>
        <v>0</v>
      </c>
    </row>
    <row r="8" spans="1:113" x14ac:dyDescent="0.2">
      <c r="A8" s="137">
        <f>TblRezone[[#This Row],[Hour]]</f>
        <v>5</v>
      </c>
      <c r="B8" s="246">
        <f ca="1">SUM(TblMili[[#This Row],[Unit 1]:[Archmages]])+SUM(OFFSET(TblMili[[#This Row],[Train Unit 1]],-4,0):TblMili[[#This Row],[Train Unit 4]])+TblMili[[#This Row],[Draftees]]</f>
        <v>320</v>
      </c>
      <c r="C8" s="157">
        <f ca="1">TblPop[[#This Row],[Military%]]</f>
        <v>0.41612483745123535</v>
      </c>
      <c r="D8" s="142"/>
      <c r="E8" s="45">
        <f ca="1">OFFSET(TblMili[[#This Row],[Unit 1]],-1,0) - TblMili[[#This Row],[Release Unit 1]]</f>
        <v>0</v>
      </c>
      <c r="F8" s="45">
        <f ca="1">OFFSET(TblMili[[#This Row],[Unit 2]],-1,0)-TblMili[[#This Row],[Release Unit 2]]</f>
        <v>0</v>
      </c>
      <c r="G8" s="45">
        <f ca="1">OFFSET(TblMili[[#This Row],[Unit 3]],-1,0)-TblMili[[#This Row],[Release Unit 3]]</f>
        <v>0</v>
      </c>
      <c r="H8" s="45">
        <f ca="1">OFFSET(TblMili[[#This Row],[Unit 4]],-1,0)-TblMili[[#This Row],[Release Unit 4]]</f>
        <v>0</v>
      </c>
      <c r="I8" s="45">
        <f ca="1">OFFSET(TblMili[[#This Row],[Spies]],-1,0)-TblMili[[#This Row],[Release Spies]]-TblMili[[#This Row],[Train AS]]</f>
        <v>0</v>
      </c>
      <c r="J8" s="45">
        <f ca="1">OFFSET(TblMili[[#This Row],[Archspies]],-1,0)-TblMili[[#This Row],[Release AS]]</f>
        <v>0</v>
      </c>
      <c r="K8" s="45">
        <f ca="1">OFFSET(TblMili[[#This Row],[Wizards]],-1,0)-TblMili[[#This Row],[Release Wizards]]-TblMili[[#This Row],[Train AM]]</f>
        <v>0</v>
      </c>
      <c r="L8" s="45">
        <f ca="1">OFFSET(TblMili[[#This Row],[Archmages]],-1,0)-TblMili[[#This Row],[Release AM]]</f>
        <v>0</v>
      </c>
      <c r="M8" s="142"/>
      <c r="N8" s="94">
        <f ca="1">TblProd[[#This Row],[Networth]]</f>
        <v>1250</v>
      </c>
      <c r="O8" s="142"/>
      <c r="P8"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 s="247">
        <f ca="1">TblMili[[#This Row],[Raw]]*(1+TblMili[[#This Row],[Mods_Off]])</f>
        <v>0</v>
      </c>
      <c r="S8"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8" s="247">
        <f ca="1">TblMili[[#This Row],[Non Draft]]+TblMili[[#This Row],[Draftees]]</f>
        <v>320</v>
      </c>
      <c r="U8" s="248">
        <f ca="1">race_defense + TblImps[[#This Row],[Walls]] + ROUND( MIN(gt_bonus*TblConstr[[#This Row],[Tot GT]]/TblConstr[[#This Row],[Land]],gt_bonus_cap), 4) + IF(TblMagic[[#This Row],[Active Howling]]&gt;0,howling_dp_bonus,IF(TblMagic[[#This Row],[Active Ares Call]]&gt;0,ares_call_bonus))</f>
        <v>0</v>
      </c>
      <c r="V8" s="249">
        <f ca="1">TblMili[[#This Row],[Non Draft]] * (1 + TblMili[[#This Row],[Mods_Def]])</f>
        <v>0</v>
      </c>
      <c r="W8" s="247">
        <f ca="1">TblMili[[#This Row],[Draft]] * (1 + TblMili[[#This Row],[Mods_Def]])</f>
        <v>320</v>
      </c>
      <c r="X8" s="247">
        <f ca="1">TblConstr[[#This Row],[Land]]</f>
        <v>50</v>
      </c>
      <c r="Y8" s="250"/>
      <c r="Z8" s="255">
        <f ca="1">IF(TblMili[[#This Row],[Set]]&lt;&gt;"",TblMili[[#This Row],[Set]],OFFSET(TblMili[[#This Row],[Draftrate]],-1,0))</f>
        <v>0.9</v>
      </c>
      <c r="AA8"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320</v>
      </c>
      <c r="AB8" s="154"/>
      <c r="AC8" s="180">
        <f ca="1">(TblConstr[[#This Row],[Tot Smi]]+TblConstr[[#This Row],[Dest Smi]])/(TblConstr[[#This Row],[Land]]-TblExplore[[#This Row],[Land Bonus]]*20)</f>
        <v>0</v>
      </c>
      <c r="AD8" s="137"/>
      <c r="AE8" s="246">
        <f>TblMili[[#This Row],[Hour]]</f>
        <v>5</v>
      </c>
      <c r="AF8" s="138">
        <f ca="1">TblExplore[[#This Row],[Time]]</f>
        <v>46320.166666666657</v>
      </c>
      <c r="AG8" s="179"/>
      <c r="AH8" s="179"/>
      <c r="AI8" s="179"/>
      <c r="AJ8" s="179"/>
      <c r="AK8" s="179"/>
      <c r="AL8" s="179"/>
      <c r="AM8" s="179"/>
      <c r="AN8" s="179"/>
      <c r="AO8" s="420">
        <f ca="1">ROUND(IF(AND(TblMagic[[#This Row],[Active DnD]]&lt;12,TblMagic[[#This Row],[Active DnD]]&gt;5),OFFSET(TblPop[[#This Row],[Draft Growth]],-1,0)*0.375,0),0)</f>
        <v>0</v>
      </c>
      <c r="AP8" s="142"/>
      <c r="AQ8" s="94">
        <f ca="1">TblProd[[#This Row],[Platinum]]</f>
        <v>124982</v>
      </c>
      <c r="AR8" s="94">
        <f ca="1">INDEX(TblProd[[#Headers],[Lumber]]:TblProd[[#This Row],[Ore]],COUNTA(TblProd[[#Headers],[Lumber]]:TblProd[[#This Row],[Lumber]]),MATCH(Military!$AR$2,TblProd[[#Headers],[Lumber]:[Ore]],0))</f>
        <v>0</v>
      </c>
      <c r="AS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8" s="94">
        <f ca="1">TblMili[[#This Row],[Train Unit 1]]*TblMili[[#This Row],[OP Ore]]+TblMili[[#This Row],[Train Unit 2]]*TblMili[[#This Row],[DP Ore]]+TblMili[[#This Row],[Train Unit 3]]*TblMili[[#This Row],[E1 Ore]]+TblMili[[#This Row],[Train Unit 4]]*TblMili[[#This Row],[E2 Ore]]</f>
        <v>0</v>
      </c>
      <c r="AU8" s="142">
        <f>TblMili[[#This Row],[Hour]]</f>
        <v>5</v>
      </c>
      <c r="AV8" s="152">
        <f ca="1">TblMili[[#This Row],[Time]]</f>
        <v>46320.166666666657</v>
      </c>
      <c r="AW8" s="94">
        <f ca="1">TblMili[[#This Row],[Draftees]]</f>
        <v>320</v>
      </c>
      <c r="AX8" s="179"/>
      <c r="AY8" s="179"/>
      <c r="AZ8" s="179"/>
      <c r="BA8" s="179"/>
      <c r="BB8" s="179"/>
      <c r="BC8" s="179"/>
      <c r="BD8" s="179"/>
      <c r="BE8" s="179"/>
      <c r="BF8" s="179"/>
      <c r="BG8" s="142"/>
      <c r="BH8" s="157">
        <f ca="1">TblConstr[[#This Row],[Tot WG]]/TblConstr[[#This Row],[Land]]</f>
        <v>0</v>
      </c>
      <c r="BI8" s="157">
        <f ca="1">TblConstr[[#This Row],[Tot Hav]]/TblConstr[[#This Row],[Land]]</f>
        <v>0</v>
      </c>
      <c r="BJ8" s="94">
        <f ca="1">ROUNDUP((1-MIN(TblMili[[#This Row],[Smithies]]*smithy_bonus,smithy_bonus_cap) + tech_3_5*TblTech[[#This Row],[3-5]] + tech_5_3*TblTech[[#This Row],[5-3]] + tech_5_5*TblTech[[#This Row],[5-5]])*spec_op_plat,0)</f>
        <v>315</v>
      </c>
      <c r="BK8" s="94">
        <f ca="1">ROUNDUP(IF(race="Gnome",1,(1-MIN(TblMili[[#This Row],[Smithies]]*smithy_bonus,smithy_bonus_cap) + tech_3_5*TblTech[[#This Row],[3-5]] + tech_5_3*TblTech[[#This Row],[5-3]] + tech_5_5*TblTech[[#This Row],[5-5]]))*spec_op_ore,0)</f>
        <v>25</v>
      </c>
      <c r="BL8" s="94">
        <f ca="1">ROUNDUP((1-MIN(TblMili[[#This Row],[Smithies]]*smithy_bonus,smithy_bonus_cap) + tech_3_5*TblTech[[#This Row],[3-5]] + tech_5_3*TblTech[[#This Row],[5-3]] + tech_5_5*TblTech[[#This Row],[5-5]])*spec_dp_plat,0)</f>
        <v>275</v>
      </c>
      <c r="BM8" s="94">
        <f ca="1">ROUNDUP(IF(race="Gnome",1,(1-MIN(TblMili[[#This Row],[Smithies]]*smithy_bonus,smithy_bonus_cap) + tech_3_5*TblTech[[#This Row],[3-5]] + tech_5_3*TblTech[[#This Row],[5-3]] + tech_5_5*TblTech[[#This Row],[5-5]]))*spec_dp_ore,0)</f>
        <v>15</v>
      </c>
      <c r="BN8" s="94">
        <f ca="1">ROUNDUP((1-MIN(TblMili[[#This Row],[Smithies]]*smithy_bonus,smithy_bonus_cap) + tech_3_5*TblTech[[#This Row],[3-5]] + tech_5_3*TblTech[[#This Row],[5-3]] + tech_5_5*TblTech[[#This Row],[5-5]])*elite1_plat,0)</f>
        <v>1040</v>
      </c>
      <c r="BO8" s="94">
        <f ca="1">ROUNDUP(IF(race="Gnome",1,(1-MIN(TblMili[[#This Row],[Smithies]]*smithy_bonus,smithy_bonus_cap) + tech_3_5*TblTech[[#This Row],[3-5]] + tech_5_3*TblTech[[#This Row],[5-3]] + tech_5_5*TblTech[[#This Row],[5-5]]))*elite1_ore,0)</f>
        <v>75</v>
      </c>
      <c r="BP8" s="94">
        <f ca="1">ROUNDUP((1-MIN(TblMili[[#This Row],[Smithies]]*smithy_bonus,smithy_bonus_cap) + tech_3_5*TblTech[[#This Row],[3-5]] + tech_5_3*TblTech[[#This Row],[5-3]] + tech_5_5*TblTech[[#This Row],[5-5]])*elite2_plat,0)</f>
        <v>1280</v>
      </c>
      <c r="BQ8" s="94">
        <f ca="1">ROUNDUP(IF(race="Gnome",1,(1-MIN(TblMili[[#This Row],[Smithies]]*smithy_bonus,smithy_bonus_cap) + tech_3_5*TblTech[[#This Row],[3-5]] + tech_5_3*TblTech[[#This Row],[5-3]] + tech_5_5*TblTech[[#This Row],[5-5]]))*elite2_ore,0)</f>
        <v>100</v>
      </c>
      <c r="BR8" s="94">
        <f ca="1">ROUNDUP((1-MIN(ROUND(fh_spy_cost_red*TblMili[[#This Row],[FH''s]],4),fh_spy_cost_cap)+ tech_1_9*TblTech[[#This Row],[1-9]] + tech_9_1*TblTech[[#This Row],[9-1]])*spy_plat,0)</f>
        <v>500</v>
      </c>
      <c r="BS8" s="94">
        <f ca="1">ROUNDUP((1-MIN(ROUND(fh_spy_cost_red*TblMili[[#This Row],[FH''s]],4),fh_spy_cost_cap)+ tech_1_9*TblTech[[#This Row],[1-9]] + tech_9_1*TblTech[[#This Row],[9-1]])*archspy_plat,0)</f>
        <v>1000</v>
      </c>
      <c r="BT8" s="94">
        <f ca="1">ROUNDUP((1-MIN(ROUND(wg_wiz_cost_bonus*TblMili[[#This Row],[WG''s]],4),wg_wiz_cost_cap) + tech_1_9_2*TblTech[[#This Row],[1-9]] + tech_9_1_2*TblTech[[#This Row],[9-1]])*wizard_plat,0)</f>
        <v>500</v>
      </c>
      <c r="BU8" s="94">
        <f ca="1">ROUNDUP((1-MIN(ROUND(wg_wiz_cost_bonus*TblMili[[#This Row],[WG''s]],4),wg_wiz_cost_cap) + tech_1_9_2*TblTech[[#This Row],[1-9]] + tech_9_1_2*TblTech[[#This Row],[9-1]])*(archmage_plat + IF(TblMagic[[#This Row],[Active Arc Infusion]]&gt;0,400,0)),0)</f>
        <v>1000</v>
      </c>
      <c r="BV8" s="142"/>
      <c r="BW8" s="157">
        <f ca="1">TblConstr[[#This Row],[Homeland]]/TblConstr[[#This Row],[Land]]</f>
        <v>0.6</v>
      </c>
      <c r="BX8" s="157">
        <f ca="1">TblMili[[#This Row],[WG''s]]</f>
        <v>0</v>
      </c>
      <c r="BY8" s="251">
        <f ca="1">IF(mystic_cap="none",TblMili[[#This Row],[Homeland%]]/mystic_bonus,MIN(mystic_cap,TblMili[[#This Row],[Homeland%]]/mystic_bonus))</f>
        <v>2</v>
      </c>
      <c r="BZ8" s="251">
        <f ca="1">IF(druid_op_cap="none",TblMili[[#This Row],[Homeland%]]/druid_op_bonus,MIN(druid_op_cap,TblMili[[#This Row],[Homeland%]]/druid_op_bonus))</f>
        <v>2</v>
      </c>
      <c r="CA8" s="251">
        <f ca="1">IF(druid_dp_cap="none",TblMili[[#This Row],[Homeland%]]/druid_dp_bonus,MIN(druid_dp_cap,TblMili[[#This Row],[Homeland%]]/druid_dp_bonus))</f>
        <v>2</v>
      </c>
      <c r="CB8" s="251">
        <f ca="1">MIN(dryad_cap,TblMili[[#This Row],[Homeland%]]/dryad_bonus)</f>
        <v>2.9999999999999996</v>
      </c>
      <c r="CC8" s="251">
        <f ca="1">MIN(rocka_cap,TblMili[[#This Row],[Homeland%]]/rocka_bonus)</f>
        <v>2</v>
      </c>
      <c r="CD8" s="251">
        <f ca="1">MIN(adept_op_cap,TblMili[[#This Row],[WG]]/adept_op_bonus)</f>
        <v>0</v>
      </c>
      <c r="CE8" s="251">
        <f ca="1">MIN(adept_dp_cap,TblMili[[#This Row],[WG]]/adept_dp_bonus)</f>
        <v>0</v>
      </c>
      <c r="CF8" s="94">
        <f ca="1">MIN(TblMili[[#This Row],[Unit 3]],TblMili[[#This Row],[Unit 2]])*2</f>
        <v>0</v>
      </c>
      <c r="CG8" s="94">
        <f ca="1">MIN(TblMili[[#This Row],[Unit 1]],TblMili[[#This Row],[Unit 4]])*2</f>
        <v>0</v>
      </c>
      <c r="CH8" s="251">
        <f ca="1">MIN(frost_mage_cap,TblMili[[#This Row],[Homeland%]]/frost_mage_bonus)</f>
        <v>2.9999999999999996</v>
      </c>
      <c r="CI8" s="45">
        <f ca="1">MIN(ice_elem_cap,TblMili[[#This Row],[Raw (2)]]*ice_elem_bonus)</f>
        <v>0</v>
      </c>
      <c r="CJ8" s="251">
        <f t="shared" si="0"/>
        <v>0.83333333333333337</v>
      </c>
      <c r="CK8" s="251">
        <f ca="1">MIN(nox_nightshade_cap,TblConstr[[#This Row],[Homeland]]/TblConstr[[#This Row],[Land]]/nox_nightshade_swamp_bonus)</f>
        <v>4</v>
      </c>
      <c r="CL8" s="251">
        <f ca="1">MIN(TblConstr[[#This Row],[Total Swamp]]/TblConstr[[#This Row],[Land]]/abyss_enforce_bonus,abyss_enforcer_cap)</f>
        <v>0</v>
      </c>
      <c r="CM8" s="251">
        <f ca="1">IF(TblMagic[[#This Row],[Active Infernal Command]]&gt;0,TblMili[[#This Row],[Unit 1]]*infernal_cmd_op,0)</f>
        <v>0</v>
      </c>
      <c r="CN8" s="252" t="s">
        <v>99</v>
      </c>
      <c r="CO8" s="252" t="b">
        <f t="shared" si="1"/>
        <v>0</v>
      </c>
      <c r="CP8" s="252"/>
      <c r="CQ8" s="251">
        <f ca="1">TblMili[[#This Row],[Mystic]]*2</f>
        <v>4</v>
      </c>
      <c r="CR8" s="251">
        <f ca="1">TblMili[[#This Row],[Druid (op)]]*2</f>
        <v>4</v>
      </c>
      <c r="CS8" s="94">
        <f ca="1">TblMili[[#This Row],[Mystic bonus]]*TblMili[[#This Row],[Unit 3]]+TblMili[[#This Row],[Druid bonus]]*TblMili[[#This Row],[Unit 4]]</f>
        <v>0</v>
      </c>
      <c r="CT8" s="155">
        <f ca="1">TblMili[[#This Row],[Dryad]]*2</f>
        <v>5.9999999999999991</v>
      </c>
      <c r="CU8" s="94">
        <f ca="1">sylvan*(TblMili[[#This Row],[Mystic bonus]]*TblMili[[#This Row],[Unit 3]])</f>
        <v>0</v>
      </c>
      <c r="CV8" s="155">
        <f ca="1">TblMili[[#This Row],[Rockapult]]*2</f>
        <v>4</v>
      </c>
      <c r="CW8" s="94">
        <f ca="1">gnome*(TblMili[[#This Row],[Rockapult bonus]]*TblMili[[#This Row],[Unit 3]])</f>
        <v>0</v>
      </c>
      <c r="CX8" s="155">
        <f ca="1">TblMili[[#This Row],[Adept-DP]]*2</f>
        <v>0</v>
      </c>
      <c r="CY8" s="94">
        <f ca="1">dark_elf*(TblMili[[#This Row],[Adept bonus]]*TblMili[[#This Row],[Unit 3]])</f>
        <v>0</v>
      </c>
      <c r="CZ8" s="155">
        <f ca="1">TblMili[[#This Row],[Frost Mage]]*2</f>
        <v>5.9999999999999991</v>
      </c>
      <c r="DA8" s="155">
        <f ca="1">TblMili[[#This Row],[Ice Elemental]]*2</f>
        <v>0</v>
      </c>
      <c r="DB8" s="94">
        <f ca="1">TblMili[[#This Row],[Frost Mage bonus]]*TblMili[[#This Row],[Unit 3]]+TblMili[[#This Row],[Ice Elemental bonus]]*TblMili[[#This Row],[Unit 4]]</f>
        <v>0</v>
      </c>
      <c r="DC8" s="253"/>
      <c r="DD8" s="143">
        <f ca="1">MIN(SUM(TblConstr[[#This Row],[Plain]:[Water]])/TblMili[[#This Row],[Land]]/favorable_terrain_bonus/100,favorable_terrain_max)</f>
        <v>0</v>
      </c>
      <c r="DE8" s="253"/>
      <c r="DF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 s="142"/>
      <c r="DH8" s="254">
        <f ca="1">(TblMili[[#This Row],[Wizards]]+2*TblMili[[#This Row],[Archmages]])/TblConstr[[#This Row],[Land]]</f>
        <v>0</v>
      </c>
      <c r="DI8" s="254">
        <f ca="1">TblMili[[#This Row],[Raw (2)]]*(1+race_wizard_strength+IF(TblMili[[#This Row],[Hour]]&gt;72,tech_magical_weaponry_wiz*TblTech[[#This Row],[3-5]],0))</f>
        <v>0</v>
      </c>
    </row>
    <row r="9" spans="1:113" x14ac:dyDescent="0.2">
      <c r="A9" s="137">
        <f>TblRezone[[#This Row],[Hour]]</f>
        <v>6</v>
      </c>
      <c r="B9" s="246">
        <f ca="1">SUM(TblMili[[#This Row],[Unit 1]:[Archmages]])+SUM(OFFSET(TblMili[[#This Row],[Train Unit 1]],-5,0):TblMili[[#This Row],[Train Unit 4]])+TblMili[[#This Row],[Draftees]]</f>
        <v>324</v>
      </c>
      <c r="C9" s="157">
        <f ca="1">TblPop[[#This Row],[Military%]]</f>
        <v>0.42132639791937582</v>
      </c>
      <c r="D9" s="142"/>
      <c r="E9" s="45">
        <f ca="1">OFFSET(TblMili[[#This Row],[Unit 1]],-1,0) - TblMili[[#This Row],[Release Unit 1]]</f>
        <v>0</v>
      </c>
      <c r="F9" s="45">
        <f ca="1">OFFSET(TblMili[[#This Row],[Unit 2]],-1,0)-TblMili[[#This Row],[Release Unit 2]]</f>
        <v>0</v>
      </c>
      <c r="G9" s="45">
        <f ca="1">OFFSET(TblMili[[#This Row],[Unit 3]],-1,0)-TblMili[[#This Row],[Release Unit 3]]</f>
        <v>0</v>
      </c>
      <c r="H9" s="45">
        <f ca="1">OFFSET(TblMili[[#This Row],[Unit 4]],-1,0)-TblMili[[#This Row],[Release Unit 4]]</f>
        <v>0</v>
      </c>
      <c r="I9" s="45">
        <f ca="1">OFFSET(TblMili[[#This Row],[Spies]],-1,0)-TblMili[[#This Row],[Release Spies]]-TblMili[[#This Row],[Train AS]]</f>
        <v>0</v>
      </c>
      <c r="J9" s="45">
        <f ca="1">OFFSET(TblMili[[#This Row],[Archspies]],-1,0)-TblMili[[#This Row],[Release AS]]</f>
        <v>0</v>
      </c>
      <c r="K9" s="45">
        <f ca="1">OFFSET(TblMili[[#This Row],[Wizards]],-1,0)-TblMili[[#This Row],[Release Wizards]]-TblMili[[#This Row],[Train AM]]</f>
        <v>0</v>
      </c>
      <c r="L9" s="45">
        <f ca="1">OFFSET(TblMili[[#This Row],[Archmages]],-1,0)-TblMili[[#This Row],[Release AM]]</f>
        <v>0</v>
      </c>
      <c r="M9" s="142"/>
      <c r="N9" s="94">
        <f ca="1">TblProd[[#This Row],[Networth]]</f>
        <v>1250</v>
      </c>
      <c r="O9" s="142"/>
      <c r="P9"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 s="247">
        <f ca="1">TblMili[[#This Row],[Raw]]*(1+TblMili[[#This Row],[Mods_Off]])</f>
        <v>0</v>
      </c>
      <c r="S9"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9" s="247">
        <f ca="1">TblMili[[#This Row],[Non Draft]]+TblMili[[#This Row],[Draftees]]</f>
        <v>324</v>
      </c>
      <c r="U9" s="248">
        <f ca="1">race_defense + TblImps[[#This Row],[Walls]] + ROUND( MIN(gt_bonus*TblConstr[[#This Row],[Tot GT]]/TblConstr[[#This Row],[Land]],gt_bonus_cap), 4) + IF(TblMagic[[#This Row],[Active Howling]]&gt;0,howling_dp_bonus,IF(TblMagic[[#This Row],[Active Ares Call]]&gt;0,ares_call_bonus))</f>
        <v>0</v>
      </c>
      <c r="V9" s="249">
        <f ca="1">TblMili[[#This Row],[Non Draft]] * (1 + TblMili[[#This Row],[Mods_Def]])</f>
        <v>0</v>
      </c>
      <c r="W9" s="247">
        <f ca="1">TblMili[[#This Row],[Draft]] * (1 + TblMili[[#This Row],[Mods_Def]])</f>
        <v>324</v>
      </c>
      <c r="X9" s="247">
        <f ca="1">TblConstr[[#This Row],[Land]]</f>
        <v>50</v>
      </c>
      <c r="Y9" s="250"/>
      <c r="Z9" s="255">
        <f ca="1">IF(TblMili[[#This Row],[Set]]&lt;&gt;"",TblMili[[#This Row],[Set]],OFFSET(TblMili[[#This Row],[Draftrate]],-1,0))</f>
        <v>0.9</v>
      </c>
      <c r="AA9"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324</v>
      </c>
      <c r="AB9" s="154"/>
      <c r="AC9" s="180">
        <f ca="1">(TblConstr[[#This Row],[Tot Smi]]+TblConstr[[#This Row],[Dest Smi]])/(TblConstr[[#This Row],[Land]]-TblExplore[[#This Row],[Land Bonus]]*20)</f>
        <v>0</v>
      </c>
      <c r="AD9" s="137"/>
      <c r="AE9" s="246">
        <f>TblMili[[#This Row],[Hour]]</f>
        <v>6</v>
      </c>
      <c r="AF9" s="138">
        <f ca="1">TblExplore[[#This Row],[Time]]</f>
        <v>46320.208333333321</v>
      </c>
      <c r="AG9" s="179"/>
      <c r="AH9" s="179"/>
      <c r="AI9" s="179"/>
      <c r="AJ9" s="179"/>
      <c r="AK9" s="179"/>
      <c r="AL9" s="179"/>
      <c r="AM9" s="179"/>
      <c r="AN9" s="179"/>
      <c r="AO9" s="420">
        <f ca="1">ROUND(IF(AND(TblMagic[[#This Row],[Active DnD]]&lt;12,TblMagic[[#This Row],[Active DnD]]&gt;5),OFFSET(TblPop[[#This Row],[Draft Growth]],-1,0)*0.375,0),0)</f>
        <v>0</v>
      </c>
      <c r="AP9" s="142"/>
      <c r="AQ9" s="94">
        <f ca="1">TblProd[[#This Row],[Platinum]]</f>
        <v>126194</v>
      </c>
      <c r="AR9" s="94">
        <f ca="1">INDEX(TblProd[[#Headers],[Lumber]]:TblProd[[#This Row],[Ore]],COUNTA(TblProd[[#Headers],[Lumber]]:TblProd[[#This Row],[Lumber]]),MATCH(Military!$AR$2,TblProd[[#Headers],[Lumber]:[Ore]],0))</f>
        <v>0</v>
      </c>
      <c r="AS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9" s="94">
        <f ca="1">TblMili[[#This Row],[Train Unit 1]]*TblMili[[#This Row],[OP Ore]]+TblMili[[#This Row],[Train Unit 2]]*TblMili[[#This Row],[DP Ore]]+TblMili[[#This Row],[Train Unit 3]]*TblMili[[#This Row],[E1 Ore]]+TblMili[[#This Row],[Train Unit 4]]*TblMili[[#This Row],[E2 Ore]]</f>
        <v>0</v>
      </c>
      <c r="AU9" s="142">
        <f>TblMili[[#This Row],[Hour]]</f>
        <v>6</v>
      </c>
      <c r="AV9" s="152">
        <f ca="1">TblMili[[#This Row],[Time]]</f>
        <v>46320.208333333321</v>
      </c>
      <c r="AW9" s="94">
        <f ca="1">TblMili[[#This Row],[Draftees]]</f>
        <v>324</v>
      </c>
      <c r="AX9" s="179"/>
      <c r="AY9" s="179"/>
      <c r="AZ9" s="179"/>
      <c r="BA9" s="179"/>
      <c r="BB9" s="179"/>
      <c r="BC9" s="179"/>
      <c r="BD9" s="179"/>
      <c r="BE9" s="179"/>
      <c r="BF9" s="179"/>
      <c r="BG9" s="142"/>
      <c r="BH9" s="157">
        <f ca="1">TblConstr[[#This Row],[Tot WG]]/TblConstr[[#This Row],[Land]]</f>
        <v>0</v>
      </c>
      <c r="BI9" s="157">
        <f ca="1">TblConstr[[#This Row],[Tot Hav]]/TblConstr[[#This Row],[Land]]</f>
        <v>0</v>
      </c>
      <c r="BJ9" s="94">
        <f ca="1">ROUNDUP((1-MIN(TblMili[[#This Row],[Smithies]]*smithy_bonus,smithy_bonus_cap) + tech_3_5*TblTech[[#This Row],[3-5]] + tech_5_3*TblTech[[#This Row],[5-3]] + tech_5_5*TblTech[[#This Row],[5-5]])*spec_op_plat,0)</f>
        <v>315</v>
      </c>
      <c r="BK9" s="94">
        <f ca="1">ROUNDUP(IF(race="Gnome",1,(1-MIN(TblMili[[#This Row],[Smithies]]*smithy_bonus,smithy_bonus_cap) + tech_3_5*TblTech[[#This Row],[3-5]] + tech_5_3*TblTech[[#This Row],[5-3]] + tech_5_5*TblTech[[#This Row],[5-5]]))*spec_op_ore,0)</f>
        <v>25</v>
      </c>
      <c r="BL9" s="94">
        <f ca="1">ROUNDUP((1-MIN(TblMili[[#This Row],[Smithies]]*smithy_bonus,smithy_bonus_cap) + tech_3_5*TblTech[[#This Row],[3-5]] + tech_5_3*TblTech[[#This Row],[5-3]] + tech_5_5*TblTech[[#This Row],[5-5]])*spec_dp_plat,0)</f>
        <v>275</v>
      </c>
      <c r="BM9" s="94">
        <f ca="1">ROUNDUP(IF(race="Gnome",1,(1-MIN(TblMili[[#This Row],[Smithies]]*smithy_bonus,smithy_bonus_cap) + tech_3_5*TblTech[[#This Row],[3-5]] + tech_5_3*TblTech[[#This Row],[5-3]] + tech_5_5*TblTech[[#This Row],[5-5]]))*spec_dp_ore,0)</f>
        <v>15</v>
      </c>
      <c r="BN9" s="94">
        <f ca="1">ROUNDUP((1-MIN(TblMili[[#This Row],[Smithies]]*smithy_bonus,smithy_bonus_cap) + tech_3_5*TblTech[[#This Row],[3-5]] + tech_5_3*TblTech[[#This Row],[5-3]] + tech_5_5*TblTech[[#This Row],[5-5]])*elite1_plat,0)</f>
        <v>1040</v>
      </c>
      <c r="BO9" s="94">
        <f ca="1">ROUNDUP(IF(race="Gnome",1,(1-MIN(TblMili[[#This Row],[Smithies]]*smithy_bonus,smithy_bonus_cap) + tech_3_5*TblTech[[#This Row],[3-5]] + tech_5_3*TblTech[[#This Row],[5-3]] + tech_5_5*TblTech[[#This Row],[5-5]]))*elite1_ore,0)</f>
        <v>75</v>
      </c>
      <c r="BP9" s="94">
        <f ca="1">ROUNDUP((1-MIN(TblMili[[#This Row],[Smithies]]*smithy_bonus,smithy_bonus_cap) + tech_3_5*TblTech[[#This Row],[3-5]] + tech_5_3*TblTech[[#This Row],[5-3]] + tech_5_5*TblTech[[#This Row],[5-5]])*elite2_plat,0)</f>
        <v>1280</v>
      </c>
      <c r="BQ9" s="94">
        <f ca="1">ROUNDUP(IF(race="Gnome",1,(1-MIN(TblMili[[#This Row],[Smithies]]*smithy_bonus,smithy_bonus_cap) + tech_3_5*TblTech[[#This Row],[3-5]] + tech_5_3*TblTech[[#This Row],[5-3]] + tech_5_5*TblTech[[#This Row],[5-5]]))*elite2_ore,0)</f>
        <v>100</v>
      </c>
      <c r="BR9" s="94">
        <f ca="1">ROUNDUP((1-MIN(ROUND(fh_spy_cost_red*TblMili[[#This Row],[FH''s]],4),fh_spy_cost_cap)+ tech_1_9*TblTech[[#This Row],[1-9]] + tech_9_1*TblTech[[#This Row],[9-1]])*spy_plat,0)</f>
        <v>500</v>
      </c>
      <c r="BS9" s="94">
        <f ca="1">ROUNDUP((1-MIN(ROUND(fh_spy_cost_red*TblMili[[#This Row],[FH''s]],4),fh_spy_cost_cap)+ tech_1_9*TblTech[[#This Row],[1-9]] + tech_9_1*TblTech[[#This Row],[9-1]])*archspy_plat,0)</f>
        <v>1000</v>
      </c>
      <c r="BT9" s="94">
        <f ca="1">ROUNDUP((1-MIN(ROUND(wg_wiz_cost_bonus*TblMili[[#This Row],[WG''s]],4),wg_wiz_cost_cap) + tech_1_9_2*TblTech[[#This Row],[1-9]] + tech_9_1_2*TblTech[[#This Row],[9-1]])*wizard_plat,0)</f>
        <v>500</v>
      </c>
      <c r="BU9" s="94">
        <f ca="1">ROUNDUP((1-MIN(ROUND(wg_wiz_cost_bonus*TblMili[[#This Row],[WG''s]],4),wg_wiz_cost_cap) + tech_1_9_2*TblTech[[#This Row],[1-9]] + tech_9_1_2*TblTech[[#This Row],[9-1]])*(archmage_plat + IF(TblMagic[[#This Row],[Active Arc Infusion]]&gt;0,400,0)),0)</f>
        <v>1000</v>
      </c>
      <c r="BV9" s="142"/>
      <c r="BW9" s="157">
        <f ca="1">TblConstr[[#This Row],[Homeland]]/TblConstr[[#This Row],[Land]]</f>
        <v>0.6</v>
      </c>
      <c r="BX9" s="157">
        <f ca="1">TblMili[[#This Row],[WG''s]]</f>
        <v>0</v>
      </c>
      <c r="BY9" s="251">
        <f ca="1">IF(mystic_cap="none",TblMili[[#This Row],[Homeland%]]/mystic_bonus,MIN(mystic_cap,TblMili[[#This Row],[Homeland%]]/mystic_bonus))</f>
        <v>2</v>
      </c>
      <c r="BZ9" s="251">
        <f ca="1">IF(druid_op_cap="none",TblMili[[#This Row],[Homeland%]]/druid_op_bonus,MIN(druid_op_cap,TblMili[[#This Row],[Homeland%]]/druid_op_bonus))</f>
        <v>2</v>
      </c>
      <c r="CA9" s="251">
        <f ca="1">IF(druid_dp_cap="none",TblMili[[#This Row],[Homeland%]]/druid_dp_bonus,MIN(druid_dp_cap,TblMili[[#This Row],[Homeland%]]/druid_dp_bonus))</f>
        <v>2</v>
      </c>
      <c r="CB9" s="251">
        <f ca="1">MIN(dryad_cap,TblMili[[#This Row],[Homeland%]]/dryad_bonus)</f>
        <v>2.9999999999999996</v>
      </c>
      <c r="CC9" s="251">
        <f ca="1">MIN(rocka_cap,TblMili[[#This Row],[Homeland%]]/rocka_bonus)</f>
        <v>2</v>
      </c>
      <c r="CD9" s="251">
        <f ca="1">MIN(adept_op_cap,TblMili[[#This Row],[WG]]/adept_op_bonus)</f>
        <v>0</v>
      </c>
      <c r="CE9" s="251">
        <f ca="1">MIN(adept_dp_cap,TblMili[[#This Row],[WG]]/adept_dp_bonus)</f>
        <v>0</v>
      </c>
      <c r="CF9" s="94">
        <f ca="1">MIN(TblMili[[#This Row],[Unit 3]],TblMili[[#This Row],[Unit 2]])*2</f>
        <v>0</v>
      </c>
      <c r="CG9" s="94">
        <f ca="1">MIN(TblMili[[#This Row],[Unit 1]],TblMili[[#This Row],[Unit 4]])*2</f>
        <v>0</v>
      </c>
      <c r="CH9" s="251">
        <f ca="1">MIN(frost_mage_cap,TblMili[[#This Row],[Homeland%]]/frost_mage_bonus)</f>
        <v>2.9999999999999996</v>
      </c>
      <c r="CI9" s="45">
        <f ca="1">MIN(ice_elem_cap,TblMili[[#This Row],[Raw (2)]]*ice_elem_bonus)</f>
        <v>0</v>
      </c>
      <c r="CJ9" s="251">
        <f t="shared" si="0"/>
        <v>0.83333333333333337</v>
      </c>
      <c r="CK9" s="251">
        <f ca="1">MIN(nox_nightshade_cap,TblConstr[[#This Row],[Homeland]]/TblConstr[[#This Row],[Land]]/nox_nightshade_swamp_bonus)</f>
        <v>4</v>
      </c>
      <c r="CL9" s="251">
        <f ca="1">MIN(TblConstr[[#This Row],[Total Swamp]]/TblConstr[[#This Row],[Land]]/abyss_enforce_bonus,abyss_enforcer_cap)</f>
        <v>0</v>
      </c>
      <c r="CM9" s="251">
        <f ca="1">IF(TblMagic[[#This Row],[Active Infernal Command]]&gt;0,TblMili[[#This Row],[Unit 1]]*infernal_cmd_op,0)</f>
        <v>0</v>
      </c>
      <c r="CN9" s="252" t="s">
        <v>103</v>
      </c>
      <c r="CO9" s="252" t="b">
        <f t="shared" si="1"/>
        <v>0</v>
      </c>
      <c r="CP9" s="252"/>
      <c r="CQ9" s="251">
        <f ca="1">TblMili[[#This Row],[Mystic]]*2</f>
        <v>4</v>
      </c>
      <c r="CR9" s="251">
        <f ca="1">TblMili[[#This Row],[Druid (op)]]*2</f>
        <v>4</v>
      </c>
      <c r="CS9" s="94">
        <f ca="1">TblMili[[#This Row],[Mystic bonus]]*TblMili[[#This Row],[Unit 3]]+TblMili[[#This Row],[Druid bonus]]*TblMili[[#This Row],[Unit 4]]</f>
        <v>0</v>
      </c>
      <c r="CT9" s="155">
        <f ca="1">TblMili[[#This Row],[Dryad]]*2</f>
        <v>5.9999999999999991</v>
      </c>
      <c r="CU9" s="94">
        <f ca="1">sylvan*(TblMili[[#This Row],[Mystic bonus]]*TblMili[[#This Row],[Unit 3]])</f>
        <v>0</v>
      </c>
      <c r="CV9" s="155">
        <f ca="1">TblMili[[#This Row],[Rockapult]]*2</f>
        <v>4</v>
      </c>
      <c r="CW9" s="94">
        <f ca="1">gnome*(TblMili[[#This Row],[Rockapult bonus]]*TblMili[[#This Row],[Unit 3]])</f>
        <v>0</v>
      </c>
      <c r="CX9" s="155">
        <f ca="1">TblMili[[#This Row],[Adept-DP]]*2</f>
        <v>0</v>
      </c>
      <c r="CY9" s="94">
        <f ca="1">dark_elf*(TblMili[[#This Row],[Adept bonus]]*TblMili[[#This Row],[Unit 3]])</f>
        <v>0</v>
      </c>
      <c r="CZ9" s="155">
        <f ca="1">TblMili[[#This Row],[Frost Mage]]*2</f>
        <v>5.9999999999999991</v>
      </c>
      <c r="DA9" s="155">
        <f ca="1">TblMili[[#This Row],[Ice Elemental]]*2</f>
        <v>0</v>
      </c>
      <c r="DB9" s="94">
        <f ca="1">TblMili[[#This Row],[Frost Mage bonus]]*TblMili[[#This Row],[Unit 3]]+TblMili[[#This Row],[Ice Elemental bonus]]*TblMili[[#This Row],[Unit 4]]</f>
        <v>0</v>
      </c>
      <c r="DC9" s="253"/>
      <c r="DD9" s="143">
        <f ca="1">MIN(SUM(TblConstr[[#This Row],[Plain]:[Water]])/TblMili[[#This Row],[Land]]/favorable_terrain_bonus/100,favorable_terrain_max)</f>
        <v>0</v>
      </c>
      <c r="DE9" s="253"/>
      <c r="DF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 s="142"/>
      <c r="DH9" s="254">
        <f ca="1">(TblMili[[#This Row],[Wizards]]+2*TblMili[[#This Row],[Archmages]])/TblConstr[[#This Row],[Land]]</f>
        <v>0</v>
      </c>
      <c r="DI9" s="254">
        <f ca="1">TblMili[[#This Row],[Raw (2)]]*(1+race_wizard_strength+IF(TblMili[[#This Row],[Hour]]&gt;72,tech_magical_weaponry_wiz*TblTech[[#This Row],[3-5]],0))</f>
        <v>0</v>
      </c>
    </row>
    <row r="10" spans="1:113" x14ac:dyDescent="0.2">
      <c r="A10" s="137">
        <f>TblRezone[[#This Row],[Hour]]</f>
        <v>7</v>
      </c>
      <c r="B10" s="246">
        <f ca="1">SUM(TblMili[[#This Row],[Unit 1]:[Archmages]])+SUM(OFFSET(TblMili[[#This Row],[Train Unit 1]],-6,0):TblMili[[#This Row],[Train Unit 4]])+TblMili[[#This Row],[Draftees]]</f>
        <v>328</v>
      </c>
      <c r="C10" s="157">
        <f ca="1">TblPop[[#This Row],[Military%]]</f>
        <v>0.42652795838751628</v>
      </c>
      <c r="D10" s="142"/>
      <c r="E10" s="45">
        <f ca="1">OFFSET(TblMili[[#This Row],[Unit 1]],-1,0) - TblMili[[#This Row],[Release Unit 1]]</f>
        <v>0</v>
      </c>
      <c r="F10" s="45">
        <f ca="1">OFFSET(TblMili[[#This Row],[Unit 2]],-1,0)-TblMili[[#This Row],[Release Unit 2]]</f>
        <v>0</v>
      </c>
      <c r="G10" s="45">
        <f ca="1">OFFSET(TblMili[[#This Row],[Unit 3]],-1,0)-TblMili[[#This Row],[Release Unit 3]]</f>
        <v>0</v>
      </c>
      <c r="H10" s="45">
        <f ca="1">OFFSET(TblMili[[#This Row],[Unit 4]],-1,0)-TblMili[[#This Row],[Release Unit 4]]</f>
        <v>0</v>
      </c>
      <c r="I10" s="45">
        <f ca="1">OFFSET(TblMili[[#This Row],[Spies]],-1,0)-TblMili[[#This Row],[Release Spies]]-TblMili[[#This Row],[Train AS]]</f>
        <v>0</v>
      </c>
      <c r="J10" s="45">
        <f ca="1">OFFSET(TblMili[[#This Row],[Archspies]],-1,0)-TblMili[[#This Row],[Release AS]]</f>
        <v>0</v>
      </c>
      <c r="K10" s="45">
        <f ca="1">OFFSET(TblMili[[#This Row],[Wizards]],-1,0)-TblMili[[#This Row],[Release Wizards]]-TblMili[[#This Row],[Train AM]]</f>
        <v>0</v>
      </c>
      <c r="L10" s="45">
        <f ca="1">OFFSET(TblMili[[#This Row],[Archmages]],-1,0)-TblMili[[#This Row],[Release AM]]</f>
        <v>0</v>
      </c>
      <c r="M10" s="142"/>
      <c r="N10" s="94">
        <f ca="1">TblProd[[#This Row],[Networth]]</f>
        <v>1250</v>
      </c>
      <c r="O10" s="142"/>
      <c r="P10"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 s="247">
        <f ca="1">TblMili[[#This Row],[Raw]]*(1+TblMili[[#This Row],[Mods_Off]])</f>
        <v>0</v>
      </c>
      <c r="S10"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0" s="247">
        <f ca="1">TblMili[[#This Row],[Non Draft]]+TblMili[[#This Row],[Draftees]]</f>
        <v>328</v>
      </c>
      <c r="U10" s="248">
        <f ca="1">race_defense + TblImps[[#This Row],[Walls]] + ROUND( MIN(gt_bonus*TblConstr[[#This Row],[Tot GT]]/TblConstr[[#This Row],[Land]],gt_bonus_cap), 4) + IF(TblMagic[[#This Row],[Active Howling]]&gt;0,howling_dp_bonus,IF(TblMagic[[#This Row],[Active Ares Call]]&gt;0,ares_call_bonus))</f>
        <v>0</v>
      </c>
      <c r="V10" s="249">
        <f ca="1">TblMili[[#This Row],[Non Draft]] * (1 + TblMili[[#This Row],[Mods_Def]])</f>
        <v>0</v>
      </c>
      <c r="W10" s="247">
        <f ca="1">TblMili[[#This Row],[Draft]] * (1 + TblMili[[#This Row],[Mods_Def]])</f>
        <v>328</v>
      </c>
      <c r="X10" s="247">
        <f ca="1">TblConstr[[#This Row],[Land]]</f>
        <v>50</v>
      </c>
      <c r="Y10" s="250"/>
      <c r="Z10" s="255">
        <f ca="1">IF(TblMili[[#This Row],[Set]]&lt;&gt;"",TblMili[[#This Row],[Set]],OFFSET(TblMili[[#This Row],[Draftrate]],-1,0))</f>
        <v>0.9</v>
      </c>
      <c r="AA10"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328</v>
      </c>
      <c r="AB10" s="154"/>
      <c r="AC10" s="180">
        <f ca="1">(TblConstr[[#This Row],[Tot Smi]]+TblConstr[[#This Row],[Dest Smi]])/(TblConstr[[#This Row],[Land]]-TblExplore[[#This Row],[Land Bonus]]*20)</f>
        <v>0</v>
      </c>
      <c r="AD10" s="137"/>
      <c r="AE10" s="246">
        <f>TblMili[[#This Row],[Hour]]</f>
        <v>7</v>
      </c>
      <c r="AF10" s="138">
        <f ca="1">TblExplore[[#This Row],[Time]]</f>
        <v>46320.249999999985</v>
      </c>
      <c r="AG10" s="179"/>
      <c r="AH10" s="179"/>
      <c r="AI10" s="179"/>
      <c r="AJ10" s="179"/>
      <c r="AK10" s="179"/>
      <c r="AL10" s="179"/>
      <c r="AM10" s="179"/>
      <c r="AN10" s="179"/>
      <c r="AO10" s="420">
        <f ca="1">ROUND(IF(AND(TblMagic[[#This Row],[Active DnD]]&lt;12,TblMagic[[#This Row],[Active DnD]]&gt;5),OFFSET(TblPop[[#This Row],[Draft Growth]],-1,0)*0.375,0),0)</f>
        <v>0</v>
      </c>
      <c r="AP10" s="420"/>
      <c r="AQ10" s="94">
        <f ca="1">TblProd[[#This Row],[Platinum]]</f>
        <v>127395</v>
      </c>
      <c r="AR10" s="94">
        <f ca="1">INDEX(TblProd[[#Headers],[Lumber]]:TblProd[[#This Row],[Ore]],COUNTA(TblProd[[#Headers],[Lumber]]:TblProd[[#This Row],[Lumber]]),MATCH(Military!$AR$2,TblProd[[#Headers],[Lumber]:[Ore]],0))</f>
        <v>0</v>
      </c>
      <c r="AS1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0" s="94">
        <f ca="1">TblMili[[#This Row],[Train Unit 1]]*TblMili[[#This Row],[OP Ore]]+TblMili[[#This Row],[Train Unit 2]]*TblMili[[#This Row],[DP Ore]]+TblMili[[#This Row],[Train Unit 3]]*TblMili[[#This Row],[E1 Ore]]+TblMili[[#This Row],[Train Unit 4]]*TblMili[[#This Row],[E2 Ore]]</f>
        <v>0</v>
      </c>
      <c r="AU10" s="142">
        <f>TblMili[[#This Row],[Hour]]</f>
        <v>7</v>
      </c>
      <c r="AV10" s="152">
        <f ca="1">TblMili[[#This Row],[Time]]</f>
        <v>46320.249999999985</v>
      </c>
      <c r="AW10" s="94">
        <f ca="1">TblMili[[#This Row],[Draftees]]</f>
        <v>328</v>
      </c>
      <c r="AX10" s="179"/>
      <c r="AY10" s="179"/>
      <c r="AZ10" s="179"/>
      <c r="BA10" s="179"/>
      <c r="BB10" s="179"/>
      <c r="BC10" s="179"/>
      <c r="BD10" s="179"/>
      <c r="BE10" s="179"/>
      <c r="BF10" s="179"/>
      <c r="BG10" s="142"/>
      <c r="BH10" s="157">
        <f ca="1">TblConstr[[#This Row],[Tot WG]]/TblConstr[[#This Row],[Land]]</f>
        <v>0</v>
      </c>
      <c r="BI10" s="157">
        <f ca="1">TblConstr[[#This Row],[Tot Hav]]/TblConstr[[#This Row],[Land]]</f>
        <v>0</v>
      </c>
      <c r="BJ10" s="94">
        <f ca="1">ROUNDUP((1-MIN(TblMili[[#This Row],[Smithies]]*smithy_bonus,smithy_bonus_cap) + tech_3_5*TblTech[[#This Row],[3-5]] + tech_5_3*TblTech[[#This Row],[5-3]] + tech_5_5*TblTech[[#This Row],[5-5]])*spec_op_plat,0)</f>
        <v>315</v>
      </c>
      <c r="BK10" s="94">
        <f ca="1">ROUNDUP(IF(race="Gnome",1,(1-MIN(TblMili[[#This Row],[Smithies]]*smithy_bonus,smithy_bonus_cap) + tech_3_5*TblTech[[#This Row],[3-5]] + tech_5_3*TblTech[[#This Row],[5-3]] + tech_5_5*TblTech[[#This Row],[5-5]]))*spec_op_ore,0)</f>
        <v>25</v>
      </c>
      <c r="BL10" s="94">
        <f ca="1">ROUNDUP((1-MIN(TblMili[[#This Row],[Smithies]]*smithy_bonus,smithy_bonus_cap) + tech_3_5*TblTech[[#This Row],[3-5]] + tech_5_3*TblTech[[#This Row],[5-3]] + tech_5_5*TblTech[[#This Row],[5-5]])*spec_dp_plat,0)</f>
        <v>275</v>
      </c>
      <c r="BM10" s="94">
        <f ca="1">ROUNDUP(IF(race="Gnome",1,(1-MIN(TblMili[[#This Row],[Smithies]]*smithy_bonus,smithy_bonus_cap) + tech_3_5*TblTech[[#This Row],[3-5]] + tech_5_3*TblTech[[#This Row],[5-3]] + tech_5_5*TblTech[[#This Row],[5-5]]))*spec_dp_ore,0)</f>
        <v>15</v>
      </c>
      <c r="BN10" s="94">
        <f ca="1">ROUNDUP((1-MIN(TblMili[[#This Row],[Smithies]]*smithy_bonus,smithy_bonus_cap) + tech_3_5*TblTech[[#This Row],[3-5]] + tech_5_3*TblTech[[#This Row],[5-3]] + tech_5_5*TblTech[[#This Row],[5-5]])*elite1_plat,0)</f>
        <v>1040</v>
      </c>
      <c r="BO10" s="94">
        <f ca="1">ROUNDUP(IF(race="Gnome",1,(1-MIN(TblMili[[#This Row],[Smithies]]*smithy_bonus,smithy_bonus_cap) + tech_3_5*TblTech[[#This Row],[3-5]] + tech_5_3*TblTech[[#This Row],[5-3]] + tech_5_5*TblTech[[#This Row],[5-5]]))*elite1_ore,0)</f>
        <v>75</v>
      </c>
      <c r="BP10" s="94">
        <f ca="1">ROUNDUP((1-MIN(TblMili[[#This Row],[Smithies]]*smithy_bonus,smithy_bonus_cap) + tech_3_5*TblTech[[#This Row],[3-5]] + tech_5_3*TblTech[[#This Row],[5-3]] + tech_5_5*TblTech[[#This Row],[5-5]])*elite2_plat,0)</f>
        <v>1280</v>
      </c>
      <c r="BQ10" s="94">
        <f ca="1">ROUNDUP(IF(race="Gnome",1,(1-MIN(TblMili[[#This Row],[Smithies]]*smithy_bonus,smithy_bonus_cap) + tech_3_5*TblTech[[#This Row],[3-5]] + tech_5_3*TblTech[[#This Row],[5-3]] + tech_5_5*TblTech[[#This Row],[5-5]]))*elite2_ore,0)</f>
        <v>100</v>
      </c>
      <c r="BR10" s="94">
        <f ca="1">ROUNDUP((1-MIN(ROUND(fh_spy_cost_red*TblMili[[#This Row],[FH''s]],4),fh_spy_cost_cap)+ tech_1_9*TblTech[[#This Row],[1-9]] + tech_9_1*TblTech[[#This Row],[9-1]])*spy_plat,0)</f>
        <v>500</v>
      </c>
      <c r="BS10" s="94">
        <f ca="1">ROUNDUP((1-MIN(ROUND(fh_spy_cost_red*TblMili[[#This Row],[FH''s]],4),fh_spy_cost_cap)+ tech_1_9*TblTech[[#This Row],[1-9]] + tech_9_1*TblTech[[#This Row],[9-1]])*archspy_plat,0)</f>
        <v>1000</v>
      </c>
      <c r="BT10" s="94">
        <f ca="1">ROUNDUP((1-MIN(ROUND(wg_wiz_cost_bonus*TblMili[[#This Row],[WG''s]],4),wg_wiz_cost_cap) + tech_1_9_2*TblTech[[#This Row],[1-9]] + tech_9_1_2*TblTech[[#This Row],[9-1]])*wizard_plat,0)</f>
        <v>500</v>
      </c>
      <c r="BU10" s="94">
        <f ca="1">ROUNDUP((1-MIN(ROUND(wg_wiz_cost_bonus*TblMili[[#This Row],[WG''s]],4),wg_wiz_cost_cap) + tech_1_9_2*TblTech[[#This Row],[1-9]] + tech_9_1_2*TblTech[[#This Row],[9-1]])*(archmage_plat + IF(TblMagic[[#This Row],[Active Arc Infusion]]&gt;0,400,0)),0)</f>
        <v>1000</v>
      </c>
      <c r="BV10" s="142"/>
      <c r="BW10" s="157">
        <f ca="1">TblConstr[[#This Row],[Homeland]]/TblConstr[[#This Row],[Land]]</f>
        <v>0.6</v>
      </c>
      <c r="BX10" s="157">
        <f ca="1">TblMili[[#This Row],[WG''s]]</f>
        <v>0</v>
      </c>
      <c r="BY10" s="251">
        <f ca="1">IF(mystic_cap="none",TblMili[[#This Row],[Homeland%]]/mystic_bonus,MIN(mystic_cap,TblMili[[#This Row],[Homeland%]]/mystic_bonus))</f>
        <v>2</v>
      </c>
      <c r="BZ10" s="251">
        <f ca="1">IF(druid_op_cap="none",TblMili[[#This Row],[Homeland%]]/druid_op_bonus,MIN(druid_op_cap,TblMili[[#This Row],[Homeland%]]/druid_op_bonus))</f>
        <v>2</v>
      </c>
      <c r="CA10" s="251">
        <f ca="1">IF(druid_dp_cap="none",TblMili[[#This Row],[Homeland%]]/druid_dp_bonus,MIN(druid_dp_cap,TblMili[[#This Row],[Homeland%]]/druid_dp_bonus))</f>
        <v>2</v>
      </c>
      <c r="CB10" s="251">
        <f ca="1">MIN(dryad_cap,TblMili[[#This Row],[Homeland%]]/dryad_bonus)</f>
        <v>2.9999999999999996</v>
      </c>
      <c r="CC10" s="251">
        <f ca="1">MIN(rocka_cap,TblMili[[#This Row],[Homeland%]]/rocka_bonus)</f>
        <v>2</v>
      </c>
      <c r="CD10" s="251">
        <f ca="1">MIN(adept_op_cap,TblMili[[#This Row],[WG]]/adept_op_bonus)</f>
        <v>0</v>
      </c>
      <c r="CE10" s="251">
        <f ca="1">MIN(adept_dp_cap,TblMili[[#This Row],[WG]]/adept_dp_bonus)</f>
        <v>0</v>
      </c>
      <c r="CF10" s="94">
        <f ca="1">MIN(TblMili[[#This Row],[Unit 3]],TblMili[[#This Row],[Unit 2]])*2</f>
        <v>0</v>
      </c>
      <c r="CG10" s="94">
        <f ca="1">MIN(TblMili[[#This Row],[Unit 1]],TblMili[[#This Row],[Unit 4]])*2</f>
        <v>0</v>
      </c>
      <c r="CH10" s="251">
        <f ca="1">MIN(frost_mage_cap,TblMili[[#This Row],[Homeland%]]/frost_mage_bonus)</f>
        <v>2.9999999999999996</v>
      </c>
      <c r="CI10" s="45">
        <f ca="1">MIN(ice_elem_cap,TblMili[[#This Row],[Raw (2)]]*ice_elem_bonus)</f>
        <v>0</v>
      </c>
      <c r="CJ10" s="251">
        <f t="shared" si="0"/>
        <v>0.83333333333333337</v>
      </c>
      <c r="CK10" s="251">
        <f ca="1">MIN(nox_nightshade_cap,TblConstr[[#This Row],[Homeland]]/TblConstr[[#This Row],[Land]]/nox_nightshade_swamp_bonus)</f>
        <v>4</v>
      </c>
      <c r="CL10" s="251">
        <f ca="1">MIN(TblConstr[[#This Row],[Total Swamp]]/TblConstr[[#This Row],[Land]]/abyss_enforce_bonus,abyss_enforcer_cap)</f>
        <v>0</v>
      </c>
      <c r="CM10" s="251">
        <f ca="1">IF(TblMagic[[#This Row],[Active Infernal Command]]&gt;0,TblMili[[#This Row],[Unit 1]]*infernal_cmd_op,0)</f>
        <v>0</v>
      </c>
      <c r="CN10" s="252" t="s">
        <v>328</v>
      </c>
      <c r="CO10" s="252" t="b">
        <f t="shared" si="1"/>
        <v>0</v>
      </c>
      <c r="CP10" s="252"/>
      <c r="CQ10" s="251">
        <f ca="1">TblMili[[#This Row],[Mystic]]*2</f>
        <v>4</v>
      </c>
      <c r="CR10" s="251">
        <f ca="1">TblMili[[#This Row],[Druid (op)]]*2</f>
        <v>4</v>
      </c>
      <c r="CS10" s="94">
        <f ca="1">TblMili[[#This Row],[Mystic bonus]]*TblMili[[#This Row],[Unit 3]]+TblMili[[#This Row],[Druid bonus]]*TblMili[[#This Row],[Unit 4]]</f>
        <v>0</v>
      </c>
      <c r="CT10" s="155">
        <f ca="1">TblMili[[#This Row],[Dryad]]*2</f>
        <v>5.9999999999999991</v>
      </c>
      <c r="CU10" s="94">
        <f ca="1">sylvan*(TblMili[[#This Row],[Mystic bonus]]*TblMili[[#This Row],[Unit 3]])</f>
        <v>0</v>
      </c>
      <c r="CV10" s="155">
        <f ca="1">TblMili[[#This Row],[Rockapult]]*2</f>
        <v>4</v>
      </c>
      <c r="CW10" s="94">
        <f ca="1">gnome*(TblMili[[#This Row],[Rockapult bonus]]*TblMili[[#This Row],[Unit 3]])</f>
        <v>0</v>
      </c>
      <c r="CX10" s="155">
        <f ca="1">TblMili[[#This Row],[Adept-DP]]*2</f>
        <v>0</v>
      </c>
      <c r="CY10" s="94">
        <f ca="1">dark_elf*(TblMili[[#This Row],[Adept bonus]]*TblMili[[#This Row],[Unit 3]])</f>
        <v>0</v>
      </c>
      <c r="CZ10" s="155">
        <f ca="1">TblMili[[#This Row],[Frost Mage]]*2</f>
        <v>5.9999999999999991</v>
      </c>
      <c r="DA10" s="155">
        <f ca="1">TblMili[[#This Row],[Ice Elemental]]*2</f>
        <v>0</v>
      </c>
      <c r="DB10" s="94">
        <f ca="1">TblMili[[#This Row],[Frost Mage bonus]]*TblMili[[#This Row],[Unit 3]]+TblMili[[#This Row],[Ice Elemental bonus]]*TblMili[[#This Row],[Unit 4]]</f>
        <v>0</v>
      </c>
      <c r="DC10" s="253"/>
      <c r="DD10" s="143">
        <f ca="1">MIN(SUM(TblConstr[[#This Row],[Plain]:[Water]])/TblMili[[#This Row],[Land]]/favorable_terrain_bonus/100,favorable_terrain_max)</f>
        <v>0</v>
      </c>
      <c r="DE10" s="253"/>
      <c r="DF1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 s="142"/>
      <c r="DH10" s="254">
        <f ca="1">(TblMili[[#This Row],[Wizards]]+2*TblMili[[#This Row],[Archmages]])/TblConstr[[#This Row],[Land]]</f>
        <v>0</v>
      </c>
      <c r="DI10" s="254">
        <f ca="1">TblMili[[#This Row],[Raw (2)]]*(1+race_wizard_strength+IF(TblMili[[#This Row],[Hour]]&gt;72,tech_magical_weaponry_wiz*TblTech[[#This Row],[3-5]],0))</f>
        <v>0</v>
      </c>
    </row>
    <row r="11" spans="1:113" x14ac:dyDescent="0.2">
      <c r="A11" s="137">
        <f>TblRezone[[#This Row],[Hour]]</f>
        <v>8</v>
      </c>
      <c r="B11" s="246">
        <f ca="1">SUM(TblMili[[#This Row],[Unit 1]:[Archmages]])+SUM(OFFSET(TblMili[[#This Row],[Train Unit 1]],-7,0):TblMili[[#This Row],[Train Unit 4]])+TblMili[[#This Row],[Draftees]]</f>
        <v>332</v>
      </c>
      <c r="C11" s="157">
        <f ca="1">TblPop[[#This Row],[Military%]]</f>
        <v>0.43172951885565669</v>
      </c>
      <c r="D11" s="142"/>
      <c r="E11" s="45">
        <f ca="1">OFFSET(TblMili[[#This Row],[Unit 1]],-1,0) - TblMili[[#This Row],[Release Unit 1]]</f>
        <v>0</v>
      </c>
      <c r="F11" s="45">
        <f ca="1">OFFSET(TblMili[[#This Row],[Unit 2]],-1,0)-TblMili[[#This Row],[Release Unit 2]]</f>
        <v>0</v>
      </c>
      <c r="G11" s="45">
        <f ca="1">OFFSET(TblMili[[#This Row],[Unit 3]],-1,0)-TblMili[[#This Row],[Release Unit 3]]</f>
        <v>0</v>
      </c>
      <c r="H11" s="45">
        <f ca="1">OFFSET(TblMili[[#This Row],[Unit 4]],-1,0)-TblMili[[#This Row],[Release Unit 4]]</f>
        <v>0</v>
      </c>
      <c r="I11" s="45">
        <f ca="1">OFFSET(TblMili[[#This Row],[Spies]],-1,0)-TblMili[[#This Row],[Release Spies]]-TblMili[[#This Row],[Train AS]]</f>
        <v>0</v>
      </c>
      <c r="J11" s="45">
        <f ca="1">OFFSET(TblMili[[#This Row],[Archspies]],-1,0)-TblMili[[#This Row],[Release AS]]</f>
        <v>0</v>
      </c>
      <c r="K11" s="45">
        <f ca="1">OFFSET(TblMili[[#This Row],[Wizards]],-1,0)-TblMili[[#This Row],[Release Wizards]]-TblMili[[#This Row],[Train AM]]</f>
        <v>0</v>
      </c>
      <c r="L11" s="45">
        <f ca="1">OFFSET(TblMili[[#This Row],[Archmages]],-1,0)-TblMili[[#This Row],[Release AM]]</f>
        <v>0</v>
      </c>
      <c r="M11" s="142"/>
      <c r="N11" s="94">
        <f ca="1">TblProd[[#This Row],[Networth]]</f>
        <v>1250</v>
      </c>
      <c r="O11" s="142"/>
      <c r="P11"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 s="247">
        <f ca="1">TblMili[[#This Row],[Raw]]*(1+TblMili[[#This Row],[Mods_Off]])</f>
        <v>0</v>
      </c>
      <c r="S11"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1" s="247">
        <f ca="1">TblMili[[#This Row],[Non Draft]]+TblMili[[#This Row],[Draftees]]</f>
        <v>332</v>
      </c>
      <c r="U11" s="248">
        <f ca="1">race_defense + TblImps[[#This Row],[Walls]] + ROUND( MIN(gt_bonus*TblConstr[[#This Row],[Tot GT]]/TblConstr[[#This Row],[Land]],gt_bonus_cap), 4) + IF(TblMagic[[#This Row],[Active Howling]]&gt;0,howling_dp_bonus,IF(TblMagic[[#This Row],[Active Ares Call]]&gt;0,ares_call_bonus))</f>
        <v>0</v>
      </c>
      <c r="V11" s="249">
        <f ca="1">TblMili[[#This Row],[Non Draft]] * (1 + TblMili[[#This Row],[Mods_Def]])</f>
        <v>0</v>
      </c>
      <c r="W11" s="247">
        <f ca="1">TblMili[[#This Row],[Draft]] * (1 + TblMili[[#This Row],[Mods_Def]])</f>
        <v>332</v>
      </c>
      <c r="X11" s="247">
        <f ca="1">TblConstr[[#This Row],[Land]]</f>
        <v>50</v>
      </c>
      <c r="Y11" s="250"/>
      <c r="Z11" s="255">
        <f ca="1">IF(TblMili[[#This Row],[Set]]&lt;&gt;"",TblMili[[#This Row],[Set]],OFFSET(TblMili[[#This Row],[Draftrate]],-1,0))</f>
        <v>0.9</v>
      </c>
      <c r="AA11"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332</v>
      </c>
      <c r="AB11" s="154"/>
      <c r="AC11" s="180">
        <f ca="1">(TblConstr[[#This Row],[Tot Smi]]+TblConstr[[#This Row],[Dest Smi]])/(TblConstr[[#This Row],[Land]]-TblExplore[[#This Row],[Land Bonus]]*20)</f>
        <v>0</v>
      </c>
      <c r="AD11" s="137"/>
      <c r="AE11" s="246">
        <f>TblMili[[#This Row],[Hour]]</f>
        <v>8</v>
      </c>
      <c r="AF11" s="138">
        <f ca="1">TblExplore[[#This Row],[Time]]</f>
        <v>46320.29166666665</v>
      </c>
      <c r="AG11" s="179"/>
      <c r="AH11" s="179"/>
      <c r="AI11" s="179"/>
      <c r="AJ11" s="179"/>
      <c r="AK11" s="179"/>
      <c r="AL11" s="179"/>
      <c r="AM11" s="179"/>
      <c r="AN11" s="179"/>
      <c r="AO11" s="420">
        <f ca="1">ROUND(IF(AND(TblMagic[[#This Row],[Active DnD]]&lt;12,TblMagic[[#This Row],[Active DnD]]&gt;5),OFFSET(TblPop[[#This Row],[Draft Growth]],-1,0)*0.375,0),0)</f>
        <v>0</v>
      </c>
      <c r="AP11" s="142"/>
      <c r="AQ11" s="94">
        <f ca="1">TblProd[[#This Row],[Platinum]]</f>
        <v>128585</v>
      </c>
      <c r="AR11" s="94">
        <f ca="1">INDEX(TblProd[[#Headers],[Lumber]]:TblProd[[#This Row],[Ore]],COUNTA(TblProd[[#Headers],[Lumber]]:TblProd[[#This Row],[Lumber]]),MATCH(Military!$AR$2,TblProd[[#Headers],[Lumber]:[Ore]],0))</f>
        <v>0</v>
      </c>
      <c r="AS1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1" s="94">
        <f ca="1">TblMili[[#This Row],[Train Unit 1]]*TblMili[[#This Row],[OP Ore]]+TblMili[[#This Row],[Train Unit 2]]*TblMili[[#This Row],[DP Ore]]+TblMili[[#This Row],[Train Unit 3]]*TblMili[[#This Row],[E1 Ore]]+TblMili[[#This Row],[Train Unit 4]]*TblMili[[#This Row],[E2 Ore]]</f>
        <v>0</v>
      </c>
      <c r="AU11" s="142">
        <f>TblMili[[#This Row],[Hour]]</f>
        <v>8</v>
      </c>
      <c r="AV11" s="152">
        <f ca="1">TblMili[[#This Row],[Time]]</f>
        <v>46320.29166666665</v>
      </c>
      <c r="AW11" s="94">
        <f ca="1">TblMili[[#This Row],[Draftees]]</f>
        <v>332</v>
      </c>
      <c r="AX11" s="179"/>
      <c r="AY11" s="179"/>
      <c r="AZ11" s="179"/>
      <c r="BA11" s="179"/>
      <c r="BB11" s="179"/>
      <c r="BC11" s="179"/>
      <c r="BD11" s="179"/>
      <c r="BE11" s="179"/>
      <c r="BF11" s="179"/>
      <c r="BG11" s="142"/>
      <c r="BH11" s="157">
        <f ca="1">TblConstr[[#This Row],[Tot WG]]/TblConstr[[#This Row],[Land]]</f>
        <v>0</v>
      </c>
      <c r="BI11" s="157">
        <f ca="1">TblConstr[[#This Row],[Tot Hav]]/TblConstr[[#This Row],[Land]]</f>
        <v>0</v>
      </c>
      <c r="BJ11" s="94">
        <f ca="1">ROUNDUP((1-MIN(TblMili[[#This Row],[Smithies]]*smithy_bonus,smithy_bonus_cap) + tech_3_5*TblTech[[#This Row],[3-5]] + tech_5_3*TblTech[[#This Row],[5-3]] + tech_5_5*TblTech[[#This Row],[5-5]])*spec_op_plat,0)</f>
        <v>315</v>
      </c>
      <c r="BK11" s="94">
        <f ca="1">ROUNDUP(IF(race="Gnome",1,(1-MIN(TblMili[[#This Row],[Smithies]]*smithy_bonus,smithy_bonus_cap) + tech_3_5*TblTech[[#This Row],[3-5]] + tech_5_3*TblTech[[#This Row],[5-3]] + tech_5_5*TblTech[[#This Row],[5-5]]))*spec_op_ore,0)</f>
        <v>25</v>
      </c>
      <c r="BL11" s="94">
        <f ca="1">ROUNDUP((1-MIN(TblMili[[#This Row],[Smithies]]*smithy_bonus,smithy_bonus_cap) + tech_3_5*TblTech[[#This Row],[3-5]] + tech_5_3*TblTech[[#This Row],[5-3]] + tech_5_5*TblTech[[#This Row],[5-5]])*spec_dp_plat,0)</f>
        <v>275</v>
      </c>
      <c r="BM11" s="94">
        <f ca="1">ROUNDUP(IF(race="Gnome",1,(1-MIN(TblMili[[#This Row],[Smithies]]*smithy_bonus,smithy_bonus_cap) + tech_3_5*TblTech[[#This Row],[3-5]] + tech_5_3*TblTech[[#This Row],[5-3]] + tech_5_5*TblTech[[#This Row],[5-5]]))*spec_dp_ore,0)</f>
        <v>15</v>
      </c>
      <c r="BN11" s="94">
        <f ca="1">ROUNDUP((1-MIN(TblMili[[#This Row],[Smithies]]*smithy_bonus,smithy_bonus_cap) + tech_3_5*TblTech[[#This Row],[3-5]] + tech_5_3*TblTech[[#This Row],[5-3]] + tech_5_5*TblTech[[#This Row],[5-5]])*elite1_plat,0)</f>
        <v>1040</v>
      </c>
      <c r="BO11" s="94">
        <f ca="1">ROUNDUP(IF(race="Gnome",1,(1-MIN(TblMili[[#This Row],[Smithies]]*smithy_bonus,smithy_bonus_cap) + tech_3_5*TblTech[[#This Row],[3-5]] + tech_5_3*TblTech[[#This Row],[5-3]] + tech_5_5*TblTech[[#This Row],[5-5]]))*elite1_ore,0)</f>
        <v>75</v>
      </c>
      <c r="BP11" s="94">
        <f ca="1">ROUNDUP((1-MIN(TblMili[[#This Row],[Smithies]]*smithy_bonus,smithy_bonus_cap) + tech_3_5*TblTech[[#This Row],[3-5]] + tech_5_3*TblTech[[#This Row],[5-3]] + tech_5_5*TblTech[[#This Row],[5-5]])*elite2_plat,0)</f>
        <v>1280</v>
      </c>
      <c r="BQ11" s="94">
        <f ca="1">ROUNDUP(IF(race="Gnome",1,(1-MIN(TblMili[[#This Row],[Smithies]]*smithy_bonus,smithy_bonus_cap) + tech_3_5*TblTech[[#This Row],[3-5]] + tech_5_3*TblTech[[#This Row],[5-3]] + tech_5_5*TblTech[[#This Row],[5-5]]))*elite2_ore,0)</f>
        <v>100</v>
      </c>
      <c r="BR11" s="94">
        <f ca="1">ROUNDUP((1-MIN(ROUND(fh_spy_cost_red*TblMili[[#This Row],[FH''s]],4),fh_spy_cost_cap)+ tech_1_9*TblTech[[#This Row],[1-9]] + tech_9_1*TblTech[[#This Row],[9-1]])*spy_plat,0)</f>
        <v>500</v>
      </c>
      <c r="BS11" s="94">
        <f ca="1">ROUNDUP((1-MIN(ROUND(fh_spy_cost_red*TblMili[[#This Row],[FH''s]],4),fh_spy_cost_cap)+ tech_1_9*TblTech[[#This Row],[1-9]] + tech_9_1*TblTech[[#This Row],[9-1]])*archspy_plat,0)</f>
        <v>1000</v>
      </c>
      <c r="BT11" s="94">
        <f ca="1">ROUNDUP((1-MIN(ROUND(wg_wiz_cost_bonus*TblMili[[#This Row],[WG''s]],4),wg_wiz_cost_cap) + tech_1_9_2*TblTech[[#This Row],[1-9]] + tech_9_1_2*TblTech[[#This Row],[9-1]])*wizard_plat,0)</f>
        <v>500</v>
      </c>
      <c r="BU11" s="94">
        <f ca="1">ROUNDUP((1-MIN(ROUND(wg_wiz_cost_bonus*TblMili[[#This Row],[WG''s]],4),wg_wiz_cost_cap) + tech_1_9_2*TblTech[[#This Row],[1-9]] + tech_9_1_2*TblTech[[#This Row],[9-1]])*(archmage_plat + IF(TblMagic[[#This Row],[Active Arc Infusion]]&gt;0,400,0)),0)</f>
        <v>1000</v>
      </c>
      <c r="BV11" s="142"/>
      <c r="BW11" s="157">
        <f ca="1">TblConstr[[#This Row],[Homeland]]/TblConstr[[#This Row],[Land]]</f>
        <v>0.6</v>
      </c>
      <c r="BX11" s="157">
        <f ca="1">TblMili[[#This Row],[WG''s]]</f>
        <v>0</v>
      </c>
      <c r="BY11" s="251">
        <f ca="1">IF(mystic_cap="none",TblMili[[#This Row],[Homeland%]]/mystic_bonus,MIN(mystic_cap,TblMili[[#This Row],[Homeland%]]/mystic_bonus))</f>
        <v>2</v>
      </c>
      <c r="BZ11" s="251">
        <f ca="1">IF(druid_op_cap="none",TblMili[[#This Row],[Homeland%]]/druid_op_bonus,MIN(druid_op_cap,TblMili[[#This Row],[Homeland%]]/druid_op_bonus))</f>
        <v>2</v>
      </c>
      <c r="CA11" s="251">
        <f ca="1">IF(druid_dp_cap="none",TblMili[[#This Row],[Homeland%]]/druid_dp_bonus,MIN(druid_dp_cap,TblMili[[#This Row],[Homeland%]]/druid_dp_bonus))</f>
        <v>2</v>
      </c>
      <c r="CB11" s="251">
        <f ca="1">MIN(dryad_cap,TblMili[[#This Row],[Homeland%]]/dryad_bonus)</f>
        <v>2.9999999999999996</v>
      </c>
      <c r="CC11" s="251">
        <f ca="1">MIN(rocka_cap,TblMili[[#This Row],[Homeland%]]/rocka_bonus)</f>
        <v>2</v>
      </c>
      <c r="CD11" s="251">
        <f ca="1">MIN(adept_op_cap,TblMili[[#This Row],[WG]]/adept_op_bonus)</f>
        <v>0</v>
      </c>
      <c r="CE11" s="251">
        <f ca="1">MIN(adept_dp_cap,TblMili[[#This Row],[WG]]/adept_dp_bonus)</f>
        <v>0</v>
      </c>
      <c r="CF11" s="94">
        <f ca="1">MIN(TblMili[[#This Row],[Unit 3]],TblMili[[#This Row],[Unit 2]])*2</f>
        <v>0</v>
      </c>
      <c r="CG11" s="94">
        <f ca="1">MIN(TblMili[[#This Row],[Unit 1]],TblMili[[#This Row],[Unit 4]])*2</f>
        <v>0</v>
      </c>
      <c r="CH11" s="251">
        <f ca="1">MIN(frost_mage_cap,TblMili[[#This Row],[Homeland%]]/frost_mage_bonus)</f>
        <v>2.9999999999999996</v>
      </c>
      <c r="CI11" s="45">
        <f ca="1">MIN(ice_elem_cap,TblMili[[#This Row],[Raw (2)]]*ice_elem_bonus)</f>
        <v>0</v>
      </c>
      <c r="CJ11" s="251">
        <f t="shared" si="0"/>
        <v>0.83333333333333337</v>
      </c>
      <c r="CK11" s="251">
        <f ca="1">MIN(nox_nightshade_cap,TblConstr[[#This Row],[Homeland]]/TblConstr[[#This Row],[Land]]/nox_nightshade_swamp_bonus)</f>
        <v>4</v>
      </c>
      <c r="CL11" s="251">
        <f ca="1">MIN(TblConstr[[#This Row],[Total Swamp]]/TblConstr[[#This Row],[Land]]/abyss_enforce_bonus,abyss_enforcer_cap)</f>
        <v>0</v>
      </c>
      <c r="CM11" s="251">
        <f ca="1">IF(TblMagic[[#This Row],[Active Infernal Command]]&gt;0,TblMili[[#This Row],[Unit 1]]*infernal_cmd_op,0)</f>
        <v>0</v>
      </c>
      <c r="CN11" s="252" t="s">
        <v>143</v>
      </c>
      <c r="CO11" s="252" t="b">
        <f t="shared" si="1"/>
        <v>0</v>
      </c>
      <c r="CP11" s="252"/>
      <c r="CQ11" s="251">
        <f ca="1">TblMili[[#This Row],[Mystic]]*2</f>
        <v>4</v>
      </c>
      <c r="CR11" s="251">
        <f ca="1">TblMili[[#This Row],[Druid (op)]]*2</f>
        <v>4</v>
      </c>
      <c r="CS11" s="94">
        <f ca="1">TblMili[[#This Row],[Mystic bonus]]*TblMili[[#This Row],[Unit 3]]+TblMili[[#This Row],[Druid bonus]]*TblMili[[#This Row],[Unit 4]]</f>
        <v>0</v>
      </c>
      <c r="CT11" s="155">
        <f ca="1">TblMili[[#This Row],[Dryad]]*2</f>
        <v>5.9999999999999991</v>
      </c>
      <c r="CU11" s="94">
        <f ca="1">sylvan*(TblMili[[#This Row],[Mystic bonus]]*TblMili[[#This Row],[Unit 3]])</f>
        <v>0</v>
      </c>
      <c r="CV11" s="155">
        <f ca="1">TblMili[[#This Row],[Rockapult]]*2</f>
        <v>4</v>
      </c>
      <c r="CW11" s="94">
        <f ca="1">gnome*(TblMili[[#This Row],[Rockapult bonus]]*TblMili[[#This Row],[Unit 3]])</f>
        <v>0</v>
      </c>
      <c r="CX11" s="155">
        <f ca="1">TblMili[[#This Row],[Adept-DP]]*2</f>
        <v>0</v>
      </c>
      <c r="CY11" s="94">
        <f ca="1">dark_elf*(TblMili[[#This Row],[Adept bonus]]*TblMili[[#This Row],[Unit 3]])</f>
        <v>0</v>
      </c>
      <c r="CZ11" s="155">
        <f ca="1">TblMili[[#This Row],[Frost Mage]]*2</f>
        <v>5.9999999999999991</v>
      </c>
      <c r="DA11" s="155">
        <f ca="1">TblMili[[#This Row],[Ice Elemental]]*2</f>
        <v>0</v>
      </c>
      <c r="DB11" s="94">
        <f ca="1">TblMili[[#This Row],[Frost Mage bonus]]*TblMili[[#This Row],[Unit 3]]+TblMili[[#This Row],[Ice Elemental bonus]]*TblMili[[#This Row],[Unit 4]]</f>
        <v>0</v>
      </c>
      <c r="DC11" s="253"/>
      <c r="DD11" s="143">
        <f ca="1">MIN(SUM(TblConstr[[#This Row],[Plain]:[Water]])/TblMili[[#This Row],[Land]]/favorable_terrain_bonus/100,favorable_terrain_max)</f>
        <v>0</v>
      </c>
      <c r="DE11" s="253"/>
      <c r="DF1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 s="142"/>
      <c r="DH11" s="254">
        <f ca="1">(TblMili[[#This Row],[Wizards]]+2*TblMili[[#This Row],[Archmages]])/TblConstr[[#This Row],[Land]]</f>
        <v>0</v>
      </c>
      <c r="DI11" s="254">
        <f ca="1">TblMili[[#This Row],[Raw (2)]]*(1+race_wizard_strength+IF(TblMili[[#This Row],[Hour]]&gt;72,tech_magical_weaponry_wiz*TblTech[[#This Row],[3-5]],0))</f>
        <v>0</v>
      </c>
    </row>
    <row r="12" spans="1:113" x14ac:dyDescent="0.2">
      <c r="A12" s="137">
        <f>TblRezone[[#This Row],[Hour]]</f>
        <v>9</v>
      </c>
      <c r="B12" s="246">
        <f ca="1">SUM(TblMili[[#This Row],[Unit 1]:[Archmages]])+SUM(OFFSET(TblMili[[#This Row],[Train Unit 1]],-8,0):TblMili[[#This Row],[Train Unit 4]])+TblMili[[#This Row],[Draftees]]</f>
        <v>336</v>
      </c>
      <c r="C12" s="157">
        <f ca="1">TblPop[[#This Row],[Military%]]</f>
        <v>0.43693107932379716</v>
      </c>
      <c r="D12" s="142"/>
      <c r="E12" s="45">
        <f ca="1">OFFSET(TblMili[[#This Row],[Unit 1]],-1,0) - TblMili[[#This Row],[Release Unit 1]]</f>
        <v>0</v>
      </c>
      <c r="F12" s="45">
        <f ca="1">OFFSET(TblMili[[#This Row],[Unit 2]],-1,0)-TblMili[[#This Row],[Release Unit 2]]</f>
        <v>0</v>
      </c>
      <c r="G12" s="45">
        <f ca="1">OFFSET(TblMili[[#This Row],[Unit 3]],-1,0)-TblMili[[#This Row],[Release Unit 3]]</f>
        <v>0</v>
      </c>
      <c r="H12" s="45">
        <f ca="1">OFFSET(TblMili[[#This Row],[Unit 4]],-1,0)-TblMili[[#This Row],[Release Unit 4]]</f>
        <v>0</v>
      </c>
      <c r="I12" s="45">
        <f ca="1">OFFSET(TblMili[[#This Row],[Spies]],-1,0)-TblMili[[#This Row],[Release Spies]]-TblMili[[#This Row],[Train AS]]</f>
        <v>0</v>
      </c>
      <c r="J12" s="45">
        <f ca="1">OFFSET(TblMili[[#This Row],[Archspies]],-1,0)-TblMili[[#This Row],[Release AS]]</f>
        <v>0</v>
      </c>
      <c r="K12" s="45">
        <f ca="1">OFFSET(TblMili[[#This Row],[Wizards]],-1,0)-TblMili[[#This Row],[Release Wizards]]-TblMili[[#This Row],[Train AM]]</f>
        <v>0</v>
      </c>
      <c r="L12" s="45">
        <f ca="1">OFFSET(TblMili[[#This Row],[Archmages]],-1,0)-TblMili[[#This Row],[Release AM]]</f>
        <v>0</v>
      </c>
      <c r="M12" s="142"/>
      <c r="N12" s="94">
        <f ca="1">TblProd[[#This Row],[Networth]]</f>
        <v>1250</v>
      </c>
      <c r="O12" s="142"/>
      <c r="P12"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 s="247">
        <f ca="1">TblMili[[#This Row],[Raw]]*(1+TblMili[[#This Row],[Mods_Off]])</f>
        <v>0</v>
      </c>
      <c r="S12"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2" s="247">
        <f ca="1">TblMili[[#This Row],[Non Draft]]+TblMili[[#This Row],[Draftees]]</f>
        <v>336</v>
      </c>
      <c r="U12" s="248">
        <f ca="1">race_defense + TblImps[[#This Row],[Walls]] + ROUND( MIN(gt_bonus*TblConstr[[#This Row],[Tot GT]]/TblConstr[[#This Row],[Land]],gt_bonus_cap), 4) + IF(TblMagic[[#This Row],[Active Howling]]&gt;0,howling_dp_bonus,IF(TblMagic[[#This Row],[Active Ares Call]]&gt;0,ares_call_bonus))</f>
        <v>0</v>
      </c>
      <c r="V12" s="249">
        <f ca="1">TblMili[[#This Row],[Non Draft]] * (1 + TblMili[[#This Row],[Mods_Def]])</f>
        <v>0</v>
      </c>
      <c r="W12" s="247">
        <f ca="1">TblMili[[#This Row],[Draft]] * (1 + TblMili[[#This Row],[Mods_Def]])</f>
        <v>336</v>
      </c>
      <c r="X12" s="247">
        <f ca="1">TblConstr[[#This Row],[Land]]</f>
        <v>50</v>
      </c>
      <c r="Y12" s="250"/>
      <c r="Z12" s="255">
        <f ca="1">IF(TblMili[[#This Row],[Set]]&lt;&gt;"",TblMili[[#This Row],[Set]],OFFSET(TblMili[[#This Row],[Draftrate]],-1,0))</f>
        <v>0.9</v>
      </c>
      <c r="AA12"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336</v>
      </c>
      <c r="AB12" s="154"/>
      <c r="AC12" s="180">
        <f ca="1">(TblConstr[[#This Row],[Tot Smi]]+TblConstr[[#This Row],[Dest Smi]])/(TblConstr[[#This Row],[Land]]-TblExplore[[#This Row],[Land Bonus]]*20)</f>
        <v>0</v>
      </c>
      <c r="AD12" s="137"/>
      <c r="AE12" s="246">
        <f>TblMili[[#This Row],[Hour]]</f>
        <v>9</v>
      </c>
      <c r="AF12" s="138">
        <f ca="1">TblExplore[[#This Row],[Time]]</f>
        <v>46320.333333333314</v>
      </c>
      <c r="AG12" s="179"/>
      <c r="AH12" s="179"/>
      <c r="AI12" s="179"/>
      <c r="AJ12" s="179"/>
      <c r="AK12" s="179"/>
      <c r="AL12" s="179"/>
      <c r="AM12" s="179"/>
      <c r="AN12" s="179"/>
      <c r="AO12" s="420">
        <f ca="1">ROUND(IF(AND(TblMagic[[#This Row],[Active DnD]]&lt;12,TblMagic[[#This Row],[Active DnD]]&gt;5),OFFSET(TblPop[[#This Row],[Draft Growth]],-1,0)*0.375,0),0)</f>
        <v>0</v>
      </c>
      <c r="AP12" s="142"/>
      <c r="AQ12" s="94">
        <f ca="1">TblProd[[#This Row],[Platinum]]</f>
        <v>129764</v>
      </c>
      <c r="AR12" s="94">
        <f ca="1">INDEX(TblProd[[#Headers],[Lumber]]:TblProd[[#This Row],[Ore]],COUNTA(TblProd[[#Headers],[Lumber]]:TblProd[[#This Row],[Lumber]]),MATCH(Military!$AR$2,TblProd[[#Headers],[Lumber]:[Ore]],0))</f>
        <v>0</v>
      </c>
      <c r="AS12"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2" s="94">
        <f ca="1">TblMili[[#This Row],[Train Unit 1]]*TblMili[[#This Row],[OP Ore]]+TblMili[[#This Row],[Train Unit 2]]*TblMili[[#This Row],[DP Ore]]+TblMili[[#This Row],[Train Unit 3]]*TblMili[[#This Row],[E1 Ore]]+TblMili[[#This Row],[Train Unit 4]]*TblMili[[#This Row],[E2 Ore]]</f>
        <v>0</v>
      </c>
      <c r="AU12" s="142">
        <f>TblMili[[#This Row],[Hour]]</f>
        <v>9</v>
      </c>
      <c r="AV12" s="152">
        <f ca="1">TblMili[[#This Row],[Time]]</f>
        <v>46320.333333333314</v>
      </c>
      <c r="AW12" s="94">
        <f ca="1">TblMili[[#This Row],[Draftees]]</f>
        <v>336</v>
      </c>
      <c r="AX12" s="179"/>
      <c r="AY12" s="179"/>
      <c r="AZ12" s="179"/>
      <c r="BA12" s="179"/>
      <c r="BB12" s="179"/>
      <c r="BC12" s="179"/>
      <c r="BD12" s="179"/>
      <c r="BE12" s="179"/>
      <c r="BF12" s="179"/>
      <c r="BG12" s="142"/>
      <c r="BH12" s="157">
        <f ca="1">TblConstr[[#This Row],[Tot WG]]/TblConstr[[#This Row],[Land]]</f>
        <v>0</v>
      </c>
      <c r="BI12" s="157">
        <f ca="1">TblConstr[[#This Row],[Tot Hav]]/TblConstr[[#This Row],[Land]]</f>
        <v>0</v>
      </c>
      <c r="BJ12" s="94">
        <f ca="1">ROUNDUP((1-MIN(TblMili[[#This Row],[Smithies]]*smithy_bonus,smithy_bonus_cap) + tech_3_5*TblTech[[#This Row],[3-5]] + tech_5_3*TblTech[[#This Row],[5-3]] + tech_5_5*TblTech[[#This Row],[5-5]])*spec_op_plat,0)</f>
        <v>315</v>
      </c>
      <c r="BK12" s="94">
        <f ca="1">ROUNDUP(IF(race="Gnome",1,(1-MIN(TblMili[[#This Row],[Smithies]]*smithy_bonus,smithy_bonus_cap) + tech_3_5*TblTech[[#This Row],[3-5]] + tech_5_3*TblTech[[#This Row],[5-3]] + tech_5_5*TblTech[[#This Row],[5-5]]))*spec_op_ore,0)</f>
        <v>25</v>
      </c>
      <c r="BL12" s="94">
        <f ca="1">ROUNDUP((1-MIN(TblMili[[#This Row],[Smithies]]*smithy_bonus,smithy_bonus_cap) + tech_3_5*TblTech[[#This Row],[3-5]] + tech_5_3*TblTech[[#This Row],[5-3]] + tech_5_5*TblTech[[#This Row],[5-5]])*spec_dp_plat,0)</f>
        <v>275</v>
      </c>
      <c r="BM12" s="94">
        <f ca="1">ROUNDUP(IF(race="Gnome",1,(1-MIN(TblMili[[#This Row],[Smithies]]*smithy_bonus,smithy_bonus_cap) + tech_3_5*TblTech[[#This Row],[3-5]] + tech_5_3*TblTech[[#This Row],[5-3]] + tech_5_5*TblTech[[#This Row],[5-5]]))*spec_dp_ore,0)</f>
        <v>15</v>
      </c>
      <c r="BN12" s="94">
        <f ca="1">ROUNDUP((1-MIN(TblMili[[#This Row],[Smithies]]*smithy_bonus,smithy_bonus_cap) + tech_3_5*TblTech[[#This Row],[3-5]] + tech_5_3*TblTech[[#This Row],[5-3]] + tech_5_5*TblTech[[#This Row],[5-5]])*elite1_plat,0)</f>
        <v>1040</v>
      </c>
      <c r="BO12" s="94">
        <f ca="1">ROUNDUP(IF(race="Gnome",1,(1-MIN(TblMili[[#This Row],[Smithies]]*smithy_bonus,smithy_bonus_cap) + tech_3_5*TblTech[[#This Row],[3-5]] + tech_5_3*TblTech[[#This Row],[5-3]] + tech_5_5*TblTech[[#This Row],[5-5]]))*elite1_ore,0)</f>
        <v>75</v>
      </c>
      <c r="BP12" s="94">
        <f ca="1">ROUNDUP((1-MIN(TblMili[[#This Row],[Smithies]]*smithy_bonus,smithy_bonus_cap) + tech_3_5*TblTech[[#This Row],[3-5]] + tech_5_3*TblTech[[#This Row],[5-3]] + tech_5_5*TblTech[[#This Row],[5-5]])*elite2_plat,0)</f>
        <v>1280</v>
      </c>
      <c r="BQ12" s="94">
        <f ca="1">ROUNDUP(IF(race="Gnome",1,(1-MIN(TblMili[[#This Row],[Smithies]]*smithy_bonus,smithy_bonus_cap) + tech_3_5*TblTech[[#This Row],[3-5]] + tech_5_3*TblTech[[#This Row],[5-3]] + tech_5_5*TblTech[[#This Row],[5-5]]))*elite2_ore,0)</f>
        <v>100</v>
      </c>
      <c r="BR12" s="94">
        <f ca="1">ROUNDUP((1-MIN(ROUND(fh_spy_cost_red*TblMili[[#This Row],[FH''s]],4),fh_spy_cost_cap)+ tech_1_9*TblTech[[#This Row],[1-9]] + tech_9_1*TblTech[[#This Row],[9-1]])*spy_plat,0)</f>
        <v>500</v>
      </c>
      <c r="BS12" s="94">
        <f ca="1">ROUNDUP((1-MIN(ROUND(fh_spy_cost_red*TblMili[[#This Row],[FH''s]],4),fh_spy_cost_cap)+ tech_1_9*TblTech[[#This Row],[1-9]] + tech_9_1*TblTech[[#This Row],[9-1]])*archspy_plat,0)</f>
        <v>1000</v>
      </c>
      <c r="BT12" s="94">
        <f ca="1">ROUNDUP((1-MIN(ROUND(wg_wiz_cost_bonus*TblMili[[#This Row],[WG''s]],4),wg_wiz_cost_cap) + tech_1_9_2*TblTech[[#This Row],[1-9]] + tech_9_1_2*TblTech[[#This Row],[9-1]])*wizard_plat,0)</f>
        <v>500</v>
      </c>
      <c r="BU12" s="94">
        <f ca="1">ROUNDUP((1-MIN(ROUND(wg_wiz_cost_bonus*TblMili[[#This Row],[WG''s]],4),wg_wiz_cost_cap) + tech_1_9_2*TblTech[[#This Row],[1-9]] + tech_9_1_2*TblTech[[#This Row],[9-1]])*(archmage_plat + IF(TblMagic[[#This Row],[Active Arc Infusion]]&gt;0,400,0)),0)</f>
        <v>1000</v>
      </c>
      <c r="BV12" s="142"/>
      <c r="BW12" s="157">
        <f ca="1">TblConstr[[#This Row],[Homeland]]/TblConstr[[#This Row],[Land]]</f>
        <v>0.6</v>
      </c>
      <c r="BX12" s="157">
        <f ca="1">TblMili[[#This Row],[WG''s]]</f>
        <v>0</v>
      </c>
      <c r="BY12" s="251">
        <f ca="1">IF(mystic_cap="none",TblMili[[#This Row],[Homeland%]]/mystic_bonus,MIN(mystic_cap,TblMili[[#This Row],[Homeland%]]/mystic_bonus))</f>
        <v>2</v>
      </c>
      <c r="BZ12" s="251">
        <f ca="1">IF(druid_op_cap="none",TblMili[[#This Row],[Homeland%]]/druid_op_bonus,MIN(druid_op_cap,TblMili[[#This Row],[Homeland%]]/druid_op_bonus))</f>
        <v>2</v>
      </c>
      <c r="CA12" s="251">
        <f ca="1">IF(druid_dp_cap="none",TblMili[[#This Row],[Homeland%]]/druid_dp_bonus,MIN(druid_dp_cap,TblMili[[#This Row],[Homeland%]]/druid_dp_bonus))</f>
        <v>2</v>
      </c>
      <c r="CB12" s="251">
        <f ca="1">MIN(dryad_cap,TblMili[[#This Row],[Homeland%]]/dryad_bonus)</f>
        <v>2.9999999999999996</v>
      </c>
      <c r="CC12" s="251">
        <f ca="1">MIN(rocka_cap,TblMili[[#This Row],[Homeland%]]/rocka_bonus)</f>
        <v>2</v>
      </c>
      <c r="CD12" s="251">
        <f ca="1">MIN(adept_op_cap,TblMili[[#This Row],[WG]]/adept_op_bonus)</f>
        <v>0</v>
      </c>
      <c r="CE12" s="251">
        <f ca="1">MIN(adept_dp_cap,TblMili[[#This Row],[WG]]/adept_dp_bonus)</f>
        <v>0</v>
      </c>
      <c r="CF12" s="94">
        <f ca="1">MIN(TblMili[[#This Row],[Unit 3]],TblMili[[#This Row],[Unit 2]])*2</f>
        <v>0</v>
      </c>
      <c r="CG12" s="94">
        <f ca="1">MIN(TblMili[[#This Row],[Unit 1]],TblMili[[#This Row],[Unit 4]])*2</f>
        <v>0</v>
      </c>
      <c r="CH12" s="251">
        <f ca="1">MIN(frost_mage_cap,TblMili[[#This Row],[Homeland%]]/frost_mage_bonus)</f>
        <v>2.9999999999999996</v>
      </c>
      <c r="CI12" s="45">
        <f ca="1">MIN(ice_elem_cap,TblMili[[#This Row],[Raw (2)]]*ice_elem_bonus)</f>
        <v>0</v>
      </c>
      <c r="CJ12" s="251">
        <f t="shared" si="0"/>
        <v>0.83333333333333337</v>
      </c>
      <c r="CK12" s="251">
        <f ca="1">MIN(nox_nightshade_cap,TblConstr[[#This Row],[Homeland]]/TblConstr[[#This Row],[Land]]/nox_nightshade_swamp_bonus)</f>
        <v>4</v>
      </c>
      <c r="CL12" s="251">
        <f ca="1">MIN(TblConstr[[#This Row],[Total Swamp]]/TblConstr[[#This Row],[Land]]/abyss_enforce_bonus,abyss_enforcer_cap)</f>
        <v>0</v>
      </c>
      <c r="CM12" s="251">
        <f ca="1">IF(TblMagic[[#This Row],[Active Infernal Command]]&gt;0,TblMili[[#This Row],[Unit 1]]*infernal_cmd_op,0)</f>
        <v>0</v>
      </c>
      <c r="CN12" s="252" t="s">
        <v>498</v>
      </c>
      <c r="CO12" s="252" t="b">
        <f t="shared" si="1"/>
        <v>0</v>
      </c>
      <c r="CP12" s="252"/>
      <c r="CQ12" s="251">
        <f ca="1">TblMili[[#This Row],[Mystic]]*2</f>
        <v>4</v>
      </c>
      <c r="CR12" s="251">
        <f ca="1">TblMili[[#This Row],[Druid (op)]]*2</f>
        <v>4</v>
      </c>
      <c r="CS12" s="94">
        <f ca="1">TblMili[[#This Row],[Mystic bonus]]*TblMili[[#This Row],[Unit 3]]+TblMili[[#This Row],[Druid bonus]]*TblMili[[#This Row],[Unit 4]]</f>
        <v>0</v>
      </c>
      <c r="CT12" s="155">
        <f ca="1">TblMili[[#This Row],[Dryad]]*2</f>
        <v>5.9999999999999991</v>
      </c>
      <c r="CU12" s="94">
        <f ca="1">sylvan*(TblMili[[#This Row],[Mystic bonus]]*TblMili[[#This Row],[Unit 3]])</f>
        <v>0</v>
      </c>
      <c r="CV12" s="155">
        <f ca="1">TblMili[[#This Row],[Rockapult]]*2</f>
        <v>4</v>
      </c>
      <c r="CW12" s="94">
        <f ca="1">gnome*(TblMili[[#This Row],[Rockapult bonus]]*TblMili[[#This Row],[Unit 3]])</f>
        <v>0</v>
      </c>
      <c r="CX12" s="155">
        <f ca="1">TblMili[[#This Row],[Adept-DP]]*2</f>
        <v>0</v>
      </c>
      <c r="CY12" s="94">
        <f ca="1">dark_elf*(TblMili[[#This Row],[Adept bonus]]*TblMili[[#This Row],[Unit 3]])</f>
        <v>0</v>
      </c>
      <c r="CZ12" s="155">
        <f ca="1">TblMili[[#This Row],[Frost Mage]]*2</f>
        <v>5.9999999999999991</v>
      </c>
      <c r="DA12" s="155">
        <f ca="1">TblMili[[#This Row],[Ice Elemental]]*2</f>
        <v>0</v>
      </c>
      <c r="DB12" s="94">
        <f ca="1">TblMili[[#This Row],[Frost Mage bonus]]*TblMili[[#This Row],[Unit 3]]+TblMili[[#This Row],[Ice Elemental bonus]]*TblMili[[#This Row],[Unit 4]]</f>
        <v>0</v>
      </c>
      <c r="DC12" s="253"/>
      <c r="DD12" s="143">
        <f ca="1">MIN(SUM(TblConstr[[#This Row],[Plain]:[Water]])/TblMili[[#This Row],[Land]]/favorable_terrain_bonus/100,favorable_terrain_max)</f>
        <v>0</v>
      </c>
      <c r="DE12" s="253"/>
      <c r="DF1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 s="142"/>
      <c r="DH12" s="254">
        <f ca="1">(TblMili[[#This Row],[Wizards]]+2*TblMili[[#This Row],[Archmages]])/TblConstr[[#This Row],[Land]]</f>
        <v>0</v>
      </c>
      <c r="DI12" s="254">
        <f ca="1">TblMili[[#This Row],[Raw (2)]]*(1+race_wizard_strength+IF(TblMili[[#This Row],[Hour]]&gt;72,tech_magical_weaponry_wiz*TblTech[[#This Row],[3-5]],0))</f>
        <v>0</v>
      </c>
    </row>
    <row r="13" spans="1:113" x14ac:dyDescent="0.2">
      <c r="A13" s="137">
        <f>TblRezone[[#This Row],[Hour]]</f>
        <v>10</v>
      </c>
      <c r="B13" s="246">
        <f ca="1">SUM(TblMili[[#This Row],[Unit 1]:[Archmages]])+SUM(OFFSET(TblMili[[#This Row],[Train Unit 1]],-8,0):TblMili[[#This Row],[Train Unit 2]]) + SUM(OFFSET(TblMili[[#This Row],[Train Unit 3]],-9,0):TblMili[[#This Row],[Train Unit 4]]) + TblMili[[#This Row],[Draftees]]</f>
        <v>340</v>
      </c>
      <c r="C13" s="157">
        <f ca="1">TblPop[[#This Row],[Military%]]</f>
        <v>0.44213263979193757</v>
      </c>
      <c r="D13" s="142"/>
      <c r="E13" s="45">
        <f ca="1">OFFSET(TblMili[[#This Row],[Unit 1]],-1,0) + OFFSET(TblMili[[#This Row],[Train Unit 1]],-9,0) - TblMili[[#This Row],[Release Unit 1]]</f>
        <v>0</v>
      </c>
      <c r="F13" s="45">
        <f ca="1">OFFSET(TblMili[[#This Row],[Unit 2]],-1,0) + OFFSET(TblMili[[#This Row],[Train Unit 2]],-9,0)-TblMili[[#This Row],[Release Unit 2]]</f>
        <v>0</v>
      </c>
      <c r="G13" s="45">
        <f ca="1">OFFSET(TblMili[[#This Row],[Unit 3]],-1,0)-TblMili[[#This Row],[Release Unit 3]]</f>
        <v>0</v>
      </c>
      <c r="H13" s="45">
        <f ca="1">OFFSET(TblMili[[#This Row],[Unit 4]],-1,0)-TblMili[[#This Row],[Release Unit 4]]</f>
        <v>0</v>
      </c>
      <c r="I13" s="45">
        <f ca="1">OFFSET(TblMili[[#This Row],[Spies]],-1,0)-TblMili[[#This Row],[Release Spies]]-TblMili[[#This Row],[Train AS]]</f>
        <v>0</v>
      </c>
      <c r="J13" s="45">
        <f ca="1">OFFSET(TblMili[[#This Row],[Archspies]],-1,0)-TblMili[[#This Row],[Release AS]]</f>
        <v>0</v>
      </c>
      <c r="K13" s="45">
        <f ca="1">OFFSET(TblMili[[#This Row],[Wizards]],-1,0)-TblMili[[#This Row],[Release Wizards]]-TblMili[[#This Row],[Train AM]]</f>
        <v>0</v>
      </c>
      <c r="L13" s="45">
        <f ca="1">OFFSET(TblMili[[#This Row],[Archmages]],-1,0)-TblMili[[#This Row],[Release AM]]</f>
        <v>0</v>
      </c>
      <c r="M13" s="142"/>
      <c r="N13" s="94">
        <f ca="1">TblProd[[#This Row],[Networth]]</f>
        <v>1250</v>
      </c>
      <c r="O13" s="142"/>
      <c r="P13"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 s="247">
        <f ca="1">TblMili[[#This Row],[Raw]]*(1+TblMili[[#This Row],[Mods_Off]])</f>
        <v>0</v>
      </c>
      <c r="S13"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3" s="247">
        <f ca="1">TblMili[[#This Row],[Non Draft]]+TblMili[[#This Row],[Draftees]]</f>
        <v>340</v>
      </c>
      <c r="U13" s="248">
        <f ca="1">race_defense + TblImps[[#This Row],[Walls]] + ROUND( MIN(gt_bonus*TblConstr[[#This Row],[Tot GT]]/TblConstr[[#This Row],[Land]],gt_bonus_cap), 4) + IF(TblMagic[[#This Row],[Active Howling]]&gt;0,howling_dp_bonus,IF(TblMagic[[#This Row],[Active Ares Call]]&gt;0,ares_call_bonus))</f>
        <v>0</v>
      </c>
      <c r="V13" s="249">
        <f ca="1">TblMili[[#This Row],[Non Draft]] * (1 + TblMili[[#This Row],[Mods_Def]])</f>
        <v>0</v>
      </c>
      <c r="W13" s="247">
        <f ca="1">TblMili[[#This Row],[Draft]] * (1 + TblMili[[#This Row],[Mods_Def]])</f>
        <v>340</v>
      </c>
      <c r="X13" s="247">
        <f ca="1">TblConstr[[#This Row],[Land]]</f>
        <v>50</v>
      </c>
      <c r="Y13" s="250"/>
      <c r="Z13" s="255">
        <f ca="1">IF(TblMili[[#This Row],[Set]]&lt;&gt;"",TblMili[[#This Row],[Set]],OFFSET(TblMili[[#This Row],[Draftrate]],-1,0))</f>
        <v>0.9</v>
      </c>
      <c r="AA13"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340</v>
      </c>
      <c r="AB13" s="154"/>
      <c r="AC13" s="180">
        <f ca="1">(TblConstr[[#This Row],[Tot Smi]]+TblConstr[[#This Row],[Dest Smi]])/(TblConstr[[#This Row],[Land]]-TblExplore[[#This Row],[Land Bonus]]*20)</f>
        <v>0</v>
      </c>
      <c r="AD13" s="137"/>
      <c r="AE13" s="246">
        <f>TblMili[[#This Row],[Hour]]</f>
        <v>10</v>
      </c>
      <c r="AF13" s="138">
        <f ca="1">TblExplore[[#This Row],[Time]]</f>
        <v>46320.374999999978</v>
      </c>
      <c r="AG13" s="179"/>
      <c r="AH13" s="179"/>
      <c r="AI13" s="179"/>
      <c r="AJ13" s="179"/>
      <c r="AK13" s="179"/>
      <c r="AL13" s="179"/>
      <c r="AM13" s="179"/>
      <c r="AN13" s="179"/>
      <c r="AO13" s="420">
        <f ca="1">ROUND(IF(AND(TblMagic[[#This Row],[Active DnD]]&lt;12,TblMagic[[#This Row],[Active DnD]]&gt;5),OFFSET(TblPop[[#This Row],[Draft Growth]],-1,0)*0.375,0),0)</f>
        <v>0</v>
      </c>
      <c r="AP13" s="142"/>
      <c r="AQ13" s="94">
        <f ca="1">TblProd[[#This Row],[Platinum]]</f>
        <v>130933</v>
      </c>
      <c r="AR13" s="94">
        <f ca="1">INDEX(TblProd[[#Headers],[Lumber]]:TblProd[[#This Row],[Ore]],COUNTA(TblProd[[#Headers],[Lumber]]:TblProd[[#This Row],[Lumber]]),MATCH(Military!$AR$2,TblProd[[#Headers],[Lumber]:[Ore]],0))</f>
        <v>0</v>
      </c>
      <c r="AS1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3" s="94">
        <f ca="1">TblMili[[#This Row],[Train Unit 1]]*TblMili[[#This Row],[OP Ore]]+TblMili[[#This Row],[Train Unit 2]]*TblMili[[#This Row],[DP Ore]]+TblMili[[#This Row],[Train Unit 3]]*TblMili[[#This Row],[E1 Ore]]+TblMili[[#This Row],[Train Unit 4]]*TblMili[[#This Row],[E2 Ore]]</f>
        <v>0</v>
      </c>
      <c r="AU13" s="142">
        <f>TblMili[[#This Row],[Hour]]</f>
        <v>10</v>
      </c>
      <c r="AV13" s="152">
        <f ca="1">TblMili[[#This Row],[Time]]</f>
        <v>46320.374999999978</v>
      </c>
      <c r="AW13" s="94">
        <f ca="1">TblMili[[#This Row],[Draftees]]</f>
        <v>340</v>
      </c>
      <c r="AX13" s="179"/>
      <c r="AY13" s="179"/>
      <c r="AZ13" s="179"/>
      <c r="BA13" s="179"/>
      <c r="BB13" s="179"/>
      <c r="BC13" s="179"/>
      <c r="BD13" s="179"/>
      <c r="BE13" s="179"/>
      <c r="BF13" s="179"/>
      <c r="BG13" s="142"/>
      <c r="BH13" s="157">
        <f ca="1">TblConstr[[#This Row],[Tot WG]]/TblConstr[[#This Row],[Land]]</f>
        <v>0</v>
      </c>
      <c r="BI13" s="157">
        <f ca="1">TblConstr[[#This Row],[Tot Hav]]/TblConstr[[#This Row],[Land]]</f>
        <v>0</v>
      </c>
      <c r="BJ13" s="94">
        <f ca="1">ROUNDUP((1-MIN(TblMili[[#This Row],[Smithies]]*smithy_bonus,smithy_bonus_cap) + tech_3_5*TblTech[[#This Row],[3-5]] + tech_5_3*TblTech[[#This Row],[5-3]] + tech_5_5*TblTech[[#This Row],[5-5]])*spec_op_plat,0)</f>
        <v>315</v>
      </c>
      <c r="BK13" s="94">
        <f ca="1">ROUNDUP(IF(race="Gnome",1,(1-MIN(TblMili[[#This Row],[Smithies]]*smithy_bonus,smithy_bonus_cap) + tech_3_5*TblTech[[#This Row],[3-5]] + tech_5_3*TblTech[[#This Row],[5-3]] + tech_5_5*TblTech[[#This Row],[5-5]]))*spec_op_ore,0)</f>
        <v>25</v>
      </c>
      <c r="BL13" s="94">
        <f ca="1">ROUNDUP((1-MIN(TblMili[[#This Row],[Smithies]]*smithy_bonus,smithy_bonus_cap) + tech_3_5*TblTech[[#This Row],[3-5]] + tech_5_3*TblTech[[#This Row],[5-3]] + tech_5_5*TblTech[[#This Row],[5-5]])*spec_dp_plat,0)</f>
        <v>275</v>
      </c>
      <c r="BM13" s="94">
        <f ca="1">ROUNDUP(IF(race="Gnome",1,(1-MIN(TblMili[[#This Row],[Smithies]]*smithy_bonus,smithy_bonus_cap) + tech_3_5*TblTech[[#This Row],[3-5]] + tech_5_3*TblTech[[#This Row],[5-3]] + tech_5_5*TblTech[[#This Row],[5-5]]))*spec_dp_ore,0)</f>
        <v>15</v>
      </c>
      <c r="BN13" s="94">
        <f ca="1">ROUNDUP((1-MIN(TblMili[[#This Row],[Smithies]]*smithy_bonus,smithy_bonus_cap) + tech_3_5*TblTech[[#This Row],[3-5]] + tech_5_3*TblTech[[#This Row],[5-3]] + tech_5_5*TblTech[[#This Row],[5-5]])*elite1_plat,0)</f>
        <v>1040</v>
      </c>
      <c r="BO13" s="94">
        <f ca="1">ROUNDUP(IF(race="Gnome",1,(1-MIN(TblMili[[#This Row],[Smithies]]*smithy_bonus,smithy_bonus_cap) + tech_3_5*TblTech[[#This Row],[3-5]] + tech_5_3*TblTech[[#This Row],[5-3]] + tech_5_5*TblTech[[#This Row],[5-5]]))*elite1_ore,0)</f>
        <v>75</v>
      </c>
      <c r="BP13" s="94">
        <f ca="1">ROUNDUP((1-MIN(TblMili[[#This Row],[Smithies]]*smithy_bonus,smithy_bonus_cap) + tech_3_5*TblTech[[#This Row],[3-5]] + tech_5_3*TblTech[[#This Row],[5-3]] + tech_5_5*TblTech[[#This Row],[5-5]])*elite2_plat,0)</f>
        <v>1280</v>
      </c>
      <c r="BQ13" s="94">
        <f ca="1">ROUNDUP(IF(race="Gnome",1,(1-MIN(TblMili[[#This Row],[Smithies]]*smithy_bonus,smithy_bonus_cap) + tech_3_5*TblTech[[#This Row],[3-5]] + tech_5_3*TblTech[[#This Row],[5-3]] + tech_5_5*TblTech[[#This Row],[5-5]]))*elite2_ore,0)</f>
        <v>100</v>
      </c>
      <c r="BR13" s="94">
        <f ca="1">ROUNDUP((1-MIN(ROUND(fh_spy_cost_red*TblMili[[#This Row],[FH''s]],4),fh_spy_cost_cap)+ tech_1_9*TblTech[[#This Row],[1-9]] + tech_9_1*TblTech[[#This Row],[9-1]])*spy_plat,0)</f>
        <v>500</v>
      </c>
      <c r="BS13" s="94">
        <f ca="1">ROUNDUP((1-MIN(ROUND(fh_spy_cost_red*TblMili[[#This Row],[FH''s]],4),fh_spy_cost_cap)+ tech_1_9*TblTech[[#This Row],[1-9]] + tech_9_1*TblTech[[#This Row],[9-1]])*archspy_plat,0)</f>
        <v>1000</v>
      </c>
      <c r="BT13" s="94">
        <f ca="1">ROUNDUP((1-MIN(ROUND(wg_wiz_cost_bonus*TblMili[[#This Row],[WG''s]],4),wg_wiz_cost_cap) + tech_1_9_2*TblTech[[#This Row],[1-9]] + tech_9_1_2*TblTech[[#This Row],[9-1]])*wizard_plat,0)</f>
        <v>500</v>
      </c>
      <c r="BU13" s="94">
        <f ca="1">ROUNDUP((1-MIN(ROUND(wg_wiz_cost_bonus*TblMili[[#This Row],[WG''s]],4),wg_wiz_cost_cap) + tech_1_9_2*TblTech[[#This Row],[1-9]] + tech_9_1_2*TblTech[[#This Row],[9-1]])*(archmage_plat + IF(TblMagic[[#This Row],[Active Arc Infusion]]&gt;0,400,0)),0)</f>
        <v>1000</v>
      </c>
      <c r="BV13" s="142"/>
      <c r="BW13" s="157">
        <f ca="1">TblConstr[[#This Row],[Homeland]]/TblConstr[[#This Row],[Land]]</f>
        <v>0.6</v>
      </c>
      <c r="BX13" s="157">
        <f ca="1">TblMili[[#This Row],[WG''s]]</f>
        <v>0</v>
      </c>
      <c r="BY13" s="251">
        <f ca="1">IF(mystic_cap="none",TblMili[[#This Row],[Homeland%]]/mystic_bonus,MIN(mystic_cap,TblMili[[#This Row],[Homeland%]]/mystic_bonus))</f>
        <v>2</v>
      </c>
      <c r="BZ13" s="251">
        <f ca="1">IF(druid_op_cap="none",TblMili[[#This Row],[Homeland%]]/druid_op_bonus,MIN(druid_op_cap,TblMili[[#This Row],[Homeland%]]/druid_op_bonus))</f>
        <v>2</v>
      </c>
      <c r="CA13" s="251">
        <f ca="1">IF(druid_dp_cap="none",TblMili[[#This Row],[Homeland%]]/druid_dp_bonus,MIN(druid_dp_cap,TblMili[[#This Row],[Homeland%]]/druid_dp_bonus))</f>
        <v>2</v>
      </c>
      <c r="CB13" s="251">
        <f ca="1">MIN(dryad_cap,TblMili[[#This Row],[Homeland%]]/dryad_bonus)</f>
        <v>2.9999999999999996</v>
      </c>
      <c r="CC13" s="251">
        <f ca="1">MIN(rocka_cap,TblMili[[#This Row],[Homeland%]]/rocka_bonus)</f>
        <v>2</v>
      </c>
      <c r="CD13" s="251">
        <f ca="1">MIN(adept_op_cap,TblMili[[#This Row],[WG]]/adept_op_bonus)</f>
        <v>0</v>
      </c>
      <c r="CE13" s="251">
        <f ca="1">MIN(adept_dp_cap,TblMili[[#This Row],[WG]]/adept_dp_bonus)</f>
        <v>0</v>
      </c>
      <c r="CF13" s="94">
        <f ca="1">MIN(TblMili[[#This Row],[Unit 3]],TblMili[[#This Row],[Unit 2]])*2</f>
        <v>0</v>
      </c>
      <c r="CG13" s="94">
        <f ca="1">MIN(TblMili[[#This Row],[Unit 1]],TblMili[[#This Row],[Unit 4]])*2</f>
        <v>0</v>
      </c>
      <c r="CH13" s="251">
        <f ca="1">MIN(frost_mage_cap,TblMili[[#This Row],[Homeland%]]/frost_mage_bonus)</f>
        <v>2.9999999999999996</v>
      </c>
      <c r="CI13" s="45">
        <f ca="1">MIN(ice_elem_cap,TblMili[[#This Row],[Raw (2)]]*ice_elem_bonus)</f>
        <v>0</v>
      </c>
      <c r="CJ13" s="251">
        <f t="shared" si="0"/>
        <v>0.83333333333333337</v>
      </c>
      <c r="CK13" s="251">
        <f ca="1">MIN(nox_nightshade_cap,TblConstr[[#This Row],[Homeland]]/TblConstr[[#This Row],[Land]]/nox_nightshade_swamp_bonus)</f>
        <v>4</v>
      </c>
      <c r="CL13" s="251">
        <f ca="1">MIN(TblConstr[[#This Row],[Total Swamp]]/TblConstr[[#This Row],[Land]]/abyss_enforce_bonus,abyss_enforcer_cap)</f>
        <v>0</v>
      </c>
      <c r="CM13" s="251">
        <f ca="1">IF(TblMagic[[#This Row],[Active Infernal Command]]&gt;0,TblMili[[#This Row],[Unit 1]]*infernal_cmd_op,0)</f>
        <v>0</v>
      </c>
      <c r="CN13" s="252" t="s">
        <v>1122</v>
      </c>
      <c r="CO13" s="252" t="b">
        <f>race=TblMili[[#This Row],[Column36]]</f>
        <v>0</v>
      </c>
      <c r="CP13" s="252"/>
      <c r="CQ13" s="251">
        <f ca="1">TblMili[[#This Row],[Mystic]]*2</f>
        <v>4</v>
      </c>
      <c r="CR13" s="251">
        <f ca="1">TblMili[[#This Row],[Druid (op)]]*2</f>
        <v>4</v>
      </c>
      <c r="CS13" s="94">
        <f ca="1">TblMili[[#This Row],[Mystic bonus]]*TblMili[[#This Row],[Unit 3]]+TblMili[[#This Row],[Druid bonus]]*TblMili[[#This Row],[Unit 4]]</f>
        <v>0</v>
      </c>
      <c r="CT13" s="155">
        <f ca="1">TblMili[[#This Row],[Dryad]]*2</f>
        <v>5.9999999999999991</v>
      </c>
      <c r="CU13" s="94">
        <f ca="1">sylvan*(TblMili[[#This Row],[Mystic bonus]]*TblMili[[#This Row],[Unit 3]])</f>
        <v>0</v>
      </c>
      <c r="CV13" s="155">
        <f ca="1">TblMili[[#This Row],[Rockapult]]*2</f>
        <v>4</v>
      </c>
      <c r="CW13" s="94">
        <f ca="1">gnome*(TblMili[[#This Row],[Rockapult bonus]]*TblMili[[#This Row],[Unit 3]])</f>
        <v>0</v>
      </c>
      <c r="CX13" s="155">
        <f ca="1">TblMili[[#This Row],[Adept-DP]]*2</f>
        <v>0</v>
      </c>
      <c r="CY13" s="94">
        <f ca="1">dark_elf*(TblMili[[#This Row],[Adept bonus]]*TblMili[[#This Row],[Unit 3]])</f>
        <v>0</v>
      </c>
      <c r="CZ13" s="155">
        <f ca="1">TblMili[[#This Row],[Frost Mage]]*2</f>
        <v>5.9999999999999991</v>
      </c>
      <c r="DA13" s="155">
        <f ca="1">TblMili[[#This Row],[Ice Elemental]]*2</f>
        <v>0</v>
      </c>
      <c r="DB13" s="94">
        <f ca="1">TblMili[[#This Row],[Frost Mage bonus]]*TblMili[[#This Row],[Unit 3]]+TblMili[[#This Row],[Ice Elemental bonus]]*TblMili[[#This Row],[Unit 4]]</f>
        <v>0</v>
      </c>
      <c r="DC13" s="253"/>
      <c r="DD13" s="143">
        <f ca="1">MIN(SUM(TblConstr[[#This Row],[Plain]:[Water]])/TblMili[[#This Row],[Land]]/favorable_terrain_bonus/100,favorable_terrain_max)</f>
        <v>0</v>
      </c>
      <c r="DE13" s="253"/>
      <c r="DF1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 s="142"/>
      <c r="DH13" s="254">
        <f ca="1">(TblMili[[#This Row],[Wizards]]+2*TblMili[[#This Row],[Archmages]])/TblConstr[[#This Row],[Land]]</f>
        <v>0</v>
      </c>
      <c r="DI13" s="254">
        <f ca="1">TblMili[[#This Row],[Raw (2)]]*(1+race_wizard_strength+IF(TblMili[[#This Row],[Hour]]&gt;72,tech_magical_weaponry_wiz*TblTech[[#This Row],[3-5]],0))</f>
        <v>0</v>
      </c>
    </row>
    <row r="14" spans="1:113" x14ac:dyDescent="0.2">
      <c r="A14" s="137">
        <f>TblRezone[[#This Row],[Hour]]</f>
        <v>11</v>
      </c>
      <c r="B14" s="246">
        <f ca="1">SUM(TblMili[[#This Row],[Unit 1]:[Archmages]])+SUM(OFFSET(TblMili[[#This Row],[Train Unit 1]],-8,0):TblMili[[#This Row],[Train Unit 2]]) + SUM(OFFSET(TblMili[[#This Row],[Train Unit 3]],-10,0):TblMili[[#This Row],[Train Unit 4]]) + TblMili[[#This Row],[Draftees]]</f>
        <v>344</v>
      </c>
      <c r="C14" s="157">
        <f ca="1">TblPop[[#This Row],[Military%]]</f>
        <v>0.44733420026007803</v>
      </c>
      <c r="D14" s="142"/>
      <c r="E14" s="45">
        <f ca="1">OFFSET(TblMili[[#This Row],[Unit 1]],-1,0) + OFFSET(TblMili[[#This Row],[Train Unit 1]],-9,0) - TblMili[[#This Row],[Release Unit 1]]</f>
        <v>0</v>
      </c>
      <c r="F14" s="45">
        <f ca="1">OFFSET(TblMili[[#This Row],[Unit 2]],-1,0) + OFFSET(TblMili[[#This Row],[Train Unit 2]],-9,0)-TblMili[[#This Row],[Release Unit 2]]</f>
        <v>0</v>
      </c>
      <c r="G14" s="45">
        <f ca="1">OFFSET(TblMili[[#This Row],[Unit 3]],-1,0)-TblMili[[#This Row],[Release Unit 3]]</f>
        <v>0</v>
      </c>
      <c r="H14" s="45">
        <f ca="1">OFFSET(TblMili[[#This Row],[Unit 4]],-1,0)-TblMili[[#This Row],[Release Unit 4]]</f>
        <v>0</v>
      </c>
      <c r="I14" s="45">
        <f ca="1">OFFSET(TblMili[[#This Row],[Spies]],-1,0)-TblMili[[#This Row],[Release Spies]]-TblMili[[#This Row],[Train AS]]</f>
        <v>0</v>
      </c>
      <c r="J14" s="45">
        <f ca="1">OFFSET(TblMili[[#This Row],[Archspies]],-1,0)-TblMili[[#This Row],[Release AS]]</f>
        <v>0</v>
      </c>
      <c r="K14" s="45">
        <f ca="1">OFFSET(TblMili[[#This Row],[Wizards]],-1,0)-TblMili[[#This Row],[Release Wizards]]-TblMili[[#This Row],[Train AM]]</f>
        <v>0</v>
      </c>
      <c r="L14" s="45">
        <f ca="1">OFFSET(TblMili[[#This Row],[Archmages]],-1,0)-TblMili[[#This Row],[Release AM]]</f>
        <v>0</v>
      </c>
      <c r="M14" s="142"/>
      <c r="N14" s="94">
        <f ca="1">TblProd[[#This Row],[Networth]]</f>
        <v>1250</v>
      </c>
      <c r="O14" s="142"/>
      <c r="P14"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4" s="247">
        <f ca="1">TblMili[[#This Row],[Raw]]*(1+TblMili[[#This Row],[Mods_Off]])</f>
        <v>0</v>
      </c>
      <c r="S14"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4" s="247">
        <f ca="1">TblMili[[#This Row],[Non Draft]]+TblMili[[#This Row],[Draftees]]</f>
        <v>344</v>
      </c>
      <c r="U14" s="248">
        <f ca="1">race_defense + TblImps[[#This Row],[Walls]] + ROUND( MIN(gt_bonus*TblConstr[[#This Row],[Tot GT]]/TblConstr[[#This Row],[Land]],gt_bonus_cap), 4) + IF(TblMagic[[#This Row],[Active Howling]]&gt;0,howling_dp_bonus,IF(TblMagic[[#This Row],[Active Ares Call]]&gt;0,ares_call_bonus))</f>
        <v>0</v>
      </c>
      <c r="V14" s="249">
        <f ca="1">TblMili[[#This Row],[Non Draft]] * (1 + TblMili[[#This Row],[Mods_Def]])</f>
        <v>0</v>
      </c>
      <c r="W14" s="247">
        <f ca="1">TblMili[[#This Row],[Draft]] * (1 + TblMili[[#This Row],[Mods_Def]])</f>
        <v>344</v>
      </c>
      <c r="X14" s="247">
        <f ca="1">TblConstr[[#This Row],[Land]]</f>
        <v>50</v>
      </c>
      <c r="Y14" s="250"/>
      <c r="Z14" s="255">
        <f ca="1">IF(TblMili[[#This Row],[Set]]&lt;&gt;"",TblMili[[#This Row],[Set]],OFFSET(TblMili[[#This Row],[Draftrate]],-1,0))</f>
        <v>0.9</v>
      </c>
      <c r="AA14"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344</v>
      </c>
      <c r="AB14" s="154"/>
      <c r="AC14" s="180">
        <f ca="1">(TblConstr[[#This Row],[Tot Smi]]+TblConstr[[#This Row],[Dest Smi]])/(TblConstr[[#This Row],[Land]]-TblExplore[[#This Row],[Land Bonus]]*20)</f>
        <v>0</v>
      </c>
      <c r="AD14" s="137"/>
      <c r="AE14" s="246">
        <f>TblMili[[#This Row],[Hour]]</f>
        <v>11</v>
      </c>
      <c r="AF14" s="138">
        <f ca="1">TblExplore[[#This Row],[Time]]</f>
        <v>46320.416666666642</v>
      </c>
      <c r="AG14" s="179"/>
      <c r="AH14" s="179"/>
      <c r="AI14" s="179"/>
      <c r="AJ14" s="179"/>
      <c r="AK14" s="179"/>
      <c r="AL14" s="179"/>
      <c r="AM14" s="179"/>
      <c r="AN14" s="179"/>
      <c r="AO14" s="420">
        <f ca="1">ROUND(IF(AND(TblMagic[[#This Row],[Active DnD]]&lt;12,TblMagic[[#This Row],[Active DnD]]&gt;5),OFFSET(TblPop[[#This Row],[Draft Growth]],-1,0)*0.375,0),0)</f>
        <v>0</v>
      </c>
      <c r="AP14" s="142"/>
      <c r="AQ14" s="94">
        <f ca="1">TblProd[[#This Row],[Platinum]]</f>
        <v>132091</v>
      </c>
      <c r="AR14" s="94">
        <f ca="1">INDEX(TblProd[[#Headers],[Lumber]]:TblProd[[#This Row],[Ore]],COUNTA(TblProd[[#Headers],[Lumber]]:TblProd[[#This Row],[Lumber]]),MATCH(Military!$AR$2,TblProd[[#Headers],[Lumber]:[Ore]],0))</f>
        <v>0</v>
      </c>
      <c r="AS1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4" s="94">
        <f ca="1">TblMili[[#This Row],[Train Unit 1]]*TblMili[[#This Row],[OP Ore]]+TblMili[[#This Row],[Train Unit 2]]*TblMili[[#This Row],[DP Ore]]+TblMili[[#This Row],[Train Unit 3]]*TblMili[[#This Row],[E1 Ore]]+TblMili[[#This Row],[Train Unit 4]]*TblMili[[#This Row],[E2 Ore]]</f>
        <v>0</v>
      </c>
      <c r="AU14" s="142">
        <f>TblMili[[#This Row],[Hour]]</f>
        <v>11</v>
      </c>
      <c r="AV14" s="152">
        <f ca="1">TblMili[[#This Row],[Time]]</f>
        <v>46320.416666666642</v>
      </c>
      <c r="AW14" s="94">
        <f ca="1">TblMili[[#This Row],[Draftees]]</f>
        <v>344</v>
      </c>
      <c r="AX14" s="179"/>
      <c r="AY14" s="179"/>
      <c r="AZ14" s="179"/>
      <c r="BA14" s="179"/>
      <c r="BB14" s="179"/>
      <c r="BC14" s="179"/>
      <c r="BD14" s="179"/>
      <c r="BE14" s="179"/>
      <c r="BF14" s="179"/>
      <c r="BG14" s="142"/>
      <c r="BH14" s="157">
        <f ca="1">TblConstr[[#This Row],[Tot WG]]/TblConstr[[#This Row],[Land]]</f>
        <v>0</v>
      </c>
      <c r="BI14" s="157">
        <f ca="1">TblConstr[[#This Row],[Tot Hav]]/TblConstr[[#This Row],[Land]]</f>
        <v>0</v>
      </c>
      <c r="BJ14" s="94">
        <f ca="1">ROUNDUP((1-MIN(TblMili[[#This Row],[Smithies]]*smithy_bonus,smithy_bonus_cap) + tech_3_5*TblTech[[#This Row],[3-5]] + tech_5_3*TblTech[[#This Row],[5-3]] + tech_5_5*TblTech[[#This Row],[5-5]])*spec_op_plat,0)</f>
        <v>315</v>
      </c>
      <c r="BK14" s="94">
        <f ca="1">ROUNDUP(IF(race="Gnome",1,(1-MIN(TblMili[[#This Row],[Smithies]]*smithy_bonus,smithy_bonus_cap) + tech_3_5*TblTech[[#This Row],[3-5]] + tech_5_3*TblTech[[#This Row],[5-3]] + tech_5_5*TblTech[[#This Row],[5-5]]))*spec_op_ore,0)</f>
        <v>25</v>
      </c>
      <c r="BL14" s="94">
        <f ca="1">ROUNDUP((1-MIN(TblMili[[#This Row],[Smithies]]*smithy_bonus,smithy_bonus_cap) + tech_3_5*TblTech[[#This Row],[3-5]] + tech_5_3*TblTech[[#This Row],[5-3]] + tech_5_5*TblTech[[#This Row],[5-5]])*spec_dp_plat,0)</f>
        <v>275</v>
      </c>
      <c r="BM14" s="94">
        <f ca="1">ROUNDUP(IF(race="Gnome",1,(1-MIN(TblMili[[#This Row],[Smithies]]*smithy_bonus,smithy_bonus_cap) + tech_3_5*TblTech[[#This Row],[3-5]] + tech_5_3*TblTech[[#This Row],[5-3]] + tech_5_5*TblTech[[#This Row],[5-5]]))*spec_dp_ore,0)</f>
        <v>15</v>
      </c>
      <c r="BN14" s="94">
        <f ca="1">ROUNDUP((1-MIN(TblMili[[#This Row],[Smithies]]*smithy_bonus,smithy_bonus_cap) + tech_3_5*TblTech[[#This Row],[3-5]] + tech_5_3*TblTech[[#This Row],[5-3]] + tech_5_5*TblTech[[#This Row],[5-5]])*elite1_plat,0)</f>
        <v>1040</v>
      </c>
      <c r="BO14" s="94">
        <f ca="1">ROUNDUP(IF(race="Gnome",1,(1-MIN(TblMili[[#This Row],[Smithies]]*smithy_bonus,smithy_bonus_cap) + tech_3_5*TblTech[[#This Row],[3-5]] + tech_5_3*TblTech[[#This Row],[5-3]] + tech_5_5*TblTech[[#This Row],[5-5]]))*elite1_ore,0)</f>
        <v>75</v>
      </c>
      <c r="BP14" s="94">
        <f ca="1">ROUNDUP((1-MIN(TblMili[[#This Row],[Smithies]]*smithy_bonus,smithy_bonus_cap) + tech_3_5*TblTech[[#This Row],[3-5]] + tech_5_3*TblTech[[#This Row],[5-3]] + tech_5_5*TblTech[[#This Row],[5-5]])*elite2_plat,0)</f>
        <v>1280</v>
      </c>
      <c r="BQ14" s="94">
        <f ca="1">ROUNDUP(IF(race="Gnome",1,(1-MIN(TblMili[[#This Row],[Smithies]]*smithy_bonus,smithy_bonus_cap) + tech_3_5*TblTech[[#This Row],[3-5]] + tech_5_3*TblTech[[#This Row],[5-3]] + tech_5_5*TblTech[[#This Row],[5-5]]))*elite2_ore,0)</f>
        <v>100</v>
      </c>
      <c r="BR14" s="94">
        <f ca="1">ROUNDUP((1-MIN(ROUND(fh_spy_cost_red*TblMili[[#This Row],[FH''s]],4),fh_spy_cost_cap)+ tech_1_9*TblTech[[#This Row],[1-9]] + tech_9_1*TblTech[[#This Row],[9-1]])*spy_plat,0)</f>
        <v>500</v>
      </c>
      <c r="BS14" s="94">
        <f ca="1">ROUNDUP((1-MIN(ROUND(fh_spy_cost_red*TblMili[[#This Row],[FH''s]],4),fh_spy_cost_cap)+ tech_1_9*TblTech[[#This Row],[1-9]] + tech_9_1*TblTech[[#This Row],[9-1]])*archspy_plat,0)</f>
        <v>1000</v>
      </c>
      <c r="BT14" s="94">
        <f ca="1">ROUNDUP((1-MIN(ROUND(wg_wiz_cost_bonus*TblMili[[#This Row],[WG''s]],4),wg_wiz_cost_cap) + tech_1_9_2*TblTech[[#This Row],[1-9]] + tech_9_1_2*TblTech[[#This Row],[9-1]])*wizard_plat,0)</f>
        <v>500</v>
      </c>
      <c r="BU14" s="94">
        <f ca="1">ROUNDUP((1-MIN(ROUND(wg_wiz_cost_bonus*TblMili[[#This Row],[WG''s]],4),wg_wiz_cost_cap) + tech_1_9_2*TblTech[[#This Row],[1-9]] + tech_9_1_2*TblTech[[#This Row],[9-1]])*(archmage_plat + IF(TblMagic[[#This Row],[Active Arc Infusion]]&gt;0,400,0)),0)</f>
        <v>1000</v>
      </c>
      <c r="BV14" s="142"/>
      <c r="BW14" s="157">
        <f ca="1">TblConstr[[#This Row],[Homeland]]/TblConstr[[#This Row],[Land]]</f>
        <v>0.6</v>
      </c>
      <c r="BX14" s="157">
        <f ca="1">TblMili[[#This Row],[WG''s]]</f>
        <v>0</v>
      </c>
      <c r="BY14" s="251">
        <f ca="1">IF(mystic_cap="none",TblMili[[#This Row],[Homeland%]]/mystic_bonus,MIN(mystic_cap,TblMili[[#This Row],[Homeland%]]/mystic_bonus))</f>
        <v>2</v>
      </c>
      <c r="BZ14" s="251">
        <f ca="1">IF(druid_op_cap="none",TblMili[[#This Row],[Homeland%]]/druid_op_bonus,MIN(druid_op_cap,TblMili[[#This Row],[Homeland%]]/druid_op_bonus))</f>
        <v>2</v>
      </c>
      <c r="CA14" s="251">
        <f ca="1">IF(druid_dp_cap="none",TblMili[[#This Row],[Homeland%]]/druid_dp_bonus,MIN(druid_dp_cap,TblMili[[#This Row],[Homeland%]]/druid_dp_bonus))</f>
        <v>2</v>
      </c>
      <c r="CB14" s="251">
        <f ca="1">MIN(dryad_cap,TblMili[[#This Row],[Homeland%]]/dryad_bonus)</f>
        <v>2.9999999999999996</v>
      </c>
      <c r="CC14" s="251">
        <f ca="1">MIN(rocka_cap,TblMili[[#This Row],[Homeland%]]/rocka_bonus)</f>
        <v>2</v>
      </c>
      <c r="CD14" s="251">
        <f ca="1">MIN(adept_op_cap,TblMili[[#This Row],[WG]]/adept_op_bonus)</f>
        <v>0</v>
      </c>
      <c r="CE14" s="251">
        <f ca="1">MIN(adept_dp_cap,TblMili[[#This Row],[WG]]/adept_dp_bonus)</f>
        <v>0</v>
      </c>
      <c r="CF14" s="94">
        <f ca="1">MIN(TblMili[[#This Row],[Unit 3]],TblMili[[#This Row],[Unit 2]])*2</f>
        <v>0</v>
      </c>
      <c r="CG14" s="94">
        <f ca="1">MIN(TblMili[[#This Row],[Unit 1]],TblMili[[#This Row],[Unit 4]])*2</f>
        <v>0</v>
      </c>
      <c r="CH14" s="251">
        <f ca="1">MIN(frost_mage_cap,TblMili[[#This Row],[Homeland%]]/frost_mage_bonus)</f>
        <v>2.9999999999999996</v>
      </c>
      <c r="CI14" s="45">
        <f ca="1">MIN(ice_elem_cap,TblMili[[#This Row],[Raw (2)]]*ice_elem_bonus)</f>
        <v>0</v>
      </c>
      <c r="CJ14" s="251">
        <f t="shared" si="0"/>
        <v>0.83333333333333337</v>
      </c>
      <c r="CK14" s="251">
        <f ca="1">MIN(nox_nightshade_cap,TblConstr[[#This Row],[Homeland]]/TblConstr[[#This Row],[Land]]/nox_nightshade_swamp_bonus)</f>
        <v>4</v>
      </c>
      <c r="CL14" s="251">
        <f ca="1">MIN(TblConstr[[#This Row],[Total Swamp]]/TblConstr[[#This Row],[Land]]/abyss_enforce_bonus,abyss_enforcer_cap)</f>
        <v>0</v>
      </c>
      <c r="CM14" s="251">
        <f ca="1">IF(TblMagic[[#This Row],[Active Infernal Command]]&gt;0,TblMili[[#This Row],[Unit 1]]*infernal_cmd_op,0)</f>
        <v>0</v>
      </c>
      <c r="CN14" s="252"/>
      <c r="CO14" s="252"/>
      <c r="CP14" s="252"/>
      <c r="CQ14" s="251">
        <f ca="1">TblMili[[#This Row],[Mystic]]*2</f>
        <v>4</v>
      </c>
      <c r="CR14" s="251">
        <f ca="1">TblMili[[#This Row],[Druid (op)]]*2</f>
        <v>4</v>
      </c>
      <c r="CS14" s="94">
        <f ca="1">TblMili[[#This Row],[Mystic bonus]]*TblMili[[#This Row],[Unit 3]]+TblMili[[#This Row],[Druid bonus]]*TblMili[[#This Row],[Unit 4]]</f>
        <v>0</v>
      </c>
      <c r="CT14" s="155">
        <f ca="1">TblMili[[#This Row],[Dryad]]*2</f>
        <v>5.9999999999999991</v>
      </c>
      <c r="CU14" s="94">
        <f ca="1">sylvan*(TblMili[[#This Row],[Mystic bonus]]*TblMili[[#This Row],[Unit 3]])</f>
        <v>0</v>
      </c>
      <c r="CV14" s="155">
        <f ca="1">TblMili[[#This Row],[Rockapult]]*2</f>
        <v>4</v>
      </c>
      <c r="CW14" s="94">
        <f ca="1">gnome*(TblMili[[#This Row],[Rockapult bonus]]*TblMili[[#This Row],[Unit 3]])</f>
        <v>0</v>
      </c>
      <c r="CX14" s="155">
        <f ca="1">TblMili[[#This Row],[Adept-DP]]*2</f>
        <v>0</v>
      </c>
      <c r="CY14" s="94">
        <f ca="1">dark_elf*(TblMili[[#This Row],[Adept bonus]]*TblMili[[#This Row],[Unit 3]])</f>
        <v>0</v>
      </c>
      <c r="CZ14" s="155">
        <f ca="1">TblMili[[#This Row],[Frost Mage]]*2</f>
        <v>5.9999999999999991</v>
      </c>
      <c r="DA14" s="155">
        <f ca="1">TblMili[[#This Row],[Ice Elemental]]*2</f>
        <v>0</v>
      </c>
      <c r="DB14" s="94">
        <f ca="1">TblMili[[#This Row],[Frost Mage bonus]]*TblMili[[#This Row],[Unit 3]]+TblMili[[#This Row],[Ice Elemental bonus]]*TblMili[[#This Row],[Unit 4]]</f>
        <v>0</v>
      </c>
      <c r="DC14" s="253"/>
      <c r="DD14" s="143">
        <f ca="1">MIN(SUM(TblConstr[[#This Row],[Plain]:[Water]])/TblMili[[#This Row],[Land]]/favorable_terrain_bonus/100,favorable_terrain_max)</f>
        <v>0</v>
      </c>
      <c r="DE14" s="253"/>
      <c r="DF1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4" s="142"/>
      <c r="DH14" s="254">
        <f ca="1">(TblMili[[#This Row],[Wizards]]+2*TblMili[[#This Row],[Archmages]])/TblConstr[[#This Row],[Land]]</f>
        <v>0</v>
      </c>
      <c r="DI14" s="254">
        <f ca="1">TblMili[[#This Row],[Raw (2)]]*(1+race_wizard_strength+IF(TblMili[[#This Row],[Hour]]&gt;72,tech_magical_weaponry_wiz*TblTech[[#This Row],[3-5]],0))</f>
        <v>0</v>
      </c>
    </row>
    <row r="15" spans="1:113" x14ac:dyDescent="0.2">
      <c r="A15" s="137">
        <f>TblRezone[[#This Row],[Hour]]</f>
        <v>12</v>
      </c>
      <c r="B15" s="246">
        <f ca="1">SUM(TblMili[[#This Row],[Unit 1]:[Archmages]])+SUM(OFFSET(TblMili[[#This Row],[Train Unit 1]],-8,0):TblMili[[#This Row],[Train Unit 2]]) + SUM(OFFSET(TblMili[[#This Row],[Train Unit 3]],-11,0):TblMili[[#This Row],[Train Unit 4]]) + TblMili[[#This Row],[Draftees]]</f>
        <v>348</v>
      </c>
      <c r="C15" s="157">
        <f ca="1">TblPop[[#This Row],[Military%]]</f>
        <v>0.45253576072821844</v>
      </c>
      <c r="D15" s="142"/>
      <c r="E15" s="45">
        <f ca="1">OFFSET(TblMili[[#This Row],[Unit 1]],-1,0) + OFFSET(TblMili[[#This Row],[Train Unit 1]],-9,0) - TblMili[[#This Row],[Release Unit 1]]</f>
        <v>0</v>
      </c>
      <c r="F15" s="45">
        <f ca="1">OFFSET(TblMili[[#This Row],[Unit 2]],-1,0) + OFFSET(TblMili[[#This Row],[Train Unit 2]],-9,0)-TblMili[[#This Row],[Release Unit 2]]</f>
        <v>0</v>
      </c>
      <c r="G15" s="45">
        <f ca="1">OFFSET(TblMili[[#This Row],[Unit 3]],-1,0)-TblMili[[#This Row],[Release Unit 3]]</f>
        <v>0</v>
      </c>
      <c r="H15" s="45">
        <f ca="1">OFFSET(TblMili[[#This Row],[Unit 4]],-1,0)-TblMili[[#This Row],[Release Unit 4]]</f>
        <v>0</v>
      </c>
      <c r="I15" s="45">
        <f ca="1">OFFSET(TblMili[[#This Row],[Spies]],-1,0)-TblMili[[#This Row],[Release Spies]]-TblMili[[#This Row],[Train AS]]</f>
        <v>0</v>
      </c>
      <c r="J15" s="45">
        <f ca="1">OFFSET(TblMili[[#This Row],[Archspies]],-1,0)-TblMili[[#This Row],[Release AS]]</f>
        <v>0</v>
      </c>
      <c r="K15" s="45">
        <f ca="1">OFFSET(TblMili[[#This Row],[Wizards]],-1,0)-TblMili[[#This Row],[Release Wizards]]-TblMili[[#This Row],[Train AM]]</f>
        <v>0</v>
      </c>
      <c r="L15" s="45">
        <f ca="1">OFFSET(TblMili[[#This Row],[Archmages]],-1,0)-TblMili[[#This Row],[Release AM]]</f>
        <v>0</v>
      </c>
      <c r="M15" s="142"/>
      <c r="N15" s="94">
        <f ca="1">TblProd[[#This Row],[Networth]]</f>
        <v>1250</v>
      </c>
      <c r="O15" s="142"/>
      <c r="P15"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5" s="247">
        <f ca="1">TblMili[[#This Row],[Raw]]*(1+TblMili[[#This Row],[Mods_Off]])</f>
        <v>0</v>
      </c>
      <c r="S15"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5" s="247">
        <f ca="1">TblMili[[#This Row],[Non Draft]]+TblMili[[#This Row],[Draftees]]</f>
        <v>348</v>
      </c>
      <c r="U15" s="248">
        <f ca="1">race_defense + TblImps[[#This Row],[Walls]] + ROUND( MIN(gt_bonus*TblConstr[[#This Row],[Tot GT]]/TblConstr[[#This Row],[Land]],gt_bonus_cap), 4) + IF(TblMagic[[#This Row],[Active Howling]]&gt;0,howling_dp_bonus,IF(TblMagic[[#This Row],[Active Ares Call]]&gt;0,ares_call_bonus))</f>
        <v>0</v>
      </c>
      <c r="V15" s="249">
        <f ca="1">TblMili[[#This Row],[Non Draft]] * (1 + TblMili[[#This Row],[Mods_Def]])</f>
        <v>0</v>
      </c>
      <c r="W15" s="247">
        <f ca="1">TblMili[[#This Row],[Draft]] * (1 + TblMili[[#This Row],[Mods_Def]])</f>
        <v>348</v>
      </c>
      <c r="X15" s="247">
        <f ca="1">TblConstr[[#This Row],[Land]]</f>
        <v>50</v>
      </c>
      <c r="Y15" s="250"/>
      <c r="Z15" s="255">
        <f ca="1">IF(TblMili[[#This Row],[Set]]&lt;&gt;"",TblMili[[#This Row],[Set]],OFFSET(TblMili[[#This Row],[Draftrate]],-1,0))</f>
        <v>0.9</v>
      </c>
      <c r="AA15"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348</v>
      </c>
      <c r="AB15" s="154"/>
      <c r="AC15" s="180">
        <f ca="1">(TblConstr[[#This Row],[Tot Smi]]+TblConstr[[#This Row],[Dest Smi]])/(TblConstr[[#This Row],[Land]]-TblExplore[[#This Row],[Land Bonus]]*20)</f>
        <v>0</v>
      </c>
      <c r="AD15" s="137"/>
      <c r="AE15" s="246">
        <f>TblMili[[#This Row],[Hour]]</f>
        <v>12</v>
      </c>
      <c r="AF15" s="138">
        <f ca="1">TblExplore[[#This Row],[Time]]</f>
        <v>46320.458333333307</v>
      </c>
      <c r="AG15" s="179"/>
      <c r="AH15" s="179"/>
      <c r="AI15" s="179"/>
      <c r="AJ15" s="179"/>
      <c r="AK15" s="179"/>
      <c r="AL15" s="179"/>
      <c r="AM15" s="179"/>
      <c r="AN15" s="179"/>
      <c r="AO15" s="420">
        <f ca="1">ROUND(IF(AND(TblMagic[[#This Row],[Active DnD]]&lt;12,TblMagic[[#This Row],[Active DnD]]&gt;5),OFFSET(TblPop[[#This Row],[Draft Growth]],-1,0)*0.375,0),0)</f>
        <v>0</v>
      </c>
      <c r="AP15" s="142"/>
      <c r="AQ15" s="94">
        <f ca="1">TblProd[[#This Row],[Platinum]]</f>
        <v>133238</v>
      </c>
      <c r="AR15" s="94">
        <f ca="1">INDEX(TblProd[[#Headers],[Lumber]]:TblProd[[#This Row],[Ore]],COUNTA(TblProd[[#Headers],[Lumber]]:TblProd[[#This Row],[Lumber]]),MATCH(Military!$AR$2,TblProd[[#Headers],[Lumber]:[Ore]],0))</f>
        <v>0</v>
      </c>
      <c r="AS1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5" s="94">
        <f ca="1">TblMili[[#This Row],[Train Unit 1]]*TblMili[[#This Row],[OP Ore]]+TblMili[[#This Row],[Train Unit 2]]*TblMili[[#This Row],[DP Ore]]+TblMili[[#This Row],[Train Unit 3]]*TblMili[[#This Row],[E1 Ore]]+TblMili[[#This Row],[Train Unit 4]]*TblMili[[#This Row],[E2 Ore]]</f>
        <v>0</v>
      </c>
      <c r="AU15" s="142">
        <f>TblMili[[#This Row],[Hour]]</f>
        <v>12</v>
      </c>
      <c r="AV15" s="152">
        <f ca="1">TblMili[[#This Row],[Time]]</f>
        <v>46320.458333333307</v>
      </c>
      <c r="AW15" s="94">
        <f ca="1">TblMili[[#This Row],[Draftees]]</f>
        <v>348</v>
      </c>
      <c r="AX15" s="179"/>
      <c r="AY15" s="179"/>
      <c r="AZ15" s="179"/>
      <c r="BA15" s="179"/>
      <c r="BB15" s="179"/>
      <c r="BC15" s="179"/>
      <c r="BD15" s="179"/>
      <c r="BE15" s="179"/>
      <c r="BF15" s="179"/>
      <c r="BG15" s="142"/>
      <c r="BH15" s="157">
        <f ca="1">TblConstr[[#This Row],[Tot WG]]/TblConstr[[#This Row],[Land]]</f>
        <v>0</v>
      </c>
      <c r="BI15" s="157">
        <f ca="1">TblConstr[[#This Row],[Tot Hav]]/TblConstr[[#This Row],[Land]]</f>
        <v>0</v>
      </c>
      <c r="BJ15" s="94">
        <f ca="1">ROUNDUP((1-MIN(TblMili[[#This Row],[Smithies]]*smithy_bonus,smithy_bonus_cap) + tech_3_5*TblTech[[#This Row],[3-5]] + tech_5_3*TblTech[[#This Row],[5-3]] + tech_5_5*TblTech[[#This Row],[5-5]])*spec_op_plat,0)</f>
        <v>315</v>
      </c>
      <c r="BK15" s="94">
        <f ca="1">ROUNDUP(IF(race="Gnome",1,(1-MIN(TblMili[[#This Row],[Smithies]]*smithy_bonus,smithy_bonus_cap) + tech_3_5*TblTech[[#This Row],[3-5]] + tech_5_3*TblTech[[#This Row],[5-3]] + tech_5_5*TblTech[[#This Row],[5-5]]))*spec_op_ore,0)</f>
        <v>25</v>
      </c>
      <c r="BL15" s="94">
        <f ca="1">ROUNDUP((1-MIN(TblMili[[#This Row],[Smithies]]*smithy_bonus,smithy_bonus_cap) + tech_3_5*TblTech[[#This Row],[3-5]] + tech_5_3*TblTech[[#This Row],[5-3]] + tech_5_5*TblTech[[#This Row],[5-5]])*spec_dp_plat,0)</f>
        <v>275</v>
      </c>
      <c r="BM15" s="94">
        <f ca="1">ROUNDUP(IF(race="Gnome",1,(1-MIN(TblMili[[#This Row],[Smithies]]*smithy_bonus,smithy_bonus_cap) + tech_3_5*TblTech[[#This Row],[3-5]] + tech_5_3*TblTech[[#This Row],[5-3]] + tech_5_5*TblTech[[#This Row],[5-5]]))*spec_dp_ore,0)</f>
        <v>15</v>
      </c>
      <c r="BN15" s="94">
        <f ca="1">ROUNDUP((1-MIN(TblMili[[#This Row],[Smithies]]*smithy_bonus,smithy_bonus_cap) + tech_3_5*TblTech[[#This Row],[3-5]] + tech_5_3*TblTech[[#This Row],[5-3]] + tech_5_5*TblTech[[#This Row],[5-5]])*elite1_plat,0)</f>
        <v>1040</v>
      </c>
      <c r="BO15" s="94">
        <f ca="1">ROUNDUP(IF(race="Gnome",1,(1-MIN(TblMili[[#This Row],[Smithies]]*smithy_bonus,smithy_bonus_cap) + tech_3_5*TblTech[[#This Row],[3-5]] + tech_5_3*TblTech[[#This Row],[5-3]] + tech_5_5*TblTech[[#This Row],[5-5]]))*elite1_ore,0)</f>
        <v>75</v>
      </c>
      <c r="BP15" s="94">
        <f ca="1">ROUNDUP((1-MIN(TblMili[[#This Row],[Smithies]]*smithy_bonus,smithy_bonus_cap) + tech_3_5*TblTech[[#This Row],[3-5]] + tech_5_3*TblTech[[#This Row],[5-3]] + tech_5_5*TblTech[[#This Row],[5-5]])*elite2_plat,0)</f>
        <v>1280</v>
      </c>
      <c r="BQ15" s="94">
        <f ca="1">ROUNDUP(IF(race="Gnome",1,(1-MIN(TblMili[[#This Row],[Smithies]]*smithy_bonus,smithy_bonus_cap) + tech_3_5*TblTech[[#This Row],[3-5]] + tech_5_3*TblTech[[#This Row],[5-3]] + tech_5_5*TblTech[[#This Row],[5-5]]))*elite2_ore,0)</f>
        <v>100</v>
      </c>
      <c r="BR15" s="94">
        <f ca="1">ROUNDUP((1-MIN(ROUND(fh_spy_cost_red*TblMili[[#This Row],[FH''s]],4),fh_spy_cost_cap)+ tech_1_9*TblTech[[#This Row],[1-9]] + tech_9_1*TblTech[[#This Row],[9-1]])*spy_plat,0)</f>
        <v>500</v>
      </c>
      <c r="BS15" s="94">
        <f ca="1">ROUNDUP((1-MIN(ROUND(fh_spy_cost_red*TblMili[[#This Row],[FH''s]],4),fh_spy_cost_cap)+ tech_1_9*TblTech[[#This Row],[1-9]] + tech_9_1*TblTech[[#This Row],[9-1]])*archspy_plat,0)</f>
        <v>1000</v>
      </c>
      <c r="BT15" s="94">
        <f ca="1">ROUNDUP((1-MIN(ROUND(wg_wiz_cost_bonus*TblMili[[#This Row],[WG''s]],4),wg_wiz_cost_cap) + tech_1_9_2*TblTech[[#This Row],[1-9]] + tech_9_1_2*TblTech[[#This Row],[9-1]])*wizard_plat,0)</f>
        <v>500</v>
      </c>
      <c r="BU15" s="94">
        <f ca="1">ROUNDUP((1-MIN(ROUND(wg_wiz_cost_bonus*TblMili[[#This Row],[WG''s]],4),wg_wiz_cost_cap) + tech_1_9_2*TblTech[[#This Row],[1-9]] + tech_9_1_2*TblTech[[#This Row],[9-1]])*(archmage_plat + IF(TblMagic[[#This Row],[Active Arc Infusion]]&gt;0,400,0)),0)</f>
        <v>1000</v>
      </c>
      <c r="BV15" s="142"/>
      <c r="BW15" s="157">
        <f ca="1">TblConstr[[#This Row],[Homeland]]/TblConstr[[#This Row],[Land]]</f>
        <v>0.6</v>
      </c>
      <c r="BX15" s="157">
        <f ca="1">TblMili[[#This Row],[WG''s]]</f>
        <v>0</v>
      </c>
      <c r="BY15" s="251">
        <f ca="1">IF(mystic_cap="none",TblMili[[#This Row],[Homeland%]]/mystic_bonus,MIN(mystic_cap,TblMili[[#This Row],[Homeland%]]/mystic_bonus))</f>
        <v>2</v>
      </c>
      <c r="BZ15" s="251">
        <f ca="1">IF(druid_op_cap="none",TblMili[[#This Row],[Homeland%]]/druid_op_bonus,MIN(druid_op_cap,TblMili[[#This Row],[Homeland%]]/druid_op_bonus))</f>
        <v>2</v>
      </c>
      <c r="CA15" s="251">
        <f ca="1">IF(druid_dp_cap="none",TblMili[[#This Row],[Homeland%]]/druid_dp_bonus,MIN(druid_dp_cap,TblMili[[#This Row],[Homeland%]]/druid_dp_bonus))</f>
        <v>2</v>
      </c>
      <c r="CB15" s="251">
        <f ca="1">MIN(dryad_cap,TblMili[[#This Row],[Homeland%]]/dryad_bonus)</f>
        <v>2.9999999999999996</v>
      </c>
      <c r="CC15" s="251">
        <f ca="1">MIN(rocka_cap,TblMili[[#This Row],[Homeland%]]/rocka_bonus)</f>
        <v>2</v>
      </c>
      <c r="CD15" s="251">
        <f ca="1">MIN(adept_op_cap,TblMili[[#This Row],[WG]]/adept_op_bonus)</f>
        <v>0</v>
      </c>
      <c r="CE15" s="251">
        <f ca="1">MIN(adept_dp_cap,TblMili[[#This Row],[WG]]/adept_dp_bonus)</f>
        <v>0</v>
      </c>
      <c r="CF15" s="94">
        <f ca="1">MIN(TblMili[[#This Row],[Unit 3]],TblMili[[#This Row],[Unit 2]])*2</f>
        <v>0</v>
      </c>
      <c r="CG15" s="94">
        <f ca="1">MIN(TblMili[[#This Row],[Unit 1]],TblMili[[#This Row],[Unit 4]])*2</f>
        <v>0</v>
      </c>
      <c r="CH15" s="251">
        <f ca="1">MIN(frost_mage_cap,TblMili[[#This Row],[Homeland%]]/frost_mage_bonus)</f>
        <v>2.9999999999999996</v>
      </c>
      <c r="CI15" s="45">
        <f ca="1">MIN(ice_elem_cap,TblMili[[#This Row],[Raw (2)]]*ice_elem_bonus)</f>
        <v>0</v>
      </c>
      <c r="CJ15" s="251">
        <f t="shared" si="0"/>
        <v>0.83333333333333337</v>
      </c>
      <c r="CK15" s="251">
        <f ca="1">MIN(nox_nightshade_cap,TblConstr[[#This Row],[Homeland]]/TblConstr[[#This Row],[Land]]/nox_nightshade_swamp_bonus)</f>
        <v>4</v>
      </c>
      <c r="CL15" s="251">
        <f ca="1">MIN(TblConstr[[#This Row],[Total Swamp]]/TblConstr[[#This Row],[Land]]/abyss_enforce_bonus,abyss_enforcer_cap)</f>
        <v>0</v>
      </c>
      <c r="CM15" s="251">
        <f ca="1">IF(TblMagic[[#This Row],[Active Infernal Command]]&gt;0,TblMili[[#This Row],[Unit 1]]*infernal_cmd_op,0)</f>
        <v>0</v>
      </c>
      <c r="CN15" s="252"/>
      <c r="CO15" s="252"/>
      <c r="CP15" s="252"/>
      <c r="CQ15" s="251">
        <f ca="1">TblMili[[#This Row],[Mystic]]*2</f>
        <v>4</v>
      </c>
      <c r="CR15" s="251">
        <f ca="1">TblMili[[#This Row],[Druid (op)]]*2</f>
        <v>4</v>
      </c>
      <c r="CS15" s="94">
        <f ca="1">TblMili[[#This Row],[Mystic bonus]]*TblMili[[#This Row],[Unit 3]]+TblMili[[#This Row],[Druid bonus]]*TblMili[[#This Row],[Unit 4]]</f>
        <v>0</v>
      </c>
      <c r="CT15" s="155">
        <f ca="1">TblMili[[#This Row],[Dryad]]*2</f>
        <v>5.9999999999999991</v>
      </c>
      <c r="CU15" s="94">
        <f ca="1">sylvan*(TblMili[[#This Row],[Mystic bonus]]*TblMili[[#This Row],[Unit 3]])</f>
        <v>0</v>
      </c>
      <c r="CV15" s="155">
        <f ca="1">TblMili[[#This Row],[Rockapult]]*2</f>
        <v>4</v>
      </c>
      <c r="CW15" s="94">
        <f ca="1">gnome*(TblMili[[#This Row],[Rockapult bonus]]*TblMili[[#This Row],[Unit 3]])</f>
        <v>0</v>
      </c>
      <c r="CX15" s="155">
        <f ca="1">TblMili[[#This Row],[Adept-DP]]*2</f>
        <v>0</v>
      </c>
      <c r="CY15" s="94">
        <f ca="1">dark_elf*(TblMili[[#This Row],[Adept bonus]]*TblMili[[#This Row],[Unit 3]])</f>
        <v>0</v>
      </c>
      <c r="CZ15" s="155">
        <f ca="1">TblMili[[#This Row],[Frost Mage]]*2</f>
        <v>5.9999999999999991</v>
      </c>
      <c r="DA15" s="155">
        <f ca="1">TblMili[[#This Row],[Ice Elemental]]*2</f>
        <v>0</v>
      </c>
      <c r="DB15" s="94">
        <f ca="1">TblMili[[#This Row],[Frost Mage bonus]]*TblMili[[#This Row],[Unit 3]]+TblMili[[#This Row],[Ice Elemental bonus]]*TblMili[[#This Row],[Unit 4]]</f>
        <v>0</v>
      </c>
      <c r="DC15" s="253"/>
      <c r="DD15" s="143">
        <f ca="1">MIN(SUM(TblConstr[[#This Row],[Plain]:[Water]])/TblMili[[#This Row],[Land]]/favorable_terrain_bonus/100,favorable_terrain_max)</f>
        <v>0</v>
      </c>
      <c r="DE15" s="253"/>
      <c r="DF1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5" s="142"/>
      <c r="DH15" s="254">
        <f ca="1">(TblMili[[#This Row],[Wizards]]+2*TblMili[[#This Row],[Archmages]])/TblConstr[[#This Row],[Land]]</f>
        <v>0</v>
      </c>
      <c r="DI15" s="254">
        <f ca="1">TblMili[[#This Row],[Raw (2)]]*(1+race_wizard_strength+IF(TblMili[[#This Row],[Hour]]&gt;72,tech_magical_weaponry_wiz*TblTech[[#This Row],[3-5]],0))</f>
        <v>0</v>
      </c>
    </row>
    <row r="16" spans="1:113" x14ac:dyDescent="0.2">
      <c r="A16" s="137">
        <f>TblRezone[[#This Row],[Hour]]</f>
        <v>13</v>
      </c>
      <c r="B16" s="246">
        <f ca="1">SUM(TblMili[[#This Row],[Unit 1]:[Archmages]])+SUM(OFFSET(TblMili[[#This Row],[Train Unit 1]],-8,0):TblMili[[#This Row],[Train Unit 2]]) + SUM(OFFSET(TblMili[[#This Row],[Train Unit 3]],-11,0):TblMili[[#This Row],[Train AM]]) + TblMili[[#This Row],[Draftees]]</f>
        <v>352</v>
      </c>
      <c r="C16" s="157">
        <f ca="1">TblPop[[#This Row],[Military%]]</f>
        <v>0.4577373211963589</v>
      </c>
      <c r="D16" s="142"/>
      <c r="E16" s="45">
        <f ca="1">OFFSET(TblMili[[#This Row],[Unit 1]],-1,0) + OFFSET(TblMili[[#This Row],[Train Unit 1]],-9,0) - TblMili[[#This Row],[Release Unit 1]] + OFFSET(TblMili[[#This Row],[DnD_Zombies]],-12,0)</f>
        <v>0</v>
      </c>
      <c r="F16" s="45">
        <f ca="1">OFFSET(TblMili[[#This Row],[Unit 2]],-1,0) + OFFSET(TblMili[[#This Row],[Train Unit 2]],-9,0)-TblMili[[#This Row],[Release Unit 2]]</f>
        <v>0</v>
      </c>
      <c r="G16" s="45">
        <f ca="1">OFFSET(TblMili[[#This Row],[Unit 3]],-1,0) + OFFSET(TblMili[[#This Row],[Train Unit 3]],-12,0)-TblMili[[#This Row],[Release Unit 3]]</f>
        <v>0</v>
      </c>
      <c r="H16" s="45">
        <f ca="1">OFFSET(TblMili[[#This Row],[Unit 4]],-1,0) + OFFSET(TblMili[[#This Row],[Train Unit 4]],-12,0)-TblMili[[#This Row],[Release Unit 4]]</f>
        <v>0</v>
      </c>
      <c r="I16" s="45">
        <f ca="1">OFFSET(TblMili[[#This Row],[Spies]],-1,0) + OFFSET(TblMili[[#This Row],[Train Spies]],-12,0) - TblMili[[#This Row],[Release Spies]]-TblMili[[#This Row],[Train AS]]</f>
        <v>0</v>
      </c>
      <c r="J16" s="45">
        <f ca="1">OFFSET(TblMili[[#This Row],[Archspies]],-1,0) + OFFSET(TblMili[[#This Row],[Train AS]],-12,0) - TblMili[[#This Row],[Release AS]]</f>
        <v>0</v>
      </c>
      <c r="K16" s="45">
        <f ca="1">OFFSET(TblMili[[#This Row],[Wizards]],-1,0) + OFFSET(TblMili[[#This Row],[Train Wiz]],-12,0) - TblMili[[#This Row],[Release Wizards]]-TblMili[[#This Row],[Train AM]] + IF(TblMagic[[#This Row],[Active Arc Infusion]]&gt;0,TblMili[[#This Row],[Train AM]])</f>
        <v>0</v>
      </c>
      <c r="L16" s="45">
        <f ca="1">OFFSET(TblMili[[#This Row],[Archmages]],-1,0) + OFFSET(TblMili[[#This Row],[Train AM]],-12,0) - TblMili[[#This Row],[Release AM]]</f>
        <v>0</v>
      </c>
      <c r="M16" s="142"/>
      <c r="N16" s="94">
        <f ca="1">TblProd[[#This Row],[Networth]]</f>
        <v>1250</v>
      </c>
      <c r="O16" s="142"/>
      <c r="P16"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6" s="247">
        <f ca="1">TblMili[[#This Row],[Raw]]*(1+TblMili[[#This Row],[Mods_Off]])</f>
        <v>0</v>
      </c>
      <c r="S16"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6" s="247">
        <f ca="1">TblMili[[#This Row],[Non Draft]]+TblMili[[#This Row],[Draftees]]</f>
        <v>352</v>
      </c>
      <c r="U16" s="248">
        <f ca="1">race_defense + TblImps[[#This Row],[Walls]] + ROUND( MIN(gt_bonus*TblConstr[[#This Row],[Tot GT]]/TblConstr[[#This Row],[Land]],gt_bonus_cap), 4) + IF(TblMagic[[#This Row],[Active Howling]]&gt;0,howling_dp_bonus,IF(TblMagic[[#This Row],[Active Ares Call]]&gt;0,ares_call_bonus))</f>
        <v>0</v>
      </c>
      <c r="V16" s="249">
        <f ca="1">TblMili[[#This Row],[Non Draft]] * (1 + TblMili[[#This Row],[Mods_Def]])</f>
        <v>0</v>
      </c>
      <c r="W16" s="247">
        <f ca="1">TblMili[[#This Row],[Draft]] * (1 + TblMili[[#This Row],[Mods_Def]])</f>
        <v>352</v>
      </c>
      <c r="X16" s="247">
        <f ca="1">TblConstr[[#This Row],[Land]]</f>
        <v>50</v>
      </c>
      <c r="Y16" s="250"/>
      <c r="Z16" s="255">
        <f ca="1">IF(TblMili[[#This Row],[Set]]&lt;&gt;"",TblMili[[#This Row],[Set]],OFFSET(TblMili[[#This Row],[Draftrate]],-1,0))</f>
        <v>0.9</v>
      </c>
      <c r="AA16"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352</v>
      </c>
      <c r="AB16" s="154"/>
      <c r="AC16" s="180">
        <f ca="1">(TblConstr[[#This Row],[Tot Smi]]+TblConstr[[#This Row],[Dest Smi]])/(TblConstr[[#This Row],[Land]]-TblExplore[[#This Row],[Land Bonus]]*20)</f>
        <v>0</v>
      </c>
      <c r="AD16" s="246"/>
      <c r="AE16" s="246">
        <f>TblMili[[#This Row],[Hour]]</f>
        <v>13</v>
      </c>
      <c r="AF16" s="138">
        <f ca="1">TblExplore[[#This Row],[Time]]</f>
        <v>46320.499999999971</v>
      </c>
      <c r="AG16" s="179"/>
      <c r="AH16" s="179"/>
      <c r="AI16" s="179"/>
      <c r="AJ16" s="179"/>
      <c r="AK16" s="179"/>
      <c r="AL16" s="179"/>
      <c r="AM16" s="179"/>
      <c r="AN16" s="179"/>
      <c r="AO16" s="420">
        <f ca="1">ROUND(IF(AND(TblMagic[[#This Row],[Active DnD]]&lt;12,TblMagic[[#This Row],[Active DnD]]&gt;5),OFFSET(TblPop[[#This Row],[Draft Growth]],-1,0)*0.375,0),0)</f>
        <v>0</v>
      </c>
      <c r="AP16" s="142"/>
      <c r="AQ16" s="94">
        <f ca="1">TblProd[[#This Row],[Platinum]]</f>
        <v>134374</v>
      </c>
      <c r="AR16" s="94">
        <f ca="1">INDEX(TblProd[[#Headers],[Lumber]]:TblProd[[#This Row],[Ore]],COUNTA(TblProd[[#Headers],[Lumber]]:TblProd[[#This Row],[Lumber]]),MATCH(Military!$AR$2,TblProd[[#Headers],[Lumber]:[Ore]],0))</f>
        <v>0</v>
      </c>
      <c r="AS1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6" s="94">
        <f ca="1">TblMili[[#This Row],[Train Unit 1]]*TblMili[[#This Row],[OP Ore]]+TblMili[[#This Row],[Train Unit 2]]*TblMili[[#This Row],[DP Ore]]+TblMili[[#This Row],[Train Unit 3]]*TblMili[[#This Row],[E1 Ore]]+TblMili[[#This Row],[Train Unit 4]]*TblMili[[#This Row],[E2 Ore]]</f>
        <v>0</v>
      </c>
      <c r="AU16" s="142">
        <f>TblMili[[#This Row],[Hour]]</f>
        <v>13</v>
      </c>
      <c r="AV16" s="152">
        <f ca="1">TblMili[[#This Row],[Time]]</f>
        <v>46320.499999999971</v>
      </c>
      <c r="AW16" s="94">
        <f ca="1">TblMili[[#This Row],[Draftees]]</f>
        <v>352</v>
      </c>
      <c r="AX16" s="179"/>
      <c r="AY16" s="179"/>
      <c r="AZ16" s="179"/>
      <c r="BA16" s="179"/>
      <c r="BB16" s="179"/>
      <c r="BC16" s="179"/>
      <c r="BD16" s="179"/>
      <c r="BE16" s="179"/>
      <c r="BF16" s="179"/>
      <c r="BG16" s="142"/>
      <c r="BH16" s="157">
        <f ca="1">TblConstr[[#This Row],[Tot WG]]/TblConstr[[#This Row],[Land]]</f>
        <v>0</v>
      </c>
      <c r="BI16" s="157">
        <f ca="1">TblConstr[[#This Row],[Tot Hav]]/TblConstr[[#This Row],[Land]]</f>
        <v>0</v>
      </c>
      <c r="BJ16" s="94">
        <f ca="1">ROUNDUP((1-MIN(TblMili[[#This Row],[Smithies]]*smithy_bonus,smithy_bonus_cap) + tech_3_5*TblTech[[#This Row],[3-5]] + tech_5_3*TblTech[[#This Row],[5-3]] + tech_5_5*TblTech[[#This Row],[5-5]])*spec_op_plat,0)</f>
        <v>315</v>
      </c>
      <c r="BK16" s="94">
        <f ca="1">ROUNDUP(IF(race="Gnome",1,(1-MIN(TblMili[[#This Row],[Smithies]]*smithy_bonus,smithy_bonus_cap) + tech_3_5*TblTech[[#This Row],[3-5]] + tech_5_3*TblTech[[#This Row],[5-3]] + tech_5_5*TblTech[[#This Row],[5-5]]))*spec_op_ore,0)</f>
        <v>25</v>
      </c>
      <c r="BL16" s="94">
        <f ca="1">ROUNDUP((1-MIN(TblMili[[#This Row],[Smithies]]*smithy_bonus,smithy_bonus_cap) + tech_3_5*TblTech[[#This Row],[3-5]] + tech_5_3*TblTech[[#This Row],[5-3]] + tech_5_5*TblTech[[#This Row],[5-5]])*spec_dp_plat,0)</f>
        <v>275</v>
      </c>
      <c r="BM16" s="94">
        <f ca="1">ROUNDUP(IF(race="Gnome",1,(1-MIN(TblMili[[#This Row],[Smithies]]*smithy_bonus,smithy_bonus_cap) + tech_3_5*TblTech[[#This Row],[3-5]] + tech_5_3*TblTech[[#This Row],[5-3]] + tech_5_5*TblTech[[#This Row],[5-5]]))*spec_dp_ore,0)</f>
        <v>15</v>
      </c>
      <c r="BN16" s="94">
        <f ca="1">ROUNDUP((1-MIN(TblMili[[#This Row],[Smithies]]*smithy_bonus,smithy_bonus_cap) + tech_3_5*TblTech[[#This Row],[3-5]] + tech_5_3*TblTech[[#This Row],[5-3]] + tech_5_5*TblTech[[#This Row],[5-5]])*elite1_plat,0)</f>
        <v>1040</v>
      </c>
      <c r="BO16" s="94">
        <f ca="1">ROUNDUP(IF(race="Gnome",1,(1-MIN(TblMili[[#This Row],[Smithies]]*smithy_bonus,smithy_bonus_cap) + tech_3_5*TblTech[[#This Row],[3-5]] + tech_5_3*TblTech[[#This Row],[5-3]] + tech_5_5*TblTech[[#This Row],[5-5]]))*elite1_ore,0)</f>
        <v>75</v>
      </c>
      <c r="BP16" s="94">
        <f ca="1">ROUNDUP((1-MIN(TblMili[[#This Row],[Smithies]]*smithy_bonus,smithy_bonus_cap) + tech_3_5*TblTech[[#This Row],[3-5]] + tech_5_3*TblTech[[#This Row],[5-3]] + tech_5_5*TblTech[[#This Row],[5-5]])*elite2_plat,0)</f>
        <v>1280</v>
      </c>
      <c r="BQ16" s="94">
        <f ca="1">ROUNDUP(IF(race="Gnome",1,(1-MIN(TblMili[[#This Row],[Smithies]]*smithy_bonus,smithy_bonus_cap) + tech_3_5*TblTech[[#This Row],[3-5]] + tech_5_3*TblTech[[#This Row],[5-3]] + tech_5_5*TblTech[[#This Row],[5-5]]))*elite2_ore,0)</f>
        <v>100</v>
      </c>
      <c r="BR16" s="94">
        <f ca="1">ROUNDUP((1-MIN(ROUND(fh_spy_cost_red*TblMili[[#This Row],[FH''s]],4),fh_spy_cost_cap)+ tech_1_9*TblTech[[#This Row],[1-9]] + tech_9_1*TblTech[[#This Row],[9-1]])*spy_plat,0)</f>
        <v>500</v>
      </c>
      <c r="BS16" s="94">
        <f ca="1">ROUNDUP((1-MIN(ROUND(fh_spy_cost_red*TblMili[[#This Row],[FH''s]],4),fh_spy_cost_cap)+ tech_1_9*TblTech[[#This Row],[1-9]] + tech_9_1*TblTech[[#This Row],[9-1]])*archspy_plat,0)</f>
        <v>1000</v>
      </c>
      <c r="BT16" s="94">
        <f ca="1">ROUNDUP((1-MIN(ROUND(wg_wiz_cost_bonus*TblMili[[#This Row],[WG''s]],4),wg_wiz_cost_cap) + tech_1_9_2*TblTech[[#This Row],[1-9]] + tech_9_1_2*TblTech[[#This Row],[9-1]])*wizard_plat,0)</f>
        <v>500</v>
      </c>
      <c r="BU16" s="94">
        <f ca="1">ROUNDUP((1-MIN(ROUND(wg_wiz_cost_bonus*TblMili[[#This Row],[WG''s]],4),wg_wiz_cost_cap) + tech_1_9_2*TblTech[[#This Row],[1-9]] + tech_9_1_2*TblTech[[#This Row],[9-1]])*(archmage_plat + IF(TblMagic[[#This Row],[Active Arc Infusion]]&gt;0,400,0)),0)</f>
        <v>1000</v>
      </c>
      <c r="BV16" s="142"/>
      <c r="BW16" s="157">
        <f ca="1">TblConstr[[#This Row],[Homeland]]/TblConstr[[#This Row],[Land]]</f>
        <v>0.6</v>
      </c>
      <c r="BX16" s="157">
        <f ca="1">TblMili[[#This Row],[WG''s]]</f>
        <v>0</v>
      </c>
      <c r="BY16" s="251">
        <f ca="1">IF(mystic_cap="none",TblMili[[#This Row],[Homeland%]]/mystic_bonus,MIN(mystic_cap,TblMili[[#This Row],[Homeland%]]/mystic_bonus))</f>
        <v>2</v>
      </c>
      <c r="BZ16" s="251">
        <f ca="1">IF(druid_op_cap="none",TblMili[[#This Row],[Homeland%]]/druid_op_bonus,MIN(druid_op_cap,TblMili[[#This Row],[Homeland%]]/druid_op_bonus))</f>
        <v>2</v>
      </c>
      <c r="CA16" s="251">
        <f ca="1">IF(druid_dp_cap="none",TblMili[[#This Row],[Homeland%]]/druid_dp_bonus,MIN(druid_dp_cap,TblMili[[#This Row],[Homeland%]]/druid_dp_bonus))</f>
        <v>2</v>
      </c>
      <c r="CB16" s="251">
        <f ca="1">MIN(dryad_cap,TblMili[[#This Row],[Homeland%]]/dryad_bonus)</f>
        <v>2.9999999999999996</v>
      </c>
      <c r="CC16" s="251">
        <f ca="1">MIN(rocka_cap,TblMili[[#This Row],[Homeland%]]/rocka_bonus)</f>
        <v>2</v>
      </c>
      <c r="CD16" s="251">
        <f ca="1">MIN(adept_op_cap,TblMili[[#This Row],[WG]]/adept_op_bonus)</f>
        <v>0</v>
      </c>
      <c r="CE16" s="251">
        <f ca="1">MIN(adept_dp_cap,TblMili[[#This Row],[WG]]/adept_dp_bonus)</f>
        <v>0</v>
      </c>
      <c r="CF16" s="94">
        <f ca="1">MIN(TblMili[[#This Row],[Unit 3]],TblMili[[#This Row],[Unit 2]])*2</f>
        <v>0</v>
      </c>
      <c r="CG16" s="94">
        <f ca="1">MIN(TblMili[[#This Row],[Unit 1]],TblMili[[#This Row],[Unit 4]])*2</f>
        <v>0</v>
      </c>
      <c r="CH16" s="251">
        <f ca="1">MIN(frost_mage_cap,TblMili[[#This Row],[Homeland%]]/frost_mage_bonus)</f>
        <v>2.9999999999999996</v>
      </c>
      <c r="CI16" s="45">
        <f ca="1">MIN(ice_elem_cap,TblMili[[#This Row],[Raw (2)]]*ice_elem_bonus)</f>
        <v>0</v>
      </c>
      <c r="CJ16" s="251">
        <f t="shared" si="0"/>
        <v>0.83333333333333337</v>
      </c>
      <c r="CK16" s="251">
        <f ca="1">MIN(nox_nightshade_cap,TblConstr[[#This Row],[Homeland]]/TblConstr[[#This Row],[Land]]/nox_nightshade_swamp_bonus)</f>
        <v>4</v>
      </c>
      <c r="CL16" s="251">
        <f ca="1">MIN(TblConstr[[#This Row],[Total Swamp]]/TblConstr[[#This Row],[Land]]/abyss_enforce_bonus,abyss_enforcer_cap)</f>
        <v>0</v>
      </c>
      <c r="CM16" s="251">
        <f ca="1">IF(TblMagic[[#This Row],[Active Infernal Command]]&gt;0,TblMili[[#This Row],[Unit 1]]*infernal_cmd_op,0)</f>
        <v>0</v>
      </c>
      <c r="CN16" s="252"/>
      <c r="CO16" s="252"/>
      <c r="CP16" s="252"/>
      <c r="CQ16" s="251">
        <f ca="1">TblMili[[#This Row],[Mystic]]*2</f>
        <v>4</v>
      </c>
      <c r="CR16" s="251">
        <f ca="1">TblMili[[#This Row],[Druid (op)]]*2</f>
        <v>4</v>
      </c>
      <c r="CS16" s="94">
        <f ca="1">TblMili[[#This Row],[Mystic bonus]]*TblMili[[#This Row],[Unit 3]]+TblMili[[#This Row],[Druid bonus]]*TblMili[[#This Row],[Unit 4]]</f>
        <v>0</v>
      </c>
      <c r="CT16" s="155">
        <f ca="1">TblMili[[#This Row],[Dryad]]*2</f>
        <v>5.9999999999999991</v>
      </c>
      <c r="CU16" s="94">
        <f ca="1">sylvan*(TblMili[[#This Row],[Mystic bonus]]*TblMili[[#This Row],[Unit 3]])</f>
        <v>0</v>
      </c>
      <c r="CV16" s="155">
        <f ca="1">TblMili[[#This Row],[Rockapult]]*2</f>
        <v>4</v>
      </c>
      <c r="CW16" s="94">
        <f ca="1">gnome*(TblMili[[#This Row],[Rockapult bonus]]*TblMili[[#This Row],[Unit 3]])</f>
        <v>0</v>
      </c>
      <c r="CX16" s="155">
        <f ca="1">TblMili[[#This Row],[Adept-DP]]*2</f>
        <v>0</v>
      </c>
      <c r="CY16" s="94">
        <f ca="1">dark_elf*(TblMili[[#This Row],[Adept bonus]]*TblMili[[#This Row],[Unit 3]])</f>
        <v>0</v>
      </c>
      <c r="CZ16" s="155">
        <f ca="1">TblMili[[#This Row],[Frost Mage]]*2</f>
        <v>5.9999999999999991</v>
      </c>
      <c r="DA16" s="155">
        <f ca="1">TblMili[[#This Row],[Ice Elemental]]*2</f>
        <v>0</v>
      </c>
      <c r="DB16" s="94">
        <f ca="1">TblMili[[#This Row],[Frost Mage bonus]]*TblMili[[#This Row],[Unit 3]]+TblMili[[#This Row],[Ice Elemental bonus]]*TblMili[[#This Row],[Unit 4]]</f>
        <v>0</v>
      </c>
      <c r="DC16" s="253"/>
      <c r="DD16" s="143">
        <f ca="1">MIN(SUM(TblConstr[[#This Row],[Plain]:[Water]])/TblMili[[#This Row],[Land]]/favorable_terrain_bonus/100,favorable_terrain_max)</f>
        <v>0</v>
      </c>
      <c r="DE16" s="253"/>
      <c r="DF1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6" s="142"/>
      <c r="DH16" s="254">
        <f ca="1">(TblMili[[#This Row],[Wizards]]+2*TblMili[[#This Row],[Archmages]])/TblConstr[[#This Row],[Land]]</f>
        <v>0</v>
      </c>
      <c r="DI16" s="254">
        <f ca="1">TblMili[[#This Row],[Raw (2)]]*(1+race_wizard_strength+IF(TblMili[[#This Row],[Hour]]&gt;72,tech_magical_weaponry_wiz*TblTech[[#This Row],[3-5]],0))</f>
        <v>0</v>
      </c>
    </row>
    <row r="17" spans="1:113" x14ac:dyDescent="0.2">
      <c r="A17" s="137">
        <f>TblRezone[[#This Row],[Hour]]</f>
        <v>14</v>
      </c>
      <c r="B17" s="246">
        <f ca="1">SUM(TblMili[[#This Row],[Unit 1]:[Archmages]])+SUM(OFFSET(TblMili[[#This Row],[Train Unit 1]],-8,0):TblMili[[#This Row],[Train Unit 2]]) + SUM(OFFSET(TblMili[[#This Row],[Train Unit 3]],-11,0):TblMili[[#This Row],[Train AM]]) + TblMili[[#This Row],[Draftees]]</f>
        <v>356</v>
      </c>
      <c r="C17" s="157">
        <f ca="1">TblPop[[#This Row],[Military%]]</f>
        <v>0.46293888166449937</v>
      </c>
      <c r="D17" s="142"/>
      <c r="E17" s="45">
        <f ca="1">OFFSET(TblMili[[#This Row],[Unit 1]],-1,0) + OFFSET(TblMili[[#This Row],[Train Unit 1]],-9,0) - TblMili[[#This Row],[Release Unit 1]] + OFFSET(TblMili[[#This Row],[DnD_Zombies]],-12,0)</f>
        <v>0</v>
      </c>
      <c r="F17" s="45">
        <f ca="1">OFFSET(TblMili[[#This Row],[Unit 2]],-1,0) + OFFSET(TblMili[[#This Row],[Train Unit 2]],-9,0)-TblMili[[#This Row],[Release Unit 2]]</f>
        <v>0</v>
      </c>
      <c r="G17" s="45">
        <f ca="1">OFFSET(TblMili[[#This Row],[Unit 3]],-1,0) + OFFSET(TblMili[[#This Row],[Train Unit 3]],-12,0)-TblMili[[#This Row],[Release Unit 3]]</f>
        <v>0</v>
      </c>
      <c r="H17" s="45">
        <f ca="1">OFFSET(TblMili[[#This Row],[Unit 4]],-1,0) + OFFSET(TblMili[[#This Row],[Train Unit 4]],-12,0)-TblMili[[#This Row],[Release Unit 4]]</f>
        <v>0</v>
      </c>
      <c r="I17" s="45">
        <f ca="1">OFFSET(TblMili[[#This Row],[Spies]],-1,0) + OFFSET(TblMili[[#This Row],[Train Spies]],-12,0) - TblMili[[#This Row],[Release Spies]]-TblMili[[#This Row],[Train AS]]</f>
        <v>0</v>
      </c>
      <c r="J17" s="45">
        <f ca="1">OFFSET(TblMili[[#This Row],[Archspies]],-1,0) + OFFSET(TblMili[[#This Row],[Train AS]],-12,0) - TblMili[[#This Row],[Release AS]]</f>
        <v>0</v>
      </c>
      <c r="K17" s="45">
        <f ca="1">OFFSET(TblMili[[#This Row],[Wizards]],-1,0) + OFFSET(TblMili[[#This Row],[Train Wiz]],-12,0) - TblMili[[#This Row],[Release Wizards]]-TblMili[[#This Row],[Train AM]] + IF(TblMagic[[#This Row],[Active Arc Infusion]]&gt;0,TblMili[[#This Row],[Train AM]])</f>
        <v>0</v>
      </c>
      <c r="L17" s="45">
        <f ca="1">OFFSET(TblMili[[#This Row],[Archmages]],-1,0) + OFFSET(TblMili[[#This Row],[Train AM]],-12,0) - TblMili[[#This Row],[Release AM]]</f>
        <v>0</v>
      </c>
      <c r="M17" s="142"/>
      <c r="N17" s="94">
        <f ca="1">TblProd[[#This Row],[Networth]]</f>
        <v>1250</v>
      </c>
      <c r="O17" s="142"/>
      <c r="P17"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7" s="247">
        <f ca="1">TblMili[[#This Row],[Raw]]*(1+TblMili[[#This Row],[Mods_Off]])</f>
        <v>0</v>
      </c>
      <c r="S17"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7" s="247">
        <f ca="1">TblMili[[#This Row],[Non Draft]]+TblMili[[#This Row],[Draftees]]</f>
        <v>356</v>
      </c>
      <c r="U17" s="248">
        <f ca="1">race_defense + TblImps[[#This Row],[Walls]] + ROUND( MIN(gt_bonus*TblConstr[[#This Row],[Tot GT]]/TblConstr[[#This Row],[Land]],gt_bonus_cap), 4) + IF(TblMagic[[#This Row],[Active Howling]]&gt;0,howling_dp_bonus,IF(TblMagic[[#This Row],[Active Ares Call]]&gt;0,ares_call_bonus))</f>
        <v>0</v>
      </c>
      <c r="V17" s="249">
        <f ca="1">TblMili[[#This Row],[Non Draft]] * (1 + TblMili[[#This Row],[Mods_Def]])</f>
        <v>0</v>
      </c>
      <c r="W17" s="247">
        <f ca="1">TblMili[[#This Row],[Draft]] * (1 + TblMili[[#This Row],[Mods_Def]])</f>
        <v>356</v>
      </c>
      <c r="X17" s="247">
        <f ca="1">TblConstr[[#This Row],[Land]]</f>
        <v>50</v>
      </c>
      <c r="Y17" s="250"/>
      <c r="Z17" s="255">
        <f ca="1">IF(TblMili[[#This Row],[Set]]&lt;&gt;"",TblMili[[#This Row],[Set]],OFFSET(TblMili[[#This Row],[Draftrate]],-1,0))</f>
        <v>0.9</v>
      </c>
      <c r="AA17"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356</v>
      </c>
      <c r="AB17" s="154"/>
      <c r="AC17" s="180">
        <f ca="1">(TblConstr[[#This Row],[Tot Smi]]+TblConstr[[#This Row],[Dest Smi]])/(TblConstr[[#This Row],[Land]]-TblExplore[[#This Row],[Land Bonus]]*20)</f>
        <v>0</v>
      </c>
      <c r="AD17" s="137"/>
      <c r="AE17" s="246">
        <f>TblMili[[#This Row],[Hour]]</f>
        <v>14</v>
      </c>
      <c r="AF17" s="138">
        <f ca="1">TblExplore[[#This Row],[Time]]</f>
        <v>46320.541666666635</v>
      </c>
      <c r="AG17" s="179"/>
      <c r="AH17" s="179"/>
      <c r="AI17" s="179"/>
      <c r="AJ17" s="179"/>
      <c r="AK17" s="179"/>
      <c r="AL17" s="179"/>
      <c r="AM17" s="179"/>
      <c r="AN17" s="179"/>
      <c r="AO17" s="420">
        <f ca="1">ROUND(IF(AND(TblMagic[[#This Row],[Active DnD]]&lt;12,TblMagic[[#This Row],[Active DnD]]&gt;5),OFFSET(TblPop[[#This Row],[Draft Growth]],-1,0)*0.375,0),0)</f>
        <v>0</v>
      </c>
      <c r="AP17" s="142"/>
      <c r="AQ17" s="94">
        <f ca="1">TblProd[[#This Row],[Platinum]]</f>
        <v>135499</v>
      </c>
      <c r="AR17" s="94">
        <f ca="1">INDEX(TblProd[[#Headers],[Lumber]]:TblProd[[#This Row],[Ore]],COUNTA(TblProd[[#Headers],[Lumber]]:TblProd[[#This Row],[Lumber]]),MATCH(Military!$AR$2,TblProd[[#Headers],[Lumber]:[Ore]],0))</f>
        <v>0</v>
      </c>
      <c r="AS1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7" s="94">
        <f ca="1">TblMili[[#This Row],[Train Unit 1]]*TblMili[[#This Row],[OP Ore]]+TblMili[[#This Row],[Train Unit 2]]*TblMili[[#This Row],[DP Ore]]+TblMili[[#This Row],[Train Unit 3]]*TblMili[[#This Row],[E1 Ore]]+TblMili[[#This Row],[Train Unit 4]]*TblMili[[#This Row],[E2 Ore]]</f>
        <v>0</v>
      </c>
      <c r="AU17" s="142">
        <f>TblMili[[#This Row],[Hour]]</f>
        <v>14</v>
      </c>
      <c r="AV17" s="152">
        <f ca="1">TblMili[[#This Row],[Time]]</f>
        <v>46320.541666666635</v>
      </c>
      <c r="AW17" s="94">
        <f ca="1">TblMili[[#This Row],[Draftees]]</f>
        <v>356</v>
      </c>
      <c r="AX17" s="179"/>
      <c r="AY17" s="179"/>
      <c r="AZ17" s="179"/>
      <c r="BA17" s="179"/>
      <c r="BB17" s="179"/>
      <c r="BC17" s="179"/>
      <c r="BD17" s="179"/>
      <c r="BE17" s="179"/>
      <c r="BF17" s="179"/>
      <c r="BG17" s="142"/>
      <c r="BH17" s="157">
        <f ca="1">TblConstr[[#This Row],[Tot WG]]/TblConstr[[#This Row],[Land]]</f>
        <v>0</v>
      </c>
      <c r="BI17" s="157">
        <f ca="1">TblConstr[[#This Row],[Tot Hav]]/TblConstr[[#This Row],[Land]]</f>
        <v>0</v>
      </c>
      <c r="BJ17" s="94">
        <f ca="1">ROUNDUP((1-MIN(TblMili[[#This Row],[Smithies]]*smithy_bonus,smithy_bonus_cap) + tech_3_5*TblTech[[#This Row],[3-5]] + tech_5_3*TblTech[[#This Row],[5-3]] + tech_5_5*TblTech[[#This Row],[5-5]])*spec_op_plat,0)</f>
        <v>315</v>
      </c>
      <c r="BK17" s="94">
        <f ca="1">ROUNDUP(IF(race="Gnome",1,(1-MIN(TblMili[[#This Row],[Smithies]]*smithy_bonus,smithy_bonus_cap) + tech_3_5*TblTech[[#This Row],[3-5]] + tech_5_3*TblTech[[#This Row],[5-3]] + tech_5_5*TblTech[[#This Row],[5-5]]))*spec_op_ore,0)</f>
        <v>25</v>
      </c>
      <c r="BL17" s="94">
        <f ca="1">ROUNDUP((1-MIN(TblMili[[#This Row],[Smithies]]*smithy_bonus,smithy_bonus_cap) + tech_3_5*TblTech[[#This Row],[3-5]] + tech_5_3*TblTech[[#This Row],[5-3]] + tech_5_5*TblTech[[#This Row],[5-5]])*spec_dp_plat,0)</f>
        <v>275</v>
      </c>
      <c r="BM17" s="94">
        <f ca="1">ROUNDUP(IF(race="Gnome",1,(1-MIN(TblMili[[#This Row],[Smithies]]*smithy_bonus,smithy_bonus_cap) + tech_3_5*TblTech[[#This Row],[3-5]] + tech_5_3*TblTech[[#This Row],[5-3]] + tech_5_5*TblTech[[#This Row],[5-5]]))*spec_dp_ore,0)</f>
        <v>15</v>
      </c>
      <c r="BN17" s="94">
        <f ca="1">ROUNDUP((1-MIN(TblMili[[#This Row],[Smithies]]*smithy_bonus,smithy_bonus_cap) + tech_3_5*TblTech[[#This Row],[3-5]] + tech_5_3*TblTech[[#This Row],[5-3]] + tech_5_5*TblTech[[#This Row],[5-5]])*elite1_plat,0)</f>
        <v>1040</v>
      </c>
      <c r="BO17" s="94">
        <f ca="1">ROUNDUP(IF(race="Gnome",1,(1-MIN(TblMili[[#This Row],[Smithies]]*smithy_bonus,smithy_bonus_cap) + tech_3_5*TblTech[[#This Row],[3-5]] + tech_5_3*TblTech[[#This Row],[5-3]] + tech_5_5*TblTech[[#This Row],[5-5]]))*elite1_ore,0)</f>
        <v>75</v>
      </c>
      <c r="BP17" s="94">
        <f ca="1">ROUNDUP((1-MIN(TblMili[[#This Row],[Smithies]]*smithy_bonus,smithy_bonus_cap) + tech_3_5*TblTech[[#This Row],[3-5]] + tech_5_3*TblTech[[#This Row],[5-3]] + tech_5_5*TblTech[[#This Row],[5-5]])*elite2_plat,0)</f>
        <v>1280</v>
      </c>
      <c r="BQ17" s="94">
        <f ca="1">ROUNDUP(IF(race="Gnome",1,(1-MIN(TblMili[[#This Row],[Smithies]]*smithy_bonus,smithy_bonus_cap) + tech_3_5*TblTech[[#This Row],[3-5]] + tech_5_3*TblTech[[#This Row],[5-3]] + tech_5_5*TblTech[[#This Row],[5-5]]))*elite2_ore,0)</f>
        <v>100</v>
      </c>
      <c r="BR17" s="94">
        <f ca="1">ROUNDUP((1-MIN(ROUND(fh_spy_cost_red*TblMili[[#This Row],[FH''s]],4),fh_spy_cost_cap)+ tech_1_9*TblTech[[#This Row],[1-9]] + tech_9_1*TblTech[[#This Row],[9-1]])*spy_plat,0)</f>
        <v>500</v>
      </c>
      <c r="BS17" s="94">
        <f ca="1">ROUNDUP((1-MIN(ROUND(fh_spy_cost_red*TblMili[[#This Row],[FH''s]],4),fh_spy_cost_cap)+ tech_1_9*TblTech[[#This Row],[1-9]] + tech_9_1*TblTech[[#This Row],[9-1]])*archspy_plat,0)</f>
        <v>1000</v>
      </c>
      <c r="BT17" s="94">
        <f ca="1">ROUNDUP((1-MIN(ROUND(wg_wiz_cost_bonus*TblMili[[#This Row],[WG''s]],4),wg_wiz_cost_cap) + tech_1_9_2*TblTech[[#This Row],[1-9]] + tech_9_1_2*TblTech[[#This Row],[9-1]])*wizard_plat,0)</f>
        <v>500</v>
      </c>
      <c r="BU17" s="94">
        <f ca="1">ROUNDUP((1-MIN(ROUND(wg_wiz_cost_bonus*TblMili[[#This Row],[WG''s]],4),wg_wiz_cost_cap) + tech_1_9_2*TblTech[[#This Row],[1-9]] + tech_9_1_2*TblTech[[#This Row],[9-1]])*(archmage_plat + IF(TblMagic[[#This Row],[Active Arc Infusion]]&gt;0,400,0)),0)</f>
        <v>1000</v>
      </c>
      <c r="BV17" s="142"/>
      <c r="BW17" s="157">
        <f ca="1">TblConstr[[#This Row],[Homeland]]/TblConstr[[#This Row],[Land]]</f>
        <v>0.6</v>
      </c>
      <c r="BX17" s="157">
        <f ca="1">TblMili[[#This Row],[WG''s]]</f>
        <v>0</v>
      </c>
      <c r="BY17" s="251">
        <f ca="1">IF(mystic_cap="none",TblMili[[#This Row],[Homeland%]]/mystic_bonus,MIN(mystic_cap,TblMili[[#This Row],[Homeland%]]/mystic_bonus))</f>
        <v>2</v>
      </c>
      <c r="BZ17" s="251">
        <f ca="1">IF(druid_op_cap="none",TblMili[[#This Row],[Homeland%]]/druid_op_bonus,MIN(druid_op_cap,TblMili[[#This Row],[Homeland%]]/druid_op_bonus))</f>
        <v>2</v>
      </c>
      <c r="CA17" s="251">
        <f ca="1">IF(druid_dp_cap="none",TblMili[[#This Row],[Homeland%]]/druid_dp_bonus,MIN(druid_dp_cap,TblMili[[#This Row],[Homeland%]]/druid_dp_bonus))</f>
        <v>2</v>
      </c>
      <c r="CB17" s="251">
        <f ca="1">MIN(dryad_cap,TblMili[[#This Row],[Homeland%]]/dryad_bonus)</f>
        <v>2.9999999999999996</v>
      </c>
      <c r="CC17" s="251">
        <f ca="1">MIN(rocka_cap,TblMili[[#This Row],[Homeland%]]/rocka_bonus)</f>
        <v>2</v>
      </c>
      <c r="CD17" s="251">
        <f ca="1">MIN(adept_op_cap,TblMili[[#This Row],[WG]]/adept_op_bonus)</f>
        <v>0</v>
      </c>
      <c r="CE17" s="251">
        <f ca="1">MIN(adept_dp_cap,TblMili[[#This Row],[WG]]/adept_dp_bonus)</f>
        <v>0</v>
      </c>
      <c r="CF17" s="94">
        <f ca="1">MIN(TblMili[[#This Row],[Unit 3]],TblMili[[#This Row],[Unit 2]])*2</f>
        <v>0</v>
      </c>
      <c r="CG17" s="94">
        <f ca="1">MIN(TblMili[[#This Row],[Unit 1]],TblMili[[#This Row],[Unit 4]])*2</f>
        <v>0</v>
      </c>
      <c r="CH17" s="251">
        <f ca="1">MIN(frost_mage_cap,TblMili[[#This Row],[Homeland%]]/frost_mage_bonus)</f>
        <v>2.9999999999999996</v>
      </c>
      <c r="CI17" s="45">
        <f ca="1">MIN(ice_elem_cap,TblMili[[#This Row],[Raw (2)]]*ice_elem_bonus)</f>
        <v>0</v>
      </c>
      <c r="CJ17" s="251">
        <f t="shared" si="0"/>
        <v>0.83333333333333337</v>
      </c>
      <c r="CK17" s="251">
        <f ca="1">MIN(nox_nightshade_cap,TblConstr[[#This Row],[Homeland]]/TblConstr[[#This Row],[Land]]/nox_nightshade_swamp_bonus)</f>
        <v>4</v>
      </c>
      <c r="CL17" s="251">
        <f ca="1">MIN(TblConstr[[#This Row],[Total Swamp]]/TblConstr[[#This Row],[Land]]/abyss_enforce_bonus,abyss_enforcer_cap)</f>
        <v>0</v>
      </c>
      <c r="CM17" s="251">
        <f ca="1">IF(TblMagic[[#This Row],[Active Infernal Command]]&gt;0,TblMili[[#This Row],[Unit 1]]*infernal_cmd_op,0)</f>
        <v>0</v>
      </c>
      <c r="CN17" s="252" t="s">
        <v>519</v>
      </c>
      <c r="CO17" s="252"/>
      <c r="CP17" s="252"/>
      <c r="CQ17" s="251">
        <f ca="1">TblMili[[#This Row],[Mystic]]*2</f>
        <v>4</v>
      </c>
      <c r="CR17" s="251">
        <f ca="1">TblMili[[#This Row],[Druid (op)]]*2</f>
        <v>4</v>
      </c>
      <c r="CS17" s="94">
        <f ca="1">TblMili[[#This Row],[Mystic bonus]]*TblMili[[#This Row],[Unit 3]]+TblMili[[#This Row],[Druid bonus]]*TblMili[[#This Row],[Unit 4]]</f>
        <v>0</v>
      </c>
      <c r="CT17" s="155">
        <f ca="1">TblMili[[#This Row],[Dryad]]*2</f>
        <v>5.9999999999999991</v>
      </c>
      <c r="CU17" s="94">
        <f ca="1">sylvan*(TblMili[[#This Row],[Mystic bonus]]*TblMili[[#This Row],[Unit 3]])</f>
        <v>0</v>
      </c>
      <c r="CV17" s="155">
        <f ca="1">TblMili[[#This Row],[Rockapult]]*2</f>
        <v>4</v>
      </c>
      <c r="CW17" s="94">
        <f ca="1">gnome*(TblMili[[#This Row],[Rockapult bonus]]*TblMili[[#This Row],[Unit 3]])</f>
        <v>0</v>
      </c>
      <c r="CX17" s="155">
        <f ca="1">TblMili[[#This Row],[Adept-DP]]*2</f>
        <v>0</v>
      </c>
      <c r="CY17" s="94">
        <f ca="1">dark_elf*(TblMili[[#This Row],[Adept bonus]]*TblMili[[#This Row],[Unit 3]])</f>
        <v>0</v>
      </c>
      <c r="CZ17" s="155">
        <f ca="1">TblMili[[#This Row],[Frost Mage]]*2</f>
        <v>5.9999999999999991</v>
      </c>
      <c r="DA17" s="155">
        <f ca="1">TblMili[[#This Row],[Ice Elemental]]*2</f>
        <v>0</v>
      </c>
      <c r="DB17" s="94">
        <f ca="1">TblMili[[#This Row],[Frost Mage bonus]]*TblMili[[#This Row],[Unit 3]]+TblMili[[#This Row],[Ice Elemental bonus]]*TblMili[[#This Row],[Unit 4]]</f>
        <v>0</v>
      </c>
      <c r="DC17" s="253"/>
      <c r="DD17" s="143">
        <f ca="1">MIN(SUM(TblConstr[[#This Row],[Plain]:[Water]])/TblMili[[#This Row],[Land]]/favorable_terrain_bonus/100,favorable_terrain_max)</f>
        <v>0</v>
      </c>
      <c r="DE17" s="253"/>
      <c r="DF1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7" s="142"/>
      <c r="DH17" s="254">
        <f ca="1">(TblMili[[#This Row],[Wizards]]+2*TblMili[[#This Row],[Archmages]])/TblConstr[[#This Row],[Land]]</f>
        <v>0</v>
      </c>
      <c r="DI17" s="254">
        <f ca="1">TblMili[[#This Row],[Raw (2)]]*(1+race_wizard_strength+IF(TblMili[[#This Row],[Hour]]&gt;72,tech_magical_weaponry_wiz*TblTech[[#This Row],[3-5]],0))</f>
        <v>0</v>
      </c>
    </row>
    <row r="18" spans="1:113" x14ac:dyDescent="0.2">
      <c r="A18" s="137">
        <f>TblRezone[[#This Row],[Hour]]</f>
        <v>15</v>
      </c>
      <c r="B18" s="246">
        <f ca="1">SUM(TblMili[[#This Row],[Unit 1]:[Archmages]])+SUM(OFFSET(TblMili[[#This Row],[Train Unit 1]],-8,0):TblMili[[#This Row],[Train Unit 2]]) + SUM(OFFSET(TblMili[[#This Row],[Train Unit 3]],-11,0):TblMili[[#This Row],[Train AM]]) + TblMili[[#This Row],[Draftees]]</f>
        <v>360</v>
      </c>
      <c r="C18" s="157">
        <f ca="1">TblPop[[#This Row],[Military%]]</f>
        <v>0.46814044213263978</v>
      </c>
      <c r="D18" s="142"/>
      <c r="E18" s="45">
        <f ca="1">OFFSET(TblMili[[#This Row],[Unit 1]],-1,0) + OFFSET(TblMili[[#This Row],[Train Unit 1]],-9,0) - TblMili[[#This Row],[Release Unit 1]] + OFFSET(TblMili[[#This Row],[DnD_Zombies]],-12,0)</f>
        <v>0</v>
      </c>
      <c r="F18" s="45">
        <f ca="1">OFFSET(TblMili[[#This Row],[Unit 2]],-1,0) + OFFSET(TblMili[[#This Row],[Train Unit 2]],-9,0)-TblMili[[#This Row],[Release Unit 2]]</f>
        <v>0</v>
      </c>
      <c r="G18" s="45">
        <f ca="1">OFFSET(TblMili[[#This Row],[Unit 3]],-1,0) + OFFSET(TblMili[[#This Row],[Train Unit 3]],-12,0)-TblMili[[#This Row],[Release Unit 3]]</f>
        <v>0</v>
      </c>
      <c r="H18" s="45">
        <f ca="1">OFFSET(TblMili[[#This Row],[Unit 4]],-1,0) + OFFSET(TblMili[[#This Row],[Train Unit 4]],-12,0)-TblMili[[#This Row],[Release Unit 4]]</f>
        <v>0</v>
      </c>
      <c r="I18" s="45">
        <f ca="1">OFFSET(TblMili[[#This Row],[Spies]],-1,0) + OFFSET(TblMili[[#This Row],[Train Spies]],-12,0) - TblMili[[#This Row],[Release Spies]]-TblMili[[#This Row],[Train AS]]</f>
        <v>0</v>
      </c>
      <c r="J18" s="45">
        <f ca="1">OFFSET(TblMili[[#This Row],[Archspies]],-1,0) + OFFSET(TblMili[[#This Row],[Train AS]],-12,0) - TblMili[[#This Row],[Release AS]]</f>
        <v>0</v>
      </c>
      <c r="K18" s="45">
        <f ca="1">OFFSET(TblMili[[#This Row],[Wizards]],-1,0) + OFFSET(TblMili[[#This Row],[Train Wiz]],-12,0) - TblMili[[#This Row],[Release Wizards]]-TblMili[[#This Row],[Train AM]] + IF(TblMagic[[#This Row],[Active Arc Infusion]]&gt;0,TblMili[[#This Row],[Train AM]])</f>
        <v>0</v>
      </c>
      <c r="L18" s="45">
        <f ca="1">OFFSET(TblMili[[#This Row],[Archmages]],-1,0) + OFFSET(TblMili[[#This Row],[Train AM]],-12,0) - TblMili[[#This Row],[Release AM]]</f>
        <v>0</v>
      </c>
      <c r="M18" s="142"/>
      <c r="N18" s="94">
        <f ca="1">TblProd[[#This Row],[Networth]]</f>
        <v>1250</v>
      </c>
      <c r="O18" s="142"/>
      <c r="P18"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8" s="247">
        <f ca="1">TblMili[[#This Row],[Raw]]*(1+TblMili[[#This Row],[Mods_Off]])</f>
        <v>0</v>
      </c>
      <c r="S18"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8" s="247">
        <f ca="1">TblMili[[#This Row],[Non Draft]]+TblMili[[#This Row],[Draftees]]</f>
        <v>360</v>
      </c>
      <c r="U18" s="248">
        <f ca="1">race_defense + TblImps[[#This Row],[Walls]] + ROUND( MIN(gt_bonus*TblConstr[[#This Row],[Tot GT]]/TblConstr[[#This Row],[Land]],gt_bonus_cap), 4) + IF(TblMagic[[#This Row],[Active Howling]]&gt;0,howling_dp_bonus,IF(TblMagic[[#This Row],[Active Ares Call]]&gt;0,ares_call_bonus))</f>
        <v>0</v>
      </c>
      <c r="V18" s="249">
        <f ca="1">TblMili[[#This Row],[Non Draft]] * (1 + TblMili[[#This Row],[Mods_Def]])</f>
        <v>0</v>
      </c>
      <c r="W18" s="247">
        <f ca="1">TblMili[[#This Row],[Draft]] * (1 + TblMili[[#This Row],[Mods_Def]])</f>
        <v>360</v>
      </c>
      <c r="X18" s="247">
        <f ca="1">TblConstr[[#This Row],[Land]]</f>
        <v>50</v>
      </c>
      <c r="Y18" s="250"/>
      <c r="Z18" s="255">
        <f ca="1">IF(TblMili[[#This Row],[Set]]&lt;&gt;"",TblMili[[#This Row],[Set]],OFFSET(TblMili[[#This Row],[Draftrate]],-1,0))</f>
        <v>0.9</v>
      </c>
      <c r="AA18"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360</v>
      </c>
      <c r="AB18" s="154"/>
      <c r="AC18" s="180">
        <f ca="1">(TblConstr[[#This Row],[Tot Smi]]+TblConstr[[#This Row],[Dest Smi]])/(TblConstr[[#This Row],[Land]]-TblExplore[[#This Row],[Land Bonus]]*20)</f>
        <v>0</v>
      </c>
      <c r="AD18" s="137"/>
      <c r="AE18" s="246">
        <f>TblMili[[#This Row],[Hour]]</f>
        <v>15</v>
      </c>
      <c r="AF18" s="138">
        <f ca="1">TblExplore[[#This Row],[Time]]</f>
        <v>46320.583333333299</v>
      </c>
      <c r="AG18" s="179"/>
      <c r="AH18" s="179"/>
      <c r="AI18" s="179"/>
      <c r="AJ18" s="179"/>
      <c r="AK18" s="179"/>
      <c r="AL18" s="179"/>
      <c r="AM18" s="179"/>
      <c r="AN18" s="179"/>
      <c r="AO18" s="420">
        <f ca="1">ROUND(IF(AND(TblMagic[[#This Row],[Active DnD]]&lt;12,TblMagic[[#This Row],[Active DnD]]&gt;5),OFFSET(TblPop[[#This Row],[Draft Growth]],-1,0)*0.375,0),0)</f>
        <v>0</v>
      </c>
      <c r="AP18" s="142"/>
      <c r="AQ18" s="94">
        <f ca="1">TblProd[[#This Row],[Platinum]]</f>
        <v>136614</v>
      </c>
      <c r="AR18" s="94">
        <f ca="1">INDEX(TblProd[[#Headers],[Lumber]]:TblProd[[#This Row],[Ore]],COUNTA(TblProd[[#Headers],[Lumber]]:TblProd[[#This Row],[Lumber]]),MATCH(Military!$AR$2,TblProd[[#Headers],[Lumber]:[Ore]],0))</f>
        <v>0</v>
      </c>
      <c r="AS1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8" s="94">
        <f ca="1">TblMili[[#This Row],[Train Unit 1]]*TblMili[[#This Row],[OP Ore]]+TblMili[[#This Row],[Train Unit 2]]*TblMili[[#This Row],[DP Ore]]+TblMili[[#This Row],[Train Unit 3]]*TblMili[[#This Row],[E1 Ore]]+TblMili[[#This Row],[Train Unit 4]]*TblMili[[#This Row],[E2 Ore]]</f>
        <v>0</v>
      </c>
      <c r="AU18" s="142">
        <f>TblMili[[#This Row],[Hour]]</f>
        <v>15</v>
      </c>
      <c r="AV18" s="152">
        <f ca="1">TblMili[[#This Row],[Time]]</f>
        <v>46320.583333333299</v>
      </c>
      <c r="AW18" s="94">
        <f ca="1">TblMili[[#This Row],[Draftees]]</f>
        <v>360</v>
      </c>
      <c r="AX18" s="179"/>
      <c r="AY18" s="179"/>
      <c r="AZ18" s="179"/>
      <c r="BA18" s="179"/>
      <c r="BB18" s="179"/>
      <c r="BC18" s="179"/>
      <c r="BD18" s="179"/>
      <c r="BE18" s="179"/>
      <c r="BF18" s="179"/>
      <c r="BG18" s="142"/>
      <c r="BH18" s="157">
        <f ca="1">TblConstr[[#This Row],[Tot WG]]/TblConstr[[#This Row],[Land]]</f>
        <v>0</v>
      </c>
      <c r="BI18" s="157">
        <f ca="1">TblConstr[[#This Row],[Tot Hav]]/TblConstr[[#This Row],[Land]]</f>
        <v>0</v>
      </c>
      <c r="BJ18" s="94">
        <f ca="1">ROUNDUP((1-MIN(TblMili[[#This Row],[Smithies]]*smithy_bonus,smithy_bonus_cap) + tech_3_5*TblTech[[#This Row],[3-5]] + tech_5_3*TblTech[[#This Row],[5-3]] + tech_5_5*TblTech[[#This Row],[5-5]])*spec_op_plat,0)</f>
        <v>315</v>
      </c>
      <c r="BK18" s="94">
        <f ca="1">ROUNDUP(IF(race="Gnome",1,(1-MIN(TblMili[[#This Row],[Smithies]]*smithy_bonus,smithy_bonus_cap) + tech_3_5*TblTech[[#This Row],[3-5]] + tech_5_3*TblTech[[#This Row],[5-3]] + tech_5_5*TblTech[[#This Row],[5-5]]))*spec_op_ore,0)</f>
        <v>25</v>
      </c>
      <c r="BL18" s="94">
        <f ca="1">ROUNDUP((1-MIN(TblMili[[#This Row],[Smithies]]*smithy_bonus,smithy_bonus_cap) + tech_3_5*TblTech[[#This Row],[3-5]] + tech_5_3*TblTech[[#This Row],[5-3]] + tech_5_5*TblTech[[#This Row],[5-5]])*spec_dp_plat,0)</f>
        <v>275</v>
      </c>
      <c r="BM18" s="94">
        <f ca="1">ROUNDUP(IF(race="Gnome",1,(1-MIN(TblMili[[#This Row],[Smithies]]*smithy_bonus,smithy_bonus_cap) + tech_3_5*TblTech[[#This Row],[3-5]] + tech_5_3*TblTech[[#This Row],[5-3]] + tech_5_5*TblTech[[#This Row],[5-5]]))*spec_dp_ore,0)</f>
        <v>15</v>
      </c>
      <c r="BN18" s="94">
        <f ca="1">ROUNDUP((1-MIN(TblMili[[#This Row],[Smithies]]*smithy_bonus,smithy_bonus_cap) + tech_3_5*TblTech[[#This Row],[3-5]] + tech_5_3*TblTech[[#This Row],[5-3]] + tech_5_5*TblTech[[#This Row],[5-5]])*elite1_plat,0)</f>
        <v>1040</v>
      </c>
      <c r="BO18" s="94">
        <f ca="1">ROUNDUP(IF(race="Gnome",1,(1-MIN(TblMili[[#This Row],[Smithies]]*smithy_bonus,smithy_bonus_cap) + tech_3_5*TblTech[[#This Row],[3-5]] + tech_5_3*TblTech[[#This Row],[5-3]] + tech_5_5*TblTech[[#This Row],[5-5]]))*elite1_ore,0)</f>
        <v>75</v>
      </c>
      <c r="BP18" s="94">
        <f ca="1">ROUNDUP((1-MIN(TblMili[[#This Row],[Smithies]]*smithy_bonus,smithy_bonus_cap) + tech_3_5*TblTech[[#This Row],[3-5]] + tech_5_3*TblTech[[#This Row],[5-3]] + tech_5_5*TblTech[[#This Row],[5-5]])*elite2_plat,0)</f>
        <v>1280</v>
      </c>
      <c r="BQ18" s="94">
        <f ca="1">ROUNDUP(IF(race="Gnome",1,(1-MIN(TblMili[[#This Row],[Smithies]]*smithy_bonus,smithy_bonus_cap) + tech_3_5*TblTech[[#This Row],[3-5]] + tech_5_3*TblTech[[#This Row],[5-3]] + tech_5_5*TblTech[[#This Row],[5-5]]))*elite2_ore,0)</f>
        <v>100</v>
      </c>
      <c r="BR18" s="94">
        <f ca="1">ROUNDUP((1-MIN(ROUND(fh_spy_cost_red*TblMili[[#This Row],[FH''s]],4),fh_spy_cost_cap)+ tech_1_9*TblTech[[#This Row],[1-9]] + tech_9_1*TblTech[[#This Row],[9-1]])*spy_plat,0)</f>
        <v>500</v>
      </c>
      <c r="BS18" s="94">
        <f ca="1">ROUNDUP((1-MIN(ROUND(fh_spy_cost_red*TblMili[[#This Row],[FH''s]],4),fh_spy_cost_cap)+ tech_1_9*TblTech[[#This Row],[1-9]] + tech_9_1*TblTech[[#This Row],[9-1]])*archspy_plat,0)</f>
        <v>1000</v>
      </c>
      <c r="BT18" s="94">
        <f ca="1">ROUNDUP((1-MIN(ROUND(wg_wiz_cost_bonus*TblMili[[#This Row],[WG''s]],4),wg_wiz_cost_cap) + tech_1_9_2*TblTech[[#This Row],[1-9]] + tech_9_1_2*TblTech[[#This Row],[9-1]])*wizard_plat,0)</f>
        <v>500</v>
      </c>
      <c r="BU18" s="94">
        <f ca="1">ROUNDUP((1-MIN(ROUND(wg_wiz_cost_bonus*TblMili[[#This Row],[WG''s]],4),wg_wiz_cost_cap) + tech_1_9_2*TblTech[[#This Row],[1-9]] + tech_9_1_2*TblTech[[#This Row],[9-1]])*(archmage_plat + IF(TblMagic[[#This Row],[Active Arc Infusion]]&gt;0,400,0)),0)</f>
        <v>1000</v>
      </c>
      <c r="BV18" s="142"/>
      <c r="BW18" s="157">
        <f ca="1">TblConstr[[#This Row],[Homeland]]/TblConstr[[#This Row],[Land]]</f>
        <v>0.6</v>
      </c>
      <c r="BX18" s="157">
        <f ca="1">TblMili[[#This Row],[WG''s]]</f>
        <v>0</v>
      </c>
      <c r="BY18" s="251">
        <f ca="1">IF(mystic_cap="none",TblMili[[#This Row],[Homeland%]]/mystic_bonus,MIN(mystic_cap,TblMili[[#This Row],[Homeland%]]/mystic_bonus))</f>
        <v>2</v>
      </c>
      <c r="BZ18" s="251">
        <f ca="1">IF(druid_op_cap="none",TblMili[[#This Row],[Homeland%]]/druid_op_bonus,MIN(druid_op_cap,TblMili[[#This Row],[Homeland%]]/druid_op_bonus))</f>
        <v>2</v>
      </c>
      <c r="CA18" s="251">
        <f ca="1">IF(druid_dp_cap="none",TblMili[[#This Row],[Homeland%]]/druid_dp_bonus,MIN(druid_dp_cap,TblMili[[#This Row],[Homeland%]]/druid_dp_bonus))</f>
        <v>2</v>
      </c>
      <c r="CB18" s="251">
        <f ca="1">MIN(dryad_cap,TblMili[[#This Row],[Homeland%]]/dryad_bonus)</f>
        <v>2.9999999999999996</v>
      </c>
      <c r="CC18" s="251">
        <f ca="1">MIN(rocka_cap,TblMili[[#This Row],[Homeland%]]/rocka_bonus)</f>
        <v>2</v>
      </c>
      <c r="CD18" s="251">
        <f ca="1">MIN(adept_op_cap,TblMili[[#This Row],[WG]]/adept_op_bonus)</f>
        <v>0</v>
      </c>
      <c r="CE18" s="251">
        <f ca="1">MIN(adept_dp_cap,TblMili[[#This Row],[WG]]/adept_dp_bonus)</f>
        <v>0</v>
      </c>
      <c r="CF18" s="94">
        <f ca="1">MIN(TblMili[[#This Row],[Unit 3]],TblMili[[#This Row],[Unit 2]])*2</f>
        <v>0</v>
      </c>
      <c r="CG18" s="94">
        <f ca="1">MIN(TblMili[[#This Row],[Unit 1]],TblMili[[#This Row],[Unit 4]])*2</f>
        <v>0</v>
      </c>
      <c r="CH18" s="251">
        <f ca="1">MIN(frost_mage_cap,TblMili[[#This Row],[Homeland%]]/frost_mage_bonus)</f>
        <v>2.9999999999999996</v>
      </c>
      <c r="CI18" s="45">
        <f ca="1">MIN(ice_elem_cap,TblMili[[#This Row],[Raw (2)]]*ice_elem_bonus)</f>
        <v>0</v>
      </c>
      <c r="CJ18" s="251">
        <f t="shared" si="0"/>
        <v>0.83333333333333337</v>
      </c>
      <c r="CK18" s="251">
        <f ca="1">MIN(nox_nightshade_cap,TblConstr[[#This Row],[Homeland]]/TblConstr[[#This Row],[Land]]/nox_nightshade_swamp_bonus)</f>
        <v>4</v>
      </c>
      <c r="CL18" s="251">
        <f ca="1">MIN(TblConstr[[#This Row],[Total Swamp]]/TblConstr[[#This Row],[Land]]/abyss_enforce_bonus,abyss_enforcer_cap)</f>
        <v>0</v>
      </c>
      <c r="CM18" s="251">
        <f ca="1">IF(TblMagic[[#This Row],[Active Infernal Command]]&gt;0,TblMili[[#This Row],[Unit 1]]*infernal_cmd_op,0)</f>
        <v>0</v>
      </c>
      <c r="CN18" s="252" t="s">
        <v>520</v>
      </c>
      <c r="CO18" s="252">
        <f>VLOOKUP(Overview!$A24,Races!$D$4:$H$120,2,FALSE)</f>
        <v>2</v>
      </c>
      <c r="CP18" s="252"/>
      <c r="CQ18" s="251">
        <f ca="1">TblMili[[#This Row],[Mystic]]*2</f>
        <v>4</v>
      </c>
      <c r="CR18" s="251">
        <f ca="1">TblMili[[#This Row],[Druid (op)]]*2</f>
        <v>4</v>
      </c>
      <c r="CS18" s="94">
        <f ca="1">TblMili[[#This Row],[Mystic bonus]]*TblMili[[#This Row],[Unit 3]]+TblMili[[#This Row],[Druid bonus]]*TblMili[[#This Row],[Unit 4]]</f>
        <v>0</v>
      </c>
      <c r="CT18" s="155">
        <f ca="1">TblMili[[#This Row],[Dryad]]*2</f>
        <v>5.9999999999999991</v>
      </c>
      <c r="CU18" s="94">
        <f ca="1">sylvan*(TblMili[[#This Row],[Mystic bonus]]*TblMili[[#This Row],[Unit 3]])</f>
        <v>0</v>
      </c>
      <c r="CV18" s="155">
        <f ca="1">TblMili[[#This Row],[Rockapult]]*2</f>
        <v>4</v>
      </c>
      <c r="CW18" s="94">
        <f ca="1">gnome*(TblMili[[#This Row],[Rockapult bonus]]*TblMili[[#This Row],[Unit 3]])</f>
        <v>0</v>
      </c>
      <c r="CX18" s="155">
        <f ca="1">TblMili[[#This Row],[Adept-DP]]*2</f>
        <v>0</v>
      </c>
      <c r="CY18" s="94">
        <f ca="1">dark_elf*(TblMili[[#This Row],[Adept bonus]]*TblMili[[#This Row],[Unit 3]])</f>
        <v>0</v>
      </c>
      <c r="CZ18" s="155">
        <f ca="1">TblMili[[#This Row],[Frost Mage]]*2</f>
        <v>5.9999999999999991</v>
      </c>
      <c r="DA18" s="155">
        <f ca="1">TblMili[[#This Row],[Ice Elemental]]*2</f>
        <v>0</v>
      </c>
      <c r="DB18" s="94">
        <f ca="1">TblMili[[#This Row],[Frost Mage bonus]]*TblMili[[#This Row],[Unit 3]]+TblMili[[#This Row],[Ice Elemental bonus]]*TblMili[[#This Row],[Unit 4]]</f>
        <v>0</v>
      </c>
      <c r="DC18" s="253"/>
      <c r="DD18" s="143">
        <f ca="1">MIN(SUM(TblConstr[[#This Row],[Plain]:[Water]])/TblMili[[#This Row],[Land]]/favorable_terrain_bonus/100,favorable_terrain_max)</f>
        <v>0</v>
      </c>
      <c r="DE18" s="253"/>
      <c r="DF1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8" s="142"/>
      <c r="DH18" s="254">
        <f ca="1">(TblMili[[#This Row],[Wizards]]+2*TblMili[[#This Row],[Archmages]])/TblConstr[[#This Row],[Land]]</f>
        <v>0</v>
      </c>
      <c r="DI18" s="254">
        <f ca="1">TblMili[[#This Row],[Raw (2)]]*(1+race_wizard_strength+IF(TblMili[[#This Row],[Hour]]&gt;72,tech_magical_weaponry_wiz*TblTech[[#This Row],[3-5]],0))</f>
        <v>0</v>
      </c>
    </row>
    <row r="19" spans="1:113" x14ac:dyDescent="0.2">
      <c r="A19" s="137">
        <f>TblRezone[[#This Row],[Hour]]</f>
        <v>16</v>
      </c>
      <c r="B19" s="246">
        <f ca="1">SUM(TblMili[[#This Row],[Unit 1]:[Archmages]])+SUM(OFFSET(TblMili[[#This Row],[Train Unit 1]],-8,0):TblMili[[#This Row],[Train Unit 2]]) + SUM(OFFSET(TblMili[[#This Row],[Train Unit 3]],-11,0):TblMili[[#This Row],[Train AM]]) + TblMili[[#This Row],[Draftees]]</f>
        <v>364</v>
      </c>
      <c r="C19" s="157">
        <f ca="1">TblPop[[#This Row],[Military%]]</f>
        <v>0.47334200260078024</v>
      </c>
      <c r="D19" s="142"/>
      <c r="E19" s="45">
        <f ca="1">OFFSET(TblMili[[#This Row],[Unit 1]],-1,0) + OFFSET(TblMili[[#This Row],[Train Unit 1]],-9,0) - TblMili[[#This Row],[Release Unit 1]] + OFFSET(TblMili[[#This Row],[DnD_Zombies]],-12,0)</f>
        <v>0</v>
      </c>
      <c r="F19" s="45">
        <f ca="1">OFFSET(TblMili[[#This Row],[Unit 2]],-1,0) + OFFSET(TblMili[[#This Row],[Train Unit 2]],-9,0)-TblMili[[#This Row],[Release Unit 2]]</f>
        <v>0</v>
      </c>
      <c r="G19" s="45">
        <f ca="1">OFFSET(TblMili[[#This Row],[Unit 3]],-1,0) + OFFSET(TblMili[[#This Row],[Train Unit 3]],-12,0)-TblMili[[#This Row],[Release Unit 3]]</f>
        <v>0</v>
      </c>
      <c r="H19" s="45">
        <f ca="1">OFFSET(TblMili[[#This Row],[Unit 4]],-1,0) + OFFSET(TblMili[[#This Row],[Train Unit 4]],-12,0)-TblMili[[#This Row],[Release Unit 4]]</f>
        <v>0</v>
      </c>
      <c r="I19" s="45">
        <f ca="1">OFFSET(TblMili[[#This Row],[Spies]],-1,0) + OFFSET(TblMili[[#This Row],[Train Spies]],-12,0) - TblMili[[#This Row],[Release Spies]]-TblMili[[#This Row],[Train AS]]</f>
        <v>0</v>
      </c>
      <c r="J19" s="45">
        <f ca="1">OFFSET(TblMili[[#This Row],[Archspies]],-1,0) + OFFSET(TblMili[[#This Row],[Train AS]],-12,0) - TblMili[[#This Row],[Release AS]]</f>
        <v>0</v>
      </c>
      <c r="K19" s="45">
        <f ca="1">OFFSET(TblMili[[#This Row],[Wizards]],-1,0) + OFFSET(TblMili[[#This Row],[Train Wiz]],-12,0) - TblMili[[#This Row],[Release Wizards]]-TblMili[[#This Row],[Train AM]] + IF(TblMagic[[#This Row],[Active Arc Infusion]]&gt;0,TblMili[[#This Row],[Train AM]])</f>
        <v>0</v>
      </c>
      <c r="L19" s="45">
        <f ca="1">OFFSET(TblMili[[#This Row],[Archmages]],-1,0) + OFFSET(TblMili[[#This Row],[Train AM]],-12,0) - TblMili[[#This Row],[Release AM]]</f>
        <v>0</v>
      </c>
      <c r="M19" s="142"/>
      <c r="N19" s="94">
        <f ca="1">TblProd[[#This Row],[Networth]]</f>
        <v>1250</v>
      </c>
      <c r="O19" s="142"/>
      <c r="P19"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9" s="247">
        <f ca="1">TblMili[[#This Row],[Raw]]*(1+TblMili[[#This Row],[Mods_Off]])</f>
        <v>0</v>
      </c>
      <c r="S19"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9" s="247">
        <f ca="1">TblMili[[#This Row],[Non Draft]]+TblMili[[#This Row],[Draftees]]</f>
        <v>364</v>
      </c>
      <c r="U19" s="248">
        <f ca="1">race_defense + TblImps[[#This Row],[Walls]] + ROUND( MIN(gt_bonus*TblConstr[[#This Row],[Tot GT]]/TblConstr[[#This Row],[Land]],gt_bonus_cap), 4) + IF(TblMagic[[#This Row],[Active Howling]]&gt;0,howling_dp_bonus,IF(TblMagic[[#This Row],[Active Ares Call]]&gt;0,ares_call_bonus))</f>
        <v>0</v>
      </c>
      <c r="V19" s="249">
        <f ca="1">TblMili[[#This Row],[Non Draft]] * (1 + TblMili[[#This Row],[Mods_Def]])</f>
        <v>0</v>
      </c>
      <c r="W19" s="247">
        <f ca="1">TblMili[[#This Row],[Draft]] * (1 + TblMili[[#This Row],[Mods_Def]])</f>
        <v>364</v>
      </c>
      <c r="X19" s="247">
        <f ca="1">TblConstr[[#This Row],[Land]]</f>
        <v>50</v>
      </c>
      <c r="Y19" s="250"/>
      <c r="Z19" s="255">
        <f ca="1">IF(TblMili[[#This Row],[Set]]&lt;&gt;"",TblMili[[#This Row],[Set]],OFFSET(TblMili[[#This Row],[Draftrate]],-1,0))</f>
        <v>0.9</v>
      </c>
      <c r="AA19"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364</v>
      </c>
      <c r="AB19" s="154"/>
      <c r="AC19" s="180">
        <f ca="1">(TblConstr[[#This Row],[Tot Smi]]+TblConstr[[#This Row],[Dest Smi]])/(TblConstr[[#This Row],[Land]]-TblExplore[[#This Row],[Land Bonus]]*20)</f>
        <v>0</v>
      </c>
      <c r="AD19" s="137"/>
      <c r="AE19" s="246">
        <f>TblMili[[#This Row],[Hour]]</f>
        <v>16</v>
      </c>
      <c r="AF19" s="138">
        <f ca="1">TblExplore[[#This Row],[Time]]</f>
        <v>46320.624999999964</v>
      </c>
      <c r="AG19" s="179"/>
      <c r="AH19" s="179"/>
      <c r="AI19" s="179"/>
      <c r="AJ19" s="179"/>
      <c r="AK19" s="179"/>
      <c r="AL19" s="179"/>
      <c r="AM19" s="179"/>
      <c r="AN19" s="179"/>
      <c r="AO19" s="420">
        <f ca="1">ROUND(IF(AND(TblMagic[[#This Row],[Active DnD]]&lt;12,TblMagic[[#This Row],[Active DnD]]&gt;5),OFFSET(TblPop[[#This Row],[Draft Growth]],-1,0)*0.375,0),0)</f>
        <v>0</v>
      </c>
      <c r="AP19" s="142"/>
      <c r="AQ19" s="94">
        <f ca="1">TblProd[[#This Row],[Platinum]]</f>
        <v>137718</v>
      </c>
      <c r="AR19" s="94">
        <f ca="1">INDEX(TblProd[[#Headers],[Lumber]]:TblProd[[#This Row],[Ore]],COUNTA(TblProd[[#Headers],[Lumber]]:TblProd[[#This Row],[Lumber]]),MATCH(Military!$AR$2,TblProd[[#Headers],[Lumber]:[Ore]],0))</f>
        <v>0</v>
      </c>
      <c r="AS1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9" s="94">
        <f ca="1">TblMili[[#This Row],[Train Unit 1]]*TblMili[[#This Row],[OP Ore]]+TblMili[[#This Row],[Train Unit 2]]*TblMili[[#This Row],[DP Ore]]+TblMili[[#This Row],[Train Unit 3]]*TblMili[[#This Row],[E1 Ore]]+TblMili[[#This Row],[Train Unit 4]]*TblMili[[#This Row],[E2 Ore]]</f>
        <v>0</v>
      </c>
      <c r="AU19" s="142">
        <f>TblMili[[#This Row],[Hour]]</f>
        <v>16</v>
      </c>
      <c r="AV19" s="152">
        <f ca="1">TblMili[[#This Row],[Time]]</f>
        <v>46320.624999999964</v>
      </c>
      <c r="AW19" s="94">
        <f ca="1">TblMili[[#This Row],[Draftees]]</f>
        <v>364</v>
      </c>
      <c r="AX19" s="179"/>
      <c r="AY19" s="179"/>
      <c r="AZ19" s="179"/>
      <c r="BA19" s="179"/>
      <c r="BB19" s="179"/>
      <c r="BC19" s="179"/>
      <c r="BD19" s="179"/>
      <c r="BE19" s="179"/>
      <c r="BF19" s="179"/>
      <c r="BG19" s="142"/>
      <c r="BH19" s="157">
        <f ca="1">TblConstr[[#This Row],[Tot WG]]/TblConstr[[#This Row],[Land]]</f>
        <v>0</v>
      </c>
      <c r="BI19" s="157">
        <f ca="1">TblConstr[[#This Row],[Tot Hav]]/TblConstr[[#This Row],[Land]]</f>
        <v>0</v>
      </c>
      <c r="BJ19" s="94">
        <f ca="1">ROUNDUP((1-MIN(TblMili[[#This Row],[Smithies]]*smithy_bonus,smithy_bonus_cap) + tech_3_5*TblTech[[#This Row],[3-5]] + tech_5_3*TblTech[[#This Row],[5-3]] + tech_5_5*TblTech[[#This Row],[5-5]])*spec_op_plat,0)</f>
        <v>315</v>
      </c>
      <c r="BK19" s="94">
        <f ca="1">ROUNDUP(IF(race="Gnome",1,(1-MIN(TblMili[[#This Row],[Smithies]]*smithy_bonus,smithy_bonus_cap) + tech_3_5*TblTech[[#This Row],[3-5]] + tech_5_3*TblTech[[#This Row],[5-3]] + tech_5_5*TblTech[[#This Row],[5-5]]))*spec_op_ore,0)</f>
        <v>25</v>
      </c>
      <c r="BL19" s="94">
        <f ca="1">ROUNDUP((1-MIN(TblMili[[#This Row],[Smithies]]*smithy_bonus,smithy_bonus_cap) + tech_3_5*TblTech[[#This Row],[3-5]] + tech_5_3*TblTech[[#This Row],[5-3]] + tech_5_5*TblTech[[#This Row],[5-5]])*spec_dp_plat,0)</f>
        <v>275</v>
      </c>
      <c r="BM19" s="94">
        <f ca="1">ROUNDUP(IF(race="Gnome",1,(1-MIN(TblMili[[#This Row],[Smithies]]*smithy_bonus,smithy_bonus_cap) + tech_3_5*TblTech[[#This Row],[3-5]] + tech_5_3*TblTech[[#This Row],[5-3]] + tech_5_5*TblTech[[#This Row],[5-5]]))*spec_dp_ore,0)</f>
        <v>15</v>
      </c>
      <c r="BN19" s="94">
        <f ca="1">ROUNDUP((1-MIN(TblMili[[#This Row],[Smithies]]*smithy_bonus,smithy_bonus_cap) + tech_3_5*TblTech[[#This Row],[3-5]] + tech_5_3*TblTech[[#This Row],[5-3]] + tech_5_5*TblTech[[#This Row],[5-5]])*elite1_plat,0)</f>
        <v>1040</v>
      </c>
      <c r="BO19" s="94">
        <f ca="1">ROUNDUP(IF(race="Gnome",1,(1-MIN(TblMili[[#This Row],[Smithies]]*smithy_bonus,smithy_bonus_cap) + tech_3_5*TblTech[[#This Row],[3-5]] + tech_5_3*TblTech[[#This Row],[5-3]] + tech_5_5*TblTech[[#This Row],[5-5]]))*elite1_ore,0)</f>
        <v>75</v>
      </c>
      <c r="BP19" s="94">
        <f ca="1">ROUNDUP((1-MIN(TblMili[[#This Row],[Smithies]]*smithy_bonus,smithy_bonus_cap) + tech_3_5*TblTech[[#This Row],[3-5]] + tech_5_3*TblTech[[#This Row],[5-3]] + tech_5_5*TblTech[[#This Row],[5-5]])*elite2_plat,0)</f>
        <v>1280</v>
      </c>
      <c r="BQ19" s="94">
        <f ca="1">ROUNDUP(IF(race="Gnome",1,(1-MIN(TblMili[[#This Row],[Smithies]]*smithy_bonus,smithy_bonus_cap) + tech_3_5*TblTech[[#This Row],[3-5]] + tech_5_3*TblTech[[#This Row],[5-3]] + tech_5_5*TblTech[[#This Row],[5-5]]))*elite2_ore,0)</f>
        <v>100</v>
      </c>
      <c r="BR19" s="94">
        <f ca="1">ROUNDUP((1-MIN(ROUND(fh_spy_cost_red*TblMili[[#This Row],[FH''s]],4),fh_spy_cost_cap)+ tech_1_9*TblTech[[#This Row],[1-9]] + tech_9_1*TblTech[[#This Row],[9-1]])*spy_plat,0)</f>
        <v>500</v>
      </c>
      <c r="BS19" s="94">
        <f ca="1">ROUNDUP((1-MIN(ROUND(fh_spy_cost_red*TblMili[[#This Row],[FH''s]],4),fh_spy_cost_cap)+ tech_1_9*TblTech[[#This Row],[1-9]] + tech_9_1*TblTech[[#This Row],[9-1]])*archspy_plat,0)</f>
        <v>1000</v>
      </c>
      <c r="BT19" s="94">
        <f ca="1">ROUNDUP((1-MIN(ROUND(wg_wiz_cost_bonus*TblMili[[#This Row],[WG''s]],4),wg_wiz_cost_cap) + tech_1_9_2*TblTech[[#This Row],[1-9]] + tech_9_1_2*TblTech[[#This Row],[9-1]])*wizard_plat,0)</f>
        <v>500</v>
      </c>
      <c r="BU19" s="94">
        <f ca="1">ROUNDUP((1-MIN(ROUND(wg_wiz_cost_bonus*TblMili[[#This Row],[WG''s]],4),wg_wiz_cost_cap) + tech_1_9_2*TblTech[[#This Row],[1-9]] + tech_9_1_2*TblTech[[#This Row],[9-1]])*(archmage_plat + IF(TblMagic[[#This Row],[Active Arc Infusion]]&gt;0,400,0)),0)</f>
        <v>1000</v>
      </c>
      <c r="BV19" s="142"/>
      <c r="BW19" s="157">
        <f ca="1">TblConstr[[#This Row],[Homeland]]/TblConstr[[#This Row],[Land]]</f>
        <v>0.6</v>
      </c>
      <c r="BX19" s="157">
        <f ca="1">TblMili[[#This Row],[WG''s]]</f>
        <v>0</v>
      </c>
      <c r="BY19" s="251">
        <f ca="1">IF(mystic_cap="none",TblMili[[#This Row],[Homeland%]]/mystic_bonus,MIN(mystic_cap,TblMili[[#This Row],[Homeland%]]/mystic_bonus))</f>
        <v>2</v>
      </c>
      <c r="BZ19" s="251">
        <f ca="1">IF(druid_op_cap="none",TblMili[[#This Row],[Homeland%]]/druid_op_bonus,MIN(druid_op_cap,TblMili[[#This Row],[Homeland%]]/druid_op_bonus))</f>
        <v>2</v>
      </c>
      <c r="CA19" s="251">
        <f ca="1">IF(druid_dp_cap="none",TblMili[[#This Row],[Homeland%]]/druid_dp_bonus,MIN(druid_dp_cap,TblMili[[#This Row],[Homeland%]]/druid_dp_bonus))</f>
        <v>2</v>
      </c>
      <c r="CB19" s="251">
        <f ca="1">MIN(dryad_cap,TblMili[[#This Row],[Homeland%]]/dryad_bonus)</f>
        <v>2.9999999999999996</v>
      </c>
      <c r="CC19" s="251">
        <f ca="1">MIN(rocka_cap,TblMili[[#This Row],[Homeland%]]/rocka_bonus)</f>
        <v>2</v>
      </c>
      <c r="CD19" s="251">
        <f ca="1">MIN(adept_op_cap,TblMili[[#This Row],[WG]]/adept_op_bonus)</f>
        <v>0</v>
      </c>
      <c r="CE19" s="251">
        <f ca="1">MIN(adept_dp_cap,TblMili[[#This Row],[WG]]/adept_dp_bonus)</f>
        <v>0</v>
      </c>
      <c r="CF19" s="94">
        <f ca="1">MIN(TblMili[[#This Row],[Unit 3]],TblMili[[#This Row],[Unit 2]])*2</f>
        <v>0</v>
      </c>
      <c r="CG19" s="94">
        <f ca="1">MIN(TblMili[[#This Row],[Unit 1]],TblMili[[#This Row],[Unit 4]])*2</f>
        <v>0</v>
      </c>
      <c r="CH19" s="251">
        <f ca="1">MIN(frost_mage_cap,TblMili[[#This Row],[Homeland%]]/frost_mage_bonus)</f>
        <v>2.9999999999999996</v>
      </c>
      <c r="CI19" s="45">
        <f ca="1">MIN(ice_elem_cap,TblMili[[#This Row],[Raw (2)]]*ice_elem_bonus)</f>
        <v>0</v>
      </c>
      <c r="CJ19" s="251">
        <f t="shared" si="0"/>
        <v>0.83333333333333337</v>
      </c>
      <c r="CK19" s="251">
        <f ca="1">MIN(nox_nightshade_cap,TblConstr[[#This Row],[Homeland]]/TblConstr[[#This Row],[Land]]/nox_nightshade_swamp_bonus)</f>
        <v>4</v>
      </c>
      <c r="CL19" s="251">
        <f ca="1">MIN(TblConstr[[#This Row],[Total Swamp]]/TblConstr[[#This Row],[Land]]/abyss_enforce_bonus,abyss_enforcer_cap)</f>
        <v>0</v>
      </c>
      <c r="CM19" s="251">
        <f ca="1">IF(TblMagic[[#This Row],[Active Infernal Command]]&gt;0,TblMili[[#This Row],[Unit 1]]*infernal_cmd_op,0)</f>
        <v>0</v>
      </c>
      <c r="CN19" s="252" t="s">
        <v>521</v>
      </c>
      <c r="CO19" s="252">
        <f>VLOOKUP(Overview!$A24,Races!$D$4:$H$120,3,FALSE)</f>
        <v>6</v>
      </c>
      <c r="CP19" s="252"/>
      <c r="CQ19" s="251">
        <f ca="1">TblMili[[#This Row],[Mystic]]*2</f>
        <v>4</v>
      </c>
      <c r="CR19" s="251">
        <f ca="1">TblMili[[#This Row],[Druid (op)]]*2</f>
        <v>4</v>
      </c>
      <c r="CS19" s="94">
        <f ca="1">TblMili[[#This Row],[Mystic bonus]]*TblMili[[#This Row],[Unit 3]]+TblMili[[#This Row],[Druid bonus]]*TblMili[[#This Row],[Unit 4]]</f>
        <v>0</v>
      </c>
      <c r="CT19" s="155">
        <f ca="1">TblMili[[#This Row],[Dryad]]*2</f>
        <v>5.9999999999999991</v>
      </c>
      <c r="CU19" s="94">
        <f ca="1">sylvan*(TblMili[[#This Row],[Mystic bonus]]*TblMili[[#This Row],[Unit 3]])</f>
        <v>0</v>
      </c>
      <c r="CV19" s="155">
        <f ca="1">TblMili[[#This Row],[Rockapult]]*2</f>
        <v>4</v>
      </c>
      <c r="CW19" s="94">
        <f ca="1">gnome*(TblMili[[#This Row],[Rockapult bonus]]*TblMili[[#This Row],[Unit 3]])</f>
        <v>0</v>
      </c>
      <c r="CX19" s="155">
        <f ca="1">TblMili[[#This Row],[Adept-DP]]*2</f>
        <v>0</v>
      </c>
      <c r="CY19" s="94">
        <f ca="1">dark_elf*(TblMili[[#This Row],[Adept bonus]]*TblMili[[#This Row],[Unit 3]])</f>
        <v>0</v>
      </c>
      <c r="CZ19" s="155">
        <f ca="1">TblMili[[#This Row],[Frost Mage]]*2</f>
        <v>5.9999999999999991</v>
      </c>
      <c r="DA19" s="155">
        <f ca="1">TblMili[[#This Row],[Ice Elemental]]*2</f>
        <v>0</v>
      </c>
      <c r="DB19" s="94">
        <f ca="1">TblMili[[#This Row],[Frost Mage bonus]]*TblMili[[#This Row],[Unit 3]]+TblMili[[#This Row],[Ice Elemental bonus]]*TblMili[[#This Row],[Unit 4]]</f>
        <v>0</v>
      </c>
      <c r="DC19" s="253"/>
      <c r="DD19" s="143">
        <f ca="1">MIN(SUM(TblConstr[[#This Row],[Plain]:[Water]])/TblMili[[#This Row],[Land]]/favorable_terrain_bonus/100,favorable_terrain_max)</f>
        <v>0</v>
      </c>
      <c r="DE19" s="253"/>
      <c r="DF1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9" s="142"/>
      <c r="DH19" s="254">
        <f ca="1">(TblMili[[#This Row],[Wizards]]+2*TblMili[[#This Row],[Archmages]])/TblConstr[[#This Row],[Land]]</f>
        <v>0</v>
      </c>
      <c r="DI19" s="254">
        <f ca="1">TblMili[[#This Row],[Raw (2)]]*(1+race_wizard_strength+IF(TblMili[[#This Row],[Hour]]&gt;72,tech_magical_weaponry_wiz*TblTech[[#This Row],[3-5]],0))</f>
        <v>0</v>
      </c>
    </row>
    <row r="20" spans="1:113" x14ac:dyDescent="0.2">
      <c r="A20" s="137">
        <f>TblRezone[[#This Row],[Hour]]</f>
        <v>17</v>
      </c>
      <c r="B20" s="246">
        <f ca="1">SUM(TblMili[[#This Row],[Unit 1]:[Archmages]])+SUM(OFFSET(TblMili[[#This Row],[Train Unit 1]],-8,0):TblMili[[#This Row],[Train Unit 2]]) + SUM(OFFSET(TblMili[[#This Row],[Train Unit 3]],-11,0):TblMili[[#This Row],[Train AM]]) + TblMili[[#This Row],[Draftees]]</f>
        <v>368</v>
      </c>
      <c r="C20" s="157">
        <f ca="1">TblPop[[#This Row],[Military%]]</f>
        <v>0.47854356306892065</v>
      </c>
      <c r="D20" s="142"/>
      <c r="E20" s="45">
        <f ca="1">OFFSET(TblMili[[#This Row],[Unit 1]],-1,0) + OFFSET(TblMili[[#This Row],[Train Unit 1]],-9,0) - TblMili[[#This Row],[Release Unit 1]] + OFFSET(TblMili[[#This Row],[DnD_Zombies]],-12,0)</f>
        <v>0</v>
      </c>
      <c r="F20" s="45">
        <f ca="1">OFFSET(TblMili[[#This Row],[Unit 2]],-1,0) + OFFSET(TblMili[[#This Row],[Train Unit 2]],-9,0)-TblMili[[#This Row],[Release Unit 2]]</f>
        <v>0</v>
      </c>
      <c r="G20" s="45">
        <f ca="1">OFFSET(TblMili[[#This Row],[Unit 3]],-1,0) + OFFSET(TblMili[[#This Row],[Train Unit 3]],-12,0)-TblMili[[#This Row],[Release Unit 3]]</f>
        <v>0</v>
      </c>
      <c r="H20" s="45">
        <f ca="1">OFFSET(TblMili[[#This Row],[Unit 4]],-1,0) + OFFSET(TblMili[[#This Row],[Train Unit 4]],-12,0)-TblMili[[#This Row],[Release Unit 4]]</f>
        <v>0</v>
      </c>
      <c r="I20" s="45">
        <f ca="1">OFFSET(TblMili[[#This Row],[Spies]],-1,0) + OFFSET(TblMili[[#This Row],[Train Spies]],-12,0) - TblMili[[#This Row],[Release Spies]]-TblMili[[#This Row],[Train AS]]</f>
        <v>0</v>
      </c>
      <c r="J20" s="45">
        <f ca="1">OFFSET(TblMili[[#This Row],[Archspies]],-1,0) + OFFSET(TblMili[[#This Row],[Train AS]],-12,0) - TblMili[[#This Row],[Release AS]]</f>
        <v>0</v>
      </c>
      <c r="K20" s="45">
        <f ca="1">OFFSET(TblMili[[#This Row],[Wizards]],-1,0) + OFFSET(TblMili[[#This Row],[Train Wiz]],-12,0) - TblMili[[#This Row],[Release Wizards]]-TblMili[[#This Row],[Train AM]] + IF(TblMagic[[#This Row],[Active Arc Infusion]]&gt;0,TblMili[[#This Row],[Train AM]])</f>
        <v>0</v>
      </c>
      <c r="L20" s="45">
        <f ca="1">OFFSET(TblMili[[#This Row],[Archmages]],-1,0) + OFFSET(TblMili[[#This Row],[Train AM]],-12,0) - TblMili[[#This Row],[Release AM]]</f>
        <v>0</v>
      </c>
      <c r="M20" s="142"/>
      <c r="N20" s="94">
        <f ca="1">TblProd[[#This Row],[Networth]]</f>
        <v>1250</v>
      </c>
      <c r="O20" s="142"/>
      <c r="P20"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2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0" s="247">
        <f ca="1">TblMili[[#This Row],[Raw]]*(1+TblMili[[#This Row],[Mods_Off]])</f>
        <v>0</v>
      </c>
      <c r="S20"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20" s="247">
        <f ca="1">TblMili[[#This Row],[Non Draft]]+TblMili[[#This Row],[Draftees]]</f>
        <v>368</v>
      </c>
      <c r="U20" s="248">
        <f ca="1">race_defense + TblImps[[#This Row],[Walls]] + ROUND( MIN(gt_bonus*TblConstr[[#This Row],[Tot GT]]/TblConstr[[#This Row],[Land]],gt_bonus_cap), 4) + IF(TblMagic[[#This Row],[Active Howling]]&gt;0,howling_dp_bonus,IF(TblMagic[[#This Row],[Active Ares Call]]&gt;0,ares_call_bonus))</f>
        <v>0</v>
      </c>
      <c r="V20" s="249">
        <f ca="1">TblMili[[#This Row],[Non Draft]] * (1 + TblMili[[#This Row],[Mods_Def]])</f>
        <v>0</v>
      </c>
      <c r="W20" s="247">
        <f ca="1">TblMili[[#This Row],[Draft]] * (1 + TblMili[[#This Row],[Mods_Def]])</f>
        <v>368</v>
      </c>
      <c r="X20" s="247">
        <f ca="1">TblConstr[[#This Row],[Land]]</f>
        <v>50</v>
      </c>
      <c r="Y20" s="250"/>
      <c r="Z20" s="255">
        <f ca="1">IF(TblMili[[#This Row],[Set]]&lt;&gt;"",TblMili[[#This Row],[Set]],OFFSET(TblMili[[#This Row],[Draftrate]],-1,0))</f>
        <v>0.9</v>
      </c>
      <c r="AA20"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368</v>
      </c>
      <c r="AB20" s="154"/>
      <c r="AC20" s="180">
        <f ca="1">(TblConstr[[#This Row],[Tot Smi]]+TblConstr[[#This Row],[Dest Smi]])/(TblConstr[[#This Row],[Land]]-TblExplore[[#This Row],[Land Bonus]]*20)</f>
        <v>0</v>
      </c>
      <c r="AD20" s="137"/>
      <c r="AE20" s="246">
        <f>TblMili[[#This Row],[Hour]]</f>
        <v>17</v>
      </c>
      <c r="AF20" s="138">
        <f ca="1">TblExplore[[#This Row],[Time]]</f>
        <v>46320.666666666628</v>
      </c>
      <c r="AG20" s="179"/>
      <c r="AH20" s="179"/>
      <c r="AI20" s="179"/>
      <c r="AJ20" s="179"/>
      <c r="AK20" s="179"/>
      <c r="AL20" s="179"/>
      <c r="AM20" s="179"/>
      <c r="AN20" s="179"/>
      <c r="AO20" s="420">
        <f ca="1">ROUND(IF(AND(TblMagic[[#This Row],[Active DnD]]&lt;12,TblMagic[[#This Row],[Active DnD]]&gt;5),OFFSET(TblPop[[#This Row],[Draft Growth]],-1,0)*0.375,0),0)</f>
        <v>0</v>
      </c>
      <c r="AP20" s="142"/>
      <c r="AQ20" s="94">
        <f ca="1">TblProd[[#This Row],[Platinum]]</f>
        <v>138811</v>
      </c>
      <c r="AR20" s="94">
        <f ca="1">INDEX(TblProd[[#Headers],[Lumber]]:TblProd[[#This Row],[Ore]],COUNTA(TblProd[[#Headers],[Lumber]]:TblProd[[#This Row],[Lumber]]),MATCH(Military!$AR$2,TblProd[[#Headers],[Lumber]:[Ore]],0))</f>
        <v>0</v>
      </c>
      <c r="AS2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20" s="94">
        <f ca="1">TblMili[[#This Row],[Train Unit 1]]*TblMili[[#This Row],[OP Ore]]+TblMili[[#This Row],[Train Unit 2]]*TblMili[[#This Row],[DP Ore]]+TblMili[[#This Row],[Train Unit 3]]*TblMili[[#This Row],[E1 Ore]]+TblMili[[#This Row],[Train Unit 4]]*TblMili[[#This Row],[E2 Ore]]</f>
        <v>0</v>
      </c>
      <c r="AU20" s="142">
        <f>TblMili[[#This Row],[Hour]]</f>
        <v>17</v>
      </c>
      <c r="AV20" s="152">
        <f ca="1">TblMili[[#This Row],[Time]]</f>
        <v>46320.666666666628</v>
      </c>
      <c r="AW20" s="94">
        <f ca="1">TblMili[[#This Row],[Draftees]]</f>
        <v>368</v>
      </c>
      <c r="AX20" s="179"/>
      <c r="AY20" s="179"/>
      <c r="AZ20" s="179"/>
      <c r="BA20" s="179"/>
      <c r="BB20" s="179"/>
      <c r="BC20" s="179"/>
      <c r="BD20" s="179"/>
      <c r="BE20" s="179"/>
      <c r="BF20" s="179"/>
      <c r="BG20" s="142"/>
      <c r="BH20" s="157">
        <f ca="1">TblConstr[[#This Row],[Tot WG]]/TblConstr[[#This Row],[Land]]</f>
        <v>0</v>
      </c>
      <c r="BI20" s="157">
        <f ca="1">TblConstr[[#This Row],[Tot Hav]]/TblConstr[[#This Row],[Land]]</f>
        <v>0</v>
      </c>
      <c r="BJ20" s="94">
        <f ca="1">ROUNDUP((1-MIN(TblMili[[#This Row],[Smithies]]*smithy_bonus,smithy_bonus_cap) + tech_3_5*TblTech[[#This Row],[3-5]] + tech_5_3*TblTech[[#This Row],[5-3]] + tech_5_5*TblTech[[#This Row],[5-5]])*spec_op_plat,0)</f>
        <v>315</v>
      </c>
      <c r="BK20" s="94">
        <f ca="1">ROUNDUP(IF(race="Gnome",1,(1-MIN(TblMili[[#This Row],[Smithies]]*smithy_bonus,smithy_bonus_cap) + tech_3_5*TblTech[[#This Row],[3-5]] + tech_5_3*TblTech[[#This Row],[5-3]] + tech_5_5*TblTech[[#This Row],[5-5]]))*spec_op_ore,0)</f>
        <v>25</v>
      </c>
      <c r="BL20" s="94">
        <f ca="1">ROUNDUP((1-MIN(TblMili[[#This Row],[Smithies]]*smithy_bonus,smithy_bonus_cap) + tech_3_5*TblTech[[#This Row],[3-5]] + tech_5_3*TblTech[[#This Row],[5-3]] + tech_5_5*TblTech[[#This Row],[5-5]])*spec_dp_plat,0)</f>
        <v>275</v>
      </c>
      <c r="BM20" s="94">
        <f ca="1">ROUNDUP(IF(race="Gnome",1,(1-MIN(TblMili[[#This Row],[Smithies]]*smithy_bonus,smithy_bonus_cap) + tech_3_5*TblTech[[#This Row],[3-5]] + tech_5_3*TblTech[[#This Row],[5-3]] + tech_5_5*TblTech[[#This Row],[5-5]]))*spec_dp_ore,0)</f>
        <v>15</v>
      </c>
      <c r="BN20" s="94">
        <f ca="1">ROUNDUP((1-MIN(TblMili[[#This Row],[Smithies]]*smithy_bonus,smithy_bonus_cap) + tech_3_5*TblTech[[#This Row],[3-5]] + tech_5_3*TblTech[[#This Row],[5-3]] + tech_5_5*TblTech[[#This Row],[5-5]])*elite1_plat,0)</f>
        <v>1040</v>
      </c>
      <c r="BO20" s="94">
        <f ca="1">ROUNDUP(IF(race="Gnome",1,(1-MIN(TblMili[[#This Row],[Smithies]]*smithy_bonus,smithy_bonus_cap) + tech_3_5*TblTech[[#This Row],[3-5]] + tech_5_3*TblTech[[#This Row],[5-3]] + tech_5_5*TblTech[[#This Row],[5-5]]))*elite1_ore,0)</f>
        <v>75</v>
      </c>
      <c r="BP20" s="94">
        <f ca="1">ROUNDUP((1-MIN(TblMili[[#This Row],[Smithies]]*smithy_bonus,smithy_bonus_cap) + tech_3_5*TblTech[[#This Row],[3-5]] + tech_5_3*TblTech[[#This Row],[5-3]] + tech_5_5*TblTech[[#This Row],[5-5]])*elite2_plat,0)</f>
        <v>1280</v>
      </c>
      <c r="BQ20" s="94">
        <f ca="1">ROUNDUP(IF(race="Gnome",1,(1-MIN(TblMili[[#This Row],[Smithies]]*smithy_bonus,smithy_bonus_cap) + tech_3_5*TblTech[[#This Row],[3-5]] + tech_5_3*TblTech[[#This Row],[5-3]] + tech_5_5*TblTech[[#This Row],[5-5]]))*elite2_ore,0)</f>
        <v>100</v>
      </c>
      <c r="BR20" s="94">
        <f ca="1">ROUNDUP((1-MIN(ROUND(fh_spy_cost_red*TblMili[[#This Row],[FH''s]],4),fh_spy_cost_cap)+ tech_1_9*TblTech[[#This Row],[1-9]] + tech_9_1*TblTech[[#This Row],[9-1]])*spy_plat,0)</f>
        <v>500</v>
      </c>
      <c r="BS20" s="94">
        <f ca="1">ROUNDUP((1-MIN(ROUND(fh_spy_cost_red*TblMili[[#This Row],[FH''s]],4),fh_spy_cost_cap)+ tech_1_9*TblTech[[#This Row],[1-9]] + tech_9_1*TblTech[[#This Row],[9-1]])*archspy_plat,0)</f>
        <v>1000</v>
      </c>
      <c r="BT20" s="94">
        <f ca="1">ROUNDUP((1-MIN(ROUND(wg_wiz_cost_bonus*TblMili[[#This Row],[WG''s]],4),wg_wiz_cost_cap) + tech_1_9_2*TblTech[[#This Row],[1-9]] + tech_9_1_2*TblTech[[#This Row],[9-1]])*wizard_plat,0)</f>
        <v>500</v>
      </c>
      <c r="BU20" s="94">
        <f ca="1">ROUNDUP((1-MIN(ROUND(wg_wiz_cost_bonus*TblMili[[#This Row],[WG''s]],4),wg_wiz_cost_cap) + tech_1_9_2*TblTech[[#This Row],[1-9]] + tech_9_1_2*TblTech[[#This Row],[9-1]])*(archmage_plat + IF(TblMagic[[#This Row],[Active Arc Infusion]]&gt;0,400,0)),0)</f>
        <v>1000</v>
      </c>
      <c r="BV20" s="142"/>
      <c r="BW20" s="157">
        <f ca="1">TblConstr[[#This Row],[Homeland]]/TblConstr[[#This Row],[Land]]</f>
        <v>0.6</v>
      </c>
      <c r="BX20" s="157">
        <f ca="1">TblMili[[#This Row],[WG''s]]</f>
        <v>0</v>
      </c>
      <c r="BY20" s="251">
        <f ca="1">IF(mystic_cap="none",TblMili[[#This Row],[Homeland%]]/mystic_bonus,MIN(mystic_cap,TblMili[[#This Row],[Homeland%]]/mystic_bonus))</f>
        <v>2</v>
      </c>
      <c r="BZ20" s="251">
        <f ca="1">IF(druid_op_cap="none",TblMili[[#This Row],[Homeland%]]/druid_op_bonus,MIN(druid_op_cap,TblMili[[#This Row],[Homeland%]]/druid_op_bonus))</f>
        <v>2</v>
      </c>
      <c r="CA20" s="251">
        <f ca="1">IF(druid_dp_cap="none",TblMili[[#This Row],[Homeland%]]/druid_dp_bonus,MIN(druid_dp_cap,TblMili[[#This Row],[Homeland%]]/druid_dp_bonus))</f>
        <v>2</v>
      </c>
      <c r="CB20" s="251">
        <f ca="1">MIN(dryad_cap,TblMili[[#This Row],[Homeland%]]/dryad_bonus)</f>
        <v>2.9999999999999996</v>
      </c>
      <c r="CC20" s="251">
        <f ca="1">MIN(rocka_cap,TblMili[[#This Row],[Homeland%]]/rocka_bonus)</f>
        <v>2</v>
      </c>
      <c r="CD20" s="251">
        <f ca="1">MIN(adept_op_cap,TblMili[[#This Row],[WG]]/adept_op_bonus)</f>
        <v>0</v>
      </c>
      <c r="CE20" s="251">
        <f ca="1">MIN(adept_dp_cap,TblMili[[#This Row],[WG]]/adept_dp_bonus)</f>
        <v>0</v>
      </c>
      <c r="CF20" s="94">
        <f ca="1">MIN(TblMili[[#This Row],[Unit 3]],TblMili[[#This Row],[Unit 2]])*2</f>
        <v>0</v>
      </c>
      <c r="CG20" s="94">
        <f ca="1">MIN(TblMili[[#This Row],[Unit 1]],TblMili[[#This Row],[Unit 4]])*2</f>
        <v>0</v>
      </c>
      <c r="CH20" s="251">
        <f ca="1">MIN(frost_mage_cap,TblMili[[#This Row],[Homeland%]]/frost_mage_bonus)</f>
        <v>2.9999999999999996</v>
      </c>
      <c r="CI20" s="45">
        <f ca="1">MIN(ice_elem_cap,TblMili[[#This Row],[Raw (2)]]*ice_elem_bonus)</f>
        <v>0</v>
      </c>
      <c r="CJ20" s="251">
        <f t="shared" si="0"/>
        <v>0.83333333333333337</v>
      </c>
      <c r="CK20" s="251">
        <f ca="1">MIN(nox_nightshade_cap,TblConstr[[#This Row],[Homeland]]/TblConstr[[#This Row],[Land]]/nox_nightshade_swamp_bonus)</f>
        <v>4</v>
      </c>
      <c r="CL20" s="251">
        <f ca="1">MIN(TblConstr[[#This Row],[Total Swamp]]/TblConstr[[#This Row],[Land]]/abyss_enforce_bonus,abyss_enforcer_cap)</f>
        <v>0</v>
      </c>
      <c r="CM20" s="251">
        <f ca="1">IF(TblMagic[[#This Row],[Active Infernal Command]]&gt;0,TblMili[[#This Row],[Unit 1]]*infernal_cmd_op,0)</f>
        <v>0</v>
      </c>
      <c r="CN20" s="252" t="s">
        <v>523</v>
      </c>
      <c r="CO20" s="252">
        <f>VLOOKUP(Overview!$A25,Races!$D$4:$H$120,2,FALSE)</f>
        <v>6</v>
      </c>
      <c r="CP20" s="252"/>
      <c r="CQ20" s="251">
        <f ca="1">TblMili[[#This Row],[Mystic]]*2</f>
        <v>4</v>
      </c>
      <c r="CR20" s="251">
        <f ca="1">TblMili[[#This Row],[Druid (op)]]*2</f>
        <v>4</v>
      </c>
      <c r="CS20" s="94">
        <f ca="1">TblMili[[#This Row],[Mystic bonus]]*TblMili[[#This Row],[Unit 3]]+TblMili[[#This Row],[Druid bonus]]*TblMili[[#This Row],[Unit 4]]</f>
        <v>0</v>
      </c>
      <c r="CT20" s="155">
        <f ca="1">TblMili[[#This Row],[Dryad]]*2</f>
        <v>5.9999999999999991</v>
      </c>
      <c r="CU20" s="94">
        <f ca="1">sylvan*(TblMili[[#This Row],[Mystic bonus]]*TblMili[[#This Row],[Unit 3]])</f>
        <v>0</v>
      </c>
      <c r="CV20" s="155">
        <f ca="1">TblMili[[#This Row],[Rockapult]]*2</f>
        <v>4</v>
      </c>
      <c r="CW20" s="94">
        <f ca="1">gnome*(TblMili[[#This Row],[Rockapult bonus]]*TblMili[[#This Row],[Unit 3]])</f>
        <v>0</v>
      </c>
      <c r="CX20" s="155">
        <f ca="1">TblMili[[#This Row],[Adept-DP]]*2</f>
        <v>0</v>
      </c>
      <c r="CY20" s="94">
        <f ca="1">dark_elf*(TblMili[[#This Row],[Adept bonus]]*TblMili[[#This Row],[Unit 3]])</f>
        <v>0</v>
      </c>
      <c r="CZ20" s="155">
        <f ca="1">TblMili[[#This Row],[Frost Mage]]*2</f>
        <v>5.9999999999999991</v>
      </c>
      <c r="DA20" s="155">
        <f ca="1">TblMili[[#This Row],[Ice Elemental]]*2</f>
        <v>0</v>
      </c>
      <c r="DB20" s="94">
        <f ca="1">TblMili[[#This Row],[Frost Mage bonus]]*TblMili[[#This Row],[Unit 3]]+TblMili[[#This Row],[Ice Elemental bonus]]*TblMili[[#This Row],[Unit 4]]</f>
        <v>0</v>
      </c>
      <c r="DC20" s="253"/>
      <c r="DD20" s="143">
        <f ca="1">MIN(SUM(TblConstr[[#This Row],[Plain]:[Water]])/TblMili[[#This Row],[Land]]/favorable_terrain_bonus/100,favorable_terrain_max)</f>
        <v>0</v>
      </c>
      <c r="DE20" s="253"/>
      <c r="DF2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0" s="142"/>
      <c r="DH20" s="254">
        <f ca="1">(TblMili[[#This Row],[Wizards]]+2*TblMili[[#This Row],[Archmages]])/TblConstr[[#This Row],[Land]]</f>
        <v>0</v>
      </c>
      <c r="DI20" s="254">
        <f ca="1">TblMili[[#This Row],[Raw (2)]]*(1+race_wizard_strength+IF(TblMili[[#This Row],[Hour]]&gt;72,tech_magical_weaponry_wiz*TblTech[[#This Row],[3-5]],0))</f>
        <v>0</v>
      </c>
    </row>
    <row r="21" spans="1:113" x14ac:dyDescent="0.2">
      <c r="A21" s="137">
        <f>TblRezone[[#This Row],[Hour]]</f>
        <v>18</v>
      </c>
      <c r="B21" s="246">
        <f ca="1">SUM(TblMili[[#This Row],[Unit 1]:[Archmages]])+SUM(OFFSET(TblMili[[#This Row],[Train Unit 1]],-8,0):TblMili[[#This Row],[Train Unit 2]]) + SUM(OFFSET(TblMili[[#This Row],[Train Unit 3]],-11,0):TblMili[[#This Row],[Train AM]]) + TblMili[[#This Row],[Draftees]]</f>
        <v>372</v>
      </c>
      <c r="C21" s="157">
        <f ca="1">TblPop[[#This Row],[Military%]]</f>
        <v>0.48374512353706112</v>
      </c>
      <c r="D21" s="142"/>
      <c r="E21" s="45">
        <f ca="1">OFFSET(TblMili[[#This Row],[Unit 1]],-1,0) + OFFSET(TblMili[[#This Row],[Train Unit 1]],-9,0) - TblMili[[#This Row],[Release Unit 1]] + OFFSET(TblMili[[#This Row],[DnD_Zombies]],-12,0)</f>
        <v>0</v>
      </c>
      <c r="F21" s="45">
        <f ca="1">OFFSET(TblMili[[#This Row],[Unit 2]],-1,0) + OFFSET(TblMili[[#This Row],[Train Unit 2]],-9,0)-TblMili[[#This Row],[Release Unit 2]]</f>
        <v>0</v>
      </c>
      <c r="G21" s="45">
        <f ca="1">OFFSET(TblMili[[#This Row],[Unit 3]],-1,0) + OFFSET(TblMili[[#This Row],[Train Unit 3]],-12,0)-TblMili[[#This Row],[Release Unit 3]]</f>
        <v>0</v>
      </c>
      <c r="H21" s="45">
        <f ca="1">OFFSET(TblMili[[#This Row],[Unit 4]],-1,0) + OFFSET(TblMili[[#This Row],[Train Unit 4]],-12,0)-TblMili[[#This Row],[Release Unit 4]]</f>
        <v>0</v>
      </c>
      <c r="I21" s="45">
        <f ca="1">OFFSET(TblMili[[#This Row],[Spies]],-1,0) + OFFSET(TblMili[[#This Row],[Train Spies]],-12,0) - TblMili[[#This Row],[Release Spies]]-TblMili[[#This Row],[Train AS]]</f>
        <v>0</v>
      </c>
      <c r="J21" s="45">
        <f ca="1">OFFSET(TblMili[[#This Row],[Archspies]],-1,0) + OFFSET(TblMili[[#This Row],[Train AS]],-12,0) - TblMili[[#This Row],[Release AS]]</f>
        <v>0</v>
      </c>
      <c r="K21" s="45">
        <f ca="1">OFFSET(TblMili[[#This Row],[Wizards]],-1,0) + OFFSET(TblMili[[#This Row],[Train Wiz]],-12,0) - TblMili[[#This Row],[Release Wizards]]-TblMili[[#This Row],[Train AM]] + IF(TblMagic[[#This Row],[Active Arc Infusion]]&gt;0,TblMili[[#This Row],[Train AM]])</f>
        <v>0</v>
      </c>
      <c r="L21" s="45">
        <f ca="1">OFFSET(TblMili[[#This Row],[Archmages]],-1,0) + OFFSET(TblMili[[#This Row],[Train AM]],-12,0) - TblMili[[#This Row],[Release AM]]</f>
        <v>0</v>
      </c>
      <c r="M21" s="142"/>
      <c r="N21" s="94">
        <f ca="1">TblProd[[#This Row],[Networth]]</f>
        <v>1250</v>
      </c>
      <c r="O21" s="142"/>
      <c r="P21"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2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1" s="247">
        <f ca="1">TblMili[[#This Row],[Raw]]*(1+TblMili[[#This Row],[Mods_Off]])</f>
        <v>0</v>
      </c>
      <c r="S21"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21" s="247">
        <f ca="1">TblMili[[#This Row],[Non Draft]]+TblMili[[#This Row],[Draftees]]</f>
        <v>372</v>
      </c>
      <c r="U21" s="248">
        <f ca="1">race_defense + TblImps[[#This Row],[Walls]] + ROUND( MIN(gt_bonus*TblConstr[[#This Row],[Tot GT]]/TblConstr[[#This Row],[Land]],gt_bonus_cap), 4) + IF(TblMagic[[#This Row],[Active Howling]]&gt;0,howling_dp_bonus,IF(TblMagic[[#This Row],[Active Ares Call]]&gt;0,ares_call_bonus))</f>
        <v>0</v>
      </c>
      <c r="V21" s="249">
        <f ca="1">TblMili[[#This Row],[Non Draft]] * (1 + TblMili[[#This Row],[Mods_Def]])</f>
        <v>0</v>
      </c>
      <c r="W21" s="247">
        <f ca="1">TblMili[[#This Row],[Draft]] * (1 + TblMili[[#This Row],[Mods_Def]])</f>
        <v>372</v>
      </c>
      <c r="X21" s="247">
        <f ca="1">TblConstr[[#This Row],[Land]]</f>
        <v>50</v>
      </c>
      <c r="Y21" s="250"/>
      <c r="Z21" s="255">
        <f ca="1">IF(TblMili[[#This Row],[Set]]&lt;&gt;"",TblMili[[#This Row],[Set]],OFFSET(TblMili[[#This Row],[Draftrate]],-1,0))</f>
        <v>0.9</v>
      </c>
      <c r="AA21"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372</v>
      </c>
      <c r="AB21" s="154"/>
      <c r="AC21" s="180">
        <f ca="1">(TblConstr[[#This Row],[Tot Smi]]+TblConstr[[#This Row],[Dest Smi]])/(TblConstr[[#This Row],[Land]]-TblExplore[[#This Row],[Land Bonus]]*20)</f>
        <v>0</v>
      </c>
      <c r="AD21" s="137"/>
      <c r="AE21" s="246">
        <f>TblMili[[#This Row],[Hour]]</f>
        <v>18</v>
      </c>
      <c r="AF21" s="138">
        <f ca="1">TblExplore[[#This Row],[Time]]</f>
        <v>46320.708333333292</v>
      </c>
      <c r="AG21" s="179"/>
      <c r="AH21" s="179"/>
      <c r="AI21" s="179"/>
      <c r="AJ21" s="179"/>
      <c r="AK21" s="179"/>
      <c r="AL21" s="179"/>
      <c r="AM21" s="179"/>
      <c r="AN21" s="179"/>
      <c r="AO21" s="420">
        <f ca="1">ROUND(IF(AND(TblMagic[[#This Row],[Active DnD]]&lt;12,TblMagic[[#This Row],[Active DnD]]&gt;5),OFFSET(TblPop[[#This Row],[Draft Growth]],-1,0)*0.375,0),0)</f>
        <v>0</v>
      </c>
      <c r="AP21" s="142"/>
      <c r="AQ21" s="94">
        <f ca="1">TblProd[[#This Row],[Platinum]]</f>
        <v>139893</v>
      </c>
      <c r="AR21" s="94">
        <f ca="1">INDEX(TblProd[[#Headers],[Lumber]]:TblProd[[#This Row],[Ore]],COUNTA(TblProd[[#Headers],[Lumber]]:TblProd[[#This Row],[Lumber]]),MATCH(Military!$AR$2,TblProd[[#Headers],[Lumber]:[Ore]],0))</f>
        <v>0</v>
      </c>
      <c r="AS2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21" s="94">
        <f ca="1">TblMili[[#This Row],[Train Unit 1]]*TblMili[[#This Row],[OP Ore]]+TblMili[[#This Row],[Train Unit 2]]*TblMili[[#This Row],[DP Ore]]+TblMili[[#This Row],[Train Unit 3]]*TblMili[[#This Row],[E1 Ore]]+TblMili[[#This Row],[Train Unit 4]]*TblMili[[#This Row],[E2 Ore]]</f>
        <v>0</v>
      </c>
      <c r="AU21" s="142">
        <f>TblMili[[#This Row],[Hour]]</f>
        <v>18</v>
      </c>
      <c r="AV21" s="152">
        <f ca="1">TblMili[[#This Row],[Time]]</f>
        <v>46320.708333333292</v>
      </c>
      <c r="AW21" s="94">
        <f ca="1">TblMili[[#This Row],[Draftees]]</f>
        <v>372</v>
      </c>
      <c r="AX21" s="179"/>
      <c r="AY21" s="179"/>
      <c r="AZ21" s="179"/>
      <c r="BA21" s="179"/>
      <c r="BB21" s="179"/>
      <c r="BC21" s="179"/>
      <c r="BD21" s="179"/>
      <c r="BE21" s="179"/>
      <c r="BF21" s="179"/>
      <c r="BG21" s="142"/>
      <c r="BH21" s="157">
        <f ca="1">TblConstr[[#This Row],[Tot WG]]/TblConstr[[#This Row],[Land]]</f>
        <v>0</v>
      </c>
      <c r="BI21" s="157">
        <f ca="1">TblConstr[[#This Row],[Tot Hav]]/TblConstr[[#This Row],[Land]]</f>
        <v>0</v>
      </c>
      <c r="BJ21" s="94">
        <f ca="1">ROUNDUP((1-MIN(TblMili[[#This Row],[Smithies]]*smithy_bonus,smithy_bonus_cap) + tech_3_5*TblTech[[#This Row],[3-5]] + tech_5_3*TblTech[[#This Row],[5-3]] + tech_5_5*TblTech[[#This Row],[5-5]])*spec_op_plat,0)</f>
        <v>315</v>
      </c>
      <c r="BK21" s="94">
        <f ca="1">ROUNDUP(IF(race="Gnome",1,(1-MIN(TblMili[[#This Row],[Smithies]]*smithy_bonus,smithy_bonus_cap) + tech_3_5*TblTech[[#This Row],[3-5]] + tech_5_3*TblTech[[#This Row],[5-3]] + tech_5_5*TblTech[[#This Row],[5-5]]))*spec_op_ore,0)</f>
        <v>25</v>
      </c>
      <c r="BL21" s="94">
        <f ca="1">ROUNDUP((1-MIN(TblMili[[#This Row],[Smithies]]*smithy_bonus,smithy_bonus_cap) + tech_3_5*TblTech[[#This Row],[3-5]] + tech_5_3*TblTech[[#This Row],[5-3]] + tech_5_5*TblTech[[#This Row],[5-5]])*spec_dp_plat,0)</f>
        <v>275</v>
      </c>
      <c r="BM21" s="94">
        <f ca="1">ROUNDUP(IF(race="Gnome",1,(1-MIN(TblMili[[#This Row],[Smithies]]*smithy_bonus,smithy_bonus_cap) + tech_3_5*TblTech[[#This Row],[3-5]] + tech_5_3*TblTech[[#This Row],[5-3]] + tech_5_5*TblTech[[#This Row],[5-5]]))*spec_dp_ore,0)</f>
        <v>15</v>
      </c>
      <c r="BN21" s="94">
        <f ca="1">ROUNDUP((1-MIN(TblMili[[#This Row],[Smithies]]*smithy_bonus,smithy_bonus_cap) + tech_3_5*TblTech[[#This Row],[3-5]] + tech_5_3*TblTech[[#This Row],[5-3]] + tech_5_5*TblTech[[#This Row],[5-5]])*elite1_plat,0)</f>
        <v>1040</v>
      </c>
      <c r="BO21" s="94">
        <f ca="1">ROUNDUP(IF(race="Gnome",1,(1-MIN(TblMili[[#This Row],[Smithies]]*smithy_bonus,smithy_bonus_cap) + tech_3_5*TblTech[[#This Row],[3-5]] + tech_5_3*TblTech[[#This Row],[5-3]] + tech_5_5*TblTech[[#This Row],[5-5]]))*elite1_ore,0)</f>
        <v>75</v>
      </c>
      <c r="BP21" s="94">
        <f ca="1">ROUNDUP((1-MIN(TblMili[[#This Row],[Smithies]]*smithy_bonus,smithy_bonus_cap) + tech_3_5*TblTech[[#This Row],[3-5]] + tech_5_3*TblTech[[#This Row],[5-3]] + tech_5_5*TblTech[[#This Row],[5-5]])*elite2_plat,0)</f>
        <v>1280</v>
      </c>
      <c r="BQ21" s="94">
        <f ca="1">ROUNDUP(IF(race="Gnome",1,(1-MIN(TblMili[[#This Row],[Smithies]]*smithy_bonus,smithy_bonus_cap) + tech_3_5*TblTech[[#This Row],[3-5]] + tech_5_3*TblTech[[#This Row],[5-3]] + tech_5_5*TblTech[[#This Row],[5-5]]))*elite2_ore,0)</f>
        <v>100</v>
      </c>
      <c r="BR21" s="94">
        <f ca="1">ROUNDUP((1-MIN(ROUND(fh_spy_cost_red*TblMili[[#This Row],[FH''s]],4),fh_spy_cost_cap)+ tech_1_9*TblTech[[#This Row],[1-9]] + tech_9_1*TblTech[[#This Row],[9-1]])*spy_plat,0)</f>
        <v>500</v>
      </c>
      <c r="BS21" s="94">
        <f ca="1">ROUNDUP((1-MIN(ROUND(fh_spy_cost_red*TblMili[[#This Row],[FH''s]],4),fh_spy_cost_cap)+ tech_1_9*TblTech[[#This Row],[1-9]] + tech_9_1*TblTech[[#This Row],[9-1]])*archspy_plat,0)</f>
        <v>1000</v>
      </c>
      <c r="BT21" s="94">
        <f ca="1">ROUNDUP((1-MIN(ROUND(wg_wiz_cost_bonus*TblMili[[#This Row],[WG''s]],4),wg_wiz_cost_cap) + tech_1_9_2*TblTech[[#This Row],[1-9]] + tech_9_1_2*TblTech[[#This Row],[9-1]])*wizard_plat,0)</f>
        <v>500</v>
      </c>
      <c r="BU21" s="94">
        <f ca="1">ROUNDUP((1-MIN(ROUND(wg_wiz_cost_bonus*TblMili[[#This Row],[WG''s]],4),wg_wiz_cost_cap) + tech_1_9_2*TblTech[[#This Row],[1-9]] + tech_9_1_2*TblTech[[#This Row],[9-1]])*(archmage_plat + IF(TblMagic[[#This Row],[Active Arc Infusion]]&gt;0,400,0)),0)</f>
        <v>1000</v>
      </c>
      <c r="BV21" s="142"/>
      <c r="BW21" s="157">
        <f ca="1">TblConstr[[#This Row],[Homeland]]/TblConstr[[#This Row],[Land]]</f>
        <v>0.6</v>
      </c>
      <c r="BX21" s="157">
        <f ca="1">TblMili[[#This Row],[WG''s]]</f>
        <v>0</v>
      </c>
      <c r="BY21" s="251">
        <f ca="1">IF(mystic_cap="none",TblMili[[#This Row],[Homeland%]]/mystic_bonus,MIN(mystic_cap,TblMili[[#This Row],[Homeland%]]/mystic_bonus))</f>
        <v>2</v>
      </c>
      <c r="BZ21" s="251">
        <f ca="1">IF(druid_op_cap="none",TblMili[[#This Row],[Homeland%]]/druid_op_bonus,MIN(druid_op_cap,TblMili[[#This Row],[Homeland%]]/druid_op_bonus))</f>
        <v>2</v>
      </c>
      <c r="CA21" s="251">
        <f ca="1">IF(druid_dp_cap="none",TblMili[[#This Row],[Homeland%]]/druid_dp_bonus,MIN(druid_dp_cap,TblMili[[#This Row],[Homeland%]]/druid_dp_bonus))</f>
        <v>2</v>
      </c>
      <c r="CB21" s="251">
        <f ca="1">MIN(dryad_cap,TblMili[[#This Row],[Homeland%]]/dryad_bonus)</f>
        <v>2.9999999999999996</v>
      </c>
      <c r="CC21" s="251">
        <f ca="1">MIN(rocka_cap,TblMili[[#This Row],[Homeland%]]/rocka_bonus)</f>
        <v>2</v>
      </c>
      <c r="CD21" s="251">
        <f ca="1">MIN(adept_op_cap,TblMili[[#This Row],[WG]]/adept_op_bonus)</f>
        <v>0</v>
      </c>
      <c r="CE21" s="251">
        <f ca="1">MIN(adept_dp_cap,TblMili[[#This Row],[WG]]/adept_dp_bonus)</f>
        <v>0</v>
      </c>
      <c r="CF21" s="94">
        <f ca="1">MIN(TblMili[[#This Row],[Unit 3]],TblMili[[#This Row],[Unit 2]])*2</f>
        <v>0</v>
      </c>
      <c r="CG21" s="94">
        <f ca="1">MIN(TblMili[[#This Row],[Unit 1]],TblMili[[#This Row],[Unit 4]])*2</f>
        <v>0</v>
      </c>
      <c r="CH21" s="251">
        <f ca="1">MIN(frost_mage_cap,TblMili[[#This Row],[Homeland%]]/frost_mage_bonus)</f>
        <v>2.9999999999999996</v>
      </c>
      <c r="CI21" s="45">
        <f ca="1">MIN(ice_elem_cap,TblMili[[#This Row],[Raw (2)]]*ice_elem_bonus)</f>
        <v>0</v>
      </c>
      <c r="CJ21" s="251">
        <f t="shared" si="0"/>
        <v>0.83333333333333337</v>
      </c>
      <c r="CK21" s="251">
        <f ca="1">MIN(nox_nightshade_cap,TblConstr[[#This Row],[Homeland]]/TblConstr[[#This Row],[Land]]/nox_nightshade_swamp_bonus)</f>
        <v>4</v>
      </c>
      <c r="CL21" s="251">
        <f ca="1">MIN(TblConstr[[#This Row],[Total Swamp]]/TblConstr[[#This Row],[Land]]/abyss_enforce_bonus,abyss_enforcer_cap)</f>
        <v>0</v>
      </c>
      <c r="CM21" s="251">
        <f ca="1">IF(TblMagic[[#This Row],[Active Infernal Command]]&gt;0,TblMili[[#This Row],[Unit 1]]*infernal_cmd_op,0)</f>
        <v>0</v>
      </c>
      <c r="CN21" s="252" t="s">
        <v>522</v>
      </c>
      <c r="CO21" s="252">
        <f>VLOOKUP(Overview!$A25,Races!$D$4:$H$120,3,FALSE)</f>
        <v>3</v>
      </c>
      <c r="CP21" s="252"/>
      <c r="CQ21" s="251">
        <f ca="1">TblMili[[#This Row],[Mystic]]*2</f>
        <v>4</v>
      </c>
      <c r="CR21" s="251">
        <f ca="1">TblMili[[#This Row],[Druid (op)]]*2</f>
        <v>4</v>
      </c>
      <c r="CS21" s="94">
        <f ca="1">TblMili[[#This Row],[Mystic bonus]]*TblMili[[#This Row],[Unit 3]]+TblMili[[#This Row],[Druid bonus]]*TblMili[[#This Row],[Unit 4]]</f>
        <v>0</v>
      </c>
      <c r="CT21" s="155">
        <f ca="1">TblMili[[#This Row],[Dryad]]*2</f>
        <v>5.9999999999999991</v>
      </c>
      <c r="CU21" s="94">
        <f ca="1">sylvan*(TblMili[[#This Row],[Mystic bonus]]*TblMili[[#This Row],[Unit 3]])</f>
        <v>0</v>
      </c>
      <c r="CV21" s="155">
        <f ca="1">TblMili[[#This Row],[Rockapult]]*2</f>
        <v>4</v>
      </c>
      <c r="CW21" s="94">
        <f ca="1">gnome*(TblMili[[#This Row],[Rockapult bonus]]*TblMili[[#This Row],[Unit 3]])</f>
        <v>0</v>
      </c>
      <c r="CX21" s="155">
        <f ca="1">TblMili[[#This Row],[Adept-DP]]*2</f>
        <v>0</v>
      </c>
      <c r="CY21" s="94">
        <f ca="1">dark_elf*(TblMili[[#This Row],[Adept bonus]]*TblMili[[#This Row],[Unit 3]])</f>
        <v>0</v>
      </c>
      <c r="CZ21" s="155">
        <f ca="1">TblMili[[#This Row],[Frost Mage]]*2</f>
        <v>5.9999999999999991</v>
      </c>
      <c r="DA21" s="155">
        <f ca="1">TblMili[[#This Row],[Ice Elemental]]*2</f>
        <v>0</v>
      </c>
      <c r="DB21" s="94">
        <f ca="1">TblMili[[#This Row],[Frost Mage bonus]]*TblMili[[#This Row],[Unit 3]]+TblMili[[#This Row],[Ice Elemental bonus]]*TblMili[[#This Row],[Unit 4]]</f>
        <v>0</v>
      </c>
      <c r="DC21" s="253"/>
      <c r="DD21" s="143">
        <f ca="1">MIN(SUM(TblConstr[[#This Row],[Plain]:[Water]])/TblMili[[#This Row],[Land]]/favorable_terrain_bonus/100,favorable_terrain_max)</f>
        <v>0</v>
      </c>
      <c r="DE21" s="253"/>
      <c r="DF2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1" s="142"/>
      <c r="DH21" s="254">
        <f ca="1">(TblMili[[#This Row],[Wizards]]+2*TblMili[[#This Row],[Archmages]])/TblConstr[[#This Row],[Land]]</f>
        <v>0</v>
      </c>
      <c r="DI21" s="254">
        <f ca="1">TblMili[[#This Row],[Raw (2)]]*(1+race_wizard_strength+IF(TblMili[[#This Row],[Hour]]&gt;72,tech_magical_weaponry_wiz*TblTech[[#This Row],[3-5]],0))</f>
        <v>0</v>
      </c>
    </row>
    <row r="22" spans="1:113" x14ac:dyDescent="0.2">
      <c r="A22" s="137">
        <f>TblRezone[[#This Row],[Hour]]</f>
        <v>19</v>
      </c>
      <c r="B22" s="246">
        <f ca="1">SUM(TblMili[[#This Row],[Unit 1]:[Archmages]])+SUM(OFFSET(TblMili[[#This Row],[Train Unit 1]],-8,0):TblMili[[#This Row],[Train Unit 2]]) + SUM(OFFSET(TblMili[[#This Row],[Train Unit 3]],-11,0):TblMili[[#This Row],[Train AM]]) + TblMili[[#This Row],[Draftees]]</f>
        <v>376</v>
      </c>
      <c r="C22" s="157">
        <f ca="1">TblPop[[#This Row],[Military%]]</f>
        <v>0.48894668400520158</v>
      </c>
      <c r="D22" s="142"/>
      <c r="E22" s="45">
        <f ca="1">OFFSET(TblMili[[#This Row],[Unit 1]],-1,0) + OFFSET(TblMili[[#This Row],[Train Unit 1]],-9,0) - TblMili[[#This Row],[Release Unit 1]] + OFFSET(TblMili[[#This Row],[DnD_Zombies]],-12,0)</f>
        <v>0</v>
      </c>
      <c r="F22" s="45">
        <f ca="1">OFFSET(TblMili[[#This Row],[Unit 2]],-1,0) + OFFSET(TblMili[[#This Row],[Train Unit 2]],-9,0)-TblMili[[#This Row],[Release Unit 2]]</f>
        <v>0</v>
      </c>
      <c r="G22" s="45">
        <f ca="1">OFFSET(TblMili[[#This Row],[Unit 3]],-1,0) + OFFSET(TblMili[[#This Row],[Train Unit 3]],-12,0)-TblMili[[#This Row],[Release Unit 3]]</f>
        <v>0</v>
      </c>
      <c r="H22" s="45">
        <f ca="1">OFFSET(TblMili[[#This Row],[Unit 4]],-1,0) + OFFSET(TblMili[[#This Row],[Train Unit 4]],-12,0)-TblMili[[#This Row],[Release Unit 4]]</f>
        <v>0</v>
      </c>
      <c r="I22" s="45">
        <f ca="1">OFFSET(TblMili[[#This Row],[Spies]],-1,0) + OFFSET(TblMili[[#This Row],[Train Spies]],-12,0) - TblMili[[#This Row],[Release Spies]]-TblMili[[#This Row],[Train AS]]</f>
        <v>0</v>
      </c>
      <c r="J22" s="45">
        <f ca="1">OFFSET(TblMili[[#This Row],[Archspies]],-1,0) + OFFSET(TblMili[[#This Row],[Train AS]],-12,0) - TblMili[[#This Row],[Release AS]]</f>
        <v>0</v>
      </c>
      <c r="K22" s="45">
        <f ca="1">OFFSET(TblMili[[#This Row],[Wizards]],-1,0) + OFFSET(TblMili[[#This Row],[Train Wiz]],-12,0) - TblMili[[#This Row],[Release Wizards]]-TblMili[[#This Row],[Train AM]] + IF(TblMagic[[#This Row],[Active Arc Infusion]]&gt;0,TblMili[[#This Row],[Train AM]])</f>
        <v>0</v>
      </c>
      <c r="L22" s="45">
        <f ca="1">OFFSET(TblMili[[#This Row],[Archmages]],-1,0) + OFFSET(TblMili[[#This Row],[Train AM]],-12,0) - TblMili[[#This Row],[Release AM]]</f>
        <v>0</v>
      </c>
      <c r="M22" s="142"/>
      <c r="N22" s="94">
        <f ca="1">TblProd[[#This Row],[Networth]]</f>
        <v>1250</v>
      </c>
      <c r="O22" s="142"/>
      <c r="P22"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2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2" s="247">
        <f ca="1">TblMili[[#This Row],[Raw]]*(1+TblMili[[#This Row],[Mods_Off]])</f>
        <v>0</v>
      </c>
      <c r="S22"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22" s="247">
        <f ca="1">TblMili[[#This Row],[Non Draft]]+TblMili[[#This Row],[Draftees]]</f>
        <v>376</v>
      </c>
      <c r="U22" s="248">
        <f ca="1">race_defense + TblImps[[#This Row],[Walls]] + ROUND( MIN(gt_bonus*TblConstr[[#This Row],[Tot GT]]/TblConstr[[#This Row],[Land]],gt_bonus_cap), 4) + IF(TblMagic[[#This Row],[Active Howling]]&gt;0,howling_dp_bonus,IF(TblMagic[[#This Row],[Active Ares Call]]&gt;0,ares_call_bonus))</f>
        <v>0</v>
      </c>
      <c r="V22" s="249">
        <f ca="1">TblMili[[#This Row],[Non Draft]] * (1 + TblMili[[#This Row],[Mods_Def]])</f>
        <v>0</v>
      </c>
      <c r="W22" s="247">
        <f ca="1">TblMili[[#This Row],[Draft]] * (1 + TblMili[[#This Row],[Mods_Def]])</f>
        <v>376</v>
      </c>
      <c r="X22" s="247">
        <f ca="1">TblConstr[[#This Row],[Land]]</f>
        <v>50</v>
      </c>
      <c r="Y22" s="250"/>
      <c r="Z22" s="255">
        <f ca="1">IF(TblMili[[#This Row],[Set]]&lt;&gt;"",TblMili[[#This Row],[Set]],OFFSET(TblMili[[#This Row],[Draftrate]],-1,0))</f>
        <v>0.9</v>
      </c>
      <c r="AA22"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376</v>
      </c>
      <c r="AB22" s="154"/>
      <c r="AC22" s="180">
        <f ca="1">(TblConstr[[#This Row],[Tot Smi]]+TblConstr[[#This Row],[Dest Smi]])/(TblConstr[[#This Row],[Land]]-TblExplore[[#This Row],[Land Bonus]]*20)</f>
        <v>0</v>
      </c>
      <c r="AD22" s="137"/>
      <c r="AE22" s="246">
        <f>TblMili[[#This Row],[Hour]]</f>
        <v>19</v>
      </c>
      <c r="AF22" s="138">
        <f ca="1">TblExplore[[#This Row],[Time]]</f>
        <v>46320.749999999956</v>
      </c>
      <c r="AG22" s="179"/>
      <c r="AH22" s="179"/>
      <c r="AI22" s="179"/>
      <c r="AJ22" s="179"/>
      <c r="AK22" s="179"/>
      <c r="AL22" s="179"/>
      <c r="AM22" s="179"/>
      <c r="AN22" s="179"/>
      <c r="AO22" s="420">
        <f ca="1">ROUND(IF(AND(TblMagic[[#This Row],[Active DnD]]&lt;12,TblMagic[[#This Row],[Active DnD]]&gt;5),OFFSET(TblPop[[#This Row],[Draft Growth]],-1,0)*0.375,0),0)</f>
        <v>0</v>
      </c>
      <c r="AP22" s="142"/>
      <c r="AQ22" s="94">
        <f ca="1">TblProd[[#This Row],[Platinum]]</f>
        <v>140964</v>
      </c>
      <c r="AR22" s="94">
        <f ca="1">INDEX(TblProd[[#Headers],[Lumber]]:TblProd[[#This Row],[Ore]],COUNTA(TblProd[[#Headers],[Lumber]]:TblProd[[#This Row],[Lumber]]),MATCH(Military!$AR$2,TblProd[[#Headers],[Lumber]:[Ore]],0))</f>
        <v>0</v>
      </c>
      <c r="AS22"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22" s="94">
        <f ca="1">TblMili[[#This Row],[Train Unit 1]]*TblMili[[#This Row],[OP Ore]]+TblMili[[#This Row],[Train Unit 2]]*TblMili[[#This Row],[DP Ore]]+TblMili[[#This Row],[Train Unit 3]]*TblMili[[#This Row],[E1 Ore]]+TblMili[[#This Row],[Train Unit 4]]*TblMili[[#This Row],[E2 Ore]]</f>
        <v>0</v>
      </c>
      <c r="AU22" s="142">
        <f>TblMili[[#This Row],[Hour]]</f>
        <v>19</v>
      </c>
      <c r="AV22" s="152">
        <f ca="1">TblMili[[#This Row],[Time]]</f>
        <v>46320.749999999956</v>
      </c>
      <c r="AW22" s="94">
        <f ca="1">TblMili[[#This Row],[Draftees]]</f>
        <v>376</v>
      </c>
      <c r="AX22" s="179"/>
      <c r="AY22" s="179"/>
      <c r="AZ22" s="179"/>
      <c r="BA22" s="179"/>
      <c r="BB22" s="179"/>
      <c r="BC22" s="179"/>
      <c r="BD22" s="179"/>
      <c r="BE22" s="179"/>
      <c r="BF22" s="179"/>
      <c r="BG22" s="142"/>
      <c r="BH22" s="157">
        <f ca="1">TblConstr[[#This Row],[Tot WG]]/TblConstr[[#This Row],[Land]]</f>
        <v>0</v>
      </c>
      <c r="BI22" s="157">
        <f ca="1">TblConstr[[#This Row],[Tot Hav]]/TblConstr[[#This Row],[Land]]</f>
        <v>0</v>
      </c>
      <c r="BJ22" s="94">
        <f ca="1">ROUNDUP((1-MIN(TblMili[[#This Row],[Smithies]]*smithy_bonus,smithy_bonus_cap) + tech_3_5*TblTech[[#This Row],[3-5]] + tech_5_3*TblTech[[#This Row],[5-3]] + tech_5_5*TblTech[[#This Row],[5-5]])*spec_op_plat,0)</f>
        <v>315</v>
      </c>
      <c r="BK22" s="94">
        <f ca="1">ROUNDUP(IF(race="Gnome",1,(1-MIN(TblMili[[#This Row],[Smithies]]*smithy_bonus,smithy_bonus_cap) + tech_3_5*TblTech[[#This Row],[3-5]] + tech_5_3*TblTech[[#This Row],[5-3]] + tech_5_5*TblTech[[#This Row],[5-5]]))*spec_op_ore,0)</f>
        <v>25</v>
      </c>
      <c r="BL22" s="94">
        <f ca="1">ROUNDUP((1-MIN(TblMili[[#This Row],[Smithies]]*smithy_bonus,smithy_bonus_cap) + tech_3_5*TblTech[[#This Row],[3-5]] + tech_5_3*TblTech[[#This Row],[5-3]] + tech_5_5*TblTech[[#This Row],[5-5]])*spec_dp_plat,0)</f>
        <v>275</v>
      </c>
      <c r="BM22" s="94">
        <f ca="1">ROUNDUP(IF(race="Gnome",1,(1-MIN(TblMili[[#This Row],[Smithies]]*smithy_bonus,smithy_bonus_cap) + tech_3_5*TblTech[[#This Row],[3-5]] + tech_5_3*TblTech[[#This Row],[5-3]] + tech_5_5*TblTech[[#This Row],[5-5]]))*spec_dp_ore,0)</f>
        <v>15</v>
      </c>
      <c r="BN22" s="94">
        <f ca="1">ROUNDUP((1-MIN(TblMili[[#This Row],[Smithies]]*smithy_bonus,smithy_bonus_cap) + tech_3_5*TblTech[[#This Row],[3-5]] + tech_5_3*TblTech[[#This Row],[5-3]] + tech_5_5*TblTech[[#This Row],[5-5]])*elite1_plat,0)</f>
        <v>1040</v>
      </c>
      <c r="BO22" s="94">
        <f ca="1">ROUNDUP(IF(race="Gnome",1,(1-MIN(TblMili[[#This Row],[Smithies]]*smithy_bonus,smithy_bonus_cap) + tech_3_5*TblTech[[#This Row],[3-5]] + tech_5_3*TblTech[[#This Row],[5-3]] + tech_5_5*TblTech[[#This Row],[5-5]]))*elite1_ore,0)</f>
        <v>75</v>
      </c>
      <c r="BP22" s="94">
        <f ca="1">ROUNDUP((1-MIN(TblMili[[#This Row],[Smithies]]*smithy_bonus,smithy_bonus_cap) + tech_3_5*TblTech[[#This Row],[3-5]] + tech_5_3*TblTech[[#This Row],[5-3]] + tech_5_5*TblTech[[#This Row],[5-5]])*elite2_plat,0)</f>
        <v>1280</v>
      </c>
      <c r="BQ22" s="94">
        <f ca="1">ROUNDUP(IF(race="Gnome",1,(1-MIN(TblMili[[#This Row],[Smithies]]*smithy_bonus,smithy_bonus_cap) + tech_3_5*TblTech[[#This Row],[3-5]] + tech_5_3*TblTech[[#This Row],[5-3]] + tech_5_5*TblTech[[#This Row],[5-5]]))*elite2_ore,0)</f>
        <v>100</v>
      </c>
      <c r="BR22" s="94">
        <f ca="1">ROUNDUP((1-MIN(ROUND(fh_spy_cost_red*TblMili[[#This Row],[FH''s]],4),fh_spy_cost_cap)+ tech_1_9*TblTech[[#This Row],[1-9]] + tech_9_1*TblTech[[#This Row],[9-1]])*spy_plat,0)</f>
        <v>500</v>
      </c>
      <c r="BS22" s="94">
        <f ca="1">ROUNDUP((1-MIN(ROUND(fh_spy_cost_red*TblMili[[#This Row],[FH''s]],4),fh_spy_cost_cap)+ tech_1_9*TblTech[[#This Row],[1-9]] + tech_9_1*TblTech[[#This Row],[9-1]])*archspy_plat,0)</f>
        <v>1000</v>
      </c>
      <c r="BT22" s="94">
        <f ca="1">ROUNDUP((1-MIN(ROUND(wg_wiz_cost_bonus*TblMili[[#This Row],[WG''s]],4),wg_wiz_cost_cap) + tech_1_9_2*TblTech[[#This Row],[1-9]] + tech_9_1_2*TblTech[[#This Row],[9-1]])*wizard_plat,0)</f>
        <v>500</v>
      </c>
      <c r="BU22" s="94">
        <f ca="1">ROUNDUP((1-MIN(ROUND(wg_wiz_cost_bonus*TblMili[[#This Row],[WG''s]],4),wg_wiz_cost_cap) + tech_1_9_2*TblTech[[#This Row],[1-9]] + tech_9_1_2*TblTech[[#This Row],[9-1]])*(archmage_plat + IF(TblMagic[[#This Row],[Active Arc Infusion]]&gt;0,400,0)),0)</f>
        <v>1000</v>
      </c>
      <c r="BV22" s="142"/>
      <c r="BW22" s="157">
        <f ca="1">TblConstr[[#This Row],[Homeland]]/TblConstr[[#This Row],[Land]]</f>
        <v>0.6</v>
      </c>
      <c r="BX22" s="157">
        <f ca="1">TblMili[[#This Row],[WG''s]]</f>
        <v>0</v>
      </c>
      <c r="BY22" s="251">
        <f ca="1">IF(mystic_cap="none",TblMili[[#This Row],[Homeland%]]/mystic_bonus,MIN(mystic_cap,TblMili[[#This Row],[Homeland%]]/mystic_bonus))</f>
        <v>2</v>
      </c>
      <c r="BZ22" s="251">
        <f ca="1">IF(druid_op_cap="none",TblMili[[#This Row],[Homeland%]]/druid_op_bonus,MIN(druid_op_cap,TblMili[[#This Row],[Homeland%]]/druid_op_bonus))</f>
        <v>2</v>
      </c>
      <c r="CA22" s="251">
        <f ca="1">IF(druid_dp_cap="none",TblMili[[#This Row],[Homeland%]]/druid_dp_bonus,MIN(druid_dp_cap,TblMili[[#This Row],[Homeland%]]/druid_dp_bonus))</f>
        <v>2</v>
      </c>
      <c r="CB22" s="251">
        <f ca="1">MIN(dryad_cap,TblMili[[#This Row],[Homeland%]]/dryad_bonus)</f>
        <v>2.9999999999999996</v>
      </c>
      <c r="CC22" s="251">
        <f ca="1">MIN(rocka_cap,TblMili[[#This Row],[Homeland%]]/rocka_bonus)</f>
        <v>2</v>
      </c>
      <c r="CD22" s="251">
        <f ca="1">MIN(adept_op_cap,TblMili[[#This Row],[WG]]/adept_op_bonus)</f>
        <v>0</v>
      </c>
      <c r="CE22" s="251">
        <f ca="1">MIN(adept_dp_cap,TblMili[[#This Row],[WG]]/adept_dp_bonus)</f>
        <v>0</v>
      </c>
      <c r="CF22" s="94">
        <f ca="1">MIN(TblMili[[#This Row],[Unit 3]],TblMili[[#This Row],[Unit 2]])*2</f>
        <v>0</v>
      </c>
      <c r="CG22" s="94">
        <f ca="1">MIN(TblMili[[#This Row],[Unit 1]],TblMili[[#This Row],[Unit 4]])*2</f>
        <v>0</v>
      </c>
      <c r="CH22" s="251">
        <f ca="1">MIN(frost_mage_cap,TblMili[[#This Row],[Homeland%]]/frost_mage_bonus)</f>
        <v>2.9999999999999996</v>
      </c>
      <c r="CI22" s="45">
        <f ca="1">MIN(ice_elem_cap,TblMili[[#This Row],[Raw (2)]]*ice_elem_bonus)</f>
        <v>0</v>
      </c>
      <c r="CJ22" s="251">
        <f t="shared" si="0"/>
        <v>0.83333333333333337</v>
      </c>
      <c r="CK22" s="251">
        <f ca="1">MIN(nox_nightshade_cap,TblConstr[[#This Row],[Homeland]]/TblConstr[[#This Row],[Land]]/nox_nightshade_swamp_bonus)</f>
        <v>4</v>
      </c>
      <c r="CL22" s="251">
        <f ca="1">MIN(TblConstr[[#This Row],[Total Swamp]]/TblConstr[[#This Row],[Land]]/abyss_enforce_bonus,abyss_enforcer_cap)</f>
        <v>0</v>
      </c>
      <c r="CM22" s="251">
        <f ca="1">IF(TblMagic[[#This Row],[Active Infernal Command]]&gt;0,TblMili[[#This Row],[Unit 1]]*infernal_cmd_op,0)</f>
        <v>0</v>
      </c>
      <c r="CN22" s="252"/>
      <c r="CO22" s="252"/>
      <c r="CP22" s="252"/>
      <c r="CQ22" s="251">
        <f ca="1">TblMili[[#This Row],[Mystic]]*2</f>
        <v>4</v>
      </c>
      <c r="CR22" s="251">
        <f ca="1">TblMili[[#This Row],[Druid (op)]]*2</f>
        <v>4</v>
      </c>
      <c r="CS22" s="94">
        <f ca="1">TblMili[[#This Row],[Mystic bonus]]*TblMili[[#This Row],[Unit 3]]+TblMili[[#This Row],[Druid bonus]]*TblMili[[#This Row],[Unit 4]]</f>
        <v>0</v>
      </c>
      <c r="CT22" s="155">
        <f ca="1">TblMili[[#This Row],[Dryad]]*2</f>
        <v>5.9999999999999991</v>
      </c>
      <c r="CU22" s="94">
        <f ca="1">sylvan*(TblMili[[#This Row],[Mystic bonus]]*TblMili[[#This Row],[Unit 3]])</f>
        <v>0</v>
      </c>
      <c r="CV22" s="155">
        <f ca="1">TblMili[[#This Row],[Rockapult]]*2</f>
        <v>4</v>
      </c>
      <c r="CW22" s="94">
        <f ca="1">gnome*(TblMili[[#This Row],[Rockapult bonus]]*TblMili[[#This Row],[Unit 3]])</f>
        <v>0</v>
      </c>
      <c r="CX22" s="155">
        <f ca="1">TblMili[[#This Row],[Adept-DP]]*2</f>
        <v>0</v>
      </c>
      <c r="CY22" s="94">
        <f ca="1">dark_elf*(TblMili[[#This Row],[Adept bonus]]*TblMili[[#This Row],[Unit 3]])</f>
        <v>0</v>
      </c>
      <c r="CZ22" s="155">
        <f ca="1">TblMili[[#This Row],[Frost Mage]]*2</f>
        <v>5.9999999999999991</v>
      </c>
      <c r="DA22" s="155">
        <f ca="1">TblMili[[#This Row],[Ice Elemental]]*2</f>
        <v>0</v>
      </c>
      <c r="DB22" s="94">
        <f ca="1">TblMili[[#This Row],[Frost Mage bonus]]*TblMili[[#This Row],[Unit 3]]+TblMili[[#This Row],[Ice Elemental bonus]]*TblMili[[#This Row],[Unit 4]]</f>
        <v>0</v>
      </c>
      <c r="DC22" s="253"/>
      <c r="DD22" s="143">
        <f ca="1">MIN(SUM(TblConstr[[#This Row],[Plain]:[Water]])/TblMili[[#This Row],[Land]]/favorable_terrain_bonus/100,favorable_terrain_max)</f>
        <v>0</v>
      </c>
      <c r="DE22" s="253"/>
      <c r="DF2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2" s="142"/>
      <c r="DH22" s="254">
        <f ca="1">(TblMili[[#This Row],[Wizards]]+2*TblMili[[#This Row],[Archmages]])/TblConstr[[#This Row],[Land]]</f>
        <v>0</v>
      </c>
      <c r="DI22" s="254">
        <f ca="1">TblMili[[#This Row],[Raw (2)]]*(1+race_wizard_strength+IF(TblMili[[#This Row],[Hour]]&gt;72,tech_magical_weaponry_wiz*TblTech[[#This Row],[3-5]],0))</f>
        <v>0</v>
      </c>
    </row>
    <row r="23" spans="1:113" x14ac:dyDescent="0.2">
      <c r="A23" s="137">
        <f>TblRezone[[#This Row],[Hour]]</f>
        <v>20</v>
      </c>
      <c r="B23" s="246">
        <f ca="1">SUM(TblMili[[#This Row],[Unit 1]:[Archmages]])+SUM(OFFSET(TblMili[[#This Row],[Train Unit 1]],-8,0):TblMili[[#This Row],[Train Unit 2]]) + SUM(OFFSET(TblMili[[#This Row],[Train Unit 3]],-11,0):TblMili[[#This Row],[Train AM]]) + TblMili[[#This Row],[Draftees]]</f>
        <v>380</v>
      </c>
      <c r="C23" s="157">
        <f ca="1">TblPop[[#This Row],[Military%]]</f>
        <v>0.49414824447334199</v>
      </c>
      <c r="D23" s="142"/>
      <c r="E23" s="45">
        <f ca="1">OFFSET(TblMili[[#This Row],[Unit 1]],-1,0) + OFFSET(TblMili[[#This Row],[Train Unit 1]],-9,0) - TblMili[[#This Row],[Release Unit 1]] + OFFSET(TblMili[[#This Row],[DnD_Zombies]],-12,0)</f>
        <v>0</v>
      </c>
      <c r="F23" s="45">
        <f ca="1">OFFSET(TblMili[[#This Row],[Unit 2]],-1,0) + OFFSET(TblMili[[#This Row],[Train Unit 2]],-9,0)-TblMili[[#This Row],[Release Unit 2]]</f>
        <v>0</v>
      </c>
      <c r="G23" s="45">
        <f ca="1">OFFSET(TblMili[[#This Row],[Unit 3]],-1,0) + OFFSET(TblMili[[#This Row],[Train Unit 3]],-12,0)-TblMili[[#This Row],[Release Unit 3]]</f>
        <v>0</v>
      </c>
      <c r="H23" s="45">
        <f ca="1">OFFSET(TblMili[[#This Row],[Unit 4]],-1,0) + OFFSET(TblMili[[#This Row],[Train Unit 4]],-12,0)-TblMili[[#This Row],[Release Unit 4]]</f>
        <v>0</v>
      </c>
      <c r="I23" s="45">
        <f ca="1">OFFSET(TblMili[[#This Row],[Spies]],-1,0) + OFFSET(TblMili[[#This Row],[Train Spies]],-12,0) - TblMili[[#This Row],[Release Spies]]-TblMili[[#This Row],[Train AS]]</f>
        <v>0</v>
      </c>
      <c r="J23" s="45">
        <f ca="1">OFFSET(TblMili[[#This Row],[Archspies]],-1,0) + OFFSET(TblMili[[#This Row],[Train AS]],-12,0) - TblMili[[#This Row],[Release AS]]</f>
        <v>0</v>
      </c>
      <c r="K23" s="45">
        <f ca="1">OFFSET(TblMili[[#This Row],[Wizards]],-1,0) + OFFSET(TblMili[[#This Row],[Train Wiz]],-12,0) - TblMili[[#This Row],[Release Wizards]]-TblMili[[#This Row],[Train AM]] + IF(TblMagic[[#This Row],[Active Arc Infusion]]&gt;0,TblMili[[#This Row],[Train AM]])</f>
        <v>0</v>
      </c>
      <c r="L23" s="45">
        <f ca="1">OFFSET(TblMili[[#This Row],[Archmages]],-1,0) + OFFSET(TblMili[[#This Row],[Train AM]],-12,0) - TblMili[[#This Row],[Release AM]]</f>
        <v>0</v>
      </c>
      <c r="M23" s="142"/>
      <c r="N23" s="94">
        <f ca="1">TblProd[[#This Row],[Networth]]</f>
        <v>1250</v>
      </c>
      <c r="O23" s="142"/>
      <c r="P23"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2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3" s="247">
        <f ca="1">TblMili[[#This Row],[Raw]]*(1+TblMili[[#This Row],[Mods_Off]])</f>
        <v>0</v>
      </c>
      <c r="S23"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23" s="247">
        <f ca="1">TblMili[[#This Row],[Non Draft]]+TblMili[[#This Row],[Draftees]]</f>
        <v>380</v>
      </c>
      <c r="U23" s="248">
        <f ca="1">race_defense + TblImps[[#This Row],[Walls]] + ROUND( MIN(gt_bonus*TblConstr[[#This Row],[Tot GT]]/TblConstr[[#This Row],[Land]],gt_bonus_cap), 4) + IF(TblMagic[[#This Row],[Active Howling]]&gt;0,howling_dp_bonus,IF(TblMagic[[#This Row],[Active Ares Call]]&gt;0,ares_call_bonus))</f>
        <v>0</v>
      </c>
      <c r="V23" s="249">
        <f ca="1">TblMili[[#This Row],[Non Draft]] * (1 + TblMili[[#This Row],[Mods_Def]])</f>
        <v>0</v>
      </c>
      <c r="W23" s="247">
        <f ca="1">TblMili[[#This Row],[Draft]] * (1 + TblMili[[#This Row],[Mods_Def]])</f>
        <v>380</v>
      </c>
      <c r="X23" s="247">
        <f ca="1">TblConstr[[#This Row],[Land]]</f>
        <v>50</v>
      </c>
      <c r="Y23" s="250"/>
      <c r="Z23" s="255">
        <f ca="1">IF(TblMili[[#This Row],[Set]]&lt;&gt;"",TblMili[[#This Row],[Set]],OFFSET(TblMili[[#This Row],[Draftrate]],-1,0))</f>
        <v>0.9</v>
      </c>
      <c r="AA23"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380</v>
      </c>
      <c r="AB23" s="154"/>
      <c r="AC23" s="180">
        <f ca="1">(TblConstr[[#This Row],[Tot Smi]]+TblConstr[[#This Row],[Dest Smi]])/(TblConstr[[#This Row],[Land]]-TblExplore[[#This Row],[Land Bonus]]*20)</f>
        <v>0</v>
      </c>
      <c r="AD23" s="137"/>
      <c r="AE23" s="246">
        <f>TblMili[[#This Row],[Hour]]</f>
        <v>20</v>
      </c>
      <c r="AF23" s="138">
        <f ca="1">TblExplore[[#This Row],[Time]]</f>
        <v>46320.791666666621</v>
      </c>
      <c r="AG23" s="179"/>
      <c r="AH23" s="179"/>
      <c r="AI23" s="179"/>
      <c r="AJ23" s="179"/>
      <c r="AK23" s="179"/>
      <c r="AL23" s="179"/>
      <c r="AM23" s="179"/>
      <c r="AN23" s="179"/>
      <c r="AO23" s="420">
        <f ca="1">ROUND(IF(AND(TblMagic[[#This Row],[Active DnD]]&lt;12,TblMagic[[#This Row],[Active DnD]]&gt;5),OFFSET(TblPop[[#This Row],[Draft Growth]],-1,0)*0.375,0),0)</f>
        <v>0</v>
      </c>
      <c r="AP23" s="142"/>
      <c r="AQ23" s="94">
        <f ca="1">TblProd[[#This Row],[Platinum]]</f>
        <v>142025</v>
      </c>
      <c r="AR23" s="94">
        <f ca="1">INDEX(TblProd[[#Headers],[Lumber]]:TblProd[[#This Row],[Ore]],COUNTA(TblProd[[#Headers],[Lumber]]:TblProd[[#This Row],[Lumber]]),MATCH(Military!$AR$2,TblProd[[#Headers],[Lumber]:[Ore]],0))</f>
        <v>0</v>
      </c>
      <c r="AS2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23" s="94">
        <f ca="1">TblMili[[#This Row],[Train Unit 1]]*TblMili[[#This Row],[OP Ore]]+TblMili[[#This Row],[Train Unit 2]]*TblMili[[#This Row],[DP Ore]]+TblMili[[#This Row],[Train Unit 3]]*TblMili[[#This Row],[E1 Ore]]+TblMili[[#This Row],[Train Unit 4]]*TblMili[[#This Row],[E2 Ore]]</f>
        <v>0</v>
      </c>
      <c r="AU23" s="142">
        <f>TblMili[[#This Row],[Hour]]</f>
        <v>20</v>
      </c>
      <c r="AV23" s="152">
        <f ca="1">TblMili[[#This Row],[Time]]</f>
        <v>46320.791666666621</v>
      </c>
      <c r="AW23" s="94">
        <f ca="1">TblMili[[#This Row],[Draftees]]</f>
        <v>380</v>
      </c>
      <c r="AX23" s="179"/>
      <c r="AY23" s="179"/>
      <c r="AZ23" s="179"/>
      <c r="BA23" s="179"/>
      <c r="BB23" s="179"/>
      <c r="BC23" s="179"/>
      <c r="BD23" s="179"/>
      <c r="BE23" s="179"/>
      <c r="BF23" s="179"/>
      <c r="BG23" s="142"/>
      <c r="BH23" s="157">
        <f ca="1">TblConstr[[#This Row],[Tot WG]]/TblConstr[[#This Row],[Land]]</f>
        <v>0</v>
      </c>
      <c r="BI23" s="157">
        <f ca="1">TblConstr[[#This Row],[Tot Hav]]/TblConstr[[#This Row],[Land]]</f>
        <v>0</v>
      </c>
      <c r="BJ23" s="94">
        <f ca="1">ROUNDUP((1-MIN(TblMili[[#This Row],[Smithies]]*smithy_bonus,smithy_bonus_cap) + tech_3_5*TblTech[[#This Row],[3-5]] + tech_5_3*TblTech[[#This Row],[5-3]] + tech_5_5*TblTech[[#This Row],[5-5]])*spec_op_plat,0)</f>
        <v>315</v>
      </c>
      <c r="BK23" s="94">
        <f ca="1">ROUNDUP(IF(race="Gnome",1,(1-MIN(TblMili[[#This Row],[Smithies]]*smithy_bonus,smithy_bonus_cap) + tech_3_5*TblTech[[#This Row],[3-5]] + tech_5_3*TblTech[[#This Row],[5-3]] + tech_5_5*TblTech[[#This Row],[5-5]]))*spec_op_ore,0)</f>
        <v>25</v>
      </c>
      <c r="BL23" s="94">
        <f ca="1">ROUNDUP((1-MIN(TblMili[[#This Row],[Smithies]]*smithy_bonus,smithy_bonus_cap) + tech_3_5*TblTech[[#This Row],[3-5]] + tech_5_3*TblTech[[#This Row],[5-3]] + tech_5_5*TblTech[[#This Row],[5-5]])*spec_dp_plat,0)</f>
        <v>275</v>
      </c>
      <c r="BM23" s="94">
        <f ca="1">ROUNDUP(IF(race="Gnome",1,(1-MIN(TblMili[[#This Row],[Smithies]]*smithy_bonus,smithy_bonus_cap) + tech_3_5*TblTech[[#This Row],[3-5]] + tech_5_3*TblTech[[#This Row],[5-3]] + tech_5_5*TblTech[[#This Row],[5-5]]))*spec_dp_ore,0)</f>
        <v>15</v>
      </c>
      <c r="BN23" s="94">
        <f ca="1">ROUNDUP((1-MIN(TblMili[[#This Row],[Smithies]]*smithy_bonus,smithy_bonus_cap) + tech_3_5*TblTech[[#This Row],[3-5]] + tech_5_3*TblTech[[#This Row],[5-3]] + tech_5_5*TblTech[[#This Row],[5-5]])*elite1_plat,0)</f>
        <v>1040</v>
      </c>
      <c r="BO23" s="94">
        <f ca="1">ROUNDUP(IF(race="Gnome",1,(1-MIN(TblMili[[#This Row],[Smithies]]*smithy_bonus,smithy_bonus_cap) + tech_3_5*TblTech[[#This Row],[3-5]] + tech_5_3*TblTech[[#This Row],[5-3]] + tech_5_5*TblTech[[#This Row],[5-5]]))*elite1_ore,0)</f>
        <v>75</v>
      </c>
      <c r="BP23" s="94">
        <f ca="1">ROUNDUP((1-MIN(TblMili[[#This Row],[Smithies]]*smithy_bonus,smithy_bonus_cap) + tech_3_5*TblTech[[#This Row],[3-5]] + tech_5_3*TblTech[[#This Row],[5-3]] + tech_5_5*TblTech[[#This Row],[5-5]])*elite2_plat,0)</f>
        <v>1280</v>
      </c>
      <c r="BQ23" s="94">
        <f ca="1">ROUNDUP(IF(race="Gnome",1,(1-MIN(TblMili[[#This Row],[Smithies]]*smithy_bonus,smithy_bonus_cap) + tech_3_5*TblTech[[#This Row],[3-5]] + tech_5_3*TblTech[[#This Row],[5-3]] + tech_5_5*TblTech[[#This Row],[5-5]]))*elite2_ore,0)</f>
        <v>100</v>
      </c>
      <c r="BR23" s="94">
        <f ca="1">ROUNDUP((1-MIN(ROUND(fh_spy_cost_red*TblMili[[#This Row],[FH''s]],4),fh_spy_cost_cap)+ tech_1_9*TblTech[[#This Row],[1-9]] + tech_9_1*TblTech[[#This Row],[9-1]])*spy_plat,0)</f>
        <v>500</v>
      </c>
      <c r="BS23" s="94">
        <f ca="1">ROUNDUP((1-MIN(ROUND(fh_spy_cost_red*TblMili[[#This Row],[FH''s]],4),fh_spy_cost_cap)+ tech_1_9*TblTech[[#This Row],[1-9]] + tech_9_1*TblTech[[#This Row],[9-1]])*archspy_plat,0)</f>
        <v>1000</v>
      </c>
      <c r="BT23" s="94">
        <f ca="1">ROUNDUP((1-MIN(ROUND(wg_wiz_cost_bonus*TblMili[[#This Row],[WG''s]],4),wg_wiz_cost_cap) + tech_1_9_2*TblTech[[#This Row],[1-9]] + tech_9_1_2*TblTech[[#This Row],[9-1]])*wizard_plat,0)</f>
        <v>500</v>
      </c>
      <c r="BU23" s="94">
        <f ca="1">ROUNDUP((1-MIN(ROUND(wg_wiz_cost_bonus*TblMili[[#This Row],[WG''s]],4),wg_wiz_cost_cap) + tech_1_9_2*TblTech[[#This Row],[1-9]] + tech_9_1_2*TblTech[[#This Row],[9-1]])*(archmage_plat + IF(TblMagic[[#This Row],[Active Arc Infusion]]&gt;0,400,0)),0)</f>
        <v>1000</v>
      </c>
      <c r="BV23" s="142"/>
      <c r="BW23" s="157">
        <f ca="1">TblConstr[[#This Row],[Homeland]]/TblConstr[[#This Row],[Land]]</f>
        <v>0.6</v>
      </c>
      <c r="BX23" s="157">
        <f ca="1">TblMili[[#This Row],[WG''s]]</f>
        <v>0</v>
      </c>
      <c r="BY23" s="251">
        <f ca="1">IF(mystic_cap="none",TblMili[[#This Row],[Homeland%]]/mystic_bonus,MIN(mystic_cap,TblMili[[#This Row],[Homeland%]]/mystic_bonus))</f>
        <v>2</v>
      </c>
      <c r="BZ23" s="251">
        <f ca="1">IF(druid_op_cap="none",TblMili[[#This Row],[Homeland%]]/druid_op_bonus,MIN(druid_op_cap,TblMili[[#This Row],[Homeland%]]/druid_op_bonus))</f>
        <v>2</v>
      </c>
      <c r="CA23" s="251">
        <f ca="1">IF(druid_dp_cap="none",TblMili[[#This Row],[Homeland%]]/druid_dp_bonus,MIN(druid_dp_cap,TblMili[[#This Row],[Homeland%]]/druid_dp_bonus))</f>
        <v>2</v>
      </c>
      <c r="CB23" s="251">
        <f ca="1">MIN(dryad_cap,TblMili[[#This Row],[Homeland%]]/dryad_bonus)</f>
        <v>2.9999999999999996</v>
      </c>
      <c r="CC23" s="251">
        <f ca="1">MIN(rocka_cap,TblMili[[#This Row],[Homeland%]]/rocka_bonus)</f>
        <v>2</v>
      </c>
      <c r="CD23" s="251">
        <f ca="1">MIN(adept_op_cap,TblMili[[#This Row],[WG]]/adept_op_bonus)</f>
        <v>0</v>
      </c>
      <c r="CE23" s="251">
        <f ca="1">MIN(adept_dp_cap,TblMili[[#This Row],[WG]]/adept_dp_bonus)</f>
        <v>0</v>
      </c>
      <c r="CF23" s="94">
        <f ca="1">MIN(TblMili[[#This Row],[Unit 3]],TblMili[[#This Row],[Unit 2]])*2</f>
        <v>0</v>
      </c>
      <c r="CG23" s="94">
        <f ca="1">MIN(TblMili[[#This Row],[Unit 1]],TblMili[[#This Row],[Unit 4]])*2</f>
        <v>0</v>
      </c>
      <c r="CH23" s="251">
        <f ca="1">MIN(frost_mage_cap,TblMili[[#This Row],[Homeland%]]/frost_mage_bonus)</f>
        <v>2.9999999999999996</v>
      </c>
      <c r="CI23" s="45">
        <f ca="1">MIN(ice_elem_cap,TblMili[[#This Row],[Raw (2)]]*ice_elem_bonus)</f>
        <v>0</v>
      </c>
      <c r="CJ23" s="251">
        <f t="shared" si="0"/>
        <v>0.83333333333333337</v>
      </c>
      <c r="CK23" s="251">
        <f ca="1">MIN(nox_nightshade_cap,TblConstr[[#This Row],[Homeland]]/TblConstr[[#This Row],[Land]]/nox_nightshade_swamp_bonus)</f>
        <v>4</v>
      </c>
      <c r="CL23" s="251">
        <f ca="1">MIN(TblConstr[[#This Row],[Total Swamp]]/TblConstr[[#This Row],[Land]]/abyss_enforce_bonus,abyss_enforcer_cap)</f>
        <v>0</v>
      </c>
      <c r="CM23" s="251">
        <f ca="1">IF(TblMagic[[#This Row],[Active Infernal Command]]&gt;0,TblMili[[#This Row],[Unit 1]]*infernal_cmd_op,0)</f>
        <v>0</v>
      </c>
      <c r="CN23" s="252"/>
      <c r="CO23" s="252"/>
      <c r="CP23" s="252"/>
      <c r="CQ23" s="251">
        <f ca="1">TblMili[[#This Row],[Mystic]]*2</f>
        <v>4</v>
      </c>
      <c r="CR23" s="251">
        <f ca="1">TblMili[[#This Row],[Druid (op)]]*2</f>
        <v>4</v>
      </c>
      <c r="CS23" s="94">
        <f ca="1">TblMili[[#This Row],[Mystic bonus]]*TblMili[[#This Row],[Unit 3]]+TblMili[[#This Row],[Druid bonus]]*TblMili[[#This Row],[Unit 4]]</f>
        <v>0</v>
      </c>
      <c r="CT23" s="155">
        <f ca="1">TblMili[[#This Row],[Dryad]]*2</f>
        <v>5.9999999999999991</v>
      </c>
      <c r="CU23" s="94">
        <f ca="1">sylvan*(TblMili[[#This Row],[Mystic bonus]]*TblMili[[#This Row],[Unit 3]])</f>
        <v>0</v>
      </c>
      <c r="CV23" s="155">
        <f ca="1">TblMili[[#This Row],[Rockapult]]*2</f>
        <v>4</v>
      </c>
      <c r="CW23" s="94">
        <f ca="1">gnome*(TblMili[[#This Row],[Rockapult bonus]]*TblMili[[#This Row],[Unit 3]])</f>
        <v>0</v>
      </c>
      <c r="CX23" s="155">
        <f ca="1">TblMili[[#This Row],[Adept-DP]]*2</f>
        <v>0</v>
      </c>
      <c r="CY23" s="94">
        <f ca="1">dark_elf*(TblMili[[#This Row],[Adept bonus]]*TblMili[[#This Row],[Unit 3]])</f>
        <v>0</v>
      </c>
      <c r="CZ23" s="155">
        <f ca="1">TblMili[[#This Row],[Frost Mage]]*2</f>
        <v>5.9999999999999991</v>
      </c>
      <c r="DA23" s="155">
        <f ca="1">TblMili[[#This Row],[Ice Elemental]]*2</f>
        <v>0</v>
      </c>
      <c r="DB23" s="94">
        <f ca="1">TblMili[[#This Row],[Frost Mage bonus]]*TblMili[[#This Row],[Unit 3]]+TblMili[[#This Row],[Ice Elemental bonus]]*TblMili[[#This Row],[Unit 4]]</f>
        <v>0</v>
      </c>
      <c r="DC23" s="253"/>
      <c r="DD23" s="143">
        <f ca="1">MIN(SUM(TblConstr[[#This Row],[Plain]:[Water]])/TblMili[[#This Row],[Land]]/favorable_terrain_bonus/100,favorable_terrain_max)</f>
        <v>0</v>
      </c>
      <c r="DE23" s="253"/>
      <c r="DF2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3" s="142"/>
      <c r="DH23" s="254">
        <f ca="1">(TblMili[[#This Row],[Wizards]]+2*TblMili[[#This Row],[Archmages]])/TblConstr[[#This Row],[Land]]</f>
        <v>0</v>
      </c>
      <c r="DI23" s="254">
        <f ca="1">TblMili[[#This Row],[Raw (2)]]*(1+race_wizard_strength+IF(TblMili[[#This Row],[Hour]]&gt;72,tech_magical_weaponry_wiz*TblTech[[#This Row],[3-5]],0))</f>
        <v>0</v>
      </c>
    </row>
    <row r="24" spans="1:113" x14ac:dyDescent="0.2">
      <c r="A24" s="137">
        <f>TblRezone[[#This Row],[Hour]]</f>
        <v>21</v>
      </c>
      <c r="B24" s="246">
        <f ca="1">SUM(TblMili[[#This Row],[Unit 1]:[Archmages]])+SUM(OFFSET(TblMili[[#This Row],[Train Unit 1]],-8,0):TblMili[[#This Row],[Train Unit 2]]) + SUM(OFFSET(TblMili[[#This Row],[Train Unit 3]],-11,0):TblMili[[#This Row],[Train AM]]) + TblMili[[#This Row],[Draftees]]</f>
        <v>384</v>
      </c>
      <c r="C24" s="157">
        <f ca="1">TblPop[[#This Row],[Military%]]</f>
        <v>0.49934980494148246</v>
      </c>
      <c r="D24" s="142"/>
      <c r="E24" s="45">
        <f ca="1">OFFSET(TblMili[[#This Row],[Unit 1]],-1,0) + OFFSET(TblMili[[#This Row],[Train Unit 1]],-9,0) - TblMili[[#This Row],[Release Unit 1]] + OFFSET(TblMili[[#This Row],[DnD_Zombies]],-12,0)</f>
        <v>0</v>
      </c>
      <c r="F24" s="45">
        <f ca="1">OFFSET(TblMili[[#This Row],[Unit 2]],-1,0) + OFFSET(TblMili[[#This Row],[Train Unit 2]],-9,0)-TblMili[[#This Row],[Release Unit 2]]</f>
        <v>0</v>
      </c>
      <c r="G24" s="45">
        <f ca="1">OFFSET(TblMili[[#This Row],[Unit 3]],-1,0) + OFFSET(TblMili[[#This Row],[Train Unit 3]],-12,0)-TblMili[[#This Row],[Release Unit 3]]</f>
        <v>0</v>
      </c>
      <c r="H24" s="45">
        <f ca="1">OFFSET(TblMili[[#This Row],[Unit 4]],-1,0) + OFFSET(TblMili[[#This Row],[Train Unit 4]],-12,0)-TblMili[[#This Row],[Release Unit 4]]</f>
        <v>0</v>
      </c>
      <c r="I24" s="45">
        <f ca="1">OFFSET(TblMili[[#This Row],[Spies]],-1,0) + OFFSET(TblMili[[#This Row],[Train Spies]],-12,0) - TblMili[[#This Row],[Release Spies]]-TblMili[[#This Row],[Train AS]]</f>
        <v>0</v>
      </c>
      <c r="J24" s="45">
        <f ca="1">OFFSET(TblMili[[#This Row],[Archspies]],-1,0) + OFFSET(TblMili[[#This Row],[Train AS]],-12,0) - TblMili[[#This Row],[Release AS]]</f>
        <v>0</v>
      </c>
      <c r="K24" s="45">
        <f ca="1">OFFSET(TblMili[[#This Row],[Wizards]],-1,0) + OFFSET(TblMili[[#This Row],[Train Wiz]],-12,0) - TblMili[[#This Row],[Release Wizards]]-TblMili[[#This Row],[Train AM]] + IF(TblMagic[[#This Row],[Active Arc Infusion]]&gt;0,TblMili[[#This Row],[Train AM]])</f>
        <v>0</v>
      </c>
      <c r="L24" s="45">
        <f ca="1">OFFSET(TblMili[[#This Row],[Archmages]],-1,0) + OFFSET(TblMili[[#This Row],[Train AM]],-12,0) - TblMili[[#This Row],[Release AM]]</f>
        <v>0</v>
      </c>
      <c r="M24" s="142"/>
      <c r="N24" s="94">
        <f ca="1">TblProd[[#This Row],[Networth]]</f>
        <v>1250</v>
      </c>
      <c r="O24" s="142"/>
      <c r="P24"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2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4" s="247">
        <f ca="1">TblMili[[#This Row],[Raw]]*(1+TblMili[[#This Row],[Mods_Off]])</f>
        <v>0</v>
      </c>
      <c r="S24"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24" s="247">
        <f ca="1">TblMili[[#This Row],[Non Draft]]+TblMili[[#This Row],[Draftees]]</f>
        <v>384</v>
      </c>
      <c r="U24" s="248">
        <f ca="1">race_defense + TblImps[[#This Row],[Walls]] + ROUND( MIN(gt_bonus*TblConstr[[#This Row],[Tot GT]]/TblConstr[[#This Row],[Land]],gt_bonus_cap), 4) + IF(TblMagic[[#This Row],[Active Howling]]&gt;0,howling_dp_bonus,IF(TblMagic[[#This Row],[Active Ares Call]]&gt;0,ares_call_bonus))</f>
        <v>0</v>
      </c>
      <c r="V24" s="249">
        <f ca="1">TblMili[[#This Row],[Non Draft]] * (1 + TblMili[[#This Row],[Mods_Def]])</f>
        <v>0</v>
      </c>
      <c r="W24" s="247">
        <f ca="1">TblMili[[#This Row],[Draft]] * (1 + TblMili[[#This Row],[Mods_Def]])</f>
        <v>384</v>
      </c>
      <c r="X24" s="247">
        <f ca="1">TblConstr[[#This Row],[Land]]</f>
        <v>50</v>
      </c>
      <c r="Y24" s="250"/>
      <c r="Z24" s="255">
        <f ca="1">IF(TblMili[[#This Row],[Set]]&lt;&gt;"",TblMili[[#This Row],[Set]],OFFSET(TblMili[[#This Row],[Draftrate]],-1,0))</f>
        <v>0.9</v>
      </c>
      <c r="AA24"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384</v>
      </c>
      <c r="AB24" s="154"/>
      <c r="AC24" s="180">
        <f ca="1">(TblConstr[[#This Row],[Tot Smi]]+TblConstr[[#This Row],[Dest Smi]])/(TblConstr[[#This Row],[Land]]-TblExplore[[#This Row],[Land Bonus]]*20)</f>
        <v>0</v>
      </c>
      <c r="AD24" s="137"/>
      <c r="AE24" s="246">
        <f>TblMili[[#This Row],[Hour]]</f>
        <v>21</v>
      </c>
      <c r="AF24" s="138">
        <f ca="1">TblExplore[[#This Row],[Time]]</f>
        <v>46320.833333333285</v>
      </c>
      <c r="AG24" s="179"/>
      <c r="AH24" s="179"/>
      <c r="AI24" s="179"/>
      <c r="AJ24" s="179"/>
      <c r="AK24" s="179"/>
      <c r="AL24" s="179"/>
      <c r="AM24" s="179"/>
      <c r="AN24" s="179"/>
      <c r="AO24" s="420">
        <f ca="1">ROUND(IF(AND(TblMagic[[#This Row],[Active DnD]]&lt;12,TblMagic[[#This Row],[Active DnD]]&gt;5),OFFSET(TblPop[[#This Row],[Draft Growth]],-1,0)*0.375,0),0)</f>
        <v>0</v>
      </c>
      <c r="AP24" s="142"/>
      <c r="AQ24" s="94">
        <f ca="1">TblProd[[#This Row],[Platinum]]</f>
        <v>143075</v>
      </c>
      <c r="AR24" s="94">
        <f ca="1">INDEX(TblProd[[#Headers],[Lumber]]:TblProd[[#This Row],[Ore]],COUNTA(TblProd[[#Headers],[Lumber]]:TblProd[[#This Row],[Lumber]]),MATCH(Military!$AR$2,TblProd[[#Headers],[Lumber]:[Ore]],0))</f>
        <v>0</v>
      </c>
      <c r="AS2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24" s="94">
        <f ca="1">TblMili[[#This Row],[Train Unit 1]]*TblMili[[#This Row],[OP Ore]]+TblMili[[#This Row],[Train Unit 2]]*TblMili[[#This Row],[DP Ore]]+TblMili[[#This Row],[Train Unit 3]]*TblMili[[#This Row],[E1 Ore]]+TblMili[[#This Row],[Train Unit 4]]*TblMili[[#This Row],[E2 Ore]]</f>
        <v>0</v>
      </c>
      <c r="AU24" s="142">
        <f>TblMili[[#This Row],[Hour]]</f>
        <v>21</v>
      </c>
      <c r="AV24" s="152">
        <f ca="1">TblMili[[#This Row],[Time]]</f>
        <v>46320.833333333285</v>
      </c>
      <c r="AW24" s="94">
        <f ca="1">TblMili[[#This Row],[Draftees]]</f>
        <v>384</v>
      </c>
      <c r="AX24" s="179"/>
      <c r="AY24" s="179"/>
      <c r="AZ24" s="179"/>
      <c r="BA24" s="179"/>
      <c r="BB24" s="179"/>
      <c r="BC24" s="179"/>
      <c r="BD24" s="179"/>
      <c r="BE24" s="179"/>
      <c r="BF24" s="179"/>
      <c r="BG24" s="142"/>
      <c r="BH24" s="157">
        <f ca="1">TblConstr[[#This Row],[Tot WG]]/TblConstr[[#This Row],[Land]]</f>
        <v>0</v>
      </c>
      <c r="BI24" s="157">
        <f ca="1">TblConstr[[#This Row],[Tot Hav]]/TblConstr[[#This Row],[Land]]</f>
        <v>0</v>
      </c>
      <c r="BJ24" s="94">
        <f ca="1">ROUNDUP((1-MIN(TblMili[[#This Row],[Smithies]]*smithy_bonus,smithy_bonus_cap) + tech_3_5*TblTech[[#This Row],[3-5]] + tech_5_3*TblTech[[#This Row],[5-3]] + tech_5_5*TblTech[[#This Row],[5-5]])*spec_op_plat,0)</f>
        <v>315</v>
      </c>
      <c r="BK24" s="94">
        <f ca="1">ROUNDUP(IF(race="Gnome",1,(1-MIN(TblMili[[#This Row],[Smithies]]*smithy_bonus,smithy_bonus_cap) + tech_3_5*TblTech[[#This Row],[3-5]] + tech_5_3*TblTech[[#This Row],[5-3]] + tech_5_5*TblTech[[#This Row],[5-5]]))*spec_op_ore,0)</f>
        <v>25</v>
      </c>
      <c r="BL24" s="94">
        <f ca="1">ROUNDUP((1-MIN(TblMili[[#This Row],[Smithies]]*smithy_bonus,smithy_bonus_cap) + tech_3_5*TblTech[[#This Row],[3-5]] + tech_5_3*TblTech[[#This Row],[5-3]] + tech_5_5*TblTech[[#This Row],[5-5]])*spec_dp_plat,0)</f>
        <v>275</v>
      </c>
      <c r="BM24" s="94">
        <f ca="1">ROUNDUP(IF(race="Gnome",1,(1-MIN(TblMili[[#This Row],[Smithies]]*smithy_bonus,smithy_bonus_cap) + tech_3_5*TblTech[[#This Row],[3-5]] + tech_5_3*TblTech[[#This Row],[5-3]] + tech_5_5*TblTech[[#This Row],[5-5]]))*spec_dp_ore,0)</f>
        <v>15</v>
      </c>
      <c r="BN24" s="94">
        <f ca="1">ROUNDUP((1-MIN(TblMili[[#This Row],[Smithies]]*smithy_bonus,smithy_bonus_cap) + tech_3_5*TblTech[[#This Row],[3-5]] + tech_5_3*TblTech[[#This Row],[5-3]] + tech_5_5*TblTech[[#This Row],[5-5]])*elite1_plat,0)</f>
        <v>1040</v>
      </c>
      <c r="BO24" s="94">
        <f ca="1">ROUNDUP(IF(race="Gnome",1,(1-MIN(TblMili[[#This Row],[Smithies]]*smithy_bonus,smithy_bonus_cap) + tech_3_5*TblTech[[#This Row],[3-5]] + tech_5_3*TblTech[[#This Row],[5-3]] + tech_5_5*TblTech[[#This Row],[5-5]]))*elite1_ore,0)</f>
        <v>75</v>
      </c>
      <c r="BP24" s="94">
        <f ca="1">ROUNDUP((1-MIN(TblMili[[#This Row],[Smithies]]*smithy_bonus,smithy_bonus_cap) + tech_3_5*TblTech[[#This Row],[3-5]] + tech_5_3*TblTech[[#This Row],[5-3]] + tech_5_5*TblTech[[#This Row],[5-5]])*elite2_plat,0)</f>
        <v>1280</v>
      </c>
      <c r="BQ24" s="94">
        <f ca="1">ROUNDUP(IF(race="Gnome",1,(1-MIN(TblMili[[#This Row],[Smithies]]*smithy_bonus,smithy_bonus_cap) + tech_3_5*TblTech[[#This Row],[3-5]] + tech_5_3*TblTech[[#This Row],[5-3]] + tech_5_5*TblTech[[#This Row],[5-5]]))*elite2_ore,0)</f>
        <v>100</v>
      </c>
      <c r="BR24" s="94">
        <f ca="1">ROUNDUP((1-MIN(ROUND(fh_spy_cost_red*TblMili[[#This Row],[FH''s]],4),fh_spy_cost_cap)+ tech_1_9*TblTech[[#This Row],[1-9]] + tech_9_1*TblTech[[#This Row],[9-1]])*spy_plat,0)</f>
        <v>500</v>
      </c>
      <c r="BS24" s="94">
        <f ca="1">ROUNDUP((1-MIN(ROUND(fh_spy_cost_red*TblMili[[#This Row],[FH''s]],4),fh_spy_cost_cap)+ tech_1_9*TblTech[[#This Row],[1-9]] + tech_9_1*TblTech[[#This Row],[9-1]])*archspy_plat,0)</f>
        <v>1000</v>
      </c>
      <c r="BT24" s="94">
        <f ca="1">ROUNDUP((1-MIN(ROUND(wg_wiz_cost_bonus*TblMili[[#This Row],[WG''s]],4),wg_wiz_cost_cap) + tech_1_9_2*TblTech[[#This Row],[1-9]] + tech_9_1_2*TblTech[[#This Row],[9-1]])*wizard_plat,0)</f>
        <v>500</v>
      </c>
      <c r="BU24" s="94">
        <f ca="1">ROUNDUP((1-MIN(ROUND(wg_wiz_cost_bonus*TblMili[[#This Row],[WG''s]],4),wg_wiz_cost_cap) + tech_1_9_2*TblTech[[#This Row],[1-9]] + tech_9_1_2*TblTech[[#This Row],[9-1]])*(archmage_plat + IF(TblMagic[[#This Row],[Active Arc Infusion]]&gt;0,400,0)),0)</f>
        <v>1000</v>
      </c>
      <c r="BV24" s="142"/>
      <c r="BW24" s="157">
        <f ca="1">TblConstr[[#This Row],[Homeland]]/TblConstr[[#This Row],[Land]]</f>
        <v>0.6</v>
      </c>
      <c r="BX24" s="157">
        <f ca="1">TblMili[[#This Row],[WG''s]]</f>
        <v>0</v>
      </c>
      <c r="BY24" s="251">
        <f ca="1">IF(mystic_cap="none",TblMili[[#This Row],[Homeland%]]/mystic_bonus,MIN(mystic_cap,TblMili[[#This Row],[Homeland%]]/mystic_bonus))</f>
        <v>2</v>
      </c>
      <c r="BZ24" s="251">
        <f ca="1">IF(druid_op_cap="none",TblMili[[#This Row],[Homeland%]]/druid_op_bonus,MIN(druid_op_cap,TblMili[[#This Row],[Homeland%]]/druid_op_bonus))</f>
        <v>2</v>
      </c>
      <c r="CA24" s="251">
        <f ca="1">IF(druid_dp_cap="none",TblMili[[#This Row],[Homeland%]]/druid_dp_bonus,MIN(druid_dp_cap,TblMili[[#This Row],[Homeland%]]/druid_dp_bonus))</f>
        <v>2</v>
      </c>
      <c r="CB24" s="251">
        <f ca="1">MIN(dryad_cap,TblMili[[#This Row],[Homeland%]]/dryad_bonus)</f>
        <v>2.9999999999999996</v>
      </c>
      <c r="CC24" s="251">
        <f ca="1">MIN(rocka_cap,TblMili[[#This Row],[Homeland%]]/rocka_bonus)</f>
        <v>2</v>
      </c>
      <c r="CD24" s="251">
        <f ca="1">MIN(adept_op_cap,TblMili[[#This Row],[WG]]/adept_op_bonus)</f>
        <v>0</v>
      </c>
      <c r="CE24" s="251">
        <f ca="1">MIN(adept_dp_cap,TblMili[[#This Row],[WG]]/adept_dp_bonus)</f>
        <v>0</v>
      </c>
      <c r="CF24" s="94">
        <f ca="1">MIN(TblMili[[#This Row],[Unit 3]],TblMili[[#This Row],[Unit 2]])*2</f>
        <v>0</v>
      </c>
      <c r="CG24" s="94">
        <f ca="1">MIN(TblMili[[#This Row],[Unit 1]],TblMili[[#This Row],[Unit 4]])*2</f>
        <v>0</v>
      </c>
      <c r="CH24" s="251">
        <f ca="1">MIN(frost_mage_cap,TblMili[[#This Row],[Homeland%]]/frost_mage_bonus)</f>
        <v>2.9999999999999996</v>
      </c>
      <c r="CI24" s="45">
        <f ca="1">MIN(ice_elem_cap,TblMili[[#This Row],[Raw (2)]]*ice_elem_bonus)</f>
        <v>0</v>
      </c>
      <c r="CJ24" s="251">
        <f t="shared" si="0"/>
        <v>0.83333333333333337</v>
      </c>
      <c r="CK24" s="251">
        <f ca="1">MIN(nox_nightshade_cap,TblConstr[[#This Row],[Homeland]]/TblConstr[[#This Row],[Land]]/nox_nightshade_swamp_bonus)</f>
        <v>4</v>
      </c>
      <c r="CL24" s="251">
        <f ca="1">MIN(TblConstr[[#This Row],[Total Swamp]]/TblConstr[[#This Row],[Land]]/abyss_enforce_bonus,abyss_enforcer_cap)</f>
        <v>0</v>
      </c>
      <c r="CM24" s="251">
        <f ca="1">IF(TblMagic[[#This Row],[Active Infernal Command]]&gt;0,TblMili[[#This Row],[Unit 1]]*infernal_cmd_op,0)</f>
        <v>0</v>
      </c>
      <c r="CN24" s="252" t="s">
        <v>3</v>
      </c>
      <c r="CO24" s="252" t="b">
        <f>CN24=secondary_resource</f>
        <v>1</v>
      </c>
      <c r="CP24" s="252"/>
      <c r="CQ24" s="251">
        <f ca="1">TblMili[[#This Row],[Mystic]]*2</f>
        <v>4</v>
      </c>
      <c r="CR24" s="251">
        <f ca="1">TblMili[[#This Row],[Druid (op)]]*2</f>
        <v>4</v>
      </c>
      <c r="CS24" s="94">
        <f ca="1">TblMili[[#This Row],[Mystic bonus]]*TblMili[[#This Row],[Unit 3]]+TblMili[[#This Row],[Druid bonus]]*TblMili[[#This Row],[Unit 4]]</f>
        <v>0</v>
      </c>
      <c r="CT24" s="155">
        <f ca="1">TblMili[[#This Row],[Dryad]]*2</f>
        <v>5.9999999999999991</v>
      </c>
      <c r="CU24" s="94">
        <f ca="1">sylvan*(TblMili[[#This Row],[Mystic bonus]]*TblMili[[#This Row],[Unit 3]])</f>
        <v>0</v>
      </c>
      <c r="CV24" s="155">
        <f ca="1">TblMili[[#This Row],[Rockapult]]*2</f>
        <v>4</v>
      </c>
      <c r="CW24" s="94">
        <f ca="1">gnome*(TblMili[[#This Row],[Rockapult bonus]]*TblMili[[#This Row],[Unit 3]])</f>
        <v>0</v>
      </c>
      <c r="CX24" s="155">
        <f ca="1">TblMili[[#This Row],[Adept-DP]]*2</f>
        <v>0</v>
      </c>
      <c r="CY24" s="94">
        <f ca="1">dark_elf*(TblMili[[#This Row],[Adept bonus]]*TblMili[[#This Row],[Unit 3]])</f>
        <v>0</v>
      </c>
      <c r="CZ24" s="155">
        <f ca="1">TblMili[[#This Row],[Frost Mage]]*2</f>
        <v>5.9999999999999991</v>
      </c>
      <c r="DA24" s="155">
        <f ca="1">TblMili[[#This Row],[Ice Elemental]]*2</f>
        <v>0</v>
      </c>
      <c r="DB24" s="94">
        <f ca="1">TblMili[[#This Row],[Frost Mage bonus]]*TblMili[[#This Row],[Unit 3]]+TblMili[[#This Row],[Ice Elemental bonus]]*TblMili[[#This Row],[Unit 4]]</f>
        <v>0</v>
      </c>
      <c r="DC24" s="253"/>
      <c r="DD24" s="143">
        <f ca="1">MIN(SUM(TblConstr[[#This Row],[Plain]:[Water]])/TblMili[[#This Row],[Land]]/favorable_terrain_bonus/100,favorable_terrain_max)</f>
        <v>0</v>
      </c>
      <c r="DE24" s="253"/>
      <c r="DF2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4" s="142"/>
      <c r="DH24" s="254">
        <f ca="1">(TblMili[[#This Row],[Wizards]]+2*TblMili[[#This Row],[Archmages]])/TblConstr[[#This Row],[Land]]</f>
        <v>0</v>
      </c>
      <c r="DI24" s="254">
        <f ca="1">TblMili[[#This Row],[Raw (2)]]*(1+race_wizard_strength+IF(TblMili[[#This Row],[Hour]]&gt;72,tech_magical_weaponry_wiz*TblTech[[#This Row],[3-5]],0))</f>
        <v>0</v>
      </c>
    </row>
    <row r="25" spans="1:113" x14ac:dyDescent="0.2">
      <c r="A25" s="137">
        <f>TblRezone[[#This Row],[Hour]]</f>
        <v>22</v>
      </c>
      <c r="B25" s="246">
        <f ca="1">SUM(TblMili[[#This Row],[Unit 1]:[Archmages]])+SUM(OFFSET(TblMili[[#This Row],[Train Unit 1]],-8,0):TblMili[[#This Row],[Train Unit 2]]) + SUM(OFFSET(TblMili[[#This Row],[Train Unit 3]],-11,0):TblMili[[#This Row],[Train AM]]) + TblMili[[#This Row],[Draftees]]</f>
        <v>388</v>
      </c>
      <c r="C25" s="157">
        <f ca="1">TblPop[[#This Row],[Military%]]</f>
        <v>0.50455136540962287</v>
      </c>
      <c r="D25" s="142"/>
      <c r="E25" s="45">
        <f ca="1">OFFSET(TblMili[[#This Row],[Unit 1]],-1,0) + OFFSET(TblMili[[#This Row],[Train Unit 1]],-9,0) - TblMili[[#This Row],[Release Unit 1]] + OFFSET(TblMili[[#This Row],[DnD_Zombies]],-12,0)</f>
        <v>0</v>
      </c>
      <c r="F25" s="45">
        <f ca="1">OFFSET(TblMili[[#This Row],[Unit 2]],-1,0) + OFFSET(TblMili[[#This Row],[Train Unit 2]],-9,0)-TblMili[[#This Row],[Release Unit 2]]</f>
        <v>0</v>
      </c>
      <c r="G25" s="45">
        <f ca="1">OFFSET(TblMili[[#This Row],[Unit 3]],-1,0) + OFFSET(TblMili[[#This Row],[Train Unit 3]],-12,0)-TblMili[[#This Row],[Release Unit 3]]</f>
        <v>0</v>
      </c>
      <c r="H25" s="45">
        <f ca="1">OFFSET(TblMili[[#This Row],[Unit 4]],-1,0) + OFFSET(TblMili[[#This Row],[Train Unit 4]],-12,0)-TblMili[[#This Row],[Release Unit 4]]</f>
        <v>0</v>
      </c>
      <c r="I25" s="45">
        <f ca="1">OFFSET(TblMili[[#This Row],[Spies]],-1,0) + OFFSET(TblMili[[#This Row],[Train Spies]],-12,0) - TblMili[[#This Row],[Release Spies]]-TblMili[[#This Row],[Train AS]]</f>
        <v>0</v>
      </c>
      <c r="J25" s="45">
        <f ca="1">OFFSET(TblMili[[#This Row],[Archspies]],-1,0) + OFFSET(TblMili[[#This Row],[Train AS]],-12,0) - TblMili[[#This Row],[Release AS]]</f>
        <v>0</v>
      </c>
      <c r="K25" s="45">
        <f ca="1">OFFSET(TblMili[[#This Row],[Wizards]],-1,0) + OFFSET(TblMili[[#This Row],[Train Wiz]],-12,0) - TblMili[[#This Row],[Release Wizards]]-TblMili[[#This Row],[Train AM]] + IF(TblMagic[[#This Row],[Active Arc Infusion]]&gt;0,TblMili[[#This Row],[Train AM]])</f>
        <v>0</v>
      </c>
      <c r="L25" s="45">
        <f ca="1">OFFSET(TblMili[[#This Row],[Archmages]],-1,0) + OFFSET(TblMili[[#This Row],[Train AM]],-12,0) - TblMili[[#This Row],[Release AM]]</f>
        <v>0</v>
      </c>
      <c r="M25" s="142"/>
      <c r="N25" s="94">
        <f ca="1">TblProd[[#This Row],[Networth]]</f>
        <v>1250</v>
      </c>
      <c r="O25" s="142"/>
      <c r="P25"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2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5" s="247">
        <f ca="1">TblMili[[#This Row],[Raw]]*(1+TblMili[[#This Row],[Mods_Off]])</f>
        <v>0</v>
      </c>
      <c r="S25"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25" s="247">
        <f ca="1">TblMili[[#This Row],[Non Draft]]+TblMili[[#This Row],[Draftees]]</f>
        <v>388</v>
      </c>
      <c r="U25" s="248">
        <f ca="1">race_defense + TblImps[[#This Row],[Walls]] + ROUND( MIN(gt_bonus*TblConstr[[#This Row],[Tot GT]]/TblConstr[[#This Row],[Land]],gt_bonus_cap), 4) + IF(TblMagic[[#This Row],[Active Howling]]&gt;0,howling_dp_bonus,IF(TblMagic[[#This Row],[Active Ares Call]]&gt;0,ares_call_bonus))</f>
        <v>0</v>
      </c>
      <c r="V25" s="249">
        <f ca="1">TblMili[[#This Row],[Non Draft]] * (1 + TblMili[[#This Row],[Mods_Def]])</f>
        <v>0</v>
      </c>
      <c r="W25" s="247">
        <f ca="1">TblMili[[#This Row],[Draft]] * (1 + TblMili[[#This Row],[Mods_Def]])</f>
        <v>388</v>
      </c>
      <c r="X25" s="247">
        <f ca="1">TblConstr[[#This Row],[Land]]</f>
        <v>50</v>
      </c>
      <c r="Y25" s="250"/>
      <c r="Z25" s="255">
        <f ca="1">IF(TblMili[[#This Row],[Set]]&lt;&gt;"",TblMili[[#This Row],[Set]],OFFSET(TblMili[[#This Row],[Draftrate]],-1,0))</f>
        <v>0.9</v>
      </c>
      <c r="AA25"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388</v>
      </c>
      <c r="AB25" s="154"/>
      <c r="AC25" s="180">
        <f ca="1">(TblConstr[[#This Row],[Tot Smi]]+TblConstr[[#This Row],[Dest Smi]])/(TblConstr[[#This Row],[Land]]-TblExplore[[#This Row],[Land Bonus]]*20)</f>
        <v>0</v>
      </c>
      <c r="AD25" s="137"/>
      <c r="AE25" s="246">
        <f>TblMili[[#This Row],[Hour]]</f>
        <v>22</v>
      </c>
      <c r="AF25" s="138">
        <f ca="1">TblExplore[[#This Row],[Time]]</f>
        <v>46320.874999999949</v>
      </c>
      <c r="AG25" s="179"/>
      <c r="AH25" s="179"/>
      <c r="AI25" s="179"/>
      <c r="AJ25" s="179"/>
      <c r="AK25" s="179"/>
      <c r="AL25" s="179"/>
      <c r="AM25" s="179"/>
      <c r="AN25" s="179"/>
      <c r="AO25" s="420">
        <f ca="1">ROUND(IF(AND(TblMagic[[#This Row],[Active DnD]]&lt;12,TblMagic[[#This Row],[Active DnD]]&gt;5),OFFSET(TblPop[[#This Row],[Draft Growth]],-1,0)*0.375,0),0)</f>
        <v>0</v>
      </c>
      <c r="AP25" s="142"/>
      <c r="AQ25" s="94">
        <f ca="1">TblProd[[#This Row],[Platinum]]</f>
        <v>144114</v>
      </c>
      <c r="AR25" s="94">
        <f ca="1">INDEX(TblProd[[#Headers],[Lumber]]:TblProd[[#This Row],[Ore]],COUNTA(TblProd[[#Headers],[Lumber]]:TblProd[[#This Row],[Lumber]]),MATCH(Military!$AR$2,TblProd[[#Headers],[Lumber]:[Ore]],0))</f>
        <v>0</v>
      </c>
      <c r="AS2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25" s="94">
        <f ca="1">TblMili[[#This Row],[Train Unit 1]]*TblMili[[#This Row],[OP Ore]]+TblMili[[#This Row],[Train Unit 2]]*TblMili[[#This Row],[DP Ore]]+TblMili[[#This Row],[Train Unit 3]]*TblMili[[#This Row],[E1 Ore]]+TblMili[[#This Row],[Train Unit 4]]*TblMili[[#This Row],[E2 Ore]]</f>
        <v>0</v>
      </c>
      <c r="AU25" s="142">
        <f>TblMili[[#This Row],[Hour]]</f>
        <v>22</v>
      </c>
      <c r="AV25" s="152">
        <f ca="1">TblMili[[#This Row],[Time]]</f>
        <v>46320.874999999949</v>
      </c>
      <c r="AW25" s="94">
        <f ca="1">TblMili[[#This Row],[Draftees]]</f>
        <v>388</v>
      </c>
      <c r="AX25" s="179"/>
      <c r="AY25" s="179"/>
      <c r="AZ25" s="179"/>
      <c r="BA25" s="179"/>
      <c r="BB25" s="179"/>
      <c r="BC25" s="179"/>
      <c r="BD25" s="179"/>
      <c r="BE25" s="179"/>
      <c r="BF25" s="179"/>
      <c r="BG25" s="142"/>
      <c r="BH25" s="157">
        <f ca="1">TblConstr[[#This Row],[Tot WG]]/TblConstr[[#This Row],[Land]]</f>
        <v>0</v>
      </c>
      <c r="BI25" s="157">
        <f ca="1">TblConstr[[#This Row],[Tot Hav]]/TblConstr[[#This Row],[Land]]</f>
        <v>0</v>
      </c>
      <c r="BJ25" s="94">
        <f ca="1">ROUNDUP((1-MIN(TblMili[[#This Row],[Smithies]]*smithy_bonus,smithy_bonus_cap) + tech_3_5*TblTech[[#This Row],[3-5]] + tech_5_3*TblTech[[#This Row],[5-3]] + tech_5_5*TblTech[[#This Row],[5-5]])*spec_op_plat,0)</f>
        <v>315</v>
      </c>
      <c r="BK25" s="94">
        <f ca="1">ROUNDUP(IF(race="Gnome",1,(1-MIN(TblMili[[#This Row],[Smithies]]*smithy_bonus,smithy_bonus_cap) + tech_3_5*TblTech[[#This Row],[3-5]] + tech_5_3*TblTech[[#This Row],[5-3]] + tech_5_5*TblTech[[#This Row],[5-5]]))*spec_op_ore,0)</f>
        <v>25</v>
      </c>
      <c r="BL25" s="94">
        <f ca="1">ROUNDUP((1-MIN(TblMili[[#This Row],[Smithies]]*smithy_bonus,smithy_bonus_cap) + tech_3_5*TblTech[[#This Row],[3-5]] + tech_5_3*TblTech[[#This Row],[5-3]] + tech_5_5*TblTech[[#This Row],[5-5]])*spec_dp_plat,0)</f>
        <v>275</v>
      </c>
      <c r="BM25" s="94">
        <f ca="1">ROUNDUP(IF(race="Gnome",1,(1-MIN(TblMili[[#This Row],[Smithies]]*smithy_bonus,smithy_bonus_cap) + tech_3_5*TblTech[[#This Row],[3-5]] + tech_5_3*TblTech[[#This Row],[5-3]] + tech_5_5*TblTech[[#This Row],[5-5]]))*spec_dp_ore,0)</f>
        <v>15</v>
      </c>
      <c r="BN25" s="94">
        <f ca="1">ROUNDUP((1-MIN(TblMili[[#This Row],[Smithies]]*smithy_bonus,smithy_bonus_cap) + tech_3_5*TblTech[[#This Row],[3-5]] + tech_5_3*TblTech[[#This Row],[5-3]] + tech_5_5*TblTech[[#This Row],[5-5]])*elite1_plat,0)</f>
        <v>1040</v>
      </c>
      <c r="BO25" s="94">
        <f ca="1">ROUNDUP(IF(race="Gnome",1,(1-MIN(TblMili[[#This Row],[Smithies]]*smithy_bonus,smithy_bonus_cap) + tech_3_5*TblTech[[#This Row],[3-5]] + tech_5_3*TblTech[[#This Row],[5-3]] + tech_5_5*TblTech[[#This Row],[5-5]]))*elite1_ore,0)</f>
        <v>75</v>
      </c>
      <c r="BP25" s="94">
        <f ca="1">ROUNDUP((1-MIN(TblMili[[#This Row],[Smithies]]*smithy_bonus,smithy_bonus_cap) + tech_3_5*TblTech[[#This Row],[3-5]] + tech_5_3*TblTech[[#This Row],[5-3]] + tech_5_5*TblTech[[#This Row],[5-5]])*elite2_plat,0)</f>
        <v>1280</v>
      </c>
      <c r="BQ25" s="94">
        <f ca="1">ROUNDUP(IF(race="Gnome",1,(1-MIN(TblMili[[#This Row],[Smithies]]*smithy_bonus,smithy_bonus_cap) + tech_3_5*TblTech[[#This Row],[3-5]] + tech_5_3*TblTech[[#This Row],[5-3]] + tech_5_5*TblTech[[#This Row],[5-5]]))*elite2_ore,0)</f>
        <v>100</v>
      </c>
      <c r="BR25" s="94">
        <f ca="1">ROUNDUP((1-MIN(ROUND(fh_spy_cost_red*TblMili[[#This Row],[FH''s]],4),fh_spy_cost_cap)+ tech_1_9*TblTech[[#This Row],[1-9]] + tech_9_1*TblTech[[#This Row],[9-1]])*spy_plat,0)</f>
        <v>500</v>
      </c>
      <c r="BS25" s="94">
        <f ca="1">ROUNDUP((1-MIN(ROUND(fh_spy_cost_red*TblMili[[#This Row],[FH''s]],4),fh_spy_cost_cap)+ tech_1_9*TblTech[[#This Row],[1-9]] + tech_9_1*TblTech[[#This Row],[9-1]])*archspy_plat,0)</f>
        <v>1000</v>
      </c>
      <c r="BT25" s="94">
        <f ca="1">ROUNDUP((1-MIN(ROUND(wg_wiz_cost_bonus*TblMili[[#This Row],[WG''s]],4),wg_wiz_cost_cap) + tech_1_9_2*TblTech[[#This Row],[1-9]] + tech_9_1_2*TblTech[[#This Row],[9-1]])*wizard_plat,0)</f>
        <v>500</v>
      </c>
      <c r="BU25" s="94">
        <f ca="1">ROUNDUP((1-MIN(ROUND(wg_wiz_cost_bonus*TblMili[[#This Row],[WG''s]],4),wg_wiz_cost_cap) + tech_1_9_2*TblTech[[#This Row],[1-9]] + tech_9_1_2*TblTech[[#This Row],[9-1]])*(archmage_plat + IF(TblMagic[[#This Row],[Active Arc Infusion]]&gt;0,400,0)),0)</f>
        <v>1000</v>
      </c>
      <c r="BV25" s="142"/>
      <c r="BW25" s="157">
        <f ca="1">TblConstr[[#This Row],[Homeland]]/TblConstr[[#This Row],[Land]]</f>
        <v>0.6</v>
      </c>
      <c r="BX25" s="157">
        <f ca="1">TblMili[[#This Row],[WG''s]]</f>
        <v>0</v>
      </c>
      <c r="BY25" s="251">
        <f ca="1">IF(mystic_cap="none",TblMili[[#This Row],[Homeland%]]/mystic_bonus,MIN(mystic_cap,TblMili[[#This Row],[Homeland%]]/mystic_bonus))</f>
        <v>2</v>
      </c>
      <c r="BZ25" s="251">
        <f ca="1">IF(druid_op_cap="none",TblMili[[#This Row],[Homeland%]]/druid_op_bonus,MIN(druid_op_cap,TblMili[[#This Row],[Homeland%]]/druid_op_bonus))</f>
        <v>2</v>
      </c>
      <c r="CA25" s="251">
        <f ca="1">IF(druid_dp_cap="none",TblMili[[#This Row],[Homeland%]]/druid_dp_bonus,MIN(druid_dp_cap,TblMili[[#This Row],[Homeland%]]/druid_dp_bonus))</f>
        <v>2</v>
      </c>
      <c r="CB25" s="251">
        <f ca="1">MIN(dryad_cap,TblMili[[#This Row],[Homeland%]]/dryad_bonus)</f>
        <v>2.9999999999999996</v>
      </c>
      <c r="CC25" s="251">
        <f ca="1">MIN(rocka_cap,TblMili[[#This Row],[Homeland%]]/rocka_bonus)</f>
        <v>2</v>
      </c>
      <c r="CD25" s="251">
        <f ca="1">MIN(adept_op_cap,TblMili[[#This Row],[WG]]/adept_op_bonus)</f>
        <v>0</v>
      </c>
      <c r="CE25" s="251">
        <f ca="1">MIN(adept_dp_cap,TblMili[[#This Row],[WG]]/adept_dp_bonus)</f>
        <v>0</v>
      </c>
      <c r="CF25" s="94">
        <f ca="1">MIN(TblMili[[#This Row],[Unit 3]],TblMili[[#This Row],[Unit 2]])*2</f>
        <v>0</v>
      </c>
      <c r="CG25" s="94">
        <f ca="1">MIN(TblMili[[#This Row],[Unit 1]],TblMili[[#This Row],[Unit 4]])*2</f>
        <v>0</v>
      </c>
      <c r="CH25" s="251">
        <f ca="1">MIN(frost_mage_cap,TblMili[[#This Row],[Homeland%]]/frost_mage_bonus)</f>
        <v>2.9999999999999996</v>
      </c>
      <c r="CI25" s="45">
        <f ca="1">MIN(ice_elem_cap,TblMili[[#This Row],[Raw (2)]]*ice_elem_bonus)</f>
        <v>0</v>
      </c>
      <c r="CJ25" s="251">
        <f t="shared" si="0"/>
        <v>0.83333333333333337</v>
      </c>
      <c r="CK25" s="251">
        <f ca="1">MIN(nox_nightshade_cap,TblConstr[[#This Row],[Homeland]]/TblConstr[[#This Row],[Land]]/nox_nightshade_swamp_bonus)</f>
        <v>4</v>
      </c>
      <c r="CL25" s="251">
        <f ca="1">MIN(TblConstr[[#This Row],[Total Swamp]]/TblConstr[[#This Row],[Land]]/abyss_enforce_bonus,abyss_enforcer_cap)</f>
        <v>0</v>
      </c>
      <c r="CM25" s="251">
        <f ca="1">IF(TblMagic[[#This Row],[Active Infernal Command]]&gt;0,TblMili[[#This Row],[Unit 1]]*infernal_cmd_op,0)</f>
        <v>0</v>
      </c>
      <c r="CN25" s="252" t="s">
        <v>7</v>
      </c>
      <c r="CO25" s="252" t="b">
        <f>CN25=secondary_resource</f>
        <v>0</v>
      </c>
      <c r="CP25" s="252"/>
      <c r="CQ25" s="251">
        <f ca="1">TblMili[[#This Row],[Mystic]]*2</f>
        <v>4</v>
      </c>
      <c r="CR25" s="251">
        <f ca="1">TblMili[[#This Row],[Druid (op)]]*2</f>
        <v>4</v>
      </c>
      <c r="CS25" s="94">
        <f ca="1">TblMili[[#This Row],[Mystic bonus]]*TblMili[[#This Row],[Unit 3]]+TblMili[[#This Row],[Druid bonus]]*TblMili[[#This Row],[Unit 4]]</f>
        <v>0</v>
      </c>
      <c r="CT25" s="155">
        <f ca="1">TblMili[[#This Row],[Dryad]]*2</f>
        <v>5.9999999999999991</v>
      </c>
      <c r="CU25" s="94">
        <f ca="1">sylvan*(TblMili[[#This Row],[Mystic bonus]]*TblMili[[#This Row],[Unit 3]])</f>
        <v>0</v>
      </c>
      <c r="CV25" s="155">
        <f ca="1">TblMili[[#This Row],[Rockapult]]*2</f>
        <v>4</v>
      </c>
      <c r="CW25" s="94">
        <f ca="1">gnome*(TblMili[[#This Row],[Rockapult bonus]]*TblMili[[#This Row],[Unit 3]])</f>
        <v>0</v>
      </c>
      <c r="CX25" s="155">
        <f ca="1">TblMili[[#This Row],[Adept-DP]]*2</f>
        <v>0</v>
      </c>
      <c r="CY25" s="94">
        <f ca="1">dark_elf*(TblMili[[#This Row],[Adept bonus]]*TblMili[[#This Row],[Unit 3]])</f>
        <v>0</v>
      </c>
      <c r="CZ25" s="155">
        <f ca="1">TblMili[[#This Row],[Frost Mage]]*2</f>
        <v>5.9999999999999991</v>
      </c>
      <c r="DA25" s="155">
        <f ca="1">TblMili[[#This Row],[Ice Elemental]]*2</f>
        <v>0</v>
      </c>
      <c r="DB25" s="94">
        <f ca="1">TblMili[[#This Row],[Frost Mage bonus]]*TblMili[[#This Row],[Unit 3]]+TblMili[[#This Row],[Ice Elemental bonus]]*TblMili[[#This Row],[Unit 4]]</f>
        <v>0</v>
      </c>
      <c r="DC25" s="253"/>
      <c r="DD25" s="143">
        <f ca="1">MIN(SUM(TblConstr[[#This Row],[Plain]:[Water]])/TblMili[[#This Row],[Land]]/favorable_terrain_bonus/100,favorable_terrain_max)</f>
        <v>0</v>
      </c>
      <c r="DE25" s="253"/>
      <c r="DF2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5" s="142"/>
      <c r="DH25" s="254">
        <f ca="1">(TblMili[[#This Row],[Wizards]]+2*TblMili[[#This Row],[Archmages]])/TblConstr[[#This Row],[Land]]</f>
        <v>0</v>
      </c>
      <c r="DI25" s="254">
        <f ca="1">TblMili[[#This Row],[Raw (2)]]*(1+race_wizard_strength+IF(TblMili[[#This Row],[Hour]]&gt;72,tech_magical_weaponry_wiz*TblTech[[#This Row],[3-5]],0))</f>
        <v>0</v>
      </c>
    </row>
    <row r="26" spans="1:113" x14ac:dyDescent="0.2">
      <c r="A26" s="137">
        <f>TblRezone[[#This Row],[Hour]]</f>
        <v>23</v>
      </c>
      <c r="B26" s="246">
        <f ca="1">SUM(TblMili[[#This Row],[Unit 1]:[Archmages]])+SUM(OFFSET(TblMili[[#This Row],[Train Unit 1]],-8,0):TblMili[[#This Row],[Train Unit 2]]) + SUM(OFFSET(TblMili[[#This Row],[Train Unit 3]],-11,0):TblMili[[#This Row],[Train AM]]) + TblMili[[#This Row],[Draftees]]</f>
        <v>392</v>
      </c>
      <c r="C26" s="157">
        <f ca="1">TblPop[[#This Row],[Military%]]</f>
        <v>0.50975292587776333</v>
      </c>
      <c r="D26" s="142"/>
      <c r="E26" s="45">
        <f ca="1">OFFSET(TblMili[[#This Row],[Unit 1]],-1,0) + OFFSET(TblMili[[#This Row],[Train Unit 1]],-9,0) - TblMili[[#This Row],[Release Unit 1]] + OFFSET(TblMili[[#This Row],[DnD_Zombies]],-12,0)</f>
        <v>0</v>
      </c>
      <c r="F26" s="45">
        <f ca="1">OFFSET(TblMili[[#This Row],[Unit 2]],-1,0) + OFFSET(TblMili[[#This Row],[Train Unit 2]],-9,0)-TblMili[[#This Row],[Release Unit 2]]</f>
        <v>0</v>
      </c>
      <c r="G26" s="45">
        <f ca="1">OFFSET(TblMili[[#This Row],[Unit 3]],-1,0) + OFFSET(TblMili[[#This Row],[Train Unit 3]],-12,0)-TblMili[[#This Row],[Release Unit 3]]</f>
        <v>0</v>
      </c>
      <c r="H26" s="45">
        <f ca="1">OFFSET(TblMili[[#This Row],[Unit 4]],-1,0) + OFFSET(TblMili[[#This Row],[Train Unit 4]],-12,0)-TblMili[[#This Row],[Release Unit 4]]</f>
        <v>0</v>
      </c>
      <c r="I26" s="45">
        <f ca="1">OFFSET(TblMili[[#This Row],[Spies]],-1,0) + OFFSET(TblMili[[#This Row],[Train Spies]],-12,0) - TblMili[[#This Row],[Release Spies]]-TblMili[[#This Row],[Train AS]]</f>
        <v>0</v>
      </c>
      <c r="J26" s="45">
        <f ca="1">OFFSET(TblMili[[#This Row],[Archspies]],-1,0) + OFFSET(TblMili[[#This Row],[Train AS]],-12,0) - TblMili[[#This Row],[Release AS]]</f>
        <v>0</v>
      </c>
      <c r="K26" s="45">
        <f ca="1">OFFSET(TblMili[[#This Row],[Wizards]],-1,0) + OFFSET(TblMili[[#This Row],[Train Wiz]],-12,0) - TblMili[[#This Row],[Release Wizards]]-TblMili[[#This Row],[Train AM]] + IF(TblMagic[[#This Row],[Active Arc Infusion]]&gt;0,TblMili[[#This Row],[Train AM]])</f>
        <v>0</v>
      </c>
      <c r="L26" s="45">
        <f ca="1">OFFSET(TblMili[[#This Row],[Archmages]],-1,0) + OFFSET(TblMili[[#This Row],[Train AM]],-12,0) - TblMili[[#This Row],[Release AM]]</f>
        <v>0</v>
      </c>
      <c r="M26" s="142"/>
      <c r="N26" s="94">
        <f ca="1">TblProd[[#This Row],[Networth]]</f>
        <v>1250</v>
      </c>
      <c r="O26" s="142"/>
      <c r="P26"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2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6" s="247">
        <f ca="1">TblMili[[#This Row],[Raw]]*(1+TblMili[[#This Row],[Mods_Off]])</f>
        <v>0</v>
      </c>
      <c r="S26"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26" s="247">
        <f ca="1">TblMili[[#This Row],[Non Draft]]+TblMili[[#This Row],[Draftees]]</f>
        <v>392</v>
      </c>
      <c r="U26" s="248">
        <f ca="1">race_defense + TblImps[[#This Row],[Walls]] + ROUND( MIN(gt_bonus*TblConstr[[#This Row],[Tot GT]]/TblConstr[[#This Row],[Land]],gt_bonus_cap), 4) + IF(TblMagic[[#This Row],[Active Howling]]&gt;0,howling_dp_bonus,IF(TblMagic[[#This Row],[Active Ares Call]]&gt;0,ares_call_bonus))</f>
        <v>0</v>
      </c>
      <c r="V26" s="249">
        <f ca="1">TblMili[[#This Row],[Non Draft]] * (1 + TblMili[[#This Row],[Mods_Def]])</f>
        <v>0</v>
      </c>
      <c r="W26" s="247">
        <f ca="1">TblMili[[#This Row],[Draft]] * (1 + TblMili[[#This Row],[Mods_Def]])</f>
        <v>392</v>
      </c>
      <c r="X26" s="247">
        <f ca="1">TblConstr[[#This Row],[Land]]</f>
        <v>50</v>
      </c>
      <c r="Y26" s="250"/>
      <c r="Z26" s="255">
        <f ca="1">IF(TblMili[[#This Row],[Set]]&lt;&gt;"",TblMili[[#This Row],[Set]],OFFSET(TblMili[[#This Row],[Draftrate]],-1,0))</f>
        <v>0.9</v>
      </c>
      <c r="AA26"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392</v>
      </c>
      <c r="AB26" s="154"/>
      <c r="AC26" s="180">
        <f ca="1">(TblConstr[[#This Row],[Tot Smi]]+TblConstr[[#This Row],[Dest Smi]])/(TblConstr[[#This Row],[Land]]-TblExplore[[#This Row],[Land Bonus]]*20)</f>
        <v>0</v>
      </c>
      <c r="AD26" s="137"/>
      <c r="AE26" s="246">
        <f>TblMili[[#This Row],[Hour]]</f>
        <v>23</v>
      </c>
      <c r="AF26" s="138">
        <f ca="1">TblExplore[[#This Row],[Time]]</f>
        <v>46320.916666666613</v>
      </c>
      <c r="AG26" s="179"/>
      <c r="AH26" s="179"/>
      <c r="AI26" s="179"/>
      <c r="AJ26" s="179"/>
      <c r="AK26" s="179"/>
      <c r="AL26" s="179"/>
      <c r="AM26" s="179"/>
      <c r="AN26" s="179"/>
      <c r="AO26" s="420">
        <f ca="1">ROUND(IF(AND(TblMagic[[#This Row],[Active DnD]]&lt;12,TblMagic[[#This Row],[Active DnD]]&gt;5),OFFSET(TblPop[[#This Row],[Draft Growth]],-1,0)*0.375,0),0)</f>
        <v>0</v>
      </c>
      <c r="AP26" s="142"/>
      <c r="AQ26" s="94">
        <f ca="1">TblProd[[#This Row],[Platinum]]</f>
        <v>145142</v>
      </c>
      <c r="AR26" s="94">
        <f ca="1">INDEX(TblProd[[#Headers],[Lumber]]:TblProd[[#This Row],[Ore]],COUNTA(TblProd[[#Headers],[Lumber]]:TblProd[[#This Row],[Lumber]]),MATCH(Military!$AR$2,TblProd[[#Headers],[Lumber]:[Ore]],0))</f>
        <v>0</v>
      </c>
      <c r="AS2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26" s="94">
        <f ca="1">TblMili[[#This Row],[Train Unit 1]]*TblMili[[#This Row],[OP Ore]]+TblMili[[#This Row],[Train Unit 2]]*TblMili[[#This Row],[DP Ore]]+TblMili[[#This Row],[Train Unit 3]]*TblMili[[#This Row],[E1 Ore]]+TblMili[[#This Row],[Train Unit 4]]*TblMili[[#This Row],[E2 Ore]]</f>
        <v>0</v>
      </c>
      <c r="AU26" s="142">
        <f>TblMili[[#This Row],[Hour]]</f>
        <v>23</v>
      </c>
      <c r="AV26" s="152">
        <f ca="1">TblMili[[#This Row],[Time]]</f>
        <v>46320.916666666613</v>
      </c>
      <c r="AW26" s="94">
        <f ca="1">TblMili[[#This Row],[Draftees]]</f>
        <v>392</v>
      </c>
      <c r="AX26" s="179"/>
      <c r="AY26" s="179"/>
      <c r="AZ26" s="179"/>
      <c r="BA26" s="179"/>
      <c r="BB26" s="179"/>
      <c r="BC26" s="179"/>
      <c r="BD26" s="179"/>
      <c r="BE26" s="179"/>
      <c r="BF26" s="179"/>
      <c r="BG26" s="142"/>
      <c r="BH26" s="157">
        <f ca="1">TblConstr[[#This Row],[Tot WG]]/TblConstr[[#This Row],[Land]]</f>
        <v>0</v>
      </c>
      <c r="BI26" s="157">
        <f ca="1">TblConstr[[#This Row],[Tot Hav]]/TblConstr[[#This Row],[Land]]</f>
        <v>0</v>
      </c>
      <c r="BJ26" s="94">
        <f ca="1">ROUNDUP((1-MIN(TblMili[[#This Row],[Smithies]]*smithy_bonus,smithy_bonus_cap) + tech_3_5*TblTech[[#This Row],[3-5]] + tech_5_3*TblTech[[#This Row],[5-3]] + tech_5_5*TblTech[[#This Row],[5-5]])*spec_op_plat,0)</f>
        <v>315</v>
      </c>
      <c r="BK26" s="94">
        <f ca="1">ROUNDUP(IF(race="Gnome",1,(1-MIN(TblMili[[#This Row],[Smithies]]*smithy_bonus,smithy_bonus_cap) + tech_3_5*TblTech[[#This Row],[3-5]] + tech_5_3*TblTech[[#This Row],[5-3]] + tech_5_5*TblTech[[#This Row],[5-5]]))*spec_op_ore,0)</f>
        <v>25</v>
      </c>
      <c r="BL26" s="94">
        <f ca="1">ROUNDUP((1-MIN(TblMili[[#This Row],[Smithies]]*smithy_bonus,smithy_bonus_cap) + tech_3_5*TblTech[[#This Row],[3-5]] + tech_5_3*TblTech[[#This Row],[5-3]] + tech_5_5*TblTech[[#This Row],[5-5]])*spec_dp_plat,0)</f>
        <v>275</v>
      </c>
      <c r="BM26" s="94">
        <f ca="1">ROUNDUP(IF(race="Gnome",1,(1-MIN(TblMili[[#This Row],[Smithies]]*smithy_bonus,smithy_bonus_cap) + tech_3_5*TblTech[[#This Row],[3-5]] + tech_5_3*TblTech[[#This Row],[5-3]] + tech_5_5*TblTech[[#This Row],[5-5]]))*spec_dp_ore,0)</f>
        <v>15</v>
      </c>
      <c r="BN26" s="94">
        <f ca="1">ROUNDUP((1-MIN(TblMili[[#This Row],[Smithies]]*smithy_bonus,smithy_bonus_cap) + tech_3_5*TblTech[[#This Row],[3-5]] + tech_5_3*TblTech[[#This Row],[5-3]] + tech_5_5*TblTech[[#This Row],[5-5]])*elite1_plat,0)</f>
        <v>1040</v>
      </c>
      <c r="BO26" s="94">
        <f ca="1">ROUNDUP(IF(race="Gnome",1,(1-MIN(TblMili[[#This Row],[Smithies]]*smithy_bonus,smithy_bonus_cap) + tech_3_5*TblTech[[#This Row],[3-5]] + tech_5_3*TblTech[[#This Row],[5-3]] + tech_5_5*TblTech[[#This Row],[5-5]]))*elite1_ore,0)</f>
        <v>75</v>
      </c>
      <c r="BP26" s="94">
        <f ca="1">ROUNDUP((1-MIN(TblMili[[#This Row],[Smithies]]*smithy_bonus,smithy_bonus_cap) + tech_3_5*TblTech[[#This Row],[3-5]] + tech_5_3*TblTech[[#This Row],[5-3]] + tech_5_5*TblTech[[#This Row],[5-5]])*elite2_plat,0)</f>
        <v>1280</v>
      </c>
      <c r="BQ26" s="94">
        <f ca="1">ROUNDUP(IF(race="Gnome",1,(1-MIN(TblMili[[#This Row],[Smithies]]*smithy_bonus,smithy_bonus_cap) + tech_3_5*TblTech[[#This Row],[3-5]] + tech_5_3*TblTech[[#This Row],[5-3]] + tech_5_5*TblTech[[#This Row],[5-5]]))*elite2_ore,0)</f>
        <v>100</v>
      </c>
      <c r="BR26" s="94">
        <f ca="1">ROUNDUP((1-MIN(ROUND(fh_spy_cost_red*TblMili[[#This Row],[FH''s]],4),fh_spy_cost_cap)+ tech_1_9*TblTech[[#This Row],[1-9]] + tech_9_1*TblTech[[#This Row],[9-1]])*spy_plat,0)</f>
        <v>500</v>
      </c>
      <c r="BS26" s="94">
        <f ca="1">ROUNDUP((1-MIN(ROUND(fh_spy_cost_red*TblMili[[#This Row],[FH''s]],4),fh_spy_cost_cap)+ tech_1_9*TblTech[[#This Row],[1-9]] + tech_9_1*TblTech[[#This Row],[9-1]])*archspy_plat,0)</f>
        <v>1000</v>
      </c>
      <c r="BT26" s="94">
        <f ca="1">ROUNDUP((1-MIN(ROUND(wg_wiz_cost_bonus*TblMili[[#This Row],[WG''s]],4),wg_wiz_cost_cap) + tech_1_9_2*TblTech[[#This Row],[1-9]] + tech_9_1_2*TblTech[[#This Row],[9-1]])*wizard_plat,0)</f>
        <v>500</v>
      </c>
      <c r="BU26" s="94">
        <f ca="1">ROUNDUP((1-MIN(ROUND(wg_wiz_cost_bonus*TblMili[[#This Row],[WG''s]],4),wg_wiz_cost_cap) + tech_1_9_2*TblTech[[#This Row],[1-9]] + tech_9_1_2*TblTech[[#This Row],[9-1]])*(archmage_plat + IF(TblMagic[[#This Row],[Active Arc Infusion]]&gt;0,400,0)),0)</f>
        <v>1000</v>
      </c>
      <c r="BV26" s="142"/>
      <c r="BW26" s="157">
        <f ca="1">TblConstr[[#This Row],[Homeland]]/TblConstr[[#This Row],[Land]]</f>
        <v>0.6</v>
      </c>
      <c r="BX26" s="157">
        <f ca="1">TblMili[[#This Row],[WG''s]]</f>
        <v>0</v>
      </c>
      <c r="BY26" s="251">
        <f ca="1">IF(mystic_cap="none",TblMili[[#This Row],[Homeland%]]/mystic_bonus,MIN(mystic_cap,TblMili[[#This Row],[Homeland%]]/mystic_bonus))</f>
        <v>2</v>
      </c>
      <c r="BZ26" s="251">
        <f ca="1">IF(druid_op_cap="none",TblMili[[#This Row],[Homeland%]]/druid_op_bonus,MIN(druid_op_cap,TblMili[[#This Row],[Homeland%]]/druid_op_bonus))</f>
        <v>2</v>
      </c>
      <c r="CA26" s="251">
        <f ca="1">IF(druid_dp_cap="none",TblMili[[#This Row],[Homeland%]]/druid_dp_bonus,MIN(druid_dp_cap,TblMili[[#This Row],[Homeland%]]/druid_dp_bonus))</f>
        <v>2</v>
      </c>
      <c r="CB26" s="251">
        <f ca="1">MIN(dryad_cap,TblMili[[#This Row],[Homeland%]]/dryad_bonus)</f>
        <v>2.9999999999999996</v>
      </c>
      <c r="CC26" s="251">
        <f ca="1">MIN(rocka_cap,TblMili[[#This Row],[Homeland%]]/rocka_bonus)</f>
        <v>2</v>
      </c>
      <c r="CD26" s="251">
        <f ca="1">MIN(adept_op_cap,TblMili[[#This Row],[WG]]/adept_op_bonus)</f>
        <v>0</v>
      </c>
      <c r="CE26" s="251">
        <f ca="1">MIN(adept_dp_cap,TblMili[[#This Row],[WG]]/adept_dp_bonus)</f>
        <v>0</v>
      </c>
      <c r="CF26" s="94">
        <f ca="1">MIN(TblMili[[#This Row],[Unit 3]],TblMili[[#This Row],[Unit 2]])*2</f>
        <v>0</v>
      </c>
      <c r="CG26" s="94">
        <f ca="1">MIN(TblMili[[#This Row],[Unit 1]],TblMili[[#This Row],[Unit 4]])*2</f>
        <v>0</v>
      </c>
      <c r="CH26" s="251">
        <f ca="1">MIN(frost_mage_cap,TblMili[[#This Row],[Homeland%]]/frost_mage_bonus)</f>
        <v>2.9999999999999996</v>
      </c>
      <c r="CI26" s="45">
        <f ca="1">MIN(ice_elem_cap,TblMili[[#This Row],[Raw (2)]]*ice_elem_bonus)</f>
        <v>0</v>
      </c>
      <c r="CJ26" s="251">
        <f t="shared" si="0"/>
        <v>0.83333333333333337</v>
      </c>
      <c r="CK26" s="251">
        <f ca="1">MIN(nox_nightshade_cap,TblConstr[[#This Row],[Homeland]]/TblConstr[[#This Row],[Land]]/nox_nightshade_swamp_bonus)</f>
        <v>4</v>
      </c>
      <c r="CL26" s="251">
        <f ca="1">MIN(TblConstr[[#This Row],[Total Swamp]]/TblConstr[[#This Row],[Land]]/abyss_enforce_bonus,abyss_enforcer_cap)</f>
        <v>0</v>
      </c>
      <c r="CM26" s="251">
        <f ca="1">IF(TblMagic[[#This Row],[Active Infernal Command]]&gt;0,TblMili[[#This Row],[Unit 1]]*infernal_cmd_op,0)</f>
        <v>0</v>
      </c>
      <c r="CN26" s="252" t="s">
        <v>12</v>
      </c>
      <c r="CO26" s="252" t="b">
        <f>CN26=secondary_resource</f>
        <v>0</v>
      </c>
      <c r="CP26" s="252"/>
      <c r="CQ26" s="251">
        <f ca="1">TblMili[[#This Row],[Mystic]]*2</f>
        <v>4</v>
      </c>
      <c r="CR26" s="251">
        <f ca="1">TblMili[[#This Row],[Druid (op)]]*2</f>
        <v>4</v>
      </c>
      <c r="CS26" s="94">
        <f ca="1">TblMili[[#This Row],[Mystic bonus]]*TblMili[[#This Row],[Unit 3]]+TblMili[[#This Row],[Druid bonus]]*TblMili[[#This Row],[Unit 4]]</f>
        <v>0</v>
      </c>
      <c r="CT26" s="155">
        <f ca="1">TblMili[[#This Row],[Dryad]]*2</f>
        <v>5.9999999999999991</v>
      </c>
      <c r="CU26" s="94">
        <f ca="1">sylvan*(TblMili[[#This Row],[Mystic bonus]]*TblMili[[#This Row],[Unit 3]])</f>
        <v>0</v>
      </c>
      <c r="CV26" s="155">
        <f ca="1">TblMili[[#This Row],[Rockapult]]*2</f>
        <v>4</v>
      </c>
      <c r="CW26" s="94">
        <f ca="1">gnome*(TblMili[[#This Row],[Rockapult bonus]]*TblMili[[#This Row],[Unit 3]])</f>
        <v>0</v>
      </c>
      <c r="CX26" s="155">
        <f ca="1">TblMili[[#This Row],[Adept-DP]]*2</f>
        <v>0</v>
      </c>
      <c r="CY26" s="94">
        <f ca="1">dark_elf*(TblMili[[#This Row],[Adept bonus]]*TblMili[[#This Row],[Unit 3]])</f>
        <v>0</v>
      </c>
      <c r="CZ26" s="155">
        <f ca="1">TblMili[[#This Row],[Frost Mage]]*2</f>
        <v>5.9999999999999991</v>
      </c>
      <c r="DA26" s="155">
        <f ca="1">TblMili[[#This Row],[Ice Elemental]]*2</f>
        <v>0</v>
      </c>
      <c r="DB26" s="94">
        <f ca="1">TblMili[[#This Row],[Frost Mage bonus]]*TblMili[[#This Row],[Unit 3]]+TblMili[[#This Row],[Ice Elemental bonus]]*TblMili[[#This Row],[Unit 4]]</f>
        <v>0</v>
      </c>
      <c r="DC26" s="253"/>
      <c r="DD26" s="143">
        <f ca="1">MIN(SUM(TblConstr[[#This Row],[Plain]:[Water]])/TblMili[[#This Row],[Land]]/favorable_terrain_bonus/100,favorable_terrain_max)</f>
        <v>0</v>
      </c>
      <c r="DE26" s="253"/>
      <c r="DF2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6" s="142"/>
      <c r="DH26" s="254">
        <f ca="1">(TblMili[[#This Row],[Wizards]]+2*TblMili[[#This Row],[Archmages]])/TblConstr[[#This Row],[Land]]</f>
        <v>0</v>
      </c>
      <c r="DI26" s="254">
        <f ca="1">TblMili[[#This Row],[Raw (2)]]*(1+race_wizard_strength+IF(TblMili[[#This Row],[Hour]]&gt;72,tech_magical_weaponry_wiz*TblTech[[#This Row],[3-5]],0))</f>
        <v>0</v>
      </c>
    </row>
    <row r="27" spans="1:113" x14ac:dyDescent="0.2">
      <c r="A27" s="137">
        <f>TblRezone[[#This Row],[Hour]]</f>
        <v>24</v>
      </c>
      <c r="B27" s="246">
        <f ca="1">SUM(TblMili[[#This Row],[Unit 1]:[Archmages]])+SUM(OFFSET(TblMili[[#This Row],[Train Unit 1]],-8,0):TblMili[[#This Row],[Train Unit 2]]) + SUM(OFFSET(TblMili[[#This Row],[Train Unit 3]],-11,0):TblMili[[#This Row],[Train AM]]) + TblMili[[#This Row],[Draftees]]</f>
        <v>396</v>
      </c>
      <c r="C27" s="157">
        <f ca="1">TblPop[[#This Row],[Military%]]</f>
        <v>0.51495448634590379</v>
      </c>
      <c r="D27" s="142"/>
      <c r="E27" s="45">
        <f ca="1">OFFSET(TblMili[[#This Row],[Unit 1]],-1,0) + OFFSET(TblMili[[#This Row],[Train Unit 1]],-9,0) - TblMili[[#This Row],[Release Unit 1]] + OFFSET(TblMili[[#This Row],[DnD_Zombies]],-12,0)</f>
        <v>0</v>
      </c>
      <c r="F27" s="45">
        <f ca="1">OFFSET(TblMili[[#This Row],[Unit 2]],-1,0) + OFFSET(TblMili[[#This Row],[Train Unit 2]],-9,0)-TblMili[[#This Row],[Release Unit 2]]</f>
        <v>0</v>
      </c>
      <c r="G27" s="45">
        <f ca="1">OFFSET(TblMili[[#This Row],[Unit 3]],-1,0) + OFFSET(TblMili[[#This Row],[Train Unit 3]],-12,0)-TblMili[[#This Row],[Release Unit 3]]</f>
        <v>0</v>
      </c>
      <c r="H27" s="45">
        <f ca="1">OFFSET(TblMili[[#This Row],[Unit 4]],-1,0) + OFFSET(TblMili[[#This Row],[Train Unit 4]],-12,0)-TblMili[[#This Row],[Release Unit 4]]</f>
        <v>0</v>
      </c>
      <c r="I27" s="45">
        <f ca="1">OFFSET(TblMili[[#This Row],[Spies]],-1,0) + OFFSET(TblMili[[#This Row],[Train Spies]],-12,0) - TblMili[[#This Row],[Release Spies]]-TblMili[[#This Row],[Train AS]]</f>
        <v>0</v>
      </c>
      <c r="J27" s="45">
        <f ca="1">OFFSET(TblMili[[#This Row],[Archspies]],-1,0) + OFFSET(TblMili[[#This Row],[Train AS]],-12,0) - TblMili[[#This Row],[Release AS]]</f>
        <v>0</v>
      </c>
      <c r="K27" s="45">
        <f ca="1">OFFSET(TblMili[[#This Row],[Wizards]],-1,0) + OFFSET(TblMili[[#This Row],[Train Wiz]],-12,0) - TblMili[[#This Row],[Release Wizards]]-TblMili[[#This Row],[Train AM]] + IF(TblMagic[[#This Row],[Active Arc Infusion]]&gt;0,TblMili[[#This Row],[Train AM]])</f>
        <v>0</v>
      </c>
      <c r="L27" s="45">
        <f ca="1">OFFSET(TblMili[[#This Row],[Archmages]],-1,0) + OFFSET(TblMili[[#This Row],[Train AM]],-12,0) - TblMili[[#This Row],[Release AM]]</f>
        <v>0</v>
      </c>
      <c r="M27" s="142"/>
      <c r="N27" s="94">
        <f ca="1">TblProd[[#This Row],[Networth]]</f>
        <v>1250</v>
      </c>
      <c r="O27" s="142"/>
      <c r="P27"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2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7" s="247">
        <f ca="1">TblMili[[#This Row],[Raw]]*(1+TblMili[[#This Row],[Mods_Off]])</f>
        <v>0</v>
      </c>
      <c r="S27"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27" s="247">
        <f ca="1">TblMili[[#This Row],[Non Draft]]+TblMili[[#This Row],[Draftees]]</f>
        <v>396</v>
      </c>
      <c r="U27" s="248">
        <f ca="1">race_defense + TblImps[[#This Row],[Walls]] + ROUND( MIN(gt_bonus*TblConstr[[#This Row],[Tot GT]]/TblConstr[[#This Row],[Land]],gt_bonus_cap), 4) + IF(TblMagic[[#This Row],[Active Howling]]&gt;0,howling_dp_bonus,IF(TblMagic[[#This Row],[Active Ares Call]]&gt;0,ares_call_bonus))</f>
        <v>0</v>
      </c>
      <c r="V27" s="249">
        <f ca="1">TblMili[[#This Row],[Non Draft]] * (1 + TblMili[[#This Row],[Mods_Def]])</f>
        <v>0</v>
      </c>
      <c r="W27" s="247">
        <f ca="1">TblMili[[#This Row],[Draft]] * (1 + TblMili[[#This Row],[Mods_Def]])</f>
        <v>396</v>
      </c>
      <c r="X27" s="247">
        <f ca="1">TblConstr[[#This Row],[Land]]</f>
        <v>50</v>
      </c>
      <c r="Y27" s="250"/>
      <c r="Z27" s="255">
        <f ca="1">IF(TblMili[[#This Row],[Set]]&lt;&gt;"",TblMili[[#This Row],[Set]],OFFSET(TblMili[[#This Row],[Draftrate]],-1,0))</f>
        <v>0.9</v>
      </c>
      <c r="AA27"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396</v>
      </c>
      <c r="AB27" s="154"/>
      <c r="AC27" s="180">
        <f ca="1">(TblConstr[[#This Row],[Tot Smi]]+TblConstr[[#This Row],[Dest Smi]])/(TblConstr[[#This Row],[Land]]-TblExplore[[#This Row],[Land Bonus]]*20)</f>
        <v>0</v>
      </c>
      <c r="AD27" s="137"/>
      <c r="AE27" s="246">
        <f>TblMili[[#This Row],[Hour]]</f>
        <v>24</v>
      </c>
      <c r="AF27" s="138">
        <f ca="1">TblExplore[[#This Row],[Time]]</f>
        <v>46320.958333333278</v>
      </c>
      <c r="AG27" s="179"/>
      <c r="AH27" s="179"/>
      <c r="AI27" s="179"/>
      <c r="AJ27" s="179"/>
      <c r="AK27" s="179"/>
      <c r="AL27" s="179"/>
      <c r="AM27" s="179"/>
      <c r="AN27" s="179"/>
      <c r="AO27" s="420">
        <f ca="1">ROUND(IF(AND(TblMagic[[#This Row],[Active DnD]]&lt;12,TblMagic[[#This Row],[Active DnD]]&gt;5),OFFSET(TblPop[[#This Row],[Draft Growth]],-1,0)*0.375,0),0)</f>
        <v>0</v>
      </c>
      <c r="AP27" s="142"/>
      <c r="AQ27" s="94">
        <f ca="1">TblProd[[#This Row],[Platinum]]</f>
        <v>146159</v>
      </c>
      <c r="AR27" s="94">
        <f ca="1">INDEX(TblProd[[#Headers],[Lumber]]:TblProd[[#This Row],[Ore]],COUNTA(TblProd[[#Headers],[Lumber]]:TblProd[[#This Row],[Lumber]]),MATCH(Military!$AR$2,TblProd[[#Headers],[Lumber]:[Ore]],0))</f>
        <v>0</v>
      </c>
      <c r="AS2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27" s="94">
        <f ca="1">TblMili[[#This Row],[Train Unit 1]]*TblMili[[#This Row],[OP Ore]]+TblMili[[#This Row],[Train Unit 2]]*TblMili[[#This Row],[DP Ore]]+TblMili[[#This Row],[Train Unit 3]]*TblMili[[#This Row],[E1 Ore]]+TblMili[[#This Row],[Train Unit 4]]*TblMili[[#This Row],[E2 Ore]]</f>
        <v>0</v>
      </c>
      <c r="AU27" s="142">
        <f>TblMili[[#This Row],[Hour]]</f>
        <v>24</v>
      </c>
      <c r="AV27" s="152">
        <f ca="1">TblMili[[#This Row],[Time]]</f>
        <v>46320.958333333278</v>
      </c>
      <c r="AW27" s="94">
        <f ca="1">TblMili[[#This Row],[Draftees]]</f>
        <v>396</v>
      </c>
      <c r="AX27" s="179"/>
      <c r="AY27" s="179"/>
      <c r="AZ27" s="179"/>
      <c r="BA27" s="179"/>
      <c r="BB27" s="179"/>
      <c r="BC27" s="179"/>
      <c r="BD27" s="179"/>
      <c r="BE27" s="179"/>
      <c r="BF27" s="179"/>
      <c r="BG27" s="142"/>
      <c r="BH27" s="157">
        <f ca="1">TblConstr[[#This Row],[Tot WG]]/TblConstr[[#This Row],[Land]]</f>
        <v>0</v>
      </c>
      <c r="BI27" s="157">
        <f ca="1">TblConstr[[#This Row],[Tot Hav]]/TblConstr[[#This Row],[Land]]</f>
        <v>0</v>
      </c>
      <c r="BJ27" s="94">
        <f ca="1">ROUNDUP((1-MIN(TblMili[[#This Row],[Smithies]]*smithy_bonus,smithy_bonus_cap) + tech_3_5*TblTech[[#This Row],[3-5]] + tech_5_3*TblTech[[#This Row],[5-3]] + tech_5_5*TblTech[[#This Row],[5-5]])*spec_op_plat,0)</f>
        <v>315</v>
      </c>
      <c r="BK27" s="94">
        <f ca="1">ROUNDUP(IF(race="Gnome",1,(1-MIN(TblMili[[#This Row],[Smithies]]*smithy_bonus,smithy_bonus_cap) + tech_3_5*TblTech[[#This Row],[3-5]] + tech_5_3*TblTech[[#This Row],[5-3]] + tech_5_5*TblTech[[#This Row],[5-5]]))*spec_op_ore,0)</f>
        <v>25</v>
      </c>
      <c r="BL27" s="94">
        <f ca="1">ROUNDUP((1-MIN(TblMili[[#This Row],[Smithies]]*smithy_bonus,smithy_bonus_cap) + tech_3_5*TblTech[[#This Row],[3-5]] + tech_5_3*TblTech[[#This Row],[5-3]] + tech_5_5*TblTech[[#This Row],[5-5]])*spec_dp_plat,0)</f>
        <v>275</v>
      </c>
      <c r="BM27" s="94">
        <f ca="1">ROUNDUP(IF(race="Gnome",1,(1-MIN(TblMili[[#This Row],[Smithies]]*smithy_bonus,smithy_bonus_cap) + tech_3_5*TblTech[[#This Row],[3-5]] + tech_5_3*TblTech[[#This Row],[5-3]] + tech_5_5*TblTech[[#This Row],[5-5]]))*spec_dp_ore,0)</f>
        <v>15</v>
      </c>
      <c r="BN27" s="94">
        <f ca="1">ROUNDUP((1-MIN(TblMili[[#This Row],[Smithies]]*smithy_bonus,smithy_bonus_cap) + tech_3_5*TblTech[[#This Row],[3-5]] + tech_5_3*TblTech[[#This Row],[5-3]] + tech_5_5*TblTech[[#This Row],[5-5]])*elite1_plat,0)</f>
        <v>1040</v>
      </c>
      <c r="BO27" s="94">
        <f ca="1">ROUNDUP(IF(race="Gnome",1,(1-MIN(TblMili[[#This Row],[Smithies]]*smithy_bonus,smithy_bonus_cap) + tech_3_5*TblTech[[#This Row],[3-5]] + tech_5_3*TblTech[[#This Row],[5-3]] + tech_5_5*TblTech[[#This Row],[5-5]]))*elite1_ore,0)</f>
        <v>75</v>
      </c>
      <c r="BP27" s="94">
        <f ca="1">ROUNDUP((1-MIN(TblMili[[#This Row],[Smithies]]*smithy_bonus,smithy_bonus_cap) + tech_3_5*TblTech[[#This Row],[3-5]] + tech_5_3*TblTech[[#This Row],[5-3]] + tech_5_5*TblTech[[#This Row],[5-5]])*elite2_plat,0)</f>
        <v>1280</v>
      </c>
      <c r="BQ27" s="94">
        <f ca="1">ROUNDUP(IF(race="Gnome",1,(1-MIN(TblMili[[#This Row],[Smithies]]*smithy_bonus,smithy_bonus_cap) + tech_3_5*TblTech[[#This Row],[3-5]] + tech_5_3*TblTech[[#This Row],[5-3]] + tech_5_5*TblTech[[#This Row],[5-5]]))*elite2_ore,0)</f>
        <v>100</v>
      </c>
      <c r="BR27" s="94">
        <f ca="1">ROUNDUP((1-MIN(ROUND(fh_spy_cost_red*TblMili[[#This Row],[FH''s]],4),fh_spy_cost_cap)+ tech_1_9*TblTech[[#This Row],[1-9]] + tech_9_1*TblTech[[#This Row],[9-1]])*spy_plat,0)</f>
        <v>500</v>
      </c>
      <c r="BS27" s="94">
        <f ca="1">ROUNDUP((1-MIN(ROUND(fh_spy_cost_red*TblMili[[#This Row],[FH''s]],4),fh_spy_cost_cap)+ tech_1_9*TblTech[[#This Row],[1-9]] + tech_9_1*TblTech[[#This Row],[9-1]])*archspy_plat,0)</f>
        <v>1000</v>
      </c>
      <c r="BT27" s="94">
        <f ca="1">ROUNDUP((1-MIN(ROUND(wg_wiz_cost_bonus*TblMili[[#This Row],[WG''s]],4),wg_wiz_cost_cap) + tech_1_9_2*TblTech[[#This Row],[1-9]] + tech_9_1_2*TblTech[[#This Row],[9-1]])*wizard_plat,0)</f>
        <v>500</v>
      </c>
      <c r="BU27" s="94">
        <f ca="1">ROUNDUP((1-MIN(ROUND(wg_wiz_cost_bonus*TblMili[[#This Row],[WG''s]],4),wg_wiz_cost_cap) + tech_1_9_2*TblTech[[#This Row],[1-9]] + tech_9_1_2*TblTech[[#This Row],[9-1]])*(archmage_plat + IF(TblMagic[[#This Row],[Active Arc Infusion]]&gt;0,400,0)),0)</f>
        <v>1000</v>
      </c>
      <c r="BV27" s="142"/>
      <c r="BW27" s="157">
        <f ca="1">TblConstr[[#This Row],[Homeland]]/TblConstr[[#This Row],[Land]]</f>
        <v>0.6</v>
      </c>
      <c r="BX27" s="157">
        <f ca="1">TblMili[[#This Row],[WG''s]]</f>
        <v>0</v>
      </c>
      <c r="BY27" s="251">
        <f ca="1">IF(mystic_cap="none",TblMili[[#This Row],[Homeland%]]/mystic_bonus,MIN(mystic_cap,TblMili[[#This Row],[Homeland%]]/mystic_bonus))</f>
        <v>2</v>
      </c>
      <c r="BZ27" s="251">
        <f ca="1">IF(druid_op_cap="none",TblMili[[#This Row],[Homeland%]]/druid_op_bonus,MIN(druid_op_cap,TblMili[[#This Row],[Homeland%]]/druid_op_bonus))</f>
        <v>2</v>
      </c>
      <c r="CA27" s="251">
        <f ca="1">IF(druid_dp_cap="none",TblMili[[#This Row],[Homeland%]]/druid_dp_bonus,MIN(druid_dp_cap,TblMili[[#This Row],[Homeland%]]/druid_dp_bonus))</f>
        <v>2</v>
      </c>
      <c r="CB27" s="251">
        <f ca="1">MIN(dryad_cap,TblMili[[#This Row],[Homeland%]]/dryad_bonus)</f>
        <v>2.9999999999999996</v>
      </c>
      <c r="CC27" s="251">
        <f ca="1">MIN(rocka_cap,TblMili[[#This Row],[Homeland%]]/rocka_bonus)</f>
        <v>2</v>
      </c>
      <c r="CD27" s="251">
        <f ca="1">MIN(adept_op_cap,TblMili[[#This Row],[WG]]/adept_op_bonus)</f>
        <v>0</v>
      </c>
      <c r="CE27" s="251">
        <f ca="1">MIN(adept_dp_cap,TblMili[[#This Row],[WG]]/adept_dp_bonus)</f>
        <v>0</v>
      </c>
      <c r="CF27" s="94">
        <f ca="1">MIN(TblMili[[#This Row],[Unit 3]],TblMili[[#This Row],[Unit 2]])*2</f>
        <v>0</v>
      </c>
      <c r="CG27" s="94">
        <f ca="1">MIN(TblMili[[#This Row],[Unit 1]],TblMili[[#This Row],[Unit 4]])*2</f>
        <v>0</v>
      </c>
      <c r="CH27" s="251">
        <f ca="1">MIN(frost_mage_cap,TblMili[[#This Row],[Homeland%]]/frost_mage_bonus)</f>
        <v>2.9999999999999996</v>
      </c>
      <c r="CI27" s="45">
        <f ca="1">MIN(ice_elem_cap,TblMili[[#This Row],[Raw (2)]]*ice_elem_bonus)</f>
        <v>0</v>
      </c>
      <c r="CJ27" s="251">
        <f t="shared" si="0"/>
        <v>0.83333333333333337</v>
      </c>
      <c r="CK27" s="251">
        <f ca="1">MIN(nox_nightshade_cap,TblConstr[[#This Row],[Homeland]]/TblConstr[[#This Row],[Land]]/nox_nightshade_swamp_bonus)</f>
        <v>4</v>
      </c>
      <c r="CL27" s="251">
        <f ca="1">MIN(TblConstr[[#This Row],[Total Swamp]]/TblConstr[[#This Row],[Land]]/abyss_enforce_bonus,abyss_enforcer_cap)</f>
        <v>0</v>
      </c>
      <c r="CM27" s="251">
        <f ca="1">IF(TblMagic[[#This Row],[Active Infernal Command]]&gt;0,TblMili[[#This Row],[Unit 1]]*infernal_cmd_op,0)</f>
        <v>0</v>
      </c>
      <c r="CN27" s="252"/>
      <c r="CO27" s="252"/>
      <c r="CP27" s="252"/>
      <c r="CQ27" s="251">
        <f ca="1">TblMili[[#This Row],[Mystic]]*2</f>
        <v>4</v>
      </c>
      <c r="CR27" s="251">
        <f ca="1">TblMili[[#This Row],[Druid (op)]]*2</f>
        <v>4</v>
      </c>
      <c r="CS27" s="94">
        <f ca="1">TblMili[[#This Row],[Mystic bonus]]*TblMili[[#This Row],[Unit 3]]+TblMili[[#This Row],[Druid bonus]]*TblMili[[#This Row],[Unit 4]]</f>
        <v>0</v>
      </c>
      <c r="CT27" s="155">
        <f ca="1">TblMili[[#This Row],[Dryad]]*2</f>
        <v>5.9999999999999991</v>
      </c>
      <c r="CU27" s="94">
        <f ca="1">sylvan*(TblMili[[#This Row],[Mystic bonus]]*TblMili[[#This Row],[Unit 3]])</f>
        <v>0</v>
      </c>
      <c r="CV27" s="155">
        <f ca="1">TblMili[[#This Row],[Rockapult]]*2</f>
        <v>4</v>
      </c>
      <c r="CW27" s="94">
        <f ca="1">gnome*(TblMili[[#This Row],[Rockapult bonus]]*TblMili[[#This Row],[Unit 3]])</f>
        <v>0</v>
      </c>
      <c r="CX27" s="155">
        <f ca="1">TblMili[[#This Row],[Adept-DP]]*2</f>
        <v>0</v>
      </c>
      <c r="CY27" s="94">
        <f ca="1">dark_elf*(TblMili[[#This Row],[Adept bonus]]*TblMili[[#This Row],[Unit 3]])</f>
        <v>0</v>
      </c>
      <c r="CZ27" s="155">
        <f ca="1">TblMili[[#This Row],[Frost Mage]]*2</f>
        <v>5.9999999999999991</v>
      </c>
      <c r="DA27" s="155">
        <f ca="1">TblMili[[#This Row],[Ice Elemental]]*2</f>
        <v>0</v>
      </c>
      <c r="DB27" s="94">
        <f ca="1">TblMili[[#This Row],[Frost Mage bonus]]*TblMili[[#This Row],[Unit 3]]+TblMili[[#This Row],[Ice Elemental bonus]]*TblMili[[#This Row],[Unit 4]]</f>
        <v>0</v>
      </c>
      <c r="DC27" s="253"/>
      <c r="DD27" s="143">
        <f ca="1">MIN(SUM(TblConstr[[#This Row],[Plain]:[Water]])/TblMili[[#This Row],[Land]]/favorable_terrain_bonus/100,favorable_terrain_max)</f>
        <v>0</v>
      </c>
      <c r="DE27" s="253"/>
      <c r="DF2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7" s="142"/>
      <c r="DH27" s="254">
        <f ca="1">(TblMili[[#This Row],[Wizards]]+2*TblMili[[#This Row],[Archmages]])/TblConstr[[#This Row],[Land]]</f>
        <v>0</v>
      </c>
      <c r="DI27" s="254">
        <f ca="1">TblMili[[#This Row],[Raw (2)]]*(1+race_wizard_strength+IF(TblMili[[#This Row],[Hour]]&gt;72,tech_magical_weaponry_wiz*TblTech[[#This Row],[3-5]],0))</f>
        <v>0</v>
      </c>
    </row>
    <row r="28" spans="1:113" x14ac:dyDescent="0.2">
      <c r="A28" s="137">
        <f>TblRezone[[#This Row],[Hour]]</f>
        <v>25</v>
      </c>
      <c r="B28" s="246">
        <f ca="1">SUM(TblMili[[#This Row],[Unit 1]:[Archmages]])+SUM(OFFSET(TblMili[[#This Row],[Train Unit 1]],-8,0):TblMili[[#This Row],[Train Unit 2]]) + SUM(OFFSET(TblMili[[#This Row],[Train Unit 3]],-11,0):TblMili[[#This Row],[Train AM]]) + TblMili[[#This Row],[Draftees]]</f>
        <v>400</v>
      </c>
      <c r="C28" s="157">
        <f ca="1">TblPop[[#This Row],[Military%]]</f>
        <v>0.52015604681404426</v>
      </c>
      <c r="D28" s="142"/>
      <c r="E28" s="45">
        <f ca="1">OFFSET(TblMili[[#This Row],[Unit 1]],-1,0) + OFFSET(TblMili[[#This Row],[Train Unit 1]],-9,0) - TblMili[[#This Row],[Release Unit 1]] + OFFSET(TblMili[[#This Row],[DnD_Zombies]],-12,0)</f>
        <v>0</v>
      </c>
      <c r="F28" s="45">
        <f ca="1">OFFSET(TblMili[[#This Row],[Unit 2]],-1,0) + OFFSET(TblMili[[#This Row],[Train Unit 2]],-9,0)-TblMili[[#This Row],[Release Unit 2]]</f>
        <v>0</v>
      </c>
      <c r="G28" s="45">
        <f ca="1">OFFSET(TblMili[[#This Row],[Unit 3]],-1,0) + OFFSET(TblMili[[#This Row],[Train Unit 3]],-12,0)-TblMili[[#This Row],[Release Unit 3]]</f>
        <v>0</v>
      </c>
      <c r="H28" s="45">
        <f ca="1">OFFSET(TblMili[[#This Row],[Unit 4]],-1,0) + OFFSET(TblMili[[#This Row],[Train Unit 4]],-12,0)-TblMili[[#This Row],[Release Unit 4]]</f>
        <v>0</v>
      </c>
      <c r="I28" s="45">
        <f ca="1">OFFSET(TblMili[[#This Row],[Spies]],-1,0) + OFFSET(TblMili[[#This Row],[Train Spies]],-12,0) - TblMili[[#This Row],[Release Spies]]-TblMili[[#This Row],[Train AS]]</f>
        <v>0</v>
      </c>
      <c r="J28" s="45">
        <f ca="1">OFFSET(TblMili[[#This Row],[Archspies]],-1,0) + OFFSET(TblMili[[#This Row],[Train AS]],-12,0) - TblMili[[#This Row],[Release AS]]</f>
        <v>0</v>
      </c>
      <c r="K28" s="45">
        <f ca="1">OFFSET(TblMili[[#This Row],[Wizards]],-1,0) + OFFSET(TblMili[[#This Row],[Train Wiz]],-12,0) - TblMili[[#This Row],[Release Wizards]]-TblMili[[#This Row],[Train AM]] + IF(TblMagic[[#This Row],[Active Arc Infusion]]&gt;0,TblMili[[#This Row],[Train AM]])</f>
        <v>0</v>
      </c>
      <c r="L28" s="45">
        <f ca="1">OFFSET(TblMili[[#This Row],[Archmages]],-1,0) + OFFSET(TblMili[[#This Row],[Train AM]],-12,0) - TblMili[[#This Row],[Release AM]]</f>
        <v>0</v>
      </c>
      <c r="M28" s="142"/>
      <c r="N28" s="94">
        <f ca="1">TblProd[[#This Row],[Networth]]</f>
        <v>1250</v>
      </c>
      <c r="O28" s="142"/>
      <c r="P28"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2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8" s="247">
        <f ca="1">TblMili[[#This Row],[Raw]]*(1+TblMili[[#This Row],[Mods_Off]])</f>
        <v>0</v>
      </c>
      <c r="S28"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28" s="247">
        <f ca="1">TblMili[[#This Row],[Non Draft]]+TblMili[[#This Row],[Draftees]]</f>
        <v>400</v>
      </c>
      <c r="U28" s="248">
        <f ca="1">race_defense + TblImps[[#This Row],[Walls]] + ROUND( MIN(gt_bonus*TblConstr[[#This Row],[Tot GT]]/TblConstr[[#This Row],[Land]],gt_bonus_cap), 4) + IF(TblMagic[[#This Row],[Active Howling]]&gt;0,howling_dp_bonus,IF(TblMagic[[#This Row],[Active Ares Call]]&gt;0,ares_call_bonus))</f>
        <v>0</v>
      </c>
      <c r="V28" s="249">
        <f ca="1">TblMili[[#This Row],[Non Draft]] * (1 + TblMili[[#This Row],[Mods_Def]])</f>
        <v>0</v>
      </c>
      <c r="W28" s="247">
        <f ca="1">TblMili[[#This Row],[Draft]] * (1 + TblMili[[#This Row],[Mods_Def]])</f>
        <v>400</v>
      </c>
      <c r="X28" s="247">
        <f ca="1">TblConstr[[#This Row],[Land]]</f>
        <v>50</v>
      </c>
      <c r="Y28" s="250"/>
      <c r="Z28" s="255">
        <f ca="1">IF(TblMili[[#This Row],[Set]]&lt;&gt;"",TblMili[[#This Row],[Set]],OFFSET(TblMili[[#This Row],[Draftrate]],-1,0))</f>
        <v>0.9</v>
      </c>
      <c r="AA28"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400</v>
      </c>
      <c r="AB28" s="154"/>
      <c r="AC28" s="180">
        <f ca="1">(TblConstr[[#This Row],[Tot Smi]]+TblConstr[[#This Row],[Dest Smi]])/(TblConstr[[#This Row],[Land]]-TblExplore[[#This Row],[Land Bonus]]*20)</f>
        <v>0</v>
      </c>
      <c r="AD28" s="137"/>
      <c r="AE28" s="246">
        <f>TblMili[[#This Row],[Hour]]</f>
        <v>25</v>
      </c>
      <c r="AF28" s="138">
        <f ca="1">TblExplore[[#This Row],[Time]]</f>
        <v>46320.999999999942</v>
      </c>
      <c r="AG28" s="179"/>
      <c r="AH28" s="179"/>
      <c r="AI28" s="179"/>
      <c r="AJ28" s="179"/>
      <c r="AK28" s="179"/>
      <c r="AL28" s="179"/>
      <c r="AM28" s="179"/>
      <c r="AN28" s="179"/>
      <c r="AO28" s="420">
        <f ca="1">ROUND(IF(AND(TblMagic[[#This Row],[Active DnD]]&lt;12,TblMagic[[#This Row],[Active DnD]]&gt;5),OFFSET(TblPop[[#This Row],[Draft Growth]],-1,0)*0.375,0),0)</f>
        <v>0</v>
      </c>
      <c r="AP28" s="142"/>
      <c r="AQ28" s="94">
        <f ca="1">TblProd[[#This Row],[Platinum]]</f>
        <v>147166</v>
      </c>
      <c r="AR28" s="94">
        <f ca="1">INDEX(TblProd[[#Headers],[Lumber]]:TblProd[[#This Row],[Ore]],COUNTA(TblProd[[#Headers],[Lumber]]:TblProd[[#This Row],[Lumber]]),MATCH(Military!$AR$2,TblProd[[#Headers],[Lumber]:[Ore]],0))</f>
        <v>0</v>
      </c>
      <c r="AS2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28" s="94">
        <f ca="1">TblMili[[#This Row],[Train Unit 1]]*TblMili[[#This Row],[OP Ore]]+TblMili[[#This Row],[Train Unit 2]]*TblMili[[#This Row],[DP Ore]]+TblMili[[#This Row],[Train Unit 3]]*TblMili[[#This Row],[E1 Ore]]+TblMili[[#This Row],[Train Unit 4]]*TblMili[[#This Row],[E2 Ore]]</f>
        <v>0</v>
      </c>
      <c r="AU28" s="142">
        <f>TblMili[[#This Row],[Hour]]</f>
        <v>25</v>
      </c>
      <c r="AV28" s="152">
        <f ca="1">TblMili[[#This Row],[Time]]</f>
        <v>46320.999999999942</v>
      </c>
      <c r="AW28" s="94">
        <f ca="1">TblMili[[#This Row],[Draftees]]</f>
        <v>400</v>
      </c>
      <c r="AX28" s="179"/>
      <c r="AY28" s="179"/>
      <c r="AZ28" s="179"/>
      <c r="BA28" s="179"/>
      <c r="BB28" s="179"/>
      <c r="BC28" s="179"/>
      <c r="BD28" s="179"/>
      <c r="BE28" s="179"/>
      <c r="BF28" s="179"/>
      <c r="BG28" s="142"/>
      <c r="BH28" s="157">
        <f ca="1">TblConstr[[#This Row],[Tot WG]]/TblConstr[[#This Row],[Land]]</f>
        <v>0</v>
      </c>
      <c r="BI28" s="157">
        <f ca="1">TblConstr[[#This Row],[Tot Hav]]/TblConstr[[#This Row],[Land]]</f>
        <v>0</v>
      </c>
      <c r="BJ28" s="94">
        <f ca="1">ROUNDUP((1-MIN(TblMili[[#This Row],[Smithies]]*smithy_bonus,smithy_bonus_cap) + tech_3_5*TblTech[[#This Row],[3-5]] + tech_5_3*TblTech[[#This Row],[5-3]] + tech_5_5*TblTech[[#This Row],[5-5]])*spec_op_plat,0)</f>
        <v>315</v>
      </c>
      <c r="BK28" s="94">
        <f ca="1">ROUNDUP(IF(race="Gnome",1,(1-MIN(TblMili[[#This Row],[Smithies]]*smithy_bonus,smithy_bonus_cap) + tech_3_5*TblTech[[#This Row],[3-5]] + tech_5_3*TblTech[[#This Row],[5-3]] + tech_5_5*TblTech[[#This Row],[5-5]]))*spec_op_ore,0)</f>
        <v>25</v>
      </c>
      <c r="BL28" s="94">
        <f ca="1">ROUNDUP((1-MIN(TblMili[[#This Row],[Smithies]]*smithy_bonus,smithy_bonus_cap) + tech_3_5*TblTech[[#This Row],[3-5]] + tech_5_3*TblTech[[#This Row],[5-3]] + tech_5_5*TblTech[[#This Row],[5-5]])*spec_dp_plat,0)</f>
        <v>275</v>
      </c>
      <c r="BM28" s="94">
        <f ca="1">ROUNDUP(IF(race="Gnome",1,(1-MIN(TblMili[[#This Row],[Smithies]]*smithy_bonus,smithy_bonus_cap) + tech_3_5*TblTech[[#This Row],[3-5]] + tech_5_3*TblTech[[#This Row],[5-3]] + tech_5_5*TblTech[[#This Row],[5-5]]))*spec_dp_ore,0)</f>
        <v>15</v>
      </c>
      <c r="BN28" s="94">
        <f ca="1">ROUNDUP((1-MIN(TblMili[[#This Row],[Smithies]]*smithy_bonus,smithy_bonus_cap) + tech_3_5*TblTech[[#This Row],[3-5]] + tech_5_3*TblTech[[#This Row],[5-3]] + tech_5_5*TblTech[[#This Row],[5-5]])*elite1_plat,0)</f>
        <v>1040</v>
      </c>
      <c r="BO28" s="94">
        <f ca="1">ROUNDUP(IF(race="Gnome",1,(1-MIN(TblMili[[#This Row],[Smithies]]*smithy_bonus,smithy_bonus_cap) + tech_3_5*TblTech[[#This Row],[3-5]] + tech_5_3*TblTech[[#This Row],[5-3]] + tech_5_5*TblTech[[#This Row],[5-5]]))*elite1_ore,0)</f>
        <v>75</v>
      </c>
      <c r="BP28" s="94">
        <f ca="1">ROUNDUP((1-MIN(TblMili[[#This Row],[Smithies]]*smithy_bonus,smithy_bonus_cap) + tech_3_5*TblTech[[#This Row],[3-5]] + tech_5_3*TblTech[[#This Row],[5-3]] + tech_5_5*TblTech[[#This Row],[5-5]])*elite2_plat,0)</f>
        <v>1280</v>
      </c>
      <c r="BQ28" s="94">
        <f ca="1">ROUNDUP(IF(race="Gnome",1,(1-MIN(TblMili[[#This Row],[Smithies]]*smithy_bonus,smithy_bonus_cap) + tech_3_5*TblTech[[#This Row],[3-5]] + tech_5_3*TblTech[[#This Row],[5-3]] + tech_5_5*TblTech[[#This Row],[5-5]]))*elite2_ore,0)</f>
        <v>100</v>
      </c>
      <c r="BR28" s="94">
        <f ca="1">ROUNDUP((1-MIN(ROUND(fh_spy_cost_red*TblMili[[#This Row],[FH''s]],4),fh_spy_cost_cap)+ tech_1_9*TblTech[[#This Row],[1-9]] + tech_9_1*TblTech[[#This Row],[9-1]])*spy_plat,0)</f>
        <v>500</v>
      </c>
      <c r="BS28" s="94">
        <f ca="1">ROUNDUP((1-MIN(ROUND(fh_spy_cost_red*TblMili[[#This Row],[FH''s]],4),fh_spy_cost_cap)+ tech_1_9*TblTech[[#This Row],[1-9]] + tech_9_1*TblTech[[#This Row],[9-1]])*archspy_plat,0)</f>
        <v>1000</v>
      </c>
      <c r="BT28" s="94">
        <f ca="1">ROUNDUP((1-MIN(ROUND(wg_wiz_cost_bonus*TblMili[[#This Row],[WG''s]],4),wg_wiz_cost_cap) + tech_1_9_2*TblTech[[#This Row],[1-9]] + tech_9_1_2*TblTech[[#This Row],[9-1]])*wizard_plat,0)</f>
        <v>500</v>
      </c>
      <c r="BU28" s="94">
        <f ca="1">ROUNDUP((1-MIN(ROUND(wg_wiz_cost_bonus*TblMili[[#This Row],[WG''s]],4),wg_wiz_cost_cap) + tech_1_9_2*TblTech[[#This Row],[1-9]] + tech_9_1_2*TblTech[[#This Row],[9-1]])*(archmage_plat + IF(TblMagic[[#This Row],[Active Arc Infusion]]&gt;0,400,0)),0)</f>
        <v>1000</v>
      </c>
      <c r="BV28" s="142"/>
      <c r="BW28" s="157">
        <f ca="1">TblConstr[[#This Row],[Homeland]]/TblConstr[[#This Row],[Land]]</f>
        <v>0.6</v>
      </c>
      <c r="BX28" s="157">
        <f ca="1">TblMili[[#This Row],[WG''s]]</f>
        <v>0</v>
      </c>
      <c r="BY28" s="251">
        <f ca="1">IF(mystic_cap="none",TblMili[[#This Row],[Homeland%]]/mystic_bonus,MIN(mystic_cap,TblMili[[#This Row],[Homeland%]]/mystic_bonus))</f>
        <v>2</v>
      </c>
      <c r="BZ28" s="251">
        <f ca="1">IF(druid_op_cap="none",TblMili[[#This Row],[Homeland%]]/druid_op_bonus,MIN(druid_op_cap,TblMili[[#This Row],[Homeland%]]/druid_op_bonus))</f>
        <v>2</v>
      </c>
      <c r="CA28" s="251">
        <f ca="1">IF(druid_dp_cap="none",TblMili[[#This Row],[Homeland%]]/druid_dp_bonus,MIN(druid_dp_cap,TblMili[[#This Row],[Homeland%]]/druid_dp_bonus))</f>
        <v>2</v>
      </c>
      <c r="CB28" s="251">
        <f ca="1">MIN(dryad_cap,TblMili[[#This Row],[Homeland%]]/dryad_bonus)</f>
        <v>2.9999999999999996</v>
      </c>
      <c r="CC28" s="251">
        <f ca="1">MIN(rocka_cap,TblMili[[#This Row],[Homeland%]]/rocka_bonus)</f>
        <v>2</v>
      </c>
      <c r="CD28" s="251">
        <f ca="1">MIN(adept_op_cap,TblMili[[#This Row],[WG]]/adept_op_bonus)</f>
        <v>0</v>
      </c>
      <c r="CE28" s="251">
        <f ca="1">MIN(adept_dp_cap,TblMili[[#This Row],[WG]]/adept_dp_bonus)</f>
        <v>0</v>
      </c>
      <c r="CF28" s="94">
        <f ca="1">MIN(TblMili[[#This Row],[Unit 3]],TblMili[[#This Row],[Unit 2]])*2</f>
        <v>0</v>
      </c>
      <c r="CG28" s="94">
        <f ca="1">MIN(TblMili[[#This Row],[Unit 1]],TblMili[[#This Row],[Unit 4]])*2</f>
        <v>0</v>
      </c>
      <c r="CH28" s="251">
        <f ca="1">MIN(frost_mage_cap,TblMili[[#This Row],[Homeland%]]/frost_mage_bonus)</f>
        <v>2.9999999999999996</v>
      </c>
      <c r="CI28" s="45">
        <f ca="1">MIN(ice_elem_cap,TblMili[[#This Row],[Raw (2)]]*ice_elem_bonus)</f>
        <v>0</v>
      </c>
      <c r="CJ28" s="251">
        <f t="shared" si="0"/>
        <v>0.83333333333333337</v>
      </c>
      <c r="CK28" s="251">
        <f ca="1">MIN(nox_nightshade_cap,TblConstr[[#This Row],[Homeland]]/TblConstr[[#This Row],[Land]]/nox_nightshade_swamp_bonus)</f>
        <v>4</v>
      </c>
      <c r="CL28" s="251">
        <f ca="1">MIN(TblConstr[[#This Row],[Total Swamp]]/TblConstr[[#This Row],[Land]]/abyss_enforce_bonus,abyss_enforcer_cap)</f>
        <v>0</v>
      </c>
      <c r="CM28" s="251">
        <f ca="1">IF(TblMagic[[#This Row],[Active Infernal Command]]&gt;0,TblMili[[#This Row],[Unit 1]]*infernal_cmd_op,0)</f>
        <v>0</v>
      </c>
      <c r="CN28" s="252"/>
      <c r="CO28" s="252"/>
      <c r="CP28" s="252"/>
      <c r="CQ28" s="251">
        <f ca="1">TblMili[[#This Row],[Mystic]]*2</f>
        <v>4</v>
      </c>
      <c r="CR28" s="251">
        <f ca="1">TblMili[[#This Row],[Druid (op)]]*2</f>
        <v>4</v>
      </c>
      <c r="CS28" s="94">
        <f ca="1">TblMili[[#This Row],[Mystic bonus]]*TblMili[[#This Row],[Unit 3]]+TblMili[[#This Row],[Druid bonus]]*TblMili[[#This Row],[Unit 4]]</f>
        <v>0</v>
      </c>
      <c r="CT28" s="155">
        <f ca="1">TblMili[[#This Row],[Dryad]]*2</f>
        <v>5.9999999999999991</v>
      </c>
      <c r="CU28" s="94">
        <f ca="1">sylvan*(TblMili[[#This Row],[Mystic bonus]]*TblMili[[#This Row],[Unit 3]])</f>
        <v>0</v>
      </c>
      <c r="CV28" s="155">
        <f ca="1">TblMili[[#This Row],[Rockapult]]*2</f>
        <v>4</v>
      </c>
      <c r="CW28" s="94">
        <f ca="1">gnome*(TblMili[[#This Row],[Rockapult bonus]]*TblMili[[#This Row],[Unit 3]])</f>
        <v>0</v>
      </c>
      <c r="CX28" s="155">
        <f ca="1">TblMili[[#This Row],[Adept-DP]]*2</f>
        <v>0</v>
      </c>
      <c r="CY28" s="94">
        <f ca="1">dark_elf*(TblMili[[#This Row],[Adept bonus]]*TblMili[[#This Row],[Unit 3]])</f>
        <v>0</v>
      </c>
      <c r="CZ28" s="155">
        <f ca="1">TblMili[[#This Row],[Frost Mage]]*2</f>
        <v>5.9999999999999991</v>
      </c>
      <c r="DA28" s="155">
        <f ca="1">TblMili[[#This Row],[Ice Elemental]]*2</f>
        <v>0</v>
      </c>
      <c r="DB28" s="94">
        <f ca="1">TblMili[[#This Row],[Frost Mage bonus]]*TblMili[[#This Row],[Unit 3]]+TblMili[[#This Row],[Ice Elemental bonus]]*TblMili[[#This Row],[Unit 4]]</f>
        <v>0</v>
      </c>
      <c r="DC28" s="253"/>
      <c r="DD28" s="143">
        <f ca="1">MIN(SUM(TblConstr[[#This Row],[Plain]:[Water]])/TblMili[[#This Row],[Land]]/favorable_terrain_bonus/100,favorable_terrain_max)</f>
        <v>0</v>
      </c>
      <c r="DE28" s="253"/>
      <c r="DF2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8" s="142"/>
      <c r="DH28" s="254">
        <f ca="1">(TblMili[[#This Row],[Wizards]]+2*TblMili[[#This Row],[Archmages]])/TblConstr[[#This Row],[Land]]</f>
        <v>0</v>
      </c>
      <c r="DI28" s="254">
        <f ca="1">TblMili[[#This Row],[Raw (2)]]*(1+race_wizard_strength+IF(TblMili[[#This Row],[Hour]]&gt;72,tech_magical_weaponry_wiz*TblTech[[#This Row],[3-5]],0))</f>
        <v>0</v>
      </c>
    </row>
    <row r="29" spans="1:113" x14ac:dyDescent="0.2">
      <c r="A29" s="137">
        <f>TblRezone[[#This Row],[Hour]]</f>
        <v>26</v>
      </c>
      <c r="B29" s="246">
        <f ca="1">SUM(TblMili[[#This Row],[Unit 1]:[Archmages]])+SUM(OFFSET(TblMili[[#This Row],[Train Unit 1]],-8,0):TblMili[[#This Row],[Train Unit 2]]) + SUM(OFFSET(TblMili[[#This Row],[Train Unit 3]],-11,0):TblMili[[#This Row],[Train AM]]) + TblMili[[#This Row],[Draftees]]</f>
        <v>404</v>
      </c>
      <c r="C29" s="157">
        <f ca="1">TblPop[[#This Row],[Military%]]</f>
        <v>0.52535760728218461</v>
      </c>
      <c r="D29" s="142"/>
      <c r="E29" s="45">
        <f ca="1">OFFSET(TblMili[[#This Row],[Unit 1]],-1,0) + OFFSET(TblMili[[#This Row],[Train Unit 1]],-9,0) - TblMili[[#This Row],[Release Unit 1]] + OFFSET(TblMili[[#This Row],[DnD_Zombies]],-12,0)</f>
        <v>0</v>
      </c>
      <c r="F29" s="45">
        <f ca="1">OFFSET(TblMili[[#This Row],[Unit 2]],-1,0) + OFFSET(TblMili[[#This Row],[Train Unit 2]],-9,0)-TblMili[[#This Row],[Release Unit 2]]</f>
        <v>0</v>
      </c>
      <c r="G29" s="45">
        <f ca="1">OFFSET(TblMili[[#This Row],[Unit 3]],-1,0) + OFFSET(TblMili[[#This Row],[Train Unit 3]],-12,0)-TblMili[[#This Row],[Release Unit 3]]</f>
        <v>0</v>
      </c>
      <c r="H29" s="45">
        <f ca="1">OFFSET(TblMili[[#This Row],[Unit 4]],-1,0) + OFFSET(TblMili[[#This Row],[Train Unit 4]],-12,0)-TblMili[[#This Row],[Release Unit 4]]</f>
        <v>0</v>
      </c>
      <c r="I29" s="45">
        <f ca="1">OFFSET(TblMili[[#This Row],[Spies]],-1,0) + OFFSET(TblMili[[#This Row],[Train Spies]],-12,0) - TblMili[[#This Row],[Release Spies]]-TblMili[[#This Row],[Train AS]]</f>
        <v>0</v>
      </c>
      <c r="J29" s="45">
        <f ca="1">OFFSET(TblMili[[#This Row],[Archspies]],-1,0) + OFFSET(TblMili[[#This Row],[Train AS]],-12,0) - TblMili[[#This Row],[Release AS]]</f>
        <v>0</v>
      </c>
      <c r="K29" s="45">
        <f ca="1">OFFSET(TblMili[[#This Row],[Wizards]],-1,0) + OFFSET(TblMili[[#This Row],[Train Wiz]],-12,0) - TblMili[[#This Row],[Release Wizards]]-TblMili[[#This Row],[Train AM]] + IF(TblMagic[[#This Row],[Active Arc Infusion]]&gt;0,TblMili[[#This Row],[Train AM]])</f>
        <v>0</v>
      </c>
      <c r="L29" s="45">
        <f ca="1">OFFSET(TblMili[[#This Row],[Archmages]],-1,0) + OFFSET(TblMili[[#This Row],[Train AM]],-12,0) - TblMili[[#This Row],[Release AM]]</f>
        <v>0</v>
      </c>
      <c r="M29" s="142"/>
      <c r="N29" s="94">
        <f ca="1">TblProd[[#This Row],[Networth]]</f>
        <v>1250</v>
      </c>
      <c r="O29" s="142"/>
      <c r="P29"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2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9" s="247">
        <f ca="1">TblMili[[#This Row],[Raw]]*(1+TblMili[[#This Row],[Mods_Off]])</f>
        <v>0</v>
      </c>
      <c r="S29"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29" s="247">
        <f ca="1">TblMili[[#This Row],[Non Draft]]+TblMili[[#This Row],[Draftees]]</f>
        <v>404</v>
      </c>
      <c r="U29" s="248">
        <f ca="1">race_defense + TblImps[[#This Row],[Walls]] + ROUND( MIN(gt_bonus*TblConstr[[#This Row],[Tot GT]]/TblConstr[[#This Row],[Land]],gt_bonus_cap), 4) + IF(TblMagic[[#This Row],[Active Howling]]&gt;0,howling_dp_bonus,IF(TblMagic[[#This Row],[Active Ares Call]]&gt;0,ares_call_bonus))</f>
        <v>0</v>
      </c>
      <c r="V29" s="249">
        <f ca="1">TblMili[[#This Row],[Non Draft]] * (1 + TblMili[[#This Row],[Mods_Def]])</f>
        <v>0</v>
      </c>
      <c r="W29" s="247">
        <f ca="1">TblMili[[#This Row],[Draft]] * (1 + TblMili[[#This Row],[Mods_Def]])</f>
        <v>404</v>
      </c>
      <c r="X29" s="247">
        <f ca="1">TblConstr[[#This Row],[Land]]</f>
        <v>50</v>
      </c>
      <c r="Y29" s="250"/>
      <c r="Z29" s="255">
        <f ca="1">IF(TblMili[[#This Row],[Set]]&lt;&gt;"",TblMili[[#This Row],[Set]],OFFSET(TblMili[[#This Row],[Draftrate]],-1,0))</f>
        <v>0.9</v>
      </c>
      <c r="AA29"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404</v>
      </c>
      <c r="AB29" s="154"/>
      <c r="AC29" s="180">
        <f ca="1">(TblConstr[[#This Row],[Tot Smi]]+TblConstr[[#This Row],[Dest Smi]])/(TblConstr[[#This Row],[Land]]-TblExplore[[#This Row],[Land Bonus]]*20)</f>
        <v>0</v>
      </c>
      <c r="AD29" s="137"/>
      <c r="AE29" s="246">
        <f>TblMili[[#This Row],[Hour]]</f>
        <v>26</v>
      </c>
      <c r="AF29" s="138">
        <f ca="1">TblExplore[[#This Row],[Time]]</f>
        <v>46321.041666666606</v>
      </c>
      <c r="AG29" s="179"/>
      <c r="AH29" s="179"/>
      <c r="AI29" s="179"/>
      <c r="AJ29" s="179"/>
      <c r="AK29" s="179"/>
      <c r="AL29" s="179"/>
      <c r="AM29" s="179"/>
      <c r="AN29" s="179"/>
      <c r="AO29" s="420">
        <f ca="1">ROUND(IF(AND(TblMagic[[#This Row],[Active DnD]]&lt;12,TblMagic[[#This Row],[Active DnD]]&gt;5),OFFSET(TblPop[[#This Row],[Draft Growth]],-1,0)*0.375,0),0)</f>
        <v>0</v>
      </c>
      <c r="AP29" s="142"/>
      <c r="AQ29" s="94">
        <f ca="1">TblProd[[#This Row],[Platinum]]</f>
        <v>148162</v>
      </c>
      <c r="AR29" s="94">
        <f ca="1">INDEX(TblProd[[#Headers],[Lumber]]:TblProd[[#This Row],[Ore]],COUNTA(TblProd[[#Headers],[Lumber]]:TblProd[[#This Row],[Lumber]]),MATCH(Military!$AR$2,TblProd[[#Headers],[Lumber]:[Ore]],0))</f>
        <v>0</v>
      </c>
      <c r="AS2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29" s="94">
        <f ca="1">TblMili[[#This Row],[Train Unit 1]]*TblMili[[#This Row],[OP Ore]]+TblMili[[#This Row],[Train Unit 2]]*TblMili[[#This Row],[DP Ore]]+TblMili[[#This Row],[Train Unit 3]]*TblMili[[#This Row],[E1 Ore]]+TblMili[[#This Row],[Train Unit 4]]*TblMili[[#This Row],[E2 Ore]]</f>
        <v>0</v>
      </c>
      <c r="AU29" s="142">
        <f>TblMili[[#This Row],[Hour]]</f>
        <v>26</v>
      </c>
      <c r="AV29" s="152">
        <f ca="1">TblMili[[#This Row],[Time]]</f>
        <v>46321.041666666606</v>
      </c>
      <c r="AW29" s="94">
        <f ca="1">TblMili[[#This Row],[Draftees]]</f>
        <v>404</v>
      </c>
      <c r="AX29" s="179"/>
      <c r="AY29" s="179"/>
      <c r="AZ29" s="179"/>
      <c r="BA29" s="179"/>
      <c r="BB29" s="179"/>
      <c r="BC29" s="179"/>
      <c r="BD29" s="179"/>
      <c r="BE29" s="179"/>
      <c r="BF29" s="179"/>
      <c r="BG29" s="142"/>
      <c r="BH29" s="157">
        <f ca="1">TblConstr[[#This Row],[Tot WG]]/TblConstr[[#This Row],[Land]]</f>
        <v>0</v>
      </c>
      <c r="BI29" s="157">
        <f ca="1">TblConstr[[#This Row],[Tot Hav]]/TblConstr[[#This Row],[Land]]</f>
        <v>0</v>
      </c>
      <c r="BJ29" s="94">
        <f ca="1">ROUNDUP((1-MIN(TblMili[[#This Row],[Smithies]]*smithy_bonus,smithy_bonus_cap) + tech_3_5*TblTech[[#This Row],[3-5]] + tech_5_3*TblTech[[#This Row],[5-3]] + tech_5_5*TblTech[[#This Row],[5-5]])*spec_op_plat,0)</f>
        <v>315</v>
      </c>
      <c r="BK29" s="94">
        <f ca="1">ROUNDUP(IF(race="Gnome",1,(1-MIN(TblMili[[#This Row],[Smithies]]*smithy_bonus,smithy_bonus_cap) + tech_3_5*TblTech[[#This Row],[3-5]] + tech_5_3*TblTech[[#This Row],[5-3]] + tech_5_5*TblTech[[#This Row],[5-5]]))*spec_op_ore,0)</f>
        <v>25</v>
      </c>
      <c r="BL29" s="94">
        <f ca="1">ROUNDUP((1-MIN(TblMili[[#This Row],[Smithies]]*smithy_bonus,smithy_bonus_cap) + tech_3_5*TblTech[[#This Row],[3-5]] + tech_5_3*TblTech[[#This Row],[5-3]] + tech_5_5*TblTech[[#This Row],[5-5]])*spec_dp_plat,0)</f>
        <v>275</v>
      </c>
      <c r="BM29" s="94">
        <f ca="1">ROUNDUP(IF(race="Gnome",1,(1-MIN(TblMili[[#This Row],[Smithies]]*smithy_bonus,smithy_bonus_cap) + tech_3_5*TblTech[[#This Row],[3-5]] + tech_5_3*TblTech[[#This Row],[5-3]] + tech_5_5*TblTech[[#This Row],[5-5]]))*spec_dp_ore,0)</f>
        <v>15</v>
      </c>
      <c r="BN29" s="94">
        <f ca="1">ROUNDUP((1-MIN(TblMili[[#This Row],[Smithies]]*smithy_bonus,smithy_bonus_cap) + tech_3_5*TblTech[[#This Row],[3-5]] + tech_5_3*TblTech[[#This Row],[5-3]] + tech_5_5*TblTech[[#This Row],[5-5]])*elite1_plat,0)</f>
        <v>1040</v>
      </c>
      <c r="BO29" s="94">
        <f ca="1">ROUNDUP(IF(race="Gnome",1,(1-MIN(TblMili[[#This Row],[Smithies]]*smithy_bonus,smithy_bonus_cap) + tech_3_5*TblTech[[#This Row],[3-5]] + tech_5_3*TblTech[[#This Row],[5-3]] + tech_5_5*TblTech[[#This Row],[5-5]]))*elite1_ore,0)</f>
        <v>75</v>
      </c>
      <c r="BP29" s="94">
        <f ca="1">ROUNDUP((1-MIN(TblMili[[#This Row],[Smithies]]*smithy_bonus,smithy_bonus_cap) + tech_3_5*TblTech[[#This Row],[3-5]] + tech_5_3*TblTech[[#This Row],[5-3]] + tech_5_5*TblTech[[#This Row],[5-5]])*elite2_plat,0)</f>
        <v>1280</v>
      </c>
      <c r="BQ29" s="94">
        <f ca="1">ROUNDUP(IF(race="Gnome",1,(1-MIN(TblMili[[#This Row],[Smithies]]*smithy_bonus,smithy_bonus_cap) + tech_3_5*TblTech[[#This Row],[3-5]] + tech_5_3*TblTech[[#This Row],[5-3]] + tech_5_5*TblTech[[#This Row],[5-5]]))*elite2_ore,0)</f>
        <v>100</v>
      </c>
      <c r="BR29" s="94">
        <f ca="1">ROUNDUP((1-MIN(ROUND(fh_spy_cost_red*TblMili[[#This Row],[FH''s]],4),fh_spy_cost_cap)+ tech_1_9*TblTech[[#This Row],[1-9]] + tech_9_1*TblTech[[#This Row],[9-1]])*spy_plat,0)</f>
        <v>500</v>
      </c>
      <c r="BS29" s="94">
        <f ca="1">ROUNDUP((1-MIN(ROUND(fh_spy_cost_red*TblMili[[#This Row],[FH''s]],4),fh_spy_cost_cap)+ tech_1_9*TblTech[[#This Row],[1-9]] + tech_9_1*TblTech[[#This Row],[9-1]])*archspy_plat,0)</f>
        <v>1000</v>
      </c>
      <c r="BT29" s="94">
        <f ca="1">ROUNDUP((1-MIN(ROUND(wg_wiz_cost_bonus*TblMili[[#This Row],[WG''s]],4),wg_wiz_cost_cap) + tech_1_9_2*TblTech[[#This Row],[1-9]] + tech_9_1_2*TblTech[[#This Row],[9-1]])*wizard_plat,0)</f>
        <v>500</v>
      </c>
      <c r="BU29" s="94">
        <f ca="1">ROUNDUP((1-MIN(ROUND(wg_wiz_cost_bonus*TblMili[[#This Row],[WG''s]],4),wg_wiz_cost_cap) + tech_1_9_2*TblTech[[#This Row],[1-9]] + tech_9_1_2*TblTech[[#This Row],[9-1]])*(archmage_plat + IF(TblMagic[[#This Row],[Active Arc Infusion]]&gt;0,400,0)),0)</f>
        <v>1000</v>
      </c>
      <c r="BV29" s="142"/>
      <c r="BW29" s="157">
        <f ca="1">TblConstr[[#This Row],[Homeland]]/TblConstr[[#This Row],[Land]]</f>
        <v>0.6</v>
      </c>
      <c r="BX29" s="157">
        <f ca="1">TblMili[[#This Row],[WG''s]]</f>
        <v>0</v>
      </c>
      <c r="BY29" s="251">
        <f ca="1">IF(mystic_cap="none",TblMili[[#This Row],[Homeland%]]/mystic_bonus,MIN(mystic_cap,TblMili[[#This Row],[Homeland%]]/mystic_bonus))</f>
        <v>2</v>
      </c>
      <c r="BZ29" s="251">
        <f ca="1">IF(druid_op_cap="none",TblMili[[#This Row],[Homeland%]]/druid_op_bonus,MIN(druid_op_cap,TblMili[[#This Row],[Homeland%]]/druid_op_bonus))</f>
        <v>2</v>
      </c>
      <c r="CA29" s="251">
        <f ca="1">IF(druid_dp_cap="none",TblMili[[#This Row],[Homeland%]]/druid_dp_bonus,MIN(druid_dp_cap,TblMili[[#This Row],[Homeland%]]/druid_dp_bonus))</f>
        <v>2</v>
      </c>
      <c r="CB29" s="251">
        <f ca="1">MIN(dryad_cap,TblMili[[#This Row],[Homeland%]]/dryad_bonus)</f>
        <v>2.9999999999999996</v>
      </c>
      <c r="CC29" s="251">
        <f ca="1">MIN(rocka_cap,TblMili[[#This Row],[Homeland%]]/rocka_bonus)</f>
        <v>2</v>
      </c>
      <c r="CD29" s="251">
        <f ca="1">MIN(adept_op_cap,TblMili[[#This Row],[WG]]/adept_op_bonus)</f>
        <v>0</v>
      </c>
      <c r="CE29" s="251">
        <f ca="1">MIN(adept_dp_cap,TblMili[[#This Row],[WG]]/adept_dp_bonus)</f>
        <v>0</v>
      </c>
      <c r="CF29" s="94">
        <f ca="1">MIN(TblMili[[#This Row],[Unit 3]],TblMili[[#This Row],[Unit 2]])*2</f>
        <v>0</v>
      </c>
      <c r="CG29" s="94">
        <f ca="1">MIN(TblMili[[#This Row],[Unit 1]],TblMili[[#This Row],[Unit 4]])*2</f>
        <v>0</v>
      </c>
      <c r="CH29" s="251">
        <f ca="1">MIN(frost_mage_cap,TblMili[[#This Row],[Homeland%]]/frost_mage_bonus)</f>
        <v>2.9999999999999996</v>
      </c>
      <c r="CI29" s="45">
        <f ca="1">MIN(ice_elem_cap,TblMili[[#This Row],[Raw (2)]]*ice_elem_bonus)</f>
        <v>0</v>
      </c>
      <c r="CJ29" s="251">
        <f t="shared" si="0"/>
        <v>0.83333333333333337</v>
      </c>
      <c r="CK29" s="251">
        <f ca="1">MIN(nox_nightshade_cap,TblConstr[[#This Row],[Homeland]]/TblConstr[[#This Row],[Land]]/nox_nightshade_swamp_bonus)</f>
        <v>4</v>
      </c>
      <c r="CL29" s="251">
        <f ca="1">MIN(TblConstr[[#This Row],[Total Swamp]]/TblConstr[[#This Row],[Land]]/abyss_enforce_bonus,abyss_enforcer_cap)</f>
        <v>0</v>
      </c>
      <c r="CM29" s="251">
        <f ca="1">IF(TblMagic[[#This Row],[Active Infernal Command]]&gt;0,TblMili[[#This Row],[Unit 1]]*infernal_cmd_op,0)</f>
        <v>0</v>
      </c>
      <c r="CN29" s="252"/>
      <c r="CO29" s="252"/>
      <c r="CP29" s="252"/>
      <c r="CQ29" s="251">
        <f ca="1">TblMili[[#This Row],[Mystic]]*2</f>
        <v>4</v>
      </c>
      <c r="CR29" s="251">
        <f ca="1">TblMili[[#This Row],[Druid (op)]]*2</f>
        <v>4</v>
      </c>
      <c r="CS29" s="94">
        <f ca="1">TblMili[[#This Row],[Mystic bonus]]*TblMili[[#This Row],[Unit 3]]+TblMili[[#This Row],[Druid bonus]]*TblMili[[#This Row],[Unit 4]]</f>
        <v>0</v>
      </c>
      <c r="CT29" s="155">
        <f ca="1">TblMili[[#This Row],[Dryad]]*2</f>
        <v>5.9999999999999991</v>
      </c>
      <c r="CU29" s="94">
        <f ca="1">sylvan*(TblMili[[#This Row],[Mystic bonus]]*TblMili[[#This Row],[Unit 3]])</f>
        <v>0</v>
      </c>
      <c r="CV29" s="155">
        <f ca="1">TblMili[[#This Row],[Rockapult]]*2</f>
        <v>4</v>
      </c>
      <c r="CW29" s="94">
        <f ca="1">gnome*(TblMili[[#This Row],[Rockapult bonus]]*TblMili[[#This Row],[Unit 3]])</f>
        <v>0</v>
      </c>
      <c r="CX29" s="155">
        <f ca="1">TblMili[[#This Row],[Adept-DP]]*2</f>
        <v>0</v>
      </c>
      <c r="CY29" s="94">
        <f ca="1">dark_elf*(TblMili[[#This Row],[Adept bonus]]*TblMili[[#This Row],[Unit 3]])</f>
        <v>0</v>
      </c>
      <c r="CZ29" s="155">
        <f ca="1">TblMili[[#This Row],[Frost Mage]]*2</f>
        <v>5.9999999999999991</v>
      </c>
      <c r="DA29" s="155">
        <f ca="1">TblMili[[#This Row],[Ice Elemental]]*2</f>
        <v>0</v>
      </c>
      <c r="DB29" s="94">
        <f ca="1">TblMili[[#This Row],[Frost Mage bonus]]*TblMili[[#This Row],[Unit 3]]+TblMili[[#This Row],[Ice Elemental bonus]]*TblMili[[#This Row],[Unit 4]]</f>
        <v>0</v>
      </c>
      <c r="DC29" s="253"/>
      <c r="DD29" s="143">
        <f ca="1">MIN(SUM(TblConstr[[#This Row],[Plain]:[Water]])/TblMili[[#This Row],[Land]]/favorable_terrain_bonus/100,favorable_terrain_max)</f>
        <v>0</v>
      </c>
      <c r="DE29" s="253"/>
      <c r="DF2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9" s="142"/>
      <c r="DH29" s="254">
        <f ca="1">(TblMili[[#This Row],[Wizards]]+2*TblMili[[#This Row],[Archmages]])/TblConstr[[#This Row],[Land]]</f>
        <v>0</v>
      </c>
      <c r="DI29" s="254">
        <f ca="1">TblMili[[#This Row],[Raw (2)]]*(1+race_wizard_strength+IF(TblMili[[#This Row],[Hour]]&gt;72,tech_magical_weaponry_wiz*TblTech[[#This Row],[3-5]],0))</f>
        <v>0</v>
      </c>
    </row>
    <row r="30" spans="1:113" x14ac:dyDescent="0.2">
      <c r="A30" s="137">
        <f>TblRezone[[#This Row],[Hour]]</f>
        <v>27</v>
      </c>
      <c r="B30" s="246">
        <f ca="1">SUM(TblMili[[#This Row],[Unit 1]:[Archmages]])+SUM(OFFSET(TblMili[[#This Row],[Train Unit 1]],-8,0):TblMili[[#This Row],[Train Unit 2]]) + SUM(OFFSET(TblMili[[#This Row],[Train Unit 3]],-11,0):TblMili[[#This Row],[Train AM]]) + TblMili[[#This Row],[Draftees]]</f>
        <v>408</v>
      </c>
      <c r="C30" s="157">
        <f ca="1">TblPop[[#This Row],[Military%]]</f>
        <v>0.53055916775032508</v>
      </c>
      <c r="D30" s="142"/>
      <c r="E30" s="45">
        <f ca="1">OFFSET(TblMili[[#This Row],[Unit 1]],-1,0) + OFFSET(TblMili[[#This Row],[Train Unit 1]],-9,0) - TblMili[[#This Row],[Release Unit 1]] + OFFSET(TblMili[[#This Row],[DnD_Zombies]],-12,0)</f>
        <v>0</v>
      </c>
      <c r="F30" s="45">
        <f ca="1">OFFSET(TblMili[[#This Row],[Unit 2]],-1,0) + OFFSET(TblMili[[#This Row],[Train Unit 2]],-9,0)-TblMili[[#This Row],[Release Unit 2]]</f>
        <v>0</v>
      </c>
      <c r="G30" s="45">
        <f ca="1">OFFSET(TblMili[[#This Row],[Unit 3]],-1,0) + OFFSET(TblMili[[#This Row],[Train Unit 3]],-12,0)-TblMili[[#This Row],[Release Unit 3]]</f>
        <v>0</v>
      </c>
      <c r="H30" s="45">
        <f ca="1">OFFSET(TblMili[[#This Row],[Unit 4]],-1,0) + OFFSET(TblMili[[#This Row],[Train Unit 4]],-12,0)-TblMili[[#This Row],[Release Unit 4]]</f>
        <v>0</v>
      </c>
      <c r="I30" s="45">
        <f ca="1">OFFSET(TblMili[[#This Row],[Spies]],-1,0) + OFFSET(TblMili[[#This Row],[Train Spies]],-12,0) - TblMili[[#This Row],[Release Spies]]-TblMili[[#This Row],[Train AS]]</f>
        <v>0</v>
      </c>
      <c r="J30" s="45">
        <f ca="1">OFFSET(TblMili[[#This Row],[Archspies]],-1,0) + OFFSET(TblMili[[#This Row],[Train AS]],-12,0) - TblMili[[#This Row],[Release AS]]</f>
        <v>0</v>
      </c>
      <c r="K30" s="45">
        <f ca="1">OFFSET(TblMili[[#This Row],[Wizards]],-1,0) + OFFSET(TblMili[[#This Row],[Train Wiz]],-12,0) - TblMili[[#This Row],[Release Wizards]]-TblMili[[#This Row],[Train AM]] + IF(TblMagic[[#This Row],[Active Arc Infusion]]&gt;0,TblMili[[#This Row],[Train AM]])</f>
        <v>0</v>
      </c>
      <c r="L30" s="45">
        <f ca="1">OFFSET(TblMili[[#This Row],[Archmages]],-1,0) + OFFSET(TblMili[[#This Row],[Train AM]],-12,0) - TblMili[[#This Row],[Release AM]]</f>
        <v>0</v>
      </c>
      <c r="M30" s="142"/>
      <c r="N30" s="94">
        <f ca="1">TblProd[[#This Row],[Networth]]</f>
        <v>1250</v>
      </c>
      <c r="O30" s="142"/>
      <c r="P30"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3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0" s="247">
        <f ca="1">TblMili[[#This Row],[Raw]]*(1+TblMili[[#This Row],[Mods_Off]])</f>
        <v>0</v>
      </c>
      <c r="S30"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30" s="247">
        <f ca="1">TblMili[[#This Row],[Non Draft]]+TblMili[[#This Row],[Draftees]]</f>
        <v>408</v>
      </c>
      <c r="U30" s="248">
        <f ca="1">race_defense + TblImps[[#This Row],[Walls]] + ROUND( MIN(gt_bonus*TblConstr[[#This Row],[Tot GT]]/TblConstr[[#This Row],[Land]],gt_bonus_cap), 4) + IF(TblMagic[[#This Row],[Active Howling]]&gt;0,howling_dp_bonus,IF(TblMagic[[#This Row],[Active Ares Call]]&gt;0,ares_call_bonus))</f>
        <v>0</v>
      </c>
      <c r="V30" s="249">
        <f ca="1">TblMili[[#This Row],[Non Draft]] * (1 + TblMili[[#This Row],[Mods_Def]])</f>
        <v>0</v>
      </c>
      <c r="W30" s="247">
        <f ca="1">TblMili[[#This Row],[Draft]] * (1 + TblMili[[#This Row],[Mods_Def]])</f>
        <v>408</v>
      </c>
      <c r="X30" s="247">
        <f ca="1">TblConstr[[#This Row],[Land]]</f>
        <v>50</v>
      </c>
      <c r="Y30" s="250"/>
      <c r="Z30" s="255">
        <f ca="1">IF(TblMili[[#This Row],[Set]]&lt;&gt;"",TblMili[[#This Row],[Set]],OFFSET(TblMili[[#This Row],[Draftrate]],-1,0))</f>
        <v>0.9</v>
      </c>
      <c r="AA30"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408</v>
      </c>
      <c r="AB30" s="154"/>
      <c r="AC30" s="180">
        <f ca="1">(TblConstr[[#This Row],[Tot Smi]]+TblConstr[[#This Row],[Dest Smi]])/(TblConstr[[#This Row],[Land]]-TblExplore[[#This Row],[Land Bonus]]*20)</f>
        <v>0</v>
      </c>
      <c r="AD30" s="137"/>
      <c r="AE30" s="246">
        <f>TblMili[[#This Row],[Hour]]</f>
        <v>27</v>
      </c>
      <c r="AF30" s="138">
        <f ca="1">TblExplore[[#This Row],[Time]]</f>
        <v>46321.08333333327</v>
      </c>
      <c r="AG30" s="179"/>
      <c r="AH30" s="179"/>
      <c r="AI30" s="179"/>
      <c r="AJ30" s="179"/>
      <c r="AK30" s="179"/>
      <c r="AL30" s="179"/>
      <c r="AM30" s="179"/>
      <c r="AN30" s="179"/>
      <c r="AO30" s="420">
        <f ca="1">ROUND(IF(AND(TblMagic[[#This Row],[Active DnD]]&lt;12,TblMagic[[#This Row],[Active DnD]]&gt;5),OFFSET(TblPop[[#This Row],[Draft Growth]],-1,0)*0.375,0),0)</f>
        <v>0</v>
      </c>
      <c r="AP30" s="142"/>
      <c r="AQ30" s="94">
        <f ca="1">TblProd[[#This Row],[Platinum]]</f>
        <v>149147</v>
      </c>
      <c r="AR30" s="94">
        <f ca="1">INDEX(TblProd[[#Headers],[Lumber]]:TblProd[[#This Row],[Ore]],COUNTA(TblProd[[#Headers],[Lumber]]:TblProd[[#This Row],[Lumber]]),MATCH(Military!$AR$2,TblProd[[#Headers],[Lumber]:[Ore]],0))</f>
        <v>0</v>
      </c>
      <c r="AS3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30" s="94">
        <f ca="1">TblMili[[#This Row],[Train Unit 1]]*TblMili[[#This Row],[OP Ore]]+TblMili[[#This Row],[Train Unit 2]]*TblMili[[#This Row],[DP Ore]]+TblMili[[#This Row],[Train Unit 3]]*TblMili[[#This Row],[E1 Ore]]+TblMili[[#This Row],[Train Unit 4]]*TblMili[[#This Row],[E2 Ore]]</f>
        <v>0</v>
      </c>
      <c r="AU30" s="142">
        <f>TblMili[[#This Row],[Hour]]</f>
        <v>27</v>
      </c>
      <c r="AV30" s="152">
        <f ca="1">TblMili[[#This Row],[Time]]</f>
        <v>46321.08333333327</v>
      </c>
      <c r="AW30" s="94">
        <f ca="1">TblMili[[#This Row],[Draftees]]</f>
        <v>408</v>
      </c>
      <c r="AX30" s="179"/>
      <c r="AY30" s="179"/>
      <c r="AZ30" s="179"/>
      <c r="BA30" s="179"/>
      <c r="BB30" s="179"/>
      <c r="BC30" s="179"/>
      <c r="BD30" s="179"/>
      <c r="BE30" s="179"/>
      <c r="BF30" s="179"/>
      <c r="BG30" s="142"/>
      <c r="BH30" s="157">
        <f ca="1">TblConstr[[#This Row],[Tot WG]]/TblConstr[[#This Row],[Land]]</f>
        <v>0</v>
      </c>
      <c r="BI30" s="157">
        <f ca="1">TblConstr[[#This Row],[Tot Hav]]/TblConstr[[#This Row],[Land]]</f>
        <v>0</v>
      </c>
      <c r="BJ30" s="94">
        <f ca="1">ROUNDUP((1-MIN(TblMili[[#This Row],[Smithies]]*smithy_bonus,smithy_bonus_cap) + tech_3_5*TblTech[[#This Row],[3-5]] + tech_5_3*TblTech[[#This Row],[5-3]] + tech_5_5*TblTech[[#This Row],[5-5]])*spec_op_plat,0)</f>
        <v>315</v>
      </c>
      <c r="BK30" s="94">
        <f ca="1">ROUNDUP(IF(race="Gnome",1,(1-MIN(TblMili[[#This Row],[Smithies]]*smithy_bonus,smithy_bonus_cap) + tech_3_5*TblTech[[#This Row],[3-5]] + tech_5_3*TblTech[[#This Row],[5-3]] + tech_5_5*TblTech[[#This Row],[5-5]]))*spec_op_ore,0)</f>
        <v>25</v>
      </c>
      <c r="BL30" s="94">
        <f ca="1">ROUNDUP((1-MIN(TblMili[[#This Row],[Smithies]]*smithy_bonus,smithy_bonus_cap) + tech_3_5*TblTech[[#This Row],[3-5]] + tech_5_3*TblTech[[#This Row],[5-3]] + tech_5_5*TblTech[[#This Row],[5-5]])*spec_dp_plat,0)</f>
        <v>275</v>
      </c>
      <c r="BM30" s="94">
        <f ca="1">ROUNDUP(IF(race="Gnome",1,(1-MIN(TblMili[[#This Row],[Smithies]]*smithy_bonus,smithy_bonus_cap) + tech_3_5*TblTech[[#This Row],[3-5]] + tech_5_3*TblTech[[#This Row],[5-3]] + tech_5_5*TblTech[[#This Row],[5-5]]))*spec_dp_ore,0)</f>
        <v>15</v>
      </c>
      <c r="BN30" s="94">
        <f ca="1">ROUNDUP((1-MIN(TblMili[[#This Row],[Smithies]]*smithy_bonus,smithy_bonus_cap) + tech_3_5*TblTech[[#This Row],[3-5]] + tech_5_3*TblTech[[#This Row],[5-3]] + tech_5_5*TblTech[[#This Row],[5-5]])*elite1_plat,0)</f>
        <v>1040</v>
      </c>
      <c r="BO30" s="94">
        <f ca="1">ROUNDUP(IF(race="Gnome",1,(1-MIN(TblMili[[#This Row],[Smithies]]*smithy_bonus,smithy_bonus_cap) + tech_3_5*TblTech[[#This Row],[3-5]] + tech_5_3*TblTech[[#This Row],[5-3]] + tech_5_5*TblTech[[#This Row],[5-5]]))*elite1_ore,0)</f>
        <v>75</v>
      </c>
      <c r="BP30" s="94">
        <f ca="1">ROUNDUP((1-MIN(TblMili[[#This Row],[Smithies]]*smithy_bonus,smithy_bonus_cap) + tech_3_5*TblTech[[#This Row],[3-5]] + tech_5_3*TblTech[[#This Row],[5-3]] + tech_5_5*TblTech[[#This Row],[5-5]])*elite2_plat,0)</f>
        <v>1280</v>
      </c>
      <c r="BQ30" s="94">
        <f ca="1">ROUNDUP(IF(race="Gnome",1,(1-MIN(TblMili[[#This Row],[Smithies]]*smithy_bonus,smithy_bonus_cap) + tech_3_5*TblTech[[#This Row],[3-5]] + tech_5_3*TblTech[[#This Row],[5-3]] + tech_5_5*TblTech[[#This Row],[5-5]]))*elite2_ore,0)</f>
        <v>100</v>
      </c>
      <c r="BR30" s="94">
        <f ca="1">ROUNDUP((1-MIN(ROUND(fh_spy_cost_red*TblMili[[#This Row],[FH''s]],4),fh_spy_cost_cap)+ tech_1_9*TblTech[[#This Row],[1-9]] + tech_9_1*TblTech[[#This Row],[9-1]])*spy_plat,0)</f>
        <v>500</v>
      </c>
      <c r="BS30" s="94">
        <f ca="1">ROUNDUP((1-MIN(ROUND(fh_spy_cost_red*TblMili[[#This Row],[FH''s]],4),fh_spy_cost_cap)+ tech_1_9*TblTech[[#This Row],[1-9]] + tech_9_1*TblTech[[#This Row],[9-1]])*archspy_plat,0)</f>
        <v>1000</v>
      </c>
      <c r="BT30" s="94">
        <f ca="1">ROUNDUP((1-MIN(ROUND(wg_wiz_cost_bonus*TblMili[[#This Row],[WG''s]],4),wg_wiz_cost_cap) + tech_1_9_2*TblTech[[#This Row],[1-9]] + tech_9_1_2*TblTech[[#This Row],[9-1]])*wizard_plat,0)</f>
        <v>500</v>
      </c>
      <c r="BU30" s="94">
        <f ca="1">ROUNDUP((1-MIN(ROUND(wg_wiz_cost_bonus*TblMili[[#This Row],[WG''s]],4),wg_wiz_cost_cap) + tech_1_9_2*TblTech[[#This Row],[1-9]] + tech_9_1_2*TblTech[[#This Row],[9-1]])*(archmage_plat + IF(TblMagic[[#This Row],[Active Arc Infusion]]&gt;0,400,0)),0)</f>
        <v>1000</v>
      </c>
      <c r="BV30" s="142"/>
      <c r="BW30" s="157">
        <f ca="1">TblConstr[[#This Row],[Homeland]]/TblConstr[[#This Row],[Land]]</f>
        <v>0.6</v>
      </c>
      <c r="BX30" s="157">
        <f ca="1">TblMili[[#This Row],[WG''s]]</f>
        <v>0</v>
      </c>
      <c r="BY30" s="251">
        <f ca="1">IF(mystic_cap="none",TblMili[[#This Row],[Homeland%]]/mystic_bonus,MIN(mystic_cap,TblMili[[#This Row],[Homeland%]]/mystic_bonus))</f>
        <v>2</v>
      </c>
      <c r="BZ30" s="251">
        <f ca="1">IF(druid_op_cap="none",TblMili[[#This Row],[Homeland%]]/druid_op_bonus,MIN(druid_op_cap,TblMili[[#This Row],[Homeland%]]/druid_op_bonus))</f>
        <v>2</v>
      </c>
      <c r="CA30" s="251">
        <f ca="1">IF(druid_dp_cap="none",TblMili[[#This Row],[Homeland%]]/druid_dp_bonus,MIN(druid_dp_cap,TblMili[[#This Row],[Homeland%]]/druid_dp_bonus))</f>
        <v>2</v>
      </c>
      <c r="CB30" s="251">
        <f ca="1">MIN(dryad_cap,TblMili[[#This Row],[Homeland%]]/dryad_bonus)</f>
        <v>2.9999999999999996</v>
      </c>
      <c r="CC30" s="251">
        <f ca="1">MIN(rocka_cap,TblMili[[#This Row],[Homeland%]]/rocka_bonus)</f>
        <v>2</v>
      </c>
      <c r="CD30" s="251">
        <f ca="1">MIN(adept_op_cap,TblMili[[#This Row],[WG]]/adept_op_bonus)</f>
        <v>0</v>
      </c>
      <c r="CE30" s="251">
        <f ca="1">MIN(adept_dp_cap,TblMili[[#This Row],[WG]]/adept_dp_bonus)</f>
        <v>0</v>
      </c>
      <c r="CF30" s="94">
        <f ca="1">MIN(TblMili[[#This Row],[Unit 3]],TblMili[[#This Row],[Unit 2]])*2</f>
        <v>0</v>
      </c>
      <c r="CG30" s="94">
        <f ca="1">MIN(TblMili[[#This Row],[Unit 1]],TblMili[[#This Row],[Unit 4]])*2</f>
        <v>0</v>
      </c>
      <c r="CH30" s="251">
        <f ca="1">MIN(frost_mage_cap,TblMili[[#This Row],[Homeland%]]/frost_mage_bonus)</f>
        <v>2.9999999999999996</v>
      </c>
      <c r="CI30" s="45">
        <f ca="1">MIN(ice_elem_cap,TblMili[[#This Row],[Raw (2)]]*ice_elem_bonus)</f>
        <v>0</v>
      </c>
      <c r="CJ30" s="251">
        <f t="shared" si="0"/>
        <v>0.83333333333333337</v>
      </c>
      <c r="CK30" s="251">
        <f ca="1">MIN(nox_nightshade_cap,TblConstr[[#This Row],[Homeland]]/TblConstr[[#This Row],[Land]]/nox_nightshade_swamp_bonus)</f>
        <v>4</v>
      </c>
      <c r="CL30" s="251">
        <f ca="1">MIN(TblConstr[[#This Row],[Total Swamp]]/TblConstr[[#This Row],[Land]]/abyss_enforce_bonus,abyss_enforcer_cap)</f>
        <v>0</v>
      </c>
      <c r="CM30" s="251">
        <f ca="1">IF(TblMagic[[#This Row],[Active Infernal Command]]&gt;0,TblMili[[#This Row],[Unit 1]]*infernal_cmd_op,0)</f>
        <v>0</v>
      </c>
      <c r="CN30" s="252"/>
      <c r="CO30" s="252"/>
      <c r="CP30" s="252"/>
      <c r="CQ30" s="251">
        <f ca="1">TblMili[[#This Row],[Mystic]]*2</f>
        <v>4</v>
      </c>
      <c r="CR30" s="251">
        <f ca="1">TblMili[[#This Row],[Druid (op)]]*2</f>
        <v>4</v>
      </c>
      <c r="CS30" s="94">
        <f ca="1">TblMili[[#This Row],[Mystic bonus]]*TblMili[[#This Row],[Unit 3]]+TblMili[[#This Row],[Druid bonus]]*TblMili[[#This Row],[Unit 4]]</f>
        <v>0</v>
      </c>
      <c r="CT30" s="155">
        <f ca="1">TblMili[[#This Row],[Dryad]]*2</f>
        <v>5.9999999999999991</v>
      </c>
      <c r="CU30" s="94">
        <f ca="1">sylvan*(TblMili[[#This Row],[Mystic bonus]]*TblMili[[#This Row],[Unit 3]])</f>
        <v>0</v>
      </c>
      <c r="CV30" s="155">
        <f ca="1">TblMili[[#This Row],[Rockapult]]*2</f>
        <v>4</v>
      </c>
      <c r="CW30" s="94">
        <f ca="1">gnome*(TblMili[[#This Row],[Rockapult bonus]]*TblMili[[#This Row],[Unit 3]])</f>
        <v>0</v>
      </c>
      <c r="CX30" s="155">
        <f ca="1">TblMili[[#This Row],[Adept-DP]]*2</f>
        <v>0</v>
      </c>
      <c r="CY30" s="94">
        <f ca="1">dark_elf*(TblMili[[#This Row],[Adept bonus]]*TblMili[[#This Row],[Unit 3]])</f>
        <v>0</v>
      </c>
      <c r="CZ30" s="155">
        <f ca="1">TblMili[[#This Row],[Frost Mage]]*2</f>
        <v>5.9999999999999991</v>
      </c>
      <c r="DA30" s="155">
        <f ca="1">TblMili[[#This Row],[Ice Elemental]]*2</f>
        <v>0</v>
      </c>
      <c r="DB30" s="94">
        <f ca="1">TblMili[[#This Row],[Frost Mage bonus]]*TblMili[[#This Row],[Unit 3]]+TblMili[[#This Row],[Ice Elemental bonus]]*TblMili[[#This Row],[Unit 4]]</f>
        <v>0</v>
      </c>
      <c r="DC30" s="253"/>
      <c r="DD30" s="143">
        <f ca="1">MIN(SUM(TblConstr[[#This Row],[Plain]:[Water]])/TblMili[[#This Row],[Land]]/favorable_terrain_bonus/100,favorable_terrain_max)</f>
        <v>0</v>
      </c>
      <c r="DE30" s="253"/>
      <c r="DF3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0" s="142"/>
      <c r="DH30" s="254">
        <f ca="1">(TblMili[[#This Row],[Wizards]]+2*TblMili[[#This Row],[Archmages]])/TblConstr[[#This Row],[Land]]</f>
        <v>0</v>
      </c>
      <c r="DI30" s="254">
        <f ca="1">TblMili[[#This Row],[Raw (2)]]*(1+race_wizard_strength+IF(TblMili[[#This Row],[Hour]]&gt;72,tech_magical_weaponry_wiz*TblTech[[#This Row],[3-5]],0))</f>
        <v>0</v>
      </c>
    </row>
    <row r="31" spans="1:113" x14ac:dyDescent="0.2">
      <c r="A31" s="137">
        <f>TblRezone[[#This Row],[Hour]]</f>
        <v>28</v>
      </c>
      <c r="B31" s="246">
        <f ca="1">SUM(TblMili[[#This Row],[Unit 1]:[Archmages]])+SUM(OFFSET(TblMili[[#This Row],[Train Unit 1]],-8,0):TblMili[[#This Row],[Train Unit 2]]) + SUM(OFFSET(TblMili[[#This Row],[Train Unit 3]],-11,0):TblMili[[#This Row],[Train AM]]) + TblMili[[#This Row],[Draftees]]</f>
        <v>412</v>
      </c>
      <c r="C31" s="157">
        <f ca="1">TblPop[[#This Row],[Military%]]</f>
        <v>0.53576072821846554</v>
      </c>
      <c r="D31" s="142"/>
      <c r="E31" s="45">
        <f ca="1">OFFSET(TblMili[[#This Row],[Unit 1]],-1,0) + OFFSET(TblMili[[#This Row],[Train Unit 1]],-9,0) - TblMili[[#This Row],[Release Unit 1]] + OFFSET(TblMili[[#This Row],[DnD_Zombies]],-12,0)</f>
        <v>0</v>
      </c>
      <c r="F31" s="45">
        <f ca="1">OFFSET(TblMili[[#This Row],[Unit 2]],-1,0) + OFFSET(TblMili[[#This Row],[Train Unit 2]],-9,0)-TblMili[[#This Row],[Release Unit 2]]</f>
        <v>0</v>
      </c>
      <c r="G31" s="45">
        <f ca="1">OFFSET(TblMili[[#This Row],[Unit 3]],-1,0) + OFFSET(TblMili[[#This Row],[Train Unit 3]],-12,0)-TblMili[[#This Row],[Release Unit 3]]</f>
        <v>0</v>
      </c>
      <c r="H31" s="45">
        <f ca="1">OFFSET(TblMili[[#This Row],[Unit 4]],-1,0) + OFFSET(TblMili[[#This Row],[Train Unit 4]],-12,0)-TblMili[[#This Row],[Release Unit 4]]</f>
        <v>0</v>
      </c>
      <c r="I31" s="45">
        <f ca="1">OFFSET(TblMili[[#This Row],[Spies]],-1,0) + OFFSET(TblMili[[#This Row],[Train Spies]],-12,0) - TblMili[[#This Row],[Release Spies]]-TblMili[[#This Row],[Train AS]]</f>
        <v>0</v>
      </c>
      <c r="J31" s="45">
        <f ca="1">OFFSET(TblMili[[#This Row],[Archspies]],-1,0) + OFFSET(TblMili[[#This Row],[Train AS]],-12,0) - TblMili[[#This Row],[Release AS]]</f>
        <v>0</v>
      </c>
      <c r="K31" s="45">
        <f ca="1">OFFSET(TblMili[[#This Row],[Wizards]],-1,0) + OFFSET(TblMili[[#This Row],[Train Wiz]],-12,0) - TblMili[[#This Row],[Release Wizards]]-TblMili[[#This Row],[Train AM]] + IF(TblMagic[[#This Row],[Active Arc Infusion]]&gt;0,TblMili[[#This Row],[Train AM]])</f>
        <v>0</v>
      </c>
      <c r="L31" s="45">
        <f ca="1">OFFSET(TblMili[[#This Row],[Archmages]],-1,0) + OFFSET(TblMili[[#This Row],[Train AM]],-12,0) - TblMili[[#This Row],[Release AM]]</f>
        <v>0</v>
      </c>
      <c r="M31" s="142"/>
      <c r="N31" s="94">
        <f ca="1">TblProd[[#This Row],[Networth]]</f>
        <v>1250</v>
      </c>
      <c r="O31" s="142"/>
      <c r="P31"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3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1" s="247">
        <f ca="1">TblMili[[#This Row],[Raw]]*(1+TblMili[[#This Row],[Mods_Off]])</f>
        <v>0</v>
      </c>
      <c r="S31"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31" s="247">
        <f ca="1">TblMili[[#This Row],[Non Draft]]+TblMili[[#This Row],[Draftees]]</f>
        <v>412</v>
      </c>
      <c r="U31" s="248">
        <f ca="1">race_defense + TblImps[[#This Row],[Walls]] + ROUND( MIN(gt_bonus*TblConstr[[#This Row],[Tot GT]]/TblConstr[[#This Row],[Land]],gt_bonus_cap), 4) + IF(TblMagic[[#This Row],[Active Howling]]&gt;0,howling_dp_bonus,IF(TblMagic[[#This Row],[Active Ares Call]]&gt;0,ares_call_bonus))</f>
        <v>0</v>
      </c>
      <c r="V31" s="249">
        <f ca="1">TblMili[[#This Row],[Non Draft]] * (1 + TblMili[[#This Row],[Mods_Def]])</f>
        <v>0</v>
      </c>
      <c r="W31" s="247">
        <f ca="1">TblMili[[#This Row],[Draft]] * (1 + TblMili[[#This Row],[Mods_Def]])</f>
        <v>412</v>
      </c>
      <c r="X31" s="247">
        <f ca="1">TblConstr[[#This Row],[Land]]</f>
        <v>50</v>
      </c>
      <c r="Y31" s="250"/>
      <c r="Z31" s="255">
        <f ca="1">IF(TblMili[[#This Row],[Set]]&lt;&gt;"",TblMili[[#This Row],[Set]],OFFSET(TblMili[[#This Row],[Draftrate]],-1,0))</f>
        <v>0.9</v>
      </c>
      <c r="AA31"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412</v>
      </c>
      <c r="AB31" s="154"/>
      <c r="AC31" s="180">
        <f ca="1">(TblConstr[[#This Row],[Tot Smi]]+TblConstr[[#This Row],[Dest Smi]])/(TblConstr[[#This Row],[Land]]-TblExplore[[#This Row],[Land Bonus]]*20)</f>
        <v>0</v>
      </c>
      <c r="AD31" s="137"/>
      <c r="AE31" s="246">
        <f>TblMili[[#This Row],[Hour]]</f>
        <v>28</v>
      </c>
      <c r="AF31" s="138">
        <f ca="1">TblExplore[[#This Row],[Time]]</f>
        <v>46321.124999999935</v>
      </c>
      <c r="AG31" s="179"/>
      <c r="AH31" s="179"/>
      <c r="AI31" s="179"/>
      <c r="AJ31" s="179"/>
      <c r="AK31" s="179"/>
      <c r="AL31" s="179"/>
      <c r="AM31" s="179"/>
      <c r="AN31" s="179"/>
      <c r="AO31" s="420">
        <f ca="1">ROUND(IF(AND(TblMagic[[#This Row],[Active DnD]]&lt;12,TblMagic[[#This Row],[Active DnD]]&gt;5),OFFSET(TblPop[[#This Row],[Draft Growth]],-1,0)*0.375,0),0)</f>
        <v>0</v>
      </c>
      <c r="AP31" s="142"/>
      <c r="AQ31" s="94">
        <f ca="1">TblProd[[#This Row],[Platinum]]</f>
        <v>150121</v>
      </c>
      <c r="AR31" s="94">
        <f ca="1">INDEX(TblProd[[#Headers],[Lumber]]:TblProd[[#This Row],[Ore]],COUNTA(TblProd[[#Headers],[Lumber]]:TblProd[[#This Row],[Lumber]]),MATCH(Military!$AR$2,TblProd[[#Headers],[Lumber]:[Ore]],0))</f>
        <v>0</v>
      </c>
      <c r="AS3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31" s="94">
        <f ca="1">TblMili[[#This Row],[Train Unit 1]]*TblMili[[#This Row],[OP Ore]]+TblMili[[#This Row],[Train Unit 2]]*TblMili[[#This Row],[DP Ore]]+TblMili[[#This Row],[Train Unit 3]]*TblMili[[#This Row],[E1 Ore]]+TblMili[[#This Row],[Train Unit 4]]*TblMili[[#This Row],[E2 Ore]]</f>
        <v>0</v>
      </c>
      <c r="AU31" s="142">
        <f>TblMili[[#This Row],[Hour]]</f>
        <v>28</v>
      </c>
      <c r="AV31" s="152">
        <f ca="1">TblMili[[#This Row],[Time]]</f>
        <v>46321.124999999935</v>
      </c>
      <c r="AW31" s="94">
        <f ca="1">TblMili[[#This Row],[Draftees]]</f>
        <v>412</v>
      </c>
      <c r="AX31" s="179"/>
      <c r="AY31" s="179"/>
      <c r="AZ31" s="179"/>
      <c r="BA31" s="179"/>
      <c r="BB31" s="179"/>
      <c r="BC31" s="179"/>
      <c r="BD31" s="179"/>
      <c r="BE31" s="179"/>
      <c r="BF31" s="179"/>
      <c r="BG31" s="142"/>
      <c r="BH31" s="157">
        <f ca="1">TblConstr[[#This Row],[Tot WG]]/TblConstr[[#This Row],[Land]]</f>
        <v>0</v>
      </c>
      <c r="BI31" s="157">
        <f ca="1">TblConstr[[#This Row],[Tot Hav]]/TblConstr[[#This Row],[Land]]</f>
        <v>0</v>
      </c>
      <c r="BJ31" s="94">
        <f ca="1">ROUNDUP((1-MIN(TblMili[[#This Row],[Smithies]]*smithy_bonus,smithy_bonus_cap) + tech_3_5*TblTech[[#This Row],[3-5]] + tech_5_3*TblTech[[#This Row],[5-3]] + tech_5_5*TblTech[[#This Row],[5-5]])*spec_op_plat,0)</f>
        <v>315</v>
      </c>
      <c r="BK31" s="94">
        <f ca="1">ROUNDUP(IF(race="Gnome",1,(1-MIN(TblMili[[#This Row],[Smithies]]*smithy_bonus,smithy_bonus_cap) + tech_3_5*TblTech[[#This Row],[3-5]] + tech_5_3*TblTech[[#This Row],[5-3]] + tech_5_5*TblTech[[#This Row],[5-5]]))*spec_op_ore,0)</f>
        <v>25</v>
      </c>
      <c r="BL31" s="94">
        <f ca="1">ROUNDUP((1-MIN(TblMili[[#This Row],[Smithies]]*smithy_bonus,smithy_bonus_cap) + tech_3_5*TblTech[[#This Row],[3-5]] + tech_5_3*TblTech[[#This Row],[5-3]] + tech_5_5*TblTech[[#This Row],[5-5]])*spec_dp_plat,0)</f>
        <v>275</v>
      </c>
      <c r="BM31" s="94">
        <f ca="1">ROUNDUP(IF(race="Gnome",1,(1-MIN(TblMili[[#This Row],[Smithies]]*smithy_bonus,smithy_bonus_cap) + tech_3_5*TblTech[[#This Row],[3-5]] + tech_5_3*TblTech[[#This Row],[5-3]] + tech_5_5*TblTech[[#This Row],[5-5]]))*spec_dp_ore,0)</f>
        <v>15</v>
      </c>
      <c r="BN31" s="94">
        <f ca="1">ROUNDUP((1-MIN(TblMili[[#This Row],[Smithies]]*smithy_bonus,smithy_bonus_cap) + tech_3_5*TblTech[[#This Row],[3-5]] + tech_5_3*TblTech[[#This Row],[5-3]] + tech_5_5*TblTech[[#This Row],[5-5]])*elite1_plat,0)</f>
        <v>1040</v>
      </c>
      <c r="BO31" s="94">
        <f ca="1">ROUNDUP(IF(race="Gnome",1,(1-MIN(TblMili[[#This Row],[Smithies]]*smithy_bonus,smithy_bonus_cap) + tech_3_5*TblTech[[#This Row],[3-5]] + tech_5_3*TblTech[[#This Row],[5-3]] + tech_5_5*TblTech[[#This Row],[5-5]]))*elite1_ore,0)</f>
        <v>75</v>
      </c>
      <c r="BP31" s="94">
        <f ca="1">ROUNDUP((1-MIN(TblMili[[#This Row],[Smithies]]*smithy_bonus,smithy_bonus_cap) + tech_3_5*TblTech[[#This Row],[3-5]] + tech_5_3*TblTech[[#This Row],[5-3]] + tech_5_5*TblTech[[#This Row],[5-5]])*elite2_plat,0)</f>
        <v>1280</v>
      </c>
      <c r="BQ31" s="94">
        <f ca="1">ROUNDUP(IF(race="Gnome",1,(1-MIN(TblMili[[#This Row],[Smithies]]*smithy_bonus,smithy_bonus_cap) + tech_3_5*TblTech[[#This Row],[3-5]] + tech_5_3*TblTech[[#This Row],[5-3]] + tech_5_5*TblTech[[#This Row],[5-5]]))*elite2_ore,0)</f>
        <v>100</v>
      </c>
      <c r="BR31" s="94">
        <f ca="1">ROUNDUP((1-MIN(ROUND(fh_spy_cost_red*TblMili[[#This Row],[FH''s]],4),fh_spy_cost_cap)+ tech_1_9*TblTech[[#This Row],[1-9]] + tech_9_1*TblTech[[#This Row],[9-1]])*spy_plat,0)</f>
        <v>500</v>
      </c>
      <c r="BS31" s="94">
        <f ca="1">ROUNDUP((1-MIN(ROUND(fh_spy_cost_red*TblMili[[#This Row],[FH''s]],4),fh_spy_cost_cap)+ tech_1_9*TblTech[[#This Row],[1-9]] + tech_9_1*TblTech[[#This Row],[9-1]])*archspy_plat,0)</f>
        <v>1000</v>
      </c>
      <c r="BT31" s="94">
        <f ca="1">ROUNDUP((1-MIN(ROUND(wg_wiz_cost_bonus*TblMili[[#This Row],[WG''s]],4),wg_wiz_cost_cap) + tech_1_9_2*TblTech[[#This Row],[1-9]] + tech_9_1_2*TblTech[[#This Row],[9-1]])*wizard_plat,0)</f>
        <v>500</v>
      </c>
      <c r="BU31" s="94">
        <f ca="1">ROUNDUP((1-MIN(ROUND(wg_wiz_cost_bonus*TblMili[[#This Row],[WG''s]],4),wg_wiz_cost_cap) + tech_1_9_2*TblTech[[#This Row],[1-9]] + tech_9_1_2*TblTech[[#This Row],[9-1]])*(archmage_plat + IF(TblMagic[[#This Row],[Active Arc Infusion]]&gt;0,400,0)),0)</f>
        <v>1000</v>
      </c>
      <c r="BV31" s="142"/>
      <c r="BW31" s="157">
        <f ca="1">TblConstr[[#This Row],[Homeland]]/TblConstr[[#This Row],[Land]]</f>
        <v>0.6</v>
      </c>
      <c r="BX31" s="157">
        <f ca="1">TblMili[[#This Row],[WG''s]]</f>
        <v>0</v>
      </c>
      <c r="BY31" s="251">
        <f ca="1">IF(mystic_cap="none",TblMili[[#This Row],[Homeland%]]/mystic_bonus,MIN(mystic_cap,TblMili[[#This Row],[Homeland%]]/mystic_bonus))</f>
        <v>2</v>
      </c>
      <c r="BZ31" s="251">
        <f ca="1">IF(druid_op_cap="none",TblMili[[#This Row],[Homeland%]]/druid_op_bonus,MIN(druid_op_cap,TblMili[[#This Row],[Homeland%]]/druid_op_bonus))</f>
        <v>2</v>
      </c>
      <c r="CA31" s="251">
        <f ca="1">IF(druid_dp_cap="none",TblMili[[#This Row],[Homeland%]]/druid_dp_bonus,MIN(druid_dp_cap,TblMili[[#This Row],[Homeland%]]/druid_dp_bonus))</f>
        <v>2</v>
      </c>
      <c r="CB31" s="251">
        <f ca="1">MIN(dryad_cap,TblMili[[#This Row],[Homeland%]]/dryad_bonus)</f>
        <v>2.9999999999999996</v>
      </c>
      <c r="CC31" s="251">
        <f ca="1">MIN(rocka_cap,TblMili[[#This Row],[Homeland%]]/rocka_bonus)</f>
        <v>2</v>
      </c>
      <c r="CD31" s="251">
        <f ca="1">MIN(adept_op_cap,TblMili[[#This Row],[WG]]/adept_op_bonus)</f>
        <v>0</v>
      </c>
      <c r="CE31" s="251">
        <f ca="1">MIN(adept_dp_cap,TblMili[[#This Row],[WG]]/adept_dp_bonus)</f>
        <v>0</v>
      </c>
      <c r="CF31" s="94">
        <f ca="1">MIN(TblMili[[#This Row],[Unit 3]],TblMili[[#This Row],[Unit 2]])*2</f>
        <v>0</v>
      </c>
      <c r="CG31" s="94">
        <f ca="1">MIN(TblMili[[#This Row],[Unit 1]],TblMili[[#This Row],[Unit 4]])*2</f>
        <v>0</v>
      </c>
      <c r="CH31" s="251">
        <f ca="1">MIN(frost_mage_cap,TblMili[[#This Row],[Homeland%]]/frost_mage_bonus)</f>
        <v>2.9999999999999996</v>
      </c>
      <c r="CI31" s="45">
        <f ca="1">MIN(ice_elem_cap,TblMili[[#This Row],[Raw (2)]]*ice_elem_bonus)</f>
        <v>0</v>
      </c>
      <c r="CJ31" s="251">
        <f t="shared" si="0"/>
        <v>0.83333333333333337</v>
      </c>
      <c r="CK31" s="251">
        <f ca="1">MIN(nox_nightshade_cap,TblConstr[[#This Row],[Homeland]]/TblConstr[[#This Row],[Land]]/nox_nightshade_swamp_bonus)</f>
        <v>4</v>
      </c>
      <c r="CL31" s="251">
        <f ca="1">MIN(TblConstr[[#This Row],[Total Swamp]]/TblConstr[[#This Row],[Land]]/abyss_enforce_bonus,abyss_enforcer_cap)</f>
        <v>0</v>
      </c>
      <c r="CM31" s="251">
        <f ca="1">IF(TblMagic[[#This Row],[Active Infernal Command]]&gt;0,TblMili[[#This Row],[Unit 1]]*infernal_cmd_op,0)</f>
        <v>0</v>
      </c>
      <c r="CN31" s="252"/>
      <c r="CO31" s="252"/>
      <c r="CP31" s="252"/>
      <c r="CQ31" s="251">
        <f ca="1">TblMili[[#This Row],[Mystic]]*2</f>
        <v>4</v>
      </c>
      <c r="CR31" s="251">
        <f ca="1">TblMili[[#This Row],[Druid (op)]]*2</f>
        <v>4</v>
      </c>
      <c r="CS31" s="94">
        <f ca="1">TblMili[[#This Row],[Mystic bonus]]*TblMili[[#This Row],[Unit 3]]+TblMili[[#This Row],[Druid bonus]]*TblMili[[#This Row],[Unit 4]]</f>
        <v>0</v>
      </c>
      <c r="CT31" s="155">
        <f ca="1">TblMili[[#This Row],[Dryad]]*2</f>
        <v>5.9999999999999991</v>
      </c>
      <c r="CU31" s="94">
        <f ca="1">sylvan*(TblMili[[#This Row],[Mystic bonus]]*TblMili[[#This Row],[Unit 3]])</f>
        <v>0</v>
      </c>
      <c r="CV31" s="155">
        <f ca="1">TblMili[[#This Row],[Rockapult]]*2</f>
        <v>4</v>
      </c>
      <c r="CW31" s="94">
        <f ca="1">gnome*(TblMili[[#This Row],[Rockapult bonus]]*TblMili[[#This Row],[Unit 3]])</f>
        <v>0</v>
      </c>
      <c r="CX31" s="155">
        <f ca="1">TblMili[[#This Row],[Adept-DP]]*2</f>
        <v>0</v>
      </c>
      <c r="CY31" s="94">
        <f ca="1">dark_elf*(TblMili[[#This Row],[Adept bonus]]*TblMili[[#This Row],[Unit 3]])</f>
        <v>0</v>
      </c>
      <c r="CZ31" s="155">
        <f ca="1">TblMili[[#This Row],[Frost Mage]]*2</f>
        <v>5.9999999999999991</v>
      </c>
      <c r="DA31" s="155">
        <f ca="1">TblMili[[#This Row],[Ice Elemental]]*2</f>
        <v>0</v>
      </c>
      <c r="DB31" s="94">
        <f ca="1">TblMili[[#This Row],[Frost Mage bonus]]*TblMili[[#This Row],[Unit 3]]+TblMili[[#This Row],[Ice Elemental bonus]]*TblMili[[#This Row],[Unit 4]]</f>
        <v>0</v>
      </c>
      <c r="DC31" s="253"/>
      <c r="DD31" s="143">
        <f ca="1">MIN(SUM(TblConstr[[#This Row],[Plain]:[Water]])/TblMili[[#This Row],[Land]]/favorable_terrain_bonus/100,favorable_terrain_max)</f>
        <v>0</v>
      </c>
      <c r="DE31" s="253"/>
      <c r="DF3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1" s="142"/>
      <c r="DH31" s="254">
        <f ca="1">(TblMili[[#This Row],[Wizards]]+2*TblMili[[#This Row],[Archmages]])/TblConstr[[#This Row],[Land]]</f>
        <v>0</v>
      </c>
      <c r="DI31" s="254">
        <f ca="1">TblMili[[#This Row],[Raw (2)]]*(1+race_wizard_strength+IF(TblMili[[#This Row],[Hour]]&gt;72,tech_magical_weaponry_wiz*TblTech[[#This Row],[3-5]],0))</f>
        <v>0</v>
      </c>
    </row>
    <row r="32" spans="1:113" x14ac:dyDescent="0.2">
      <c r="A32" s="137">
        <f>TblRezone[[#This Row],[Hour]]</f>
        <v>29</v>
      </c>
      <c r="B32" s="246">
        <f ca="1">SUM(TblMili[[#This Row],[Unit 1]:[Archmages]])+SUM(OFFSET(TblMili[[#This Row],[Train Unit 1]],-8,0):TblMili[[#This Row],[Train Unit 2]]) + SUM(OFFSET(TblMili[[#This Row],[Train Unit 3]],-11,0):TblMili[[#This Row],[Train AM]]) + TblMili[[#This Row],[Draftees]]</f>
        <v>416</v>
      </c>
      <c r="C32" s="157">
        <f ca="1">TblPop[[#This Row],[Military%]]</f>
        <v>0.54096228868660601</v>
      </c>
      <c r="D32" s="142"/>
      <c r="E32" s="45">
        <f ca="1">OFFSET(TblMili[[#This Row],[Unit 1]],-1,0) + OFFSET(TblMili[[#This Row],[Train Unit 1]],-9,0) - TblMili[[#This Row],[Release Unit 1]] + OFFSET(TblMili[[#This Row],[DnD_Zombies]],-12,0)</f>
        <v>0</v>
      </c>
      <c r="F32" s="45">
        <f ca="1">OFFSET(TblMili[[#This Row],[Unit 2]],-1,0) + OFFSET(TblMili[[#This Row],[Train Unit 2]],-9,0)-TblMili[[#This Row],[Release Unit 2]]</f>
        <v>0</v>
      </c>
      <c r="G32" s="45">
        <f ca="1">OFFSET(TblMili[[#This Row],[Unit 3]],-1,0) + OFFSET(TblMili[[#This Row],[Train Unit 3]],-12,0)-TblMili[[#This Row],[Release Unit 3]]</f>
        <v>0</v>
      </c>
      <c r="H32" s="45">
        <f ca="1">OFFSET(TblMili[[#This Row],[Unit 4]],-1,0) + OFFSET(TblMili[[#This Row],[Train Unit 4]],-12,0)-TblMili[[#This Row],[Release Unit 4]]</f>
        <v>0</v>
      </c>
      <c r="I32" s="45">
        <f ca="1">OFFSET(TblMili[[#This Row],[Spies]],-1,0) + OFFSET(TblMili[[#This Row],[Train Spies]],-12,0) - TblMili[[#This Row],[Release Spies]]-TblMili[[#This Row],[Train AS]]</f>
        <v>0</v>
      </c>
      <c r="J32" s="45">
        <f ca="1">OFFSET(TblMili[[#This Row],[Archspies]],-1,0) + OFFSET(TblMili[[#This Row],[Train AS]],-12,0) - TblMili[[#This Row],[Release AS]]</f>
        <v>0</v>
      </c>
      <c r="K32" s="45">
        <f ca="1">OFFSET(TblMili[[#This Row],[Wizards]],-1,0) + OFFSET(TblMili[[#This Row],[Train Wiz]],-12,0) - TblMili[[#This Row],[Release Wizards]]-TblMili[[#This Row],[Train AM]] + IF(TblMagic[[#This Row],[Active Arc Infusion]]&gt;0,TblMili[[#This Row],[Train AM]])</f>
        <v>0</v>
      </c>
      <c r="L32" s="45">
        <f ca="1">OFFSET(TblMili[[#This Row],[Archmages]],-1,0) + OFFSET(TblMili[[#This Row],[Train AM]],-12,0) - TblMili[[#This Row],[Release AM]]</f>
        <v>0</v>
      </c>
      <c r="M32" s="142"/>
      <c r="N32" s="94">
        <f ca="1">TblProd[[#This Row],[Networth]]</f>
        <v>1250</v>
      </c>
      <c r="O32" s="142"/>
      <c r="P32"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3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2" s="247">
        <f ca="1">TblMili[[#This Row],[Raw]]*(1+TblMili[[#This Row],[Mods_Off]])</f>
        <v>0</v>
      </c>
      <c r="S32"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32" s="247">
        <f ca="1">TblMili[[#This Row],[Non Draft]]+TblMili[[#This Row],[Draftees]]</f>
        <v>416</v>
      </c>
      <c r="U32" s="248">
        <f ca="1">race_defense + TblImps[[#This Row],[Walls]] + ROUND( MIN(gt_bonus*TblConstr[[#This Row],[Tot GT]]/TblConstr[[#This Row],[Land]],gt_bonus_cap), 4) + IF(TblMagic[[#This Row],[Active Howling]]&gt;0,howling_dp_bonus,IF(TblMagic[[#This Row],[Active Ares Call]]&gt;0,ares_call_bonus))</f>
        <v>0</v>
      </c>
      <c r="V32" s="249">
        <f ca="1">TblMili[[#This Row],[Non Draft]] * (1 + TblMili[[#This Row],[Mods_Def]])</f>
        <v>0</v>
      </c>
      <c r="W32" s="247">
        <f ca="1">TblMili[[#This Row],[Draft]] * (1 + TblMili[[#This Row],[Mods_Def]])</f>
        <v>416</v>
      </c>
      <c r="X32" s="247">
        <f ca="1">TblConstr[[#This Row],[Land]]</f>
        <v>50</v>
      </c>
      <c r="Y32" s="250"/>
      <c r="Z32" s="255">
        <f ca="1">IF(TblMili[[#This Row],[Set]]&lt;&gt;"",TblMili[[#This Row],[Set]],OFFSET(TblMili[[#This Row],[Draftrate]],-1,0))</f>
        <v>0.9</v>
      </c>
      <c r="AA32"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416</v>
      </c>
      <c r="AB32" s="154"/>
      <c r="AC32" s="180">
        <f ca="1">(TblConstr[[#This Row],[Tot Smi]]+TblConstr[[#This Row],[Dest Smi]])/(TblConstr[[#This Row],[Land]]-TblExplore[[#This Row],[Land Bonus]]*20)</f>
        <v>0</v>
      </c>
      <c r="AD32" s="137"/>
      <c r="AE32" s="246">
        <f>TblMili[[#This Row],[Hour]]</f>
        <v>29</v>
      </c>
      <c r="AF32" s="138">
        <f ca="1">TblExplore[[#This Row],[Time]]</f>
        <v>46321.166666666599</v>
      </c>
      <c r="AG32" s="179"/>
      <c r="AH32" s="179"/>
      <c r="AI32" s="179"/>
      <c r="AJ32" s="179"/>
      <c r="AK32" s="179"/>
      <c r="AL32" s="179"/>
      <c r="AM32" s="179"/>
      <c r="AN32" s="179"/>
      <c r="AO32" s="420">
        <f ca="1">ROUND(IF(AND(TblMagic[[#This Row],[Active DnD]]&lt;12,TblMagic[[#This Row],[Active DnD]]&gt;5),OFFSET(TblPop[[#This Row],[Draft Growth]],-1,0)*0.375,0),0)</f>
        <v>0</v>
      </c>
      <c r="AP32" s="142"/>
      <c r="AQ32" s="94">
        <f ca="1">TblProd[[#This Row],[Platinum]]</f>
        <v>151084</v>
      </c>
      <c r="AR32" s="94">
        <f ca="1">INDEX(TblProd[[#Headers],[Lumber]]:TblProd[[#This Row],[Ore]],COUNTA(TblProd[[#Headers],[Lumber]]:TblProd[[#This Row],[Lumber]]),MATCH(Military!$AR$2,TblProd[[#Headers],[Lumber]:[Ore]],0))</f>
        <v>0</v>
      </c>
      <c r="AS32"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32" s="94">
        <f ca="1">TblMili[[#This Row],[Train Unit 1]]*TblMili[[#This Row],[OP Ore]]+TblMili[[#This Row],[Train Unit 2]]*TblMili[[#This Row],[DP Ore]]+TblMili[[#This Row],[Train Unit 3]]*TblMili[[#This Row],[E1 Ore]]+TblMili[[#This Row],[Train Unit 4]]*TblMili[[#This Row],[E2 Ore]]</f>
        <v>0</v>
      </c>
      <c r="AU32" s="142">
        <f>TblMili[[#This Row],[Hour]]</f>
        <v>29</v>
      </c>
      <c r="AV32" s="152">
        <f ca="1">TblMili[[#This Row],[Time]]</f>
        <v>46321.166666666599</v>
      </c>
      <c r="AW32" s="94">
        <f ca="1">TblMili[[#This Row],[Draftees]]</f>
        <v>416</v>
      </c>
      <c r="AX32" s="179"/>
      <c r="AY32" s="179"/>
      <c r="AZ32" s="179"/>
      <c r="BA32" s="179"/>
      <c r="BB32" s="179"/>
      <c r="BC32" s="179"/>
      <c r="BD32" s="179"/>
      <c r="BE32" s="179"/>
      <c r="BF32" s="179"/>
      <c r="BG32" s="142"/>
      <c r="BH32" s="157">
        <f ca="1">TblConstr[[#This Row],[Tot WG]]/TblConstr[[#This Row],[Land]]</f>
        <v>0</v>
      </c>
      <c r="BI32" s="157">
        <f ca="1">TblConstr[[#This Row],[Tot Hav]]/TblConstr[[#This Row],[Land]]</f>
        <v>0</v>
      </c>
      <c r="BJ32" s="94">
        <f ca="1">ROUNDUP((1-MIN(TblMili[[#This Row],[Smithies]]*smithy_bonus,smithy_bonus_cap) + tech_3_5*TblTech[[#This Row],[3-5]] + tech_5_3*TblTech[[#This Row],[5-3]] + tech_5_5*TblTech[[#This Row],[5-5]])*spec_op_plat,0)</f>
        <v>315</v>
      </c>
      <c r="BK32" s="94">
        <f ca="1">ROUNDUP(IF(race="Gnome",1,(1-MIN(TblMili[[#This Row],[Smithies]]*smithy_bonus,smithy_bonus_cap) + tech_3_5*TblTech[[#This Row],[3-5]] + tech_5_3*TblTech[[#This Row],[5-3]] + tech_5_5*TblTech[[#This Row],[5-5]]))*spec_op_ore,0)</f>
        <v>25</v>
      </c>
      <c r="BL32" s="94">
        <f ca="1">ROUNDUP((1-MIN(TblMili[[#This Row],[Smithies]]*smithy_bonus,smithy_bonus_cap) + tech_3_5*TblTech[[#This Row],[3-5]] + tech_5_3*TblTech[[#This Row],[5-3]] + tech_5_5*TblTech[[#This Row],[5-5]])*spec_dp_plat,0)</f>
        <v>275</v>
      </c>
      <c r="BM32" s="94">
        <f ca="1">ROUNDUP(IF(race="Gnome",1,(1-MIN(TblMili[[#This Row],[Smithies]]*smithy_bonus,smithy_bonus_cap) + tech_3_5*TblTech[[#This Row],[3-5]] + tech_5_3*TblTech[[#This Row],[5-3]] + tech_5_5*TblTech[[#This Row],[5-5]]))*spec_dp_ore,0)</f>
        <v>15</v>
      </c>
      <c r="BN32" s="94">
        <f ca="1">ROUNDUP((1-MIN(TblMili[[#This Row],[Smithies]]*smithy_bonus,smithy_bonus_cap) + tech_3_5*TblTech[[#This Row],[3-5]] + tech_5_3*TblTech[[#This Row],[5-3]] + tech_5_5*TblTech[[#This Row],[5-5]])*elite1_plat,0)</f>
        <v>1040</v>
      </c>
      <c r="BO32" s="94">
        <f ca="1">ROUNDUP(IF(race="Gnome",1,(1-MIN(TblMili[[#This Row],[Smithies]]*smithy_bonus,smithy_bonus_cap) + tech_3_5*TblTech[[#This Row],[3-5]] + tech_5_3*TblTech[[#This Row],[5-3]] + tech_5_5*TblTech[[#This Row],[5-5]]))*elite1_ore,0)</f>
        <v>75</v>
      </c>
      <c r="BP32" s="94">
        <f ca="1">ROUNDUP((1-MIN(TblMili[[#This Row],[Smithies]]*smithy_bonus,smithy_bonus_cap) + tech_3_5*TblTech[[#This Row],[3-5]] + tech_5_3*TblTech[[#This Row],[5-3]] + tech_5_5*TblTech[[#This Row],[5-5]])*elite2_plat,0)</f>
        <v>1280</v>
      </c>
      <c r="BQ32" s="94">
        <f ca="1">ROUNDUP(IF(race="Gnome",1,(1-MIN(TblMili[[#This Row],[Smithies]]*smithy_bonus,smithy_bonus_cap) + tech_3_5*TblTech[[#This Row],[3-5]] + tech_5_3*TblTech[[#This Row],[5-3]] + tech_5_5*TblTech[[#This Row],[5-5]]))*elite2_ore,0)</f>
        <v>100</v>
      </c>
      <c r="BR32" s="94">
        <f ca="1">ROUNDUP((1-MIN(ROUND(fh_spy_cost_red*TblMili[[#This Row],[FH''s]],4),fh_spy_cost_cap)+ tech_1_9*TblTech[[#This Row],[1-9]] + tech_9_1*TblTech[[#This Row],[9-1]])*spy_plat,0)</f>
        <v>500</v>
      </c>
      <c r="BS32" s="94">
        <f ca="1">ROUNDUP((1-MIN(ROUND(fh_spy_cost_red*TblMili[[#This Row],[FH''s]],4),fh_spy_cost_cap)+ tech_1_9*TblTech[[#This Row],[1-9]] + tech_9_1*TblTech[[#This Row],[9-1]])*archspy_plat,0)</f>
        <v>1000</v>
      </c>
      <c r="BT32" s="94">
        <f ca="1">ROUNDUP((1-MIN(ROUND(wg_wiz_cost_bonus*TblMili[[#This Row],[WG''s]],4),wg_wiz_cost_cap) + tech_1_9_2*TblTech[[#This Row],[1-9]] + tech_9_1_2*TblTech[[#This Row],[9-1]])*wizard_plat,0)</f>
        <v>500</v>
      </c>
      <c r="BU32" s="94">
        <f ca="1">ROUNDUP((1-MIN(ROUND(wg_wiz_cost_bonus*TblMili[[#This Row],[WG''s]],4),wg_wiz_cost_cap) + tech_1_9_2*TblTech[[#This Row],[1-9]] + tech_9_1_2*TblTech[[#This Row],[9-1]])*(archmage_plat + IF(TblMagic[[#This Row],[Active Arc Infusion]]&gt;0,400,0)),0)</f>
        <v>1000</v>
      </c>
      <c r="BV32" s="142"/>
      <c r="BW32" s="157">
        <f ca="1">TblConstr[[#This Row],[Homeland]]/TblConstr[[#This Row],[Land]]</f>
        <v>0.6</v>
      </c>
      <c r="BX32" s="157">
        <f ca="1">TblMili[[#This Row],[WG''s]]</f>
        <v>0</v>
      </c>
      <c r="BY32" s="251">
        <f ca="1">IF(mystic_cap="none",TblMili[[#This Row],[Homeland%]]/mystic_bonus,MIN(mystic_cap,TblMili[[#This Row],[Homeland%]]/mystic_bonus))</f>
        <v>2</v>
      </c>
      <c r="BZ32" s="251">
        <f ca="1">IF(druid_op_cap="none",TblMili[[#This Row],[Homeland%]]/druid_op_bonus,MIN(druid_op_cap,TblMili[[#This Row],[Homeland%]]/druid_op_bonus))</f>
        <v>2</v>
      </c>
      <c r="CA32" s="251">
        <f ca="1">IF(druid_dp_cap="none",TblMili[[#This Row],[Homeland%]]/druid_dp_bonus,MIN(druid_dp_cap,TblMili[[#This Row],[Homeland%]]/druid_dp_bonus))</f>
        <v>2</v>
      </c>
      <c r="CB32" s="251">
        <f ca="1">MIN(dryad_cap,TblMili[[#This Row],[Homeland%]]/dryad_bonus)</f>
        <v>2.9999999999999996</v>
      </c>
      <c r="CC32" s="251">
        <f ca="1">MIN(rocka_cap,TblMili[[#This Row],[Homeland%]]/rocka_bonus)</f>
        <v>2</v>
      </c>
      <c r="CD32" s="251">
        <f ca="1">MIN(adept_op_cap,TblMili[[#This Row],[WG]]/adept_op_bonus)</f>
        <v>0</v>
      </c>
      <c r="CE32" s="251">
        <f ca="1">MIN(adept_dp_cap,TblMili[[#This Row],[WG]]/adept_dp_bonus)</f>
        <v>0</v>
      </c>
      <c r="CF32" s="94">
        <f ca="1">MIN(TblMili[[#This Row],[Unit 3]],TblMili[[#This Row],[Unit 2]])*2</f>
        <v>0</v>
      </c>
      <c r="CG32" s="94">
        <f ca="1">MIN(TblMili[[#This Row],[Unit 1]],TblMili[[#This Row],[Unit 4]])*2</f>
        <v>0</v>
      </c>
      <c r="CH32" s="251">
        <f ca="1">MIN(frost_mage_cap,TblMili[[#This Row],[Homeland%]]/frost_mage_bonus)</f>
        <v>2.9999999999999996</v>
      </c>
      <c r="CI32" s="45">
        <f ca="1">MIN(ice_elem_cap,TblMili[[#This Row],[Raw (2)]]*ice_elem_bonus)</f>
        <v>0</v>
      </c>
      <c r="CJ32" s="251">
        <f t="shared" si="0"/>
        <v>0.83333333333333337</v>
      </c>
      <c r="CK32" s="251">
        <f ca="1">MIN(nox_nightshade_cap,TblConstr[[#This Row],[Homeland]]/TblConstr[[#This Row],[Land]]/nox_nightshade_swamp_bonus)</f>
        <v>4</v>
      </c>
      <c r="CL32" s="251">
        <f ca="1">MIN(TblConstr[[#This Row],[Total Swamp]]/TblConstr[[#This Row],[Land]]/abyss_enforce_bonus,abyss_enforcer_cap)</f>
        <v>0</v>
      </c>
      <c r="CM32" s="251">
        <f ca="1">IF(TblMagic[[#This Row],[Active Infernal Command]]&gt;0,TblMili[[#This Row],[Unit 1]]*infernal_cmd_op,0)</f>
        <v>0</v>
      </c>
      <c r="CN32" s="252"/>
      <c r="CO32" s="252"/>
      <c r="CP32" s="252"/>
      <c r="CQ32" s="251">
        <f ca="1">TblMili[[#This Row],[Mystic]]*2</f>
        <v>4</v>
      </c>
      <c r="CR32" s="251">
        <f ca="1">TblMili[[#This Row],[Druid (op)]]*2</f>
        <v>4</v>
      </c>
      <c r="CS32" s="94">
        <f ca="1">TblMili[[#This Row],[Mystic bonus]]*TblMili[[#This Row],[Unit 3]]+TblMili[[#This Row],[Druid bonus]]*TblMili[[#This Row],[Unit 4]]</f>
        <v>0</v>
      </c>
      <c r="CT32" s="155">
        <f ca="1">TblMili[[#This Row],[Dryad]]*2</f>
        <v>5.9999999999999991</v>
      </c>
      <c r="CU32" s="94">
        <f ca="1">sylvan*(TblMili[[#This Row],[Mystic bonus]]*TblMili[[#This Row],[Unit 3]])</f>
        <v>0</v>
      </c>
      <c r="CV32" s="155">
        <f ca="1">TblMili[[#This Row],[Rockapult]]*2</f>
        <v>4</v>
      </c>
      <c r="CW32" s="94">
        <f ca="1">gnome*(TblMili[[#This Row],[Rockapult bonus]]*TblMili[[#This Row],[Unit 3]])</f>
        <v>0</v>
      </c>
      <c r="CX32" s="155">
        <f ca="1">TblMili[[#This Row],[Adept-DP]]*2</f>
        <v>0</v>
      </c>
      <c r="CY32" s="94">
        <f ca="1">dark_elf*(TblMili[[#This Row],[Adept bonus]]*TblMili[[#This Row],[Unit 3]])</f>
        <v>0</v>
      </c>
      <c r="CZ32" s="155">
        <f ca="1">TblMili[[#This Row],[Frost Mage]]*2</f>
        <v>5.9999999999999991</v>
      </c>
      <c r="DA32" s="155">
        <f ca="1">TblMili[[#This Row],[Ice Elemental]]*2</f>
        <v>0</v>
      </c>
      <c r="DB32" s="94">
        <f ca="1">TblMili[[#This Row],[Frost Mage bonus]]*TblMili[[#This Row],[Unit 3]]+TblMili[[#This Row],[Ice Elemental bonus]]*TblMili[[#This Row],[Unit 4]]</f>
        <v>0</v>
      </c>
      <c r="DC32" s="253"/>
      <c r="DD32" s="143">
        <f ca="1">MIN(SUM(TblConstr[[#This Row],[Plain]:[Water]])/TblMili[[#This Row],[Land]]/favorable_terrain_bonus/100,favorable_terrain_max)</f>
        <v>0</v>
      </c>
      <c r="DE32" s="253"/>
      <c r="DF3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2" s="142"/>
      <c r="DH32" s="254">
        <f ca="1">(TblMili[[#This Row],[Wizards]]+2*TblMili[[#This Row],[Archmages]])/TblConstr[[#This Row],[Land]]</f>
        <v>0</v>
      </c>
      <c r="DI32" s="254">
        <f ca="1">TblMili[[#This Row],[Raw (2)]]*(1+race_wizard_strength+IF(TblMili[[#This Row],[Hour]]&gt;72,tech_magical_weaponry_wiz*TblTech[[#This Row],[3-5]],0))</f>
        <v>0</v>
      </c>
    </row>
    <row r="33" spans="1:113" x14ac:dyDescent="0.2">
      <c r="A33" s="137">
        <f>TblRezone[[#This Row],[Hour]]</f>
        <v>30</v>
      </c>
      <c r="B33" s="246">
        <f ca="1">SUM(TblMili[[#This Row],[Unit 1]:[Archmages]])+SUM(OFFSET(TblMili[[#This Row],[Train Unit 1]],-8,0):TblMili[[#This Row],[Train Unit 2]]) + SUM(OFFSET(TblMili[[#This Row],[Train Unit 3]],-11,0):TblMili[[#This Row],[Train AM]]) + TblMili[[#This Row],[Draftees]]</f>
        <v>420</v>
      </c>
      <c r="C33" s="157">
        <f ca="1">TblPop[[#This Row],[Military%]]</f>
        <v>0.54616384915474647</v>
      </c>
      <c r="D33" s="142"/>
      <c r="E33" s="45">
        <f ca="1">OFFSET(TblMili[[#This Row],[Unit 1]],-1,0) + OFFSET(TblMili[[#This Row],[Train Unit 1]],-9,0) - TblMili[[#This Row],[Release Unit 1]] + OFFSET(TblMili[[#This Row],[DnD_Zombies]],-12,0)</f>
        <v>0</v>
      </c>
      <c r="F33" s="45">
        <f ca="1">OFFSET(TblMili[[#This Row],[Unit 2]],-1,0) + OFFSET(TblMili[[#This Row],[Train Unit 2]],-9,0)-TblMili[[#This Row],[Release Unit 2]]</f>
        <v>0</v>
      </c>
      <c r="G33" s="45">
        <f ca="1">OFFSET(TblMili[[#This Row],[Unit 3]],-1,0) + OFFSET(TblMili[[#This Row],[Train Unit 3]],-12,0)-TblMili[[#This Row],[Release Unit 3]]</f>
        <v>0</v>
      </c>
      <c r="H33" s="45">
        <f ca="1">OFFSET(TblMili[[#This Row],[Unit 4]],-1,0) + OFFSET(TblMili[[#This Row],[Train Unit 4]],-12,0)-TblMili[[#This Row],[Release Unit 4]]</f>
        <v>0</v>
      </c>
      <c r="I33" s="45">
        <f ca="1">OFFSET(TblMili[[#This Row],[Spies]],-1,0) + OFFSET(TblMili[[#This Row],[Train Spies]],-12,0) - TblMili[[#This Row],[Release Spies]]-TblMili[[#This Row],[Train AS]]</f>
        <v>0</v>
      </c>
      <c r="J33" s="45">
        <f ca="1">OFFSET(TblMili[[#This Row],[Archspies]],-1,0) + OFFSET(TblMili[[#This Row],[Train AS]],-12,0) - TblMili[[#This Row],[Release AS]]</f>
        <v>0</v>
      </c>
      <c r="K33" s="45">
        <f ca="1">OFFSET(TblMili[[#This Row],[Wizards]],-1,0) + OFFSET(TblMili[[#This Row],[Train Wiz]],-12,0) - TblMili[[#This Row],[Release Wizards]]-TblMili[[#This Row],[Train AM]] + IF(TblMagic[[#This Row],[Active Arc Infusion]]&gt;0,TblMili[[#This Row],[Train AM]])</f>
        <v>0</v>
      </c>
      <c r="L33" s="45">
        <f ca="1">OFFSET(TblMili[[#This Row],[Archmages]],-1,0) + OFFSET(TblMili[[#This Row],[Train AM]],-12,0) - TblMili[[#This Row],[Release AM]]</f>
        <v>0</v>
      </c>
      <c r="M33" s="142"/>
      <c r="N33" s="94">
        <f ca="1">TblProd[[#This Row],[Networth]]</f>
        <v>1250</v>
      </c>
      <c r="O33" s="142"/>
      <c r="P33"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3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3" s="247">
        <f ca="1">TblMili[[#This Row],[Raw]]*(1+TblMili[[#This Row],[Mods_Off]])</f>
        <v>0</v>
      </c>
      <c r="S33"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33" s="247">
        <f ca="1">TblMili[[#This Row],[Non Draft]]+TblMili[[#This Row],[Draftees]]</f>
        <v>420</v>
      </c>
      <c r="U33" s="248">
        <f ca="1">race_defense + TblImps[[#This Row],[Walls]] + ROUND( MIN(gt_bonus*TblConstr[[#This Row],[Tot GT]]/TblConstr[[#This Row],[Land]],gt_bonus_cap), 4) + IF(TblMagic[[#This Row],[Active Howling]]&gt;0,howling_dp_bonus,IF(TblMagic[[#This Row],[Active Ares Call]]&gt;0,ares_call_bonus))</f>
        <v>0</v>
      </c>
      <c r="V33" s="249">
        <f ca="1">TblMili[[#This Row],[Non Draft]] * (1 + TblMili[[#This Row],[Mods_Def]])</f>
        <v>0</v>
      </c>
      <c r="W33" s="247">
        <f ca="1">TblMili[[#This Row],[Draft]] * (1 + TblMili[[#This Row],[Mods_Def]])</f>
        <v>420</v>
      </c>
      <c r="X33" s="247">
        <f ca="1">TblConstr[[#This Row],[Land]]</f>
        <v>50</v>
      </c>
      <c r="Y33" s="250"/>
      <c r="Z33" s="255">
        <f ca="1">IF(TblMili[[#This Row],[Set]]&lt;&gt;"",TblMili[[#This Row],[Set]],OFFSET(TblMili[[#This Row],[Draftrate]],-1,0))</f>
        <v>0.9</v>
      </c>
      <c r="AA33"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420</v>
      </c>
      <c r="AB33" s="154"/>
      <c r="AC33" s="180">
        <f ca="1">(TblConstr[[#This Row],[Tot Smi]]+TblConstr[[#This Row],[Dest Smi]])/(TblConstr[[#This Row],[Land]]-TblExplore[[#This Row],[Land Bonus]]*20)</f>
        <v>0</v>
      </c>
      <c r="AD33" s="137"/>
      <c r="AE33" s="246">
        <f>TblMili[[#This Row],[Hour]]</f>
        <v>30</v>
      </c>
      <c r="AF33" s="138">
        <f ca="1">TblExplore[[#This Row],[Time]]</f>
        <v>46321.208333333263</v>
      </c>
      <c r="AG33" s="179"/>
      <c r="AH33" s="179"/>
      <c r="AI33" s="179"/>
      <c r="AJ33" s="179"/>
      <c r="AK33" s="179"/>
      <c r="AL33" s="179"/>
      <c r="AM33" s="179"/>
      <c r="AN33" s="179"/>
      <c r="AO33" s="420">
        <f ca="1">ROUND(IF(AND(TblMagic[[#This Row],[Active DnD]]&lt;12,TblMagic[[#This Row],[Active DnD]]&gt;5),OFFSET(TblPop[[#This Row],[Draft Growth]],-1,0)*0.375,0),0)</f>
        <v>0</v>
      </c>
      <c r="AP33" s="142"/>
      <c r="AQ33" s="94">
        <f ca="1">TblProd[[#This Row],[Platinum]]</f>
        <v>152037</v>
      </c>
      <c r="AR33" s="94">
        <f ca="1">INDEX(TblProd[[#Headers],[Lumber]]:TblProd[[#This Row],[Ore]],COUNTA(TblProd[[#Headers],[Lumber]]:TblProd[[#This Row],[Lumber]]),MATCH(Military!$AR$2,TblProd[[#Headers],[Lumber]:[Ore]],0))</f>
        <v>0</v>
      </c>
      <c r="AS3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33" s="94">
        <f ca="1">TblMili[[#This Row],[Train Unit 1]]*TblMili[[#This Row],[OP Ore]]+TblMili[[#This Row],[Train Unit 2]]*TblMili[[#This Row],[DP Ore]]+TblMili[[#This Row],[Train Unit 3]]*TblMili[[#This Row],[E1 Ore]]+TblMili[[#This Row],[Train Unit 4]]*TblMili[[#This Row],[E2 Ore]]</f>
        <v>0</v>
      </c>
      <c r="AU33" s="142">
        <f>TblMili[[#This Row],[Hour]]</f>
        <v>30</v>
      </c>
      <c r="AV33" s="152">
        <f ca="1">TblMili[[#This Row],[Time]]</f>
        <v>46321.208333333263</v>
      </c>
      <c r="AW33" s="94">
        <f ca="1">TblMili[[#This Row],[Draftees]]</f>
        <v>420</v>
      </c>
      <c r="AX33" s="179"/>
      <c r="AY33" s="179"/>
      <c r="AZ33" s="179"/>
      <c r="BA33" s="179"/>
      <c r="BB33" s="179"/>
      <c r="BC33" s="179"/>
      <c r="BD33" s="179"/>
      <c r="BE33" s="179"/>
      <c r="BF33" s="179"/>
      <c r="BG33" s="142"/>
      <c r="BH33" s="157">
        <f ca="1">TblConstr[[#This Row],[Tot WG]]/TblConstr[[#This Row],[Land]]</f>
        <v>0</v>
      </c>
      <c r="BI33" s="157">
        <f ca="1">TblConstr[[#This Row],[Tot Hav]]/TblConstr[[#This Row],[Land]]</f>
        <v>0</v>
      </c>
      <c r="BJ33" s="94">
        <f ca="1">ROUNDUP((1-MIN(TblMili[[#This Row],[Smithies]]*smithy_bonus,smithy_bonus_cap) + tech_3_5*TblTech[[#This Row],[3-5]] + tech_5_3*TblTech[[#This Row],[5-3]] + tech_5_5*TblTech[[#This Row],[5-5]])*spec_op_plat,0)</f>
        <v>315</v>
      </c>
      <c r="BK33" s="94">
        <f ca="1">ROUNDUP(IF(race="Gnome",1,(1-MIN(TblMili[[#This Row],[Smithies]]*smithy_bonus,smithy_bonus_cap) + tech_3_5*TblTech[[#This Row],[3-5]] + tech_5_3*TblTech[[#This Row],[5-3]] + tech_5_5*TblTech[[#This Row],[5-5]]))*spec_op_ore,0)</f>
        <v>25</v>
      </c>
      <c r="BL33" s="94">
        <f ca="1">ROUNDUP((1-MIN(TblMili[[#This Row],[Smithies]]*smithy_bonus,smithy_bonus_cap) + tech_3_5*TblTech[[#This Row],[3-5]] + tech_5_3*TblTech[[#This Row],[5-3]] + tech_5_5*TblTech[[#This Row],[5-5]])*spec_dp_plat,0)</f>
        <v>275</v>
      </c>
      <c r="BM33" s="94">
        <f ca="1">ROUNDUP(IF(race="Gnome",1,(1-MIN(TblMili[[#This Row],[Smithies]]*smithy_bonus,smithy_bonus_cap) + tech_3_5*TblTech[[#This Row],[3-5]] + tech_5_3*TblTech[[#This Row],[5-3]] + tech_5_5*TblTech[[#This Row],[5-5]]))*spec_dp_ore,0)</f>
        <v>15</v>
      </c>
      <c r="BN33" s="94">
        <f ca="1">ROUNDUP((1-MIN(TblMili[[#This Row],[Smithies]]*smithy_bonus,smithy_bonus_cap) + tech_3_5*TblTech[[#This Row],[3-5]] + tech_5_3*TblTech[[#This Row],[5-3]] + tech_5_5*TblTech[[#This Row],[5-5]])*elite1_plat,0)</f>
        <v>1040</v>
      </c>
      <c r="BO33" s="94">
        <f ca="1">ROUNDUP(IF(race="Gnome",1,(1-MIN(TblMili[[#This Row],[Smithies]]*smithy_bonus,smithy_bonus_cap) + tech_3_5*TblTech[[#This Row],[3-5]] + tech_5_3*TblTech[[#This Row],[5-3]] + tech_5_5*TblTech[[#This Row],[5-5]]))*elite1_ore,0)</f>
        <v>75</v>
      </c>
      <c r="BP33" s="94">
        <f ca="1">ROUNDUP((1-MIN(TblMili[[#This Row],[Smithies]]*smithy_bonus,smithy_bonus_cap) + tech_3_5*TblTech[[#This Row],[3-5]] + tech_5_3*TblTech[[#This Row],[5-3]] + tech_5_5*TblTech[[#This Row],[5-5]])*elite2_plat,0)</f>
        <v>1280</v>
      </c>
      <c r="BQ33" s="94">
        <f ca="1">ROUNDUP(IF(race="Gnome",1,(1-MIN(TblMili[[#This Row],[Smithies]]*smithy_bonus,smithy_bonus_cap) + tech_3_5*TblTech[[#This Row],[3-5]] + tech_5_3*TblTech[[#This Row],[5-3]] + tech_5_5*TblTech[[#This Row],[5-5]]))*elite2_ore,0)</f>
        <v>100</v>
      </c>
      <c r="BR33" s="94">
        <f ca="1">ROUNDUP((1-MIN(ROUND(fh_spy_cost_red*TblMili[[#This Row],[FH''s]],4),fh_spy_cost_cap)+ tech_1_9*TblTech[[#This Row],[1-9]] + tech_9_1*TblTech[[#This Row],[9-1]])*spy_plat,0)</f>
        <v>500</v>
      </c>
      <c r="BS33" s="94">
        <f ca="1">ROUNDUP((1-MIN(ROUND(fh_spy_cost_red*TblMili[[#This Row],[FH''s]],4),fh_spy_cost_cap)+ tech_1_9*TblTech[[#This Row],[1-9]] + tech_9_1*TblTech[[#This Row],[9-1]])*archspy_plat,0)</f>
        <v>1000</v>
      </c>
      <c r="BT33" s="94">
        <f ca="1">ROUNDUP((1-MIN(ROUND(wg_wiz_cost_bonus*TblMili[[#This Row],[WG''s]],4),wg_wiz_cost_cap) + tech_1_9_2*TblTech[[#This Row],[1-9]] + tech_9_1_2*TblTech[[#This Row],[9-1]])*wizard_plat,0)</f>
        <v>500</v>
      </c>
      <c r="BU33" s="94">
        <f ca="1">ROUNDUP((1-MIN(ROUND(wg_wiz_cost_bonus*TblMili[[#This Row],[WG''s]],4),wg_wiz_cost_cap) + tech_1_9_2*TblTech[[#This Row],[1-9]] + tech_9_1_2*TblTech[[#This Row],[9-1]])*(archmage_plat + IF(TblMagic[[#This Row],[Active Arc Infusion]]&gt;0,400,0)),0)</f>
        <v>1000</v>
      </c>
      <c r="BV33" s="142"/>
      <c r="BW33" s="157">
        <f ca="1">TblConstr[[#This Row],[Homeland]]/TblConstr[[#This Row],[Land]]</f>
        <v>0.6</v>
      </c>
      <c r="BX33" s="157">
        <f ca="1">TblMili[[#This Row],[WG''s]]</f>
        <v>0</v>
      </c>
      <c r="BY33" s="251">
        <f ca="1">IF(mystic_cap="none",TblMili[[#This Row],[Homeland%]]/mystic_bonus,MIN(mystic_cap,TblMili[[#This Row],[Homeland%]]/mystic_bonus))</f>
        <v>2</v>
      </c>
      <c r="BZ33" s="251">
        <f ca="1">IF(druid_op_cap="none",TblMili[[#This Row],[Homeland%]]/druid_op_bonus,MIN(druid_op_cap,TblMili[[#This Row],[Homeland%]]/druid_op_bonus))</f>
        <v>2</v>
      </c>
      <c r="CA33" s="251">
        <f ca="1">IF(druid_dp_cap="none",TblMili[[#This Row],[Homeland%]]/druid_dp_bonus,MIN(druid_dp_cap,TblMili[[#This Row],[Homeland%]]/druid_dp_bonus))</f>
        <v>2</v>
      </c>
      <c r="CB33" s="251">
        <f ca="1">MIN(dryad_cap,TblMili[[#This Row],[Homeland%]]/dryad_bonus)</f>
        <v>2.9999999999999996</v>
      </c>
      <c r="CC33" s="251">
        <f ca="1">MIN(rocka_cap,TblMili[[#This Row],[Homeland%]]/rocka_bonus)</f>
        <v>2</v>
      </c>
      <c r="CD33" s="251">
        <f ca="1">MIN(adept_op_cap,TblMili[[#This Row],[WG]]/adept_op_bonus)</f>
        <v>0</v>
      </c>
      <c r="CE33" s="251">
        <f ca="1">MIN(adept_dp_cap,TblMili[[#This Row],[WG]]/adept_dp_bonus)</f>
        <v>0</v>
      </c>
      <c r="CF33" s="94">
        <f ca="1">MIN(TblMili[[#This Row],[Unit 3]],TblMili[[#This Row],[Unit 2]])*2</f>
        <v>0</v>
      </c>
      <c r="CG33" s="94">
        <f ca="1">MIN(TblMili[[#This Row],[Unit 1]],TblMili[[#This Row],[Unit 4]])*2</f>
        <v>0</v>
      </c>
      <c r="CH33" s="251">
        <f ca="1">MIN(frost_mage_cap,TblMili[[#This Row],[Homeland%]]/frost_mage_bonus)</f>
        <v>2.9999999999999996</v>
      </c>
      <c r="CI33" s="45">
        <f ca="1">MIN(ice_elem_cap,TblMili[[#This Row],[Raw (2)]]*ice_elem_bonus)</f>
        <v>0</v>
      </c>
      <c r="CJ33" s="251">
        <f t="shared" si="0"/>
        <v>0.83333333333333337</v>
      </c>
      <c r="CK33" s="251">
        <f ca="1">MIN(nox_nightshade_cap,TblConstr[[#This Row],[Homeland]]/TblConstr[[#This Row],[Land]]/nox_nightshade_swamp_bonus)</f>
        <v>4</v>
      </c>
      <c r="CL33" s="251">
        <f ca="1">MIN(TblConstr[[#This Row],[Total Swamp]]/TblConstr[[#This Row],[Land]]/abyss_enforce_bonus,abyss_enforcer_cap)</f>
        <v>0</v>
      </c>
      <c r="CM33" s="251">
        <f ca="1">IF(TblMagic[[#This Row],[Active Infernal Command]]&gt;0,TblMili[[#This Row],[Unit 1]]*infernal_cmd_op,0)</f>
        <v>0</v>
      </c>
      <c r="CN33" s="252"/>
      <c r="CO33" s="252"/>
      <c r="CP33" s="252"/>
      <c r="CQ33" s="251">
        <f ca="1">TblMili[[#This Row],[Mystic]]*2</f>
        <v>4</v>
      </c>
      <c r="CR33" s="251">
        <f ca="1">TblMili[[#This Row],[Druid (op)]]*2</f>
        <v>4</v>
      </c>
      <c r="CS33" s="94">
        <f ca="1">TblMili[[#This Row],[Mystic bonus]]*TblMili[[#This Row],[Unit 3]]+TblMili[[#This Row],[Druid bonus]]*TblMili[[#This Row],[Unit 4]]</f>
        <v>0</v>
      </c>
      <c r="CT33" s="155">
        <f ca="1">TblMili[[#This Row],[Dryad]]*2</f>
        <v>5.9999999999999991</v>
      </c>
      <c r="CU33" s="94">
        <f ca="1">sylvan*(TblMili[[#This Row],[Mystic bonus]]*TblMili[[#This Row],[Unit 3]])</f>
        <v>0</v>
      </c>
      <c r="CV33" s="155">
        <f ca="1">TblMili[[#This Row],[Rockapult]]*2</f>
        <v>4</v>
      </c>
      <c r="CW33" s="94">
        <f ca="1">gnome*(TblMili[[#This Row],[Rockapult bonus]]*TblMili[[#This Row],[Unit 3]])</f>
        <v>0</v>
      </c>
      <c r="CX33" s="155">
        <f ca="1">TblMili[[#This Row],[Adept-DP]]*2</f>
        <v>0</v>
      </c>
      <c r="CY33" s="94">
        <f ca="1">dark_elf*(TblMili[[#This Row],[Adept bonus]]*TblMili[[#This Row],[Unit 3]])</f>
        <v>0</v>
      </c>
      <c r="CZ33" s="155">
        <f ca="1">TblMili[[#This Row],[Frost Mage]]*2</f>
        <v>5.9999999999999991</v>
      </c>
      <c r="DA33" s="155">
        <f ca="1">TblMili[[#This Row],[Ice Elemental]]*2</f>
        <v>0</v>
      </c>
      <c r="DB33" s="94">
        <f ca="1">TblMili[[#This Row],[Frost Mage bonus]]*TblMili[[#This Row],[Unit 3]]+TblMili[[#This Row],[Ice Elemental bonus]]*TblMili[[#This Row],[Unit 4]]</f>
        <v>0</v>
      </c>
      <c r="DC33" s="253"/>
      <c r="DD33" s="143">
        <f ca="1">MIN(SUM(TblConstr[[#This Row],[Plain]:[Water]])/TblMili[[#This Row],[Land]]/favorable_terrain_bonus/100,favorable_terrain_max)</f>
        <v>0</v>
      </c>
      <c r="DE33" s="253"/>
      <c r="DF3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3" s="142"/>
      <c r="DH33" s="254">
        <f ca="1">(TblMili[[#This Row],[Wizards]]+2*TblMili[[#This Row],[Archmages]])/TblConstr[[#This Row],[Land]]</f>
        <v>0</v>
      </c>
      <c r="DI33" s="254">
        <f ca="1">TblMili[[#This Row],[Raw (2)]]*(1+race_wizard_strength+IF(TblMili[[#This Row],[Hour]]&gt;72,tech_magical_weaponry_wiz*TblTech[[#This Row],[3-5]],0))</f>
        <v>0</v>
      </c>
    </row>
    <row r="34" spans="1:113" x14ac:dyDescent="0.2">
      <c r="A34" s="137">
        <f>TblRezone[[#This Row],[Hour]]</f>
        <v>31</v>
      </c>
      <c r="B34" s="246">
        <f ca="1">SUM(TblMili[[#This Row],[Unit 1]:[Archmages]])+SUM(OFFSET(TblMili[[#This Row],[Train Unit 1]],-8,0):TblMili[[#This Row],[Train Unit 2]]) + SUM(OFFSET(TblMili[[#This Row],[Train Unit 3]],-11,0):TblMili[[#This Row],[Train AM]]) + TblMili[[#This Row],[Draftees]]</f>
        <v>423</v>
      </c>
      <c r="C34" s="157">
        <f ca="1">TblPop[[#This Row],[Military%]]</f>
        <v>0.55006501950585174</v>
      </c>
      <c r="D34" s="142"/>
      <c r="E34" s="45">
        <f ca="1">OFFSET(TblMili[[#This Row],[Unit 1]],-1,0) + OFFSET(TblMili[[#This Row],[Train Unit 1]],-9,0) - TblMili[[#This Row],[Release Unit 1]] + OFFSET(TblMili[[#This Row],[DnD_Zombies]],-12,0)</f>
        <v>0</v>
      </c>
      <c r="F34" s="45">
        <f ca="1">OFFSET(TblMili[[#This Row],[Unit 2]],-1,0) + OFFSET(TblMili[[#This Row],[Train Unit 2]],-9,0)-TblMili[[#This Row],[Release Unit 2]]</f>
        <v>0</v>
      </c>
      <c r="G34" s="45">
        <f ca="1">OFFSET(TblMili[[#This Row],[Unit 3]],-1,0) + OFFSET(TblMili[[#This Row],[Train Unit 3]],-12,0)-TblMili[[#This Row],[Release Unit 3]]</f>
        <v>0</v>
      </c>
      <c r="H34" s="45">
        <f ca="1">OFFSET(TblMili[[#This Row],[Unit 4]],-1,0) + OFFSET(TblMili[[#This Row],[Train Unit 4]],-12,0)-TblMili[[#This Row],[Release Unit 4]]</f>
        <v>0</v>
      </c>
      <c r="I34" s="45">
        <f ca="1">OFFSET(TblMili[[#This Row],[Spies]],-1,0) + OFFSET(TblMili[[#This Row],[Train Spies]],-12,0) - TblMili[[#This Row],[Release Spies]]-TblMili[[#This Row],[Train AS]]</f>
        <v>0</v>
      </c>
      <c r="J34" s="45">
        <f ca="1">OFFSET(TblMili[[#This Row],[Archspies]],-1,0) + OFFSET(TblMili[[#This Row],[Train AS]],-12,0) - TblMili[[#This Row],[Release AS]]</f>
        <v>0</v>
      </c>
      <c r="K34" s="45">
        <f ca="1">OFFSET(TblMili[[#This Row],[Wizards]],-1,0) + OFFSET(TblMili[[#This Row],[Train Wiz]],-12,0) - TblMili[[#This Row],[Release Wizards]]-TblMili[[#This Row],[Train AM]] + IF(TblMagic[[#This Row],[Active Arc Infusion]]&gt;0,TblMili[[#This Row],[Train AM]])</f>
        <v>0</v>
      </c>
      <c r="L34" s="45">
        <f ca="1">OFFSET(TblMili[[#This Row],[Archmages]],-1,0) + OFFSET(TblMili[[#This Row],[Train AM]],-12,0) - TblMili[[#This Row],[Release AM]]</f>
        <v>0</v>
      </c>
      <c r="M34" s="142"/>
      <c r="N34" s="94">
        <f ca="1">TblProd[[#This Row],[Networth]]</f>
        <v>1250</v>
      </c>
      <c r="O34" s="142"/>
      <c r="P34"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3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4" s="247">
        <f ca="1">TblMili[[#This Row],[Raw]]*(1+TblMili[[#This Row],[Mods_Off]])</f>
        <v>0</v>
      </c>
      <c r="S34"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34" s="247">
        <f ca="1">TblMili[[#This Row],[Non Draft]]+TblMili[[#This Row],[Draftees]]</f>
        <v>423</v>
      </c>
      <c r="U34" s="248">
        <f ca="1">race_defense + TblImps[[#This Row],[Walls]] + ROUND( MIN(gt_bonus*TblConstr[[#This Row],[Tot GT]]/TblConstr[[#This Row],[Land]],gt_bonus_cap), 4) + IF(TblMagic[[#This Row],[Active Howling]]&gt;0,howling_dp_bonus,IF(TblMagic[[#This Row],[Active Ares Call]]&gt;0,ares_call_bonus))</f>
        <v>0</v>
      </c>
      <c r="V34" s="249">
        <f ca="1">TblMili[[#This Row],[Non Draft]] * (1 + TblMili[[#This Row],[Mods_Def]])</f>
        <v>0</v>
      </c>
      <c r="W34" s="247">
        <f ca="1">TblMili[[#This Row],[Draft]] * (1 + TblMili[[#This Row],[Mods_Def]])</f>
        <v>423</v>
      </c>
      <c r="X34" s="247">
        <f ca="1">TblConstr[[#This Row],[Land]]</f>
        <v>50</v>
      </c>
      <c r="Y34" s="250"/>
      <c r="Z34" s="255">
        <f ca="1">IF(TblMili[[#This Row],[Set]]&lt;&gt;"",TblMili[[#This Row],[Set]],OFFSET(TblMili[[#This Row],[Draftrate]],-1,0))</f>
        <v>0.9</v>
      </c>
      <c r="AA34"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423</v>
      </c>
      <c r="AB34" s="154"/>
      <c r="AC34" s="180">
        <f ca="1">(TblConstr[[#This Row],[Tot Smi]]+TblConstr[[#This Row],[Dest Smi]])/(TblConstr[[#This Row],[Land]]-TblExplore[[#This Row],[Land Bonus]]*20)</f>
        <v>0</v>
      </c>
      <c r="AD34" s="137"/>
      <c r="AE34" s="246">
        <f>TblMili[[#This Row],[Hour]]</f>
        <v>31</v>
      </c>
      <c r="AF34" s="138">
        <f ca="1">TblExplore[[#This Row],[Time]]</f>
        <v>46321.249999999927</v>
      </c>
      <c r="AG34" s="179"/>
      <c r="AH34" s="179"/>
      <c r="AI34" s="179"/>
      <c r="AJ34" s="179"/>
      <c r="AK34" s="179"/>
      <c r="AL34" s="179"/>
      <c r="AM34" s="179"/>
      <c r="AN34" s="179"/>
      <c r="AO34" s="420">
        <f ca="1">ROUND(IF(AND(TblMagic[[#This Row],[Active DnD]]&lt;12,TblMagic[[#This Row],[Active DnD]]&gt;5),OFFSET(TblPop[[#This Row],[Draft Growth]],-1,0)*0.375,0),0)</f>
        <v>0</v>
      </c>
      <c r="AP34" s="142"/>
      <c r="AQ34" s="94">
        <f ca="1">TblProd[[#This Row],[Platinum]]</f>
        <v>152979</v>
      </c>
      <c r="AR34" s="94">
        <f ca="1">INDEX(TblProd[[#Headers],[Lumber]]:TblProd[[#This Row],[Ore]],COUNTA(TblProd[[#Headers],[Lumber]]:TblProd[[#This Row],[Lumber]]),MATCH(Military!$AR$2,TblProd[[#Headers],[Lumber]:[Ore]],0))</f>
        <v>0</v>
      </c>
      <c r="AS3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34" s="94">
        <f ca="1">TblMili[[#This Row],[Train Unit 1]]*TblMili[[#This Row],[OP Ore]]+TblMili[[#This Row],[Train Unit 2]]*TblMili[[#This Row],[DP Ore]]+TblMili[[#This Row],[Train Unit 3]]*TblMili[[#This Row],[E1 Ore]]+TblMili[[#This Row],[Train Unit 4]]*TblMili[[#This Row],[E2 Ore]]</f>
        <v>0</v>
      </c>
      <c r="AU34" s="142">
        <f>TblMili[[#This Row],[Hour]]</f>
        <v>31</v>
      </c>
      <c r="AV34" s="152">
        <f ca="1">TblMili[[#This Row],[Time]]</f>
        <v>46321.249999999927</v>
      </c>
      <c r="AW34" s="94">
        <f ca="1">TblMili[[#This Row],[Draftees]]</f>
        <v>423</v>
      </c>
      <c r="AX34" s="179"/>
      <c r="AY34" s="179"/>
      <c r="AZ34" s="179"/>
      <c r="BA34" s="179"/>
      <c r="BB34" s="179"/>
      <c r="BC34" s="179"/>
      <c r="BD34" s="179"/>
      <c r="BE34" s="179"/>
      <c r="BF34" s="179"/>
      <c r="BG34" s="142"/>
      <c r="BH34" s="157">
        <f ca="1">TblConstr[[#This Row],[Tot WG]]/TblConstr[[#This Row],[Land]]</f>
        <v>0</v>
      </c>
      <c r="BI34" s="157">
        <f ca="1">TblConstr[[#This Row],[Tot Hav]]/TblConstr[[#This Row],[Land]]</f>
        <v>0</v>
      </c>
      <c r="BJ34" s="94">
        <f ca="1">ROUNDUP((1-MIN(TblMili[[#This Row],[Smithies]]*smithy_bonus,smithy_bonus_cap) + tech_3_5*TblTech[[#This Row],[3-5]] + tech_5_3*TblTech[[#This Row],[5-3]] + tech_5_5*TblTech[[#This Row],[5-5]])*spec_op_plat,0)</f>
        <v>315</v>
      </c>
      <c r="BK34" s="94">
        <f ca="1">ROUNDUP(IF(race="Gnome",1,(1-MIN(TblMili[[#This Row],[Smithies]]*smithy_bonus,smithy_bonus_cap) + tech_3_5*TblTech[[#This Row],[3-5]] + tech_5_3*TblTech[[#This Row],[5-3]] + tech_5_5*TblTech[[#This Row],[5-5]]))*spec_op_ore,0)</f>
        <v>25</v>
      </c>
      <c r="BL34" s="94">
        <f ca="1">ROUNDUP((1-MIN(TblMili[[#This Row],[Smithies]]*smithy_bonus,smithy_bonus_cap) + tech_3_5*TblTech[[#This Row],[3-5]] + tech_5_3*TblTech[[#This Row],[5-3]] + tech_5_5*TblTech[[#This Row],[5-5]])*spec_dp_plat,0)</f>
        <v>275</v>
      </c>
      <c r="BM34" s="94">
        <f ca="1">ROUNDUP(IF(race="Gnome",1,(1-MIN(TblMili[[#This Row],[Smithies]]*smithy_bonus,smithy_bonus_cap) + tech_3_5*TblTech[[#This Row],[3-5]] + tech_5_3*TblTech[[#This Row],[5-3]] + tech_5_5*TblTech[[#This Row],[5-5]]))*spec_dp_ore,0)</f>
        <v>15</v>
      </c>
      <c r="BN34" s="94">
        <f ca="1">ROUNDUP((1-MIN(TblMili[[#This Row],[Smithies]]*smithy_bonus,smithy_bonus_cap) + tech_3_5*TblTech[[#This Row],[3-5]] + tech_5_3*TblTech[[#This Row],[5-3]] + tech_5_5*TblTech[[#This Row],[5-5]])*elite1_plat,0)</f>
        <v>1040</v>
      </c>
      <c r="BO34" s="94">
        <f ca="1">ROUNDUP(IF(race="Gnome",1,(1-MIN(TblMili[[#This Row],[Smithies]]*smithy_bonus,smithy_bonus_cap) + tech_3_5*TblTech[[#This Row],[3-5]] + tech_5_3*TblTech[[#This Row],[5-3]] + tech_5_5*TblTech[[#This Row],[5-5]]))*elite1_ore,0)</f>
        <v>75</v>
      </c>
      <c r="BP34" s="94">
        <f ca="1">ROUNDUP((1-MIN(TblMili[[#This Row],[Smithies]]*smithy_bonus,smithy_bonus_cap) + tech_3_5*TblTech[[#This Row],[3-5]] + tech_5_3*TblTech[[#This Row],[5-3]] + tech_5_5*TblTech[[#This Row],[5-5]])*elite2_plat,0)</f>
        <v>1280</v>
      </c>
      <c r="BQ34" s="94">
        <f ca="1">ROUNDUP(IF(race="Gnome",1,(1-MIN(TblMili[[#This Row],[Smithies]]*smithy_bonus,smithy_bonus_cap) + tech_3_5*TblTech[[#This Row],[3-5]] + tech_5_3*TblTech[[#This Row],[5-3]] + tech_5_5*TblTech[[#This Row],[5-5]]))*elite2_ore,0)</f>
        <v>100</v>
      </c>
      <c r="BR34" s="94">
        <f ca="1">ROUNDUP((1-MIN(ROUND(fh_spy_cost_red*TblMili[[#This Row],[FH''s]],4),fh_spy_cost_cap)+ tech_1_9*TblTech[[#This Row],[1-9]] + tech_9_1*TblTech[[#This Row],[9-1]])*spy_plat,0)</f>
        <v>500</v>
      </c>
      <c r="BS34" s="94">
        <f ca="1">ROUNDUP((1-MIN(ROUND(fh_spy_cost_red*TblMili[[#This Row],[FH''s]],4),fh_spy_cost_cap)+ tech_1_9*TblTech[[#This Row],[1-9]] + tech_9_1*TblTech[[#This Row],[9-1]])*archspy_plat,0)</f>
        <v>1000</v>
      </c>
      <c r="BT34" s="94">
        <f ca="1">ROUNDUP((1-MIN(ROUND(wg_wiz_cost_bonus*TblMili[[#This Row],[WG''s]],4),wg_wiz_cost_cap) + tech_1_9_2*TblTech[[#This Row],[1-9]] + tech_9_1_2*TblTech[[#This Row],[9-1]])*wizard_plat,0)</f>
        <v>500</v>
      </c>
      <c r="BU34" s="94">
        <f ca="1">ROUNDUP((1-MIN(ROUND(wg_wiz_cost_bonus*TblMili[[#This Row],[WG''s]],4),wg_wiz_cost_cap) + tech_1_9_2*TblTech[[#This Row],[1-9]] + tech_9_1_2*TblTech[[#This Row],[9-1]])*(archmage_plat + IF(TblMagic[[#This Row],[Active Arc Infusion]]&gt;0,400,0)),0)</f>
        <v>1000</v>
      </c>
      <c r="BV34" s="142"/>
      <c r="BW34" s="157">
        <f ca="1">TblConstr[[#This Row],[Homeland]]/TblConstr[[#This Row],[Land]]</f>
        <v>0.6</v>
      </c>
      <c r="BX34" s="157">
        <f ca="1">TblMili[[#This Row],[WG''s]]</f>
        <v>0</v>
      </c>
      <c r="BY34" s="251">
        <f ca="1">IF(mystic_cap="none",TblMili[[#This Row],[Homeland%]]/mystic_bonus,MIN(mystic_cap,TblMili[[#This Row],[Homeland%]]/mystic_bonus))</f>
        <v>2</v>
      </c>
      <c r="BZ34" s="251">
        <f ca="1">IF(druid_op_cap="none",TblMili[[#This Row],[Homeland%]]/druid_op_bonus,MIN(druid_op_cap,TblMili[[#This Row],[Homeland%]]/druid_op_bonus))</f>
        <v>2</v>
      </c>
      <c r="CA34" s="251">
        <f ca="1">IF(druid_dp_cap="none",TblMili[[#This Row],[Homeland%]]/druid_dp_bonus,MIN(druid_dp_cap,TblMili[[#This Row],[Homeland%]]/druid_dp_bonus))</f>
        <v>2</v>
      </c>
      <c r="CB34" s="251">
        <f ca="1">MIN(dryad_cap,TblMili[[#This Row],[Homeland%]]/dryad_bonus)</f>
        <v>2.9999999999999996</v>
      </c>
      <c r="CC34" s="251">
        <f ca="1">MIN(rocka_cap,TblMili[[#This Row],[Homeland%]]/rocka_bonus)</f>
        <v>2</v>
      </c>
      <c r="CD34" s="251">
        <f ca="1">MIN(adept_op_cap,TblMili[[#This Row],[WG]]/adept_op_bonus)</f>
        <v>0</v>
      </c>
      <c r="CE34" s="251">
        <f ca="1">MIN(adept_dp_cap,TblMili[[#This Row],[WG]]/adept_dp_bonus)</f>
        <v>0</v>
      </c>
      <c r="CF34" s="94">
        <f ca="1">MIN(TblMili[[#This Row],[Unit 3]],TblMili[[#This Row],[Unit 2]])*2</f>
        <v>0</v>
      </c>
      <c r="CG34" s="94">
        <f ca="1">MIN(TblMili[[#This Row],[Unit 1]],TblMili[[#This Row],[Unit 4]])*2</f>
        <v>0</v>
      </c>
      <c r="CH34" s="251">
        <f ca="1">MIN(frost_mage_cap,TblMili[[#This Row],[Homeland%]]/frost_mage_bonus)</f>
        <v>2.9999999999999996</v>
      </c>
      <c r="CI34" s="45">
        <f ca="1">MIN(ice_elem_cap,TblMili[[#This Row],[Raw (2)]]*ice_elem_bonus)</f>
        <v>0</v>
      </c>
      <c r="CJ34" s="251">
        <f t="shared" si="0"/>
        <v>0.83333333333333337</v>
      </c>
      <c r="CK34" s="251">
        <f ca="1">MIN(nox_nightshade_cap,TblConstr[[#This Row],[Homeland]]/TblConstr[[#This Row],[Land]]/nox_nightshade_swamp_bonus)</f>
        <v>4</v>
      </c>
      <c r="CL34" s="251">
        <f ca="1">MIN(TblConstr[[#This Row],[Total Swamp]]/TblConstr[[#This Row],[Land]]/abyss_enforce_bonus,abyss_enforcer_cap)</f>
        <v>0</v>
      </c>
      <c r="CM34" s="251">
        <f ca="1">IF(TblMagic[[#This Row],[Active Infernal Command]]&gt;0,TblMili[[#This Row],[Unit 1]]*infernal_cmd_op,0)</f>
        <v>0</v>
      </c>
      <c r="CN34" s="252"/>
      <c r="CO34" s="252"/>
      <c r="CP34" s="252"/>
      <c r="CQ34" s="251">
        <f ca="1">TblMili[[#This Row],[Mystic]]*2</f>
        <v>4</v>
      </c>
      <c r="CR34" s="251">
        <f ca="1">TblMili[[#This Row],[Druid (op)]]*2</f>
        <v>4</v>
      </c>
      <c r="CS34" s="94">
        <f ca="1">TblMili[[#This Row],[Mystic bonus]]*TblMili[[#This Row],[Unit 3]]+TblMili[[#This Row],[Druid bonus]]*TblMili[[#This Row],[Unit 4]]</f>
        <v>0</v>
      </c>
      <c r="CT34" s="155">
        <f ca="1">TblMili[[#This Row],[Dryad]]*2</f>
        <v>5.9999999999999991</v>
      </c>
      <c r="CU34" s="94">
        <f ca="1">sylvan*(TblMili[[#This Row],[Mystic bonus]]*TblMili[[#This Row],[Unit 3]])</f>
        <v>0</v>
      </c>
      <c r="CV34" s="155">
        <f ca="1">TblMili[[#This Row],[Rockapult]]*2</f>
        <v>4</v>
      </c>
      <c r="CW34" s="94">
        <f ca="1">gnome*(TblMili[[#This Row],[Rockapult bonus]]*TblMili[[#This Row],[Unit 3]])</f>
        <v>0</v>
      </c>
      <c r="CX34" s="155">
        <f ca="1">TblMili[[#This Row],[Adept-DP]]*2</f>
        <v>0</v>
      </c>
      <c r="CY34" s="94">
        <f ca="1">dark_elf*(TblMili[[#This Row],[Adept bonus]]*TblMili[[#This Row],[Unit 3]])</f>
        <v>0</v>
      </c>
      <c r="CZ34" s="155">
        <f ca="1">TblMili[[#This Row],[Frost Mage]]*2</f>
        <v>5.9999999999999991</v>
      </c>
      <c r="DA34" s="155">
        <f ca="1">TblMili[[#This Row],[Ice Elemental]]*2</f>
        <v>0</v>
      </c>
      <c r="DB34" s="94">
        <f ca="1">TblMili[[#This Row],[Frost Mage bonus]]*TblMili[[#This Row],[Unit 3]]+TblMili[[#This Row],[Ice Elemental bonus]]*TblMili[[#This Row],[Unit 4]]</f>
        <v>0</v>
      </c>
      <c r="DC34" s="253"/>
      <c r="DD34" s="143">
        <f ca="1">MIN(SUM(TblConstr[[#This Row],[Plain]:[Water]])/TblMili[[#This Row],[Land]]/favorable_terrain_bonus/100,favorable_terrain_max)</f>
        <v>0</v>
      </c>
      <c r="DE34" s="253"/>
      <c r="DF3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4" s="142"/>
      <c r="DH34" s="254">
        <f ca="1">(TblMili[[#This Row],[Wizards]]+2*TblMili[[#This Row],[Archmages]])/TblConstr[[#This Row],[Land]]</f>
        <v>0</v>
      </c>
      <c r="DI34" s="254">
        <f ca="1">TblMili[[#This Row],[Raw (2)]]*(1+race_wizard_strength+IF(TblMili[[#This Row],[Hour]]&gt;72,tech_magical_weaponry_wiz*TblTech[[#This Row],[3-5]],0))</f>
        <v>0</v>
      </c>
    </row>
    <row r="35" spans="1:113" x14ac:dyDescent="0.2">
      <c r="A35" s="137">
        <f>TblRezone[[#This Row],[Hour]]</f>
        <v>32</v>
      </c>
      <c r="B35" s="246">
        <f ca="1">SUM(TblMili[[#This Row],[Unit 1]:[Archmages]])+SUM(OFFSET(TblMili[[#This Row],[Train Unit 1]],-8,0):TblMili[[#This Row],[Train Unit 2]]) + SUM(OFFSET(TblMili[[#This Row],[Train Unit 3]],-11,0):TblMili[[#This Row],[Train AM]]) + TblMili[[#This Row],[Draftees]]</f>
        <v>426</v>
      </c>
      <c r="C35" s="157">
        <f ca="1">TblPop[[#This Row],[Military%]]</f>
        <v>0.55396618985695711</v>
      </c>
      <c r="D35" s="142"/>
      <c r="E35" s="45">
        <f ca="1">OFFSET(TblMili[[#This Row],[Unit 1]],-1,0) + OFFSET(TblMili[[#This Row],[Train Unit 1]],-9,0) - TblMili[[#This Row],[Release Unit 1]] + OFFSET(TblMili[[#This Row],[DnD_Zombies]],-12,0)</f>
        <v>0</v>
      </c>
      <c r="F35" s="45">
        <f ca="1">OFFSET(TblMili[[#This Row],[Unit 2]],-1,0) + OFFSET(TblMili[[#This Row],[Train Unit 2]],-9,0)-TblMili[[#This Row],[Release Unit 2]]</f>
        <v>0</v>
      </c>
      <c r="G35" s="45">
        <f ca="1">OFFSET(TblMili[[#This Row],[Unit 3]],-1,0) + OFFSET(TblMili[[#This Row],[Train Unit 3]],-12,0)-TblMili[[#This Row],[Release Unit 3]]</f>
        <v>0</v>
      </c>
      <c r="H35" s="45">
        <f ca="1">OFFSET(TblMili[[#This Row],[Unit 4]],-1,0) + OFFSET(TblMili[[#This Row],[Train Unit 4]],-12,0)-TblMili[[#This Row],[Release Unit 4]]</f>
        <v>0</v>
      </c>
      <c r="I35" s="45">
        <f ca="1">OFFSET(TblMili[[#This Row],[Spies]],-1,0) + OFFSET(TblMili[[#This Row],[Train Spies]],-12,0) - TblMili[[#This Row],[Release Spies]]-TblMili[[#This Row],[Train AS]]</f>
        <v>0</v>
      </c>
      <c r="J35" s="45">
        <f ca="1">OFFSET(TblMili[[#This Row],[Archspies]],-1,0) + OFFSET(TblMili[[#This Row],[Train AS]],-12,0) - TblMili[[#This Row],[Release AS]]</f>
        <v>0</v>
      </c>
      <c r="K35" s="45">
        <f ca="1">OFFSET(TblMili[[#This Row],[Wizards]],-1,0) + OFFSET(TblMili[[#This Row],[Train Wiz]],-12,0) - TblMili[[#This Row],[Release Wizards]]-TblMili[[#This Row],[Train AM]] + IF(TblMagic[[#This Row],[Active Arc Infusion]]&gt;0,TblMili[[#This Row],[Train AM]])</f>
        <v>0</v>
      </c>
      <c r="L35" s="45">
        <f ca="1">OFFSET(TblMili[[#This Row],[Archmages]],-1,0) + OFFSET(TblMili[[#This Row],[Train AM]],-12,0) - TblMili[[#This Row],[Release AM]]</f>
        <v>0</v>
      </c>
      <c r="M35" s="142"/>
      <c r="N35" s="94">
        <f ca="1">TblProd[[#This Row],[Networth]]</f>
        <v>1250</v>
      </c>
      <c r="O35" s="142"/>
      <c r="P35"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3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5" s="247">
        <f ca="1">TblMili[[#This Row],[Raw]]*(1+TblMili[[#This Row],[Mods_Off]])</f>
        <v>0</v>
      </c>
      <c r="S35"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35" s="247">
        <f ca="1">TblMili[[#This Row],[Non Draft]]+TblMili[[#This Row],[Draftees]]</f>
        <v>426</v>
      </c>
      <c r="U35" s="248">
        <f ca="1">race_defense + TblImps[[#This Row],[Walls]] + ROUND( MIN(gt_bonus*TblConstr[[#This Row],[Tot GT]]/TblConstr[[#This Row],[Land]],gt_bonus_cap), 4) + IF(TblMagic[[#This Row],[Active Howling]]&gt;0,howling_dp_bonus,IF(TblMagic[[#This Row],[Active Ares Call]]&gt;0,ares_call_bonus))</f>
        <v>0</v>
      </c>
      <c r="V35" s="249">
        <f ca="1">TblMili[[#This Row],[Non Draft]] * (1 + TblMili[[#This Row],[Mods_Def]])</f>
        <v>0</v>
      </c>
      <c r="W35" s="247">
        <f ca="1">TblMili[[#This Row],[Draft]] * (1 + TblMili[[#This Row],[Mods_Def]])</f>
        <v>426</v>
      </c>
      <c r="X35" s="247">
        <f ca="1">TblConstr[[#This Row],[Land]]</f>
        <v>50</v>
      </c>
      <c r="Y35" s="250"/>
      <c r="Z35" s="255">
        <f ca="1">IF(TblMili[[#This Row],[Set]]&lt;&gt;"",TblMili[[#This Row],[Set]],OFFSET(TblMili[[#This Row],[Draftrate]],-1,0))</f>
        <v>0.9</v>
      </c>
      <c r="AA35"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426</v>
      </c>
      <c r="AB35" s="154"/>
      <c r="AC35" s="180">
        <f ca="1">(TblConstr[[#This Row],[Tot Smi]]+TblConstr[[#This Row],[Dest Smi]])/(TblConstr[[#This Row],[Land]]-TblExplore[[#This Row],[Land Bonus]]*20)</f>
        <v>0</v>
      </c>
      <c r="AD35" s="137"/>
      <c r="AE35" s="246">
        <f>TblMili[[#This Row],[Hour]]</f>
        <v>32</v>
      </c>
      <c r="AF35" s="138">
        <f ca="1">TblExplore[[#This Row],[Time]]</f>
        <v>46321.291666666591</v>
      </c>
      <c r="AG35" s="179"/>
      <c r="AH35" s="179"/>
      <c r="AI35" s="179"/>
      <c r="AJ35" s="179"/>
      <c r="AK35" s="179"/>
      <c r="AL35" s="179"/>
      <c r="AM35" s="179"/>
      <c r="AN35" s="179"/>
      <c r="AO35" s="420">
        <f ca="1">ROUND(IF(AND(TblMagic[[#This Row],[Active DnD]]&lt;12,TblMagic[[#This Row],[Active DnD]]&gt;5),OFFSET(TblPop[[#This Row],[Draft Growth]],-1,0)*0.375,0),0)</f>
        <v>0</v>
      </c>
      <c r="AP35" s="142"/>
      <c r="AQ35" s="94">
        <f ca="1">TblProd[[#This Row],[Platinum]]</f>
        <v>153913</v>
      </c>
      <c r="AR35" s="94">
        <f ca="1">INDEX(TblProd[[#Headers],[Lumber]]:TblProd[[#This Row],[Ore]],COUNTA(TblProd[[#Headers],[Lumber]]:TblProd[[#This Row],[Lumber]]),MATCH(Military!$AR$2,TblProd[[#Headers],[Lumber]:[Ore]],0))</f>
        <v>0</v>
      </c>
      <c r="AS3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35" s="94">
        <f ca="1">TblMili[[#This Row],[Train Unit 1]]*TblMili[[#This Row],[OP Ore]]+TblMili[[#This Row],[Train Unit 2]]*TblMili[[#This Row],[DP Ore]]+TblMili[[#This Row],[Train Unit 3]]*TblMili[[#This Row],[E1 Ore]]+TblMili[[#This Row],[Train Unit 4]]*TblMili[[#This Row],[E2 Ore]]</f>
        <v>0</v>
      </c>
      <c r="AU35" s="142">
        <f>TblMili[[#This Row],[Hour]]</f>
        <v>32</v>
      </c>
      <c r="AV35" s="152">
        <f ca="1">TblMili[[#This Row],[Time]]</f>
        <v>46321.291666666591</v>
      </c>
      <c r="AW35" s="94">
        <f ca="1">TblMili[[#This Row],[Draftees]]</f>
        <v>426</v>
      </c>
      <c r="AX35" s="179"/>
      <c r="AY35" s="179"/>
      <c r="AZ35" s="179"/>
      <c r="BA35" s="179"/>
      <c r="BB35" s="179"/>
      <c r="BC35" s="179"/>
      <c r="BD35" s="179"/>
      <c r="BE35" s="179"/>
      <c r="BF35" s="179"/>
      <c r="BG35" s="142"/>
      <c r="BH35" s="157">
        <f ca="1">TblConstr[[#This Row],[Tot WG]]/TblConstr[[#This Row],[Land]]</f>
        <v>0</v>
      </c>
      <c r="BI35" s="157">
        <f ca="1">TblConstr[[#This Row],[Tot Hav]]/TblConstr[[#This Row],[Land]]</f>
        <v>0</v>
      </c>
      <c r="BJ35" s="94">
        <f ca="1">ROUNDUP((1-MIN(TblMili[[#This Row],[Smithies]]*smithy_bonus,smithy_bonus_cap) + tech_3_5*TblTech[[#This Row],[3-5]] + tech_5_3*TblTech[[#This Row],[5-3]] + tech_5_5*TblTech[[#This Row],[5-5]])*spec_op_plat,0)</f>
        <v>315</v>
      </c>
      <c r="BK35" s="94">
        <f ca="1">ROUNDUP(IF(race="Gnome",1,(1-MIN(TblMili[[#This Row],[Smithies]]*smithy_bonus,smithy_bonus_cap) + tech_3_5*TblTech[[#This Row],[3-5]] + tech_5_3*TblTech[[#This Row],[5-3]] + tech_5_5*TblTech[[#This Row],[5-5]]))*spec_op_ore,0)</f>
        <v>25</v>
      </c>
      <c r="BL35" s="94">
        <f ca="1">ROUNDUP((1-MIN(TblMili[[#This Row],[Smithies]]*smithy_bonus,smithy_bonus_cap) + tech_3_5*TblTech[[#This Row],[3-5]] + tech_5_3*TblTech[[#This Row],[5-3]] + tech_5_5*TblTech[[#This Row],[5-5]])*spec_dp_plat,0)</f>
        <v>275</v>
      </c>
      <c r="BM35" s="94">
        <f ca="1">ROUNDUP(IF(race="Gnome",1,(1-MIN(TblMili[[#This Row],[Smithies]]*smithy_bonus,smithy_bonus_cap) + tech_3_5*TblTech[[#This Row],[3-5]] + tech_5_3*TblTech[[#This Row],[5-3]] + tech_5_5*TblTech[[#This Row],[5-5]]))*spec_dp_ore,0)</f>
        <v>15</v>
      </c>
      <c r="BN35" s="94">
        <f ca="1">ROUNDUP((1-MIN(TblMili[[#This Row],[Smithies]]*smithy_bonus,smithy_bonus_cap) + tech_3_5*TblTech[[#This Row],[3-5]] + tech_5_3*TblTech[[#This Row],[5-3]] + tech_5_5*TblTech[[#This Row],[5-5]])*elite1_plat,0)</f>
        <v>1040</v>
      </c>
      <c r="BO35" s="94">
        <f ca="1">ROUNDUP(IF(race="Gnome",1,(1-MIN(TblMili[[#This Row],[Smithies]]*smithy_bonus,smithy_bonus_cap) + tech_3_5*TblTech[[#This Row],[3-5]] + tech_5_3*TblTech[[#This Row],[5-3]] + tech_5_5*TblTech[[#This Row],[5-5]]))*elite1_ore,0)</f>
        <v>75</v>
      </c>
      <c r="BP35" s="94">
        <f ca="1">ROUNDUP((1-MIN(TblMili[[#This Row],[Smithies]]*smithy_bonus,smithy_bonus_cap) + tech_3_5*TblTech[[#This Row],[3-5]] + tech_5_3*TblTech[[#This Row],[5-3]] + tech_5_5*TblTech[[#This Row],[5-5]])*elite2_plat,0)</f>
        <v>1280</v>
      </c>
      <c r="BQ35" s="94">
        <f ca="1">ROUNDUP(IF(race="Gnome",1,(1-MIN(TblMili[[#This Row],[Smithies]]*smithy_bonus,smithy_bonus_cap) + tech_3_5*TblTech[[#This Row],[3-5]] + tech_5_3*TblTech[[#This Row],[5-3]] + tech_5_5*TblTech[[#This Row],[5-5]]))*elite2_ore,0)</f>
        <v>100</v>
      </c>
      <c r="BR35" s="94">
        <f ca="1">ROUNDUP((1-MIN(ROUND(fh_spy_cost_red*TblMili[[#This Row],[FH''s]],4),fh_spy_cost_cap)+ tech_1_9*TblTech[[#This Row],[1-9]] + tech_9_1*TblTech[[#This Row],[9-1]])*spy_plat,0)</f>
        <v>500</v>
      </c>
      <c r="BS35" s="94">
        <f ca="1">ROUNDUP((1-MIN(ROUND(fh_spy_cost_red*TblMili[[#This Row],[FH''s]],4),fh_spy_cost_cap)+ tech_1_9*TblTech[[#This Row],[1-9]] + tech_9_1*TblTech[[#This Row],[9-1]])*archspy_plat,0)</f>
        <v>1000</v>
      </c>
      <c r="BT35" s="94">
        <f ca="1">ROUNDUP((1-MIN(ROUND(wg_wiz_cost_bonus*TblMili[[#This Row],[WG''s]],4),wg_wiz_cost_cap) + tech_1_9_2*TblTech[[#This Row],[1-9]] + tech_9_1_2*TblTech[[#This Row],[9-1]])*wizard_plat,0)</f>
        <v>500</v>
      </c>
      <c r="BU35" s="94">
        <f ca="1">ROUNDUP((1-MIN(ROUND(wg_wiz_cost_bonus*TblMili[[#This Row],[WG''s]],4),wg_wiz_cost_cap) + tech_1_9_2*TblTech[[#This Row],[1-9]] + tech_9_1_2*TblTech[[#This Row],[9-1]])*(archmage_plat + IF(TblMagic[[#This Row],[Active Arc Infusion]]&gt;0,400,0)),0)</f>
        <v>1000</v>
      </c>
      <c r="BV35" s="142"/>
      <c r="BW35" s="157">
        <f ca="1">TblConstr[[#This Row],[Homeland]]/TblConstr[[#This Row],[Land]]</f>
        <v>0.6</v>
      </c>
      <c r="BX35" s="157">
        <f ca="1">TblMili[[#This Row],[WG''s]]</f>
        <v>0</v>
      </c>
      <c r="BY35" s="251">
        <f ca="1">IF(mystic_cap="none",TblMili[[#This Row],[Homeland%]]/mystic_bonus,MIN(mystic_cap,TblMili[[#This Row],[Homeland%]]/mystic_bonus))</f>
        <v>2</v>
      </c>
      <c r="BZ35" s="251">
        <f ca="1">IF(druid_op_cap="none",TblMili[[#This Row],[Homeland%]]/druid_op_bonus,MIN(druid_op_cap,TblMili[[#This Row],[Homeland%]]/druid_op_bonus))</f>
        <v>2</v>
      </c>
      <c r="CA35" s="251">
        <f ca="1">IF(druid_dp_cap="none",TblMili[[#This Row],[Homeland%]]/druid_dp_bonus,MIN(druid_dp_cap,TblMili[[#This Row],[Homeland%]]/druid_dp_bonus))</f>
        <v>2</v>
      </c>
      <c r="CB35" s="251">
        <f ca="1">MIN(dryad_cap,TblMili[[#This Row],[Homeland%]]/dryad_bonus)</f>
        <v>2.9999999999999996</v>
      </c>
      <c r="CC35" s="251">
        <f ca="1">MIN(rocka_cap,TblMili[[#This Row],[Homeland%]]/rocka_bonus)</f>
        <v>2</v>
      </c>
      <c r="CD35" s="251">
        <f ca="1">MIN(adept_op_cap,TblMili[[#This Row],[WG]]/adept_op_bonus)</f>
        <v>0</v>
      </c>
      <c r="CE35" s="251">
        <f ca="1">MIN(adept_dp_cap,TblMili[[#This Row],[WG]]/adept_dp_bonus)</f>
        <v>0</v>
      </c>
      <c r="CF35" s="94">
        <f ca="1">MIN(TblMili[[#This Row],[Unit 3]],TblMili[[#This Row],[Unit 2]])*2</f>
        <v>0</v>
      </c>
      <c r="CG35" s="94">
        <f ca="1">MIN(TblMili[[#This Row],[Unit 1]],TblMili[[#This Row],[Unit 4]])*2</f>
        <v>0</v>
      </c>
      <c r="CH35" s="251">
        <f ca="1">MIN(frost_mage_cap,TblMili[[#This Row],[Homeland%]]/frost_mage_bonus)</f>
        <v>2.9999999999999996</v>
      </c>
      <c r="CI35" s="45">
        <f ca="1">MIN(ice_elem_cap,TblMili[[#This Row],[Raw (2)]]*ice_elem_bonus)</f>
        <v>0</v>
      </c>
      <c r="CJ35" s="251">
        <f t="shared" si="0"/>
        <v>0.83333333333333337</v>
      </c>
      <c r="CK35" s="251">
        <f ca="1">MIN(nox_nightshade_cap,TblConstr[[#This Row],[Homeland]]/TblConstr[[#This Row],[Land]]/nox_nightshade_swamp_bonus)</f>
        <v>4</v>
      </c>
      <c r="CL35" s="251">
        <f ca="1">MIN(TblConstr[[#This Row],[Total Swamp]]/TblConstr[[#This Row],[Land]]/abyss_enforce_bonus,abyss_enforcer_cap)</f>
        <v>0</v>
      </c>
      <c r="CM35" s="251">
        <f ca="1">IF(TblMagic[[#This Row],[Active Infernal Command]]&gt;0,TblMili[[#This Row],[Unit 1]]*infernal_cmd_op,0)</f>
        <v>0</v>
      </c>
      <c r="CN35" s="252"/>
      <c r="CO35" s="252"/>
      <c r="CP35" s="252"/>
      <c r="CQ35" s="251">
        <f ca="1">TblMili[[#This Row],[Mystic]]*2</f>
        <v>4</v>
      </c>
      <c r="CR35" s="251">
        <f ca="1">TblMili[[#This Row],[Druid (op)]]*2</f>
        <v>4</v>
      </c>
      <c r="CS35" s="94">
        <f ca="1">TblMili[[#This Row],[Mystic bonus]]*TblMili[[#This Row],[Unit 3]]+TblMili[[#This Row],[Druid bonus]]*TblMili[[#This Row],[Unit 4]]</f>
        <v>0</v>
      </c>
      <c r="CT35" s="155">
        <f ca="1">TblMili[[#This Row],[Dryad]]*2</f>
        <v>5.9999999999999991</v>
      </c>
      <c r="CU35" s="94">
        <f ca="1">sylvan*(TblMili[[#This Row],[Mystic bonus]]*TblMili[[#This Row],[Unit 3]])</f>
        <v>0</v>
      </c>
      <c r="CV35" s="155">
        <f ca="1">TblMili[[#This Row],[Rockapult]]*2</f>
        <v>4</v>
      </c>
      <c r="CW35" s="94">
        <f ca="1">gnome*(TblMili[[#This Row],[Rockapult bonus]]*TblMili[[#This Row],[Unit 3]])</f>
        <v>0</v>
      </c>
      <c r="CX35" s="155">
        <f ca="1">TblMili[[#This Row],[Adept-DP]]*2</f>
        <v>0</v>
      </c>
      <c r="CY35" s="94">
        <f ca="1">dark_elf*(TblMili[[#This Row],[Adept bonus]]*TblMili[[#This Row],[Unit 3]])</f>
        <v>0</v>
      </c>
      <c r="CZ35" s="155">
        <f ca="1">TblMili[[#This Row],[Frost Mage]]*2</f>
        <v>5.9999999999999991</v>
      </c>
      <c r="DA35" s="155">
        <f ca="1">TblMili[[#This Row],[Ice Elemental]]*2</f>
        <v>0</v>
      </c>
      <c r="DB35" s="94">
        <f ca="1">TblMili[[#This Row],[Frost Mage bonus]]*TblMili[[#This Row],[Unit 3]]+TblMili[[#This Row],[Ice Elemental bonus]]*TblMili[[#This Row],[Unit 4]]</f>
        <v>0</v>
      </c>
      <c r="DC35" s="253"/>
      <c r="DD35" s="143">
        <f ca="1">MIN(SUM(TblConstr[[#This Row],[Plain]:[Water]])/TblMili[[#This Row],[Land]]/favorable_terrain_bonus/100,favorable_terrain_max)</f>
        <v>0</v>
      </c>
      <c r="DE35" s="253"/>
      <c r="DF3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5" s="142"/>
      <c r="DH35" s="254">
        <f ca="1">(TblMili[[#This Row],[Wizards]]+2*TblMili[[#This Row],[Archmages]])/TblConstr[[#This Row],[Land]]</f>
        <v>0</v>
      </c>
      <c r="DI35" s="254">
        <f ca="1">TblMili[[#This Row],[Raw (2)]]*(1+race_wizard_strength+IF(TblMili[[#This Row],[Hour]]&gt;72,tech_magical_weaponry_wiz*TblTech[[#This Row],[3-5]],0))</f>
        <v>0</v>
      </c>
    </row>
    <row r="36" spans="1:113" x14ac:dyDescent="0.2">
      <c r="A36" s="137">
        <f>TblRezone[[#This Row],[Hour]]</f>
        <v>33</v>
      </c>
      <c r="B36" s="246">
        <f ca="1">SUM(TblMili[[#This Row],[Unit 1]:[Archmages]])+SUM(OFFSET(TblMili[[#This Row],[Train Unit 1]],-8,0):TblMili[[#This Row],[Train Unit 2]]) + SUM(OFFSET(TblMili[[#This Row],[Train Unit 3]],-11,0):TblMili[[#This Row],[Train AM]]) + TblMili[[#This Row],[Draftees]]</f>
        <v>429</v>
      </c>
      <c r="C36" s="157">
        <f ca="1">TblPop[[#This Row],[Military%]]</f>
        <v>0.55786736020806238</v>
      </c>
      <c r="D36" s="142"/>
      <c r="E36" s="45">
        <f ca="1">OFFSET(TblMili[[#This Row],[Unit 1]],-1,0) + OFFSET(TblMili[[#This Row],[Train Unit 1]],-9,0) - TblMili[[#This Row],[Release Unit 1]] + OFFSET(TblMili[[#This Row],[DnD_Zombies]],-12,0)</f>
        <v>0</v>
      </c>
      <c r="F36" s="45">
        <f ca="1">OFFSET(TblMili[[#This Row],[Unit 2]],-1,0) + OFFSET(TblMili[[#This Row],[Train Unit 2]],-9,0)-TblMili[[#This Row],[Release Unit 2]]</f>
        <v>0</v>
      </c>
      <c r="G36" s="45">
        <f ca="1">OFFSET(TblMili[[#This Row],[Unit 3]],-1,0) + OFFSET(TblMili[[#This Row],[Train Unit 3]],-12,0)-TblMili[[#This Row],[Release Unit 3]]</f>
        <v>0</v>
      </c>
      <c r="H36" s="45">
        <f ca="1">OFFSET(TblMili[[#This Row],[Unit 4]],-1,0) + OFFSET(TblMili[[#This Row],[Train Unit 4]],-12,0)-TblMili[[#This Row],[Release Unit 4]]</f>
        <v>0</v>
      </c>
      <c r="I36" s="45">
        <f ca="1">OFFSET(TblMili[[#This Row],[Spies]],-1,0) + OFFSET(TblMili[[#This Row],[Train Spies]],-12,0) - TblMili[[#This Row],[Release Spies]]-TblMili[[#This Row],[Train AS]]</f>
        <v>0</v>
      </c>
      <c r="J36" s="45">
        <f ca="1">OFFSET(TblMili[[#This Row],[Archspies]],-1,0) + OFFSET(TblMili[[#This Row],[Train AS]],-12,0) - TblMili[[#This Row],[Release AS]]</f>
        <v>0</v>
      </c>
      <c r="K36" s="45">
        <f ca="1">OFFSET(TblMili[[#This Row],[Wizards]],-1,0) + OFFSET(TblMili[[#This Row],[Train Wiz]],-12,0) - TblMili[[#This Row],[Release Wizards]]-TblMili[[#This Row],[Train AM]] + IF(TblMagic[[#This Row],[Active Arc Infusion]]&gt;0,TblMili[[#This Row],[Train AM]])</f>
        <v>0</v>
      </c>
      <c r="L36" s="45">
        <f ca="1">OFFSET(TblMili[[#This Row],[Archmages]],-1,0) + OFFSET(TblMili[[#This Row],[Train AM]],-12,0) - TblMili[[#This Row],[Release AM]]</f>
        <v>0</v>
      </c>
      <c r="M36" s="142"/>
      <c r="N36" s="94">
        <f ca="1">TblProd[[#This Row],[Networth]]</f>
        <v>1250</v>
      </c>
      <c r="O36" s="142"/>
      <c r="P36"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3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6" s="247">
        <f ca="1">TblMili[[#This Row],[Raw]]*(1+TblMili[[#This Row],[Mods_Off]])</f>
        <v>0</v>
      </c>
      <c r="S36"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36" s="247">
        <f ca="1">TblMili[[#This Row],[Non Draft]]+TblMili[[#This Row],[Draftees]]</f>
        <v>429</v>
      </c>
      <c r="U36" s="248">
        <f ca="1">race_defense + TblImps[[#This Row],[Walls]] + ROUND( MIN(gt_bonus*TblConstr[[#This Row],[Tot GT]]/TblConstr[[#This Row],[Land]],gt_bonus_cap), 4) + IF(TblMagic[[#This Row],[Active Howling]]&gt;0,howling_dp_bonus,IF(TblMagic[[#This Row],[Active Ares Call]]&gt;0,ares_call_bonus))</f>
        <v>0</v>
      </c>
      <c r="V36" s="249">
        <f ca="1">TblMili[[#This Row],[Non Draft]] * (1 + TblMili[[#This Row],[Mods_Def]])</f>
        <v>0</v>
      </c>
      <c r="W36" s="247">
        <f ca="1">TblMili[[#This Row],[Draft]] * (1 + TblMili[[#This Row],[Mods_Def]])</f>
        <v>429</v>
      </c>
      <c r="X36" s="247">
        <f ca="1">TblConstr[[#This Row],[Land]]</f>
        <v>50</v>
      </c>
      <c r="Y36" s="250"/>
      <c r="Z36" s="255">
        <f ca="1">IF(TblMili[[#This Row],[Set]]&lt;&gt;"",TblMili[[#This Row],[Set]],OFFSET(TblMili[[#This Row],[Draftrate]],-1,0))</f>
        <v>0.9</v>
      </c>
      <c r="AA36"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429</v>
      </c>
      <c r="AB36" s="154"/>
      <c r="AC36" s="180">
        <f ca="1">(TblConstr[[#This Row],[Tot Smi]]+TblConstr[[#This Row],[Dest Smi]])/(TblConstr[[#This Row],[Land]]-TblExplore[[#This Row],[Land Bonus]]*20)</f>
        <v>0</v>
      </c>
      <c r="AD36" s="137"/>
      <c r="AE36" s="246">
        <f>TblMili[[#This Row],[Hour]]</f>
        <v>33</v>
      </c>
      <c r="AF36" s="138">
        <f ca="1">TblExplore[[#This Row],[Time]]</f>
        <v>46321.333333333256</v>
      </c>
      <c r="AG36" s="179"/>
      <c r="AH36" s="179"/>
      <c r="AI36" s="179"/>
      <c r="AJ36" s="179"/>
      <c r="AK36" s="179"/>
      <c r="AL36" s="179"/>
      <c r="AM36" s="179"/>
      <c r="AN36" s="179"/>
      <c r="AO36" s="420">
        <f ca="1">ROUND(IF(AND(TblMagic[[#This Row],[Active DnD]]&lt;12,TblMagic[[#This Row],[Active DnD]]&gt;5),OFFSET(TblPop[[#This Row],[Draft Growth]],-1,0)*0.375,0),0)</f>
        <v>0</v>
      </c>
      <c r="AP36" s="142"/>
      <c r="AQ36" s="94">
        <f ca="1">TblProd[[#This Row],[Platinum]]</f>
        <v>154839</v>
      </c>
      <c r="AR36" s="94">
        <f ca="1">INDEX(TblProd[[#Headers],[Lumber]]:TblProd[[#This Row],[Ore]],COUNTA(TblProd[[#Headers],[Lumber]]:TblProd[[#This Row],[Lumber]]),MATCH(Military!$AR$2,TblProd[[#Headers],[Lumber]:[Ore]],0))</f>
        <v>0</v>
      </c>
      <c r="AS3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36" s="94">
        <f ca="1">TblMili[[#This Row],[Train Unit 1]]*TblMili[[#This Row],[OP Ore]]+TblMili[[#This Row],[Train Unit 2]]*TblMili[[#This Row],[DP Ore]]+TblMili[[#This Row],[Train Unit 3]]*TblMili[[#This Row],[E1 Ore]]+TblMili[[#This Row],[Train Unit 4]]*TblMili[[#This Row],[E2 Ore]]</f>
        <v>0</v>
      </c>
      <c r="AU36" s="142">
        <f>TblMili[[#This Row],[Hour]]</f>
        <v>33</v>
      </c>
      <c r="AV36" s="152">
        <f ca="1">TblMili[[#This Row],[Time]]</f>
        <v>46321.333333333256</v>
      </c>
      <c r="AW36" s="94">
        <f ca="1">TblMili[[#This Row],[Draftees]]</f>
        <v>429</v>
      </c>
      <c r="AX36" s="179"/>
      <c r="AY36" s="179"/>
      <c r="AZ36" s="179"/>
      <c r="BA36" s="179"/>
      <c r="BB36" s="179"/>
      <c r="BC36" s="179"/>
      <c r="BD36" s="179"/>
      <c r="BE36" s="179"/>
      <c r="BF36" s="179"/>
      <c r="BG36" s="142"/>
      <c r="BH36" s="157">
        <f ca="1">TblConstr[[#This Row],[Tot WG]]/TblConstr[[#This Row],[Land]]</f>
        <v>0</v>
      </c>
      <c r="BI36" s="157">
        <f ca="1">TblConstr[[#This Row],[Tot Hav]]/TblConstr[[#This Row],[Land]]</f>
        <v>0</v>
      </c>
      <c r="BJ36" s="94">
        <f ca="1">ROUNDUP((1-MIN(TblMili[[#This Row],[Smithies]]*smithy_bonus,smithy_bonus_cap) + tech_3_5*TblTech[[#This Row],[3-5]] + tech_5_3*TblTech[[#This Row],[5-3]] + tech_5_5*TblTech[[#This Row],[5-5]])*spec_op_plat,0)</f>
        <v>315</v>
      </c>
      <c r="BK36" s="94">
        <f ca="1">ROUNDUP(IF(race="Gnome",1,(1-MIN(TblMili[[#This Row],[Smithies]]*smithy_bonus,smithy_bonus_cap) + tech_3_5*TblTech[[#This Row],[3-5]] + tech_5_3*TblTech[[#This Row],[5-3]] + tech_5_5*TblTech[[#This Row],[5-5]]))*spec_op_ore,0)</f>
        <v>25</v>
      </c>
      <c r="BL36" s="94">
        <f ca="1">ROUNDUP((1-MIN(TblMili[[#This Row],[Smithies]]*smithy_bonus,smithy_bonus_cap) + tech_3_5*TblTech[[#This Row],[3-5]] + tech_5_3*TblTech[[#This Row],[5-3]] + tech_5_5*TblTech[[#This Row],[5-5]])*spec_dp_plat,0)</f>
        <v>275</v>
      </c>
      <c r="BM36" s="94">
        <f ca="1">ROUNDUP(IF(race="Gnome",1,(1-MIN(TblMili[[#This Row],[Smithies]]*smithy_bonus,smithy_bonus_cap) + tech_3_5*TblTech[[#This Row],[3-5]] + tech_5_3*TblTech[[#This Row],[5-3]] + tech_5_5*TblTech[[#This Row],[5-5]]))*spec_dp_ore,0)</f>
        <v>15</v>
      </c>
      <c r="BN36" s="94">
        <f ca="1">ROUNDUP((1-MIN(TblMili[[#This Row],[Smithies]]*smithy_bonus,smithy_bonus_cap) + tech_3_5*TblTech[[#This Row],[3-5]] + tech_5_3*TblTech[[#This Row],[5-3]] + tech_5_5*TblTech[[#This Row],[5-5]])*elite1_plat,0)</f>
        <v>1040</v>
      </c>
      <c r="BO36" s="94">
        <f ca="1">ROUNDUP(IF(race="Gnome",1,(1-MIN(TblMili[[#This Row],[Smithies]]*smithy_bonus,smithy_bonus_cap) + tech_3_5*TblTech[[#This Row],[3-5]] + tech_5_3*TblTech[[#This Row],[5-3]] + tech_5_5*TblTech[[#This Row],[5-5]]))*elite1_ore,0)</f>
        <v>75</v>
      </c>
      <c r="BP36" s="94">
        <f ca="1">ROUNDUP((1-MIN(TblMili[[#This Row],[Smithies]]*smithy_bonus,smithy_bonus_cap) + tech_3_5*TblTech[[#This Row],[3-5]] + tech_5_3*TblTech[[#This Row],[5-3]] + tech_5_5*TblTech[[#This Row],[5-5]])*elite2_plat,0)</f>
        <v>1280</v>
      </c>
      <c r="BQ36" s="94">
        <f ca="1">ROUNDUP(IF(race="Gnome",1,(1-MIN(TblMili[[#This Row],[Smithies]]*smithy_bonus,smithy_bonus_cap) + tech_3_5*TblTech[[#This Row],[3-5]] + tech_5_3*TblTech[[#This Row],[5-3]] + tech_5_5*TblTech[[#This Row],[5-5]]))*elite2_ore,0)</f>
        <v>100</v>
      </c>
      <c r="BR36" s="94">
        <f ca="1">ROUNDUP((1-MIN(ROUND(fh_spy_cost_red*TblMili[[#This Row],[FH''s]],4),fh_spy_cost_cap)+ tech_1_9*TblTech[[#This Row],[1-9]] + tech_9_1*TblTech[[#This Row],[9-1]])*spy_plat,0)</f>
        <v>500</v>
      </c>
      <c r="BS36" s="94">
        <f ca="1">ROUNDUP((1-MIN(ROUND(fh_spy_cost_red*TblMili[[#This Row],[FH''s]],4),fh_spy_cost_cap)+ tech_1_9*TblTech[[#This Row],[1-9]] + tech_9_1*TblTech[[#This Row],[9-1]])*archspy_plat,0)</f>
        <v>1000</v>
      </c>
      <c r="BT36" s="94">
        <f ca="1">ROUNDUP((1-MIN(ROUND(wg_wiz_cost_bonus*TblMili[[#This Row],[WG''s]],4),wg_wiz_cost_cap) + tech_1_9_2*TblTech[[#This Row],[1-9]] + tech_9_1_2*TblTech[[#This Row],[9-1]])*wizard_plat,0)</f>
        <v>500</v>
      </c>
      <c r="BU36" s="94">
        <f ca="1">ROUNDUP((1-MIN(ROUND(wg_wiz_cost_bonus*TblMili[[#This Row],[WG''s]],4),wg_wiz_cost_cap) + tech_1_9_2*TblTech[[#This Row],[1-9]] + tech_9_1_2*TblTech[[#This Row],[9-1]])*(archmage_plat + IF(TblMagic[[#This Row],[Active Arc Infusion]]&gt;0,400,0)),0)</f>
        <v>1000</v>
      </c>
      <c r="BV36" s="142"/>
      <c r="BW36" s="157">
        <f ca="1">TblConstr[[#This Row],[Homeland]]/TblConstr[[#This Row],[Land]]</f>
        <v>0.6</v>
      </c>
      <c r="BX36" s="157">
        <f ca="1">TblMili[[#This Row],[WG''s]]</f>
        <v>0</v>
      </c>
      <c r="BY36" s="251">
        <f ca="1">IF(mystic_cap="none",TblMili[[#This Row],[Homeland%]]/mystic_bonus,MIN(mystic_cap,TblMili[[#This Row],[Homeland%]]/mystic_bonus))</f>
        <v>2</v>
      </c>
      <c r="BZ36" s="251">
        <f ca="1">IF(druid_op_cap="none",TblMili[[#This Row],[Homeland%]]/druid_op_bonus,MIN(druid_op_cap,TblMili[[#This Row],[Homeland%]]/druid_op_bonus))</f>
        <v>2</v>
      </c>
      <c r="CA36" s="251">
        <f ca="1">IF(druid_dp_cap="none",TblMili[[#This Row],[Homeland%]]/druid_dp_bonus,MIN(druid_dp_cap,TblMili[[#This Row],[Homeland%]]/druid_dp_bonus))</f>
        <v>2</v>
      </c>
      <c r="CB36" s="251">
        <f ca="1">MIN(dryad_cap,TblMili[[#This Row],[Homeland%]]/dryad_bonus)</f>
        <v>2.9999999999999996</v>
      </c>
      <c r="CC36" s="251">
        <f ca="1">MIN(rocka_cap,TblMili[[#This Row],[Homeland%]]/rocka_bonus)</f>
        <v>2</v>
      </c>
      <c r="CD36" s="251">
        <f ca="1">MIN(adept_op_cap,TblMili[[#This Row],[WG]]/adept_op_bonus)</f>
        <v>0</v>
      </c>
      <c r="CE36" s="251">
        <f ca="1">MIN(adept_dp_cap,TblMili[[#This Row],[WG]]/adept_dp_bonus)</f>
        <v>0</v>
      </c>
      <c r="CF36" s="94">
        <f ca="1">MIN(TblMili[[#This Row],[Unit 3]],TblMili[[#This Row],[Unit 2]])*2</f>
        <v>0</v>
      </c>
      <c r="CG36" s="94">
        <f ca="1">MIN(TblMili[[#This Row],[Unit 1]],TblMili[[#This Row],[Unit 4]])*2</f>
        <v>0</v>
      </c>
      <c r="CH36" s="251">
        <f ca="1">MIN(frost_mage_cap,TblMili[[#This Row],[Homeland%]]/frost_mage_bonus)</f>
        <v>2.9999999999999996</v>
      </c>
      <c r="CI36" s="45">
        <f ca="1">MIN(ice_elem_cap,TblMili[[#This Row],[Raw (2)]]*ice_elem_bonus)</f>
        <v>0</v>
      </c>
      <c r="CJ36" s="251">
        <f t="shared" ref="CJ36:CJ67" si="2">MIN(bone_breaker_cap,250/bone_breaker_bonus)</f>
        <v>0.83333333333333337</v>
      </c>
      <c r="CK36" s="251">
        <f ca="1">MIN(nox_nightshade_cap,TblConstr[[#This Row],[Homeland]]/TblConstr[[#This Row],[Land]]/nox_nightshade_swamp_bonus)</f>
        <v>4</v>
      </c>
      <c r="CL36" s="251">
        <f ca="1">MIN(TblConstr[[#This Row],[Total Swamp]]/TblConstr[[#This Row],[Land]]/abyss_enforce_bonus,abyss_enforcer_cap)</f>
        <v>0</v>
      </c>
      <c r="CM36" s="251">
        <f ca="1">IF(TblMagic[[#This Row],[Active Infernal Command]]&gt;0,TblMili[[#This Row],[Unit 1]]*infernal_cmd_op,0)</f>
        <v>0</v>
      </c>
      <c r="CN36" s="252"/>
      <c r="CO36" s="252"/>
      <c r="CP36" s="252"/>
      <c r="CQ36" s="251">
        <f ca="1">TblMili[[#This Row],[Mystic]]*2</f>
        <v>4</v>
      </c>
      <c r="CR36" s="251">
        <f ca="1">TblMili[[#This Row],[Druid (op)]]*2</f>
        <v>4</v>
      </c>
      <c r="CS36" s="94">
        <f ca="1">TblMili[[#This Row],[Mystic bonus]]*TblMili[[#This Row],[Unit 3]]+TblMili[[#This Row],[Druid bonus]]*TblMili[[#This Row],[Unit 4]]</f>
        <v>0</v>
      </c>
      <c r="CT36" s="155">
        <f ca="1">TblMili[[#This Row],[Dryad]]*2</f>
        <v>5.9999999999999991</v>
      </c>
      <c r="CU36" s="94">
        <f ca="1">sylvan*(TblMili[[#This Row],[Mystic bonus]]*TblMili[[#This Row],[Unit 3]])</f>
        <v>0</v>
      </c>
      <c r="CV36" s="155">
        <f ca="1">TblMili[[#This Row],[Rockapult]]*2</f>
        <v>4</v>
      </c>
      <c r="CW36" s="94">
        <f ca="1">gnome*(TblMili[[#This Row],[Rockapult bonus]]*TblMili[[#This Row],[Unit 3]])</f>
        <v>0</v>
      </c>
      <c r="CX36" s="155">
        <f ca="1">TblMili[[#This Row],[Adept-DP]]*2</f>
        <v>0</v>
      </c>
      <c r="CY36" s="94">
        <f ca="1">dark_elf*(TblMili[[#This Row],[Adept bonus]]*TblMili[[#This Row],[Unit 3]])</f>
        <v>0</v>
      </c>
      <c r="CZ36" s="155">
        <f ca="1">TblMili[[#This Row],[Frost Mage]]*2</f>
        <v>5.9999999999999991</v>
      </c>
      <c r="DA36" s="155">
        <f ca="1">TblMili[[#This Row],[Ice Elemental]]*2</f>
        <v>0</v>
      </c>
      <c r="DB36" s="94">
        <f ca="1">TblMili[[#This Row],[Frost Mage bonus]]*TblMili[[#This Row],[Unit 3]]+TblMili[[#This Row],[Ice Elemental bonus]]*TblMili[[#This Row],[Unit 4]]</f>
        <v>0</v>
      </c>
      <c r="DC36" s="253"/>
      <c r="DD36" s="143">
        <f ca="1">MIN(SUM(TblConstr[[#This Row],[Plain]:[Water]])/TblMili[[#This Row],[Land]]/favorable_terrain_bonus/100,favorable_terrain_max)</f>
        <v>0</v>
      </c>
      <c r="DE36" s="253"/>
      <c r="DF3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6" s="142"/>
      <c r="DH36" s="254">
        <f ca="1">(TblMili[[#This Row],[Wizards]]+2*TblMili[[#This Row],[Archmages]])/TblConstr[[#This Row],[Land]]</f>
        <v>0</v>
      </c>
      <c r="DI36" s="254">
        <f ca="1">TblMili[[#This Row],[Raw (2)]]*(1+race_wizard_strength+IF(TblMili[[#This Row],[Hour]]&gt;72,tech_magical_weaponry_wiz*TblTech[[#This Row],[3-5]],0))</f>
        <v>0</v>
      </c>
    </row>
    <row r="37" spans="1:113" x14ac:dyDescent="0.2">
      <c r="A37" s="137">
        <f>TblRezone[[#This Row],[Hour]]</f>
        <v>34</v>
      </c>
      <c r="B37" s="246">
        <f ca="1">SUM(TblMili[[#This Row],[Unit 1]:[Archmages]])+SUM(OFFSET(TblMili[[#This Row],[Train Unit 1]],-8,0):TblMili[[#This Row],[Train Unit 2]]) + SUM(OFFSET(TblMili[[#This Row],[Train Unit 3]],-11,0):TblMili[[#This Row],[Train AM]]) + TblMili[[#This Row],[Draftees]]</f>
        <v>432</v>
      </c>
      <c r="C37" s="157">
        <f ca="1">TblPop[[#This Row],[Military%]]</f>
        <v>0.56176853055916776</v>
      </c>
      <c r="D37" s="142"/>
      <c r="E37" s="45">
        <f ca="1">OFFSET(TblMili[[#This Row],[Unit 1]],-1,0) + OFFSET(TblMili[[#This Row],[Train Unit 1]],-9,0) - TblMili[[#This Row],[Release Unit 1]] + OFFSET(TblMili[[#This Row],[DnD_Zombies]],-12,0)</f>
        <v>0</v>
      </c>
      <c r="F37" s="45">
        <f ca="1">OFFSET(TblMili[[#This Row],[Unit 2]],-1,0) + OFFSET(TblMili[[#This Row],[Train Unit 2]],-9,0)-TblMili[[#This Row],[Release Unit 2]]</f>
        <v>0</v>
      </c>
      <c r="G37" s="45">
        <f ca="1">OFFSET(TblMili[[#This Row],[Unit 3]],-1,0) + OFFSET(TblMili[[#This Row],[Train Unit 3]],-12,0)-TblMili[[#This Row],[Release Unit 3]]</f>
        <v>0</v>
      </c>
      <c r="H37" s="45">
        <f ca="1">OFFSET(TblMili[[#This Row],[Unit 4]],-1,0) + OFFSET(TblMili[[#This Row],[Train Unit 4]],-12,0)-TblMili[[#This Row],[Release Unit 4]]</f>
        <v>0</v>
      </c>
      <c r="I37" s="45">
        <f ca="1">OFFSET(TblMili[[#This Row],[Spies]],-1,0) + OFFSET(TblMili[[#This Row],[Train Spies]],-12,0) - TblMili[[#This Row],[Release Spies]]-TblMili[[#This Row],[Train AS]]</f>
        <v>0</v>
      </c>
      <c r="J37" s="45">
        <f ca="1">OFFSET(TblMili[[#This Row],[Archspies]],-1,0) + OFFSET(TblMili[[#This Row],[Train AS]],-12,0) - TblMili[[#This Row],[Release AS]]</f>
        <v>0</v>
      </c>
      <c r="K37" s="45">
        <f ca="1">OFFSET(TblMili[[#This Row],[Wizards]],-1,0) + OFFSET(TblMili[[#This Row],[Train Wiz]],-12,0) - TblMili[[#This Row],[Release Wizards]]-TblMili[[#This Row],[Train AM]] + IF(TblMagic[[#This Row],[Active Arc Infusion]]&gt;0,TblMili[[#This Row],[Train AM]])</f>
        <v>0</v>
      </c>
      <c r="L37" s="45">
        <f ca="1">OFFSET(TblMili[[#This Row],[Archmages]],-1,0) + OFFSET(TblMili[[#This Row],[Train AM]],-12,0) - TblMili[[#This Row],[Release AM]]</f>
        <v>0</v>
      </c>
      <c r="M37" s="142"/>
      <c r="N37" s="94">
        <f ca="1">TblProd[[#This Row],[Networth]]</f>
        <v>1250</v>
      </c>
      <c r="O37" s="142"/>
      <c r="P37"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3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7" s="247">
        <f ca="1">TblMili[[#This Row],[Raw]]*(1+TblMili[[#This Row],[Mods_Off]])</f>
        <v>0</v>
      </c>
      <c r="S37"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37" s="247">
        <f ca="1">TblMili[[#This Row],[Non Draft]]+TblMili[[#This Row],[Draftees]]</f>
        <v>432</v>
      </c>
      <c r="U37" s="248">
        <f ca="1">race_defense + TblImps[[#This Row],[Walls]] + ROUND( MIN(gt_bonus*TblConstr[[#This Row],[Tot GT]]/TblConstr[[#This Row],[Land]],gt_bonus_cap), 4) + IF(TblMagic[[#This Row],[Active Howling]]&gt;0,howling_dp_bonus,IF(TblMagic[[#This Row],[Active Ares Call]]&gt;0,ares_call_bonus))</f>
        <v>0</v>
      </c>
      <c r="V37" s="249">
        <f ca="1">TblMili[[#This Row],[Non Draft]] * (1 + TblMili[[#This Row],[Mods_Def]])</f>
        <v>0</v>
      </c>
      <c r="W37" s="247">
        <f ca="1">TblMili[[#This Row],[Draft]] * (1 + TblMili[[#This Row],[Mods_Def]])</f>
        <v>432</v>
      </c>
      <c r="X37" s="247">
        <f ca="1">TblConstr[[#This Row],[Land]]</f>
        <v>50</v>
      </c>
      <c r="Y37" s="250"/>
      <c r="Z37" s="255">
        <f ca="1">IF(TblMili[[#This Row],[Set]]&lt;&gt;"",TblMili[[#This Row],[Set]],OFFSET(TblMili[[#This Row],[Draftrate]],-1,0))</f>
        <v>0.9</v>
      </c>
      <c r="AA37"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432</v>
      </c>
      <c r="AB37" s="154"/>
      <c r="AC37" s="180">
        <f ca="1">(TblConstr[[#This Row],[Tot Smi]]+TblConstr[[#This Row],[Dest Smi]])/(TblConstr[[#This Row],[Land]]-TblExplore[[#This Row],[Land Bonus]]*20)</f>
        <v>0</v>
      </c>
      <c r="AD37" s="137"/>
      <c r="AE37" s="246">
        <f>TblMili[[#This Row],[Hour]]</f>
        <v>34</v>
      </c>
      <c r="AF37" s="138">
        <f ca="1">TblExplore[[#This Row],[Time]]</f>
        <v>46321.37499999992</v>
      </c>
      <c r="AG37" s="179"/>
      <c r="AH37" s="179"/>
      <c r="AI37" s="179"/>
      <c r="AJ37" s="179"/>
      <c r="AK37" s="179"/>
      <c r="AL37" s="179"/>
      <c r="AM37" s="179"/>
      <c r="AN37" s="179"/>
      <c r="AO37" s="420">
        <f ca="1">ROUND(IF(AND(TblMagic[[#This Row],[Active DnD]]&lt;12,TblMagic[[#This Row],[Active DnD]]&gt;5),OFFSET(TblPop[[#This Row],[Draft Growth]],-1,0)*0.375,0),0)</f>
        <v>0</v>
      </c>
      <c r="AP37" s="142"/>
      <c r="AQ37" s="94">
        <f ca="1">TblProd[[#This Row],[Platinum]]</f>
        <v>155757</v>
      </c>
      <c r="AR37" s="94">
        <f ca="1">INDEX(TblProd[[#Headers],[Lumber]]:TblProd[[#This Row],[Ore]],COUNTA(TblProd[[#Headers],[Lumber]]:TblProd[[#This Row],[Lumber]]),MATCH(Military!$AR$2,TblProd[[#Headers],[Lumber]:[Ore]],0))</f>
        <v>0</v>
      </c>
      <c r="AS3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37" s="94">
        <f ca="1">TblMili[[#This Row],[Train Unit 1]]*TblMili[[#This Row],[OP Ore]]+TblMili[[#This Row],[Train Unit 2]]*TblMili[[#This Row],[DP Ore]]+TblMili[[#This Row],[Train Unit 3]]*TblMili[[#This Row],[E1 Ore]]+TblMili[[#This Row],[Train Unit 4]]*TblMili[[#This Row],[E2 Ore]]</f>
        <v>0</v>
      </c>
      <c r="AU37" s="142">
        <f>TblMili[[#This Row],[Hour]]</f>
        <v>34</v>
      </c>
      <c r="AV37" s="152">
        <f ca="1">TblMili[[#This Row],[Time]]</f>
        <v>46321.37499999992</v>
      </c>
      <c r="AW37" s="94">
        <f ca="1">TblMili[[#This Row],[Draftees]]</f>
        <v>432</v>
      </c>
      <c r="AX37" s="179"/>
      <c r="AY37" s="179"/>
      <c r="AZ37" s="179"/>
      <c r="BA37" s="179"/>
      <c r="BB37" s="179"/>
      <c r="BC37" s="179"/>
      <c r="BD37" s="179"/>
      <c r="BE37" s="179"/>
      <c r="BF37" s="179"/>
      <c r="BG37" s="142"/>
      <c r="BH37" s="157">
        <f ca="1">TblConstr[[#This Row],[Tot WG]]/TblConstr[[#This Row],[Land]]</f>
        <v>0</v>
      </c>
      <c r="BI37" s="157">
        <f ca="1">TblConstr[[#This Row],[Tot Hav]]/TblConstr[[#This Row],[Land]]</f>
        <v>0</v>
      </c>
      <c r="BJ37" s="94">
        <f ca="1">ROUNDUP((1-MIN(TblMili[[#This Row],[Smithies]]*smithy_bonus,smithy_bonus_cap) + tech_3_5*TblTech[[#This Row],[3-5]] + tech_5_3*TblTech[[#This Row],[5-3]] + tech_5_5*TblTech[[#This Row],[5-5]])*spec_op_plat,0)</f>
        <v>315</v>
      </c>
      <c r="BK37" s="94">
        <f ca="1">ROUNDUP(IF(race="Gnome",1,(1-MIN(TblMili[[#This Row],[Smithies]]*smithy_bonus,smithy_bonus_cap) + tech_3_5*TblTech[[#This Row],[3-5]] + tech_5_3*TblTech[[#This Row],[5-3]] + tech_5_5*TblTech[[#This Row],[5-5]]))*spec_op_ore,0)</f>
        <v>25</v>
      </c>
      <c r="BL37" s="94">
        <f ca="1">ROUNDUP((1-MIN(TblMili[[#This Row],[Smithies]]*smithy_bonus,smithy_bonus_cap) + tech_3_5*TblTech[[#This Row],[3-5]] + tech_5_3*TblTech[[#This Row],[5-3]] + tech_5_5*TblTech[[#This Row],[5-5]])*spec_dp_plat,0)</f>
        <v>275</v>
      </c>
      <c r="BM37" s="94">
        <f ca="1">ROUNDUP(IF(race="Gnome",1,(1-MIN(TblMili[[#This Row],[Smithies]]*smithy_bonus,smithy_bonus_cap) + tech_3_5*TblTech[[#This Row],[3-5]] + tech_5_3*TblTech[[#This Row],[5-3]] + tech_5_5*TblTech[[#This Row],[5-5]]))*spec_dp_ore,0)</f>
        <v>15</v>
      </c>
      <c r="BN37" s="94">
        <f ca="1">ROUNDUP((1-MIN(TblMili[[#This Row],[Smithies]]*smithy_bonus,smithy_bonus_cap) + tech_3_5*TblTech[[#This Row],[3-5]] + tech_5_3*TblTech[[#This Row],[5-3]] + tech_5_5*TblTech[[#This Row],[5-5]])*elite1_plat,0)</f>
        <v>1040</v>
      </c>
      <c r="BO37" s="94">
        <f ca="1">ROUNDUP(IF(race="Gnome",1,(1-MIN(TblMili[[#This Row],[Smithies]]*smithy_bonus,smithy_bonus_cap) + tech_3_5*TblTech[[#This Row],[3-5]] + tech_5_3*TblTech[[#This Row],[5-3]] + tech_5_5*TblTech[[#This Row],[5-5]]))*elite1_ore,0)</f>
        <v>75</v>
      </c>
      <c r="BP37" s="94">
        <f ca="1">ROUNDUP((1-MIN(TblMili[[#This Row],[Smithies]]*smithy_bonus,smithy_bonus_cap) + tech_3_5*TblTech[[#This Row],[3-5]] + tech_5_3*TblTech[[#This Row],[5-3]] + tech_5_5*TblTech[[#This Row],[5-5]])*elite2_plat,0)</f>
        <v>1280</v>
      </c>
      <c r="BQ37" s="94">
        <f ca="1">ROUNDUP(IF(race="Gnome",1,(1-MIN(TblMili[[#This Row],[Smithies]]*smithy_bonus,smithy_bonus_cap) + tech_3_5*TblTech[[#This Row],[3-5]] + tech_5_3*TblTech[[#This Row],[5-3]] + tech_5_5*TblTech[[#This Row],[5-5]]))*elite2_ore,0)</f>
        <v>100</v>
      </c>
      <c r="BR37" s="94">
        <f ca="1">ROUNDUP((1-MIN(ROUND(fh_spy_cost_red*TblMili[[#This Row],[FH''s]],4),fh_spy_cost_cap)+ tech_1_9*TblTech[[#This Row],[1-9]] + tech_9_1*TblTech[[#This Row],[9-1]])*spy_plat,0)</f>
        <v>500</v>
      </c>
      <c r="BS37" s="94">
        <f ca="1">ROUNDUP((1-MIN(ROUND(fh_spy_cost_red*TblMili[[#This Row],[FH''s]],4),fh_spy_cost_cap)+ tech_1_9*TblTech[[#This Row],[1-9]] + tech_9_1*TblTech[[#This Row],[9-1]])*archspy_plat,0)</f>
        <v>1000</v>
      </c>
      <c r="BT37" s="94">
        <f ca="1">ROUNDUP((1-MIN(ROUND(wg_wiz_cost_bonus*TblMili[[#This Row],[WG''s]],4),wg_wiz_cost_cap) + tech_1_9_2*TblTech[[#This Row],[1-9]] + tech_9_1_2*TblTech[[#This Row],[9-1]])*wizard_plat,0)</f>
        <v>500</v>
      </c>
      <c r="BU37" s="94">
        <f ca="1">ROUNDUP((1-MIN(ROUND(wg_wiz_cost_bonus*TblMili[[#This Row],[WG''s]],4),wg_wiz_cost_cap) + tech_1_9_2*TblTech[[#This Row],[1-9]] + tech_9_1_2*TblTech[[#This Row],[9-1]])*(archmage_plat + IF(TblMagic[[#This Row],[Active Arc Infusion]]&gt;0,400,0)),0)</f>
        <v>1000</v>
      </c>
      <c r="BV37" s="142"/>
      <c r="BW37" s="157">
        <f ca="1">TblConstr[[#This Row],[Homeland]]/TblConstr[[#This Row],[Land]]</f>
        <v>0.6</v>
      </c>
      <c r="BX37" s="157">
        <f ca="1">TblMili[[#This Row],[WG''s]]</f>
        <v>0</v>
      </c>
      <c r="BY37" s="251">
        <f ca="1">IF(mystic_cap="none",TblMili[[#This Row],[Homeland%]]/mystic_bonus,MIN(mystic_cap,TblMili[[#This Row],[Homeland%]]/mystic_bonus))</f>
        <v>2</v>
      </c>
      <c r="BZ37" s="251">
        <f ca="1">IF(druid_op_cap="none",TblMili[[#This Row],[Homeland%]]/druid_op_bonus,MIN(druid_op_cap,TblMili[[#This Row],[Homeland%]]/druid_op_bonus))</f>
        <v>2</v>
      </c>
      <c r="CA37" s="251">
        <f ca="1">IF(druid_dp_cap="none",TblMili[[#This Row],[Homeland%]]/druid_dp_bonus,MIN(druid_dp_cap,TblMili[[#This Row],[Homeland%]]/druid_dp_bonus))</f>
        <v>2</v>
      </c>
      <c r="CB37" s="251">
        <f ca="1">MIN(dryad_cap,TblMili[[#This Row],[Homeland%]]/dryad_bonus)</f>
        <v>2.9999999999999996</v>
      </c>
      <c r="CC37" s="251">
        <f ca="1">MIN(rocka_cap,TblMili[[#This Row],[Homeland%]]/rocka_bonus)</f>
        <v>2</v>
      </c>
      <c r="CD37" s="251">
        <f ca="1">MIN(adept_op_cap,TblMili[[#This Row],[WG]]/adept_op_bonus)</f>
        <v>0</v>
      </c>
      <c r="CE37" s="251">
        <f ca="1">MIN(adept_dp_cap,TblMili[[#This Row],[WG]]/adept_dp_bonus)</f>
        <v>0</v>
      </c>
      <c r="CF37" s="94">
        <f ca="1">MIN(TblMili[[#This Row],[Unit 3]],TblMili[[#This Row],[Unit 2]])*2</f>
        <v>0</v>
      </c>
      <c r="CG37" s="94">
        <f ca="1">MIN(TblMili[[#This Row],[Unit 1]],TblMili[[#This Row],[Unit 4]])*2</f>
        <v>0</v>
      </c>
      <c r="CH37" s="251">
        <f ca="1">MIN(frost_mage_cap,TblMili[[#This Row],[Homeland%]]/frost_mage_bonus)</f>
        <v>2.9999999999999996</v>
      </c>
      <c r="CI37" s="45">
        <f ca="1">MIN(ice_elem_cap,TblMili[[#This Row],[Raw (2)]]*ice_elem_bonus)</f>
        <v>0</v>
      </c>
      <c r="CJ37" s="251">
        <f t="shared" si="2"/>
        <v>0.83333333333333337</v>
      </c>
      <c r="CK37" s="251">
        <f ca="1">MIN(nox_nightshade_cap,TblConstr[[#This Row],[Homeland]]/TblConstr[[#This Row],[Land]]/nox_nightshade_swamp_bonus)</f>
        <v>4</v>
      </c>
      <c r="CL37" s="251">
        <f ca="1">MIN(TblConstr[[#This Row],[Total Swamp]]/TblConstr[[#This Row],[Land]]/abyss_enforce_bonus,abyss_enforcer_cap)</f>
        <v>0</v>
      </c>
      <c r="CM37" s="251">
        <f ca="1">IF(TblMagic[[#This Row],[Active Infernal Command]]&gt;0,TblMili[[#This Row],[Unit 1]]*infernal_cmd_op,0)</f>
        <v>0</v>
      </c>
      <c r="CN37" s="252"/>
      <c r="CO37" s="252"/>
      <c r="CP37" s="252"/>
      <c r="CQ37" s="251">
        <f ca="1">TblMili[[#This Row],[Mystic]]*2</f>
        <v>4</v>
      </c>
      <c r="CR37" s="251">
        <f ca="1">TblMili[[#This Row],[Druid (op)]]*2</f>
        <v>4</v>
      </c>
      <c r="CS37" s="94">
        <f ca="1">TblMili[[#This Row],[Mystic bonus]]*TblMili[[#This Row],[Unit 3]]+TblMili[[#This Row],[Druid bonus]]*TblMili[[#This Row],[Unit 4]]</f>
        <v>0</v>
      </c>
      <c r="CT37" s="155">
        <f ca="1">TblMili[[#This Row],[Dryad]]*2</f>
        <v>5.9999999999999991</v>
      </c>
      <c r="CU37" s="94">
        <f ca="1">sylvan*(TblMili[[#This Row],[Mystic bonus]]*TblMili[[#This Row],[Unit 3]])</f>
        <v>0</v>
      </c>
      <c r="CV37" s="155">
        <f ca="1">TblMili[[#This Row],[Rockapult]]*2</f>
        <v>4</v>
      </c>
      <c r="CW37" s="94">
        <f ca="1">gnome*(TblMili[[#This Row],[Rockapult bonus]]*TblMili[[#This Row],[Unit 3]])</f>
        <v>0</v>
      </c>
      <c r="CX37" s="155">
        <f ca="1">TblMili[[#This Row],[Adept-DP]]*2</f>
        <v>0</v>
      </c>
      <c r="CY37" s="94">
        <f ca="1">dark_elf*(TblMili[[#This Row],[Adept bonus]]*TblMili[[#This Row],[Unit 3]])</f>
        <v>0</v>
      </c>
      <c r="CZ37" s="155">
        <f ca="1">TblMili[[#This Row],[Frost Mage]]*2</f>
        <v>5.9999999999999991</v>
      </c>
      <c r="DA37" s="155">
        <f ca="1">TblMili[[#This Row],[Ice Elemental]]*2</f>
        <v>0</v>
      </c>
      <c r="DB37" s="94">
        <f ca="1">TblMili[[#This Row],[Frost Mage bonus]]*TblMili[[#This Row],[Unit 3]]+TblMili[[#This Row],[Ice Elemental bonus]]*TblMili[[#This Row],[Unit 4]]</f>
        <v>0</v>
      </c>
      <c r="DC37" s="253"/>
      <c r="DD37" s="143">
        <f ca="1">MIN(SUM(TblConstr[[#This Row],[Plain]:[Water]])/TblMili[[#This Row],[Land]]/favorable_terrain_bonus/100,favorable_terrain_max)</f>
        <v>0</v>
      </c>
      <c r="DE37" s="253"/>
      <c r="DF3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7" s="142"/>
      <c r="DH37" s="254">
        <f ca="1">(TblMili[[#This Row],[Wizards]]+2*TblMili[[#This Row],[Archmages]])/TblConstr[[#This Row],[Land]]</f>
        <v>0</v>
      </c>
      <c r="DI37" s="254">
        <f ca="1">TblMili[[#This Row],[Raw (2)]]*(1+race_wizard_strength+IF(TblMili[[#This Row],[Hour]]&gt;72,tech_magical_weaponry_wiz*TblTech[[#This Row],[3-5]],0))</f>
        <v>0</v>
      </c>
    </row>
    <row r="38" spans="1:113" x14ac:dyDescent="0.2">
      <c r="A38" s="137">
        <f>TblRezone[[#This Row],[Hour]]</f>
        <v>35</v>
      </c>
      <c r="B38" s="246">
        <f ca="1">SUM(TblMili[[#This Row],[Unit 1]:[Archmages]])+SUM(OFFSET(TblMili[[#This Row],[Train Unit 1]],-8,0):TblMili[[#This Row],[Train Unit 2]]) + SUM(OFFSET(TblMili[[#This Row],[Train Unit 3]],-11,0):TblMili[[#This Row],[Train AM]]) + TblMili[[#This Row],[Draftees]]</f>
        <v>435</v>
      </c>
      <c r="C38" s="157">
        <f ca="1">TblPop[[#This Row],[Military%]]</f>
        <v>0.56566970091027313</v>
      </c>
      <c r="D38" s="142"/>
      <c r="E38" s="45">
        <f ca="1">OFFSET(TblMili[[#This Row],[Unit 1]],-1,0) + OFFSET(TblMili[[#This Row],[Train Unit 1]],-9,0) - TblMili[[#This Row],[Release Unit 1]] + OFFSET(TblMili[[#This Row],[DnD_Zombies]],-12,0)</f>
        <v>0</v>
      </c>
      <c r="F38" s="45">
        <f ca="1">OFFSET(TblMili[[#This Row],[Unit 2]],-1,0) + OFFSET(TblMili[[#This Row],[Train Unit 2]],-9,0)-TblMili[[#This Row],[Release Unit 2]]</f>
        <v>0</v>
      </c>
      <c r="G38" s="45">
        <f ca="1">OFFSET(TblMili[[#This Row],[Unit 3]],-1,0) + OFFSET(TblMili[[#This Row],[Train Unit 3]],-12,0)-TblMili[[#This Row],[Release Unit 3]]</f>
        <v>0</v>
      </c>
      <c r="H38" s="45">
        <f ca="1">OFFSET(TblMili[[#This Row],[Unit 4]],-1,0) + OFFSET(TblMili[[#This Row],[Train Unit 4]],-12,0)-TblMili[[#This Row],[Release Unit 4]]</f>
        <v>0</v>
      </c>
      <c r="I38" s="45">
        <f ca="1">OFFSET(TblMili[[#This Row],[Spies]],-1,0) + OFFSET(TblMili[[#This Row],[Train Spies]],-12,0) - TblMili[[#This Row],[Release Spies]]-TblMili[[#This Row],[Train AS]]</f>
        <v>0</v>
      </c>
      <c r="J38" s="45">
        <f ca="1">OFFSET(TblMili[[#This Row],[Archspies]],-1,0) + OFFSET(TblMili[[#This Row],[Train AS]],-12,0) - TblMili[[#This Row],[Release AS]]</f>
        <v>0</v>
      </c>
      <c r="K38" s="45">
        <f ca="1">OFFSET(TblMili[[#This Row],[Wizards]],-1,0) + OFFSET(TblMili[[#This Row],[Train Wiz]],-12,0) - TblMili[[#This Row],[Release Wizards]]-TblMili[[#This Row],[Train AM]] + IF(TblMagic[[#This Row],[Active Arc Infusion]]&gt;0,TblMili[[#This Row],[Train AM]])</f>
        <v>0</v>
      </c>
      <c r="L38" s="45">
        <f ca="1">OFFSET(TblMili[[#This Row],[Archmages]],-1,0) + OFFSET(TblMili[[#This Row],[Train AM]],-12,0) - TblMili[[#This Row],[Release AM]]</f>
        <v>0</v>
      </c>
      <c r="M38" s="142"/>
      <c r="N38" s="94">
        <f ca="1">TblProd[[#This Row],[Networth]]</f>
        <v>1250</v>
      </c>
      <c r="O38" s="142"/>
      <c r="P38"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3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8" s="247">
        <f ca="1">TblMili[[#This Row],[Raw]]*(1+TblMili[[#This Row],[Mods_Off]])</f>
        <v>0</v>
      </c>
      <c r="S38"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38" s="247">
        <f ca="1">TblMili[[#This Row],[Non Draft]]+TblMili[[#This Row],[Draftees]]</f>
        <v>435</v>
      </c>
      <c r="U38" s="248">
        <f ca="1">race_defense + TblImps[[#This Row],[Walls]] + ROUND( MIN(gt_bonus*TblConstr[[#This Row],[Tot GT]]/TblConstr[[#This Row],[Land]],gt_bonus_cap), 4) + IF(TblMagic[[#This Row],[Active Howling]]&gt;0,howling_dp_bonus,IF(TblMagic[[#This Row],[Active Ares Call]]&gt;0,ares_call_bonus))</f>
        <v>0</v>
      </c>
      <c r="V38" s="249">
        <f ca="1">TblMili[[#This Row],[Non Draft]] * (1 + TblMili[[#This Row],[Mods_Def]])</f>
        <v>0</v>
      </c>
      <c r="W38" s="247">
        <f ca="1">TblMili[[#This Row],[Draft]] * (1 + TblMili[[#This Row],[Mods_Def]])</f>
        <v>435</v>
      </c>
      <c r="X38" s="247">
        <f ca="1">TblConstr[[#This Row],[Land]]</f>
        <v>50</v>
      </c>
      <c r="Y38" s="250"/>
      <c r="Z38" s="255">
        <f ca="1">IF(TblMili[[#This Row],[Set]]&lt;&gt;"",TblMili[[#This Row],[Set]],OFFSET(TblMili[[#This Row],[Draftrate]],-1,0))</f>
        <v>0.9</v>
      </c>
      <c r="AA38"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435</v>
      </c>
      <c r="AB38" s="154"/>
      <c r="AC38" s="180">
        <f ca="1">(TblConstr[[#This Row],[Tot Smi]]+TblConstr[[#This Row],[Dest Smi]])/(TblConstr[[#This Row],[Land]]-TblExplore[[#This Row],[Land Bonus]]*20)</f>
        <v>0</v>
      </c>
      <c r="AD38" s="137"/>
      <c r="AE38" s="246">
        <f>TblMili[[#This Row],[Hour]]</f>
        <v>35</v>
      </c>
      <c r="AF38" s="138">
        <f ca="1">TblExplore[[#This Row],[Time]]</f>
        <v>46321.416666666584</v>
      </c>
      <c r="AG38" s="179"/>
      <c r="AH38" s="179"/>
      <c r="AI38" s="179"/>
      <c r="AJ38" s="179"/>
      <c r="AK38" s="179"/>
      <c r="AL38" s="179"/>
      <c r="AM38" s="179"/>
      <c r="AN38" s="179"/>
      <c r="AO38" s="420">
        <f ca="1">ROUND(IF(AND(TblMagic[[#This Row],[Active DnD]]&lt;12,TblMagic[[#This Row],[Active DnD]]&gt;5),OFFSET(TblPop[[#This Row],[Draft Growth]],-1,0)*0.375,0),0)</f>
        <v>0</v>
      </c>
      <c r="AP38" s="142"/>
      <c r="AQ38" s="94">
        <f ca="1">TblProd[[#This Row],[Platinum]]</f>
        <v>156666</v>
      </c>
      <c r="AR38" s="94">
        <f ca="1">INDEX(TblProd[[#Headers],[Lumber]]:TblProd[[#This Row],[Ore]],COUNTA(TblProd[[#Headers],[Lumber]]:TblProd[[#This Row],[Lumber]]),MATCH(Military!$AR$2,TblProd[[#Headers],[Lumber]:[Ore]],0))</f>
        <v>0</v>
      </c>
      <c r="AS3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38" s="94">
        <f ca="1">TblMili[[#This Row],[Train Unit 1]]*TblMili[[#This Row],[OP Ore]]+TblMili[[#This Row],[Train Unit 2]]*TblMili[[#This Row],[DP Ore]]+TblMili[[#This Row],[Train Unit 3]]*TblMili[[#This Row],[E1 Ore]]+TblMili[[#This Row],[Train Unit 4]]*TblMili[[#This Row],[E2 Ore]]</f>
        <v>0</v>
      </c>
      <c r="AU38" s="142">
        <f>TblMili[[#This Row],[Hour]]</f>
        <v>35</v>
      </c>
      <c r="AV38" s="152">
        <f ca="1">TblMili[[#This Row],[Time]]</f>
        <v>46321.416666666584</v>
      </c>
      <c r="AW38" s="94">
        <f ca="1">TblMili[[#This Row],[Draftees]]</f>
        <v>435</v>
      </c>
      <c r="AX38" s="179"/>
      <c r="AY38" s="179"/>
      <c r="AZ38" s="179"/>
      <c r="BA38" s="179"/>
      <c r="BB38" s="179"/>
      <c r="BC38" s="179"/>
      <c r="BD38" s="179"/>
      <c r="BE38" s="179"/>
      <c r="BF38" s="179"/>
      <c r="BG38" s="142"/>
      <c r="BH38" s="157">
        <f ca="1">TblConstr[[#This Row],[Tot WG]]/TblConstr[[#This Row],[Land]]</f>
        <v>0</v>
      </c>
      <c r="BI38" s="157">
        <f ca="1">TblConstr[[#This Row],[Tot Hav]]/TblConstr[[#This Row],[Land]]</f>
        <v>0</v>
      </c>
      <c r="BJ38" s="94">
        <f ca="1">ROUNDUP((1-MIN(TblMili[[#This Row],[Smithies]]*smithy_bonus,smithy_bonus_cap) + tech_3_5*TblTech[[#This Row],[3-5]] + tech_5_3*TblTech[[#This Row],[5-3]] + tech_5_5*TblTech[[#This Row],[5-5]])*spec_op_plat,0)</f>
        <v>315</v>
      </c>
      <c r="BK38" s="94">
        <f ca="1">ROUNDUP(IF(race="Gnome",1,(1-MIN(TblMili[[#This Row],[Smithies]]*smithy_bonus,smithy_bonus_cap) + tech_3_5*TblTech[[#This Row],[3-5]] + tech_5_3*TblTech[[#This Row],[5-3]] + tech_5_5*TblTech[[#This Row],[5-5]]))*spec_op_ore,0)</f>
        <v>25</v>
      </c>
      <c r="BL38" s="94">
        <f ca="1">ROUNDUP((1-MIN(TblMili[[#This Row],[Smithies]]*smithy_bonus,smithy_bonus_cap) + tech_3_5*TblTech[[#This Row],[3-5]] + tech_5_3*TblTech[[#This Row],[5-3]] + tech_5_5*TblTech[[#This Row],[5-5]])*spec_dp_plat,0)</f>
        <v>275</v>
      </c>
      <c r="BM38" s="94">
        <f ca="1">ROUNDUP(IF(race="Gnome",1,(1-MIN(TblMili[[#This Row],[Smithies]]*smithy_bonus,smithy_bonus_cap) + tech_3_5*TblTech[[#This Row],[3-5]] + tech_5_3*TblTech[[#This Row],[5-3]] + tech_5_5*TblTech[[#This Row],[5-5]]))*spec_dp_ore,0)</f>
        <v>15</v>
      </c>
      <c r="BN38" s="94">
        <f ca="1">ROUNDUP((1-MIN(TblMili[[#This Row],[Smithies]]*smithy_bonus,smithy_bonus_cap) + tech_3_5*TblTech[[#This Row],[3-5]] + tech_5_3*TblTech[[#This Row],[5-3]] + tech_5_5*TblTech[[#This Row],[5-5]])*elite1_plat,0)</f>
        <v>1040</v>
      </c>
      <c r="BO38" s="94">
        <f ca="1">ROUNDUP(IF(race="Gnome",1,(1-MIN(TblMili[[#This Row],[Smithies]]*smithy_bonus,smithy_bonus_cap) + tech_3_5*TblTech[[#This Row],[3-5]] + tech_5_3*TblTech[[#This Row],[5-3]] + tech_5_5*TblTech[[#This Row],[5-5]]))*elite1_ore,0)</f>
        <v>75</v>
      </c>
      <c r="BP38" s="94">
        <f ca="1">ROUNDUP((1-MIN(TblMili[[#This Row],[Smithies]]*smithy_bonus,smithy_bonus_cap) + tech_3_5*TblTech[[#This Row],[3-5]] + tech_5_3*TblTech[[#This Row],[5-3]] + tech_5_5*TblTech[[#This Row],[5-5]])*elite2_plat,0)</f>
        <v>1280</v>
      </c>
      <c r="BQ38" s="94">
        <f ca="1">ROUNDUP(IF(race="Gnome",1,(1-MIN(TblMili[[#This Row],[Smithies]]*smithy_bonus,smithy_bonus_cap) + tech_3_5*TblTech[[#This Row],[3-5]] + tech_5_3*TblTech[[#This Row],[5-3]] + tech_5_5*TblTech[[#This Row],[5-5]]))*elite2_ore,0)</f>
        <v>100</v>
      </c>
      <c r="BR38" s="94">
        <f ca="1">ROUNDUP((1-MIN(ROUND(fh_spy_cost_red*TblMili[[#This Row],[FH''s]],4),fh_spy_cost_cap)+ tech_1_9*TblTech[[#This Row],[1-9]] + tech_9_1*TblTech[[#This Row],[9-1]])*spy_plat,0)</f>
        <v>500</v>
      </c>
      <c r="BS38" s="94">
        <f ca="1">ROUNDUP((1-MIN(ROUND(fh_spy_cost_red*TblMili[[#This Row],[FH''s]],4),fh_spy_cost_cap)+ tech_1_9*TblTech[[#This Row],[1-9]] + tech_9_1*TblTech[[#This Row],[9-1]])*archspy_plat,0)</f>
        <v>1000</v>
      </c>
      <c r="BT38" s="94">
        <f ca="1">ROUNDUP((1-MIN(ROUND(wg_wiz_cost_bonus*TblMili[[#This Row],[WG''s]],4),wg_wiz_cost_cap) + tech_1_9_2*TblTech[[#This Row],[1-9]] + tech_9_1_2*TblTech[[#This Row],[9-1]])*wizard_plat,0)</f>
        <v>500</v>
      </c>
      <c r="BU38" s="94">
        <f ca="1">ROUNDUP((1-MIN(ROUND(wg_wiz_cost_bonus*TblMili[[#This Row],[WG''s]],4),wg_wiz_cost_cap) + tech_1_9_2*TblTech[[#This Row],[1-9]] + tech_9_1_2*TblTech[[#This Row],[9-1]])*(archmage_plat + IF(TblMagic[[#This Row],[Active Arc Infusion]]&gt;0,400,0)),0)</f>
        <v>1000</v>
      </c>
      <c r="BV38" s="142"/>
      <c r="BW38" s="157">
        <f ca="1">TblConstr[[#This Row],[Homeland]]/TblConstr[[#This Row],[Land]]</f>
        <v>0.6</v>
      </c>
      <c r="BX38" s="157">
        <f ca="1">TblMili[[#This Row],[WG''s]]</f>
        <v>0</v>
      </c>
      <c r="BY38" s="251">
        <f ca="1">IF(mystic_cap="none",TblMili[[#This Row],[Homeland%]]/mystic_bonus,MIN(mystic_cap,TblMili[[#This Row],[Homeland%]]/mystic_bonus))</f>
        <v>2</v>
      </c>
      <c r="BZ38" s="251">
        <f ca="1">IF(druid_op_cap="none",TblMili[[#This Row],[Homeland%]]/druid_op_bonus,MIN(druid_op_cap,TblMili[[#This Row],[Homeland%]]/druid_op_bonus))</f>
        <v>2</v>
      </c>
      <c r="CA38" s="251">
        <f ca="1">IF(druid_dp_cap="none",TblMili[[#This Row],[Homeland%]]/druid_dp_bonus,MIN(druid_dp_cap,TblMili[[#This Row],[Homeland%]]/druid_dp_bonus))</f>
        <v>2</v>
      </c>
      <c r="CB38" s="251">
        <f ca="1">MIN(dryad_cap,TblMili[[#This Row],[Homeland%]]/dryad_bonus)</f>
        <v>2.9999999999999996</v>
      </c>
      <c r="CC38" s="251">
        <f ca="1">MIN(rocka_cap,TblMili[[#This Row],[Homeland%]]/rocka_bonus)</f>
        <v>2</v>
      </c>
      <c r="CD38" s="251">
        <f ca="1">MIN(adept_op_cap,TblMili[[#This Row],[WG]]/adept_op_bonus)</f>
        <v>0</v>
      </c>
      <c r="CE38" s="251">
        <f ca="1">MIN(adept_dp_cap,TblMili[[#This Row],[WG]]/adept_dp_bonus)</f>
        <v>0</v>
      </c>
      <c r="CF38" s="94">
        <f ca="1">MIN(TblMili[[#This Row],[Unit 3]],TblMili[[#This Row],[Unit 2]])*2</f>
        <v>0</v>
      </c>
      <c r="CG38" s="94">
        <f ca="1">MIN(TblMili[[#This Row],[Unit 1]],TblMili[[#This Row],[Unit 4]])*2</f>
        <v>0</v>
      </c>
      <c r="CH38" s="251">
        <f ca="1">MIN(frost_mage_cap,TblMili[[#This Row],[Homeland%]]/frost_mage_bonus)</f>
        <v>2.9999999999999996</v>
      </c>
      <c r="CI38" s="45">
        <f ca="1">MIN(ice_elem_cap,TblMili[[#This Row],[Raw (2)]]*ice_elem_bonus)</f>
        <v>0</v>
      </c>
      <c r="CJ38" s="251">
        <f t="shared" si="2"/>
        <v>0.83333333333333337</v>
      </c>
      <c r="CK38" s="251">
        <f ca="1">MIN(nox_nightshade_cap,TblConstr[[#This Row],[Homeland]]/TblConstr[[#This Row],[Land]]/nox_nightshade_swamp_bonus)</f>
        <v>4</v>
      </c>
      <c r="CL38" s="251">
        <f ca="1">MIN(TblConstr[[#This Row],[Total Swamp]]/TblConstr[[#This Row],[Land]]/abyss_enforce_bonus,abyss_enforcer_cap)</f>
        <v>0</v>
      </c>
      <c r="CM38" s="251">
        <f ca="1">IF(TblMagic[[#This Row],[Active Infernal Command]]&gt;0,TblMili[[#This Row],[Unit 1]]*infernal_cmd_op,0)</f>
        <v>0</v>
      </c>
      <c r="CN38" s="252"/>
      <c r="CO38" s="252"/>
      <c r="CP38" s="252"/>
      <c r="CQ38" s="251">
        <f ca="1">TblMili[[#This Row],[Mystic]]*2</f>
        <v>4</v>
      </c>
      <c r="CR38" s="251">
        <f ca="1">TblMili[[#This Row],[Druid (op)]]*2</f>
        <v>4</v>
      </c>
      <c r="CS38" s="94">
        <f ca="1">TblMili[[#This Row],[Mystic bonus]]*TblMili[[#This Row],[Unit 3]]+TblMili[[#This Row],[Druid bonus]]*TblMili[[#This Row],[Unit 4]]</f>
        <v>0</v>
      </c>
      <c r="CT38" s="155">
        <f ca="1">TblMili[[#This Row],[Dryad]]*2</f>
        <v>5.9999999999999991</v>
      </c>
      <c r="CU38" s="94">
        <f ca="1">sylvan*(TblMili[[#This Row],[Mystic bonus]]*TblMili[[#This Row],[Unit 3]])</f>
        <v>0</v>
      </c>
      <c r="CV38" s="155">
        <f ca="1">TblMili[[#This Row],[Rockapult]]*2</f>
        <v>4</v>
      </c>
      <c r="CW38" s="94">
        <f ca="1">gnome*(TblMili[[#This Row],[Rockapult bonus]]*TblMili[[#This Row],[Unit 3]])</f>
        <v>0</v>
      </c>
      <c r="CX38" s="155">
        <f ca="1">TblMili[[#This Row],[Adept-DP]]*2</f>
        <v>0</v>
      </c>
      <c r="CY38" s="94">
        <f ca="1">dark_elf*(TblMili[[#This Row],[Adept bonus]]*TblMili[[#This Row],[Unit 3]])</f>
        <v>0</v>
      </c>
      <c r="CZ38" s="155">
        <f ca="1">TblMili[[#This Row],[Frost Mage]]*2</f>
        <v>5.9999999999999991</v>
      </c>
      <c r="DA38" s="155">
        <f ca="1">TblMili[[#This Row],[Ice Elemental]]*2</f>
        <v>0</v>
      </c>
      <c r="DB38" s="94">
        <f ca="1">TblMili[[#This Row],[Frost Mage bonus]]*TblMili[[#This Row],[Unit 3]]+TblMili[[#This Row],[Ice Elemental bonus]]*TblMili[[#This Row],[Unit 4]]</f>
        <v>0</v>
      </c>
      <c r="DC38" s="253"/>
      <c r="DD38" s="143">
        <f ca="1">MIN(SUM(TblConstr[[#This Row],[Plain]:[Water]])/TblMili[[#This Row],[Land]]/favorable_terrain_bonus/100,favorable_terrain_max)</f>
        <v>0</v>
      </c>
      <c r="DE38" s="253"/>
      <c r="DF3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8" s="142"/>
      <c r="DH38" s="254">
        <f ca="1">(TblMili[[#This Row],[Wizards]]+2*TblMili[[#This Row],[Archmages]])/TblConstr[[#This Row],[Land]]</f>
        <v>0</v>
      </c>
      <c r="DI38" s="254">
        <f ca="1">TblMili[[#This Row],[Raw (2)]]*(1+race_wizard_strength+IF(TblMili[[#This Row],[Hour]]&gt;72,tech_magical_weaponry_wiz*TblTech[[#This Row],[3-5]],0))</f>
        <v>0</v>
      </c>
    </row>
    <row r="39" spans="1:113" x14ac:dyDescent="0.2">
      <c r="A39" s="137">
        <f>TblRezone[[#This Row],[Hour]]</f>
        <v>36</v>
      </c>
      <c r="B39" s="246">
        <f ca="1">SUM(TblMili[[#This Row],[Unit 1]:[Archmages]])+SUM(OFFSET(TblMili[[#This Row],[Train Unit 1]],-8,0):TblMili[[#This Row],[Train Unit 2]]) + SUM(OFFSET(TblMili[[#This Row],[Train Unit 3]],-11,0):TblMili[[#This Row],[Train AM]]) + TblMili[[#This Row],[Draftees]]</f>
        <v>438</v>
      </c>
      <c r="C39" s="157">
        <f ca="1">TblPop[[#This Row],[Military%]]</f>
        <v>0.5695708712613784</v>
      </c>
      <c r="D39" s="142"/>
      <c r="E39" s="45">
        <f ca="1">OFFSET(TblMili[[#This Row],[Unit 1]],-1,0) + OFFSET(TblMili[[#This Row],[Train Unit 1]],-9,0) - TblMili[[#This Row],[Release Unit 1]] + OFFSET(TblMili[[#This Row],[DnD_Zombies]],-12,0)</f>
        <v>0</v>
      </c>
      <c r="F39" s="45">
        <f ca="1">OFFSET(TblMili[[#This Row],[Unit 2]],-1,0) + OFFSET(TblMili[[#This Row],[Train Unit 2]],-9,0)-TblMili[[#This Row],[Release Unit 2]]</f>
        <v>0</v>
      </c>
      <c r="G39" s="45">
        <f ca="1">OFFSET(TblMili[[#This Row],[Unit 3]],-1,0) + OFFSET(TblMili[[#This Row],[Train Unit 3]],-12,0)-TblMili[[#This Row],[Release Unit 3]]</f>
        <v>0</v>
      </c>
      <c r="H39" s="45">
        <f ca="1">OFFSET(TblMili[[#This Row],[Unit 4]],-1,0) + OFFSET(TblMili[[#This Row],[Train Unit 4]],-12,0)-TblMili[[#This Row],[Release Unit 4]]</f>
        <v>0</v>
      </c>
      <c r="I39" s="45">
        <f ca="1">OFFSET(TblMili[[#This Row],[Spies]],-1,0) + OFFSET(TblMili[[#This Row],[Train Spies]],-12,0) - TblMili[[#This Row],[Release Spies]]-TblMili[[#This Row],[Train AS]]</f>
        <v>0</v>
      </c>
      <c r="J39" s="45">
        <f ca="1">OFFSET(TblMili[[#This Row],[Archspies]],-1,0) + OFFSET(TblMili[[#This Row],[Train AS]],-12,0) - TblMili[[#This Row],[Release AS]]</f>
        <v>0</v>
      </c>
      <c r="K39" s="45">
        <f ca="1">OFFSET(TblMili[[#This Row],[Wizards]],-1,0) + OFFSET(TblMili[[#This Row],[Train Wiz]],-12,0) - TblMili[[#This Row],[Release Wizards]]-TblMili[[#This Row],[Train AM]] + IF(TblMagic[[#This Row],[Active Arc Infusion]]&gt;0,TblMili[[#This Row],[Train AM]])</f>
        <v>0</v>
      </c>
      <c r="L39" s="45">
        <f ca="1">OFFSET(TblMili[[#This Row],[Archmages]],-1,0) + OFFSET(TblMili[[#This Row],[Train AM]],-12,0) - TblMili[[#This Row],[Release AM]]</f>
        <v>0</v>
      </c>
      <c r="M39" s="142"/>
      <c r="N39" s="94">
        <f ca="1">TblProd[[#This Row],[Networth]]</f>
        <v>1250</v>
      </c>
      <c r="O39" s="142"/>
      <c r="P39"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3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9" s="247">
        <f ca="1">TblMili[[#This Row],[Raw]]*(1+TblMili[[#This Row],[Mods_Off]])</f>
        <v>0</v>
      </c>
      <c r="S39"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39" s="247">
        <f ca="1">TblMili[[#This Row],[Non Draft]]+TblMili[[#This Row],[Draftees]]</f>
        <v>438</v>
      </c>
      <c r="U39" s="248">
        <f ca="1">race_defense + TblImps[[#This Row],[Walls]] + ROUND( MIN(gt_bonus*TblConstr[[#This Row],[Tot GT]]/TblConstr[[#This Row],[Land]],gt_bonus_cap), 4) + IF(TblMagic[[#This Row],[Active Howling]]&gt;0,howling_dp_bonus,IF(TblMagic[[#This Row],[Active Ares Call]]&gt;0,ares_call_bonus))</f>
        <v>0</v>
      </c>
      <c r="V39" s="249">
        <f ca="1">TblMili[[#This Row],[Non Draft]] * (1 + TblMili[[#This Row],[Mods_Def]])</f>
        <v>0</v>
      </c>
      <c r="W39" s="247">
        <f ca="1">TblMili[[#This Row],[Draft]] * (1 + TblMili[[#This Row],[Mods_Def]])</f>
        <v>438</v>
      </c>
      <c r="X39" s="247">
        <f ca="1">TblConstr[[#This Row],[Land]]</f>
        <v>50</v>
      </c>
      <c r="Y39" s="250"/>
      <c r="Z39" s="255">
        <f ca="1">IF(TblMili[[#This Row],[Set]]&lt;&gt;"",TblMili[[#This Row],[Set]],OFFSET(TblMili[[#This Row],[Draftrate]],-1,0))</f>
        <v>0.9</v>
      </c>
      <c r="AA39"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438</v>
      </c>
      <c r="AB39" s="154"/>
      <c r="AC39" s="180">
        <f ca="1">(TblConstr[[#This Row],[Tot Smi]]+TblConstr[[#This Row],[Dest Smi]])/(TblConstr[[#This Row],[Land]]-TblExplore[[#This Row],[Land Bonus]]*20)</f>
        <v>0</v>
      </c>
      <c r="AD39" s="137"/>
      <c r="AE39" s="246">
        <f>TblMili[[#This Row],[Hour]]</f>
        <v>36</v>
      </c>
      <c r="AF39" s="138">
        <f ca="1">TblExplore[[#This Row],[Time]]</f>
        <v>46321.458333333248</v>
      </c>
      <c r="AG39" s="179"/>
      <c r="AH39" s="179"/>
      <c r="AI39" s="179"/>
      <c r="AJ39" s="179"/>
      <c r="AK39" s="179"/>
      <c r="AL39" s="179"/>
      <c r="AM39" s="179"/>
      <c r="AN39" s="179"/>
      <c r="AO39" s="420">
        <f ca="1">ROUND(IF(AND(TblMagic[[#This Row],[Active DnD]]&lt;12,TblMagic[[#This Row],[Active DnD]]&gt;5),OFFSET(TblPop[[#This Row],[Draft Growth]],-1,0)*0.375,0),0)</f>
        <v>0</v>
      </c>
      <c r="AP39" s="142"/>
      <c r="AQ39" s="94">
        <f ca="1">TblProd[[#This Row],[Platinum]]</f>
        <v>157567</v>
      </c>
      <c r="AR39" s="94">
        <f ca="1">INDEX(TblProd[[#Headers],[Lumber]]:TblProd[[#This Row],[Ore]],COUNTA(TblProd[[#Headers],[Lumber]]:TblProd[[#This Row],[Lumber]]),MATCH(Military!$AR$2,TblProd[[#Headers],[Lumber]:[Ore]],0))</f>
        <v>0</v>
      </c>
      <c r="AS3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39" s="94">
        <f ca="1">TblMili[[#This Row],[Train Unit 1]]*TblMili[[#This Row],[OP Ore]]+TblMili[[#This Row],[Train Unit 2]]*TblMili[[#This Row],[DP Ore]]+TblMili[[#This Row],[Train Unit 3]]*TblMili[[#This Row],[E1 Ore]]+TblMili[[#This Row],[Train Unit 4]]*TblMili[[#This Row],[E2 Ore]]</f>
        <v>0</v>
      </c>
      <c r="AU39" s="142">
        <f>TblMili[[#This Row],[Hour]]</f>
        <v>36</v>
      </c>
      <c r="AV39" s="152">
        <f ca="1">TblMili[[#This Row],[Time]]</f>
        <v>46321.458333333248</v>
      </c>
      <c r="AW39" s="94">
        <f ca="1">TblMili[[#This Row],[Draftees]]</f>
        <v>438</v>
      </c>
      <c r="AX39" s="179"/>
      <c r="AY39" s="179"/>
      <c r="AZ39" s="179"/>
      <c r="BA39" s="179"/>
      <c r="BB39" s="179"/>
      <c r="BC39" s="179"/>
      <c r="BD39" s="179"/>
      <c r="BE39" s="179"/>
      <c r="BF39" s="179"/>
      <c r="BG39" s="142"/>
      <c r="BH39" s="157">
        <f ca="1">TblConstr[[#This Row],[Tot WG]]/TblConstr[[#This Row],[Land]]</f>
        <v>0</v>
      </c>
      <c r="BI39" s="157">
        <f ca="1">TblConstr[[#This Row],[Tot Hav]]/TblConstr[[#This Row],[Land]]</f>
        <v>0</v>
      </c>
      <c r="BJ39" s="94">
        <f ca="1">ROUNDUP((1-MIN(TblMili[[#This Row],[Smithies]]*smithy_bonus,smithy_bonus_cap) + tech_3_5*TblTech[[#This Row],[3-5]] + tech_5_3*TblTech[[#This Row],[5-3]] + tech_5_5*TblTech[[#This Row],[5-5]])*spec_op_plat,0)</f>
        <v>315</v>
      </c>
      <c r="BK39" s="94">
        <f ca="1">ROUNDUP(IF(race="Gnome",1,(1-MIN(TblMili[[#This Row],[Smithies]]*smithy_bonus,smithy_bonus_cap) + tech_3_5*TblTech[[#This Row],[3-5]] + tech_5_3*TblTech[[#This Row],[5-3]] + tech_5_5*TblTech[[#This Row],[5-5]]))*spec_op_ore,0)</f>
        <v>25</v>
      </c>
      <c r="BL39" s="94">
        <f ca="1">ROUNDUP((1-MIN(TblMili[[#This Row],[Smithies]]*smithy_bonus,smithy_bonus_cap) + tech_3_5*TblTech[[#This Row],[3-5]] + tech_5_3*TblTech[[#This Row],[5-3]] + tech_5_5*TblTech[[#This Row],[5-5]])*spec_dp_plat,0)</f>
        <v>275</v>
      </c>
      <c r="BM39" s="94">
        <f ca="1">ROUNDUP(IF(race="Gnome",1,(1-MIN(TblMili[[#This Row],[Smithies]]*smithy_bonus,smithy_bonus_cap) + tech_3_5*TblTech[[#This Row],[3-5]] + tech_5_3*TblTech[[#This Row],[5-3]] + tech_5_5*TblTech[[#This Row],[5-5]]))*spec_dp_ore,0)</f>
        <v>15</v>
      </c>
      <c r="BN39" s="94">
        <f ca="1">ROUNDUP((1-MIN(TblMili[[#This Row],[Smithies]]*smithy_bonus,smithy_bonus_cap) + tech_3_5*TblTech[[#This Row],[3-5]] + tech_5_3*TblTech[[#This Row],[5-3]] + tech_5_5*TblTech[[#This Row],[5-5]])*elite1_plat,0)</f>
        <v>1040</v>
      </c>
      <c r="BO39" s="94">
        <f ca="1">ROUNDUP(IF(race="Gnome",1,(1-MIN(TblMili[[#This Row],[Smithies]]*smithy_bonus,smithy_bonus_cap) + tech_3_5*TblTech[[#This Row],[3-5]] + tech_5_3*TblTech[[#This Row],[5-3]] + tech_5_5*TblTech[[#This Row],[5-5]]))*elite1_ore,0)</f>
        <v>75</v>
      </c>
      <c r="BP39" s="94">
        <f ca="1">ROUNDUP((1-MIN(TblMili[[#This Row],[Smithies]]*smithy_bonus,smithy_bonus_cap) + tech_3_5*TblTech[[#This Row],[3-5]] + tech_5_3*TblTech[[#This Row],[5-3]] + tech_5_5*TblTech[[#This Row],[5-5]])*elite2_plat,0)</f>
        <v>1280</v>
      </c>
      <c r="BQ39" s="94">
        <f ca="1">ROUNDUP(IF(race="Gnome",1,(1-MIN(TblMili[[#This Row],[Smithies]]*smithy_bonus,smithy_bonus_cap) + tech_3_5*TblTech[[#This Row],[3-5]] + tech_5_3*TblTech[[#This Row],[5-3]] + tech_5_5*TblTech[[#This Row],[5-5]]))*elite2_ore,0)</f>
        <v>100</v>
      </c>
      <c r="BR39" s="94">
        <f ca="1">ROUNDUP((1-MIN(ROUND(fh_spy_cost_red*TblMili[[#This Row],[FH''s]],4),fh_spy_cost_cap)+ tech_1_9*TblTech[[#This Row],[1-9]] + tech_9_1*TblTech[[#This Row],[9-1]])*spy_plat,0)</f>
        <v>500</v>
      </c>
      <c r="BS39" s="94">
        <f ca="1">ROUNDUP((1-MIN(ROUND(fh_spy_cost_red*TblMili[[#This Row],[FH''s]],4),fh_spy_cost_cap)+ tech_1_9*TblTech[[#This Row],[1-9]] + tech_9_1*TblTech[[#This Row],[9-1]])*archspy_plat,0)</f>
        <v>1000</v>
      </c>
      <c r="BT39" s="94">
        <f ca="1">ROUNDUP((1-MIN(ROUND(wg_wiz_cost_bonus*TblMili[[#This Row],[WG''s]],4),wg_wiz_cost_cap) + tech_1_9_2*TblTech[[#This Row],[1-9]] + tech_9_1_2*TblTech[[#This Row],[9-1]])*wizard_plat,0)</f>
        <v>500</v>
      </c>
      <c r="BU39" s="94">
        <f ca="1">ROUNDUP((1-MIN(ROUND(wg_wiz_cost_bonus*TblMili[[#This Row],[WG''s]],4),wg_wiz_cost_cap) + tech_1_9_2*TblTech[[#This Row],[1-9]] + tech_9_1_2*TblTech[[#This Row],[9-1]])*(archmage_plat + IF(TblMagic[[#This Row],[Active Arc Infusion]]&gt;0,400,0)),0)</f>
        <v>1000</v>
      </c>
      <c r="BV39" s="142"/>
      <c r="BW39" s="157">
        <f ca="1">TblConstr[[#This Row],[Homeland]]/TblConstr[[#This Row],[Land]]</f>
        <v>0.6</v>
      </c>
      <c r="BX39" s="157">
        <f ca="1">TblMili[[#This Row],[WG''s]]</f>
        <v>0</v>
      </c>
      <c r="BY39" s="251">
        <f ca="1">IF(mystic_cap="none",TblMili[[#This Row],[Homeland%]]/mystic_bonus,MIN(mystic_cap,TblMili[[#This Row],[Homeland%]]/mystic_bonus))</f>
        <v>2</v>
      </c>
      <c r="BZ39" s="251">
        <f ca="1">IF(druid_op_cap="none",TblMili[[#This Row],[Homeland%]]/druid_op_bonus,MIN(druid_op_cap,TblMili[[#This Row],[Homeland%]]/druid_op_bonus))</f>
        <v>2</v>
      </c>
      <c r="CA39" s="251">
        <f ca="1">IF(druid_dp_cap="none",TblMili[[#This Row],[Homeland%]]/druid_dp_bonus,MIN(druid_dp_cap,TblMili[[#This Row],[Homeland%]]/druid_dp_bonus))</f>
        <v>2</v>
      </c>
      <c r="CB39" s="251">
        <f ca="1">MIN(dryad_cap,TblMili[[#This Row],[Homeland%]]/dryad_bonus)</f>
        <v>2.9999999999999996</v>
      </c>
      <c r="CC39" s="251">
        <f ca="1">MIN(rocka_cap,TblMili[[#This Row],[Homeland%]]/rocka_bonus)</f>
        <v>2</v>
      </c>
      <c r="CD39" s="251">
        <f ca="1">MIN(adept_op_cap,TblMili[[#This Row],[WG]]/adept_op_bonus)</f>
        <v>0</v>
      </c>
      <c r="CE39" s="251">
        <f ca="1">MIN(adept_dp_cap,TblMili[[#This Row],[WG]]/adept_dp_bonus)</f>
        <v>0</v>
      </c>
      <c r="CF39" s="94">
        <f ca="1">MIN(TblMili[[#This Row],[Unit 3]],TblMili[[#This Row],[Unit 2]])*2</f>
        <v>0</v>
      </c>
      <c r="CG39" s="94">
        <f ca="1">MIN(TblMili[[#This Row],[Unit 1]],TblMili[[#This Row],[Unit 4]])*2</f>
        <v>0</v>
      </c>
      <c r="CH39" s="251">
        <f ca="1">MIN(frost_mage_cap,TblMili[[#This Row],[Homeland%]]/frost_mage_bonus)</f>
        <v>2.9999999999999996</v>
      </c>
      <c r="CI39" s="45">
        <f ca="1">MIN(ice_elem_cap,TblMili[[#This Row],[Raw (2)]]*ice_elem_bonus)</f>
        <v>0</v>
      </c>
      <c r="CJ39" s="251">
        <f t="shared" si="2"/>
        <v>0.83333333333333337</v>
      </c>
      <c r="CK39" s="251">
        <f ca="1">MIN(nox_nightshade_cap,TblConstr[[#This Row],[Homeland]]/TblConstr[[#This Row],[Land]]/nox_nightshade_swamp_bonus)</f>
        <v>4</v>
      </c>
      <c r="CL39" s="251">
        <f ca="1">MIN(TblConstr[[#This Row],[Total Swamp]]/TblConstr[[#This Row],[Land]]/abyss_enforce_bonus,abyss_enforcer_cap)</f>
        <v>0</v>
      </c>
      <c r="CM39" s="251">
        <f ca="1">IF(TblMagic[[#This Row],[Active Infernal Command]]&gt;0,TblMili[[#This Row],[Unit 1]]*infernal_cmd_op,0)</f>
        <v>0</v>
      </c>
      <c r="CN39" s="252"/>
      <c r="CO39" s="252"/>
      <c r="CP39" s="252"/>
      <c r="CQ39" s="251">
        <f ca="1">TblMili[[#This Row],[Mystic]]*2</f>
        <v>4</v>
      </c>
      <c r="CR39" s="251">
        <f ca="1">TblMili[[#This Row],[Druid (op)]]*2</f>
        <v>4</v>
      </c>
      <c r="CS39" s="94">
        <f ca="1">TblMili[[#This Row],[Mystic bonus]]*TblMili[[#This Row],[Unit 3]]+TblMili[[#This Row],[Druid bonus]]*TblMili[[#This Row],[Unit 4]]</f>
        <v>0</v>
      </c>
      <c r="CT39" s="155">
        <f ca="1">TblMili[[#This Row],[Dryad]]*2</f>
        <v>5.9999999999999991</v>
      </c>
      <c r="CU39" s="94">
        <f ca="1">sylvan*(TblMili[[#This Row],[Mystic bonus]]*TblMili[[#This Row],[Unit 3]])</f>
        <v>0</v>
      </c>
      <c r="CV39" s="155">
        <f ca="1">TblMili[[#This Row],[Rockapult]]*2</f>
        <v>4</v>
      </c>
      <c r="CW39" s="94">
        <f ca="1">gnome*(TblMili[[#This Row],[Rockapult bonus]]*TblMili[[#This Row],[Unit 3]])</f>
        <v>0</v>
      </c>
      <c r="CX39" s="155">
        <f ca="1">TblMili[[#This Row],[Adept-DP]]*2</f>
        <v>0</v>
      </c>
      <c r="CY39" s="94">
        <f ca="1">dark_elf*(TblMili[[#This Row],[Adept bonus]]*TblMili[[#This Row],[Unit 3]])</f>
        <v>0</v>
      </c>
      <c r="CZ39" s="155">
        <f ca="1">TblMili[[#This Row],[Frost Mage]]*2</f>
        <v>5.9999999999999991</v>
      </c>
      <c r="DA39" s="155">
        <f ca="1">TblMili[[#This Row],[Ice Elemental]]*2</f>
        <v>0</v>
      </c>
      <c r="DB39" s="94">
        <f ca="1">TblMili[[#This Row],[Frost Mage bonus]]*TblMili[[#This Row],[Unit 3]]+TblMili[[#This Row],[Ice Elemental bonus]]*TblMili[[#This Row],[Unit 4]]</f>
        <v>0</v>
      </c>
      <c r="DC39" s="253"/>
      <c r="DD39" s="143">
        <f ca="1">MIN(SUM(TblConstr[[#This Row],[Plain]:[Water]])/TblMili[[#This Row],[Land]]/favorable_terrain_bonus/100,favorable_terrain_max)</f>
        <v>0</v>
      </c>
      <c r="DE39" s="253"/>
      <c r="DF3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9" s="142"/>
      <c r="DH39" s="254">
        <f ca="1">(TblMili[[#This Row],[Wizards]]+2*TblMili[[#This Row],[Archmages]])/TblConstr[[#This Row],[Land]]</f>
        <v>0</v>
      </c>
      <c r="DI39" s="254">
        <f ca="1">TblMili[[#This Row],[Raw (2)]]*(1+race_wizard_strength+IF(TblMili[[#This Row],[Hour]]&gt;72,tech_magical_weaponry_wiz*TblTech[[#This Row],[3-5]],0))</f>
        <v>0</v>
      </c>
    </row>
    <row r="40" spans="1:113" x14ac:dyDescent="0.2">
      <c r="A40" s="137">
        <f>TblRezone[[#This Row],[Hour]]</f>
        <v>37</v>
      </c>
      <c r="B40" s="246">
        <f ca="1">SUM(TblMili[[#This Row],[Unit 1]:[Archmages]])+SUM(OFFSET(TblMili[[#This Row],[Train Unit 1]],-8,0):TblMili[[#This Row],[Train Unit 2]]) + SUM(OFFSET(TblMili[[#This Row],[Train Unit 3]],-11,0):TblMili[[#This Row],[Train AM]]) + TblMili[[#This Row],[Draftees]]</f>
        <v>441</v>
      </c>
      <c r="C40" s="157">
        <f ca="1">TblPop[[#This Row],[Military%]]</f>
        <v>0.57347204161248377</v>
      </c>
      <c r="D40" s="142"/>
      <c r="E40" s="45">
        <f ca="1">OFFSET(TblMili[[#This Row],[Unit 1]],-1,0) + OFFSET(TblMili[[#This Row],[Train Unit 1]],-9,0) - TblMili[[#This Row],[Release Unit 1]] + OFFSET(TblMili[[#This Row],[DnD_Zombies]],-12,0)</f>
        <v>0</v>
      </c>
      <c r="F40" s="45">
        <f ca="1">OFFSET(TblMili[[#This Row],[Unit 2]],-1,0) + OFFSET(TblMili[[#This Row],[Train Unit 2]],-9,0)-TblMili[[#This Row],[Release Unit 2]]</f>
        <v>0</v>
      </c>
      <c r="G40" s="45">
        <f ca="1">OFFSET(TblMili[[#This Row],[Unit 3]],-1,0) + OFFSET(TblMili[[#This Row],[Train Unit 3]],-12,0)-TblMili[[#This Row],[Release Unit 3]]</f>
        <v>0</v>
      </c>
      <c r="H40" s="45">
        <f ca="1">OFFSET(TblMili[[#This Row],[Unit 4]],-1,0) + OFFSET(TblMili[[#This Row],[Train Unit 4]],-12,0)-TblMili[[#This Row],[Release Unit 4]]</f>
        <v>0</v>
      </c>
      <c r="I40" s="45">
        <f ca="1">OFFSET(TblMili[[#This Row],[Spies]],-1,0) + OFFSET(TblMili[[#This Row],[Train Spies]],-12,0) - TblMili[[#This Row],[Release Spies]]-TblMili[[#This Row],[Train AS]]</f>
        <v>0</v>
      </c>
      <c r="J40" s="45">
        <f ca="1">OFFSET(TblMili[[#This Row],[Archspies]],-1,0) + OFFSET(TblMili[[#This Row],[Train AS]],-12,0) - TblMili[[#This Row],[Release AS]]</f>
        <v>0</v>
      </c>
      <c r="K40" s="45">
        <f ca="1">OFFSET(TblMili[[#This Row],[Wizards]],-1,0) + OFFSET(TblMili[[#This Row],[Train Wiz]],-12,0) - TblMili[[#This Row],[Release Wizards]]-TblMili[[#This Row],[Train AM]] + IF(TblMagic[[#This Row],[Active Arc Infusion]]&gt;0,TblMili[[#This Row],[Train AM]])</f>
        <v>0</v>
      </c>
      <c r="L40" s="45">
        <f ca="1">OFFSET(TblMili[[#This Row],[Archmages]],-1,0) + OFFSET(TblMili[[#This Row],[Train AM]],-12,0) - TblMili[[#This Row],[Release AM]]</f>
        <v>0</v>
      </c>
      <c r="M40" s="142"/>
      <c r="N40" s="94">
        <f ca="1">TblProd[[#This Row],[Networth]]</f>
        <v>1250</v>
      </c>
      <c r="O40" s="142"/>
      <c r="P40"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4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0" s="247">
        <f ca="1">TblMili[[#This Row],[Raw]]*(1+TblMili[[#This Row],[Mods_Off]])</f>
        <v>0</v>
      </c>
      <c r="S40"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40" s="247">
        <f ca="1">TblMili[[#This Row],[Non Draft]]+TblMili[[#This Row],[Draftees]]</f>
        <v>441</v>
      </c>
      <c r="U40" s="248">
        <f ca="1">race_defense + TblImps[[#This Row],[Walls]] + ROUND( MIN(gt_bonus*TblConstr[[#This Row],[Tot GT]]/TblConstr[[#This Row],[Land]],gt_bonus_cap), 4) + IF(TblMagic[[#This Row],[Active Howling]]&gt;0,howling_dp_bonus,IF(TblMagic[[#This Row],[Active Ares Call]]&gt;0,ares_call_bonus))</f>
        <v>0</v>
      </c>
      <c r="V40" s="249">
        <f ca="1">TblMili[[#This Row],[Non Draft]] * (1 + TblMili[[#This Row],[Mods_Def]])</f>
        <v>0</v>
      </c>
      <c r="W40" s="247">
        <f ca="1">TblMili[[#This Row],[Draft]] * (1 + TblMili[[#This Row],[Mods_Def]])</f>
        <v>441</v>
      </c>
      <c r="X40" s="247">
        <f ca="1">TblConstr[[#This Row],[Land]]</f>
        <v>50</v>
      </c>
      <c r="Y40" s="250"/>
      <c r="Z40" s="255">
        <f ca="1">IF(TblMili[[#This Row],[Set]]&lt;&gt;"",TblMili[[#This Row],[Set]],OFFSET(TblMili[[#This Row],[Draftrate]],-1,0))</f>
        <v>0.9</v>
      </c>
      <c r="AA40"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441</v>
      </c>
      <c r="AB40" s="154"/>
      <c r="AC40" s="180">
        <f ca="1">(TblConstr[[#This Row],[Tot Smi]]+TblConstr[[#This Row],[Dest Smi]])/(TblConstr[[#This Row],[Land]]-TblExplore[[#This Row],[Land Bonus]]*20)</f>
        <v>0</v>
      </c>
      <c r="AD40" s="137"/>
      <c r="AE40" s="246">
        <f>TblMili[[#This Row],[Hour]]</f>
        <v>37</v>
      </c>
      <c r="AF40" s="138">
        <f ca="1">TblExplore[[#This Row],[Time]]</f>
        <v>46321.499999999913</v>
      </c>
      <c r="AG40" s="179"/>
      <c r="AH40" s="179"/>
      <c r="AI40" s="179"/>
      <c r="AJ40" s="179"/>
      <c r="AK40" s="179"/>
      <c r="AL40" s="179"/>
      <c r="AM40" s="179"/>
      <c r="AN40" s="179"/>
      <c r="AO40" s="420">
        <f ca="1">ROUND(IF(AND(TblMagic[[#This Row],[Active DnD]]&lt;12,TblMagic[[#This Row],[Active DnD]]&gt;5),OFFSET(TblPop[[#This Row],[Draft Growth]],-1,0)*0.375,0),0)</f>
        <v>0</v>
      </c>
      <c r="AP40" s="142"/>
      <c r="AQ40" s="94">
        <f ca="1">TblProd[[#This Row],[Platinum]]</f>
        <v>158460</v>
      </c>
      <c r="AR40" s="94">
        <f ca="1">INDEX(TblProd[[#Headers],[Lumber]]:TblProd[[#This Row],[Ore]],COUNTA(TblProd[[#Headers],[Lumber]]:TblProd[[#This Row],[Lumber]]),MATCH(Military!$AR$2,TblProd[[#Headers],[Lumber]:[Ore]],0))</f>
        <v>0</v>
      </c>
      <c r="AS4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40" s="94">
        <f ca="1">TblMili[[#This Row],[Train Unit 1]]*TblMili[[#This Row],[OP Ore]]+TblMili[[#This Row],[Train Unit 2]]*TblMili[[#This Row],[DP Ore]]+TblMili[[#This Row],[Train Unit 3]]*TblMili[[#This Row],[E1 Ore]]+TblMili[[#This Row],[Train Unit 4]]*TblMili[[#This Row],[E2 Ore]]</f>
        <v>0</v>
      </c>
      <c r="AU40" s="142">
        <f>TblMili[[#This Row],[Hour]]</f>
        <v>37</v>
      </c>
      <c r="AV40" s="152">
        <f ca="1">TblMili[[#This Row],[Time]]</f>
        <v>46321.499999999913</v>
      </c>
      <c r="AW40" s="94">
        <f ca="1">TblMili[[#This Row],[Draftees]]</f>
        <v>441</v>
      </c>
      <c r="AX40" s="179"/>
      <c r="AY40" s="179"/>
      <c r="AZ40" s="179"/>
      <c r="BA40" s="179"/>
      <c r="BB40" s="179"/>
      <c r="BC40" s="179"/>
      <c r="BD40" s="179"/>
      <c r="BE40" s="179"/>
      <c r="BF40" s="179"/>
      <c r="BG40" s="142"/>
      <c r="BH40" s="157">
        <f ca="1">TblConstr[[#This Row],[Tot WG]]/TblConstr[[#This Row],[Land]]</f>
        <v>0</v>
      </c>
      <c r="BI40" s="157">
        <f ca="1">TblConstr[[#This Row],[Tot Hav]]/TblConstr[[#This Row],[Land]]</f>
        <v>0</v>
      </c>
      <c r="BJ40" s="94">
        <f ca="1">ROUNDUP((1-MIN(TblMili[[#This Row],[Smithies]]*smithy_bonus,smithy_bonus_cap) + tech_3_5*TblTech[[#This Row],[3-5]] + tech_5_3*TblTech[[#This Row],[5-3]] + tech_5_5*TblTech[[#This Row],[5-5]])*spec_op_plat,0)</f>
        <v>315</v>
      </c>
      <c r="BK40" s="94">
        <f ca="1">ROUNDUP(IF(race="Gnome",1,(1-MIN(TblMili[[#This Row],[Smithies]]*smithy_bonus,smithy_bonus_cap) + tech_3_5*TblTech[[#This Row],[3-5]] + tech_5_3*TblTech[[#This Row],[5-3]] + tech_5_5*TblTech[[#This Row],[5-5]]))*spec_op_ore,0)</f>
        <v>25</v>
      </c>
      <c r="BL40" s="94">
        <f ca="1">ROUNDUP((1-MIN(TblMili[[#This Row],[Smithies]]*smithy_bonus,smithy_bonus_cap) + tech_3_5*TblTech[[#This Row],[3-5]] + tech_5_3*TblTech[[#This Row],[5-3]] + tech_5_5*TblTech[[#This Row],[5-5]])*spec_dp_plat,0)</f>
        <v>275</v>
      </c>
      <c r="BM40" s="94">
        <f ca="1">ROUNDUP(IF(race="Gnome",1,(1-MIN(TblMili[[#This Row],[Smithies]]*smithy_bonus,smithy_bonus_cap) + tech_3_5*TblTech[[#This Row],[3-5]] + tech_5_3*TblTech[[#This Row],[5-3]] + tech_5_5*TblTech[[#This Row],[5-5]]))*spec_dp_ore,0)</f>
        <v>15</v>
      </c>
      <c r="BN40" s="94">
        <f ca="1">ROUNDUP((1-MIN(TblMili[[#This Row],[Smithies]]*smithy_bonus,smithy_bonus_cap) + tech_3_5*TblTech[[#This Row],[3-5]] + tech_5_3*TblTech[[#This Row],[5-3]] + tech_5_5*TblTech[[#This Row],[5-5]])*elite1_plat,0)</f>
        <v>1040</v>
      </c>
      <c r="BO40" s="94">
        <f ca="1">ROUNDUP(IF(race="Gnome",1,(1-MIN(TblMili[[#This Row],[Smithies]]*smithy_bonus,smithy_bonus_cap) + tech_3_5*TblTech[[#This Row],[3-5]] + tech_5_3*TblTech[[#This Row],[5-3]] + tech_5_5*TblTech[[#This Row],[5-5]]))*elite1_ore,0)</f>
        <v>75</v>
      </c>
      <c r="BP40" s="94">
        <f ca="1">ROUNDUP((1-MIN(TblMili[[#This Row],[Smithies]]*smithy_bonus,smithy_bonus_cap) + tech_3_5*TblTech[[#This Row],[3-5]] + tech_5_3*TblTech[[#This Row],[5-3]] + tech_5_5*TblTech[[#This Row],[5-5]])*elite2_plat,0)</f>
        <v>1280</v>
      </c>
      <c r="BQ40" s="94">
        <f ca="1">ROUNDUP(IF(race="Gnome",1,(1-MIN(TblMili[[#This Row],[Smithies]]*smithy_bonus,smithy_bonus_cap) + tech_3_5*TblTech[[#This Row],[3-5]] + tech_5_3*TblTech[[#This Row],[5-3]] + tech_5_5*TblTech[[#This Row],[5-5]]))*elite2_ore,0)</f>
        <v>100</v>
      </c>
      <c r="BR40" s="94">
        <f ca="1">ROUNDUP((1-MIN(ROUND(fh_spy_cost_red*TblMili[[#This Row],[FH''s]],4),fh_spy_cost_cap)+ tech_1_9*TblTech[[#This Row],[1-9]] + tech_9_1*TblTech[[#This Row],[9-1]])*spy_plat,0)</f>
        <v>500</v>
      </c>
      <c r="BS40" s="94">
        <f ca="1">ROUNDUP((1-MIN(ROUND(fh_spy_cost_red*TblMili[[#This Row],[FH''s]],4),fh_spy_cost_cap)+ tech_1_9*TblTech[[#This Row],[1-9]] + tech_9_1*TblTech[[#This Row],[9-1]])*archspy_plat,0)</f>
        <v>1000</v>
      </c>
      <c r="BT40" s="94">
        <f ca="1">ROUNDUP((1-MIN(ROUND(wg_wiz_cost_bonus*TblMili[[#This Row],[WG''s]],4),wg_wiz_cost_cap) + tech_1_9_2*TblTech[[#This Row],[1-9]] + tech_9_1_2*TblTech[[#This Row],[9-1]])*wizard_plat,0)</f>
        <v>500</v>
      </c>
      <c r="BU40" s="94">
        <f ca="1">ROUNDUP((1-MIN(ROUND(wg_wiz_cost_bonus*TblMili[[#This Row],[WG''s]],4),wg_wiz_cost_cap) + tech_1_9_2*TblTech[[#This Row],[1-9]] + tech_9_1_2*TblTech[[#This Row],[9-1]])*(archmage_plat + IF(TblMagic[[#This Row],[Active Arc Infusion]]&gt;0,400,0)),0)</f>
        <v>1000</v>
      </c>
      <c r="BV40" s="142"/>
      <c r="BW40" s="157">
        <f ca="1">TblConstr[[#This Row],[Homeland]]/TblConstr[[#This Row],[Land]]</f>
        <v>0.6</v>
      </c>
      <c r="BX40" s="157">
        <f ca="1">TblMili[[#This Row],[WG''s]]</f>
        <v>0</v>
      </c>
      <c r="BY40" s="251">
        <f ca="1">IF(mystic_cap="none",TblMili[[#This Row],[Homeland%]]/mystic_bonus,MIN(mystic_cap,TblMili[[#This Row],[Homeland%]]/mystic_bonus))</f>
        <v>2</v>
      </c>
      <c r="BZ40" s="251">
        <f ca="1">IF(druid_op_cap="none",TblMili[[#This Row],[Homeland%]]/druid_op_bonus,MIN(druid_op_cap,TblMili[[#This Row],[Homeland%]]/druid_op_bonus))</f>
        <v>2</v>
      </c>
      <c r="CA40" s="251">
        <f ca="1">IF(druid_dp_cap="none",TblMili[[#This Row],[Homeland%]]/druid_dp_bonus,MIN(druid_dp_cap,TblMili[[#This Row],[Homeland%]]/druid_dp_bonus))</f>
        <v>2</v>
      </c>
      <c r="CB40" s="251">
        <f ca="1">MIN(dryad_cap,TblMili[[#This Row],[Homeland%]]/dryad_bonus)</f>
        <v>2.9999999999999996</v>
      </c>
      <c r="CC40" s="251">
        <f ca="1">MIN(rocka_cap,TblMili[[#This Row],[Homeland%]]/rocka_bonus)</f>
        <v>2</v>
      </c>
      <c r="CD40" s="251">
        <f ca="1">MIN(adept_op_cap,TblMili[[#This Row],[WG]]/adept_op_bonus)</f>
        <v>0</v>
      </c>
      <c r="CE40" s="251">
        <f ca="1">MIN(adept_dp_cap,TblMili[[#This Row],[WG]]/adept_dp_bonus)</f>
        <v>0</v>
      </c>
      <c r="CF40" s="94">
        <f ca="1">MIN(TblMili[[#This Row],[Unit 3]],TblMili[[#This Row],[Unit 2]])*2</f>
        <v>0</v>
      </c>
      <c r="CG40" s="94">
        <f ca="1">MIN(TblMili[[#This Row],[Unit 1]],TblMili[[#This Row],[Unit 4]])*2</f>
        <v>0</v>
      </c>
      <c r="CH40" s="251">
        <f ca="1">MIN(frost_mage_cap,TblMili[[#This Row],[Homeland%]]/frost_mage_bonus)</f>
        <v>2.9999999999999996</v>
      </c>
      <c r="CI40" s="45">
        <f ca="1">MIN(ice_elem_cap,TblMili[[#This Row],[Raw (2)]]*ice_elem_bonus)</f>
        <v>0</v>
      </c>
      <c r="CJ40" s="251">
        <f t="shared" si="2"/>
        <v>0.83333333333333337</v>
      </c>
      <c r="CK40" s="251">
        <f ca="1">MIN(nox_nightshade_cap,TblConstr[[#This Row],[Homeland]]/TblConstr[[#This Row],[Land]]/nox_nightshade_swamp_bonus)</f>
        <v>4</v>
      </c>
      <c r="CL40" s="251">
        <f ca="1">MIN(TblConstr[[#This Row],[Total Swamp]]/TblConstr[[#This Row],[Land]]/abyss_enforce_bonus,abyss_enforcer_cap)</f>
        <v>0</v>
      </c>
      <c r="CM40" s="251">
        <f ca="1">IF(TblMagic[[#This Row],[Active Infernal Command]]&gt;0,TblMili[[#This Row],[Unit 1]]*infernal_cmd_op,0)</f>
        <v>0</v>
      </c>
      <c r="CN40" s="252"/>
      <c r="CO40" s="252"/>
      <c r="CP40" s="252"/>
      <c r="CQ40" s="251">
        <f ca="1">TblMili[[#This Row],[Mystic]]*2</f>
        <v>4</v>
      </c>
      <c r="CR40" s="251">
        <f ca="1">TblMili[[#This Row],[Druid (op)]]*2</f>
        <v>4</v>
      </c>
      <c r="CS40" s="94">
        <f ca="1">TblMili[[#This Row],[Mystic bonus]]*TblMili[[#This Row],[Unit 3]]+TblMili[[#This Row],[Druid bonus]]*TblMili[[#This Row],[Unit 4]]</f>
        <v>0</v>
      </c>
      <c r="CT40" s="155">
        <f ca="1">TblMili[[#This Row],[Dryad]]*2</f>
        <v>5.9999999999999991</v>
      </c>
      <c r="CU40" s="94">
        <f ca="1">sylvan*(TblMili[[#This Row],[Mystic bonus]]*TblMili[[#This Row],[Unit 3]])</f>
        <v>0</v>
      </c>
      <c r="CV40" s="155">
        <f ca="1">TblMili[[#This Row],[Rockapult]]*2</f>
        <v>4</v>
      </c>
      <c r="CW40" s="94">
        <f ca="1">gnome*(TblMili[[#This Row],[Rockapult bonus]]*TblMili[[#This Row],[Unit 3]])</f>
        <v>0</v>
      </c>
      <c r="CX40" s="155">
        <f ca="1">TblMili[[#This Row],[Adept-DP]]*2</f>
        <v>0</v>
      </c>
      <c r="CY40" s="94">
        <f ca="1">dark_elf*(TblMili[[#This Row],[Adept bonus]]*TblMili[[#This Row],[Unit 3]])</f>
        <v>0</v>
      </c>
      <c r="CZ40" s="155">
        <f ca="1">TblMili[[#This Row],[Frost Mage]]*2</f>
        <v>5.9999999999999991</v>
      </c>
      <c r="DA40" s="155">
        <f ca="1">TblMili[[#This Row],[Ice Elemental]]*2</f>
        <v>0</v>
      </c>
      <c r="DB40" s="94">
        <f ca="1">TblMili[[#This Row],[Frost Mage bonus]]*TblMili[[#This Row],[Unit 3]]+TblMili[[#This Row],[Ice Elemental bonus]]*TblMili[[#This Row],[Unit 4]]</f>
        <v>0</v>
      </c>
      <c r="DC40" s="253"/>
      <c r="DD40" s="143">
        <f ca="1">MIN(SUM(TblConstr[[#This Row],[Plain]:[Water]])/TblMili[[#This Row],[Land]]/favorable_terrain_bonus/100,favorable_terrain_max)</f>
        <v>0</v>
      </c>
      <c r="DE40" s="253"/>
      <c r="DF4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0" s="142"/>
      <c r="DH40" s="254">
        <f ca="1">(TblMili[[#This Row],[Wizards]]+2*TblMili[[#This Row],[Archmages]])/TblConstr[[#This Row],[Land]]</f>
        <v>0</v>
      </c>
      <c r="DI40" s="254">
        <f ca="1">TblMili[[#This Row],[Raw (2)]]*(1+race_wizard_strength+IF(TblMili[[#This Row],[Hour]]&gt;72,tech_magical_weaponry_wiz*TblTech[[#This Row],[3-5]],0))</f>
        <v>0</v>
      </c>
    </row>
    <row r="41" spans="1:113" x14ac:dyDescent="0.2">
      <c r="A41" s="137">
        <f>TblRezone[[#This Row],[Hour]]</f>
        <v>38</v>
      </c>
      <c r="B41" s="246">
        <f ca="1">SUM(TblMili[[#This Row],[Unit 1]:[Archmages]])+SUM(OFFSET(TblMili[[#This Row],[Train Unit 1]],-8,0):TblMili[[#This Row],[Train Unit 2]]) + SUM(OFFSET(TblMili[[#This Row],[Train Unit 3]],-11,0):TblMili[[#This Row],[Train AM]]) + TblMili[[#This Row],[Draftees]]</f>
        <v>444</v>
      </c>
      <c r="C41" s="157">
        <f ca="1">TblPop[[#This Row],[Military%]]</f>
        <v>0.57737321196358904</v>
      </c>
      <c r="D41" s="142"/>
      <c r="E41" s="45">
        <f ca="1">OFFSET(TblMili[[#This Row],[Unit 1]],-1,0) + OFFSET(TblMili[[#This Row],[Train Unit 1]],-9,0) - TblMili[[#This Row],[Release Unit 1]] + OFFSET(TblMili[[#This Row],[DnD_Zombies]],-12,0)</f>
        <v>0</v>
      </c>
      <c r="F41" s="45">
        <f ca="1">OFFSET(TblMili[[#This Row],[Unit 2]],-1,0) + OFFSET(TblMili[[#This Row],[Train Unit 2]],-9,0)-TblMili[[#This Row],[Release Unit 2]]</f>
        <v>0</v>
      </c>
      <c r="G41" s="45">
        <f ca="1">OFFSET(TblMili[[#This Row],[Unit 3]],-1,0) + OFFSET(TblMili[[#This Row],[Train Unit 3]],-12,0)-TblMili[[#This Row],[Release Unit 3]]</f>
        <v>0</v>
      </c>
      <c r="H41" s="45">
        <f ca="1">OFFSET(TblMili[[#This Row],[Unit 4]],-1,0) + OFFSET(TblMili[[#This Row],[Train Unit 4]],-12,0)-TblMili[[#This Row],[Release Unit 4]]</f>
        <v>0</v>
      </c>
      <c r="I41" s="45">
        <f ca="1">OFFSET(TblMili[[#This Row],[Spies]],-1,0) + OFFSET(TblMili[[#This Row],[Train Spies]],-12,0) - TblMili[[#This Row],[Release Spies]]-TblMili[[#This Row],[Train AS]]</f>
        <v>0</v>
      </c>
      <c r="J41" s="45">
        <f ca="1">OFFSET(TblMili[[#This Row],[Archspies]],-1,0) + OFFSET(TblMili[[#This Row],[Train AS]],-12,0) - TblMili[[#This Row],[Release AS]]</f>
        <v>0</v>
      </c>
      <c r="K41" s="45">
        <f ca="1">OFFSET(TblMili[[#This Row],[Wizards]],-1,0) + OFFSET(TblMili[[#This Row],[Train Wiz]],-12,0) - TblMili[[#This Row],[Release Wizards]]-TblMili[[#This Row],[Train AM]] + IF(TblMagic[[#This Row],[Active Arc Infusion]]&gt;0,TblMili[[#This Row],[Train AM]])</f>
        <v>0</v>
      </c>
      <c r="L41" s="45">
        <f ca="1">OFFSET(TblMili[[#This Row],[Archmages]],-1,0) + OFFSET(TblMili[[#This Row],[Train AM]],-12,0) - TblMili[[#This Row],[Release AM]]</f>
        <v>0</v>
      </c>
      <c r="M41" s="142"/>
      <c r="N41" s="94">
        <f ca="1">TblProd[[#This Row],[Networth]]</f>
        <v>1250</v>
      </c>
      <c r="O41" s="142"/>
      <c r="P41"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4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1" s="247">
        <f ca="1">TblMili[[#This Row],[Raw]]*(1+TblMili[[#This Row],[Mods_Off]])</f>
        <v>0</v>
      </c>
      <c r="S41"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41" s="247">
        <f ca="1">TblMili[[#This Row],[Non Draft]]+TblMili[[#This Row],[Draftees]]</f>
        <v>444</v>
      </c>
      <c r="U41" s="248">
        <f ca="1">race_defense + TblImps[[#This Row],[Walls]] + ROUND( MIN(gt_bonus*TblConstr[[#This Row],[Tot GT]]/TblConstr[[#This Row],[Land]],gt_bonus_cap), 4) + IF(TblMagic[[#This Row],[Active Howling]]&gt;0,howling_dp_bonus,IF(TblMagic[[#This Row],[Active Ares Call]]&gt;0,ares_call_bonus))</f>
        <v>0</v>
      </c>
      <c r="V41" s="249">
        <f ca="1">TblMili[[#This Row],[Non Draft]] * (1 + TblMili[[#This Row],[Mods_Def]])</f>
        <v>0</v>
      </c>
      <c r="W41" s="247">
        <f ca="1">TblMili[[#This Row],[Draft]] * (1 + TblMili[[#This Row],[Mods_Def]])</f>
        <v>444</v>
      </c>
      <c r="X41" s="247">
        <f ca="1">TblConstr[[#This Row],[Land]]</f>
        <v>50</v>
      </c>
      <c r="Y41" s="250"/>
      <c r="Z41" s="255">
        <f ca="1">IF(TblMili[[#This Row],[Set]]&lt;&gt;"",TblMili[[#This Row],[Set]],OFFSET(TblMili[[#This Row],[Draftrate]],-1,0))</f>
        <v>0.9</v>
      </c>
      <c r="AA41"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444</v>
      </c>
      <c r="AB41" s="154"/>
      <c r="AC41" s="180">
        <f ca="1">(TblConstr[[#This Row],[Tot Smi]]+TblConstr[[#This Row],[Dest Smi]])/(TblConstr[[#This Row],[Land]]-TblExplore[[#This Row],[Land Bonus]]*20)</f>
        <v>0</v>
      </c>
      <c r="AD41" s="137"/>
      <c r="AE41" s="246">
        <f>TblMili[[#This Row],[Hour]]</f>
        <v>38</v>
      </c>
      <c r="AF41" s="138">
        <f ca="1">TblExplore[[#This Row],[Time]]</f>
        <v>46321.541666666577</v>
      </c>
      <c r="AG41" s="179"/>
      <c r="AH41" s="179"/>
      <c r="AI41" s="179"/>
      <c r="AJ41" s="179"/>
      <c r="AK41" s="179"/>
      <c r="AL41" s="179"/>
      <c r="AM41" s="179"/>
      <c r="AN41" s="179"/>
      <c r="AO41" s="420">
        <f ca="1">ROUND(IF(AND(TblMagic[[#This Row],[Active DnD]]&lt;12,TblMagic[[#This Row],[Active DnD]]&gt;5),OFFSET(TblPop[[#This Row],[Draft Growth]],-1,0)*0.375,0),0)</f>
        <v>0</v>
      </c>
      <c r="AP41" s="142"/>
      <c r="AQ41" s="94">
        <f ca="1">TblProd[[#This Row],[Platinum]]</f>
        <v>159345</v>
      </c>
      <c r="AR41" s="94">
        <f ca="1">INDEX(TblProd[[#Headers],[Lumber]]:TblProd[[#This Row],[Ore]],COUNTA(TblProd[[#Headers],[Lumber]]:TblProd[[#This Row],[Lumber]]),MATCH(Military!$AR$2,TblProd[[#Headers],[Lumber]:[Ore]],0))</f>
        <v>0</v>
      </c>
      <c r="AS4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41" s="94">
        <f ca="1">TblMili[[#This Row],[Train Unit 1]]*TblMili[[#This Row],[OP Ore]]+TblMili[[#This Row],[Train Unit 2]]*TblMili[[#This Row],[DP Ore]]+TblMili[[#This Row],[Train Unit 3]]*TblMili[[#This Row],[E1 Ore]]+TblMili[[#This Row],[Train Unit 4]]*TblMili[[#This Row],[E2 Ore]]</f>
        <v>0</v>
      </c>
      <c r="AU41" s="142">
        <f>TblMili[[#This Row],[Hour]]</f>
        <v>38</v>
      </c>
      <c r="AV41" s="152">
        <f ca="1">TblMili[[#This Row],[Time]]</f>
        <v>46321.541666666577</v>
      </c>
      <c r="AW41" s="94">
        <f ca="1">TblMili[[#This Row],[Draftees]]</f>
        <v>444</v>
      </c>
      <c r="AX41" s="179"/>
      <c r="AY41" s="179"/>
      <c r="AZ41" s="179"/>
      <c r="BA41" s="179"/>
      <c r="BB41" s="179"/>
      <c r="BC41" s="179"/>
      <c r="BD41" s="179"/>
      <c r="BE41" s="179"/>
      <c r="BF41" s="179"/>
      <c r="BG41" s="142"/>
      <c r="BH41" s="157">
        <f ca="1">TblConstr[[#This Row],[Tot WG]]/TblConstr[[#This Row],[Land]]</f>
        <v>0</v>
      </c>
      <c r="BI41" s="157">
        <f ca="1">TblConstr[[#This Row],[Tot Hav]]/TblConstr[[#This Row],[Land]]</f>
        <v>0</v>
      </c>
      <c r="BJ41" s="94">
        <f ca="1">ROUNDUP((1-MIN(TblMili[[#This Row],[Smithies]]*smithy_bonus,smithy_bonus_cap) + tech_3_5*TblTech[[#This Row],[3-5]] + tech_5_3*TblTech[[#This Row],[5-3]] + tech_5_5*TblTech[[#This Row],[5-5]])*spec_op_plat,0)</f>
        <v>315</v>
      </c>
      <c r="BK41" s="94">
        <f ca="1">ROUNDUP(IF(race="Gnome",1,(1-MIN(TblMili[[#This Row],[Smithies]]*smithy_bonus,smithy_bonus_cap) + tech_3_5*TblTech[[#This Row],[3-5]] + tech_5_3*TblTech[[#This Row],[5-3]] + tech_5_5*TblTech[[#This Row],[5-5]]))*spec_op_ore,0)</f>
        <v>25</v>
      </c>
      <c r="BL41" s="94">
        <f ca="1">ROUNDUP((1-MIN(TblMili[[#This Row],[Smithies]]*smithy_bonus,smithy_bonus_cap) + tech_3_5*TblTech[[#This Row],[3-5]] + tech_5_3*TblTech[[#This Row],[5-3]] + tech_5_5*TblTech[[#This Row],[5-5]])*spec_dp_plat,0)</f>
        <v>275</v>
      </c>
      <c r="BM41" s="94">
        <f ca="1">ROUNDUP(IF(race="Gnome",1,(1-MIN(TblMili[[#This Row],[Smithies]]*smithy_bonus,smithy_bonus_cap) + tech_3_5*TblTech[[#This Row],[3-5]] + tech_5_3*TblTech[[#This Row],[5-3]] + tech_5_5*TblTech[[#This Row],[5-5]]))*spec_dp_ore,0)</f>
        <v>15</v>
      </c>
      <c r="BN41" s="94">
        <f ca="1">ROUNDUP((1-MIN(TblMili[[#This Row],[Smithies]]*smithy_bonus,smithy_bonus_cap) + tech_3_5*TblTech[[#This Row],[3-5]] + tech_5_3*TblTech[[#This Row],[5-3]] + tech_5_5*TblTech[[#This Row],[5-5]])*elite1_plat,0)</f>
        <v>1040</v>
      </c>
      <c r="BO41" s="94">
        <f ca="1">ROUNDUP(IF(race="Gnome",1,(1-MIN(TblMili[[#This Row],[Smithies]]*smithy_bonus,smithy_bonus_cap) + tech_3_5*TblTech[[#This Row],[3-5]] + tech_5_3*TblTech[[#This Row],[5-3]] + tech_5_5*TblTech[[#This Row],[5-5]]))*elite1_ore,0)</f>
        <v>75</v>
      </c>
      <c r="BP41" s="94">
        <f ca="1">ROUNDUP((1-MIN(TblMili[[#This Row],[Smithies]]*smithy_bonus,smithy_bonus_cap) + tech_3_5*TblTech[[#This Row],[3-5]] + tech_5_3*TblTech[[#This Row],[5-3]] + tech_5_5*TblTech[[#This Row],[5-5]])*elite2_plat,0)</f>
        <v>1280</v>
      </c>
      <c r="BQ41" s="94">
        <f ca="1">ROUNDUP(IF(race="Gnome",1,(1-MIN(TblMili[[#This Row],[Smithies]]*smithy_bonus,smithy_bonus_cap) + tech_3_5*TblTech[[#This Row],[3-5]] + tech_5_3*TblTech[[#This Row],[5-3]] + tech_5_5*TblTech[[#This Row],[5-5]]))*elite2_ore,0)</f>
        <v>100</v>
      </c>
      <c r="BR41" s="94">
        <f ca="1">ROUNDUP((1-MIN(ROUND(fh_spy_cost_red*TblMili[[#This Row],[FH''s]],4),fh_spy_cost_cap)+ tech_1_9*TblTech[[#This Row],[1-9]] + tech_9_1*TblTech[[#This Row],[9-1]])*spy_plat,0)</f>
        <v>500</v>
      </c>
      <c r="BS41" s="94">
        <f ca="1">ROUNDUP((1-MIN(ROUND(fh_spy_cost_red*TblMili[[#This Row],[FH''s]],4),fh_spy_cost_cap)+ tech_1_9*TblTech[[#This Row],[1-9]] + tech_9_1*TblTech[[#This Row],[9-1]])*archspy_plat,0)</f>
        <v>1000</v>
      </c>
      <c r="BT41" s="94">
        <f ca="1">ROUNDUP((1-MIN(ROUND(wg_wiz_cost_bonus*TblMili[[#This Row],[WG''s]],4),wg_wiz_cost_cap) + tech_1_9_2*TblTech[[#This Row],[1-9]] + tech_9_1_2*TblTech[[#This Row],[9-1]])*wizard_plat,0)</f>
        <v>500</v>
      </c>
      <c r="BU41" s="94">
        <f ca="1">ROUNDUP((1-MIN(ROUND(wg_wiz_cost_bonus*TblMili[[#This Row],[WG''s]],4),wg_wiz_cost_cap) + tech_1_9_2*TblTech[[#This Row],[1-9]] + tech_9_1_2*TblTech[[#This Row],[9-1]])*(archmage_plat + IF(TblMagic[[#This Row],[Active Arc Infusion]]&gt;0,400,0)),0)</f>
        <v>1000</v>
      </c>
      <c r="BV41" s="142"/>
      <c r="BW41" s="157">
        <f ca="1">TblConstr[[#This Row],[Homeland]]/TblConstr[[#This Row],[Land]]</f>
        <v>0.6</v>
      </c>
      <c r="BX41" s="157">
        <f ca="1">TblMili[[#This Row],[WG''s]]</f>
        <v>0</v>
      </c>
      <c r="BY41" s="251">
        <f ca="1">IF(mystic_cap="none",TblMili[[#This Row],[Homeland%]]/mystic_bonus,MIN(mystic_cap,TblMili[[#This Row],[Homeland%]]/mystic_bonus))</f>
        <v>2</v>
      </c>
      <c r="BZ41" s="251">
        <f ca="1">IF(druid_op_cap="none",TblMili[[#This Row],[Homeland%]]/druid_op_bonus,MIN(druid_op_cap,TblMili[[#This Row],[Homeland%]]/druid_op_bonus))</f>
        <v>2</v>
      </c>
      <c r="CA41" s="251">
        <f ca="1">IF(druid_dp_cap="none",TblMili[[#This Row],[Homeland%]]/druid_dp_bonus,MIN(druid_dp_cap,TblMili[[#This Row],[Homeland%]]/druid_dp_bonus))</f>
        <v>2</v>
      </c>
      <c r="CB41" s="251">
        <f ca="1">MIN(dryad_cap,TblMili[[#This Row],[Homeland%]]/dryad_bonus)</f>
        <v>2.9999999999999996</v>
      </c>
      <c r="CC41" s="251">
        <f ca="1">MIN(rocka_cap,TblMili[[#This Row],[Homeland%]]/rocka_bonus)</f>
        <v>2</v>
      </c>
      <c r="CD41" s="251">
        <f ca="1">MIN(adept_op_cap,TblMili[[#This Row],[WG]]/adept_op_bonus)</f>
        <v>0</v>
      </c>
      <c r="CE41" s="251">
        <f ca="1">MIN(adept_dp_cap,TblMili[[#This Row],[WG]]/adept_dp_bonus)</f>
        <v>0</v>
      </c>
      <c r="CF41" s="94">
        <f ca="1">MIN(TblMili[[#This Row],[Unit 3]],TblMili[[#This Row],[Unit 2]])*2</f>
        <v>0</v>
      </c>
      <c r="CG41" s="94">
        <f ca="1">MIN(TblMili[[#This Row],[Unit 1]],TblMili[[#This Row],[Unit 4]])*2</f>
        <v>0</v>
      </c>
      <c r="CH41" s="251">
        <f ca="1">MIN(frost_mage_cap,TblMili[[#This Row],[Homeland%]]/frost_mage_bonus)</f>
        <v>2.9999999999999996</v>
      </c>
      <c r="CI41" s="45">
        <f ca="1">MIN(ice_elem_cap,TblMili[[#This Row],[Raw (2)]]*ice_elem_bonus)</f>
        <v>0</v>
      </c>
      <c r="CJ41" s="251">
        <f t="shared" si="2"/>
        <v>0.83333333333333337</v>
      </c>
      <c r="CK41" s="251">
        <f ca="1">MIN(nox_nightshade_cap,TblConstr[[#This Row],[Homeland]]/TblConstr[[#This Row],[Land]]/nox_nightshade_swamp_bonus)</f>
        <v>4</v>
      </c>
      <c r="CL41" s="251">
        <f ca="1">MIN(TblConstr[[#This Row],[Total Swamp]]/TblConstr[[#This Row],[Land]]/abyss_enforce_bonus,abyss_enforcer_cap)</f>
        <v>0</v>
      </c>
      <c r="CM41" s="251">
        <f ca="1">IF(TblMagic[[#This Row],[Active Infernal Command]]&gt;0,TblMili[[#This Row],[Unit 1]]*infernal_cmd_op,0)</f>
        <v>0</v>
      </c>
      <c r="CN41" s="252"/>
      <c r="CO41" s="252"/>
      <c r="CP41" s="252"/>
      <c r="CQ41" s="251">
        <f ca="1">TblMili[[#This Row],[Mystic]]*2</f>
        <v>4</v>
      </c>
      <c r="CR41" s="251">
        <f ca="1">TblMili[[#This Row],[Druid (op)]]*2</f>
        <v>4</v>
      </c>
      <c r="CS41" s="94">
        <f ca="1">TblMili[[#This Row],[Mystic bonus]]*TblMili[[#This Row],[Unit 3]]+TblMili[[#This Row],[Druid bonus]]*TblMili[[#This Row],[Unit 4]]</f>
        <v>0</v>
      </c>
      <c r="CT41" s="155">
        <f ca="1">TblMili[[#This Row],[Dryad]]*2</f>
        <v>5.9999999999999991</v>
      </c>
      <c r="CU41" s="94">
        <f ca="1">sylvan*(TblMili[[#This Row],[Mystic bonus]]*TblMili[[#This Row],[Unit 3]])</f>
        <v>0</v>
      </c>
      <c r="CV41" s="155">
        <f ca="1">TblMili[[#This Row],[Rockapult]]*2</f>
        <v>4</v>
      </c>
      <c r="CW41" s="94">
        <f ca="1">gnome*(TblMili[[#This Row],[Rockapult bonus]]*TblMili[[#This Row],[Unit 3]])</f>
        <v>0</v>
      </c>
      <c r="CX41" s="155">
        <f ca="1">TblMili[[#This Row],[Adept-DP]]*2</f>
        <v>0</v>
      </c>
      <c r="CY41" s="94">
        <f ca="1">dark_elf*(TblMili[[#This Row],[Adept bonus]]*TblMili[[#This Row],[Unit 3]])</f>
        <v>0</v>
      </c>
      <c r="CZ41" s="155">
        <f ca="1">TblMili[[#This Row],[Frost Mage]]*2</f>
        <v>5.9999999999999991</v>
      </c>
      <c r="DA41" s="155">
        <f ca="1">TblMili[[#This Row],[Ice Elemental]]*2</f>
        <v>0</v>
      </c>
      <c r="DB41" s="94">
        <f ca="1">TblMili[[#This Row],[Frost Mage bonus]]*TblMili[[#This Row],[Unit 3]]+TblMili[[#This Row],[Ice Elemental bonus]]*TblMili[[#This Row],[Unit 4]]</f>
        <v>0</v>
      </c>
      <c r="DC41" s="253"/>
      <c r="DD41" s="143">
        <f ca="1">MIN(SUM(TblConstr[[#This Row],[Plain]:[Water]])/TblMili[[#This Row],[Land]]/favorable_terrain_bonus/100,favorable_terrain_max)</f>
        <v>0</v>
      </c>
      <c r="DE41" s="253"/>
      <c r="DF4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1" s="142"/>
      <c r="DH41" s="254">
        <f ca="1">(TblMili[[#This Row],[Wizards]]+2*TblMili[[#This Row],[Archmages]])/TblConstr[[#This Row],[Land]]</f>
        <v>0</v>
      </c>
      <c r="DI41" s="254">
        <f ca="1">TblMili[[#This Row],[Raw (2)]]*(1+race_wizard_strength+IF(TblMili[[#This Row],[Hour]]&gt;72,tech_magical_weaponry_wiz*TblTech[[#This Row],[3-5]],0))</f>
        <v>0</v>
      </c>
    </row>
    <row r="42" spans="1:113" x14ac:dyDescent="0.2">
      <c r="A42" s="137">
        <f>TblRezone[[#This Row],[Hour]]</f>
        <v>39</v>
      </c>
      <c r="B42" s="246">
        <f ca="1">SUM(TblMili[[#This Row],[Unit 1]:[Archmages]])+SUM(OFFSET(TblMili[[#This Row],[Train Unit 1]],-8,0):TblMili[[#This Row],[Train Unit 2]]) + SUM(OFFSET(TblMili[[#This Row],[Train Unit 3]],-11,0):TblMili[[#This Row],[Train AM]]) + TblMili[[#This Row],[Draftees]]</f>
        <v>447</v>
      </c>
      <c r="C42" s="157">
        <f ca="1">TblPop[[#This Row],[Military%]]</f>
        <v>0.58127438231469442</v>
      </c>
      <c r="D42" s="142"/>
      <c r="E42" s="45">
        <f ca="1">OFFSET(TblMili[[#This Row],[Unit 1]],-1,0) + OFFSET(TblMili[[#This Row],[Train Unit 1]],-9,0) - TblMili[[#This Row],[Release Unit 1]] + OFFSET(TblMili[[#This Row],[DnD_Zombies]],-12,0)</f>
        <v>0</v>
      </c>
      <c r="F42" s="45">
        <f ca="1">OFFSET(TblMili[[#This Row],[Unit 2]],-1,0) + OFFSET(TblMili[[#This Row],[Train Unit 2]],-9,0)-TblMili[[#This Row],[Release Unit 2]]</f>
        <v>0</v>
      </c>
      <c r="G42" s="45">
        <f ca="1">OFFSET(TblMili[[#This Row],[Unit 3]],-1,0) + OFFSET(TblMili[[#This Row],[Train Unit 3]],-12,0)-TblMili[[#This Row],[Release Unit 3]]</f>
        <v>0</v>
      </c>
      <c r="H42" s="45">
        <f ca="1">OFFSET(TblMili[[#This Row],[Unit 4]],-1,0) + OFFSET(TblMili[[#This Row],[Train Unit 4]],-12,0)-TblMili[[#This Row],[Release Unit 4]]</f>
        <v>0</v>
      </c>
      <c r="I42" s="45">
        <f ca="1">OFFSET(TblMili[[#This Row],[Spies]],-1,0) + OFFSET(TblMili[[#This Row],[Train Spies]],-12,0) - TblMili[[#This Row],[Release Spies]]-TblMili[[#This Row],[Train AS]]</f>
        <v>0</v>
      </c>
      <c r="J42" s="45">
        <f ca="1">OFFSET(TblMili[[#This Row],[Archspies]],-1,0) + OFFSET(TblMili[[#This Row],[Train AS]],-12,0) - TblMili[[#This Row],[Release AS]]</f>
        <v>0</v>
      </c>
      <c r="K42" s="45">
        <f ca="1">OFFSET(TblMili[[#This Row],[Wizards]],-1,0) + OFFSET(TblMili[[#This Row],[Train Wiz]],-12,0) - TblMili[[#This Row],[Release Wizards]]-TblMili[[#This Row],[Train AM]] + IF(TblMagic[[#This Row],[Active Arc Infusion]]&gt;0,TblMili[[#This Row],[Train AM]])</f>
        <v>0</v>
      </c>
      <c r="L42" s="45">
        <f ca="1">OFFSET(TblMili[[#This Row],[Archmages]],-1,0) + OFFSET(TblMili[[#This Row],[Train AM]],-12,0) - TblMili[[#This Row],[Release AM]]</f>
        <v>0</v>
      </c>
      <c r="M42" s="142"/>
      <c r="N42" s="94">
        <f ca="1">TblProd[[#This Row],[Networth]]</f>
        <v>1250</v>
      </c>
      <c r="O42" s="142"/>
      <c r="P42"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4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2" s="247">
        <f ca="1">TblMili[[#This Row],[Raw]]*(1+TblMili[[#This Row],[Mods_Off]])</f>
        <v>0</v>
      </c>
      <c r="S42"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42" s="247">
        <f ca="1">TblMili[[#This Row],[Non Draft]]+TblMili[[#This Row],[Draftees]]</f>
        <v>447</v>
      </c>
      <c r="U42" s="248">
        <f ca="1">race_defense + TblImps[[#This Row],[Walls]] + ROUND( MIN(gt_bonus*TblConstr[[#This Row],[Tot GT]]/TblConstr[[#This Row],[Land]],gt_bonus_cap), 4) + IF(TblMagic[[#This Row],[Active Howling]]&gt;0,howling_dp_bonus,IF(TblMagic[[#This Row],[Active Ares Call]]&gt;0,ares_call_bonus))</f>
        <v>0</v>
      </c>
      <c r="V42" s="249">
        <f ca="1">TblMili[[#This Row],[Non Draft]] * (1 + TblMili[[#This Row],[Mods_Def]])</f>
        <v>0</v>
      </c>
      <c r="W42" s="247">
        <f ca="1">TblMili[[#This Row],[Draft]] * (1 + TblMili[[#This Row],[Mods_Def]])</f>
        <v>447</v>
      </c>
      <c r="X42" s="247">
        <f ca="1">TblConstr[[#This Row],[Land]]</f>
        <v>50</v>
      </c>
      <c r="Y42" s="250"/>
      <c r="Z42" s="255">
        <f ca="1">IF(TblMili[[#This Row],[Set]]&lt;&gt;"",TblMili[[#This Row],[Set]],OFFSET(TblMili[[#This Row],[Draftrate]],-1,0))</f>
        <v>0.9</v>
      </c>
      <c r="AA42"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447</v>
      </c>
      <c r="AB42" s="154"/>
      <c r="AC42" s="180">
        <f ca="1">(TblConstr[[#This Row],[Tot Smi]]+TblConstr[[#This Row],[Dest Smi]])/(TblConstr[[#This Row],[Land]]-TblExplore[[#This Row],[Land Bonus]]*20)</f>
        <v>0</v>
      </c>
      <c r="AD42" s="137"/>
      <c r="AE42" s="246">
        <f>TblMili[[#This Row],[Hour]]</f>
        <v>39</v>
      </c>
      <c r="AF42" s="138">
        <f ca="1">TblExplore[[#This Row],[Time]]</f>
        <v>46321.583333333241</v>
      </c>
      <c r="AG42" s="179"/>
      <c r="AH42" s="179"/>
      <c r="AI42" s="179"/>
      <c r="AJ42" s="179"/>
      <c r="AK42" s="179"/>
      <c r="AL42" s="179"/>
      <c r="AM42" s="179"/>
      <c r="AN42" s="179"/>
      <c r="AO42" s="420">
        <f ca="1">ROUND(IF(AND(TblMagic[[#This Row],[Active DnD]]&lt;12,TblMagic[[#This Row],[Active DnD]]&gt;5),OFFSET(TblPop[[#This Row],[Draft Growth]],-1,0)*0.375,0),0)</f>
        <v>0</v>
      </c>
      <c r="AP42" s="142"/>
      <c r="AQ42" s="94">
        <f ca="1">TblProd[[#This Row],[Platinum]]</f>
        <v>160222</v>
      </c>
      <c r="AR42" s="94">
        <f ca="1">INDEX(TblProd[[#Headers],[Lumber]]:TblProd[[#This Row],[Ore]],COUNTA(TblProd[[#Headers],[Lumber]]:TblProd[[#This Row],[Lumber]]),MATCH(Military!$AR$2,TblProd[[#Headers],[Lumber]:[Ore]],0))</f>
        <v>0</v>
      </c>
      <c r="AS42"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42" s="94">
        <f ca="1">TblMili[[#This Row],[Train Unit 1]]*TblMili[[#This Row],[OP Ore]]+TblMili[[#This Row],[Train Unit 2]]*TblMili[[#This Row],[DP Ore]]+TblMili[[#This Row],[Train Unit 3]]*TblMili[[#This Row],[E1 Ore]]+TblMili[[#This Row],[Train Unit 4]]*TblMili[[#This Row],[E2 Ore]]</f>
        <v>0</v>
      </c>
      <c r="AU42" s="142">
        <f>TblMili[[#This Row],[Hour]]</f>
        <v>39</v>
      </c>
      <c r="AV42" s="152">
        <f ca="1">TblMili[[#This Row],[Time]]</f>
        <v>46321.583333333241</v>
      </c>
      <c r="AW42" s="94">
        <f ca="1">TblMili[[#This Row],[Draftees]]</f>
        <v>447</v>
      </c>
      <c r="AX42" s="179"/>
      <c r="AY42" s="179"/>
      <c r="AZ42" s="179"/>
      <c r="BA42" s="179"/>
      <c r="BB42" s="179"/>
      <c r="BC42" s="179"/>
      <c r="BD42" s="179"/>
      <c r="BE42" s="179"/>
      <c r="BF42" s="179"/>
      <c r="BG42" s="142"/>
      <c r="BH42" s="157">
        <f ca="1">TblConstr[[#This Row],[Tot WG]]/TblConstr[[#This Row],[Land]]</f>
        <v>0</v>
      </c>
      <c r="BI42" s="157">
        <f ca="1">TblConstr[[#This Row],[Tot Hav]]/TblConstr[[#This Row],[Land]]</f>
        <v>0</v>
      </c>
      <c r="BJ42" s="94">
        <f ca="1">ROUNDUP((1-MIN(TblMili[[#This Row],[Smithies]]*smithy_bonus,smithy_bonus_cap) + tech_3_5*TblTech[[#This Row],[3-5]] + tech_5_3*TblTech[[#This Row],[5-3]] + tech_5_5*TblTech[[#This Row],[5-5]])*spec_op_plat,0)</f>
        <v>315</v>
      </c>
      <c r="BK42" s="94">
        <f ca="1">ROUNDUP(IF(race="Gnome",1,(1-MIN(TblMili[[#This Row],[Smithies]]*smithy_bonus,smithy_bonus_cap) + tech_3_5*TblTech[[#This Row],[3-5]] + tech_5_3*TblTech[[#This Row],[5-3]] + tech_5_5*TblTech[[#This Row],[5-5]]))*spec_op_ore,0)</f>
        <v>25</v>
      </c>
      <c r="BL42" s="94">
        <f ca="1">ROUNDUP((1-MIN(TblMili[[#This Row],[Smithies]]*smithy_bonus,smithy_bonus_cap) + tech_3_5*TblTech[[#This Row],[3-5]] + tech_5_3*TblTech[[#This Row],[5-3]] + tech_5_5*TblTech[[#This Row],[5-5]])*spec_dp_plat,0)</f>
        <v>275</v>
      </c>
      <c r="BM42" s="94">
        <f ca="1">ROUNDUP(IF(race="Gnome",1,(1-MIN(TblMili[[#This Row],[Smithies]]*smithy_bonus,smithy_bonus_cap) + tech_3_5*TblTech[[#This Row],[3-5]] + tech_5_3*TblTech[[#This Row],[5-3]] + tech_5_5*TblTech[[#This Row],[5-5]]))*spec_dp_ore,0)</f>
        <v>15</v>
      </c>
      <c r="BN42" s="94">
        <f ca="1">ROUNDUP((1-MIN(TblMili[[#This Row],[Smithies]]*smithy_bonus,smithy_bonus_cap) + tech_3_5*TblTech[[#This Row],[3-5]] + tech_5_3*TblTech[[#This Row],[5-3]] + tech_5_5*TblTech[[#This Row],[5-5]])*elite1_plat,0)</f>
        <v>1040</v>
      </c>
      <c r="BO42" s="94">
        <f ca="1">ROUNDUP(IF(race="Gnome",1,(1-MIN(TblMili[[#This Row],[Smithies]]*smithy_bonus,smithy_bonus_cap) + tech_3_5*TblTech[[#This Row],[3-5]] + tech_5_3*TblTech[[#This Row],[5-3]] + tech_5_5*TblTech[[#This Row],[5-5]]))*elite1_ore,0)</f>
        <v>75</v>
      </c>
      <c r="BP42" s="94">
        <f ca="1">ROUNDUP((1-MIN(TblMili[[#This Row],[Smithies]]*smithy_bonus,smithy_bonus_cap) + tech_3_5*TblTech[[#This Row],[3-5]] + tech_5_3*TblTech[[#This Row],[5-3]] + tech_5_5*TblTech[[#This Row],[5-5]])*elite2_plat,0)</f>
        <v>1280</v>
      </c>
      <c r="BQ42" s="94">
        <f ca="1">ROUNDUP(IF(race="Gnome",1,(1-MIN(TblMili[[#This Row],[Smithies]]*smithy_bonus,smithy_bonus_cap) + tech_3_5*TblTech[[#This Row],[3-5]] + tech_5_3*TblTech[[#This Row],[5-3]] + tech_5_5*TblTech[[#This Row],[5-5]]))*elite2_ore,0)</f>
        <v>100</v>
      </c>
      <c r="BR42" s="94">
        <f ca="1">ROUNDUP((1-MIN(ROUND(fh_spy_cost_red*TblMili[[#This Row],[FH''s]],4),fh_spy_cost_cap)+ tech_1_9*TblTech[[#This Row],[1-9]] + tech_9_1*TblTech[[#This Row],[9-1]])*spy_plat,0)</f>
        <v>500</v>
      </c>
      <c r="BS42" s="94">
        <f ca="1">ROUNDUP((1-MIN(ROUND(fh_spy_cost_red*TblMili[[#This Row],[FH''s]],4),fh_spy_cost_cap)+ tech_1_9*TblTech[[#This Row],[1-9]] + tech_9_1*TblTech[[#This Row],[9-1]])*archspy_plat,0)</f>
        <v>1000</v>
      </c>
      <c r="BT42" s="94">
        <f ca="1">ROUNDUP((1-MIN(ROUND(wg_wiz_cost_bonus*TblMili[[#This Row],[WG''s]],4),wg_wiz_cost_cap) + tech_1_9_2*TblTech[[#This Row],[1-9]] + tech_9_1_2*TblTech[[#This Row],[9-1]])*wizard_plat,0)</f>
        <v>500</v>
      </c>
      <c r="BU42" s="94">
        <f ca="1">ROUNDUP((1-MIN(ROUND(wg_wiz_cost_bonus*TblMili[[#This Row],[WG''s]],4),wg_wiz_cost_cap) + tech_1_9_2*TblTech[[#This Row],[1-9]] + tech_9_1_2*TblTech[[#This Row],[9-1]])*(archmage_plat + IF(TblMagic[[#This Row],[Active Arc Infusion]]&gt;0,400,0)),0)</f>
        <v>1000</v>
      </c>
      <c r="BV42" s="142"/>
      <c r="BW42" s="157">
        <f ca="1">TblConstr[[#This Row],[Homeland]]/TblConstr[[#This Row],[Land]]</f>
        <v>0.6</v>
      </c>
      <c r="BX42" s="157">
        <f ca="1">TblMili[[#This Row],[WG''s]]</f>
        <v>0</v>
      </c>
      <c r="BY42" s="251">
        <f ca="1">IF(mystic_cap="none",TblMili[[#This Row],[Homeland%]]/mystic_bonus,MIN(mystic_cap,TblMili[[#This Row],[Homeland%]]/mystic_bonus))</f>
        <v>2</v>
      </c>
      <c r="BZ42" s="251">
        <f ca="1">IF(druid_op_cap="none",TblMili[[#This Row],[Homeland%]]/druid_op_bonus,MIN(druid_op_cap,TblMili[[#This Row],[Homeland%]]/druid_op_bonus))</f>
        <v>2</v>
      </c>
      <c r="CA42" s="251">
        <f ca="1">IF(druid_dp_cap="none",TblMili[[#This Row],[Homeland%]]/druid_dp_bonus,MIN(druid_dp_cap,TblMili[[#This Row],[Homeland%]]/druid_dp_bonus))</f>
        <v>2</v>
      </c>
      <c r="CB42" s="251">
        <f ca="1">MIN(dryad_cap,TblMili[[#This Row],[Homeland%]]/dryad_bonus)</f>
        <v>2.9999999999999996</v>
      </c>
      <c r="CC42" s="251">
        <f ca="1">MIN(rocka_cap,TblMili[[#This Row],[Homeland%]]/rocka_bonus)</f>
        <v>2</v>
      </c>
      <c r="CD42" s="251">
        <f ca="1">MIN(adept_op_cap,TblMili[[#This Row],[WG]]/adept_op_bonus)</f>
        <v>0</v>
      </c>
      <c r="CE42" s="251">
        <f ca="1">MIN(adept_dp_cap,TblMili[[#This Row],[WG]]/adept_dp_bonus)</f>
        <v>0</v>
      </c>
      <c r="CF42" s="94">
        <f ca="1">MIN(TblMili[[#This Row],[Unit 3]],TblMili[[#This Row],[Unit 2]])*2</f>
        <v>0</v>
      </c>
      <c r="CG42" s="94">
        <f ca="1">MIN(TblMili[[#This Row],[Unit 1]],TblMili[[#This Row],[Unit 4]])*2</f>
        <v>0</v>
      </c>
      <c r="CH42" s="251">
        <f ca="1">MIN(frost_mage_cap,TblMili[[#This Row],[Homeland%]]/frost_mage_bonus)</f>
        <v>2.9999999999999996</v>
      </c>
      <c r="CI42" s="45">
        <f ca="1">MIN(ice_elem_cap,TblMili[[#This Row],[Raw (2)]]*ice_elem_bonus)</f>
        <v>0</v>
      </c>
      <c r="CJ42" s="251">
        <f t="shared" si="2"/>
        <v>0.83333333333333337</v>
      </c>
      <c r="CK42" s="251">
        <f ca="1">MIN(nox_nightshade_cap,TblConstr[[#This Row],[Homeland]]/TblConstr[[#This Row],[Land]]/nox_nightshade_swamp_bonus)</f>
        <v>4</v>
      </c>
      <c r="CL42" s="251">
        <f ca="1">MIN(TblConstr[[#This Row],[Total Swamp]]/TblConstr[[#This Row],[Land]]/abyss_enforce_bonus,abyss_enforcer_cap)</f>
        <v>0</v>
      </c>
      <c r="CM42" s="251">
        <f ca="1">IF(TblMagic[[#This Row],[Active Infernal Command]]&gt;0,TblMili[[#This Row],[Unit 1]]*infernal_cmd_op,0)</f>
        <v>0</v>
      </c>
      <c r="CN42" s="252"/>
      <c r="CO42" s="252"/>
      <c r="CP42" s="252"/>
      <c r="CQ42" s="251">
        <f ca="1">TblMili[[#This Row],[Mystic]]*2</f>
        <v>4</v>
      </c>
      <c r="CR42" s="251">
        <f ca="1">TblMili[[#This Row],[Druid (op)]]*2</f>
        <v>4</v>
      </c>
      <c r="CS42" s="94">
        <f ca="1">TblMili[[#This Row],[Mystic bonus]]*TblMili[[#This Row],[Unit 3]]+TblMili[[#This Row],[Druid bonus]]*TblMili[[#This Row],[Unit 4]]</f>
        <v>0</v>
      </c>
      <c r="CT42" s="155">
        <f ca="1">TblMili[[#This Row],[Dryad]]*2</f>
        <v>5.9999999999999991</v>
      </c>
      <c r="CU42" s="94">
        <f ca="1">sylvan*(TblMili[[#This Row],[Mystic bonus]]*TblMili[[#This Row],[Unit 3]])</f>
        <v>0</v>
      </c>
      <c r="CV42" s="155">
        <f ca="1">TblMili[[#This Row],[Rockapult]]*2</f>
        <v>4</v>
      </c>
      <c r="CW42" s="94">
        <f ca="1">gnome*(TblMili[[#This Row],[Rockapult bonus]]*TblMili[[#This Row],[Unit 3]])</f>
        <v>0</v>
      </c>
      <c r="CX42" s="155">
        <f ca="1">TblMili[[#This Row],[Adept-DP]]*2</f>
        <v>0</v>
      </c>
      <c r="CY42" s="94">
        <f ca="1">dark_elf*(TblMili[[#This Row],[Adept bonus]]*TblMili[[#This Row],[Unit 3]])</f>
        <v>0</v>
      </c>
      <c r="CZ42" s="155">
        <f ca="1">TblMili[[#This Row],[Frost Mage]]*2</f>
        <v>5.9999999999999991</v>
      </c>
      <c r="DA42" s="155">
        <f ca="1">TblMili[[#This Row],[Ice Elemental]]*2</f>
        <v>0</v>
      </c>
      <c r="DB42" s="94">
        <f ca="1">TblMili[[#This Row],[Frost Mage bonus]]*TblMili[[#This Row],[Unit 3]]+TblMili[[#This Row],[Ice Elemental bonus]]*TblMili[[#This Row],[Unit 4]]</f>
        <v>0</v>
      </c>
      <c r="DC42" s="253"/>
      <c r="DD42" s="143">
        <f ca="1">MIN(SUM(TblConstr[[#This Row],[Plain]:[Water]])/TblMili[[#This Row],[Land]]/favorable_terrain_bonus/100,favorable_terrain_max)</f>
        <v>0</v>
      </c>
      <c r="DE42" s="253"/>
      <c r="DF4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2" s="142"/>
      <c r="DH42" s="254">
        <f ca="1">(TblMili[[#This Row],[Wizards]]+2*TblMili[[#This Row],[Archmages]])/TblConstr[[#This Row],[Land]]</f>
        <v>0</v>
      </c>
      <c r="DI42" s="254">
        <f ca="1">TblMili[[#This Row],[Raw (2)]]*(1+race_wizard_strength+IF(TblMili[[#This Row],[Hour]]&gt;72,tech_magical_weaponry_wiz*TblTech[[#This Row],[3-5]],0))</f>
        <v>0</v>
      </c>
    </row>
    <row r="43" spans="1:113" x14ac:dyDescent="0.2">
      <c r="A43" s="137">
        <f>TblRezone[[#This Row],[Hour]]</f>
        <v>40</v>
      </c>
      <c r="B43" s="246">
        <f ca="1">SUM(TblMili[[#This Row],[Unit 1]:[Archmages]])+SUM(OFFSET(TblMili[[#This Row],[Train Unit 1]],-8,0):TblMili[[#This Row],[Train Unit 2]]) + SUM(OFFSET(TblMili[[#This Row],[Train Unit 3]],-11,0):TblMili[[#This Row],[Train AM]]) + TblMili[[#This Row],[Draftees]]</f>
        <v>450</v>
      </c>
      <c r="C43" s="157">
        <f ca="1">TblPop[[#This Row],[Military%]]</f>
        <v>0.58517555266579979</v>
      </c>
      <c r="D43" s="142"/>
      <c r="E43" s="45">
        <f ca="1">OFFSET(TblMili[[#This Row],[Unit 1]],-1,0) + OFFSET(TblMili[[#This Row],[Train Unit 1]],-9,0) - TblMili[[#This Row],[Release Unit 1]] + OFFSET(TblMili[[#This Row],[DnD_Zombies]],-12,0)</f>
        <v>0</v>
      </c>
      <c r="F43" s="45">
        <f ca="1">OFFSET(TblMili[[#This Row],[Unit 2]],-1,0) + OFFSET(TblMili[[#This Row],[Train Unit 2]],-9,0)-TblMili[[#This Row],[Release Unit 2]]</f>
        <v>0</v>
      </c>
      <c r="G43" s="45">
        <f ca="1">OFFSET(TblMili[[#This Row],[Unit 3]],-1,0) + OFFSET(TblMili[[#This Row],[Train Unit 3]],-12,0)-TblMili[[#This Row],[Release Unit 3]]</f>
        <v>0</v>
      </c>
      <c r="H43" s="45">
        <f ca="1">OFFSET(TblMili[[#This Row],[Unit 4]],-1,0) + OFFSET(TblMili[[#This Row],[Train Unit 4]],-12,0)-TblMili[[#This Row],[Release Unit 4]]</f>
        <v>0</v>
      </c>
      <c r="I43" s="45">
        <f ca="1">OFFSET(TblMili[[#This Row],[Spies]],-1,0) + OFFSET(TblMili[[#This Row],[Train Spies]],-12,0) - TblMili[[#This Row],[Release Spies]]-TblMili[[#This Row],[Train AS]]</f>
        <v>0</v>
      </c>
      <c r="J43" s="45">
        <f ca="1">OFFSET(TblMili[[#This Row],[Archspies]],-1,0) + OFFSET(TblMili[[#This Row],[Train AS]],-12,0) - TblMili[[#This Row],[Release AS]]</f>
        <v>0</v>
      </c>
      <c r="K43" s="45">
        <f ca="1">OFFSET(TblMili[[#This Row],[Wizards]],-1,0) + OFFSET(TblMili[[#This Row],[Train Wiz]],-12,0) - TblMili[[#This Row],[Release Wizards]]-TblMili[[#This Row],[Train AM]] + IF(TblMagic[[#This Row],[Active Arc Infusion]]&gt;0,TblMili[[#This Row],[Train AM]])</f>
        <v>0</v>
      </c>
      <c r="L43" s="45">
        <f ca="1">OFFSET(TblMili[[#This Row],[Archmages]],-1,0) + OFFSET(TblMili[[#This Row],[Train AM]],-12,0) - TblMili[[#This Row],[Release AM]]</f>
        <v>0</v>
      </c>
      <c r="M43" s="142"/>
      <c r="N43" s="94">
        <f ca="1">TblProd[[#This Row],[Networth]]</f>
        <v>1250</v>
      </c>
      <c r="O43" s="142"/>
      <c r="P43"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4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3" s="247">
        <f ca="1">TblMili[[#This Row],[Raw]]*(1+TblMili[[#This Row],[Mods_Off]])</f>
        <v>0</v>
      </c>
      <c r="S43"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43" s="247">
        <f ca="1">TblMili[[#This Row],[Non Draft]]+TblMili[[#This Row],[Draftees]]</f>
        <v>450</v>
      </c>
      <c r="U43" s="248">
        <f ca="1">race_defense + TblImps[[#This Row],[Walls]] + ROUND( MIN(gt_bonus*TblConstr[[#This Row],[Tot GT]]/TblConstr[[#This Row],[Land]],gt_bonus_cap), 4) + IF(TblMagic[[#This Row],[Active Howling]]&gt;0,howling_dp_bonus,IF(TblMagic[[#This Row],[Active Ares Call]]&gt;0,ares_call_bonus))</f>
        <v>0</v>
      </c>
      <c r="V43" s="249">
        <f ca="1">TblMili[[#This Row],[Non Draft]] * (1 + TblMili[[#This Row],[Mods_Def]])</f>
        <v>0</v>
      </c>
      <c r="W43" s="247">
        <f ca="1">TblMili[[#This Row],[Draft]] * (1 + TblMili[[#This Row],[Mods_Def]])</f>
        <v>450</v>
      </c>
      <c r="X43" s="247">
        <f ca="1">TblConstr[[#This Row],[Land]]</f>
        <v>50</v>
      </c>
      <c r="Y43" s="250"/>
      <c r="Z43" s="255">
        <f ca="1">IF(TblMili[[#This Row],[Set]]&lt;&gt;"",TblMili[[#This Row],[Set]],OFFSET(TblMili[[#This Row],[Draftrate]],-1,0))</f>
        <v>0.9</v>
      </c>
      <c r="AA43"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450</v>
      </c>
      <c r="AB43" s="154"/>
      <c r="AC43" s="180">
        <f ca="1">(TblConstr[[#This Row],[Tot Smi]]+TblConstr[[#This Row],[Dest Smi]])/(TblConstr[[#This Row],[Land]]-TblExplore[[#This Row],[Land Bonus]]*20)</f>
        <v>0</v>
      </c>
      <c r="AD43" s="137"/>
      <c r="AE43" s="246">
        <f>TblMili[[#This Row],[Hour]]</f>
        <v>40</v>
      </c>
      <c r="AF43" s="138">
        <f ca="1">TblExplore[[#This Row],[Time]]</f>
        <v>46321.624999999905</v>
      </c>
      <c r="AG43" s="179"/>
      <c r="AH43" s="179"/>
      <c r="AI43" s="179"/>
      <c r="AJ43" s="179"/>
      <c r="AK43" s="179"/>
      <c r="AL43" s="179"/>
      <c r="AM43" s="179"/>
      <c r="AN43" s="179"/>
      <c r="AO43" s="420">
        <f ca="1">ROUND(IF(AND(TblMagic[[#This Row],[Active DnD]]&lt;12,TblMagic[[#This Row],[Active DnD]]&gt;5),OFFSET(TblPop[[#This Row],[Draft Growth]],-1,0)*0.375,0),0)</f>
        <v>0</v>
      </c>
      <c r="AP43" s="142"/>
      <c r="AQ43" s="94">
        <f ca="1">TblProd[[#This Row],[Platinum]]</f>
        <v>161091</v>
      </c>
      <c r="AR43" s="94">
        <f ca="1">INDEX(TblProd[[#Headers],[Lumber]]:TblProd[[#This Row],[Ore]],COUNTA(TblProd[[#Headers],[Lumber]]:TblProd[[#This Row],[Lumber]]),MATCH(Military!$AR$2,TblProd[[#Headers],[Lumber]:[Ore]],0))</f>
        <v>0</v>
      </c>
      <c r="AS4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43" s="94">
        <f ca="1">TblMili[[#This Row],[Train Unit 1]]*TblMili[[#This Row],[OP Ore]]+TblMili[[#This Row],[Train Unit 2]]*TblMili[[#This Row],[DP Ore]]+TblMili[[#This Row],[Train Unit 3]]*TblMili[[#This Row],[E1 Ore]]+TblMili[[#This Row],[Train Unit 4]]*TblMili[[#This Row],[E2 Ore]]</f>
        <v>0</v>
      </c>
      <c r="AU43" s="142">
        <f>TblMili[[#This Row],[Hour]]</f>
        <v>40</v>
      </c>
      <c r="AV43" s="152">
        <f ca="1">TblMili[[#This Row],[Time]]</f>
        <v>46321.624999999905</v>
      </c>
      <c r="AW43" s="94">
        <f ca="1">TblMili[[#This Row],[Draftees]]</f>
        <v>450</v>
      </c>
      <c r="AX43" s="179"/>
      <c r="AY43" s="179"/>
      <c r="AZ43" s="179"/>
      <c r="BA43" s="179"/>
      <c r="BB43" s="179"/>
      <c r="BC43" s="179"/>
      <c r="BD43" s="179"/>
      <c r="BE43" s="179"/>
      <c r="BF43" s="179"/>
      <c r="BG43" s="142"/>
      <c r="BH43" s="157">
        <f ca="1">TblConstr[[#This Row],[Tot WG]]/TblConstr[[#This Row],[Land]]</f>
        <v>0</v>
      </c>
      <c r="BI43" s="157">
        <f ca="1">TblConstr[[#This Row],[Tot Hav]]/TblConstr[[#This Row],[Land]]</f>
        <v>0</v>
      </c>
      <c r="BJ43" s="94">
        <f ca="1">ROUNDUP((1-MIN(TblMili[[#This Row],[Smithies]]*smithy_bonus,smithy_bonus_cap) + tech_3_5*TblTech[[#This Row],[3-5]] + tech_5_3*TblTech[[#This Row],[5-3]] + tech_5_5*TblTech[[#This Row],[5-5]])*spec_op_plat,0)</f>
        <v>315</v>
      </c>
      <c r="BK43" s="94">
        <f ca="1">ROUNDUP(IF(race="Gnome",1,(1-MIN(TblMili[[#This Row],[Smithies]]*smithy_bonus,smithy_bonus_cap) + tech_3_5*TblTech[[#This Row],[3-5]] + tech_5_3*TblTech[[#This Row],[5-3]] + tech_5_5*TblTech[[#This Row],[5-5]]))*spec_op_ore,0)</f>
        <v>25</v>
      </c>
      <c r="BL43" s="94">
        <f ca="1">ROUNDUP((1-MIN(TblMili[[#This Row],[Smithies]]*smithy_bonus,smithy_bonus_cap) + tech_3_5*TblTech[[#This Row],[3-5]] + tech_5_3*TblTech[[#This Row],[5-3]] + tech_5_5*TblTech[[#This Row],[5-5]])*spec_dp_plat,0)</f>
        <v>275</v>
      </c>
      <c r="BM43" s="94">
        <f ca="1">ROUNDUP(IF(race="Gnome",1,(1-MIN(TblMili[[#This Row],[Smithies]]*smithy_bonus,smithy_bonus_cap) + tech_3_5*TblTech[[#This Row],[3-5]] + tech_5_3*TblTech[[#This Row],[5-3]] + tech_5_5*TblTech[[#This Row],[5-5]]))*spec_dp_ore,0)</f>
        <v>15</v>
      </c>
      <c r="BN43" s="94">
        <f ca="1">ROUNDUP((1-MIN(TblMili[[#This Row],[Smithies]]*smithy_bonus,smithy_bonus_cap) + tech_3_5*TblTech[[#This Row],[3-5]] + tech_5_3*TblTech[[#This Row],[5-3]] + tech_5_5*TblTech[[#This Row],[5-5]])*elite1_plat,0)</f>
        <v>1040</v>
      </c>
      <c r="BO43" s="94">
        <f ca="1">ROUNDUP(IF(race="Gnome",1,(1-MIN(TblMili[[#This Row],[Smithies]]*smithy_bonus,smithy_bonus_cap) + tech_3_5*TblTech[[#This Row],[3-5]] + tech_5_3*TblTech[[#This Row],[5-3]] + tech_5_5*TblTech[[#This Row],[5-5]]))*elite1_ore,0)</f>
        <v>75</v>
      </c>
      <c r="BP43" s="94">
        <f ca="1">ROUNDUP((1-MIN(TblMili[[#This Row],[Smithies]]*smithy_bonus,smithy_bonus_cap) + tech_3_5*TblTech[[#This Row],[3-5]] + tech_5_3*TblTech[[#This Row],[5-3]] + tech_5_5*TblTech[[#This Row],[5-5]])*elite2_plat,0)</f>
        <v>1280</v>
      </c>
      <c r="BQ43" s="94">
        <f ca="1">ROUNDUP(IF(race="Gnome",1,(1-MIN(TblMili[[#This Row],[Smithies]]*smithy_bonus,smithy_bonus_cap) + tech_3_5*TblTech[[#This Row],[3-5]] + tech_5_3*TblTech[[#This Row],[5-3]] + tech_5_5*TblTech[[#This Row],[5-5]]))*elite2_ore,0)</f>
        <v>100</v>
      </c>
      <c r="BR43" s="94">
        <f ca="1">ROUNDUP((1-MIN(ROUND(fh_spy_cost_red*TblMili[[#This Row],[FH''s]],4),fh_spy_cost_cap)+ tech_1_9*TblTech[[#This Row],[1-9]] + tech_9_1*TblTech[[#This Row],[9-1]])*spy_plat,0)</f>
        <v>500</v>
      </c>
      <c r="BS43" s="94">
        <f ca="1">ROUNDUP((1-MIN(ROUND(fh_spy_cost_red*TblMili[[#This Row],[FH''s]],4),fh_spy_cost_cap)+ tech_1_9*TblTech[[#This Row],[1-9]] + tech_9_1*TblTech[[#This Row],[9-1]])*archspy_plat,0)</f>
        <v>1000</v>
      </c>
      <c r="BT43" s="94">
        <f ca="1">ROUNDUP((1-MIN(ROUND(wg_wiz_cost_bonus*TblMili[[#This Row],[WG''s]],4),wg_wiz_cost_cap) + tech_1_9_2*TblTech[[#This Row],[1-9]] + tech_9_1_2*TblTech[[#This Row],[9-1]])*wizard_plat,0)</f>
        <v>500</v>
      </c>
      <c r="BU43" s="94">
        <f ca="1">ROUNDUP((1-MIN(ROUND(wg_wiz_cost_bonus*TblMili[[#This Row],[WG''s]],4),wg_wiz_cost_cap) + tech_1_9_2*TblTech[[#This Row],[1-9]] + tech_9_1_2*TblTech[[#This Row],[9-1]])*(archmage_plat + IF(TblMagic[[#This Row],[Active Arc Infusion]]&gt;0,400,0)),0)</f>
        <v>1000</v>
      </c>
      <c r="BV43" s="142"/>
      <c r="BW43" s="157">
        <f ca="1">TblConstr[[#This Row],[Homeland]]/TblConstr[[#This Row],[Land]]</f>
        <v>0.6</v>
      </c>
      <c r="BX43" s="157">
        <f ca="1">TblMili[[#This Row],[WG''s]]</f>
        <v>0</v>
      </c>
      <c r="BY43" s="251">
        <f ca="1">IF(mystic_cap="none",TblMili[[#This Row],[Homeland%]]/mystic_bonus,MIN(mystic_cap,TblMili[[#This Row],[Homeland%]]/mystic_bonus))</f>
        <v>2</v>
      </c>
      <c r="BZ43" s="251">
        <f ca="1">IF(druid_op_cap="none",TblMili[[#This Row],[Homeland%]]/druid_op_bonus,MIN(druid_op_cap,TblMili[[#This Row],[Homeland%]]/druid_op_bonus))</f>
        <v>2</v>
      </c>
      <c r="CA43" s="251">
        <f ca="1">IF(druid_dp_cap="none",TblMili[[#This Row],[Homeland%]]/druid_dp_bonus,MIN(druid_dp_cap,TblMili[[#This Row],[Homeland%]]/druid_dp_bonus))</f>
        <v>2</v>
      </c>
      <c r="CB43" s="251">
        <f ca="1">MIN(dryad_cap,TblMili[[#This Row],[Homeland%]]/dryad_bonus)</f>
        <v>2.9999999999999996</v>
      </c>
      <c r="CC43" s="251">
        <f ca="1">MIN(rocka_cap,TblMili[[#This Row],[Homeland%]]/rocka_bonus)</f>
        <v>2</v>
      </c>
      <c r="CD43" s="251">
        <f ca="1">MIN(adept_op_cap,TblMili[[#This Row],[WG]]/adept_op_bonus)</f>
        <v>0</v>
      </c>
      <c r="CE43" s="251">
        <f ca="1">MIN(adept_dp_cap,TblMili[[#This Row],[WG]]/adept_dp_bonus)</f>
        <v>0</v>
      </c>
      <c r="CF43" s="94">
        <f ca="1">MIN(TblMili[[#This Row],[Unit 3]],TblMili[[#This Row],[Unit 2]])*2</f>
        <v>0</v>
      </c>
      <c r="CG43" s="94">
        <f ca="1">MIN(TblMili[[#This Row],[Unit 1]],TblMili[[#This Row],[Unit 4]])*2</f>
        <v>0</v>
      </c>
      <c r="CH43" s="251">
        <f ca="1">MIN(frost_mage_cap,TblMili[[#This Row],[Homeland%]]/frost_mage_bonus)</f>
        <v>2.9999999999999996</v>
      </c>
      <c r="CI43" s="45">
        <f ca="1">MIN(ice_elem_cap,TblMili[[#This Row],[Raw (2)]]*ice_elem_bonus)</f>
        <v>0</v>
      </c>
      <c r="CJ43" s="251">
        <f t="shared" si="2"/>
        <v>0.83333333333333337</v>
      </c>
      <c r="CK43" s="251">
        <f ca="1">MIN(nox_nightshade_cap,TblConstr[[#This Row],[Homeland]]/TblConstr[[#This Row],[Land]]/nox_nightshade_swamp_bonus)</f>
        <v>4</v>
      </c>
      <c r="CL43" s="251">
        <f ca="1">MIN(TblConstr[[#This Row],[Total Swamp]]/TblConstr[[#This Row],[Land]]/abyss_enforce_bonus,abyss_enforcer_cap)</f>
        <v>0</v>
      </c>
      <c r="CM43" s="251">
        <f ca="1">IF(TblMagic[[#This Row],[Active Infernal Command]]&gt;0,TblMili[[#This Row],[Unit 1]]*infernal_cmd_op,0)</f>
        <v>0</v>
      </c>
      <c r="CN43" s="252"/>
      <c r="CO43" s="252"/>
      <c r="CP43" s="252"/>
      <c r="CQ43" s="251">
        <f ca="1">TblMili[[#This Row],[Mystic]]*2</f>
        <v>4</v>
      </c>
      <c r="CR43" s="251">
        <f ca="1">TblMili[[#This Row],[Druid (op)]]*2</f>
        <v>4</v>
      </c>
      <c r="CS43" s="94">
        <f ca="1">TblMili[[#This Row],[Mystic bonus]]*TblMili[[#This Row],[Unit 3]]+TblMili[[#This Row],[Druid bonus]]*TblMili[[#This Row],[Unit 4]]</f>
        <v>0</v>
      </c>
      <c r="CT43" s="155">
        <f ca="1">TblMili[[#This Row],[Dryad]]*2</f>
        <v>5.9999999999999991</v>
      </c>
      <c r="CU43" s="94">
        <f ca="1">sylvan*(TblMili[[#This Row],[Mystic bonus]]*TblMili[[#This Row],[Unit 3]])</f>
        <v>0</v>
      </c>
      <c r="CV43" s="155">
        <f ca="1">TblMili[[#This Row],[Rockapult]]*2</f>
        <v>4</v>
      </c>
      <c r="CW43" s="94">
        <f ca="1">gnome*(TblMili[[#This Row],[Rockapult bonus]]*TblMili[[#This Row],[Unit 3]])</f>
        <v>0</v>
      </c>
      <c r="CX43" s="155">
        <f ca="1">TblMili[[#This Row],[Adept-DP]]*2</f>
        <v>0</v>
      </c>
      <c r="CY43" s="94">
        <f ca="1">dark_elf*(TblMili[[#This Row],[Adept bonus]]*TblMili[[#This Row],[Unit 3]])</f>
        <v>0</v>
      </c>
      <c r="CZ43" s="155">
        <f ca="1">TblMili[[#This Row],[Frost Mage]]*2</f>
        <v>5.9999999999999991</v>
      </c>
      <c r="DA43" s="155">
        <f ca="1">TblMili[[#This Row],[Ice Elemental]]*2</f>
        <v>0</v>
      </c>
      <c r="DB43" s="94">
        <f ca="1">TblMili[[#This Row],[Frost Mage bonus]]*TblMili[[#This Row],[Unit 3]]+TblMili[[#This Row],[Ice Elemental bonus]]*TblMili[[#This Row],[Unit 4]]</f>
        <v>0</v>
      </c>
      <c r="DC43" s="253"/>
      <c r="DD43" s="143">
        <f ca="1">MIN(SUM(TblConstr[[#This Row],[Plain]:[Water]])/TblMili[[#This Row],[Land]]/favorable_terrain_bonus/100,favorable_terrain_max)</f>
        <v>0</v>
      </c>
      <c r="DE43" s="253"/>
      <c r="DF4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3" s="142"/>
      <c r="DH43" s="254">
        <f ca="1">(TblMili[[#This Row],[Wizards]]+2*TblMili[[#This Row],[Archmages]])/TblConstr[[#This Row],[Land]]</f>
        <v>0</v>
      </c>
      <c r="DI43" s="254">
        <f ca="1">TblMili[[#This Row],[Raw (2)]]*(1+race_wizard_strength+IF(TblMili[[#This Row],[Hour]]&gt;72,tech_magical_weaponry_wiz*TblTech[[#This Row],[3-5]],0))</f>
        <v>0</v>
      </c>
    </row>
    <row r="44" spans="1:113" x14ac:dyDescent="0.2">
      <c r="A44" s="137">
        <f>TblRezone[[#This Row],[Hour]]</f>
        <v>41</v>
      </c>
      <c r="B44" s="246">
        <f ca="1">SUM(TblMili[[#This Row],[Unit 1]:[Archmages]])+SUM(OFFSET(TblMili[[#This Row],[Train Unit 1]],-8,0):TblMili[[#This Row],[Train Unit 2]]) + SUM(OFFSET(TblMili[[#This Row],[Train Unit 3]],-11,0):TblMili[[#This Row],[Train AM]]) + TblMili[[#This Row],[Draftees]]</f>
        <v>453</v>
      </c>
      <c r="C44" s="157">
        <f ca="1">TblPop[[#This Row],[Military%]]</f>
        <v>0.58907672301690506</v>
      </c>
      <c r="D44" s="142"/>
      <c r="E44" s="45">
        <f ca="1">OFFSET(TblMili[[#This Row],[Unit 1]],-1,0) + OFFSET(TblMili[[#This Row],[Train Unit 1]],-9,0) - TblMili[[#This Row],[Release Unit 1]] + OFFSET(TblMili[[#This Row],[DnD_Zombies]],-12,0)</f>
        <v>0</v>
      </c>
      <c r="F44" s="45">
        <f ca="1">OFFSET(TblMili[[#This Row],[Unit 2]],-1,0) + OFFSET(TblMili[[#This Row],[Train Unit 2]],-9,0)-TblMili[[#This Row],[Release Unit 2]]</f>
        <v>0</v>
      </c>
      <c r="G44" s="45">
        <f ca="1">OFFSET(TblMili[[#This Row],[Unit 3]],-1,0) + OFFSET(TblMili[[#This Row],[Train Unit 3]],-12,0)-TblMili[[#This Row],[Release Unit 3]]</f>
        <v>0</v>
      </c>
      <c r="H44" s="45">
        <f ca="1">OFFSET(TblMili[[#This Row],[Unit 4]],-1,0) + OFFSET(TblMili[[#This Row],[Train Unit 4]],-12,0)-TblMili[[#This Row],[Release Unit 4]]</f>
        <v>0</v>
      </c>
      <c r="I44" s="45">
        <f ca="1">OFFSET(TblMili[[#This Row],[Spies]],-1,0) + OFFSET(TblMili[[#This Row],[Train Spies]],-12,0) - TblMili[[#This Row],[Release Spies]]-TblMili[[#This Row],[Train AS]]</f>
        <v>0</v>
      </c>
      <c r="J44" s="45">
        <f ca="1">OFFSET(TblMili[[#This Row],[Archspies]],-1,0) + OFFSET(TblMili[[#This Row],[Train AS]],-12,0) - TblMili[[#This Row],[Release AS]]</f>
        <v>0</v>
      </c>
      <c r="K44" s="45">
        <f ca="1">OFFSET(TblMili[[#This Row],[Wizards]],-1,0) + OFFSET(TblMili[[#This Row],[Train Wiz]],-12,0) - TblMili[[#This Row],[Release Wizards]]-TblMili[[#This Row],[Train AM]] + IF(TblMagic[[#This Row],[Active Arc Infusion]]&gt;0,TblMili[[#This Row],[Train AM]])</f>
        <v>0</v>
      </c>
      <c r="L44" s="45">
        <f ca="1">OFFSET(TblMili[[#This Row],[Archmages]],-1,0) + OFFSET(TblMili[[#This Row],[Train AM]],-12,0) - TblMili[[#This Row],[Release AM]]</f>
        <v>0</v>
      </c>
      <c r="M44" s="142"/>
      <c r="N44" s="94">
        <f ca="1">TblProd[[#This Row],[Networth]]</f>
        <v>1250</v>
      </c>
      <c r="O44" s="142"/>
      <c r="P44"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4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4" s="247">
        <f ca="1">TblMili[[#This Row],[Raw]]*(1+TblMili[[#This Row],[Mods_Off]])</f>
        <v>0</v>
      </c>
      <c r="S44"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44" s="247">
        <f ca="1">TblMili[[#This Row],[Non Draft]]+TblMili[[#This Row],[Draftees]]</f>
        <v>453</v>
      </c>
      <c r="U44" s="248">
        <f ca="1">race_defense + TblImps[[#This Row],[Walls]] + ROUND( MIN(gt_bonus*TblConstr[[#This Row],[Tot GT]]/TblConstr[[#This Row],[Land]],gt_bonus_cap), 4) + IF(TblMagic[[#This Row],[Active Howling]]&gt;0,howling_dp_bonus,IF(TblMagic[[#This Row],[Active Ares Call]]&gt;0,ares_call_bonus))</f>
        <v>0</v>
      </c>
      <c r="V44" s="249">
        <f ca="1">TblMili[[#This Row],[Non Draft]] * (1 + TblMili[[#This Row],[Mods_Def]])</f>
        <v>0</v>
      </c>
      <c r="W44" s="247">
        <f ca="1">TblMili[[#This Row],[Draft]] * (1 + TblMili[[#This Row],[Mods_Def]])</f>
        <v>453</v>
      </c>
      <c r="X44" s="247">
        <f ca="1">TblConstr[[#This Row],[Land]]</f>
        <v>50</v>
      </c>
      <c r="Y44" s="250"/>
      <c r="Z44" s="255">
        <f ca="1">IF(TblMili[[#This Row],[Set]]&lt;&gt;"",TblMili[[#This Row],[Set]],OFFSET(TblMili[[#This Row],[Draftrate]],-1,0))</f>
        <v>0.9</v>
      </c>
      <c r="AA44"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453</v>
      </c>
      <c r="AB44" s="154"/>
      <c r="AC44" s="180">
        <f ca="1">(TblConstr[[#This Row],[Tot Smi]]+TblConstr[[#This Row],[Dest Smi]])/(TblConstr[[#This Row],[Land]]-TblExplore[[#This Row],[Land Bonus]]*20)</f>
        <v>0</v>
      </c>
      <c r="AD44" s="137"/>
      <c r="AE44" s="246">
        <f>TblMili[[#This Row],[Hour]]</f>
        <v>41</v>
      </c>
      <c r="AF44" s="138">
        <f ca="1">TblExplore[[#This Row],[Time]]</f>
        <v>46321.66666666657</v>
      </c>
      <c r="AG44" s="179"/>
      <c r="AH44" s="179"/>
      <c r="AI44" s="179"/>
      <c r="AJ44" s="179"/>
      <c r="AK44" s="179"/>
      <c r="AL44" s="179"/>
      <c r="AM44" s="179"/>
      <c r="AN44" s="179"/>
      <c r="AO44" s="420">
        <f ca="1">ROUND(IF(AND(TblMagic[[#This Row],[Active DnD]]&lt;12,TblMagic[[#This Row],[Active DnD]]&gt;5),OFFSET(TblPop[[#This Row],[Draft Growth]],-1,0)*0.375,0),0)</f>
        <v>0</v>
      </c>
      <c r="AP44" s="142"/>
      <c r="AQ44" s="94">
        <f ca="1">TblProd[[#This Row],[Platinum]]</f>
        <v>161952</v>
      </c>
      <c r="AR44" s="94">
        <f ca="1">INDEX(TblProd[[#Headers],[Lumber]]:TblProd[[#This Row],[Ore]],COUNTA(TblProd[[#Headers],[Lumber]]:TblProd[[#This Row],[Lumber]]),MATCH(Military!$AR$2,TblProd[[#Headers],[Lumber]:[Ore]],0))</f>
        <v>0</v>
      </c>
      <c r="AS4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44" s="94">
        <f ca="1">TblMili[[#This Row],[Train Unit 1]]*TblMili[[#This Row],[OP Ore]]+TblMili[[#This Row],[Train Unit 2]]*TblMili[[#This Row],[DP Ore]]+TblMili[[#This Row],[Train Unit 3]]*TblMili[[#This Row],[E1 Ore]]+TblMili[[#This Row],[Train Unit 4]]*TblMili[[#This Row],[E2 Ore]]</f>
        <v>0</v>
      </c>
      <c r="AU44" s="142">
        <f>TblMili[[#This Row],[Hour]]</f>
        <v>41</v>
      </c>
      <c r="AV44" s="152">
        <f ca="1">TblMili[[#This Row],[Time]]</f>
        <v>46321.66666666657</v>
      </c>
      <c r="AW44" s="94">
        <f ca="1">TblMili[[#This Row],[Draftees]]</f>
        <v>453</v>
      </c>
      <c r="AX44" s="179"/>
      <c r="AY44" s="179"/>
      <c r="AZ44" s="179"/>
      <c r="BA44" s="179"/>
      <c r="BB44" s="179"/>
      <c r="BC44" s="179"/>
      <c r="BD44" s="179"/>
      <c r="BE44" s="179"/>
      <c r="BF44" s="179"/>
      <c r="BG44" s="142"/>
      <c r="BH44" s="157">
        <f ca="1">TblConstr[[#This Row],[Tot WG]]/TblConstr[[#This Row],[Land]]</f>
        <v>0</v>
      </c>
      <c r="BI44" s="157">
        <f ca="1">TblConstr[[#This Row],[Tot Hav]]/TblConstr[[#This Row],[Land]]</f>
        <v>0</v>
      </c>
      <c r="BJ44" s="94">
        <f ca="1">ROUNDUP((1-MIN(TblMili[[#This Row],[Smithies]]*smithy_bonus,smithy_bonus_cap) + tech_3_5*TblTech[[#This Row],[3-5]] + tech_5_3*TblTech[[#This Row],[5-3]] + tech_5_5*TblTech[[#This Row],[5-5]])*spec_op_plat,0)</f>
        <v>315</v>
      </c>
      <c r="BK44" s="94">
        <f ca="1">ROUNDUP(IF(race="Gnome",1,(1-MIN(TblMili[[#This Row],[Smithies]]*smithy_bonus,smithy_bonus_cap) + tech_3_5*TblTech[[#This Row],[3-5]] + tech_5_3*TblTech[[#This Row],[5-3]] + tech_5_5*TblTech[[#This Row],[5-5]]))*spec_op_ore,0)</f>
        <v>25</v>
      </c>
      <c r="BL44" s="94">
        <f ca="1">ROUNDUP((1-MIN(TblMili[[#This Row],[Smithies]]*smithy_bonus,smithy_bonus_cap) + tech_3_5*TblTech[[#This Row],[3-5]] + tech_5_3*TblTech[[#This Row],[5-3]] + tech_5_5*TblTech[[#This Row],[5-5]])*spec_dp_plat,0)</f>
        <v>275</v>
      </c>
      <c r="BM44" s="94">
        <f ca="1">ROUNDUP(IF(race="Gnome",1,(1-MIN(TblMili[[#This Row],[Smithies]]*smithy_bonus,smithy_bonus_cap) + tech_3_5*TblTech[[#This Row],[3-5]] + tech_5_3*TblTech[[#This Row],[5-3]] + tech_5_5*TblTech[[#This Row],[5-5]]))*spec_dp_ore,0)</f>
        <v>15</v>
      </c>
      <c r="BN44" s="94">
        <f ca="1">ROUNDUP((1-MIN(TblMili[[#This Row],[Smithies]]*smithy_bonus,smithy_bonus_cap) + tech_3_5*TblTech[[#This Row],[3-5]] + tech_5_3*TblTech[[#This Row],[5-3]] + tech_5_5*TblTech[[#This Row],[5-5]])*elite1_plat,0)</f>
        <v>1040</v>
      </c>
      <c r="BO44" s="94">
        <f ca="1">ROUNDUP(IF(race="Gnome",1,(1-MIN(TblMili[[#This Row],[Smithies]]*smithy_bonus,smithy_bonus_cap) + tech_3_5*TblTech[[#This Row],[3-5]] + tech_5_3*TblTech[[#This Row],[5-3]] + tech_5_5*TblTech[[#This Row],[5-5]]))*elite1_ore,0)</f>
        <v>75</v>
      </c>
      <c r="BP44" s="94">
        <f ca="1">ROUNDUP((1-MIN(TblMili[[#This Row],[Smithies]]*smithy_bonus,smithy_bonus_cap) + tech_3_5*TblTech[[#This Row],[3-5]] + tech_5_3*TblTech[[#This Row],[5-3]] + tech_5_5*TblTech[[#This Row],[5-5]])*elite2_plat,0)</f>
        <v>1280</v>
      </c>
      <c r="BQ44" s="94">
        <f ca="1">ROUNDUP(IF(race="Gnome",1,(1-MIN(TblMili[[#This Row],[Smithies]]*smithy_bonus,smithy_bonus_cap) + tech_3_5*TblTech[[#This Row],[3-5]] + tech_5_3*TblTech[[#This Row],[5-3]] + tech_5_5*TblTech[[#This Row],[5-5]]))*elite2_ore,0)</f>
        <v>100</v>
      </c>
      <c r="BR44" s="94">
        <f ca="1">ROUNDUP((1-MIN(ROUND(fh_spy_cost_red*TblMili[[#This Row],[FH''s]],4),fh_spy_cost_cap)+ tech_1_9*TblTech[[#This Row],[1-9]] + tech_9_1*TblTech[[#This Row],[9-1]])*spy_plat,0)</f>
        <v>500</v>
      </c>
      <c r="BS44" s="94">
        <f ca="1">ROUNDUP((1-MIN(ROUND(fh_spy_cost_red*TblMili[[#This Row],[FH''s]],4),fh_spy_cost_cap)+ tech_1_9*TblTech[[#This Row],[1-9]] + tech_9_1*TblTech[[#This Row],[9-1]])*archspy_plat,0)</f>
        <v>1000</v>
      </c>
      <c r="BT44" s="94">
        <f ca="1">ROUNDUP((1-MIN(ROUND(wg_wiz_cost_bonus*TblMili[[#This Row],[WG''s]],4),wg_wiz_cost_cap) + tech_1_9_2*TblTech[[#This Row],[1-9]] + tech_9_1_2*TblTech[[#This Row],[9-1]])*wizard_plat,0)</f>
        <v>500</v>
      </c>
      <c r="BU44" s="94">
        <f ca="1">ROUNDUP((1-MIN(ROUND(wg_wiz_cost_bonus*TblMili[[#This Row],[WG''s]],4),wg_wiz_cost_cap) + tech_1_9_2*TblTech[[#This Row],[1-9]] + tech_9_1_2*TblTech[[#This Row],[9-1]])*(archmage_plat + IF(TblMagic[[#This Row],[Active Arc Infusion]]&gt;0,400,0)),0)</f>
        <v>1000</v>
      </c>
      <c r="BV44" s="142"/>
      <c r="BW44" s="157">
        <f ca="1">TblConstr[[#This Row],[Homeland]]/TblConstr[[#This Row],[Land]]</f>
        <v>0.6</v>
      </c>
      <c r="BX44" s="157">
        <f ca="1">TblMili[[#This Row],[WG''s]]</f>
        <v>0</v>
      </c>
      <c r="BY44" s="251">
        <f ca="1">IF(mystic_cap="none",TblMili[[#This Row],[Homeland%]]/mystic_bonus,MIN(mystic_cap,TblMili[[#This Row],[Homeland%]]/mystic_bonus))</f>
        <v>2</v>
      </c>
      <c r="BZ44" s="251">
        <f ca="1">IF(druid_op_cap="none",TblMili[[#This Row],[Homeland%]]/druid_op_bonus,MIN(druid_op_cap,TblMili[[#This Row],[Homeland%]]/druid_op_bonus))</f>
        <v>2</v>
      </c>
      <c r="CA44" s="251">
        <f ca="1">IF(druid_dp_cap="none",TblMili[[#This Row],[Homeland%]]/druid_dp_bonus,MIN(druid_dp_cap,TblMili[[#This Row],[Homeland%]]/druid_dp_bonus))</f>
        <v>2</v>
      </c>
      <c r="CB44" s="251">
        <f ca="1">MIN(dryad_cap,TblMili[[#This Row],[Homeland%]]/dryad_bonus)</f>
        <v>2.9999999999999996</v>
      </c>
      <c r="CC44" s="251">
        <f ca="1">MIN(rocka_cap,TblMili[[#This Row],[Homeland%]]/rocka_bonus)</f>
        <v>2</v>
      </c>
      <c r="CD44" s="251">
        <f ca="1">MIN(adept_op_cap,TblMili[[#This Row],[WG]]/adept_op_bonus)</f>
        <v>0</v>
      </c>
      <c r="CE44" s="251">
        <f ca="1">MIN(adept_dp_cap,TblMili[[#This Row],[WG]]/adept_dp_bonus)</f>
        <v>0</v>
      </c>
      <c r="CF44" s="94">
        <f ca="1">MIN(TblMili[[#This Row],[Unit 3]],TblMili[[#This Row],[Unit 2]])*2</f>
        <v>0</v>
      </c>
      <c r="CG44" s="94">
        <f ca="1">MIN(TblMili[[#This Row],[Unit 1]],TblMili[[#This Row],[Unit 4]])*2</f>
        <v>0</v>
      </c>
      <c r="CH44" s="251">
        <f ca="1">MIN(frost_mage_cap,TblMili[[#This Row],[Homeland%]]/frost_mage_bonus)</f>
        <v>2.9999999999999996</v>
      </c>
      <c r="CI44" s="45">
        <f ca="1">MIN(ice_elem_cap,TblMili[[#This Row],[Raw (2)]]*ice_elem_bonus)</f>
        <v>0</v>
      </c>
      <c r="CJ44" s="251">
        <f t="shared" si="2"/>
        <v>0.83333333333333337</v>
      </c>
      <c r="CK44" s="251">
        <f ca="1">MIN(nox_nightshade_cap,TblConstr[[#This Row],[Homeland]]/TblConstr[[#This Row],[Land]]/nox_nightshade_swamp_bonus)</f>
        <v>4</v>
      </c>
      <c r="CL44" s="251">
        <f ca="1">MIN(TblConstr[[#This Row],[Total Swamp]]/TblConstr[[#This Row],[Land]]/abyss_enforce_bonus,abyss_enforcer_cap)</f>
        <v>0</v>
      </c>
      <c r="CM44" s="251">
        <f ca="1">IF(TblMagic[[#This Row],[Active Infernal Command]]&gt;0,TblMili[[#This Row],[Unit 1]]*infernal_cmd_op,0)</f>
        <v>0</v>
      </c>
      <c r="CN44" s="252"/>
      <c r="CO44" s="252"/>
      <c r="CP44" s="252"/>
      <c r="CQ44" s="251">
        <f ca="1">TblMili[[#This Row],[Mystic]]*2</f>
        <v>4</v>
      </c>
      <c r="CR44" s="251">
        <f ca="1">TblMili[[#This Row],[Druid (op)]]*2</f>
        <v>4</v>
      </c>
      <c r="CS44" s="94">
        <f ca="1">TblMili[[#This Row],[Mystic bonus]]*TblMili[[#This Row],[Unit 3]]+TblMili[[#This Row],[Druid bonus]]*TblMili[[#This Row],[Unit 4]]</f>
        <v>0</v>
      </c>
      <c r="CT44" s="155">
        <f ca="1">TblMili[[#This Row],[Dryad]]*2</f>
        <v>5.9999999999999991</v>
      </c>
      <c r="CU44" s="94">
        <f ca="1">sylvan*(TblMili[[#This Row],[Mystic bonus]]*TblMili[[#This Row],[Unit 3]])</f>
        <v>0</v>
      </c>
      <c r="CV44" s="155">
        <f ca="1">TblMili[[#This Row],[Rockapult]]*2</f>
        <v>4</v>
      </c>
      <c r="CW44" s="94">
        <f ca="1">gnome*(TblMili[[#This Row],[Rockapult bonus]]*TblMili[[#This Row],[Unit 3]])</f>
        <v>0</v>
      </c>
      <c r="CX44" s="155">
        <f ca="1">TblMili[[#This Row],[Adept-DP]]*2</f>
        <v>0</v>
      </c>
      <c r="CY44" s="94">
        <f ca="1">dark_elf*(TblMili[[#This Row],[Adept bonus]]*TblMili[[#This Row],[Unit 3]])</f>
        <v>0</v>
      </c>
      <c r="CZ44" s="155">
        <f ca="1">TblMili[[#This Row],[Frost Mage]]*2</f>
        <v>5.9999999999999991</v>
      </c>
      <c r="DA44" s="155">
        <f ca="1">TblMili[[#This Row],[Ice Elemental]]*2</f>
        <v>0</v>
      </c>
      <c r="DB44" s="94">
        <f ca="1">TblMili[[#This Row],[Frost Mage bonus]]*TblMili[[#This Row],[Unit 3]]+TblMili[[#This Row],[Ice Elemental bonus]]*TblMili[[#This Row],[Unit 4]]</f>
        <v>0</v>
      </c>
      <c r="DC44" s="253"/>
      <c r="DD44" s="143">
        <f ca="1">MIN(SUM(TblConstr[[#This Row],[Plain]:[Water]])/TblMili[[#This Row],[Land]]/favorable_terrain_bonus/100,favorable_terrain_max)</f>
        <v>0</v>
      </c>
      <c r="DE44" s="253"/>
      <c r="DF4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4" s="142"/>
      <c r="DH44" s="254">
        <f ca="1">(TblMili[[#This Row],[Wizards]]+2*TblMili[[#This Row],[Archmages]])/TblConstr[[#This Row],[Land]]</f>
        <v>0</v>
      </c>
      <c r="DI44" s="254">
        <f ca="1">TblMili[[#This Row],[Raw (2)]]*(1+race_wizard_strength+IF(TblMili[[#This Row],[Hour]]&gt;72,tech_magical_weaponry_wiz*TblTech[[#This Row],[3-5]],0))</f>
        <v>0</v>
      </c>
    </row>
    <row r="45" spans="1:113" x14ac:dyDescent="0.2">
      <c r="A45" s="137">
        <f>TblRezone[[#This Row],[Hour]]</f>
        <v>42</v>
      </c>
      <c r="B45" s="246">
        <f ca="1">SUM(TblMili[[#This Row],[Unit 1]:[Archmages]])+SUM(OFFSET(TblMili[[#This Row],[Train Unit 1]],-8,0):TblMili[[#This Row],[Train Unit 2]]) + SUM(OFFSET(TblMili[[#This Row],[Train Unit 3]],-11,0):TblMili[[#This Row],[Train AM]]) + TblMili[[#This Row],[Draftees]]</f>
        <v>456</v>
      </c>
      <c r="C45" s="157">
        <f ca="1">TblPop[[#This Row],[Military%]]</f>
        <v>0.59297789336801043</v>
      </c>
      <c r="D45" s="142"/>
      <c r="E45" s="45">
        <f ca="1">OFFSET(TblMili[[#This Row],[Unit 1]],-1,0) + OFFSET(TblMili[[#This Row],[Train Unit 1]],-9,0) - TblMili[[#This Row],[Release Unit 1]] + OFFSET(TblMili[[#This Row],[DnD_Zombies]],-12,0)</f>
        <v>0</v>
      </c>
      <c r="F45" s="45">
        <f ca="1">OFFSET(TblMili[[#This Row],[Unit 2]],-1,0) + OFFSET(TblMili[[#This Row],[Train Unit 2]],-9,0)-TblMili[[#This Row],[Release Unit 2]]</f>
        <v>0</v>
      </c>
      <c r="G45" s="45">
        <f ca="1">OFFSET(TblMili[[#This Row],[Unit 3]],-1,0) + OFFSET(TblMili[[#This Row],[Train Unit 3]],-12,0)-TblMili[[#This Row],[Release Unit 3]]</f>
        <v>0</v>
      </c>
      <c r="H45" s="45">
        <f ca="1">OFFSET(TblMili[[#This Row],[Unit 4]],-1,0) + OFFSET(TblMili[[#This Row],[Train Unit 4]],-12,0)-TblMili[[#This Row],[Release Unit 4]]</f>
        <v>0</v>
      </c>
      <c r="I45" s="45">
        <f ca="1">OFFSET(TblMili[[#This Row],[Spies]],-1,0) + OFFSET(TblMili[[#This Row],[Train Spies]],-12,0) - TblMili[[#This Row],[Release Spies]]-TblMili[[#This Row],[Train AS]]</f>
        <v>0</v>
      </c>
      <c r="J45" s="45">
        <f ca="1">OFFSET(TblMili[[#This Row],[Archspies]],-1,0) + OFFSET(TblMili[[#This Row],[Train AS]],-12,0) - TblMili[[#This Row],[Release AS]]</f>
        <v>0</v>
      </c>
      <c r="K45" s="45">
        <f ca="1">OFFSET(TblMili[[#This Row],[Wizards]],-1,0) + OFFSET(TblMili[[#This Row],[Train Wiz]],-12,0) - TblMili[[#This Row],[Release Wizards]]-TblMili[[#This Row],[Train AM]] + IF(TblMagic[[#This Row],[Active Arc Infusion]]&gt;0,TblMili[[#This Row],[Train AM]])</f>
        <v>0</v>
      </c>
      <c r="L45" s="45">
        <f ca="1">OFFSET(TblMili[[#This Row],[Archmages]],-1,0) + OFFSET(TblMili[[#This Row],[Train AM]],-12,0) - TblMili[[#This Row],[Release AM]]</f>
        <v>0</v>
      </c>
      <c r="M45" s="142"/>
      <c r="N45" s="94">
        <f ca="1">TblProd[[#This Row],[Networth]]</f>
        <v>1250</v>
      </c>
      <c r="O45" s="142"/>
      <c r="P45"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4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5" s="247">
        <f ca="1">TblMili[[#This Row],[Raw]]*(1+TblMili[[#This Row],[Mods_Off]])</f>
        <v>0</v>
      </c>
      <c r="S45"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45" s="247">
        <f ca="1">TblMili[[#This Row],[Non Draft]]+TblMili[[#This Row],[Draftees]]</f>
        <v>456</v>
      </c>
      <c r="U45" s="248">
        <f ca="1">race_defense + TblImps[[#This Row],[Walls]] + ROUND( MIN(gt_bonus*TblConstr[[#This Row],[Tot GT]]/TblConstr[[#This Row],[Land]],gt_bonus_cap), 4) + IF(TblMagic[[#This Row],[Active Howling]]&gt;0,howling_dp_bonus,IF(TblMagic[[#This Row],[Active Ares Call]]&gt;0,ares_call_bonus))</f>
        <v>0</v>
      </c>
      <c r="V45" s="249">
        <f ca="1">TblMili[[#This Row],[Non Draft]] * (1 + TblMili[[#This Row],[Mods_Def]])</f>
        <v>0</v>
      </c>
      <c r="W45" s="247">
        <f ca="1">TblMili[[#This Row],[Draft]] * (1 + TblMili[[#This Row],[Mods_Def]])</f>
        <v>456</v>
      </c>
      <c r="X45" s="247">
        <f ca="1">TblConstr[[#This Row],[Land]]</f>
        <v>50</v>
      </c>
      <c r="Y45" s="250"/>
      <c r="Z45" s="255">
        <f ca="1">IF(TblMili[[#This Row],[Set]]&lt;&gt;"",TblMili[[#This Row],[Set]],OFFSET(TblMili[[#This Row],[Draftrate]],-1,0))</f>
        <v>0.9</v>
      </c>
      <c r="AA45"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456</v>
      </c>
      <c r="AB45" s="154"/>
      <c r="AC45" s="180">
        <f ca="1">(TblConstr[[#This Row],[Tot Smi]]+TblConstr[[#This Row],[Dest Smi]])/(TblConstr[[#This Row],[Land]]-TblExplore[[#This Row],[Land Bonus]]*20)</f>
        <v>0</v>
      </c>
      <c r="AD45" s="137"/>
      <c r="AE45" s="246">
        <f>TblMili[[#This Row],[Hour]]</f>
        <v>42</v>
      </c>
      <c r="AF45" s="138">
        <f ca="1">TblExplore[[#This Row],[Time]]</f>
        <v>46321.708333333234</v>
      </c>
      <c r="AG45" s="179"/>
      <c r="AH45" s="179"/>
      <c r="AI45" s="179"/>
      <c r="AJ45" s="179"/>
      <c r="AK45" s="179"/>
      <c r="AL45" s="179"/>
      <c r="AM45" s="179"/>
      <c r="AN45" s="179"/>
      <c r="AO45" s="420">
        <f ca="1">ROUND(IF(AND(TblMagic[[#This Row],[Active DnD]]&lt;12,TblMagic[[#This Row],[Active DnD]]&gt;5),OFFSET(TblPop[[#This Row],[Draft Growth]],-1,0)*0.375,0),0)</f>
        <v>0</v>
      </c>
      <c r="AP45" s="142"/>
      <c r="AQ45" s="94">
        <f ca="1">TblProd[[#This Row],[Platinum]]</f>
        <v>162805</v>
      </c>
      <c r="AR45" s="94">
        <f ca="1">INDEX(TblProd[[#Headers],[Lumber]]:TblProd[[#This Row],[Ore]],COUNTA(TblProd[[#Headers],[Lumber]]:TblProd[[#This Row],[Lumber]]),MATCH(Military!$AR$2,TblProd[[#Headers],[Lumber]:[Ore]],0))</f>
        <v>0</v>
      </c>
      <c r="AS4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45" s="94">
        <f ca="1">TblMili[[#This Row],[Train Unit 1]]*TblMili[[#This Row],[OP Ore]]+TblMili[[#This Row],[Train Unit 2]]*TblMili[[#This Row],[DP Ore]]+TblMili[[#This Row],[Train Unit 3]]*TblMili[[#This Row],[E1 Ore]]+TblMili[[#This Row],[Train Unit 4]]*TblMili[[#This Row],[E2 Ore]]</f>
        <v>0</v>
      </c>
      <c r="AU45" s="142">
        <f>TblMili[[#This Row],[Hour]]</f>
        <v>42</v>
      </c>
      <c r="AV45" s="152">
        <f ca="1">TblMili[[#This Row],[Time]]</f>
        <v>46321.708333333234</v>
      </c>
      <c r="AW45" s="94">
        <f ca="1">TblMili[[#This Row],[Draftees]]</f>
        <v>456</v>
      </c>
      <c r="AX45" s="179"/>
      <c r="AY45" s="179"/>
      <c r="AZ45" s="179"/>
      <c r="BA45" s="179"/>
      <c r="BB45" s="179"/>
      <c r="BC45" s="179"/>
      <c r="BD45" s="179"/>
      <c r="BE45" s="179"/>
      <c r="BF45" s="179"/>
      <c r="BG45" s="142"/>
      <c r="BH45" s="157">
        <f ca="1">TblConstr[[#This Row],[Tot WG]]/TblConstr[[#This Row],[Land]]</f>
        <v>0</v>
      </c>
      <c r="BI45" s="157">
        <f ca="1">TblConstr[[#This Row],[Tot Hav]]/TblConstr[[#This Row],[Land]]</f>
        <v>0</v>
      </c>
      <c r="BJ45" s="94">
        <f ca="1">ROUNDUP((1-MIN(TblMili[[#This Row],[Smithies]]*smithy_bonus,smithy_bonus_cap) + tech_3_5*TblTech[[#This Row],[3-5]] + tech_5_3*TblTech[[#This Row],[5-3]] + tech_5_5*TblTech[[#This Row],[5-5]])*spec_op_plat,0)</f>
        <v>315</v>
      </c>
      <c r="BK45" s="94">
        <f ca="1">ROUNDUP(IF(race="Gnome",1,(1-MIN(TblMili[[#This Row],[Smithies]]*smithy_bonus,smithy_bonus_cap) + tech_3_5*TblTech[[#This Row],[3-5]] + tech_5_3*TblTech[[#This Row],[5-3]] + tech_5_5*TblTech[[#This Row],[5-5]]))*spec_op_ore,0)</f>
        <v>25</v>
      </c>
      <c r="BL45" s="94">
        <f ca="1">ROUNDUP((1-MIN(TblMili[[#This Row],[Smithies]]*smithy_bonus,smithy_bonus_cap) + tech_3_5*TblTech[[#This Row],[3-5]] + tech_5_3*TblTech[[#This Row],[5-3]] + tech_5_5*TblTech[[#This Row],[5-5]])*spec_dp_plat,0)</f>
        <v>275</v>
      </c>
      <c r="BM45" s="94">
        <f ca="1">ROUNDUP(IF(race="Gnome",1,(1-MIN(TblMili[[#This Row],[Smithies]]*smithy_bonus,smithy_bonus_cap) + tech_3_5*TblTech[[#This Row],[3-5]] + tech_5_3*TblTech[[#This Row],[5-3]] + tech_5_5*TblTech[[#This Row],[5-5]]))*spec_dp_ore,0)</f>
        <v>15</v>
      </c>
      <c r="BN45" s="94">
        <f ca="1">ROUNDUP((1-MIN(TblMili[[#This Row],[Smithies]]*smithy_bonus,smithy_bonus_cap) + tech_3_5*TblTech[[#This Row],[3-5]] + tech_5_3*TblTech[[#This Row],[5-3]] + tech_5_5*TblTech[[#This Row],[5-5]])*elite1_plat,0)</f>
        <v>1040</v>
      </c>
      <c r="BO45" s="94">
        <f ca="1">ROUNDUP(IF(race="Gnome",1,(1-MIN(TblMili[[#This Row],[Smithies]]*smithy_bonus,smithy_bonus_cap) + tech_3_5*TblTech[[#This Row],[3-5]] + tech_5_3*TblTech[[#This Row],[5-3]] + tech_5_5*TblTech[[#This Row],[5-5]]))*elite1_ore,0)</f>
        <v>75</v>
      </c>
      <c r="BP45" s="94">
        <f ca="1">ROUNDUP((1-MIN(TblMili[[#This Row],[Smithies]]*smithy_bonus,smithy_bonus_cap) + tech_3_5*TblTech[[#This Row],[3-5]] + tech_5_3*TblTech[[#This Row],[5-3]] + tech_5_5*TblTech[[#This Row],[5-5]])*elite2_plat,0)</f>
        <v>1280</v>
      </c>
      <c r="BQ45" s="94">
        <f ca="1">ROUNDUP(IF(race="Gnome",1,(1-MIN(TblMili[[#This Row],[Smithies]]*smithy_bonus,smithy_bonus_cap) + tech_3_5*TblTech[[#This Row],[3-5]] + tech_5_3*TblTech[[#This Row],[5-3]] + tech_5_5*TblTech[[#This Row],[5-5]]))*elite2_ore,0)</f>
        <v>100</v>
      </c>
      <c r="BR45" s="94">
        <f ca="1">ROUNDUP((1-MIN(ROUND(fh_spy_cost_red*TblMili[[#This Row],[FH''s]],4),fh_spy_cost_cap)+ tech_1_9*TblTech[[#This Row],[1-9]] + tech_9_1*TblTech[[#This Row],[9-1]])*spy_plat,0)</f>
        <v>500</v>
      </c>
      <c r="BS45" s="94">
        <f ca="1">ROUNDUP((1-MIN(ROUND(fh_spy_cost_red*TblMili[[#This Row],[FH''s]],4),fh_spy_cost_cap)+ tech_1_9*TblTech[[#This Row],[1-9]] + tech_9_1*TblTech[[#This Row],[9-1]])*archspy_plat,0)</f>
        <v>1000</v>
      </c>
      <c r="BT45" s="94">
        <f ca="1">ROUNDUP((1-MIN(ROUND(wg_wiz_cost_bonus*TblMili[[#This Row],[WG''s]],4),wg_wiz_cost_cap) + tech_1_9_2*TblTech[[#This Row],[1-9]] + tech_9_1_2*TblTech[[#This Row],[9-1]])*wizard_plat,0)</f>
        <v>500</v>
      </c>
      <c r="BU45" s="94">
        <f ca="1">ROUNDUP((1-MIN(ROUND(wg_wiz_cost_bonus*TblMili[[#This Row],[WG''s]],4),wg_wiz_cost_cap) + tech_1_9_2*TblTech[[#This Row],[1-9]] + tech_9_1_2*TblTech[[#This Row],[9-1]])*(archmage_plat + IF(TblMagic[[#This Row],[Active Arc Infusion]]&gt;0,400,0)),0)</f>
        <v>1000</v>
      </c>
      <c r="BV45" s="142"/>
      <c r="BW45" s="157">
        <f ca="1">TblConstr[[#This Row],[Homeland]]/TblConstr[[#This Row],[Land]]</f>
        <v>0.6</v>
      </c>
      <c r="BX45" s="157">
        <f ca="1">TblMili[[#This Row],[WG''s]]</f>
        <v>0</v>
      </c>
      <c r="BY45" s="251">
        <f ca="1">IF(mystic_cap="none",TblMili[[#This Row],[Homeland%]]/mystic_bonus,MIN(mystic_cap,TblMili[[#This Row],[Homeland%]]/mystic_bonus))</f>
        <v>2</v>
      </c>
      <c r="BZ45" s="251">
        <f ca="1">IF(druid_op_cap="none",TblMili[[#This Row],[Homeland%]]/druid_op_bonus,MIN(druid_op_cap,TblMili[[#This Row],[Homeland%]]/druid_op_bonus))</f>
        <v>2</v>
      </c>
      <c r="CA45" s="251">
        <f ca="1">IF(druid_dp_cap="none",TblMili[[#This Row],[Homeland%]]/druid_dp_bonus,MIN(druid_dp_cap,TblMili[[#This Row],[Homeland%]]/druid_dp_bonus))</f>
        <v>2</v>
      </c>
      <c r="CB45" s="251">
        <f ca="1">MIN(dryad_cap,TblMili[[#This Row],[Homeland%]]/dryad_bonus)</f>
        <v>2.9999999999999996</v>
      </c>
      <c r="CC45" s="251">
        <f ca="1">MIN(rocka_cap,TblMili[[#This Row],[Homeland%]]/rocka_bonus)</f>
        <v>2</v>
      </c>
      <c r="CD45" s="251">
        <f ca="1">MIN(adept_op_cap,TblMili[[#This Row],[WG]]/adept_op_bonus)</f>
        <v>0</v>
      </c>
      <c r="CE45" s="251">
        <f ca="1">MIN(adept_dp_cap,TblMili[[#This Row],[WG]]/adept_dp_bonus)</f>
        <v>0</v>
      </c>
      <c r="CF45" s="94">
        <f ca="1">MIN(TblMili[[#This Row],[Unit 3]],TblMili[[#This Row],[Unit 2]])*2</f>
        <v>0</v>
      </c>
      <c r="CG45" s="94">
        <f ca="1">MIN(TblMili[[#This Row],[Unit 1]],TblMili[[#This Row],[Unit 4]])*2</f>
        <v>0</v>
      </c>
      <c r="CH45" s="251">
        <f ca="1">MIN(frost_mage_cap,TblMili[[#This Row],[Homeland%]]/frost_mage_bonus)</f>
        <v>2.9999999999999996</v>
      </c>
      <c r="CI45" s="45">
        <f ca="1">MIN(ice_elem_cap,TblMili[[#This Row],[Raw (2)]]*ice_elem_bonus)</f>
        <v>0</v>
      </c>
      <c r="CJ45" s="251">
        <f t="shared" si="2"/>
        <v>0.83333333333333337</v>
      </c>
      <c r="CK45" s="251">
        <f ca="1">MIN(nox_nightshade_cap,TblConstr[[#This Row],[Homeland]]/TblConstr[[#This Row],[Land]]/nox_nightshade_swamp_bonus)</f>
        <v>4</v>
      </c>
      <c r="CL45" s="251">
        <f ca="1">MIN(TblConstr[[#This Row],[Total Swamp]]/TblConstr[[#This Row],[Land]]/abyss_enforce_bonus,abyss_enforcer_cap)</f>
        <v>0</v>
      </c>
      <c r="CM45" s="251">
        <f ca="1">IF(TblMagic[[#This Row],[Active Infernal Command]]&gt;0,TblMili[[#This Row],[Unit 1]]*infernal_cmd_op,0)</f>
        <v>0</v>
      </c>
      <c r="CN45" s="252"/>
      <c r="CO45" s="252"/>
      <c r="CP45" s="252"/>
      <c r="CQ45" s="251">
        <f ca="1">TblMili[[#This Row],[Mystic]]*2</f>
        <v>4</v>
      </c>
      <c r="CR45" s="251">
        <f ca="1">TblMili[[#This Row],[Druid (op)]]*2</f>
        <v>4</v>
      </c>
      <c r="CS45" s="94">
        <f ca="1">TblMili[[#This Row],[Mystic bonus]]*TblMili[[#This Row],[Unit 3]]+TblMili[[#This Row],[Druid bonus]]*TblMili[[#This Row],[Unit 4]]</f>
        <v>0</v>
      </c>
      <c r="CT45" s="155">
        <f ca="1">TblMili[[#This Row],[Dryad]]*2</f>
        <v>5.9999999999999991</v>
      </c>
      <c r="CU45" s="94">
        <f ca="1">sylvan*(TblMili[[#This Row],[Mystic bonus]]*TblMili[[#This Row],[Unit 3]])</f>
        <v>0</v>
      </c>
      <c r="CV45" s="155">
        <f ca="1">TblMili[[#This Row],[Rockapult]]*2</f>
        <v>4</v>
      </c>
      <c r="CW45" s="94">
        <f ca="1">gnome*(TblMili[[#This Row],[Rockapult bonus]]*TblMili[[#This Row],[Unit 3]])</f>
        <v>0</v>
      </c>
      <c r="CX45" s="155">
        <f ca="1">TblMili[[#This Row],[Adept-DP]]*2</f>
        <v>0</v>
      </c>
      <c r="CY45" s="94">
        <f ca="1">dark_elf*(TblMili[[#This Row],[Adept bonus]]*TblMili[[#This Row],[Unit 3]])</f>
        <v>0</v>
      </c>
      <c r="CZ45" s="155">
        <f ca="1">TblMili[[#This Row],[Frost Mage]]*2</f>
        <v>5.9999999999999991</v>
      </c>
      <c r="DA45" s="155">
        <f ca="1">TblMili[[#This Row],[Ice Elemental]]*2</f>
        <v>0</v>
      </c>
      <c r="DB45" s="94">
        <f ca="1">TblMili[[#This Row],[Frost Mage bonus]]*TblMili[[#This Row],[Unit 3]]+TblMili[[#This Row],[Ice Elemental bonus]]*TblMili[[#This Row],[Unit 4]]</f>
        <v>0</v>
      </c>
      <c r="DC45" s="253"/>
      <c r="DD45" s="143">
        <f ca="1">MIN(SUM(TblConstr[[#This Row],[Plain]:[Water]])/TblMili[[#This Row],[Land]]/favorable_terrain_bonus/100,favorable_terrain_max)</f>
        <v>0</v>
      </c>
      <c r="DE45" s="253"/>
      <c r="DF4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5" s="142"/>
      <c r="DH45" s="254">
        <f ca="1">(TblMili[[#This Row],[Wizards]]+2*TblMili[[#This Row],[Archmages]])/TblConstr[[#This Row],[Land]]</f>
        <v>0</v>
      </c>
      <c r="DI45" s="254">
        <f ca="1">TblMili[[#This Row],[Raw (2)]]*(1+race_wizard_strength+IF(TblMili[[#This Row],[Hour]]&gt;72,tech_magical_weaponry_wiz*TblTech[[#This Row],[3-5]],0))</f>
        <v>0</v>
      </c>
    </row>
    <row r="46" spans="1:113" x14ac:dyDescent="0.2">
      <c r="A46" s="137">
        <f>TblRezone[[#This Row],[Hour]]</f>
        <v>43</v>
      </c>
      <c r="B46" s="246">
        <f ca="1">SUM(TblMili[[#This Row],[Unit 1]:[Archmages]])+SUM(OFFSET(TblMili[[#This Row],[Train Unit 1]],-8,0):TblMili[[#This Row],[Train Unit 2]]) + SUM(OFFSET(TblMili[[#This Row],[Train Unit 3]],-11,0):TblMili[[#This Row],[Train AM]]) + TblMili[[#This Row],[Draftees]]</f>
        <v>459</v>
      </c>
      <c r="C46" s="157">
        <f ca="1">TblPop[[#This Row],[Military%]]</f>
        <v>0.5968790637191157</v>
      </c>
      <c r="D46" s="142"/>
      <c r="E46" s="45">
        <f ca="1">OFFSET(TblMili[[#This Row],[Unit 1]],-1,0) + OFFSET(TblMili[[#This Row],[Train Unit 1]],-9,0) - TblMili[[#This Row],[Release Unit 1]] + OFFSET(TblMili[[#This Row],[DnD_Zombies]],-12,0)</f>
        <v>0</v>
      </c>
      <c r="F46" s="45">
        <f ca="1">OFFSET(TblMili[[#This Row],[Unit 2]],-1,0) + OFFSET(TblMili[[#This Row],[Train Unit 2]],-9,0)-TblMili[[#This Row],[Release Unit 2]]</f>
        <v>0</v>
      </c>
      <c r="G46" s="45">
        <f ca="1">OFFSET(TblMili[[#This Row],[Unit 3]],-1,0) + OFFSET(TblMili[[#This Row],[Train Unit 3]],-12,0)-TblMili[[#This Row],[Release Unit 3]]</f>
        <v>0</v>
      </c>
      <c r="H46" s="45">
        <f ca="1">OFFSET(TblMili[[#This Row],[Unit 4]],-1,0) + OFFSET(TblMili[[#This Row],[Train Unit 4]],-12,0)-TblMili[[#This Row],[Release Unit 4]]</f>
        <v>0</v>
      </c>
      <c r="I46" s="45">
        <f ca="1">OFFSET(TblMili[[#This Row],[Spies]],-1,0) + OFFSET(TblMili[[#This Row],[Train Spies]],-12,0) - TblMili[[#This Row],[Release Spies]]-TblMili[[#This Row],[Train AS]]</f>
        <v>0</v>
      </c>
      <c r="J46" s="45">
        <f ca="1">OFFSET(TblMili[[#This Row],[Archspies]],-1,0) + OFFSET(TblMili[[#This Row],[Train AS]],-12,0) - TblMili[[#This Row],[Release AS]]</f>
        <v>0</v>
      </c>
      <c r="K46" s="45">
        <f ca="1">OFFSET(TblMili[[#This Row],[Wizards]],-1,0) + OFFSET(TblMili[[#This Row],[Train Wiz]],-12,0) - TblMili[[#This Row],[Release Wizards]]-TblMili[[#This Row],[Train AM]] + IF(TblMagic[[#This Row],[Active Arc Infusion]]&gt;0,TblMili[[#This Row],[Train AM]])</f>
        <v>0</v>
      </c>
      <c r="L46" s="45">
        <f ca="1">OFFSET(TblMili[[#This Row],[Archmages]],-1,0) + OFFSET(TblMili[[#This Row],[Train AM]],-12,0) - TblMili[[#This Row],[Release AM]]</f>
        <v>0</v>
      </c>
      <c r="M46" s="142"/>
      <c r="N46" s="94">
        <f ca="1">TblProd[[#This Row],[Networth]]</f>
        <v>1250</v>
      </c>
      <c r="O46" s="142"/>
      <c r="P46"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4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6" s="247">
        <f ca="1">TblMili[[#This Row],[Raw]]*(1+TblMili[[#This Row],[Mods_Off]])</f>
        <v>0</v>
      </c>
      <c r="S46"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46" s="247">
        <f ca="1">TblMili[[#This Row],[Non Draft]]+TblMili[[#This Row],[Draftees]]</f>
        <v>459</v>
      </c>
      <c r="U46" s="248">
        <f ca="1">race_defense + TblImps[[#This Row],[Walls]] + ROUND( MIN(gt_bonus*TblConstr[[#This Row],[Tot GT]]/TblConstr[[#This Row],[Land]],gt_bonus_cap), 4) + IF(TblMagic[[#This Row],[Active Howling]]&gt;0,howling_dp_bonus,IF(TblMagic[[#This Row],[Active Ares Call]]&gt;0,ares_call_bonus))</f>
        <v>0</v>
      </c>
      <c r="V46" s="249">
        <f ca="1">TblMili[[#This Row],[Non Draft]] * (1 + TblMili[[#This Row],[Mods_Def]])</f>
        <v>0</v>
      </c>
      <c r="W46" s="247">
        <f ca="1">TblMili[[#This Row],[Draft]] * (1 + TblMili[[#This Row],[Mods_Def]])</f>
        <v>459</v>
      </c>
      <c r="X46" s="247">
        <f ca="1">TblConstr[[#This Row],[Land]]</f>
        <v>50</v>
      </c>
      <c r="Y46" s="250"/>
      <c r="Z46" s="255">
        <f ca="1">IF(TblMili[[#This Row],[Set]]&lt;&gt;"",TblMili[[#This Row],[Set]],OFFSET(TblMili[[#This Row],[Draftrate]],-1,0))</f>
        <v>0.9</v>
      </c>
      <c r="AA46"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459</v>
      </c>
      <c r="AB46" s="154"/>
      <c r="AC46" s="180">
        <f ca="1">(TblConstr[[#This Row],[Tot Smi]]+TblConstr[[#This Row],[Dest Smi]])/(TblConstr[[#This Row],[Land]]-TblExplore[[#This Row],[Land Bonus]]*20)</f>
        <v>0</v>
      </c>
      <c r="AD46" s="137"/>
      <c r="AE46" s="246">
        <f>TblMili[[#This Row],[Hour]]</f>
        <v>43</v>
      </c>
      <c r="AF46" s="138">
        <f ca="1">TblExplore[[#This Row],[Time]]</f>
        <v>46321.749999999898</v>
      </c>
      <c r="AG46" s="179"/>
      <c r="AH46" s="179"/>
      <c r="AI46" s="179"/>
      <c r="AJ46" s="179"/>
      <c r="AK46" s="179"/>
      <c r="AL46" s="179"/>
      <c r="AM46" s="179"/>
      <c r="AN46" s="179"/>
      <c r="AO46" s="420">
        <f ca="1">ROUND(IF(AND(TblMagic[[#This Row],[Active DnD]]&lt;12,TblMagic[[#This Row],[Active DnD]]&gt;5),OFFSET(TblPop[[#This Row],[Draft Growth]],-1,0)*0.375,0),0)</f>
        <v>0</v>
      </c>
      <c r="AP46" s="142"/>
      <c r="AQ46" s="94">
        <f ca="1">TblProd[[#This Row],[Platinum]]</f>
        <v>163650</v>
      </c>
      <c r="AR46" s="94">
        <f ca="1">INDEX(TblProd[[#Headers],[Lumber]]:TblProd[[#This Row],[Ore]],COUNTA(TblProd[[#Headers],[Lumber]]:TblProd[[#This Row],[Lumber]]),MATCH(Military!$AR$2,TblProd[[#Headers],[Lumber]:[Ore]],0))</f>
        <v>0</v>
      </c>
      <c r="AS4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46" s="94">
        <f ca="1">TblMili[[#This Row],[Train Unit 1]]*TblMili[[#This Row],[OP Ore]]+TblMili[[#This Row],[Train Unit 2]]*TblMili[[#This Row],[DP Ore]]+TblMili[[#This Row],[Train Unit 3]]*TblMili[[#This Row],[E1 Ore]]+TblMili[[#This Row],[Train Unit 4]]*TblMili[[#This Row],[E2 Ore]]</f>
        <v>0</v>
      </c>
      <c r="AU46" s="142">
        <f>TblMili[[#This Row],[Hour]]</f>
        <v>43</v>
      </c>
      <c r="AV46" s="152">
        <f ca="1">TblMili[[#This Row],[Time]]</f>
        <v>46321.749999999898</v>
      </c>
      <c r="AW46" s="94">
        <f ca="1">TblMili[[#This Row],[Draftees]]</f>
        <v>459</v>
      </c>
      <c r="AX46" s="179"/>
      <c r="AY46" s="179"/>
      <c r="AZ46" s="179"/>
      <c r="BA46" s="179"/>
      <c r="BB46" s="179"/>
      <c r="BC46" s="179"/>
      <c r="BD46" s="179"/>
      <c r="BE46" s="179"/>
      <c r="BF46" s="179"/>
      <c r="BG46" s="142"/>
      <c r="BH46" s="157">
        <f ca="1">TblConstr[[#This Row],[Tot WG]]/TblConstr[[#This Row],[Land]]</f>
        <v>0</v>
      </c>
      <c r="BI46" s="157">
        <f ca="1">TblConstr[[#This Row],[Tot Hav]]/TblConstr[[#This Row],[Land]]</f>
        <v>0</v>
      </c>
      <c r="BJ46" s="94">
        <f ca="1">ROUNDUP((1-MIN(TblMili[[#This Row],[Smithies]]*smithy_bonus,smithy_bonus_cap) + tech_3_5*TblTech[[#This Row],[3-5]] + tech_5_3*TblTech[[#This Row],[5-3]] + tech_5_5*TblTech[[#This Row],[5-5]])*spec_op_plat,0)</f>
        <v>315</v>
      </c>
      <c r="BK46" s="94">
        <f ca="1">ROUNDUP(IF(race="Gnome",1,(1-MIN(TblMili[[#This Row],[Smithies]]*smithy_bonus,smithy_bonus_cap) + tech_3_5*TblTech[[#This Row],[3-5]] + tech_5_3*TblTech[[#This Row],[5-3]] + tech_5_5*TblTech[[#This Row],[5-5]]))*spec_op_ore,0)</f>
        <v>25</v>
      </c>
      <c r="BL46" s="94">
        <f ca="1">ROUNDUP((1-MIN(TblMili[[#This Row],[Smithies]]*smithy_bonus,smithy_bonus_cap) + tech_3_5*TblTech[[#This Row],[3-5]] + tech_5_3*TblTech[[#This Row],[5-3]] + tech_5_5*TblTech[[#This Row],[5-5]])*spec_dp_plat,0)</f>
        <v>275</v>
      </c>
      <c r="BM46" s="94">
        <f ca="1">ROUNDUP(IF(race="Gnome",1,(1-MIN(TblMili[[#This Row],[Smithies]]*smithy_bonus,smithy_bonus_cap) + tech_3_5*TblTech[[#This Row],[3-5]] + tech_5_3*TblTech[[#This Row],[5-3]] + tech_5_5*TblTech[[#This Row],[5-5]]))*spec_dp_ore,0)</f>
        <v>15</v>
      </c>
      <c r="BN46" s="94">
        <f ca="1">ROUNDUP((1-MIN(TblMili[[#This Row],[Smithies]]*smithy_bonus,smithy_bonus_cap) + tech_3_5*TblTech[[#This Row],[3-5]] + tech_5_3*TblTech[[#This Row],[5-3]] + tech_5_5*TblTech[[#This Row],[5-5]])*elite1_plat,0)</f>
        <v>1040</v>
      </c>
      <c r="BO46" s="94">
        <f ca="1">ROUNDUP(IF(race="Gnome",1,(1-MIN(TblMili[[#This Row],[Smithies]]*smithy_bonus,smithy_bonus_cap) + tech_3_5*TblTech[[#This Row],[3-5]] + tech_5_3*TblTech[[#This Row],[5-3]] + tech_5_5*TblTech[[#This Row],[5-5]]))*elite1_ore,0)</f>
        <v>75</v>
      </c>
      <c r="BP46" s="94">
        <f ca="1">ROUNDUP((1-MIN(TblMili[[#This Row],[Smithies]]*smithy_bonus,smithy_bonus_cap) + tech_3_5*TblTech[[#This Row],[3-5]] + tech_5_3*TblTech[[#This Row],[5-3]] + tech_5_5*TblTech[[#This Row],[5-5]])*elite2_plat,0)</f>
        <v>1280</v>
      </c>
      <c r="BQ46" s="94">
        <f ca="1">ROUNDUP(IF(race="Gnome",1,(1-MIN(TblMili[[#This Row],[Smithies]]*smithy_bonus,smithy_bonus_cap) + tech_3_5*TblTech[[#This Row],[3-5]] + tech_5_3*TblTech[[#This Row],[5-3]] + tech_5_5*TblTech[[#This Row],[5-5]]))*elite2_ore,0)</f>
        <v>100</v>
      </c>
      <c r="BR46" s="94">
        <f ca="1">ROUNDUP((1-MIN(ROUND(fh_spy_cost_red*TblMili[[#This Row],[FH''s]],4),fh_spy_cost_cap)+ tech_1_9*TblTech[[#This Row],[1-9]] + tech_9_1*TblTech[[#This Row],[9-1]])*spy_plat,0)</f>
        <v>500</v>
      </c>
      <c r="BS46" s="94">
        <f ca="1">ROUNDUP((1-MIN(ROUND(fh_spy_cost_red*TblMili[[#This Row],[FH''s]],4),fh_spy_cost_cap)+ tech_1_9*TblTech[[#This Row],[1-9]] + tech_9_1*TblTech[[#This Row],[9-1]])*archspy_plat,0)</f>
        <v>1000</v>
      </c>
      <c r="BT46" s="94">
        <f ca="1">ROUNDUP((1-MIN(ROUND(wg_wiz_cost_bonus*TblMili[[#This Row],[WG''s]],4),wg_wiz_cost_cap) + tech_1_9_2*TblTech[[#This Row],[1-9]] + tech_9_1_2*TblTech[[#This Row],[9-1]])*wizard_plat,0)</f>
        <v>500</v>
      </c>
      <c r="BU46" s="94">
        <f ca="1">ROUNDUP((1-MIN(ROUND(wg_wiz_cost_bonus*TblMili[[#This Row],[WG''s]],4),wg_wiz_cost_cap) + tech_1_9_2*TblTech[[#This Row],[1-9]] + tech_9_1_2*TblTech[[#This Row],[9-1]])*(archmage_plat + IF(TblMagic[[#This Row],[Active Arc Infusion]]&gt;0,400,0)),0)</f>
        <v>1000</v>
      </c>
      <c r="BV46" s="142"/>
      <c r="BW46" s="157">
        <f ca="1">TblConstr[[#This Row],[Homeland]]/TblConstr[[#This Row],[Land]]</f>
        <v>0.6</v>
      </c>
      <c r="BX46" s="157">
        <f ca="1">TblMili[[#This Row],[WG''s]]</f>
        <v>0</v>
      </c>
      <c r="BY46" s="251">
        <f ca="1">IF(mystic_cap="none",TblMili[[#This Row],[Homeland%]]/mystic_bonus,MIN(mystic_cap,TblMili[[#This Row],[Homeland%]]/mystic_bonus))</f>
        <v>2</v>
      </c>
      <c r="BZ46" s="251">
        <f ca="1">IF(druid_op_cap="none",TblMili[[#This Row],[Homeland%]]/druid_op_bonus,MIN(druid_op_cap,TblMili[[#This Row],[Homeland%]]/druid_op_bonus))</f>
        <v>2</v>
      </c>
      <c r="CA46" s="251">
        <f ca="1">IF(druid_dp_cap="none",TblMili[[#This Row],[Homeland%]]/druid_dp_bonus,MIN(druid_dp_cap,TblMili[[#This Row],[Homeland%]]/druid_dp_bonus))</f>
        <v>2</v>
      </c>
      <c r="CB46" s="251">
        <f ca="1">MIN(dryad_cap,TblMili[[#This Row],[Homeland%]]/dryad_bonus)</f>
        <v>2.9999999999999996</v>
      </c>
      <c r="CC46" s="251">
        <f ca="1">MIN(rocka_cap,TblMili[[#This Row],[Homeland%]]/rocka_bonus)</f>
        <v>2</v>
      </c>
      <c r="CD46" s="251">
        <f ca="1">MIN(adept_op_cap,TblMili[[#This Row],[WG]]/adept_op_bonus)</f>
        <v>0</v>
      </c>
      <c r="CE46" s="251">
        <f ca="1">MIN(adept_dp_cap,TblMili[[#This Row],[WG]]/adept_dp_bonus)</f>
        <v>0</v>
      </c>
      <c r="CF46" s="94">
        <f ca="1">MIN(TblMili[[#This Row],[Unit 3]],TblMili[[#This Row],[Unit 2]])*2</f>
        <v>0</v>
      </c>
      <c r="CG46" s="94">
        <f ca="1">MIN(TblMili[[#This Row],[Unit 1]],TblMili[[#This Row],[Unit 4]])*2</f>
        <v>0</v>
      </c>
      <c r="CH46" s="251">
        <f ca="1">MIN(frost_mage_cap,TblMili[[#This Row],[Homeland%]]/frost_mage_bonus)</f>
        <v>2.9999999999999996</v>
      </c>
      <c r="CI46" s="45">
        <f ca="1">MIN(ice_elem_cap,TblMili[[#This Row],[Raw (2)]]*ice_elem_bonus)</f>
        <v>0</v>
      </c>
      <c r="CJ46" s="251">
        <f t="shared" si="2"/>
        <v>0.83333333333333337</v>
      </c>
      <c r="CK46" s="251">
        <f ca="1">MIN(nox_nightshade_cap,TblConstr[[#This Row],[Homeland]]/TblConstr[[#This Row],[Land]]/nox_nightshade_swamp_bonus)</f>
        <v>4</v>
      </c>
      <c r="CL46" s="251">
        <f ca="1">MIN(TblConstr[[#This Row],[Total Swamp]]/TblConstr[[#This Row],[Land]]/abyss_enforce_bonus,abyss_enforcer_cap)</f>
        <v>0</v>
      </c>
      <c r="CM46" s="251">
        <f ca="1">IF(TblMagic[[#This Row],[Active Infernal Command]]&gt;0,TblMili[[#This Row],[Unit 1]]*infernal_cmd_op,0)</f>
        <v>0</v>
      </c>
      <c r="CN46" s="252"/>
      <c r="CO46" s="252"/>
      <c r="CP46" s="252"/>
      <c r="CQ46" s="251">
        <f ca="1">TblMili[[#This Row],[Mystic]]*2</f>
        <v>4</v>
      </c>
      <c r="CR46" s="251">
        <f ca="1">TblMili[[#This Row],[Druid (op)]]*2</f>
        <v>4</v>
      </c>
      <c r="CS46" s="94">
        <f ca="1">TblMili[[#This Row],[Mystic bonus]]*TblMili[[#This Row],[Unit 3]]+TblMili[[#This Row],[Druid bonus]]*TblMili[[#This Row],[Unit 4]]</f>
        <v>0</v>
      </c>
      <c r="CT46" s="155">
        <f ca="1">TblMili[[#This Row],[Dryad]]*2</f>
        <v>5.9999999999999991</v>
      </c>
      <c r="CU46" s="94">
        <f ca="1">sylvan*(TblMili[[#This Row],[Mystic bonus]]*TblMili[[#This Row],[Unit 3]])</f>
        <v>0</v>
      </c>
      <c r="CV46" s="155">
        <f ca="1">TblMili[[#This Row],[Rockapult]]*2</f>
        <v>4</v>
      </c>
      <c r="CW46" s="94">
        <f ca="1">gnome*(TblMili[[#This Row],[Rockapult bonus]]*TblMili[[#This Row],[Unit 3]])</f>
        <v>0</v>
      </c>
      <c r="CX46" s="155">
        <f ca="1">TblMili[[#This Row],[Adept-DP]]*2</f>
        <v>0</v>
      </c>
      <c r="CY46" s="94">
        <f ca="1">dark_elf*(TblMili[[#This Row],[Adept bonus]]*TblMili[[#This Row],[Unit 3]])</f>
        <v>0</v>
      </c>
      <c r="CZ46" s="155">
        <f ca="1">TblMili[[#This Row],[Frost Mage]]*2</f>
        <v>5.9999999999999991</v>
      </c>
      <c r="DA46" s="155">
        <f ca="1">TblMili[[#This Row],[Ice Elemental]]*2</f>
        <v>0</v>
      </c>
      <c r="DB46" s="94">
        <f ca="1">TblMili[[#This Row],[Frost Mage bonus]]*TblMili[[#This Row],[Unit 3]]+TblMili[[#This Row],[Ice Elemental bonus]]*TblMili[[#This Row],[Unit 4]]</f>
        <v>0</v>
      </c>
      <c r="DC46" s="253"/>
      <c r="DD46" s="143">
        <f ca="1">MIN(SUM(TblConstr[[#This Row],[Plain]:[Water]])/TblMili[[#This Row],[Land]]/favorable_terrain_bonus/100,favorable_terrain_max)</f>
        <v>0</v>
      </c>
      <c r="DE46" s="253"/>
      <c r="DF4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6" s="142"/>
      <c r="DH46" s="254">
        <f ca="1">(TblMili[[#This Row],[Wizards]]+2*TblMili[[#This Row],[Archmages]])/TblConstr[[#This Row],[Land]]</f>
        <v>0</v>
      </c>
      <c r="DI46" s="254">
        <f ca="1">TblMili[[#This Row],[Raw (2)]]*(1+race_wizard_strength+IF(TblMili[[#This Row],[Hour]]&gt;72,tech_magical_weaponry_wiz*TblTech[[#This Row],[3-5]],0))</f>
        <v>0</v>
      </c>
    </row>
    <row r="47" spans="1:113" x14ac:dyDescent="0.2">
      <c r="A47" s="137">
        <f>TblRezone[[#This Row],[Hour]]</f>
        <v>44</v>
      </c>
      <c r="B47" s="246">
        <f ca="1">SUM(TblMili[[#This Row],[Unit 1]:[Archmages]])+SUM(OFFSET(TblMili[[#This Row],[Train Unit 1]],-8,0):TblMili[[#This Row],[Train Unit 2]]) + SUM(OFFSET(TblMili[[#This Row],[Train Unit 3]],-11,0):TblMili[[#This Row],[Train AM]]) + TblMili[[#This Row],[Draftees]]</f>
        <v>462</v>
      </c>
      <c r="C47" s="157">
        <f ca="1">TblPop[[#This Row],[Military%]]</f>
        <v>0.60078023407022108</v>
      </c>
      <c r="D47" s="142"/>
      <c r="E47" s="45">
        <f ca="1">OFFSET(TblMili[[#This Row],[Unit 1]],-1,0) + OFFSET(TblMili[[#This Row],[Train Unit 1]],-9,0) - TblMili[[#This Row],[Release Unit 1]] + OFFSET(TblMili[[#This Row],[DnD_Zombies]],-12,0)</f>
        <v>0</v>
      </c>
      <c r="F47" s="45">
        <f ca="1">OFFSET(TblMili[[#This Row],[Unit 2]],-1,0) + OFFSET(TblMili[[#This Row],[Train Unit 2]],-9,0)-TblMili[[#This Row],[Release Unit 2]]</f>
        <v>0</v>
      </c>
      <c r="G47" s="45">
        <f ca="1">OFFSET(TblMili[[#This Row],[Unit 3]],-1,0) + OFFSET(TblMili[[#This Row],[Train Unit 3]],-12,0)-TblMili[[#This Row],[Release Unit 3]]</f>
        <v>0</v>
      </c>
      <c r="H47" s="45">
        <f ca="1">OFFSET(TblMili[[#This Row],[Unit 4]],-1,0) + OFFSET(TblMili[[#This Row],[Train Unit 4]],-12,0)-TblMili[[#This Row],[Release Unit 4]]</f>
        <v>0</v>
      </c>
      <c r="I47" s="45">
        <f ca="1">OFFSET(TblMili[[#This Row],[Spies]],-1,0) + OFFSET(TblMili[[#This Row],[Train Spies]],-12,0) - TblMili[[#This Row],[Release Spies]]-TblMili[[#This Row],[Train AS]]</f>
        <v>0</v>
      </c>
      <c r="J47" s="45">
        <f ca="1">OFFSET(TblMili[[#This Row],[Archspies]],-1,0) + OFFSET(TblMili[[#This Row],[Train AS]],-12,0) - TblMili[[#This Row],[Release AS]]</f>
        <v>0</v>
      </c>
      <c r="K47" s="45">
        <f ca="1">OFFSET(TblMili[[#This Row],[Wizards]],-1,0) + OFFSET(TblMili[[#This Row],[Train Wiz]],-12,0) - TblMili[[#This Row],[Release Wizards]]-TblMili[[#This Row],[Train AM]] + IF(TblMagic[[#This Row],[Active Arc Infusion]]&gt;0,TblMili[[#This Row],[Train AM]])</f>
        <v>0</v>
      </c>
      <c r="L47" s="45">
        <f ca="1">OFFSET(TblMili[[#This Row],[Archmages]],-1,0) + OFFSET(TblMili[[#This Row],[Train AM]],-12,0) - TblMili[[#This Row],[Release AM]]</f>
        <v>0</v>
      </c>
      <c r="M47" s="142"/>
      <c r="N47" s="94">
        <f ca="1">TblProd[[#This Row],[Networth]]</f>
        <v>1250</v>
      </c>
      <c r="O47" s="142"/>
      <c r="P47"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4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7" s="247">
        <f ca="1">TblMili[[#This Row],[Raw]]*(1+TblMili[[#This Row],[Mods_Off]])</f>
        <v>0</v>
      </c>
      <c r="S47"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47" s="247">
        <f ca="1">TblMili[[#This Row],[Non Draft]]+TblMili[[#This Row],[Draftees]]</f>
        <v>462</v>
      </c>
      <c r="U47" s="248">
        <f ca="1">race_defense + TblImps[[#This Row],[Walls]] + ROUND( MIN(gt_bonus*TblConstr[[#This Row],[Tot GT]]/TblConstr[[#This Row],[Land]],gt_bonus_cap), 4) + IF(TblMagic[[#This Row],[Active Howling]]&gt;0,howling_dp_bonus,IF(TblMagic[[#This Row],[Active Ares Call]]&gt;0,ares_call_bonus))</f>
        <v>0</v>
      </c>
      <c r="V47" s="249">
        <f ca="1">TblMili[[#This Row],[Non Draft]] * (1 + TblMili[[#This Row],[Mods_Def]])</f>
        <v>0</v>
      </c>
      <c r="W47" s="247">
        <f ca="1">TblMili[[#This Row],[Draft]] * (1 + TblMili[[#This Row],[Mods_Def]])</f>
        <v>462</v>
      </c>
      <c r="X47" s="247">
        <f ca="1">TblConstr[[#This Row],[Land]]</f>
        <v>50</v>
      </c>
      <c r="Y47" s="250"/>
      <c r="Z47" s="255">
        <f ca="1">IF(TblMili[[#This Row],[Set]]&lt;&gt;"",TblMili[[#This Row],[Set]],OFFSET(TblMili[[#This Row],[Draftrate]],-1,0))</f>
        <v>0.9</v>
      </c>
      <c r="AA47"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462</v>
      </c>
      <c r="AB47" s="154"/>
      <c r="AC47" s="180">
        <f ca="1">(TblConstr[[#This Row],[Tot Smi]]+TblConstr[[#This Row],[Dest Smi]])/(TblConstr[[#This Row],[Land]]-TblExplore[[#This Row],[Land Bonus]]*20)</f>
        <v>0</v>
      </c>
      <c r="AD47" s="137"/>
      <c r="AE47" s="246">
        <f>TblMili[[#This Row],[Hour]]</f>
        <v>44</v>
      </c>
      <c r="AF47" s="138">
        <f ca="1">TblExplore[[#This Row],[Time]]</f>
        <v>46321.791666666562</v>
      </c>
      <c r="AG47" s="179"/>
      <c r="AH47" s="179"/>
      <c r="AI47" s="179"/>
      <c r="AJ47" s="179"/>
      <c r="AK47" s="179"/>
      <c r="AL47" s="179"/>
      <c r="AM47" s="179"/>
      <c r="AN47" s="179"/>
      <c r="AO47" s="420">
        <f ca="1">ROUND(IF(AND(TblMagic[[#This Row],[Active DnD]]&lt;12,TblMagic[[#This Row],[Active DnD]]&gt;5),OFFSET(TblPop[[#This Row],[Draft Growth]],-1,0)*0.375,0),0)</f>
        <v>0</v>
      </c>
      <c r="AP47" s="142"/>
      <c r="AQ47" s="94">
        <f ca="1">TblProd[[#This Row],[Platinum]]</f>
        <v>164487</v>
      </c>
      <c r="AR47" s="94">
        <f ca="1">INDEX(TblProd[[#Headers],[Lumber]]:TblProd[[#This Row],[Ore]],COUNTA(TblProd[[#Headers],[Lumber]]:TblProd[[#This Row],[Lumber]]),MATCH(Military!$AR$2,TblProd[[#Headers],[Lumber]:[Ore]],0))</f>
        <v>0</v>
      </c>
      <c r="AS4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47" s="94">
        <f ca="1">TblMili[[#This Row],[Train Unit 1]]*TblMili[[#This Row],[OP Ore]]+TblMili[[#This Row],[Train Unit 2]]*TblMili[[#This Row],[DP Ore]]+TblMili[[#This Row],[Train Unit 3]]*TblMili[[#This Row],[E1 Ore]]+TblMili[[#This Row],[Train Unit 4]]*TblMili[[#This Row],[E2 Ore]]</f>
        <v>0</v>
      </c>
      <c r="AU47" s="142">
        <f>TblMili[[#This Row],[Hour]]</f>
        <v>44</v>
      </c>
      <c r="AV47" s="152">
        <f ca="1">TblMili[[#This Row],[Time]]</f>
        <v>46321.791666666562</v>
      </c>
      <c r="AW47" s="94">
        <f ca="1">TblMili[[#This Row],[Draftees]]</f>
        <v>462</v>
      </c>
      <c r="AX47" s="179"/>
      <c r="AY47" s="179"/>
      <c r="AZ47" s="179"/>
      <c r="BA47" s="179"/>
      <c r="BB47" s="179"/>
      <c r="BC47" s="179"/>
      <c r="BD47" s="179"/>
      <c r="BE47" s="179"/>
      <c r="BF47" s="179"/>
      <c r="BG47" s="142"/>
      <c r="BH47" s="157">
        <f ca="1">TblConstr[[#This Row],[Tot WG]]/TblConstr[[#This Row],[Land]]</f>
        <v>0</v>
      </c>
      <c r="BI47" s="157">
        <f ca="1">TblConstr[[#This Row],[Tot Hav]]/TblConstr[[#This Row],[Land]]</f>
        <v>0</v>
      </c>
      <c r="BJ47" s="94">
        <f ca="1">ROUNDUP((1-MIN(TblMili[[#This Row],[Smithies]]*smithy_bonus,smithy_bonus_cap) + tech_3_5*TblTech[[#This Row],[3-5]] + tech_5_3*TblTech[[#This Row],[5-3]] + tech_5_5*TblTech[[#This Row],[5-5]])*spec_op_plat,0)</f>
        <v>315</v>
      </c>
      <c r="BK47" s="94">
        <f ca="1">ROUNDUP(IF(race="Gnome",1,(1-MIN(TblMili[[#This Row],[Smithies]]*smithy_bonus,smithy_bonus_cap) + tech_3_5*TblTech[[#This Row],[3-5]] + tech_5_3*TblTech[[#This Row],[5-3]] + tech_5_5*TblTech[[#This Row],[5-5]]))*spec_op_ore,0)</f>
        <v>25</v>
      </c>
      <c r="BL47" s="94">
        <f ca="1">ROUNDUP((1-MIN(TblMili[[#This Row],[Smithies]]*smithy_bonus,smithy_bonus_cap) + tech_3_5*TblTech[[#This Row],[3-5]] + tech_5_3*TblTech[[#This Row],[5-3]] + tech_5_5*TblTech[[#This Row],[5-5]])*spec_dp_plat,0)</f>
        <v>275</v>
      </c>
      <c r="BM47" s="94">
        <f ca="1">ROUNDUP(IF(race="Gnome",1,(1-MIN(TblMili[[#This Row],[Smithies]]*smithy_bonus,smithy_bonus_cap) + tech_3_5*TblTech[[#This Row],[3-5]] + tech_5_3*TblTech[[#This Row],[5-3]] + tech_5_5*TblTech[[#This Row],[5-5]]))*spec_dp_ore,0)</f>
        <v>15</v>
      </c>
      <c r="BN47" s="94">
        <f ca="1">ROUNDUP((1-MIN(TblMili[[#This Row],[Smithies]]*smithy_bonus,smithy_bonus_cap) + tech_3_5*TblTech[[#This Row],[3-5]] + tech_5_3*TblTech[[#This Row],[5-3]] + tech_5_5*TblTech[[#This Row],[5-5]])*elite1_plat,0)</f>
        <v>1040</v>
      </c>
      <c r="BO47" s="94">
        <f ca="1">ROUNDUP(IF(race="Gnome",1,(1-MIN(TblMili[[#This Row],[Smithies]]*smithy_bonus,smithy_bonus_cap) + tech_3_5*TblTech[[#This Row],[3-5]] + tech_5_3*TblTech[[#This Row],[5-3]] + tech_5_5*TblTech[[#This Row],[5-5]]))*elite1_ore,0)</f>
        <v>75</v>
      </c>
      <c r="BP47" s="94">
        <f ca="1">ROUNDUP((1-MIN(TblMili[[#This Row],[Smithies]]*smithy_bonus,smithy_bonus_cap) + tech_3_5*TblTech[[#This Row],[3-5]] + tech_5_3*TblTech[[#This Row],[5-3]] + tech_5_5*TblTech[[#This Row],[5-5]])*elite2_plat,0)</f>
        <v>1280</v>
      </c>
      <c r="BQ47" s="94">
        <f ca="1">ROUNDUP(IF(race="Gnome",1,(1-MIN(TblMili[[#This Row],[Smithies]]*smithy_bonus,smithy_bonus_cap) + tech_3_5*TblTech[[#This Row],[3-5]] + tech_5_3*TblTech[[#This Row],[5-3]] + tech_5_5*TblTech[[#This Row],[5-5]]))*elite2_ore,0)</f>
        <v>100</v>
      </c>
      <c r="BR47" s="94">
        <f ca="1">ROUNDUP((1-MIN(ROUND(fh_spy_cost_red*TblMili[[#This Row],[FH''s]],4),fh_spy_cost_cap)+ tech_1_9*TblTech[[#This Row],[1-9]] + tech_9_1*TblTech[[#This Row],[9-1]])*spy_plat,0)</f>
        <v>500</v>
      </c>
      <c r="BS47" s="94">
        <f ca="1">ROUNDUP((1-MIN(ROUND(fh_spy_cost_red*TblMili[[#This Row],[FH''s]],4),fh_spy_cost_cap)+ tech_1_9*TblTech[[#This Row],[1-9]] + tech_9_1*TblTech[[#This Row],[9-1]])*archspy_plat,0)</f>
        <v>1000</v>
      </c>
      <c r="BT47" s="94">
        <f ca="1">ROUNDUP((1-MIN(ROUND(wg_wiz_cost_bonus*TblMili[[#This Row],[WG''s]],4),wg_wiz_cost_cap) + tech_1_9_2*TblTech[[#This Row],[1-9]] + tech_9_1_2*TblTech[[#This Row],[9-1]])*wizard_plat,0)</f>
        <v>500</v>
      </c>
      <c r="BU47" s="94">
        <f ca="1">ROUNDUP((1-MIN(ROUND(wg_wiz_cost_bonus*TblMili[[#This Row],[WG''s]],4),wg_wiz_cost_cap) + tech_1_9_2*TblTech[[#This Row],[1-9]] + tech_9_1_2*TblTech[[#This Row],[9-1]])*(archmage_plat + IF(TblMagic[[#This Row],[Active Arc Infusion]]&gt;0,400,0)),0)</f>
        <v>1000</v>
      </c>
      <c r="BV47" s="142"/>
      <c r="BW47" s="157">
        <f ca="1">TblConstr[[#This Row],[Homeland]]/TblConstr[[#This Row],[Land]]</f>
        <v>0.6</v>
      </c>
      <c r="BX47" s="157">
        <f ca="1">TblMili[[#This Row],[WG''s]]</f>
        <v>0</v>
      </c>
      <c r="BY47" s="251">
        <f ca="1">IF(mystic_cap="none",TblMili[[#This Row],[Homeland%]]/mystic_bonus,MIN(mystic_cap,TblMili[[#This Row],[Homeland%]]/mystic_bonus))</f>
        <v>2</v>
      </c>
      <c r="BZ47" s="251">
        <f ca="1">IF(druid_op_cap="none",TblMili[[#This Row],[Homeland%]]/druid_op_bonus,MIN(druid_op_cap,TblMili[[#This Row],[Homeland%]]/druid_op_bonus))</f>
        <v>2</v>
      </c>
      <c r="CA47" s="251">
        <f ca="1">IF(druid_dp_cap="none",TblMili[[#This Row],[Homeland%]]/druid_dp_bonus,MIN(druid_dp_cap,TblMili[[#This Row],[Homeland%]]/druid_dp_bonus))</f>
        <v>2</v>
      </c>
      <c r="CB47" s="251">
        <f ca="1">MIN(dryad_cap,TblMili[[#This Row],[Homeland%]]/dryad_bonus)</f>
        <v>2.9999999999999996</v>
      </c>
      <c r="CC47" s="251">
        <f ca="1">MIN(rocka_cap,TblMili[[#This Row],[Homeland%]]/rocka_bonus)</f>
        <v>2</v>
      </c>
      <c r="CD47" s="251">
        <f ca="1">MIN(adept_op_cap,TblMili[[#This Row],[WG]]/adept_op_bonus)</f>
        <v>0</v>
      </c>
      <c r="CE47" s="251">
        <f ca="1">MIN(adept_dp_cap,TblMili[[#This Row],[WG]]/adept_dp_bonus)</f>
        <v>0</v>
      </c>
      <c r="CF47" s="94">
        <f ca="1">MIN(TblMili[[#This Row],[Unit 3]],TblMili[[#This Row],[Unit 2]])*2</f>
        <v>0</v>
      </c>
      <c r="CG47" s="94">
        <f ca="1">MIN(TblMili[[#This Row],[Unit 1]],TblMili[[#This Row],[Unit 4]])*2</f>
        <v>0</v>
      </c>
      <c r="CH47" s="251">
        <f ca="1">MIN(frost_mage_cap,TblMili[[#This Row],[Homeland%]]/frost_mage_bonus)</f>
        <v>2.9999999999999996</v>
      </c>
      <c r="CI47" s="45">
        <f ca="1">MIN(ice_elem_cap,TblMili[[#This Row],[Raw (2)]]*ice_elem_bonus)</f>
        <v>0</v>
      </c>
      <c r="CJ47" s="251">
        <f t="shared" si="2"/>
        <v>0.83333333333333337</v>
      </c>
      <c r="CK47" s="251">
        <f ca="1">MIN(nox_nightshade_cap,TblConstr[[#This Row],[Homeland]]/TblConstr[[#This Row],[Land]]/nox_nightshade_swamp_bonus)</f>
        <v>4</v>
      </c>
      <c r="CL47" s="251">
        <f ca="1">MIN(TblConstr[[#This Row],[Total Swamp]]/TblConstr[[#This Row],[Land]]/abyss_enforce_bonus,abyss_enforcer_cap)</f>
        <v>0</v>
      </c>
      <c r="CM47" s="251">
        <f ca="1">IF(TblMagic[[#This Row],[Active Infernal Command]]&gt;0,TblMili[[#This Row],[Unit 1]]*infernal_cmd_op,0)</f>
        <v>0</v>
      </c>
      <c r="CN47" s="252"/>
      <c r="CO47" s="252"/>
      <c r="CP47" s="252"/>
      <c r="CQ47" s="251">
        <f ca="1">TblMili[[#This Row],[Mystic]]*2</f>
        <v>4</v>
      </c>
      <c r="CR47" s="251">
        <f ca="1">TblMili[[#This Row],[Druid (op)]]*2</f>
        <v>4</v>
      </c>
      <c r="CS47" s="94">
        <f ca="1">TblMili[[#This Row],[Mystic bonus]]*TblMili[[#This Row],[Unit 3]]+TblMili[[#This Row],[Druid bonus]]*TblMili[[#This Row],[Unit 4]]</f>
        <v>0</v>
      </c>
      <c r="CT47" s="155">
        <f ca="1">TblMili[[#This Row],[Dryad]]*2</f>
        <v>5.9999999999999991</v>
      </c>
      <c r="CU47" s="94">
        <f ca="1">sylvan*(TblMili[[#This Row],[Mystic bonus]]*TblMili[[#This Row],[Unit 3]])</f>
        <v>0</v>
      </c>
      <c r="CV47" s="155">
        <f ca="1">TblMili[[#This Row],[Rockapult]]*2</f>
        <v>4</v>
      </c>
      <c r="CW47" s="94">
        <f ca="1">gnome*(TblMili[[#This Row],[Rockapult bonus]]*TblMili[[#This Row],[Unit 3]])</f>
        <v>0</v>
      </c>
      <c r="CX47" s="155">
        <f ca="1">TblMili[[#This Row],[Adept-DP]]*2</f>
        <v>0</v>
      </c>
      <c r="CY47" s="94">
        <f ca="1">dark_elf*(TblMili[[#This Row],[Adept bonus]]*TblMili[[#This Row],[Unit 3]])</f>
        <v>0</v>
      </c>
      <c r="CZ47" s="155">
        <f ca="1">TblMili[[#This Row],[Frost Mage]]*2</f>
        <v>5.9999999999999991</v>
      </c>
      <c r="DA47" s="155">
        <f ca="1">TblMili[[#This Row],[Ice Elemental]]*2</f>
        <v>0</v>
      </c>
      <c r="DB47" s="94">
        <f ca="1">TblMili[[#This Row],[Frost Mage bonus]]*TblMili[[#This Row],[Unit 3]]+TblMili[[#This Row],[Ice Elemental bonus]]*TblMili[[#This Row],[Unit 4]]</f>
        <v>0</v>
      </c>
      <c r="DC47" s="253"/>
      <c r="DD47" s="143">
        <f ca="1">MIN(SUM(TblConstr[[#This Row],[Plain]:[Water]])/TblMili[[#This Row],[Land]]/favorable_terrain_bonus/100,favorable_terrain_max)</f>
        <v>0</v>
      </c>
      <c r="DE47" s="253"/>
      <c r="DF4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7" s="142"/>
      <c r="DH47" s="254">
        <f ca="1">(TblMili[[#This Row],[Wizards]]+2*TblMili[[#This Row],[Archmages]])/TblConstr[[#This Row],[Land]]</f>
        <v>0</v>
      </c>
      <c r="DI47" s="254">
        <f ca="1">TblMili[[#This Row],[Raw (2)]]*(1+race_wizard_strength+IF(TblMili[[#This Row],[Hour]]&gt;72,tech_magical_weaponry_wiz*TblTech[[#This Row],[3-5]],0))</f>
        <v>0</v>
      </c>
    </row>
    <row r="48" spans="1:113" x14ac:dyDescent="0.2">
      <c r="A48" s="137">
        <f>TblRezone[[#This Row],[Hour]]</f>
        <v>45</v>
      </c>
      <c r="B48" s="246">
        <f ca="1">SUM(TblMili[[#This Row],[Unit 1]:[Archmages]])+SUM(OFFSET(TblMili[[#This Row],[Train Unit 1]],-8,0):TblMili[[#This Row],[Train Unit 2]]) + SUM(OFFSET(TblMili[[#This Row],[Train Unit 3]],-11,0):TblMili[[#This Row],[Train AM]]) + TblMili[[#This Row],[Draftees]]</f>
        <v>465</v>
      </c>
      <c r="C48" s="157">
        <f ca="1">TblPop[[#This Row],[Military%]]</f>
        <v>0.60468140442132645</v>
      </c>
      <c r="D48" s="142"/>
      <c r="E48" s="45">
        <f ca="1">OFFSET(TblMili[[#This Row],[Unit 1]],-1,0) + OFFSET(TblMili[[#This Row],[Train Unit 1]],-9,0) - TblMili[[#This Row],[Release Unit 1]] + OFFSET(TblMili[[#This Row],[DnD_Zombies]],-12,0)</f>
        <v>0</v>
      </c>
      <c r="F48" s="45">
        <f ca="1">OFFSET(TblMili[[#This Row],[Unit 2]],-1,0) + OFFSET(TblMili[[#This Row],[Train Unit 2]],-9,0)-TblMili[[#This Row],[Release Unit 2]]</f>
        <v>0</v>
      </c>
      <c r="G48" s="45">
        <f ca="1">OFFSET(TblMili[[#This Row],[Unit 3]],-1,0) + OFFSET(TblMili[[#This Row],[Train Unit 3]],-12,0)-TblMili[[#This Row],[Release Unit 3]]</f>
        <v>0</v>
      </c>
      <c r="H48" s="45">
        <f ca="1">OFFSET(TblMili[[#This Row],[Unit 4]],-1,0) + OFFSET(TblMili[[#This Row],[Train Unit 4]],-12,0)-TblMili[[#This Row],[Release Unit 4]]</f>
        <v>0</v>
      </c>
      <c r="I48" s="45">
        <f ca="1">OFFSET(TblMili[[#This Row],[Spies]],-1,0) + OFFSET(TblMili[[#This Row],[Train Spies]],-12,0) - TblMili[[#This Row],[Release Spies]]-TblMili[[#This Row],[Train AS]]</f>
        <v>0</v>
      </c>
      <c r="J48" s="45">
        <f ca="1">OFFSET(TblMili[[#This Row],[Archspies]],-1,0) + OFFSET(TblMili[[#This Row],[Train AS]],-12,0) - TblMili[[#This Row],[Release AS]]</f>
        <v>0</v>
      </c>
      <c r="K48" s="45">
        <f ca="1">OFFSET(TblMili[[#This Row],[Wizards]],-1,0) + OFFSET(TblMili[[#This Row],[Train Wiz]],-12,0) - TblMili[[#This Row],[Release Wizards]]-TblMili[[#This Row],[Train AM]] + IF(TblMagic[[#This Row],[Active Arc Infusion]]&gt;0,TblMili[[#This Row],[Train AM]])</f>
        <v>0</v>
      </c>
      <c r="L48" s="45">
        <f ca="1">OFFSET(TblMili[[#This Row],[Archmages]],-1,0) + OFFSET(TblMili[[#This Row],[Train AM]],-12,0) - TblMili[[#This Row],[Release AM]]</f>
        <v>0</v>
      </c>
      <c r="M48" s="142"/>
      <c r="N48" s="94">
        <f ca="1">TblProd[[#This Row],[Networth]]</f>
        <v>1250</v>
      </c>
      <c r="O48" s="142"/>
      <c r="P48"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4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8" s="247">
        <f ca="1">TblMili[[#This Row],[Raw]]*(1+TblMili[[#This Row],[Mods_Off]])</f>
        <v>0</v>
      </c>
      <c r="S48"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48" s="247">
        <f ca="1">TblMili[[#This Row],[Non Draft]]+TblMili[[#This Row],[Draftees]]</f>
        <v>465</v>
      </c>
      <c r="U48" s="248">
        <f ca="1">race_defense + TblImps[[#This Row],[Walls]] + ROUND( MIN(gt_bonus*TblConstr[[#This Row],[Tot GT]]/TblConstr[[#This Row],[Land]],gt_bonus_cap), 4) + IF(TblMagic[[#This Row],[Active Howling]]&gt;0,howling_dp_bonus,IF(TblMagic[[#This Row],[Active Ares Call]]&gt;0,ares_call_bonus))</f>
        <v>0</v>
      </c>
      <c r="V48" s="249">
        <f ca="1">TblMili[[#This Row],[Non Draft]] * (1 + TblMili[[#This Row],[Mods_Def]])</f>
        <v>0</v>
      </c>
      <c r="W48" s="247">
        <f ca="1">TblMili[[#This Row],[Draft]] * (1 + TblMili[[#This Row],[Mods_Def]])</f>
        <v>465</v>
      </c>
      <c r="X48" s="247">
        <f ca="1">TblConstr[[#This Row],[Land]]</f>
        <v>50</v>
      </c>
      <c r="Y48" s="250"/>
      <c r="Z48" s="255">
        <f ca="1">IF(TblMili[[#This Row],[Set]]&lt;&gt;"",TblMili[[#This Row],[Set]],OFFSET(TblMili[[#This Row],[Draftrate]],-1,0))</f>
        <v>0.9</v>
      </c>
      <c r="AA48"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465</v>
      </c>
      <c r="AB48" s="154"/>
      <c r="AC48" s="180">
        <f ca="1">(TblConstr[[#This Row],[Tot Smi]]+TblConstr[[#This Row],[Dest Smi]])/(TblConstr[[#This Row],[Land]]-TblExplore[[#This Row],[Land Bonus]]*20)</f>
        <v>0</v>
      </c>
      <c r="AD48" s="137"/>
      <c r="AE48" s="246">
        <f>TblMili[[#This Row],[Hour]]</f>
        <v>45</v>
      </c>
      <c r="AF48" s="138">
        <f ca="1">TblExplore[[#This Row],[Time]]</f>
        <v>46321.833333333227</v>
      </c>
      <c r="AG48" s="179"/>
      <c r="AH48" s="179"/>
      <c r="AI48" s="179"/>
      <c r="AJ48" s="179"/>
      <c r="AK48" s="179"/>
      <c r="AL48" s="179"/>
      <c r="AM48" s="179"/>
      <c r="AN48" s="179"/>
      <c r="AO48" s="420">
        <f ca="1">ROUND(IF(AND(TblMagic[[#This Row],[Active DnD]]&lt;12,TblMagic[[#This Row],[Active DnD]]&gt;5),OFFSET(TblPop[[#This Row],[Draft Growth]],-1,0)*0.375,0),0)</f>
        <v>0</v>
      </c>
      <c r="AP48" s="142"/>
      <c r="AQ48" s="94">
        <f ca="1">TblProd[[#This Row],[Platinum]]</f>
        <v>165315</v>
      </c>
      <c r="AR48" s="94">
        <f ca="1">INDEX(TblProd[[#Headers],[Lumber]]:TblProd[[#This Row],[Ore]],COUNTA(TblProd[[#Headers],[Lumber]]:TblProd[[#This Row],[Lumber]]),MATCH(Military!$AR$2,TblProd[[#Headers],[Lumber]:[Ore]],0))</f>
        <v>0</v>
      </c>
      <c r="AS4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48" s="94">
        <f ca="1">TblMili[[#This Row],[Train Unit 1]]*TblMili[[#This Row],[OP Ore]]+TblMili[[#This Row],[Train Unit 2]]*TblMili[[#This Row],[DP Ore]]+TblMili[[#This Row],[Train Unit 3]]*TblMili[[#This Row],[E1 Ore]]+TblMili[[#This Row],[Train Unit 4]]*TblMili[[#This Row],[E2 Ore]]</f>
        <v>0</v>
      </c>
      <c r="AU48" s="142">
        <f>TblMili[[#This Row],[Hour]]</f>
        <v>45</v>
      </c>
      <c r="AV48" s="152">
        <f ca="1">TblMili[[#This Row],[Time]]</f>
        <v>46321.833333333227</v>
      </c>
      <c r="AW48" s="94">
        <f ca="1">TblMili[[#This Row],[Draftees]]</f>
        <v>465</v>
      </c>
      <c r="AX48" s="179"/>
      <c r="AY48" s="179"/>
      <c r="AZ48" s="179"/>
      <c r="BA48" s="179"/>
      <c r="BB48" s="179"/>
      <c r="BC48" s="179"/>
      <c r="BD48" s="179"/>
      <c r="BE48" s="179"/>
      <c r="BF48" s="179"/>
      <c r="BG48" s="142"/>
      <c r="BH48" s="157">
        <f ca="1">TblConstr[[#This Row],[Tot WG]]/TblConstr[[#This Row],[Land]]</f>
        <v>0</v>
      </c>
      <c r="BI48" s="157">
        <f ca="1">TblConstr[[#This Row],[Tot Hav]]/TblConstr[[#This Row],[Land]]</f>
        <v>0</v>
      </c>
      <c r="BJ48" s="94">
        <f ca="1">ROUNDUP((1-MIN(TblMili[[#This Row],[Smithies]]*smithy_bonus,smithy_bonus_cap) + tech_3_5*TblTech[[#This Row],[3-5]] + tech_5_3*TblTech[[#This Row],[5-3]] + tech_5_5*TblTech[[#This Row],[5-5]])*spec_op_plat,0)</f>
        <v>315</v>
      </c>
      <c r="BK48" s="94">
        <f ca="1">ROUNDUP(IF(race="Gnome",1,(1-MIN(TblMili[[#This Row],[Smithies]]*smithy_bonus,smithy_bonus_cap) + tech_3_5*TblTech[[#This Row],[3-5]] + tech_5_3*TblTech[[#This Row],[5-3]] + tech_5_5*TblTech[[#This Row],[5-5]]))*spec_op_ore,0)</f>
        <v>25</v>
      </c>
      <c r="BL48" s="94">
        <f ca="1">ROUNDUP((1-MIN(TblMili[[#This Row],[Smithies]]*smithy_bonus,smithy_bonus_cap) + tech_3_5*TblTech[[#This Row],[3-5]] + tech_5_3*TblTech[[#This Row],[5-3]] + tech_5_5*TblTech[[#This Row],[5-5]])*spec_dp_plat,0)</f>
        <v>275</v>
      </c>
      <c r="BM48" s="94">
        <f ca="1">ROUNDUP(IF(race="Gnome",1,(1-MIN(TblMili[[#This Row],[Smithies]]*smithy_bonus,smithy_bonus_cap) + tech_3_5*TblTech[[#This Row],[3-5]] + tech_5_3*TblTech[[#This Row],[5-3]] + tech_5_5*TblTech[[#This Row],[5-5]]))*spec_dp_ore,0)</f>
        <v>15</v>
      </c>
      <c r="BN48" s="94">
        <f ca="1">ROUNDUP((1-MIN(TblMili[[#This Row],[Smithies]]*smithy_bonus,smithy_bonus_cap) + tech_3_5*TblTech[[#This Row],[3-5]] + tech_5_3*TblTech[[#This Row],[5-3]] + tech_5_5*TblTech[[#This Row],[5-5]])*elite1_plat,0)</f>
        <v>1040</v>
      </c>
      <c r="BO48" s="94">
        <f ca="1">ROUNDUP(IF(race="Gnome",1,(1-MIN(TblMili[[#This Row],[Smithies]]*smithy_bonus,smithy_bonus_cap) + tech_3_5*TblTech[[#This Row],[3-5]] + tech_5_3*TblTech[[#This Row],[5-3]] + tech_5_5*TblTech[[#This Row],[5-5]]))*elite1_ore,0)</f>
        <v>75</v>
      </c>
      <c r="BP48" s="94">
        <f ca="1">ROUNDUP((1-MIN(TblMili[[#This Row],[Smithies]]*smithy_bonus,smithy_bonus_cap) + tech_3_5*TblTech[[#This Row],[3-5]] + tech_5_3*TblTech[[#This Row],[5-3]] + tech_5_5*TblTech[[#This Row],[5-5]])*elite2_plat,0)</f>
        <v>1280</v>
      </c>
      <c r="BQ48" s="94">
        <f ca="1">ROUNDUP(IF(race="Gnome",1,(1-MIN(TblMili[[#This Row],[Smithies]]*smithy_bonus,smithy_bonus_cap) + tech_3_5*TblTech[[#This Row],[3-5]] + tech_5_3*TblTech[[#This Row],[5-3]] + tech_5_5*TblTech[[#This Row],[5-5]]))*elite2_ore,0)</f>
        <v>100</v>
      </c>
      <c r="BR48" s="94">
        <f ca="1">ROUNDUP((1-MIN(ROUND(fh_spy_cost_red*TblMili[[#This Row],[FH''s]],4),fh_spy_cost_cap)+ tech_1_9*TblTech[[#This Row],[1-9]] + tech_9_1*TblTech[[#This Row],[9-1]])*spy_plat,0)</f>
        <v>500</v>
      </c>
      <c r="BS48" s="94">
        <f ca="1">ROUNDUP((1-MIN(ROUND(fh_spy_cost_red*TblMili[[#This Row],[FH''s]],4),fh_spy_cost_cap)+ tech_1_9*TblTech[[#This Row],[1-9]] + tech_9_1*TblTech[[#This Row],[9-1]])*archspy_plat,0)</f>
        <v>1000</v>
      </c>
      <c r="BT48" s="94">
        <f ca="1">ROUNDUP((1-MIN(ROUND(wg_wiz_cost_bonus*TblMili[[#This Row],[WG''s]],4),wg_wiz_cost_cap) + tech_1_9_2*TblTech[[#This Row],[1-9]] + tech_9_1_2*TblTech[[#This Row],[9-1]])*wizard_plat,0)</f>
        <v>500</v>
      </c>
      <c r="BU48" s="94">
        <f ca="1">ROUNDUP((1-MIN(ROUND(wg_wiz_cost_bonus*TblMili[[#This Row],[WG''s]],4),wg_wiz_cost_cap) + tech_1_9_2*TblTech[[#This Row],[1-9]] + tech_9_1_2*TblTech[[#This Row],[9-1]])*(archmage_plat + IF(TblMagic[[#This Row],[Active Arc Infusion]]&gt;0,400,0)),0)</f>
        <v>1000</v>
      </c>
      <c r="BV48" s="142"/>
      <c r="BW48" s="157">
        <f ca="1">TblConstr[[#This Row],[Homeland]]/TblConstr[[#This Row],[Land]]</f>
        <v>0.6</v>
      </c>
      <c r="BX48" s="157">
        <f ca="1">TblMili[[#This Row],[WG''s]]</f>
        <v>0</v>
      </c>
      <c r="BY48" s="251">
        <f ca="1">IF(mystic_cap="none",TblMili[[#This Row],[Homeland%]]/mystic_bonus,MIN(mystic_cap,TblMili[[#This Row],[Homeland%]]/mystic_bonus))</f>
        <v>2</v>
      </c>
      <c r="BZ48" s="251">
        <f ca="1">IF(druid_op_cap="none",TblMili[[#This Row],[Homeland%]]/druid_op_bonus,MIN(druid_op_cap,TblMili[[#This Row],[Homeland%]]/druid_op_bonus))</f>
        <v>2</v>
      </c>
      <c r="CA48" s="251">
        <f ca="1">IF(druid_dp_cap="none",TblMili[[#This Row],[Homeland%]]/druid_dp_bonus,MIN(druid_dp_cap,TblMili[[#This Row],[Homeland%]]/druid_dp_bonus))</f>
        <v>2</v>
      </c>
      <c r="CB48" s="251">
        <f ca="1">MIN(dryad_cap,TblMili[[#This Row],[Homeland%]]/dryad_bonus)</f>
        <v>2.9999999999999996</v>
      </c>
      <c r="CC48" s="251">
        <f ca="1">MIN(rocka_cap,TblMili[[#This Row],[Homeland%]]/rocka_bonus)</f>
        <v>2</v>
      </c>
      <c r="CD48" s="251">
        <f ca="1">MIN(adept_op_cap,TblMili[[#This Row],[WG]]/adept_op_bonus)</f>
        <v>0</v>
      </c>
      <c r="CE48" s="251">
        <f ca="1">MIN(adept_dp_cap,TblMili[[#This Row],[WG]]/adept_dp_bonus)</f>
        <v>0</v>
      </c>
      <c r="CF48" s="94">
        <f ca="1">MIN(TblMili[[#This Row],[Unit 3]],TblMili[[#This Row],[Unit 2]])*2</f>
        <v>0</v>
      </c>
      <c r="CG48" s="94">
        <f ca="1">MIN(TblMili[[#This Row],[Unit 1]],TblMili[[#This Row],[Unit 4]])*2</f>
        <v>0</v>
      </c>
      <c r="CH48" s="251">
        <f ca="1">MIN(frost_mage_cap,TblMili[[#This Row],[Homeland%]]/frost_mage_bonus)</f>
        <v>2.9999999999999996</v>
      </c>
      <c r="CI48" s="45">
        <f ca="1">MIN(ice_elem_cap,TblMili[[#This Row],[Raw (2)]]*ice_elem_bonus)</f>
        <v>0</v>
      </c>
      <c r="CJ48" s="251">
        <f t="shared" si="2"/>
        <v>0.83333333333333337</v>
      </c>
      <c r="CK48" s="251">
        <f ca="1">MIN(nox_nightshade_cap,TblConstr[[#This Row],[Homeland]]/TblConstr[[#This Row],[Land]]/nox_nightshade_swamp_bonus)</f>
        <v>4</v>
      </c>
      <c r="CL48" s="251">
        <f ca="1">MIN(TblConstr[[#This Row],[Total Swamp]]/TblConstr[[#This Row],[Land]]/abyss_enforce_bonus,abyss_enforcer_cap)</f>
        <v>0</v>
      </c>
      <c r="CM48" s="251">
        <f ca="1">IF(TblMagic[[#This Row],[Active Infernal Command]]&gt;0,TblMili[[#This Row],[Unit 1]]*infernal_cmd_op,0)</f>
        <v>0</v>
      </c>
      <c r="CN48" s="252"/>
      <c r="CO48" s="252"/>
      <c r="CP48" s="252"/>
      <c r="CQ48" s="251">
        <f ca="1">TblMili[[#This Row],[Mystic]]*2</f>
        <v>4</v>
      </c>
      <c r="CR48" s="251">
        <f ca="1">TblMili[[#This Row],[Druid (op)]]*2</f>
        <v>4</v>
      </c>
      <c r="CS48" s="94">
        <f ca="1">TblMili[[#This Row],[Mystic bonus]]*TblMili[[#This Row],[Unit 3]]+TblMili[[#This Row],[Druid bonus]]*TblMili[[#This Row],[Unit 4]]</f>
        <v>0</v>
      </c>
      <c r="CT48" s="155">
        <f ca="1">TblMili[[#This Row],[Dryad]]*2</f>
        <v>5.9999999999999991</v>
      </c>
      <c r="CU48" s="94">
        <f ca="1">sylvan*(TblMili[[#This Row],[Mystic bonus]]*TblMili[[#This Row],[Unit 3]])</f>
        <v>0</v>
      </c>
      <c r="CV48" s="155">
        <f ca="1">TblMili[[#This Row],[Rockapult]]*2</f>
        <v>4</v>
      </c>
      <c r="CW48" s="94">
        <f ca="1">gnome*(TblMili[[#This Row],[Rockapult bonus]]*TblMili[[#This Row],[Unit 3]])</f>
        <v>0</v>
      </c>
      <c r="CX48" s="155">
        <f ca="1">TblMili[[#This Row],[Adept-DP]]*2</f>
        <v>0</v>
      </c>
      <c r="CY48" s="94">
        <f ca="1">dark_elf*(TblMili[[#This Row],[Adept bonus]]*TblMili[[#This Row],[Unit 3]])</f>
        <v>0</v>
      </c>
      <c r="CZ48" s="155">
        <f ca="1">TblMili[[#This Row],[Frost Mage]]*2</f>
        <v>5.9999999999999991</v>
      </c>
      <c r="DA48" s="155">
        <f ca="1">TblMili[[#This Row],[Ice Elemental]]*2</f>
        <v>0</v>
      </c>
      <c r="DB48" s="94">
        <f ca="1">TblMili[[#This Row],[Frost Mage bonus]]*TblMili[[#This Row],[Unit 3]]+TblMili[[#This Row],[Ice Elemental bonus]]*TblMili[[#This Row],[Unit 4]]</f>
        <v>0</v>
      </c>
      <c r="DC48" s="253"/>
      <c r="DD48" s="143">
        <f ca="1">MIN(SUM(TblConstr[[#This Row],[Plain]:[Water]])/TblMili[[#This Row],[Land]]/favorable_terrain_bonus/100,favorable_terrain_max)</f>
        <v>0</v>
      </c>
      <c r="DE48" s="253"/>
      <c r="DF4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8" s="142"/>
      <c r="DH48" s="254">
        <f ca="1">(TblMili[[#This Row],[Wizards]]+2*TblMili[[#This Row],[Archmages]])/TblConstr[[#This Row],[Land]]</f>
        <v>0</v>
      </c>
      <c r="DI48" s="254">
        <f ca="1">TblMili[[#This Row],[Raw (2)]]*(1+race_wizard_strength+IF(TblMili[[#This Row],[Hour]]&gt;72,tech_magical_weaponry_wiz*TblTech[[#This Row],[3-5]],0))</f>
        <v>0</v>
      </c>
    </row>
    <row r="49" spans="1:113" x14ac:dyDescent="0.2">
      <c r="A49" s="137">
        <f>TblRezone[[#This Row],[Hour]]</f>
        <v>46</v>
      </c>
      <c r="B49" s="246">
        <f ca="1">SUM(TblMili[[#This Row],[Unit 1]:[Archmages]])+SUM(OFFSET(TblMili[[#This Row],[Train Unit 1]],-8,0):TblMili[[#This Row],[Train Unit 2]]) + SUM(OFFSET(TblMili[[#This Row],[Train Unit 3]],-11,0):TblMili[[#This Row],[Train AM]]) + TblMili[[#This Row],[Draftees]]</f>
        <v>468</v>
      </c>
      <c r="C49" s="157">
        <f ca="1">TblPop[[#This Row],[Military%]]</f>
        <v>0.60858257477243172</v>
      </c>
      <c r="D49" s="142"/>
      <c r="E49" s="45">
        <f ca="1">OFFSET(TblMili[[#This Row],[Unit 1]],-1,0) + OFFSET(TblMili[[#This Row],[Train Unit 1]],-9,0) - TblMili[[#This Row],[Release Unit 1]] + OFFSET(TblMili[[#This Row],[DnD_Zombies]],-12,0)</f>
        <v>0</v>
      </c>
      <c r="F49" s="45">
        <f ca="1">OFFSET(TblMili[[#This Row],[Unit 2]],-1,0) + OFFSET(TblMili[[#This Row],[Train Unit 2]],-9,0)-TblMili[[#This Row],[Release Unit 2]]</f>
        <v>0</v>
      </c>
      <c r="G49" s="45">
        <f ca="1">OFFSET(TblMili[[#This Row],[Unit 3]],-1,0) + OFFSET(TblMili[[#This Row],[Train Unit 3]],-12,0)-TblMili[[#This Row],[Release Unit 3]]</f>
        <v>0</v>
      </c>
      <c r="H49" s="45">
        <f ca="1">OFFSET(TblMili[[#This Row],[Unit 4]],-1,0) + OFFSET(TblMili[[#This Row],[Train Unit 4]],-12,0)-TblMili[[#This Row],[Release Unit 4]]</f>
        <v>0</v>
      </c>
      <c r="I49" s="45">
        <f ca="1">OFFSET(TblMili[[#This Row],[Spies]],-1,0) + OFFSET(TblMili[[#This Row],[Train Spies]],-12,0) - TblMili[[#This Row],[Release Spies]]-TblMili[[#This Row],[Train AS]]</f>
        <v>0</v>
      </c>
      <c r="J49" s="45">
        <f ca="1">OFFSET(TblMili[[#This Row],[Archspies]],-1,0) + OFFSET(TblMili[[#This Row],[Train AS]],-12,0) - TblMili[[#This Row],[Release AS]]</f>
        <v>0</v>
      </c>
      <c r="K49" s="45">
        <f ca="1">OFFSET(TblMili[[#This Row],[Wizards]],-1,0) + OFFSET(TblMili[[#This Row],[Train Wiz]],-12,0) - TblMili[[#This Row],[Release Wizards]]-TblMili[[#This Row],[Train AM]] + IF(TblMagic[[#This Row],[Active Arc Infusion]]&gt;0,TblMili[[#This Row],[Train AM]])</f>
        <v>0</v>
      </c>
      <c r="L49" s="45">
        <f ca="1">OFFSET(TblMili[[#This Row],[Archmages]],-1,0) + OFFSET(TblMili[[#This Row],[Train AM]],-12,0) - TblMili[[#This Row],[Release AM]]</f>
        <v>0</v>
      </c>
      <c r="M49" s="142"/>
      <c r="N49" s="94">
        <f ca="1">TblProd[[#This Row],[Networth]]</f>
        <v>1250</v>
      </c>
      <c r="O49" s="142"/>
      <c r="P49"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4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9" s="247">
        <f ca="1">TblMili[[#This Row],[Raw]]*(1+TblMili[[#This Row],[Mods_Off]])</f>
        <v>0</v>
      </c>
      <c r="S49"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49" s="247">
        <f ca="1">TblMili[[#This Row],[Non Draft]]+TblMili[[#This Row],[Draftees]]</f>
        <v>468</v>
      </c>
      <c r="U49" s="248">
        <f ca="1">race_defense + TblImps[[#This Row],[Walls]] + ROUND( MIN(gt_bonus*TblConstr[[#This Row],[Tot GT]]/TblConstr[[#This Row],[Land]],gt_bonus_cap), 4) + IF(TblMagic[[#This Row],[Active Howling]]&gt;0,howling_dp_bonus,IF(TblMagic[[#This Row],[Active Ares Call]]&gt;0,ares_call_bonus))</f>
        <v>0</v>
      </c>
      <c r="V49" s="249">
        <f ca="1">TblMili[[#This Row],[Non Draft]] * (1 + TblMili[[#This Row],[Mods_Def]])</f>
        <v>0</v>
      </c>
      <c r="W49" s="247">
        <f ca="1">TblMili[[#This Row],[Draft]] * (1 + TblMili[[#This Row],[Mods_Def]])</f>
        <v>468</v>
      </c>
      <c r="X49" s="247">
        <f ca="1">TblConstr[[#This Row],[Land]]</f>
        <v>50</v>
      </c>
      <c r="Y49" s="250"/>
      <c r="Z49" s="255">
        <f ca="1">IF(TblMili[[#This Row],[Set]]&lt;&gt;"",TblMili[[#This Row],[Set]],OFFSET(TblMili[[#This Row],[Draftrate]],-1,0))</f>
        <v>0.9</v>
      </c>
      <c r="AA49"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468</v>
      </c>
      <c r="AB49" s="154"/>
      <c r="AC49" s="180">
        <f ca="1">(TblConstr[[#This Row],[Tot Smi]]+TblConstr[[#This Row],[Dest Smi]])/(TblConstr[[#This Row],[Land]]-TblExplore[[#This Row],[Land Bonus]]*20)</f>
        <v>0</v>
      </c>
      <c r="AD49" s="137"/>
      <c r="AE49" s="246">
        <f>TblMili[[#This Row],[Hour]]</f>
        <v>46</v>
      </c>
      <c r="AF49" s="138">
        <f ca="1">TblExplore[[#This Row],[Time]]</f>
        <v>46321.874999999891</v>
      </c>
      <c r="AG49" s="179"/>
      <c r="AH49" s="179"/>
      <c r="AI49" s="179"/>
      <c r="AJ49" s="179"/>
      <c r="AK49" s="179"/>
      <c r="AL49" s="179"/>
      <c r="AM49" s="179"/>
      <c r="AN49" s="179"/>
      <c r="AO49" s="420">
        <f ca="1">ROUND(IF(AND(TblMagic[[#This Row],[Active DnD]]&lt;12,TblMagic[[#This Row],[Active DnD]]&gt;5),OFFSET(TblPop[[#This Row],[Draft Growth]],-1,0)*0.375,0),0)</f>
        <v>0</v>
      </c>
      <c r="AP49" s="142"/>
      <c r="AQ49" s="94">
        <f ca="1">TblProd[[#This Row],[Platinum]]</f>
        <v>166135</v>
      </c>
      <c r="AR49" s="94">
        <f ca="1">INDEX(TblProd[[#Headers],[Lumber]]:TblProd[[#This Row],[Ore]],COUNTA(TblProd[[#Headers],[Lumber]]:TblProd[[#This Row],[Lumber]]),MATCH(Military!$AR$2,TblProd[[#Headers],[Lumber]:[Ore]],0))</f>
        <v>0</v>
      </c>
      <c r="AS4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49" s="94">
        <f ca="1">TblMili[[#This Row],[Train Unit 1]]*TblMili[[#This Row],[OP Ore]]+TblMili[[#This Row],[Train Unit 2]]*TblMili[[#This Row],[DP Ore]]+TblMili[[#This Row],[Train Unit 3]]*TblMili[[#This Row],[E1 Ore]]+TblMili[[#This Row],[Train Unit 4]]*TblMili[[#This Row],[E2 Ore]]</f>
        <v>0</v>
      </c>
      <c r="AU49" s="142">
        <f>TblMili[[#This Row],[Hour]]</f>
        <v>46</v>
      </c>
      <c r="AV49" s="152">
        <f ca="1">TblMili[[#This Row],[Time]]</f>
        <v>46321.874999999891</v>
      </c>
      <c r="AW49" s="94">
        <f ca="1">TblMili[[#This Row],[Draftees]]</f>
        <v>468</v>
      </c>
      <c r="AX49" s="179"/>
      <c r="AY49" s="179"/>
      <c r="AZ49" s="179"/>
      <c r="BA49" s="179"/>
      <c r="BB49" s="179"/>
      <c r="BC49" s="179"/>
      <c r="BD49" s="179"/>
      <c r="BE49" s="179"/>
      <c r="BF49" s="179"/>
      <c r="BG49" s="142"/>
      <c r="BH49" s="157">
        <f ca="1">TblConstr[[#This Row],[Tot WG]]/TblConstr[[#This Row],[Land]]</f>
        <v>0</v>
      </c>
      <c r="BI49" s="157">
        <f ca="1">TblConstr[[#This Row],[Tot Hav]]/TblConstr[[#This Row],[Land]]</f>
        <v>0</v>
      </c>
      <c r="BJ49" s="94">
        <f ca="1">ROUNDUP((1-MIN(TblMili[[#This Row],[Smithies]]*smithy_bonus,smithy_bonus_cap) + tech_3_5*TblTech[[#This Row],[3-5]] + tech_5_3*TblTech[[#This Row],[5-3]] + tech_5_5*TblTech[[#This Row],[5-5]])*spec_op_plat,0)</f>
        <v>315</v>
      </c>
      <c r="BK49" s="94">
        <f ca="1">ROUNDUP(IF(race="Gnome",1,(1-MIN(TblMili[[#This Row],[Smithies]]*smithy_bonus,smithy_bonus_cap) + tech_3_5*TblTech[[#This Row],[3-5]] + tech_5_3*TblTech[[#This Row],[5-3]] + tech_5_5*TblTech[[#This Row],[5-5]]))*spec_op_ore,0)</f>
        <v>25</v>
      </c>
      <c r="BL49" s="94">
        <f ca="1">ROUNDUP((1-MIN(TblMili[[#This Row],[Smithies]]*smithy_bonus,smithy_bonus_cap) + tech_3_5*TblTech[[#This Row],[3-5]] + tech_5_3*TblTech[[#This Row],[5-3]] + tech_5_5*TblTech[[#This Row],[5-5]])*spec_dp_plat,0)</f>
        <v>275</v>
      </c>
      <c r="BM49" s="94">
        <f ca="1">ROUNDUP(IF(race="Gnome",1,(1-MIN(TblMili[[#This Row],[Smithies]]*smithy_bonus,smithy_bonus_cap) + tech_3_5*TblTech[[#This Row],[3-5]] + tech_5_3*TblTech[[#This Row],[5-3]] + tech_5_5*TblTech[[#This Row],[5-5]]))*spec_dp_ore,0)</f>
        <v>15</v>
      </c>
      <c r="BN49" s="94">
        <f ca="1">ROUNDUP((1-MIN(TblMili[[#This Row],[Smithies]]*smithy_bonus,smithy_bonus_cap) + tech_3_5*TblTech[[#This Row],[3-5]] + tech_5_3*TblTech[[#This Row],[5-3]] + tech_5_5*TblTech[[#This Row],[5-5]])*elite1_plat,0)</f>
        <v>1040</v>
      </c>
      <c r="BO49" s="94">
        <f ca="1">ROUNDUP(IF(race="Gnome",1,(1-MIN(TblMili[[#This Row],[Smithies]]*smithy_bonus,smithy_bonus_cap) + tech_3_5*TblTech[[#This Row],[3-5]] + tech_5_3*TblTech[[#This Row],[5-3]] + tech_5_5*TblTech[[#This Row],[5-5]]))*elite1_ore,0)</f>
        <v>75</v>
      </c>
      <c r="BP49" s="94">
        <f ca="1">ROUNDUP((1-MIN(TblMili[[#This Row],[Smithies]]*smithy_bonus,smithy_bonus_cap) + tech_3_5*TblTech[[#This Row],[3-5]] + tech_5_3*TblTech[[#This Row],[5-3]] + tech_5_5*TblTech[[#This Row],[5-5]])*elite2_plat,0)</f>
        <v>1280</v>
      </c>
      <c r="BQ49" s="94">
        <f ca="1">ROUNDUP(IF(race="Gnome",1,(1-MIN(TblMili[[#This Row],[Smithies]]*smithy_bonus,smithy_bonus_cap) + tech_3_5*TblTech[[#This Row],[3-5]] + tech_5_3*TblTech[[#This Row],[5-3]] + tech_5_5*TblTech[[#This Row],[5-5]]))*elite2_ore,0)</f>
        <v>100</v>
      </c>
      <c r="BR49" s="94">
        <f ca="1">ROUNDUP((1-MIN(ROUND(fh_spy_cost_red*TblMili[[#This Row],[FH''s]],4),fh_spy_cost_cap)+ tech_1_9*TblTech[[#This Row],[1-9]] + tech_9_1*TblTech[[#This Row],[9-1]])*spy_plat,0)</f>
        <v>500</v>
      </c>
      <c r="BS49" s="94">
        <f ca="1">ROUNDUP((1-MIN(ROUND(fh_spy_cost_red*TblMili[[#This Row],[FH''s]],4),fh_spy_cost_cap)+ tech_1_9*TblTech[[#This Row],[1-9]] + tech_9_1*TblTech[[#This Row],[9-1]])*archspy_plat,0)</f>
        <v>1000</v>
      </c>
      <c r="BT49" s="94">
        <f ca="1">ROUNDUP((1-MIN(ROUND(wg_wiz_cost_bonus*TblMili[[#This Row],[WG''s]],4),wg_wiz_cost_cap) + tech_1_9_2*TblTech[[#This Row],[1-9]] + tech_9_1_2*TblTech[[#This Row],[9-1]])*wizard_plat,0)</f>
        <v>500</v>
      </c>
      <c r="BU49" s="94">
        <f ca="1">ROUNDUP((1-MIN(ROUND(wg_wiz_cost_bonus*TblMili[[#This Row],[WG''s]],4),wg_wiz_cost_cap) + tech_1_9_2*TblTech[[#This Row],[1-9]] + tech_9_1_2*TblTech[[#This Row],[9-1]])*(archmage_plat + IF(TblMagic[[#This Row],[Active Arc Infusion]]&gt;0,400,0)),0)</f>
        <v>1000</v>
      </c>
      <c r="BV49" s="142"/>
      <c r="BW49" s="157">
        <f ca="1">TblConstr[[#This Row],[Homeland]]/TblConstr[[#This Row],[Land]]</f>
        <v>0.6</v>
      </c>
      <c r="BX49" s="157">
        <f ca="1">TblMili[[#This Row],[WG''s]]</f>
        <v>0</v>
      </c>
      <c r="BY49" s="251">
        <f ca="1">IF(mystic_cap="none",TblMili[[#This Row],[Homeland%]]/mystic_bonus,MIN(mystic_cap,TblMili[[#This Row],[Homeland%]]/mystic_bonus))</f>
        <v>2</v>
      </c>
      <c r="BZ49" s="251">
        <f ca="1">IF(druid_op_cap="none",TblMili[[#This Row],[Homeland%]]/druid_op_bonus,MIN(druid_op_cap,TblMili[[#This Row],[Homeland%]]/druid_op_bonus))</f>
        <v>2</v>
      </c>
      <c r="CA49" s="251">
        <f ca="1">IF(druid_dp_cap="none",TblMili[[#This Row],[Homeland%]]/druid_dp_bonus,MIN(druid_dp_cap,TblMili[[#This Row],[Homeland%]]/druid_dp_bonus))</f>
        <v>2</v>
      </c>
      <c r="CB49" s="251">
        <f ca="1">MIN(dryad_cap,TblMili[[#This Row],[Homeland%]]/dryad_bonus)</f>
        <v>2.9999999999999996</v>
      </c>
      <c r="CC49" s="251">
        <f ca="1">MIN(rocka_cap,TblMili[[#This Row],[Homeland%]]/rocka_bonus)</f>
        <v>2</v>
      </c>
      <c r="CD49" s="251">
        <f ca="1">MIN(adept_op_cap,TblMili[[#This Row],[WG]]/adept_op_bonus)</f>
        <v>0</v>
      </c>
      <c r="CE49" s="251">
        <f ca="1">MIN(adept_dp_cap,TblMili[[#This Row],[WG]]/adept_dp_bonus)</f>
        <v>0</v>
      </c>
      <c r="CF49" s="94">
        <f ca="1">MIN(TblMili[[#This Row],[Unit 3]],TblMili[[#This Row],[Unit 2]])*2</f>
        <v>0</v>
      </c>
      <c r="CG49" s="94">
        <f ca="1">MIN(TblMili[[#This Row],[Unit 1]],TblMili[[#This Row],[Unit 4]])*2</f>
        <v>0</v>
      </c>
      <c r="CH49" s="251">
        <f ca="1">MIN(frost_mage_cap,TblMili[[#This Row],[Homeland%]]/frost_mage_bonus)</f>
        <v>2.9999999999999996</v>
      </c>
      <c r="CI49" s="45">
        <f ca="1">MIN(ice_elem_cap,TblMili[[#This Row],[Raw (2)]]*ice_elem_bonus)</f>
        <v>0</v>
      </c>
      <c r="CJ49" s="251">
        <f t="shared" si="2"/>
        <v>0.83333333333333337</v>
      </c>
      <c r="CK49" s="251">
        <f ca="1">MIN(nox_nightshade_cap,TblConstr[[#This Row],[Homeland]]/TblConstr[[#This Row],[Land]]/nox_nightshade_swamp_bonus)</f>
        <v>4</v>
      </c>
      <c r="CL49" s="251">
        <f ca="1">MIN(TblConstr[[#This Row],[Total Swamp]]/TblConstr[[#This Row],[Land]]/abyss_enforce_bonus,abyss_enforcer_cap)</f>
        <v>0</v>
      </c>
      <c r="CM49" s="251">
        <f ca="1">IF(TblMagic[[#This Row],[Active Infernal Command]]&gt;0,TblMili[[#This Row],[Unit 1]]*infernal_cmd_op,0)</f>
        <v>0</v>
      </c>
      <c r="CN49" s="252"/>
      <c r="CO49" s="252"/>
      <c r="CP49" s="252"/>
      <c r="CQ49" s="251">
        <f ca="1">TblMili[[#This Row],[Mystic]]*2</f>
        <v>4</v>
      </c>
      <c r="CR49" s="251">
        <f ca="1">TblMili[[#This Row],[Druid (op)]]*2</f>
        <v>4</v>
      </c>
      <c r="CS49" s="94">
        <f ca="1">TblMili[[#This Row],[Mystic bonus]]*TblMili[[#This Row],[Unit 3]]+TblMili[[#This Row],[Druid bonus]]*TblMili[[#This Row],[Unit 4]]</f>
        <v>0</v>
      </c>
      <c r="CT49" s="155">
        <f ca="1">TblMili[[#This Row],[Dryad]]*2</f>
        <v>5.9999999999999991</v>
      </c>
      <c r="CU49" s="94">
        <f ca="1">sylvan*(TblMili[[#This Row],[Mystic bonus]]*TblMili[[#This Row],[Unit 3]])</f>
        <v>0</v>
      </c>
      <c r="CV49" s="155">
        <f ca="1">TblMili[[#This Row],[Rockapult]]*2</f>
        <v>4</v>
      </c>
      <c r="CW49" s="94">
        <f ca="1">gnome*(TblMili[[#This Row],[Rockapult bonus]]*TblMili[[#This Row],[Unit 3]])</f>
        <v>0</v>
      </c>
      <c r="CX49" s="155">
        <f ca="1">TblMili[[#This Row],[Adept-DP]]*2</f>
        <v>0</v>
      </c>
      <c r="CY49" s="94">
        <f ca="1">dark_elf*(TblMili[[#This Row],[Adept bonus]]*TblMili[[#This Row],[Unit 3]])</f>
        <v>0</v>
      </c>
      <c r="CZ49" s="155">
        <f ca="1">TblMili[[#This Row],[Frost Mage]]*2</f>
        <v>5.9999999999999991</v>
      </c>
      <c r="DA49" s="155">
        <f ca="1">TblMili[[#This Row],[Ice Elemental]]*2</f>
        <v>0</v>
      </c>
      <c r="DB49" s="94">
        <f ca="1">TblMili[[#This Row],[Frost Mage bonus]]*TblMili[[#This Row],[Unit 3]]+TblMili[[#This Row],[Ice Elemental bonus]]*TblMili[[#This Row],[Unit 4]]</f>
        <v>0</v>
      </c>
      <c r="DC49" s="253"/>
      <c r="DD49" s="143">
        <f ca="1">MIN(SUM(TblConstr[[#This Row],[Plain]:[Water]])/TblMili[[#This Row],[Land]]/favorable_terrain_bonus/100,favorable_terrain_max)</f>
        <v>0</v>
      </c>
      <c r="DE49" s="253"/>
      <c r="DF4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9" s="142"/>
      <c r="DH49" s="254">
        <f ca="1">(TblMili[[#This Row],[Wizards]]+2*TblMili[[#This Row],[Archmages]])/TblConstr[[#This Row],[Land]]</f>
        <v>0</v>
      </c>
      <c r="DI49" s="254">
        <f ca="1">TblMili[[#This Row],[Raw (2)]]*(1+race_wizard_strength+IF(TblMili[[#This Row],[Hour]]&gt;72,tech_magical_weaponry_wiz*TblTech[[#This Row],[3-5]],0))</f>
        <v>0</v>
      </c>
    </row>
    <row r="50" spans="1:113" x14ac:dyDescent="0.2">
      <c r="A50" s="137">
        <f>TblRezone[[#This Row],[Hour]]</f>
        <v>47</v>
      </c>
      <c r="B50" s="246">
        <f ca="1">SUM(TblMili[[#This Row],[Unit 1]:[Archmages]])+SUM(OFFSET(TblMili[[#This Row],[Train Unit 1]],-8,0):TblMili[[#This Row],[Train Unit 2]]) + SUM(OFFSET(TblMili[[#This Row],[Train Unit 3]],-11,0):TblMili[[#This Row],[Train AM]]) + TblMili[[#This Row],[Draftees]]</f>
        <v>471</v>
      </c>
      <c r="C50" s="157">
        <f ca="1">TblPop[[#This Row],[Military%]]</f>
        <v>0.61248374512353709</v>
      </c>
      <c r="D50" s="142"/>
      <c r="E50" s="45">
        <f ca="1">OFFSET(TblMili[[#This Row],[Unit 1]],-1,0) + OFFSET(TblMili[[#This Row],[Train Unit 1]],-9,0) - TblMili[[#This Row],[Release Unit 1]] + OFFSET(TblMili[[#This Row],[DnD_Zombies]],-12,0)</f>
        <v>0</v>
      </c>
      <c r="F50" s="45">
        <f ca="1">OFFSET(TblMili[[#This Row],[Unit 2]],-1,0) + OFFSET(TblMili[[#This Row],[Train Unit 2]],-9,0)-TblMili[[#This Row],[Release Unit 2]]</f>
        <v>0</v>
      </c>
      <c r="G50" s="45">
        <f ca="1">OFFSET(TblMili[[#This Row],[Unit 3]],-1,0) + OFFSET(TblMili[[#This Row],[Train Unit 3]],-12,0)-TblMili[[#This Row],[Release Unit 3]]</f>
        <v>0</v>
      </c>
      <c r="H50" s="45">
        <f ca="1">OFFSET(TblMili[[#This Row],[Unit 4]],-1,0) + OFFSET(TblMili[[#This Row],[Train Unit 4]],-12,0)-TblMili[[#This Row],[Release Unit 4]]</f>
        <v>0</v>
      </c>
      <c r="I50" s="45">
        <f ca="1">OFFSET(TblMili[[#This Row],[Spies]],-1,0) + OFFSET(TblMili[[#This Row],[Train Spies]],-12,0) - TblMili[[#This Row],[Release Spies]]-TblMili[[#This Row],[Train AS]]</f>
        <v>0</v>
      </c>
      <c r="J50" s="45">
        <f ca="1">OFFSET(TblMili[[#This Row],[Archspies]],-1,0) + OFFSET(TblMili[[#This Row],[Train AS]],-12,0) - TblMili[[#This Row],[Release AS]]</f>
        <v>0</v>
      </c>
      <c r="K50" s="45">
        <f ca="1">OFFSET(TblMili[[#This Row],[Wizards]],-1,0) + OFFSET(TblMili[[#This Row],[Train Wiz]],-12,0) - TblMili[[#This Row],[Release Wizards]]-TblMili[[#This Row],[Train AM]] + IF(TblMagic[[#This Row],[Active Arc Infusion]]&gt;0,TblMili[[#This Row],[Train AM]])</f>
        <v>0</v>
      </c>
      <c r="L50" s="45">
        <f ca="1">OFFSET(TblMili[[#This Row],[Archmages]],-1,0) + OFFSET(TblMili[[#This Row],[Train AM]],-12,0) - TblMili[[#This Row],[Release AM]]</f>
        <v>0</v>
      </c>
      <c r="M50" s="142"/>
      <c r="N50" s="94">
        <f ca="1">TblProd[[#This Row],[Networth]]</f>
        <v>1250</v>
      </c>
      <c r="O50" s="142"/>
      <c r="P50"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5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0" s="247">
        <f ca="1">TblMili[[#This Row],[Raw]]*(1+TblMili[[#This Row],[Mods_Off]])</f>
        <v>0</v>
      </c>
      <c r="S50"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50" s="247">
        <f ca="1">TblMili[[#This Row],[Non Draft]]+TblMili[[#This Row],[Draftees]]</f>
        <v>471</v>
      </c>
      <c r="U50" s="248">
        <f ca="1">race_defense + TblImps[[#This Row],[Walls]] + ROUND( MIN(gt_bonus*TblConstr[[#This Row],[Tot GT]]/TblConstr[[#This Row],[Land]],gt_bonus_cap), 4) + IF(TblMagic[[#This Row],[Active Howling]]&gt;0,howling_dp_bonus,IF(TblMagic[[#This Row],[Active Ares Call]]&gt;0,ares_call_bonus))</f>
        <v>0</v>
      </c>
      <c r="V50" s="249">
        <f ca="1">TblMili[[#This Row],[Non Draft]] * (1 + TblMili[[#This Row],[Mods_Def]])</f>
        <v>0</v>
      </c>
      <c r="W50" s="247">
        <f ca="1">TblMili[[#This Row],[Draft]] * (1 + TblMili[[#This Row],[Mods_Def]])</f>
        <v>471</v>
      </c>
      <c r="X50" s="247">
        <f ca="1">TblConstr[[#This Row],[Land]]</f>
        <v>50</v>
      </c>
      <c r="Y50" s="250"/>
      <c r="Z50" s="255">
        <f ca="1">IF(TblMili[[#This Row],[Set]]&lt;&gt;"",TblMili[[#This Row],[Set]],OFFSET(TblMili[[#This Row],[Draftrate]],-1,0))</f>
        <v>0.9</v>
      </c>
      <c r="AA50"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471</v>
      </c>
      <c r="AB50" s="154"/>
      <c r="AC50" s="180">
        <f ca="1">(TblConstr[[#This Row],[Tot Smi]]+TblConstr[[#This Row],[Dest Smi]])/(TblConstr[[#This Row],[Land]]-TblExplore[[#This Row],[Land Bonus]]*20)</f>
        <v>0</v>
      </c>
      <c r="AD50" s="137"/>
      <c r="AE50" s="246">
        <f>TblMili[[#This Row],[Hour]]</f>
        <v>47</v>
      </c>
      <c r="AF50" s="138">
        <f ca="1">TblExplore[[#This Row],[Time]]</f>
        <v>46321.916666666555</v>
      </c>
      <c r="AG50" s="179"/>
      <c r="AH50" s="179"/>
      <c r="AI50" s="179"/>
      <c r="AJ50" s="179"/>
      <c r="AK50" s="179"/>
      <c r="AL50" s="179"/>
      <c r="AM50" s="179"/>
      <c r="AN50" s="179"/>
      <c r="AO50" s="420">
        <f ca="1">ROUND(IF(AND(TblMagic[[#This Row],[Active DnD]]&lt;12,TblMagic[[#This Row],[Active DnD]]&gt;5),OFFSET(TblPop[[#This Row],[Draft Growth]],-1,0)*0.375,0),0)</f>
        <v>0</v>
      </c>
      <c r="AP50" s="142"/>
      <c r="AQ50" s="94">
        <f ca="1">TblProd[[#This Row],[Platinum]]</f>
        <v>166947</v>
      </c>
      <c r="AR50" s="94">
        <f ca="1">INDEX(TblProd[[#Headers],[Lumber]]:TblProd[[#This Row],[Ore]],COUNTA(TblProd[[#Headers],[Lumber]]:TblProd[[#This Row],[Lumber]]),MATCH(Military!$AR$2,TblProd[[#Headers],[Lumber]:[Ore]],0))</f>
        <v>0</v>
      </c>
      <c r="AS5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50" s="94">
        <f ca="1">TblMili[[#This Row],[Train Unit 1]]*TblMili[[#This Row],[OP Ore]]+TblMili[[#This Row],[Train Unit 2]]*TblMili[[#This Row],[DP Ore]]+TblMili[[#This Row],[Train Unit 3]]*TblMili[[#This Row],[E1 Ore]]+TblMili[[#This Row],[Train Unit 4]]*TblMili[[#This Row],[E2 Ore]]</f>
        <v>0</v>
      </c>
      <c r="AU50" s="142">
        <f>TblMili[[#This Row],[Hour]]</f>
        <v>47</v>
      </c>
      <c r="AV50" s="152">
        <f ca="1">TblMili[[#This Row],[Time]]</f>
        <v>46321.916666666555</v>
      </c>
      <c r="AW50" s="94">
        <f ca="1">TblMili[[#This Row],[Draftees]]</f>
        <v>471</v>
      </c>
      <c r="AX50" s="179"/>
      <c r="AY50" s="179"/>
      <c r="AZ50" s="179"/>
      <c r="BA50" s="179"/>
      <c r="BB50" s="179"/>
      <c r="BC50" s="179"/>
      <c r="BD50" s="179"/>
      <c r="BE50" s="179"/>
      <c r="BF50" s="179"/>
      <c r="BG50" s="142"/>
      <c r="BH50" s="157">
        <f ca="1">TblConstr[[#This Row],[Tot WG]]/TblConstr[[#This Row],[Land]]</f>
        <v>0</v>
      </c>
      <c r="BI50" s="157">
        <f ca="1">TblConstr[[#This Row],[Tot Hav]]/TblConstr[[#This Row],[Land]]</f>
        <v>0</v>
      </c>
      <c r="BJ50" s="94">
        <f ca="1">ROUNDUP((1-MIN(TblMili[[#This Row],[Smithies]]*smithy_bonus,smithy_bonus_cap) + tech_3_5*TblTech[[#This Row],[3-5]] + tech_5_3*TblTech[[#This Row],[5-3]] + tech_5_5*TblTech[[#This Row],[5-5]])*spec_op_plat,0)</f>
        <v>315</v>
      </c>
      <c r="BK50" s="94">
        <f ca="1">ROUNDUP(IF(race="Gnome",1,(1-MIN(TblMili[[#This Row],[Smithies]]*smithy_bonus,smithy_bonus_cap) + tech_3_5*TblTech[[#This Row],[3-5]] + tech_5_3*TblTech[[#This Row],[5-3]] + tech_5_5*TblTech[[#This Row],[5-5]]))*spec_op_ore,0)</f>
        <v>25</v>
      </c>
      <c r="BL50" s="94">
        <f ca="1">ROUNDUP((1-MIN(TblMili[[#This Row],[Smithies]]*smithy_bonus,smithy_bonus_cap) + tech_3_5*TblTech[[#This Row],[3-5]] + tech_5_3*TblTech[[#This Row],[5-3]] + tech_5_5*TblTech[[#This Row],[5-5]])*spec_dp_plat,0)</f>
        <v>275</v>
      </c>
      <c r="BM50" s="94">
        <f ca="1">ROUNDUP(IF(race="Gnome",1,(1-MIN(TblMili[[#This Row],[Smithies]]*smithy_bonus,smithy_bonus_cap) + tech_3_5*TblTech[[#This Row],[3-5]] + tech_5_3*TblTech[[#This Row],[5-3]] + tech_5_5*TblTech[[#This Row],[5-5]]))*spec_dp_ore,0)</f>
        <v>15</v>
      </c>
      <c r="BN50" s="94">
        <f ca="1">ROUNDUP((1-MIN(TblMili[[#This Row],[Smithies]]*smithy_bonus,smithy_bonus_cap) + tech_3_5*TblTech[[#This Row],[3-5]] + tech_5_3*TblTech[[#This Row],[5-3]] + tech_5_5*TblTech[[#This Row],[5-5]])*elite1_plat,0)</f>
        <v>1040</v>
      </c>
      <c r="BO50" s="94">
        <f ca="1">ROUNDUP(IF(race="Gnome",1,(1-MIN(TblMili[[#This Row],[Smithies]]*smithy_bonus,smithy_bonus_cap) + tech_3_5*TblTech[[#This Row],[3-5]] + tech_5_3*TblTech[[#This Row],[5-3]] + tech_5_5*TblTech[[#This Row],[5-5]]))*elite1_ore,0)</f>
        <v>75</v>
      </c>
      <c r="BP50" s="94">
        <f ca="1">ROUNDUP((1-MIN(TblMili[[#This Row],[Smithies]]*smithy_bonus,smithy_bonus_cap) + tech_3_5*TblTech[[#This Row],[3-5]] + tech_5_3*TblTech[[#This Row],[5-3]] + tech_5_5*TblTech[[#This Row],[5-5]])*elite2_plat,0)</f>
        <v>1280</v>
      </c>
      <c r="BQ50" s="94">
        <f ca="1">ROUNDUP(IF(race="Gnome",1,(1-MIN(TblMili[[#This Row],[Smithies]]*smithy_bonus,smithy_bonus_cap) + tech_3_5*TblTech[[#This Row],[3-5]] + tech_5_3*TblTech[[#This Row],[5-3]] + tech_5_5*TblTech[[#This Row],[5-5]]))*elite2_ore,0)</f>
        <v>100</v>
      </c>
      <c r="BR50" s="94">
        <f ca="1">ROUNDUP((1-MIN(ROUND(fh_spy_cost_red*TblMili[[#This Row],[FH''s]],4),fh_spy_cost_cap)+ tech_1_9*TblTech[[#This Row],[1-9]] + tech_9_1*TblTech[[#This Row],[9-1]])*spy_plat,0)</f>
        <v>500</v>
      </c>
      <c r="BS50" s="94">
        <f ca="1">ROUNDUP((1-MIN(ROUND(fh_spy_cost_red*TblMili[[#This Row],[FH''s]],4),fh_spy_cost_cap)+ tech_1_9*TblTech[[#This Row],[1-9]] + tech_9_1*TblTech[[#This Row],[9-1]])*archspy_plat,0)</f>
        <v>1000</v>
      </c>
      <c r="BT50" s="94">
        <f ca="1">ROUNDUP((1-MIN(ROUND(wg_wiz_cost_bonus*TblMili[[#This Row],[WG''s]],4),wg_wiz_cost_cap) + tech_1_9_2*TblTech[[#This Row],[1-9]] + tech_9_1_2*TblTech[[#This Row],[9-1]])*wizard_plat,0)</f>
        <v>500</v>
      </c>
      <c r="BU50" s="94">
        <f ca="1">ROUNDUP((1-MIN(ROUND(wg_wiz_cost_bonus*TblMili[[#This Row],[WG''s]],4),wg_wiz_cost_cap) + tech_1_9_2*TblTech[[#This Row],[1-9]] + tech_9_1_2*TblTech[[#This Row],[9-1]])*(archmage_plat + IF(TblMagic[[#This Row],[Active Arc Infusion]]&gt;0,400,0)),0)</f>
        <v>1000</v>
      </c>
      <c r="BV50" s="142"/>
      <c r="BW50" s="157">
        <f ca="1">TblConstr[[#This Row],[Homeland]]/TblConstr[[#This Row],[Land]]</f>
        <v>0.6</v>
      </c>
      <c r="BX50" s="157">
        <f ca="1">TblMili[[#This Row],[WG''s]]</f>
        <v>0</v>
      </c>
      <c r="BY50" s="251">
        <f ca="1">IF(mystic_cap="none",TblMili[[#This Row],[Homeland%]]/mystic_bonus,MIN(mystic_cap,TblMili[[#This Row],[Homeland%]]/mystic_bonus))</f>
        <v>2</v>
      </c>
      <c r="BZ50" s="251">
        <f ca="1">IF(druid_op_cap="none",TblMili[[#This Row],[Homeland%]]/druid_op_bonus,MIN(druid_op_cap,TblMili[[#This Row],[Homeland%]]/druid_op_bonus))</f>
        <v>2</v>
      </c>
      <c r="CA50" s="251">
        <f ca="1">IF(druid_dp_cap="none",TblMili[[#This Row],[Homeland%]]/druid_dp_bonus,MIN(druid_dp_cap,TblMili[[#This Row],[Homeland%]]/druid_dp_bonus))</f>
        <v>2</v>
      </c>
      <c r="CB50" s="251">
        <f ca="1">MIN(dryad_cap,TblMili[[#This Row],[Homeland%]]/dryad_bonus)</f>
        <v>2.9999999999999996</v>
      </c>
      <c r="CC50" s="251">
        <f ca="1">MIN(rocka_cap,TblMili[[#This Row],[Homeland%]]/rocka_bonus)</f>
        <v>2</v>
      </c>
      <c r="CD50" s="251">
        <f ca="1">MIN(adept_op_cap,TblMili[[#This Row],[WG]]/adept_op_bonus)</f>
        <v>0</v>
      </c>
      <c r="CE50" s="251">
        <f ca="1">MIN(adept_dp_cap,TblMili[[#This Row],[WG]]/adept_dp_bonus)</f>
        <v>0</v>
      </c>
      <c r="CF50" s="94">
        <f ca="1">MIN(TblMili[[#This Row],[Unit 3]],TblMili[[#This Row],[Unit 2]])*2</f>
        <v>0</v>
      </c>
      <c r="CG50" s="94">
        <f ca="1">MIN(TblMili[[#This Row],[Unit 1]],TblMili[[#This Row],[Unit 4]])*2</f>
        <v>0</v>
      </c>
      <c r="CH50" s="251">
        <f ca="1">MIN(frost_mage_cap,TblMili[[#This Row],[Homeland%]]/frost_mage_bonus)</f>
        <v>2.9999999999999996</v>
      </c>
      <c r="CI50" s="45">
        <f ca="1">MIN(ice_elem_cap,TblMili[[#This Row],[Raw (2)]]*ice_elem_bonus)</f>
        <v>0</v>
      </c>
      <c r="CJ50" s="251">
        <f t="shared" si="2"/>
        <v>0.83333333333333337</v>
      </c>
      <c r="CK50" s="251">
        <f ca="1">MIN(nox_nightshade_cap,TblConstr[[#This Row],[Homeland]]/TblConstr[[#This Row],[Land]]/nox_nightshade_swamp_bonus)</f>
        <v>4</v>
      </c>
      <c r="CL50" s="251">
        <f ca="1">MIN(TblConstr[[#This Row],[Total Swamp]]/TblConstr[[#This Row],[Land]]/abyss_enforce_bonus,abyss_enforcer_cap)</f>
        <v>0</v>
      </c>
      <c r="CM50" s="251">
        <f ca="1">IF(TblMagic[[#This Row],[Active Infernal Command]]&gt;0,TblMili[[#This Row],[Unit 1]]*infernal_cmd_op,0)</f>
        <v>0</v>
      </c>
      <c r="CN50" s="252"/>
      <c r="CO50" s="252"/>
      <c r="CP50" s="252"/>
      <c r="CQ50" s="251">
        <f ca="1">TblMili[[#This Row],[Mystic]]*2</f>
        <v>4</v>
      </c>
      <c r="CR50" s="251">
        <f ca="1">TblMili[[#This Row],[Druid (op)]]*2</f>
        <v>4</v>
      </c>
      <c r="CS50" s="94">
        <f ca="1">TblMili[[#This Row],[Mystic bonus]]*TblMili[[#This Row],[Unit 3]]+TblMili[[#This Row],[Druid bonus]]*TblMili[[#This Row],[Unit 4]]</f>
        <v>0</v>
      </c>
      <c r="CT50" s="155">
        <f ca="1">TblMili[[#This Row],[Dryad]]*2</f>
        <v>5.9999999999999991</v>
      </c>
      <c r="CU50" s="94">
        <f ca="1">sylvan*(TblMili[[#This Row],[Mystic bonus]]*TblMili[[#This Row],[Unit 3]])</f>
        <v>0</v>
      </c>
      <c r="CV50" s="155">
        <f ca="1">TblMili[[#This Row],[Rockapult]]*2</f>
        <v>4</v>
      </c>
      <c r="CW50" s="94">
        <f ca="1">gnome*(TblMili[[#This Row],[Rockapult bonus]]*TblMili[[#This Row],[Unit 3]])</f>
        <v>0</v>
      </c>
      <c r="CX50" s="155">
        <f ca="1">TblMili[[#This Row],[Adept-DP]]*2</f>
        <v>0</v>
      </c>
      <c r="CY50" s="94">
        <f ca="1">dark_elf*(TblMili[[#This Row],[Adept bonus]]*TblMili[[#This Row],[Unit 3]])</f>
        <v>0</v>
      </c>
      <c r="CZ50" s="155">
        <f ca="1">TblMili[[#This Row],[Frost Mage]]*2</f>
        <v>5.9999999999999991</v>
      </c>
      <c r="DA50" s="155">
        <f ca="1">TblMili[[#This Row],[Ice Elemental]]*2</f>
        <v>0</v>
      </c>
      <c r="DB50" s="94">
        <f ca="1">TblMili[[#This Row],[Frost Mage bonus]]*TblMili[[#This Row],[Unit 3]]+TblMili[[#This Row],[Ice Elemental bonus]]*TblMili[[#This Row],[Unit 4]]</f>
        <v>0</v>
      </c>
      <c r="DC50" s="253"/>
      <c r="DD50" s="143">
        <f ca="1">MIN(SUM(TblConstr[[#This Row],[Plain]:[Water]])/TblMili[[#This Row],[Land]]/favorable_terrain_bonus/100,favorable_terrain_max)</f>
        <v>0</v>
      </c>
      <c r="DE50" s="253"/>
      <c r="DF5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0" s="142"/>
      <c r="DH50" s="254">
        <f ca="1">(TblMili[[#This Row],[Wizards]]+2*TblMili[[#This Row],[Archmages]])/TblConstr[[#This Row],[Land]]</f>
        <v>0</v>
      </c>
      <c r="DI50" s="254">
        <f ca="1">TblMili[[#This Row],[Raw (2)]]*(1+race_wizard_strength+IF(TblMili[[#This Row],[Hour]]&gt;72,tech_magical_weaponry_wiz*TblTech[[#This Row],[3-5]],0))</f>
        <v>0</v>
      </c>
    </row>
    <row r="51" spans="1:113" x14ac:dyDescent="0.2">
      <c r="A51" s="137">
        <f>TblRezone[[#This Row],[Hour]]</f>
        <v>48</v>
      </c>
      <c r="B51" s="246">
        <f ca="1">SUM(TblMili[[#This Row],[Unit 1]:[Archmages]])+SUM(OFFSET(TblMili[[#This Row],[Train Unit 1]],-8,0):TblMili[[#This Row],[Train Unit 2]]) + SUM(OFFSET(TblMili[[#This Row],[Train Unit 3]],-11,0):TblMili[[#This Row],[Train AM]]) + TblMili[[#This Row],[Draftees]]</f>
        <v>474</v>
      </c>
      <c r="C51" s="157">
        <f ca="1">TblPop[[#This Row],[Military%]]</f>
        <v>0.61638491547464236</v>
      </c>
      <c r="D51" s="142"/>
      <c r="E51" s="45">
        <f ca="1">OFFSET(TblMili[[#This Row],[Unit 1]],-1,0) + OFFSET(TblMili[[#This Row],[Train Unit 1]],-9,0) - TblMili[[#This Row],[Release Unit 1]] + OFFSET(TblMili[[#This Row],[DnD_Zombies]],-12,0)</f>
        <v>0</v>
      </c>
      <c r="F51" s="45">
        <f ca="1">OFFSET(TblMili[[#This Row],[Unit 2]],-1,0) + OFFSET(TblMili[[#This Row],[Train Unit 2]],-9,0)-TblMili[[#This Row],[Release Unit 2]]</f>
        <v>0</v>
      </c>
      <c r="G51" s="45">
        <f ca="1">OFFSET(TblMili[[#This Row],[Unit 3]],-1,0) + OFFSET(TblMili[[#This Row],[Train Unit 3]],-12,0)-TblMili[[#This Row],[Release Unit 3]]</f>
        <v>0</v>
      </c>
      <c r="H51" s="45">
        <f ca="1">OFFSET(TblMili[[#This Row],[Unit 4]],-1,0) + OFFSET(TblMili[[#This Row],[Train Unit 4]],-12,0)-TblMili[[#This Row],[Release Unit 4]]</f>
        <v>0</v>
      </c>
      <c r="I51" s="45">
        <f ca="1">OFFSET(TblMili[[#This Row],[Spies]],-1,0) + OFFSET(TblMili[[#This Row],[Train Spies]],-12,0) - TblMili[[#This Row],[Release Spies]]-TblMili[[#This Row],[Train AS]]</f>
        <v>0</v>
      </c>
      <c r="J51" s="45">
        <f ca="1">OFFSET(TblMili[[#This Row],[Archspies]],-1,0) + OFFSET(TblMili[[#This Row],[Train AS]],-12,0) - TblMili[[#This Row],[Release AS]]</f>
        <v>0</v>
      </c>
      <c r="K51" s="45">
        <f ca="1">OFFSET(TblMili[[#This Row],[Wizards]],-1,0) + OFFSET(TblMili[[#This Row],[Train Wiz]],-12,0) - TblMili[[#This Row],[Release Wizards]]-TblMili[[#This Row],[Train AM]] + IF(TblMagic[[#This Row],[Active Arc Infusion]]&gt;0,TblMili[[#This Row],[Train AM]])</f>
        <v>0</v>
      </c>
      <c r="L51" s="45">
        <f ca="1">OFFSET(TblMili[[#This Row],[Archmages]],-1,0) + OFFSET(TblMili[[#This Row],[Train AM]],-12,0) - TblMili[[#This Row],[Release AM]]</f>
        <v>0</v>
      </c>
      <c r="M51" s="142"/>
      <c r="N51" s="94">
        <f ca="1">TblProd[[#This Row],[Networth]]</f>
        <v>1250</v>
      </c>
      <c r="O51" s="142"/>
      <c r="P51"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5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1" s="247">
        <f ca="1">TblMili[[#This Row],[Raw]]*(1+TblMili[[#This Row],[Mods_Off]])</f>
        <v>0</v>
      </c>
      <c r="S51"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51" s="247">
        <f ca="1">TblMili[[#This Row],[Non Draft]]+TblMili[[#This Row],[Draftees]]</f>
        <v>474</v>
      </c>
      <c r="U51" s="248">
        <f ca="1">race_defense + TblImps[[#This Row],[Walls]] + ROUND( MIN(gt_bonus*TblConstr[[#This Row],[Tot GT]]/TblConstr[[#This Row],[Land]],gt_bonus_cap), 4) + IF(TblMagic[[#This Row],[Active Howling]]&gt;0,howling_dp_bonus,IF(TblMagic[[#This Row],[Active Ares Call]]&gt;0,ares_call_bonus))</f>
        <v>0</v>
      </c>
      <c r="V51" s="249">
        <f ca="1">TblMili[[#This Row],[Non Draft]] * (1 + TblMili[[#This Row],[Mods_Def]])</f>
        <v>0</v>
      </c>
      <c r="W51" s="247">
        <f ca="1">TblMili[[#This Row],[Draft]] * (1 + TblMili[[#This Row],[Mods_Def]])</f>
        <v>474</v>
      </c>
      <c r="X51" s="247">
        <f ca="1">TblConstr[[#This Row],[Land]]</f>
        <v>50</v>
      </c>
      <c r="Y51" s="250"/>
      <c r="Z51" s="255">
        <f ca="1">IF(TblMili[[#This Row],[Set]]&lt;&gt;"",TblMili[[#This Row],[Set]],OFFSET(TblMili[[#This Row],[Draftrate]],-1,0))</f>
        <v>0.9</v>
      </c>
      <c r="AA51"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474</v>
      </c>
      <c r="AB51" s="154"/>
      <c r="AC51" s="180">
        <f ca="1">(TblConstr[[#This Row],[Tot Smi]]+TblConstr[[#This Row],[Dest Smi]])/(TblConstr[[#This Row],[Land]]-TblExplore[[#This Row],[Land Bonus]]*20)</f>
        <v>0</v>
      </c>
      <c r="AD51" s="137"/>
      <c r="AE51" s="246">
        <f>TblMili[[#This Row],[Hour]]</f>
        <v>48</v>
      </c>
      <c r="AF51" s="138">
        <f ca="1">TblExplore[[#This Row],[Time]]</f>
        <v>46321.958333333219</v>
      </c>
      <c r="AG51" s="179"/>
      <c r="AH51" s="179"/>
      <c r="AI51" s="179"/>
      <c r="AJ51" s="179"/>
      <c r="AK51" s="179"/>
      <c r="AL51" s="179"/>
      <c r="AM51" s="179"/>
      <c r="AN51" s="179"/>
      <c r="AO51" s="420">
        <f ca="1">ROUND(IF(AND(TblMagic[[#This Row],[Active DnD]]&lt;12,TblMagic[[#This Row],[Active DnD]]&gt;5),OFFSET(TblPop[[#This Row],[Draft Growth]],-1,0)*0.375,0),0)</f>
        <v>0</v>
      </c>
      <c r="AP51" s="142"/>
      <c r="AQ51" s="94">
        <f ca="1">TblProd[[#This Row],[Platinum]]</f>
        <v>167751</v>
      </c>
      <c r="AR51" s="94">
        <f ca="1">INDEX(TblProd[[#Headers],[Lumber]]:TblProd[[#This Row],[Ore]],COUNTA(TblProd[[#Headers],[Lumber]]:TblProd[[#This Row],[Lumber]]),MATCH(Military!$AR$2,TblProd[[#Headers],[Lumber]:[Ore]],0))</f>
        <v>0</v>
      </c>
      <c r="AS5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51" s="94">
        <f ca="1">TblMili[[#This Row],[Train Unit 1]]*TblMili[[#This Row],[OP Ore]]+TblMili[[#This Row],[Train Unit 2]]*TblMili[[#This Row],[DP Ore]]+TblMili[[#This Row],[Train Unit 3]]*TblMili[[#This Row],[E1 Ore]]+TblMili[[#This Row],[Train Unit 4]]*TblMili[[#This Row],[E2 Ore]]</f>
        <v>0</v>
      </c>
      <c r="AU51" s="142">
        <f>TblMili[[#This Row],[Hour]]</f>
        <v>48</v>
      </c>
      <c r="AV51" s="152">
        <f ca="1">TblMili[[#This Row],[Time]]</f>
        <v>46321.958333333219</v>
      </c>
      <c r="AW51" s="94">
        <f ca="1">TblMili[[#This Row],[Draftees]]</f>
        <v>474</v>
      </c>
      <c r="AX51" s="179"/>
      <c r="AY51" s="179"/>
      <c r="AZ51" s="179"/>
      <c r="BA51" s="179"/>
      <c r="BB51" s="179"/>
      <c r="BC51" s="179"/>
      <c r="BD51" s="179"/>
      <c r="BE51" s="179"/>
      <c r="BF51" s="179"/>
      <c r="BG51" s="142"/>
      <c r="BH51" s="157">
        <f ca="1">TblConstr[[#This Row],[Tot WG]]/TblConstr[[#This Row],[Land]]</f>
        <v>0</v>
      </c>
      <c r="BI51" s="157">
        <f ca="1">TblConstr[[#This Row],[Tot Hav]]/TblConstr[[#This Row],[Land]]</f>
        <v>0</v>
      </c>
      <c r="BJ51" s="94">
        <f ca="1">ROUNDUP((1-MIN(TblMili[[#This Row],[Smithies]]*smithy_bonus,smithy_bonus_cap) + tech_3_5*TblTech[[#This Row],[3-5]] + tech_5_3*TblTech[[#This Row],[5-3]] + tech_5_5*TblTech[[#This Row],[5-5]])*spec_op_plat,0)</f>
        <v>315</v>
      </c>
      <c r="BK51" s="94">
        <f ca="1">ROUNDUP(IF(race="Gnome",1,(1-MIN(TblMili[[#This Row],[Smithies]]*smithy_bonus,smithy_bonus_cap) + tech_3_5*TblTech[[#This Row],[3-5]] + tech_5_3*TblTech[[#This Row],[5-3]] + tech_5_5*TblTech[[#This Row],[5-5]]))*spec_op_ore,0)</f>
        <v>25</v>
      </c>
      <c r="BL51" s="94">
        <f ca="1">ROUNDUP((1-MIN(TblMili[[#This Row],[Smithies]]*smithy_bonus,smithy_bonus_cap) + tech_3_5*TblTech[[#This Row],[3-5]] + tech_5_3*TblTech[[#This Row],[5-3]] + tech_5_5*TblTech[[#This Row],[5-5]])*spec_dp_plat,0)</f>
        <v>275</v>
      </c>
      <c r="BM51" s="94">
        <f ca="1">ROUNDUP(IF(race="Gnome",1,(1-MIN(TblMili[[#This Row],[Smithies]]*smithy_bonus,smithy_bonus_cap) + tech_3_5*TblTech[[#This Row],[3-5]] + tech_5_3*TblTech[[#This Row],[5-3]] + tech_5_5*TblTech[[#This Row],[5-5]]))*spec_dp_ore,0)</f>
        <v>15</v>
      </c>
      <c r="BN51" s="94">
        <f ca="1">ROUNDUP((1-MIN(TblMili[[#This Row],[Smithies]]*smithy_bonus,smithy_bonus_cap) + tech_3_5*TblTech[[#This Row],[3-5]] + tech_5_3*TblTech[[#This Row],[5-3]] + tech_5_5*TblTech[[#This Row],[5-5]])*elite1_plat,0)</f>
        <v>1040</v>
      </c>
      <c r="BO51" s="94">
        <f ca="1">ROUNDUP(IF(race="Gnome",1,(1-MIN(TblMili[[#This Row],[Smithies]]*smithy_bonus,smithy_bonus_cap) + tech_3_5*TblTech[[#This Row],[3-5]] + tech_5_3*TblTech[[#This Row],[5-3]] + tech_5_5*TblTech[[#This Row],[5-5]]))*elite1_ore,0)</f>
        <v>75</v>
      </c>
      <c r="BP51" s="94">
        <f ca="1">ROUNDUP((1-MIN(TblMili[[#This Row],[Smithies]]*smithy_bonus,smithy_bonus_cap) + tech_3_5*TblTech[[#This Row],[3-5]] + tech_5_3*TblTech[[#This Row],[5-3]] + tech_5_5*TblTech[[#This Row],[5-5]])*elite2_plat,0)</f>
        <v>1280</v>
      </c>
      <c r="BQ51" s="94">
        <f ca="1">ROUNDUP(IF(race="Gnome",1,(1-MIN(TblMili[[#This Row],[Smithies]]*smithy_bonus,smithy_bonus_cap) + tech_3_5*TblTech[[#This Row],[3-5]] + tech_5_3*TblTech[[#This Row],[5-3]] + tech_5_5*TblTech[[#This Row],[5-5]]))*elite2_ore,0)</f>
        <v>100</v>
      </c>
      <c r="BR51" s="94">
        <f ca="1">ROUNDUP((1-MIN(ROUND(fh_spy_cost_red*TblMili[[#This Row],[FH''s]],4),fh_spy_cost_cap)+ tech_1_9*TblTech[[#This Row],[1-9]] + tech_9_1*TblTech[[#This Row],[9-1]])*spy_plat,0)</f>
        <v>500</v>
      </c>
      <c r="BS51" s="94">
        <f ca="1">ROUNDUP((1-MIN(ROUND(fh_spy_cost_red*TblMili[[#This Row],[FH''s]],4),fh_spy_cost_cap)+ tech_1_9*TblTech[[#This Row],[1-9]] + tech_9_1*TblTech[[#This Row],[9-1]])*archspy_plat,0)</f>
        <v>1000</v>
      </c>
      <c r="BT51" s="94">
        <f ca="1">ROUNDUP((1-MIN(ROUND(wg_wiz_cost_bonus*TblMili[[#This Row],[WG''s]],4),wg_wiz_cost_cap) + tech_1_9_2*TblTech[[#This Row],[1-9]] + tech_9_1_2*TblTech[[#This Row],[9-1]])*wizard_plat,0)</f>
        <v>500</v>
      </c>
      <c r="BU51" s="94">
        <f ca="1">ROUNDUP((1-MIN(ROUND(wg_wiz_cost_bonus*TblMili[[#This Row],[WG''s]],4),wg_wiz_cost_cap) + tech_1_9_2*TblTech[[#This Row],[1-9]] + tech_9_1_2*TblTech[[#This Row],[9-1]])*(archmage_plat + IF(TblMagic[[#This Row],[Active Arc Infusion]]&gt;0,400,0)),0)</f>
        <v>1000</v>
      </c>
      <c r="BV51" s="142"/>
      <c r="BW51" s="157">
        <f ca="1">TblConstr[[#This Row],[Homeland]]/TblConstr[[#This Row],[Land]]</f>
        <v>0.6</v>
      </c>
      <c r="BX51" s="157">
        <f ca="1">TblMili[[#This Row],[WG''s]]</f>
        <v>0</v>
      </c>
      <c r="BY51" s="251">
        <f ca="1">IF(mystic_cap="none",TblMili[[#This Row],[Homeland%]]/mystic_bonus,MIN(mystic_cap,TblMili[[#This Row],[Homeland%]]/mystic_bonus))</f>
        <v>2</v>
      </c>
      <c r="BZ51" s="251">
        <f ca="1">IF(druid_op_cap="none",TblMili[[#This Row],[Homeland%]]/druid_op_bonus,MIN(druid_op_cap,TblMili[[#This Row],[Homeland%]]/druid_op_bonus))</f>
        <v>2</v>
      </c>
      <c r="CA51" s="251">
        <f ca="1">IF(druid_dp_cap="none",TblMili[[#This Row],[Homeland%]]/druid_dp_bonus,MIN(druid_dp_cap,TblMili[[#This Row],[Homeland%]]/druid_dp_bonus))</f>
        <v>2</v>
      </c>
      <c r="CB51" s="251">
        <f ca="1">MIN(dryad_cap,TblMili[[#This Row],[Homeland%]]/dryad_bonus)</f>
        <v>2.9999999999999996</v>
      </c>
      <c r="CC51" s="251">
        <f ca="1">MIN(rocka_cap,TblMili[[#This Row],[Homeland%]]/rocka_bonus)</f>
        <v>2</v>
      </c>
      <c r="CD51" s="251">
        <f ca="1">MIN(adept_op_cap,TblMili[[#This Row],[WG]]/adept_op_bonus)</f>
        <v>0</v>
      </c>
      <c r="CE51" s="251">
        <f ca="1">MIN(adept_dp_cap,TblMili[[#This Row],[WG]]/adept_dp_bonus)</f>
        <v>0</v>
      </c>
      <c r="CF51" s="94">
        <f ca="1">MIN(TblMili[[#This Row],[Unit 3]],TblMili[[#This Row],[Unit 2]])*2</f>
        <v>0</v>
      </c>
      <c r="CG51" s="94">
        <f ca="1">MIN(TblMili[[#This Row],[Unit 1]],TblMili[[#This Row],[Unit 4]])*2</f>
        <v>0</v>
      </c>
      <c r="CH51" s="251">
        <f ca="1">MIN(frost_mage_cap,TblMili[[#This Row],[Homeland%]]/frost_mage_bonus)</f>
        <v>2.9999999999999996</v>
      </c>
      <c r="CI51" s="45">
        <f ca="1">MIN(ice_elem_cap,TblMili[[#This Row],[Raw (2)]]*ice_elem_bonus)</f>
        <v>0</v>
      </c>
      <c r="CJ51" s="251">
        <f t="shared" si="2"/>
        <v>0.83333333333333337</v>
      </c>
      <c r="CK51" s="251">
        <f ca="1">MIN(nox_nightshade_cap,TblConstr[[#This Row],[Homeland]]/TblConstr[[#This Row],[Land]]/nox_nightshade_swamp_bonus)</f>
        <v>4</v>
      </c>
      <c r="CL51" s="251">
        <f ca="1">MIN(TblConstr[[#This Row],[Total Swamp]]/TblConstr[[#This Row],[Land]]/abyss_enforce_bonus,abyss_enforcer_cap)</f>
        <v>0</v>
      </c>
      <c r="CM51" s="251">
        <f ca="1">IF(TblMagic[[#This Row],[Active Infernal Command]]&gt;0,TblMili[[#This Row],[Unit 1]]*infernal_cmd_op,0)</f>
        <v>0</v>
      </c>
      <c r="CN51" s="252"/>
      <c r="CO51" s="252"/>
      <c r="CP51" s="252"/>
      <c r="CQ51" s="251">
        <f ca="1">TblMili[[#This Row],[Mystic]]*2</f>
        <v>4</v>
      </c>
      <c r="CR51" s="251">
        <f ca="1">TblMili[[#This Row],[Druid (op)]]*2</f>
        <v>4</v>
      </c>
      <c r="CS51" s="94">
        <f ca="1">TblMili[[#This Row],[Mystic bonus]]*TblMili[[#This Row],[Unit 3]]+TblMili[[#This Row],[Druid bonus]]*TblMili[[#This Row],[Unit 4]]</f>
        <v>0</v>
      </c>
      <c r="CT51" s="155">
        <f ca="1">TblMili[[#This Row],[Dryad]]*2</f>
        <v>5.9999999999999991</v>
      </c>
      <c r="CU51" s="94">
        <f ca="1">sylvan*(TblMili[[#This Row],[Mystic bonus]]*TblMili[[#This Row],[Unit 3]])</f>
        <v>0</v>
      </c>
      <c r="CV51" s="155">
        <f ca="1">TblMili[[#This Row],[Rockapult]]*2</f>
        <v>4</v>
      </c>
      <c r="CW51" s="94">
        <f ca="1">gnome*(TblMili[[#This Row],[Rockapult bonus]]*TblMili[[#This Row],[Unit 3]])</f>
        <v>0</v>
      </c>
      <c r="CX51" s="155">
        <f ca="1">TblMili[[#This Row],[Adept-DP]]*2</f>
        <v>0</v>
      </c>
      <c r="CY51" s="94">
        <f ca="1">dark_elf*(TblMili[[#This Row],[Adept bonus]]*TblMili[[#This Row],[Unit 3]])</f>
        <v>0</v>
      </c>
      <c r="CZ51" s="155">
        <f ca="1">TblMili[[#This Row],[Frost Mage]]*2</f>
        <v>5.9999999999999991</v>
      </c>
      <c r="DA51" s="155">
        <f ca="1">TblMili[[#This Row],[Ice Elemental]]*2</f>
        <v>0</v>
      </c>
      <c r="DB51" s="94">
        <f ca="1">TblMili[[#This Row],[Frost Mage bonus]]*TblMili[[#This Row],[Unit 3]]+TblMili[[#This Row],[Ice Elemental bonus]]*TblMili[[#This Row],[Unit 4]]</f>
        <v>0</v>
      </c>
      <c r="DC51" s="253"/>
      <c r="DD51" s="143">
        <f ca="1">MIN(SUM(TblConstr[[#This Row],[Plain]:[Water]])/TblMili[[#This Row],[Land]]/favorable_terrain_bonus/100,favorable_terrain_max)</f>
        <v>0</v>
      </c>
      <c r="DE51" s="253"/>
      <c r="DF5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1" s="142"/>
      <c r="DH51" s="254">
        <f ca="1">(TblMili[[#This Row],[Wizards]]+2*TblMili[[#This Row],[Archmages]])/TblConstr[[#This Row],[Land]]</f>
        <v>0</v>
      </c>
      <c r="DI51" s="254">
        <f ca="1">TblMili[[#This Row],[Raw (2)]]*(1+race_wizard_strength+IF(TblMili[[#This Row],[Hour]]&gt;72,tech_magical_weaponry_wiz*TblTech[[#This Row],[3-5]],0))</f>
        <v>0</v>
      </c>
    </row>
    <row r="52" spans="1:113" s="5" customFormat="1" x14ac:dyDescent="0.2">
      <c r="A52" s="144">
        <f>TblRezone[[#This Row],[Hour]]</f>
        <v>49</v>
      </c>
      <c r="B52" s="258">
        <f ca="1">SUM(TblMili[[#This Row],[Unit 1]:[Archmages]])+SUM(OFFSET(TblMili[[#This Row],[Train Unit 1]],-8,0):TblMili[[#This Row],[Train Unit 2]]) + SUM(OFFSET(TblMili[[#This Row],[Train Unit 3]],-11,0):TblMili[[#This Row],[Train AM]]) + TblMili[[#This Row],[Draftees]]</f>
        <v>477</v>
      </c>
      <c r="C52" s="165">
        <f ca="1">TblPop[[#This Row],[Military%]]</f>
        <v>0.62028608582574774</v>
      </c>
      <c r="D52" s="149"/>
      <c r="E52" s="5">
        <f ca="1">OFFSET(TblMili[[#This Row],[Unit 1]],-1,0) + OFFSET(TblMili[[#This Row],[Train Unit 1]],-9,0) - TblMili[[#This Row],[Release Unit 1]] + OFFSET(TblMili[[#This Row],[DnD_Zombies]],-12,0)</f>
        <v>0</v>
      </c>
      <c r="F52" s="5">
        <f ca="1">OFFSET(TblMili[[#This Row],[Unit 2]],-1,0) + OFFSET(TblMili[[#This Row],[Train Unit 2]],-9,0)-TblMili[[#This Row],[Release Unit 2]]</f>
        <v>0</v>
      </c>
      <c r="G52" s="5">
        <f ca="1">OFFSET(TblMili[[#This Row],[Unit 3]],-1,0) + OFFSET(TblMili[[#This Row],[Train Unit 3]],-12,0)-TblMili[[#This Row],[Release Unit 3]]</f>
        <v>0</v>
      </c>
      <c r="H52" s="5">
        <f ca="1">OFFSET(TblMili[[#This Row],[Unit 4]],-1,0) + OFFSET(TblMili[[#This Row],[Train Unit 4]],-12,0)-TblMili[[#This Row],[Release Unit 4]]</f>
        <v>0</v>
      </c>
      <c r="I52" s="5">
        <f ca="1">OFFSET(TblMili[[#This Row],[Spies]],-1,0) + OFFSET(TblMili[[#This Row],[Train Spies]],-12,0) - TblMili[[#This Row],[Release Spies]]-TblMili[[#This Row],[Train AS]]</f>
        <v>0</v>
      </c>
      <c r="J52" s="5">
        <f ca="1">OFFSET(TblMili[[#This Row],[Archspies]],-1,0) + OFFSET(TblMili[[#This Row],[Train AS]],-12,0) - TblMili[[#This Row],[Release AS]]</f>
        <v>0</v>
      </c>
      <c r="K52" s="5">
        <f ca="1">OFFSET(TblMili[[#This Row],[Wizards]],-1,0) + OFFSET(TblMili[[#This Row],[Train Wiz]],-12,0) - TblMili[[#This Row],[Release Wizards]]-TblMili[[#This Row],[Train AM]] + IF(TblMagic[[#This Row],[Active Arc Infusion]]&gt;0,TblMili[[#This Row],[Train AM]])</f>
        <v>0</v>
      </c>
      <c r="L52" s="5">
        <f ca="1">OFFSET(TblMili[[#This Row],[Archmages]],-1,0) + OFFSET(TblMili[[#This Row],[Train AM]],-12,0) - TblMili[[#This Row],[Release AM]]</f>
        <v>0</v>
      </c>
      <c r="M52" s="149"/>
      <c r="N52" s="35">
        <f ca="1">TblProd[[#This Row],[Networth]]</f>
        <v>1250</v>
      </c>
      <c r="O52" s="149"/>
      <c r="P52" s="450">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52"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2" s="450">
        <f ca="1">TblMili[[#This Row],[Raw]]*(1+TblMili[[#This Row],[Mods_Off]])</f>
        <v>0</v>
      </c>
      <c r="S52" s="450">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52" s="450">
        <f ca="1">TblMili[[#This Row],[Non Draft]]+TblMili[[#This Row],[Draftees]]</f>
        <v>477</v>
      </c>
      <c r="U52" s="451">
        <f ca="1">race_defense + TblImps[[#This Row],[Walls]] + ROUND( MIN(gt_bonus*TblConstr[[#This Row],[Tot GT]]/TblConstr[[#This Row],[Land]],gt_bonus_cap), 4) + IF(TblMagic[[#This Row],[Active Howling]]&gt;0,howling_dp_bonus,IF(TblMagic[[#This Row],[Active Ares Call]]&gt;0,ares_call_bonus))</f>
        <v>0</v>
      </c>
      <c r="V52" s="452">
        <f ca="1">TblMili[[#This Row],[Non Draft]] * (1 + TblMili[[#This Row],[Mods_Def]])</f>
        <v>0</v>
      </c>
      <c r="W52" s="450">
        <f ca="1">TblMili[[#This Row],[Draft]] * (1 + TblMili[[#This Row],[Mods_Def]])</f>
        <v>477</v>
      </c>
      <c r="X52" s="450">
        <f ca="1">TblConstr[[#This Row],[Land]]</f>
        <v>50</v>
      </c>
      <c r="Y52" s="259"/>
      <c r="Z52" s="453">
        <f ca="1">IF(TblMili[[#This Row],[Set]]&lt;&gt;"",TblMili[[#This Row],[Set]],OFFSET(TblMili[[#This Row],[Draftrate]],-1,0))</f>
        <v>0.9</v>
      </c>
      <c r="AA52" s="35">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477</v>
      </c>
      <c r="AB52" s="162"/>
      <c r="AC52" s="436">
        <f ca="1">(TblConstr[[#This Row],[Tot Smi]]+TblConstr[[#This Row],[Dest Smi]])/(TblConstr[[#This Row],[Land]]-TblExplore[[#This Row],[Land Bonus]]*20)</f>
        <v>0</v>
      </c>
      <c r="AD52" s="454"/>
      <c r="AE52" s="455">
        <f>TblMili[[#This Row],[Hour]]</f>
        <v>49</v>
      </c>
      <c r="AF52" s="145">
        <f ca="1">TblExplore[[#This Row],[Time]]</f>
        <v>46321.999999999884</v>
      </c>
      <c r="AG52" s="201"/>
      <c r="AH52" s="201"/>
      <c r="AI52" s="201"/>
      <c r="AJ52" s="201"/>
      <c r="AK52" s="201"/>
      <c r="AL52" s="201"/>
      <c r="AM52" s="201"/>
      <c r="AN52" s="201"/>
      <c r="AO52" s="421">
        <f ca="1">ROUND(IF(AND(TblMagic[[#This Row],[Active DnD]]&lt;12,TblMagic[[#This Row],[Active DnD]]&gt;5),OFFSET(TblPop[[#This Row],[Draft Growth]],-1,0)*0.375,0),0)</f>
        <v>0</v>
      </c>
      <c r="AP52" s="149"/>
      <c r="AQ52" s="35">
        <f ca="1">TblProd[[#This Row],[Platinum]]</f>
        <v>168547</v>
      </c>
      <c r="AR52" s="35">
        <f ca="1">INDEX(TblProd[[#Headers],[Lumber]]:TblProd[[#This Row],[Ore]],COUNTA(TblProd[[#Headers],[Lumber]]:TblProd[[#This Row],[Lumber]]),MATCH(Military!$AR$2,TblProd[[#Headers],[Lumber]:[Ore]],0))</f>
        <v>0</v>
      </c>
      <c r="AS52" s="35">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52" s="35">
        <f ca="1">TblMili[[#This Row],[Train Unit 1]]*TblMili[[#This Row],[OP Ore]]+TblMili[[#This Row],[Train Unit 2]]*TblMili[[#This Row],[DP Ore]]+TblMili[[#This Row],[Train Unit 3]]*TblMili[[#This Row],[E1 Ore]]+TblMili[[#This Row],[Train Unit 4]]*TblMili[[#This Row],[E2 Ore]]</f>
        <v>0</v>
      </c>
      <c r="AU52" s="149">
        <f>TblMili[[#This Row],[Hour]]</f>
        <v>49</v>
      </c>
      <c r="AV52" s="160">
        <f ca="1">TblMili[[#This Row],[Time]]</f>
        <v>46321.999999999884</v>
      </c>
      <c r="AW52" s="35">
        <f ca="1">TblMili[[#This Row],[Draftees]]</f>
        <v>477</v>
      </c>
      <c r="AX52" s="201"/>
      <c r="AY52" s="201"/>
      <c r="AZ52" s="201"/>
      <c r="BA52" s="201"/>
      <c r="BB52" s="201"/>
      <c r="BC52" s="201"/>
      <c r="BD52" s="201"/>
      <c r="BE52" s="201"/>
      <c r="BF52" s="201"/>
      <c r="BG52" s="149"/>
      <c r="BH52" s="165">
        <f ca="1">TblConstr[[#This Row],[Tot WG]]/TblConstr[[#This Row],[Land]]</f>
        <v>0</v>
      </c>
      <c r="BI52" s="165">
        <f ca="1">TblConstr[[#This Row],[Tot Hav]]/TblConstr[[#This Row],[Land]]</f>
        <v>0</v>
      </c>
      <c r="BJ52" s="35">
        <f ca="1">ROUNDUP((1-MIN(TblMili[[#This Row],[Smithies]]*smithy_bonus,smithy_bonus_cap) + tech_3_5*TblTech[[#This Row],[3-5]] + tech_5_3*TblTech[[#This Row],[5-3]] + tech_5_5*TblTech[[#This Row],[5-5]])*spec_op_plat,0)</f>
        <v>315</v>
      </c>
      <c r="BK52" s="35">
        <f ca="1">ROUNDUP(IF(race="Gnome",1,(1-MIN(TblMili[[#This Row],[Smithies]]*smithy_bonus,smithy_bonus_cap) + tech_3_5*TblTech[[#This Row],[3-5]] + tech_5_3*TblTech[[#This Row],[5-3]] + tech_5_5*TblTech[[#This Row],[5-5]]))*spec_op_ore,0)</f>
        <v>25</v>
      </c>
      <c r="BL52" s="35">
        <f ca="1">ROUNDUP((1-MIN(TblMili[[#This Row],[Smithies]]*smithy_bonus,smithy_bonus_cap) + tech_3_5*TblTech[[#This Row],[3-5]] + tech_5_3*TblTech[[#This Row],[5-3]] + tech_5_5*TblTech[[#This Row],[5-5]])*spec_dp_plat,0)</f>
        <v>275</v>
      </c>
      <c r="BM52" s="35">
        <f ca="1">ROUNDUP(IF(race="Gnome",1,(1-MIN(TblMili[[#This Row],[Smithies]]*smithy_bonus,smithy_bonus_cap) + tech_3_5*TblTech[[#This Row],[3-5]] + tech_5_3*TblTech[[#This Row],[5-3]] + tech_5_5*TblTech[[#This Row],[5-5]]))*spec_dp_ore,0)</f>
        <v>15</v>
      </c>
      <c r="BN52" s="35">
        <f ca="1">ROUNDUP((1-MIN(TblMili[[#This Row],[Smithies]]*smithy_bonus,smithy_bonus_cap) + tech_3_5*TblTech[[#This Row],[3-5]] + tech_5_3*TblTech[[#This Row],[5-3]] + tech_5_5*TblTech[[#This Row],[5-5]])*elite1_plat,0)</f>
        <v>1040</v>
      </c>
      <c r="BO52" s="35">
        <f ca="1">ROUNDUP(IF(race="Gnome",1,(1-MIN(TblMili[[#This Row],[Smithies]]*smithy_bonus,smithy_bonus_cap) + tech_3_5*TblTech[[#This Row],[3-5]] + tech_5_3*TblTech[[#This Row],[5-3]] + tech_5_5*TblTech[[#This Row],[5-5]]))*elite1_ore,0)</f>
        <v>75</v>
      </c>
      <c r="BP52" s="35">
        <f ca="1">ROUNDUP((1-MIN(TblMili[[#This Row],[Smithies]]*smithy_bonus,smithy_bonus_cap) + tech_3_5*TblTech[[#This Row],[3-5]] + tech_5_3*TblTech[[#This Row],[5-3]] + tech_5_5*TblTech[[#This Row],[5-5]])*elite2_plat,0)</f>
        <v>1280</v>
      </c>
      <c r="BQ52" s="35">
        <f ca="1">ROUNDUP(IF(race="Gnome",1,(1-MIN(TblMili[[#This Row],[Smithies]]*smithy_bonus,smithy_bonus_cap) + tech_3_5*TblTech[[#This Row],[3-5]] + tech_5_3*TblTech[[#This Row],[5-3]] + tech_5_5*TblTech[[#This Row],[5-5]]))*elite2_ore,0)</f>
        <v>100</v>
      </c>
      <c r="BR52" s="35">
        <f ca="1">ROUNDUP((1-MIN(ROUND(fh_spy_cost_red*TblMili[[#This Row],[FH''s]],4),fh_spy_cost_cap)+ tech_1_9*TblTech[[#This Row],[1-9]] + tech_9_1*TblTech[[#This Row],[9-1]])*spy_plat,0)</f>
        <v>500</v>
      </c>
      <c r="BS52" s="35">
        <f ca="1">ROUNDUP((1-MIN(ROUND(fh_spy_cost_red*TblMili[[#This Row],[FH''s]],4),fh_spy_cost_cap)+ tech_1_9*TblTech[[#This Row],[1-9]] + tech_9_1*TblTech[[#This Row],[9-1]])*archspy_plat,0)</f>
        <v>1000</v>
      </c>
      <c r="BT52" s="35">
        <f ca="1">ROUNDUP((1-MIN(ROUND(wg_wiz_cost_bonus*TblMili[[#This Row],[WG''s]],4),wg_wiz_cost_cap) + tech_1_9_2*TblTech[[#This Row],[1-9]] + tech_9_1_2*TblTech[[#This Row],[9-1]])*wizard_plat,0)</f>
        <v>500</v>
      </c>
      <c r="BU52" s="35">
        <f ca="1">ROUNDUP((1-MIN(ROUND(wg_wiz_cost_bonus*TblMili[[#This Row],[WG''s]],4),wg_wiz_cost_cap) + tech_1_9_2*TblTech[[#This Row],[1-9]] + tech_9_1_2*TblTech[[#This Row],[9-1]])*(archmage_plat + IF(TblMagic[[#This Row],[Active Arc Infusion]]&gt;0,400,0)),0)</f>
        <v>1000</v>
      </c>
      <c r="BV52" s="149"/>
      <c r="BW52" s="165">
        <f ca="1">TblConstr[[#This Row],[Homeland]]/TblConstr[[#This Row],[Land]]</f>
        <v>0.6</v>
      </c>
      <c r="BX52" s="165">
        <f ca="1">TblMili[[#This Row],[WG''s]]</f>
        <v>0</v>
      </c>
      <c r="BY52" s="456">
        <f ca="1">IF(mystic_cap="none",TblMili[[#This Row],[Homeland%]]/mystic_bonus,MIN(mystic_cap,TblMili[[#This Row],[Homeland%]]/mystic_bonus))</f>
        <v>2</v>
      </c>
      <c r="BZ52" s="456">
        <f ca="1">IF(druid_op_cap="none",TblMili[[#This Row],[Homeland%]]/druid_op_bonus,MIN(druid_op_cap,TblMili[[#This Row],[Homeland%]]/druid_op_bonus))</f>
        <v>2</v>
      </c>
      <c r="CA52" s="456">
        <f ca="1">IF(druid_dp_cap="none",TblMili[[#This Row],[Homeland%]]/druid_dp_bonus,MIN(druid_dp_cap,TblMili[[#This Row],[Homeland%]]/druid_dp_bonus))</f>
        <v>2</v>
      </c>
      <c r="CB52" s="456">
        <f ca="1">MIN(dryad_cap,TblMili[[#This Row],[Homeland%]]/dryad_bonus)</f>
        <v>2.9999999999999996</v>
      </c>
      <c r="CC52" s="456">
        <f ca="1">MIN(rocka_cap,TblMili[[#This Row],[Homeland%]]/rocka_bonus)</f>
        <v>2</v>
      </c>
      <c r="CD52" s="456">
        <f ca="1">MIN(adept_op_cap,TblMili[[#This Row],[WG]]/adept_op_bonus)</f>
        <v>0</v>
      </c>
      <c r="CE52" s="456">
        <f ca="1">MIN(adept_dp_cap,TblMili[[#This Row],[WG]]/adept_dp_bonus)</f>
        <v>0</v>
      </c>
      <c r="CF52" s="35">
        <f ca="1">MIN(TblMili[[#This Row],[Unit 3]],TblMili[[#This Row],[Unit 2]])*2</f>
        <v>0</v>
      </c>
      <c r="CG52" s="35">
        <f ca="1">MIN(TblMili[[#This Row],[Unit 1]],TblMili[[#This Row],[Unit 4]])*2</f>
        <v>0</v>
      </c>
      <c r="CH52" s="456">
        <f ca="1">MIN(frost_mage_cap,TblMili[[#This Row],[Homeland%]]/frost_mage_bonus)</f>
        <v>2.9999999999999996</v>
      </c>
      <c r="CI52" s="5">
        <f ca="1">MIN(ice_elem_cap,TblMili[[#This Row],[Raw (2)]]*ice_elem_bonus)</f>
        <v>0</v>
      </c>
      <c r="CJ52" s="456">
        <f t="shared" si="2"/>
        <v>0.83333333333333337</v>
      </c>
      <c r="CK52" s="456">
        <f ca="1">MIN(nox_nightshade_cap,TblConstr[[#This Row],[Homeland]]/TblConstr[[#This Row],[Land]]/nox_nightshade_swamp_bonus)</f>
        <v>4</v>
      </c>
      <c r="CL52" s="456">
        <f ca="1">MIN(TblConstr[[#This Row],[Total Swamp]]/TblConstr[[#This Row],[Land]]/abyss_enforce_bonus,abyss_enforcer_cap)</f>
        <v>0</v>
      </c>
      <c r="CM52" s="456">
        <f ca="1">IF(TblMagic[[#This Row],[Active Infernal Command]]&gt;0,TblMili[[#This Row],[Unit 1]]*infernal_cmd_op,0)</f>
        <v>0</v>
      </c>
      <c r="CN52" s="260"/>
      <c r="CO52" s="260"/>
      <c r="CP52" s="260"/>
      <c r="CQ52" s="456">
        <f ca="1">TblMili[[#This Row],[Mystic]]*2</f>
        <v>4</v>
      </c>
      <c r="CR52" s="456">
        <f ca="1">TblMili[[#This Row],[Druid (op)]]*2</f>
        <v>4</v>
      </c>
      <c r="CS52" s="35">
        <f ca="1">TblMili[[#This Row],[Mystic bonus]]*TblMili[[#This Row],[Unit 3]]+TblMili[[#This Row],[Druid bonus]]*TblMili[[#This Row],[Unit 4]]</f>
        <v>0</v>
      </c>
      <c r="CT52" s="163">
        <f ca="1">TblMili[[#This Row],[Dryad]]*2</f>
        <v>5.9999999999999991</v>
      </c>
      <c r="CU52" s="35">
        <f ca="1">sylvan*(TblMili[[#This Row],[Mystic bonus]]*TblMili[[#This Row],[Unit 3]])</f>
        <v>0</v>
      </c>
      <c r="CV52" s="163">
        <f ca="1">TblMili[[#This Row],[Rockapult]]*2</f>
        <v>4</v>
      </c>
      <c r="CW52" s="35">
        <f ca="1">gnome*(TblMili[[#This Row],[Rockapult bonus]]*TblMili[[#This Row],[Unit 3]])</f>
        <v>0</v>
      </c>
      <c r="CX52" s="163">
        <f ca="1">TblMili[[#This Row],[Adept-DP]]*2</f>
        <v>0</v>
      </c>
      <c r="CY52" s="35">
        <f ca="1">dark_elf*(TblMili[[#This Row],[Adept bonus]]*TblMili[[#This Row],[Unit 3]])</f>
        <v>0</v>
      </c>
      <c r="CZ52" s="163">
        <f ca="1">TblMili[[#This Row],[Frost Mage]]*2</f>
        <v>5.9999999999999991</v>
      </c>
      <c r="DA52" s="163">
        <f ca="1">TblMili[[#This Row],[Ice Elemental]]*2</f>
        <v>0</v>
      </c>
      <c r="DB52" s="35">
        <f ca="1">TblMili[[#This Row],[Frost Mage bonus]]*TblMili[[#This Row],[Unit 3]]+TblMili[[#This Row],[Ice Elemental bonus]]*TblMili[[#This Row],[Unit 4]]</f>
        <v>0</v>
      </c>
      <c r="DC52" s="261"/>
      <c r="DD52" s="150">
        <f ca="1">MIN(SUM(TblConstr[[#This Row],[Plain]:[Water]])/TblMili[[#This Row],[Land]]/favorable_terrain_bonus/100,favorable_terrain_max)</f>
        <v>0</v>
      </c>
      <c r="DE52" s="261"/>
      <c r="DF52" s="35">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2" s="149"/>
      <c r="DH52" s="457">
        <f ca="1">(TblMili[[#This Row],[Wizards]]+2*TblMili[[#This Row],[Archmages]])/TblConstr[[#This Row],[Land]]</f>
        <v>0</v>
      </c>
      <c r="DI52" s="457">
        <f ca="1">TblMili[[#This Row],[Raw (2)]]*(1+race_wizard_strength+IF(TblMili[[#This Row],[Hour]]&gt;72,tech_magical_weaponry_wiz*TblTech[[#This Row],[3-5]],0))</f>
        <v>0</v>
      </c>
    </row>
    <row r="53" spans="1:113" x14ac:dyDescent="0.2">
      <c r="A53" s="137">
        <f>TblRezone[[#This Row],[Hour]]</f>
        <v>50</v>
      </c>
      <c r="B53" s="246">
        <f ca="1">SUM(TblMili[[#This Row],[Unit 1]:[Archmages]])+SUM(OFFSET(TblMili[[#This Row],[Train Unit 1]],-8,0):TblMili[[#This Row],[Train Unit 2]]) + SUM(OFFSET(TblMili[[#This Row],[Train Unit 3]],-11,0):TblMili[[#This Row],[Train AM]]) + TblMili[[#This Row],[Draftees]]</f>
        <v>480</v>
      </c>
      <c r="C53" s="157">
        <f ca="1">TblPop[[#This Row],[Military%]]</f>
        <v>0.62418725617685311</v>
      </c>
      <c r="D53" s="142"/>
      <c r="E53" s="45">
        <f ca="1">OFFSET(TblMili[[#This Row],[Unit 1]],-1,0) + OFFSET(TblMili[[#This Row],[Train Unit 1]],-9,0) - TblMili[[#This Row],[Release Unit 1]] + OFFSET(TblMili[[#This Row],[DnD_Zombies]],-12,0)</f>
        <v>0</v>
      </c>
      <c r="F53" s="45">
        <f ca="1">OFFSET(TblMili[[#This Row],[Unit 2]],-1,0) + OFFSET(TblMili[[#This Row],[Train Unit 2]],-9,0)-TblMili[[#This Row],[Release Unit 2]]</f>
        <v>0</v>
      </c>
      <c r="G53" s="45">
        <f ca="1">OFFSET(TblMili[[#This Row],[Unit 3]],-1,0) + OFFSET(TblMili[[#This Row],[Train Unit 3]],-12,0)-TblMili[[#This Row],[Release Unit 3]]</f>
        <v>0</v>
      </c>
      <c r="H53" s="45">
        <f ca="1">OFFSET(TblMili[[#This Row],[Unit 4]],-1,0) + OFFSET(TblMili[[#This Row],[Train Unit 4]],-12,0)-TblMili[[#This Row],[Release Unit 4]]</f>
        <v>0</v>
      </c>
      <c r="I53" s="45">
        <f ca="1">OFFSET(TblMili[[#This Row],[Spies]],-1,0) + OFFSET(TblMili[[#This Row],[Train Spies]],-12,0) - TblMili[[#This Row],[Release Spies]]-TblMili[[#This Row],[Train AS]]</f>
        <v>0</v>
      </c>
      <c r="J53" s="45">
        <f ca="1">OFFSET(TblMili[[#This Row],[Archspies]],-1,0) + OFFSET(TblMili[[#This Row],[Train AS]],-12,0) - TblMili[[#This Row],[Release AS]]</f>
        <v>0</v>
      </c>
      <c r="K53" s="45">
        <f ca="1">OFFSET(TblMili[[#This Row],[Wizards]],-1,0) + OFFSET(TblMili[[#This Row],[Train Wiz]],-12,0) - TblMili[[#This Row],[Release Wizards]]-TblMili[[#This Row],[Train AM]] + IF(TblMagic[[#This Row],[Active Arc Infusion]]&gt;0,TblMili[[#This Row],[Train AM]])</f>
        <v>0</v>
      </c>
      <c r="L53" s="45">
        <f ca="1">OFFSET(TblMili[[#This Row],[Archmages]],-1,0) + OFFSET(TblMili[[#This Row],[Train AM]],-12,0) - TblMili[[#This Row],[Release AM]]</f>
        <v>0</v>
      </c>
      <c r="M53" s="142"/>
      <c r="N53" s="94">
        <f ca="1">TblProd[[#This Row],[Networth]]</f>
        <v>1250</v>
      </c>
      <c r="O53" s="142"/>
      <c r="P53"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5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3" s="247">
        <f ca="1">TblMili[[#This Row],[Raw]]*(1+TblMili[[#This Row],[Mods_Off]])</f>
        <v>0</v>
      </c>
      <c r="S53"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53" s="247">
        <f ca="1">TblMili[[#This Row],[Non Draft]]+TblMili[[#This Row],[Draftees]]</f>
        <v>480</v>
      </c>
      <c r="U53" s="248">
        <f ca="1">race_defense + TblImps[[#This Row],[Walls]] + ROUND( MIN(gt_bonus*TblConstr[[#This Row],[Tot GT]]/TblConstr[[#This Row],[Land]],gt_bonus_cap), 4) + IF(TblMagic[[#This Row],[Active Howling]]&gt;0,howling_dp_bonus,IF(TblMagic[[#This Row],[Active Ares Call]]&gt;0,ares_call_bonus))</f>
        <v>0</v>
      </c>
      <c r="V53" s="249">
        <f ca="1">TblMili[[#This Row],[Non Draft]] * (1 + TblMili[[#This Row],[Mods_Def]])</f>
        <v>0</v>
      </c>
      <c r="W53" s="247">
        <f ca="1">TblMili[[#This Row],[Draft]] * (1 + TblMili[[#This Row],[Mods_Def]])</f>
        <v>480</v>
      </c>
      <c r="X53" s="247">
        <f ca="1">TblConstr[[#This Row],[Land]]</f>
        <v>50</v>
      </c>
      <c r="Y53" s="250"/>
      <c r="Z53" s="255">
        <f ca="1">IF(TblMili[[#This Row],[Set]]&lt;&gt;"",TblMili[[#This Row],[Set]],OFFSET(TblMili[[#This Row],[Draftrate]],-1,0))</f>
        <v>0.9</v>
      </c>
      <c r="AA53"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480</v>
      </c>
      <c r="AB53" s="154"/>
      <c r="AC53" s="180">
        <f ca="1">(TblConstr[[#This Row],[Tot Smi]]+TblConstr[[#This Row],[Dest Smi]])/(TblConstr[[#This Row],[Land]]-TblExplore[[#This Row],[Land Bonus]]*20)</f>
        <v>0</v>
      </c>
      <c r="AD53" s="137"/>
      <c r="AE53" s="246">
        <f>TblMili[[#This Row],[Hour]]</f>
        <v>50</v>
      </c>
      <c r="AF53" s="138">
        <f ca="1">TblExplore[[#This Row],[Time]]</f>
        <v>46322.041666666548</v>
      </c>
      <c r="AG53" s="158"/>
      <c r="AH53" s="179"/>
      <c r="AI53" s="158"/>
      <c r="AJ53" s="179"/>
      <c r="AK53" s="179"/>
      <c r="AL53" s="179"/>
      <c r="AM53" s="179"/>
      <c r="AN53" s="179"/>
      <c r="AO53" s="420">
        <f ca="1">ROUND(IF(AND(TblMagic[[#This Row],[Active DnD]]&lt;12,TblMagic[[#This Row],[Active DnD]]&gt;5),OFFSET(TblPop[[#This Row],[Draft Growth]],-1,0)*0.375,0),0)</f>
        <v>0</v>
      </c>
      <c r="AP53" s="142"/>
      <c r="AQ53" s="94">
        <f ca="1">TblProd[[#This Row],[Platinum]]</f>
        <v>169335</v>
      </c>
      <c r="AR53" s="94">
        <f ca="1">INDEX(TblProd[[#Headers],[Lumber]]:TblProd[[#This Row],[Ore]],COUNTA(TblProd[[#Headers],[Lumber]]:TblProd[[#This Row],[Lumber]]),MATCH(Military!$AR$2,TblProd[[#Headers],[Lumber]:[Ore]],0))</f>
        <v>0</v>
      </c>
      <c r="AS5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53" s="94">
        <f ca="1">TblMili[[#This Row],[Train Unit 1]]*TblMili[[#This Row],[OP Ore]]+TblMili[[#This Row],[Train Unit 2]]*TblMili[[#This Row],[DP Ore]]+TblMili[[#This Row],[Train Unit 3]]*TblMili[[#This Row],[E1 Ore]]+TblMili[[#This Row],[Train Unit 4]]*TblMili[[#This Row],[E2 Ore]]</f>
        <v>0</v>
      </c>
      <c r="AU53" s="142">
        <f>TblMili[[#This Row],[Hour]]</f>
        <v>50</v>
      </c>
      <c r="AV53" s="152">
        <f ca="1">TblMili[[#This Row],[Time]]</f>
        <v>46322.041666666548</v>
      </c>
      <c r="AW53" s="94">
        <f ca="1">TblMili[[#This Row],[Draftees]]</f>
        <v>480</v>
      </c>
      <c r="AX53" s="179"/>
      <c r="AY53" s="179"/>
      <c r="AZ53" s="179"/>
      <c r="BA53" s="179"/>
      <c r="BB53" s="179"/>
      <c r="BC53" s="179"/>
      <c r="BD53" s="179"/>
      <c r="BE53" s="179"/>
      <c r="BF53" s="179"/>
      <c r="BG53" s="142"/>
      <c r="BH53" s="157">
        <f ca="1">TblConstr[[#This Row],[Tot WG]]/TblConstr[[#This Row],[Land]]</f>
        <v>0</v>
      </c>
      <c r="BI53" s="157">
        <f ca="1">TblConstr[[#This Row],[Tot Hav]]/TblConstr[[#This Row],[Land]]</f>
        <v>0</v>
      </c>
      <c r="BJ53" s="94">
        <f ca="1">ROUNDUP((1-MIN(TblMili[[#This Row],[Smithies]]*smithy_bonus,smithy_bonus_cap) + tech_3_5*TblTech[[#This Row],[3-5]] + tech_5_3*TblTech[[#This Row],[5-3]] + tech_5_5*TblTech[[#This Row],[5-5]])*spec_op_plat,0)</f>
        <v>315</v>
      </c>
      <c r="BK53" s="94">
        <f ca="1">ROUNDUP(IF(race="Gnome",1,(1-MIN(TblMili[[#This Row],[Smithies]]*smithy_bonus,smithy_bonus_cap) + tech_3_5*TblTech[[#This Row],[3-5]] + tech_5_3*TblTech[[#This Row],[5-3]] + tech_5_5*TblTech[[#This Row],[5-5]]))*spec_op_ore,0)</f>
        <v>25</v>
      </c>
      <c r="BL53" s="94">
        <f ca="1">ROUNDUP((1-MIN(TblMili[[#This Row],[Smithies]]*smithy_bonus,smithy_bonus_cap) + tech_3_5*TblTech[[#This Row],[3-5]] + tech_5_3*TblTech[[#This Row],[5-3]] + tech_5_5*TblTech[[#This Row],[5-5]])*spec_dp_plat,0)</f>
        <v>275</v>
      </c>
      <c r="BM53" s="94">
        <f ca="1">ROUNDUP(IF(race="Gnome",1,(1-MIN(TblMili[[#This Row],[Smithies]]*smithy_bonus,smithy_bonus_cap) + tech_3_5*TblTech[[#This Row],[3-5]] + tech_5_3*TblTech[[#This Row],[5-3]] + tech_5_5*TblTech[[#This Row],[5-5]]))*spec_dp_ore,0)</f>
        <v>15</v>
      </c>
      <c r="BN53" s="94">
        <f ca="1">ROUNDUP((1-MIN(TblMili[[#This Row],[Smithies]]*smithy_bonus,smithy_bonus_cap) + tech_3_5*TblTech[[#This Row],[3-5]] + tech_5_3*TblTech[[#This Row],[5-3]] + tech_5_5*TblTech[[#This Row],[5-5]])*elite1_plat,0)</f>
        <v>1040</v>
      </c>
      <c r="BO53" s="94">
        <f ca="1">ROUNDUP(IF(race="Gnome",1,(1-MIN(TblMili[[#This Row],[Smithies]]*smithy_bonus,smithy_bonus_cap) + tech_3_5*TblTech[[#This Row],[3-5]] + tech_5_3*TblTech[[#This Row],[5-3]] + tech_5_5*TblTech[[#This Row],[5-5]]))*elite1_ore,0)</f>
        <v>75</v>
      </c>
      <c r="BP53" s="94">
        <f ca="1">ROUNDUP((1-MIN(TblMili[[#This Row],[Smithies]]*smithy_bonus,smithy_bonus_cap) + tech_3_5*TblTech[[#This Row],[3-5]] + tech_5_3*TblTech[[#This Row],[5-3]] + tech_5_5*TblTech[[#This Row],[5-5]])*elite2_plat,0)</f>
        <v>1280</v>
      </c>
      <c r="BQ53" s="94">
        <f ca="1">ROUNDUP(IF(race="Gnome",1,(1-MIN(TblMili[[#This Row],[Smithies]]*smithy_bonus,smithy_bonus_cap) + tech_3_5*TblTech[[#This Row],[3-5]] + tech_5_3*TblTech[[#This Row],[5-3]] + tech_5_5*TblTech[[#This Row],[5-5]]))*elite2_ore,0)</f>
        <v>100</v>
      </c>
      <c r="BR53" s="94">
        <f ca="1">ROUNDUP((1-MIN(ROUND(fh_spy_cost_red*TblMili[[#This Row],[FH''s]],4),fh_spy_cost_cap)+ tech_1_9*TblTech[[#This Row],[1-9]] + tech_9_1*TblTech[[#This Row],[9-1]])*spy_plat,0)</f>
        <v>500</v>
      </c>
      <c r="BS53" s="94">
        <f ca="1">ROUNDUP((1-MIN(ROUND(fh_spy_cost_red*TblMili[[#This Row],[FH''s]],4),fh_spy_cost_cap)+ tech_1_9*TblTech[[#This Row],[1-9]] + tech_9_1*TblTech[[#This Row],[9-1]])*archspy_plat,0)</f>
        <v>1000</v>
      </c>
      <c r="BT53" s="94">
        <f ca="1">ROUNDUP((1-MIN(ROUND(wg_wiz_cost_bonus*TblMili[[#This Row],[WG''s]],4),wg_wiz_cost_cap) + tech_1_9_2*TblTech[[#This Row],[1-9]] + tech_9_1_2*TblTech[[#This Row],[9-1]])*wizard_plat,0)</f>
        <v>500</v>
      </c>
      <c r="BU53" s="94">
        <f ca="1">ROUNDUP((1-MIN(ROUND(wg_wiz_cost_bonus*TblMili[[#This Row],[WG''s]],4),wg_wiz_cost_cap) + tech_1_9_2*TblTech[[#This Row],[1-9]] + tech_9_1_2*TblTech[[#This Row],[9-1]])*(archmage_plat + IF(TblMagic[[#This Row],[Active Arc Infusion]]&gt;0,400,0)),0)</f>
        <v>1000</v>
      </c>
      <c r="BV53" s="142"/>
      <c r="BW53" s="157">
        <f ca="1">TblConstr[[#This Row],[Homeland]]/TblConstr[[#This Row],[Land]]</f>
        <v>0.6</v>
      </c>
      <c r="BX53" s="157">
        <f ca="1">TblMili[[#This Row],[WG''s]]</f>
        <v>0</v>
      </c>
      <c r="BY53" s="251">
        <f ca="1">IF(mystic_cap="none",TblMili[[#This Row],[Homeland%]]/mystic_bonus,MIN(mystic_cap,TblMili[[#This Row],[Homeland%]]/mystic_bonus))</f>
        <v>2</v>
      </c>
      <c r="BZ53" s="251">
        <f ca="1">IF(druid_op_cap="none",TblMili[[#This Row],[Homeland%]]/druid_op_bonus,MIN(druid_op_cap,TblMili[[#This Row],[Homeland%]]/druid_op_bonus))</f>
        <v>2</v>
      </c>
      <c r="CA53" s="251">
        <f ca="1">IF(druid_dp_cap="none",TblMili[[#This Row],[Homeland%]]/druid_dp_bonus,MIN(druid_dp_cap,TblMili[[#This Row],[Homeland%]]/druid_dp_bonus))</f>
        <v>2</v>
      </c>
      <c r="CB53" s="251">
        <f ca="1">MIN(dryad_cap,TblMili[[#This Row],[Homeland%]]/dryad_bonus)</f>
        <v>2.9999999999999996</v>
      </c>
      <c r="CC53" s="251">
        <f ca="1">MIN(rocka_cap,TblMili[[#This Row],[Homeland%]]/rocka_bonus)</f>
        <v>2</v>
      </c>
      <c r="CD53" s="251">
        <f ca="1">MIN(adept_op_cap,TblMili[[#This Row],[WG]]/adept_op_bonus)</f>
        <v>0</v>
      </c>
      <c r="CE53" s="251">
        <f ca="1">MIN(adept_dp_cap,TblMili[[#This Row],[WG]]/adept_dp_bonus)</f>
        <v>0</v>
      </c>
      <c r="CF53" s="94">
        <f ca="1">MIN(TblMili[[#This Row],[Unit 3]],TblMili[[#This Row],[Unit 2]])*2</f>
        <v>0</v>
      </c>
      <c r="CG53" s="94">
        <f ca="1">MIN(TblMili[[#This Row],[Unit 1]],TblMili[[#This Row],[Unit 4]])*2</f>
        <v>0</v>
      </c>
      <c r="CH53" s="251">
        <f ca="1">MIN(frost_mage_cap,TblMili[[#This Row],[Homeland%]]/frost_mage_bonus)</f>
        <v>2.9999999999999996</v>
      </c>
      <c r="CI53" s="45">
        <f ca="1">MIN(ice_elem_cap,TblMili[[#This Row],[Raw (2)]]*ice_elem_bonus)</f>
        <v>0</v>
      </c>
      <c r="CJ53" s="251">
        <f t="shared" si="2"/>
        <v>0.83333333333333337</v>
      </c>
      <c r="CK53" s="251">
        <f ca="1">MIN(nox_nightshade_cap,TblConstr[[#This Row],[Homeland]]/TblConstr[[#This Row],[Land]]/nox_nightshade_swamp_bonus)</f>
        <v>4</v>
      </c>
      <c r="CL53" s="251">
        <f ca="1">MIN(TblConstr[[#This Row],[Total Swamp]]/TblConstr[[#This Row],[Land]]/abyss_enforce_bonus,abyss_enforcer_cap)</f>
        <v>0</v>
      </c>
      <c r="CM53" s="251">
        <f ca="1">IF(TblMagic[[#This Row],[Active Infernal Command]]&gt;0,TblMili[[#This Row],[Unit 1]]*infernal_cmd_op,0)</f>
        <v>0</v>
      </c>
      <c r="CN53" s="252"/>
      <c r="CO53" s="252"/>
      <c r="CP53" s="252"/>
      <c r="CQ53" s="251">
        <f ca="1">TblMili[[#This Row],[Mystic]]*2</f>
        <v>4</v>
      </c>
      <c r="CR53" s="251">
        <f ca="1">TblMili[[#This Row],[Druid (op)]]*2</f>
        <v>4</v>
      </c>
      <c r="CS53" s="94">
        <f ca="1">TblMili[[#This Row],[Mystic bonus]]*TblMili[[#This Row],[Unit 3]]+TblMili[[#This Row],[Druid bonus]]*TblMili[[#This Row],[Unit 4]]</f>
        <v>0</v>
      </c>
      <c r="CT53" s="155">
        <f ca="1">TblMili[[#This Row],[Dryad]]*2</f>
        <v>5.9999999999999991</v>
      </c>
      <c r="CU53" s="94">
        <f ca="1">sylvan*(TblMili[[#This Row],[Mystic bonus]]*TblMili[[#This Row],[Unit 3]])</f>
        <v>0</v>
      </c>
      <c r="CV53" s="155">
        <f ca="1">TblMili[[#This Row],[Rockapult]]*2</f>
        <v>4</v>
      </c>
      <c r="CW53" s="94">
        <f ca="1">gnome*(TblMili[[#This Row],[Rockapult bonus]]*TblMili[[#This Row],[Unit 3]])</f>
        <v>0</v>
      </c>
      <c r="CX53" s="155">
        <f ca="1">TblMili[[#This Row],[Adept-DP]]*2</f>
        <v>0</v>
      </c>
      <c r="CY53" s="94">
        <f ca="1">dark_elf*(TblMili[[#This Row],[Adept bonus]]*TblMili[[#This Row],[Unit 3]])</f>
        <v>0</v>
      </c>
      <c r="CZ53" s="155">
        <f ca="1">TblMili[[#This Row],[Frost Mage]]*2</f>
        <v>5.9999999999999991</v>
      </c>
      <c r="DA53" s="155">
        <f ca="1">TblMili[[#This Row],[Ice Elemental]]*2</f>
        <v>0</v>
      </c>
      <c r="DB53" s="94">
        <f ca="1">TblMili[[#This Row],[Frost Mage bonus]]*TblMili[[#This Row],[Unit 3]]+TblMili[[#This Row],[Ice Elemental bonus]]*TblMili[[#This Row],[Unit 4]]</f>
        <v>0</v>
      </c>
      <c r="DC53" s="253"/>
      <c r="DD53" s="143">
        <f ca="1">MIN(SUM(TblConstr[[#This Row],[Plain]:[Water]])/TblMili[[#This Row],[Land]]/favorable_terrain_bonus/100,favorable_terrain_max)</f>
        <v>0</v>
      </c>
      <c r="DE53" s="253"/>
      <c r="DF5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3" s="142"/>
      <c r="DH53" s="254">
        <f ca="1">(TblMili[[#This Row],[Wizards]]+2*TblMili[[#This Row],[Archmages]])/TblConstr[[#This Row],[Land]]</f>
        <v>0</v>
      </c>
      <c r="DI53" s="254">
        <f ca="1">TblMili[[#This Row],[Raw (2)]]*(1+race_wizard_strength+IF(TblMili[[#This Row],[Hour]]&gt;72,tech_magical_weaponry_wiz*TblTech[[#This Row],[3-5]],0))</f>
        <v>0</v>
      </c>
    </row>
    <row r="54" spans="1:113" x14ac:dyDescent="0.2">
      <c r="A54" s="137">
        <f>TblRezone[[#This Row],[Hour]]</f>
        <v>51</v>
      </c>
      <c r="B54" s="246">
        <f ca="1">SUM(TblMili[[#This Row],[Unit 1]:[Archmages]])+SUM(OFFSET(TblMili[[#This Row],[Train Unit 1]],-8,0):TblMili[[#This Row],[Train Unit 2]]) + SUM(OFFSET(TblMili[[#This Row],[Train Unit 3]],-11,0):TblMili[[#This Row],[Train AM]]) + TblMili[[#This Row],[Draftees]]</f>
        <v>483</v>
      </c>
      <c r="C54" s="157">
        <f ca="1">TblPop[[#This Row],[Military%]]</f>
        <v>0.62808842652795838</v>
      </c>
      <c r="D54" s="142"/>
      <c r="E54" s="45">
        <f ca="1">OFFSET(TblMili[[#This Row],[Unit 1]],-1,0) + OFFSET(TblMili[[#This Row],[Train Unit 1]],-9,0) - TblMili[[#This Row],[Release Unit 1]] + OFFSET(TblMili[[#This Row],[DnD_Zombies]],-12,0)</f>
        <v>0</v>
      </c>
      <c r="F54" s="45">
        <f ca="1">OFFSET(TblMili[[#This Row],[Unit 2]],-1,0) + OFFSET(TblMili[[#This Row],[Train Unit 2]],-9,0)-TblMili[[#This Row],[Release Unit 2]]</f>
        <v>0</v>
      </c>
      <c r="G54" s="45">
        <f ca="1">OFFSET(TblMili[[#This Row],[Unit 3]],-1,0) + OFFSET(TblMili[[#This Row],[Train Unit 3]],-12,0)-TblMili[[#This Row],[Release Unit 3]]</f>
        <v>0</v>
      </c>
      <c r="H54" s="45">
        <f ca="1">OFFSET(TblMili[[#This Row],[Unit 4]],-1,0) + OFFSET(TblMili[[#This Row],[Train Unit 4]],-12,0)-TblMili[[#This Row],[Release Unit 4]]</f>
        <v>0</v>
      </c>
      <c r="I54" s="45">
        <f ca="1">OFFSET(TblMili[[#This Row],[Spies]],-1,0) + OFFSET(TblMili[[#This Row],[Train Spies]],-12,0) - TblMili[[#This Row],[Release Spies]]-TblMili[[#This Row],[Train AS]]</f>
        <v>0</v>
      </c>
      <c r="J54" s="45">
        <f ca="1">OFFSET(TblMili[[#This Row],[Archspies]],-1,0) + OFFSET(TblMili[[#This Row],[Train AS]],-12,0) - TblMili[[#This Row],[Release AS]]</f>
        <v>0</v>
      </c>
      <c r="K54" s="45">
        <f ca="1">OFFSET(TblMili[[#This Row],[Wizards]],-1,0) + OFFSET(TblMili[[#This Row],[Train Wiz]],-12,0) - TblMili[[#This Row],[Release Wizards]]-TblMili[[#This Row],[Train AM]] + IF(TblMagic[[#This Row],[Active Arc Infusion]]&gt;0,TblMili[[#This Row],[Train AM]])</f>
        <v>0</v>
      </c>
      <c r="L54" s="45">
        <f ca="1">OFFSET(TblMili[[#This Row],[Archmages]],-1,0) + OFFSET(TblMili[[#This Row],[Train AM]],-12,0) - TblMili[[#This Row],[Release AM]]</f>
        <v>0</v>
      </c>
      <c r="M54" s="142"/>
      <c r="N54" s="94">
        <f ca="1">TblProd[[#This Row],[Networth]]</f>
        <v>1250</v>
      </c>
      <c r="O54" s="142"/>
      <c r="P54"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5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4" s="247">
        <f ca="1">TblMili[[#This Row],[Raw]]*(1+TblMili[[#This Row],[Mods_Off]])</f>
        <v>0</v>
      </c>
      <c r="S54"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54" s="247">
        <f ca="1">TblMili[[#This Row],[Non Draft]]+TblMili[[#This Row],[Draftees]]</f>
        <v>483</v>
      </c>
      <c r="U54" s="248">
        <f ca="1">race_defense + TblImps[[#This Row],[Walls]] + ROUND( MIN(gt_bonus*TblConstr[[#This Row],[Tot GT]]/TblConstr[[#This Row],[Land]],gt_bonus_cap), 4) + IF(TblMagic[[#This Row],[Active Howling]]&gt;0,howling_dp_bonus,IF(TblMagic[[#This Row],[Active Ares Call]]&gt;0,ares_call_bonus))</f>
        <v>0</v>
      </c>
      <c r="V54" s="249">
        <f ca="1">TblMili[[#This Row],[Non Draft]] * (1 + TblMili[[#This Row],[Mods_Def]])</f>
        <v>0</v>
      </c>
      <c r="W54" s="247">
        <f ca="1">TblMili[[#This Row],[Draft]] * (1 + TblMili[[#This Row],[Mods_Def]])</f>
        <v>483</v>
      </c>
      <c r="X54" s="247">
        <f ca="1">TblConstr[[#This Row],[Land]]</f>
        <v>50</v>
      </c>
      <c r="Y54" s="250"/>
      <c r="Z54" s="255">
        <f ca="1">IF(TblMili[[#This Row],[Set]]&lt;&gt;"",TblMili[[#This Row],[Set]],OFFSET(TblMili[[#This Row],[Draftrate]],-1,0))</f>
        <v>0.9</v>
      </c>
      <c r="AA54"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483</v>
      </c>
      <c r="AB54" s="154"/>
      <c r="AC54" s="180">
        <f ca="1">(TblConstr[[#This Row],[Tot Smi]]+TblConstr[[#This Row],[Dest Smi]])/(TblConstr[[#This Row],[Land]]-TblExplore[[#This Row],[Land Bonus]]*20)</f>
        <v>0</v>
      </c>
      <c r="AD54" s="137"/>
      <c r="AE54" s="246">
        <f>TblMili[[#This Row],[Hour]]</f>
        <v>51</v>
      </c>
      <c r="AF54" s="138">
        <f ca="1">TblExplore[[#This Row],[Time]]</f>
        <v>46322.083333333212</v>
      </c>
      <c r="AG54" s="179"/>
      <c r="AH54" s="179"/>
      <c r="AI54" s="179"/>
      <c r="AJ54" s="179"/>
      <c r="AK54" s="179"/>
      <c r="AL54" s="179"/>
      <c r="AM54" s="179"/>
      <c r="AN54" s="179"/>
      <c r="AO54" s="420">
        <f ca="1">ROUND(IF(AND(TblMagic[[#This Row],[Active DnD]]&lt;12,TblMagic[[#This Row],[Active DnD]]&gt;5),OFFSET(TblPop[[#This Row],[Draft Growth]],-1,0)*0.375,0),0)</f>
        <v>0</v>
      </c>
      <c r="AP54" s="142"/>
      <c r="AQ54" s="94">
        <f ca="1">TblProd[[#This Row],[Platinum]]</f>
        <v>170115</v>
      </c>
      <c r="AR54" s="94">
        <f ca="1">INDEX(TblProd[[#Headers],[Lumber]]:TblProd[[#This Row],[Ore]],COUNTA(TblProd[[#Headers],[Lumber]]:TblProd[[#This Row],[Lumber]]),MATCH(Military!$AR$2,TblProd[[#Headers],[Lumber]:[Ore]],0))</f>
        <v>0</v>
      </c>
      <c r="AS5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54" s="94">
        <f ca="1">TblMili[[#This Row],[Train Unit 1]]*TblMili[[#This Row],[OP Ore]]+TblMili[[#This Row],[Train Unit 2]]*TblMili[[#This Row],[DP Ore]]+TblMili[[#This Row],[Train Unit 3]]*TblMili[[#This Row],[E1 Ore]]+TblMili[[#This Row],[Train Unit 4]]*TblMili[[#This Row],[E2 Ore]]</f>
        <v>0</v>
      </c>
      <c r="AU54" s="142">
        <f>TblMili[[#This Row],[Hour]]</f>
        <v>51</v>
      </c>
      <c r="AV54" s="152">
        <f ca="1">TblMili[[#This Row],[Time]]</f>
        <v>46322.083333333212</v>
      </c>
      <c r="AW54" s="94">
        <f ca="1">TblMili[[#This Row],[Draftees]]</f>
        <v>483</v>
      </c>
      <c r="AX54" s="179"/>
      <c r="AY54" s="179"/>
      <c r="AZ54" s="179"/>
      <c r="BA54" s="179"/>
      <c r="BB54" s="179"/>
      <c r="BC54" s="179"/>
      <c r="BD54" s="179"/>
      <c r="BE54" s="179"/>
      <c r="BF54" s="179"/>
      <c r="BG54" s="142"/>
      <c r="BH54" s="157">
        <f ca="1">TblConstr[[#This Row],[Tot WG]]/TblConstr[[#This Row],[Land]]</f>
        <v>0</v>
      </c>
      <c r="BI54" s="157">
        <f ca="1">TblConstr[[#This Row],[Tot Hav]]/TblConstr[[#This Row],[Land]]</f>
        <v>0</v>
      </c>
      <c r="BJ54" s="94">
        <f ca="1">ROUNDUP((1-MIN(TblMili[[#This Row],[Smithies]]*smithy_bonus,smithy_bonus_cap) + tech_3_5*TblTech[[#This Row],[3-5]] + tech_5_3*TblTech[[#This Row],[5-3]] + tech_5_5*TblTech[[#This Row],[5-5]])*spec_op_plat,0)</f>
        <v>315</v>
      </c>
      <c r="BK54" s="94">
        <f ca="1">ROUNDUP(IF(race="Gnome",1,(1-MIN(TblMili[[#This Row],[Smithies]]*smithy_bonus,smithy_bonus_cap) + tech_3_5*TblTech[[#This Row],[3-5]] + tech_5_3*TblTech[[#This Row],[5-3]] + tech_5_5*TblTech[[#This Row],[5-5]]))*spec_op_ore,0)</f>
        <v>25</v>
      </c>
      <c r="BL54" s="94">
        <f ca="1">ROUNDUP((1-MIN(TblMili[[#This Row],[Smithies]]*smithy_bonus,smithy_bonus_cap) + tech_3_5*TblTech[[#This Row],[3-5]] + tech_5_3*TblTech[[#This Row],[5-3]] + tech_5_5*TblTech[[#This Row],[5-5]])*spec_dp_plat,0)</f>
        <v>275</v>
      </c>
      <c r="BM54" s="94">
        <f ca="1">ROUNDUP(IF(race="Gnome",1,(1-MIN(TblMili[[#This Row],[Smithies]]*smithy_bonus,smithy_bonus_cap) + tech_3_5*TblTech[[#This Row],[3-5]] + tech_5_3*TblTech[[#This Row],[5-3]] + tech_5_5*TblTech[[#This Row],[5-5]]))*spec_dp_ore,0)</f>
        <v>15</v>
      </c>
      <c r="BN54" s="94">
        <f ca="1">ROUNDUP((1-MIN(TblMili[[#This Row],[Smithies]]*smithy_bonus,smithy_bonus_cap) + tech_3_5*TblTech[[#This Row],[3-5]] + tech_5_3*TblTech[[#This Row],[5-3]] + tech_5_5*TblTech[[#This Row],[5-5]])*elite1_plat,0)</f>
        <v>1040</v>
      </c>
      <c r="BO54" s="94">
        <f ca="1">ROUNDUP(IF(race="Gnome",1,(1-MIN(TblMili[[#This Row],[Smithies]]*smithy_bonus,smithy_bonus_cap) + tech_3_5*TblTech[[#This Row],[3-5]] + tech_5_3*TblTech[[#This Row],[5-3]] + tech_5_5*TblTech[[#This Row],[5-5]]))*elite1_ore,0)</f>
        <v>75</v>
      </c>
      <c r="BP54" s="94">
        <f ca="1">ROUNDUP((1-MIN(TblMili[[#This Row],[Smithies]]*smithy_bonus,smithy_bonus_cap) + tech_3_5*TblTech[[#This Row],[3-5]] + tech_5_3*TblTech[[#This Row],[5-3]] + tech_5_5*TblTech[[#This Row],[5-5]])*elite2_plat,0)</f>
        <v>1280</v>
      </c>
      <c r="BQ54" s="94">
        <f ca="1">ROUNDUP(IF(race="Gnome",1,(1-MIN(TblMili[[#This Row],[Smithies]]*smithy_bonus,smithy_bonus_cap) + tech_3_5*TblTech[[#This Row],[3-5]] + tech_5_3*TblTech[[#This Row],[5-3]] + tech_5_5*TblTech[[#This Row],[5-5]]))*elite2_ore,0)</f>
        <v>100</v>
      </c>
      <c r="BR54" s="94">
        <f ca="1">ROUNDUP((1-MIN(ROUND(fh_spy_cost_red*TblMili[[#This Row],[FH''s]],4),fh_spy_cost_cap)+ tech_1_9*TblTech[[#This Row],[1-9]] + tech_9_1*TblTech[[#This Row],[9-1]])*spy_plat,0)</f>
        <v>500</v>
      </c>
      <c r="BS54" s="94">
        <f ca="1">ROUNDUP((1-MIN(ROUND(fh_spy_cost_red*TblMili[[#This Row],[FH''s]],4),fh_spy_cost_cap)+ tech_1_9*TblTech[[#This Row],[1-9]] + tech_9_1*TblTech[[#This Row],[9-1]])*archspy_plat,0)</f>
        <v>1000</v>
      </c>
      <c r="BT54" s="94">
        <f ca="1">ROUNDUP((1-MIN(ROUND(wg_wiz_cost_bonus*TblMili[[#This Row],[WG''s]],4),wg_wiz_cost_cap) + tech_1_9_2*TblTech[[#This Row],[1-9]] + tech_9_1_2*TblTech[[#This Row],[9-1]])*wizard_plat,0)</f>
        <v>500</v>
      </c>
      <c r="BU54" s="94">
        <f ca="1">ROUNDUP((1-MIN(ROUND(wg_wiz_cost_bonus*TblMili[[#This Row],[WG''s]],4),wg_wiz_cost_cap) + tech_1_9_2*TblTech[[#This Row],[1-9]] + tech_9_1_2*TblTech[[#This Row],[9-1]])*(archmage_plat + IF(TblMagic[[#This Row],[Active Arc Infusion]]&gt;0,400,0)),0)</f>
        <v>1000</v>
      </c>
      <c r="BV54" s="142"/>
      <c r="BW54" s="157">
        <f ca="1">TblConstr[[#This Row],[Homeland]]/TblConstr[[#This Row],[Land]]</f>
        <v>0.6</v>
      </c>
      <c r="BX54" s="157">
        <f ca="1">TblMili[[#This Row],[WG''s]]</f>
        <v>0</v>
      </c>
      <c r="BY54" s="251">
        <f ca="1">IF(mystic_cap="none",TblMili[[#This Row],[Homeland%]]/mystic_bonus,MIN(mystic_cap,TblMili[[#This Row],[Homeland%]]/mystic_bonus))</f>
        <v>2</v>
      </c>
      <c r="BZ54" s="251">
        <f ca="1">IF(druid_op_cap="none",TblMili[[#This Row],[Homeland%]]/druid_op_bonus,MIN(druid_op_cap,TblMili[[#This Row],[Homeland%]]/druid_op_bonus))</f>
        <v>2</v>
      </c>
      <c r="CA54" s="251">
        <f ca="1">IF(druid_dp_cap="none",TblMili[[#This Row],[Homeland%]]/druid_dp_bonus,MIN(druid_dp_cap,TblMili[[#This Row],[Homeland%]]/druid_dp_bonus))</f>
        <v>2</v>
      </c>
      <c r="CB54" s="251">
        <f ca="1">MIN(dryad_cap,TblMili[[#This Row],[Homeland%]]/dryad_bonus)</f>
        <v>2.9999999999999996</v>
      </c>
      <c r="CC54" s="251">
        <f ca="1">MIN(rocka_cap,TblMili[[#This Row],[Homeland%]]/rocka_bonus)</f>
        <v>2</v>
      </c>
      <c r="CD54" s="251">
        <f ca="1">MIN(adept_op_cap,TblMili[[#This Row],[WG]]/adept_op_bonus)</f>
        <v>0</v>
      </c>
      <c r="CE54" s="251">
        <f ca="1">MIN(adept_dp_cap,TblMili[[#This Row],[WG]]/adept_dp_bonus)</f>
        <v>0</v>
      </c>
      <c r="CF54" s="94">
        <f ca="1">MIN(TblMili[[#This Row],[Unit 3]],TblMili[[#This Row],[Unit 2]])*2</f>
        <v>0</v>
      </c>
      <c r="CG54" s="94">
        <f ca="1">MIN(TblMili[[#This Row],[Unit 1]],TblMili[[#This Row],[Unit 4]])*2</f>
        <v>0</v>
      </c>
      <c r="CH54" s="251">
        <f ca="1">MIN(frost_mage_cap,TblMili[[#This Row],[Homeland%]]/frost_mage_bonus)</f>
        <v>2.9999999999999996</v>
      </c>
      <c r="CI54" s="45">
        <f ca="1">MIN(ice_elem_cap,TblMili[[#This Row],[Raw (2)]]*ice_elem_bonus)</f>
        <v>0</v>
      </c>
      <c r="CJ54" s="251">
        <f t="shared" si="2"/>
        <v>0.83333333333333337</v>
      </c>
      <c r="CK54" s="251">
        <f ca="1">MIN(nox_nightshade_cap,TblConstr[[#This Row],[Homeland]]/TblConstr[[#This Row],[Land]]/nox_nightshade_swamp_bonus)</f>
        <v>4</v>
      </c>
      <c r="CL54" s="251">
        <f ca="1">MIN(TblConstr[[#This Row],[Total Swamp]]/TblConstr[[#This Row],[Land]]/abyss_enforce_bonus,abyss_enforcer_cap)</f>
        <v>0</v>
      </c>
      <c r="CM54" s="251">
        <f ca="1">IF(TblMagic[[#This Row],[Active Infernal Command]]&gt;0,TblMili[[#This Row],[Unit 1]]*infernal_cmd_op,0)</f>
        <v>0</v>
      </c>
      <c r="CN54" s="252"/>
      <c r="CO54" s="252"/>
      <c r="CP54" s="252"/>
      <c r="CQ54" s="251">
        <f ca="1">TblMili[[#This Row],[Mystic]]*2</f>
        <v>4</v>
      </c>
      <c r="CR54" s="251">
        <f ca="1">TblMili[[#This Row],[Druid (op)]]*2</f>
        <v>4</v>
      </c>
      <c r="CS54" s="94">
        <f ca="1">TblMili[[#This Row],[Mystic bonus]]*TblMili[[#This Row],[Unit 3]]+TblMili[[#This Row],[Druid bonus]]*TblMili[[#This Row],[Unit 4]]</f>
        <v>0</v>
      </c>
      <c r="CT54" s="155">
        <f ca="1">TblMili[[#This Row],[Dryad]]*2</f>
        <v>5.9999999999999991</v>
      </c>
      <c r="CU54" s="94">
        <f ca="1">sylvan*(TblMili[[#This Row],[Mystic bonus]]*TblMili[[#This Row],[Unit 3]])</f>
        <v>0</v>
      </c>
      <c r="CV54" s="155">
        <f ca="1">TblMili[[#This Row],[Rockapult]]*2</f>
        <v>4</v>
      </c>
      <c r="CW54" s="94">
        <f ca="1">gnome*(TblMili[[#This Row],[Rockapult bonus]]*TblMili[[#This Row],[Unit 3]])</f>
        <v>0</v>
      </c>
      <c r="CX54" s="155">
        <f ca="1">TblMili[[#This Row],[Adept-DP]]*2</f>
        <v>0</v>
      </c>
      <c r="CY54" s="94">
        <f ca="1">dark_elf*(TblMili[[#This Row],[Adept bonus]]*TblMili[[#This Row],[Unit 3]])</f>
        <v>0</v>
      </c>
      <c r="CZ54" s="155">
        <f ca="1">TblMili[[#This Row],[Frost Mage]]*2</f>
        <v>5.9999999999999991</v>
      </c>
      <c r="DA54" s="155">
        <f ca="1">TblMili[[#This Row],[Ice Elemental]]*2</f>
        <v>0</v>
      </c>
      <c r="DB54" s="94">
        <f ca="1">TblMili[[#This Row],[Frost Mage bonus]]*TblMili[[#This Row],[Unit 3]]+TblMili[[#This Row],[Ice Elemental bonus]]*TblMili[[#This Row],[Unit 4]]</f>
        <v>0</v>
      </c>
      <c r="DC54" s="253"/>
      <c r="DD54" s="143">
        <f ca="1">MIN(SUM(TblConstr[[#This Row],[Plain]:[Water]])/TblMili[[#This Row],[Land]]/favorable_terrain_bonus/100,favorable_terrain_max)</f>
        <v>0</v>
      </c>
      <c r="DE54" s="253"/>
      <c r="DF5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4" s="142"/>
      <c r="DH54" s="254">
        <f ca="1">(TblMili[[#This Row],[Wizards]]+2*TblMili[[#This Row],[Archmages]])/TblConstr[[#This Row],[Land]]</f>
        <v>0</v>
      </c>
      <c r="DI54" s="254">
        <f ca="1">TblMili[[#This Row],[Raw (2)]]*(1+race_wizard_strength+IF(TblMili[[#This Row],[Hour]]&gt;72,tech_magical_weaponry_wiz*TblTech[[#This Row],[3-5]],0))</f>
        <v>0</v>
      </c>
    </row>
    <row r="55" spans="1:113" x14ac:dyDescent="0.2">
      <c r="A55" s="137">
        <f>TblRezone[[#This Row],[Hour]]</f>
        <v>52</v>
      </c>
      <c r="B55" s="246">
        <f ca="1">SUM(TblMili[[#This Row],[Unit 1]:[Archmages]])+SUM(OFFSET(TblMili[[#This Row],[Train Unit 1]],-8,0):TblMili[[#This Row],[Train Unit 2]]) + SUM(OFFSET(TblMili[[#This Row],[Train Unit 3]],-11,0):TblMili[[#This Row],[Train AM]]) + TblMili[[#This Row],[Draftees]]</f>
        <v>486</v>
      </c>
      <c r="C55" s="157">
        <f ca="1">TblPop[[#This Row],[Military%]]</f>
        <v>0.63198959687906375</v>
      </c>
      <c r="D55" s="142"/>
      <c r="E55" s="45">
        <f ca="1">OFFSET(TblMili[[#This Row],[Unit 1]],-1,0) + OFFSET(TblMili[[#This Row],[Train Unit 1]],-9,0) - TblMili[[#This Row],[Release Unit 1]] + OFFSET(TblMili[[#This Row],[DnD_Zombies]],-12,0)</f>
        <v>0</v>
      </c>
      <c r="F55" s="45">
        <f ca="1">OFFSET(TblMili[[#This Row],[Unit 2]],-1,0) + OFFSET(TblMili[[#This Row],[Train Unit 2]],-9,0)-TblMili[[#This Row],[Release Unit 2]]</f>
        <v>0</v>
      </c>
      <c r="G55" s="45">
        <f ca="1">OFFSET(TblMili[[#This Row],[Unit 3]],-1,0) + OFFSET(TblMili[[#This Row],[Train Unit 3]],-12,0)-TblMili[[#This Row],[Release Unit 3]]</f>
        <v>0</v>
      </c>
      <c r="H55" s="45">
        <f ca="1">OFFSET(TblMili[[#This Row],[Unit 4]],-1,0) + OFFSET(TblMili[[#This Row],[Train Unit 4]],-12,0)-TblMili[[#This Row],[Release Unit 4]]</f>
        <v>0</v>
      </c>
      <c r="I55" s="45">
        <f ca="1">OFFSET(TblMili[[#This Row],[Spies]],-1,0) + OFFSET(TblMili[[#This Row],[Train Spies]],-12,0) - TblMili[[#This Row],[Release Spies]]-TblMili[[#This Row],[Train AS]]</f>
        <v>0</v>
      </c>
      <c r="J55" s="45">
        <f ca="1">OFFSET(TblMili[[#This Row],[Archspies]],-1,0) + OFFSET(TblMili[[#This Row],[Train AS]],-12,0) - TblMili[[#This Row],[Release AS]]</f>
        <v>0</v>
      </c>
      <c r="K55" s="45">
        <f ca="1">OFFSET(TblMili[[#This Row],[Wizards]],-1,0) + OFFSET(TblMili[[#This Row],[Train Wiz]],-12,0) - TblMili[[#This Row],[Release Wizards]]-TblMili[[#This Row],[Train AM]] + IF(TblMagic[[#This Row],[Active Arc Infusion]]&gt;0,TblMili[[#This Row],[Train AM]])</f>
        <v>0</v>
      </c>
      <c r="L55" s="45">
        <f ca="1">OFFSET(TblMili[[#This Row],[Archmages]],-1,0) + OFFSET(TblMili[[#This Row],[Train AM]],-12,0) - TblMili[[#This Row],[Release AM]]</f>
        <v>0</v>
      </c>
      <c r="M55" s="142"/>
      <c r="N55" s="94">
        <f ca="1">TblProd[[#This Row],[Networth]]</f>
        <v>1250</v>
      </c>
      <c r="O55" s="142"/>
      <c r="P55"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5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5" s="247">
        <f ca="1">TblMili[[#This Row],[Raw]]*(1+TblMili[[#This Row],[Mods_Off]])</f>
        <v>0</v>
      </c>
      <c r="S55"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55" s="247">
        <f ca="1">TblMili[[#This Row],[Non Draft]]+TblMili[[#This Row],[Draftees]]</f>
        <v>486</v>
      </c>
      <c r="U55" s="248">
        <f ca="1">race_defense + TblImps[[#This Row],[Walls]] + ROUND( MIN(gt_bonus*TblConstr[[#This Row],[Tot GT]]/TblConstr[[#This Row],[Land]],gt_bonus_cap), 4) + IF(TblMagic[[#This Row],[Active Howling]]&gt;0,howling_dp_bonus,IF(TblMagic[[#This Row],[Active Ares Call]]&gt;0,ares_call_bonus))</f>
        <v>0</v>
      </c>
      <c r="V55" s="249">
        <f ca="1">TblMili[[#This Row],[Non Draft]] * (1 + TblMili[[#This Row],[Mods_Def]])</f>
        <v>0</v>
      </c>
      <c r="W55" s="247">
        <f ca="1">TblMili[[#This Row],[Draft]] * (1 + TblMili[[#This Row],[Mods_Def]])</f>
        <v>486</v>
      </c>
      <c r="X55" s="247">
        <f ca="1">TblConstr[[#This Row],[Land]]</f>
        <v>50</v>
      </c>
      <c r="Y55" s="250"/>
      <c r="Z55" s="255">
        <f ca="1">IF(TblMili[[#This Row],[Set]]&lt;&gt;"",TblMili[[#This Row],[Set]],OFFSET(TblMili[[#This Row],[Draftrate]],-1,0))</f>
        <v>0.9</v>
      </c>
      <c r="AA55"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486</v>
      </c>
      <c r="AB55" s="154"/>
      <c r="AC55" s="180">
        <f ca="1">(TblConstr[[#This Row],[Tot Smi]]+TblConstr[[#This Row],[Dest Smi]])/(TblConstr[[#This Row],[Land]]-TblExplore[[#This Row],[Land Bonus]]*20)</f>
        <v>0</v>
      </c>
      <c r="AD55" s="137"/>
      <c r="AE55" s="246">
        <f>TblMili[[#This Row],[Hour]]</f>
        <v>52</v>
      </c>
      <c r="AF55" s="138">
        <f ca="1">TblExplore[[#This Row],[Time]]</f>
        <v>46322.124999999876</v>
      </c>
      <c r="AG55" s="179"/>
      <c r="AH55" s="179"/>
      <c r="AI55" s="179"/>
      <c r="AJ55" s="179"/>
      <c r="AK55" s="179"/>
      <c r="AL55" s="179"/>
      <c r="AM55" s="179"/>
      <c r="AN55" s="179"/>
      <c r="AO55" s="420">
        <f ca="1">ROUND(IF(AND(TblMagic[[#This Row],[Active DnD]]&lt;12,TblMagic[[#This Row],[Active DnD]]&gt;5),OFFSET(TblPop[[#This Row],[Draft Growth]],-1,0)*0.375,0),0)</f>
        <v>0</v>
      </c>
      <c r="AP55" s="142"/>
      <c r="AQ55" s="94">
        <f ca="1">TblProd[[#This Row],[Platinum]]</f>
        <v>170887</v>
      </c>
      <c r="AR55" s="94">
        <f ca="1">INDEX(TblProd[[#Headers],[Lumber]]:TblProd[[#This Row],[Ore]],COUNTA(TblProd[[#Headers],[Lumber]]:TblProd[[#This Row],[Lumber]]),MATCH(Military!$AR$2,TblProd[[#Headers],[Lumber]:[Ore]],0))</f>
        <v>0</v>
      </c>
      <c r="AS5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55" s="94">
        <f ca="1">TblMili[[#This Row],[Train Unit 1]]*TblMili[[#This Row],[OP Ore]]+TblMili[[#This Row],[Train Unit 2]]*TblMili[[#This Row],[DP Ore]]+TblMili[[#This Row],[Train Unit 3]]*TblMili[[#This Row],[E1 Ore]]+TblMili[[#This Row],[Train Unit 4]]*TblMili[[#This Row],[E2 Ore]]</f>
        <v>0</v>
      </c>
      <c r="AU55" s="142">
        <f>TblMili[[#This Row],[Hour]]</f>
        <v>52</v>
      </c>
      <c r="AV55" s="152">
        <f ca="1">TblMili[[#This Row],[Time]]</f>
        <v>46322.124999999876</v>
      </c>
      <c r="AW55" s="94">
        <f ca="1">TblMili[[#This Row],[Draftees]]</f>
        <v>486</v>
      </c>
      <c r="AX55" s="179"/>
      <c r="AY55" s="179"/>
      <c r="AZ55" s="179"/>
      <c r="BA55" s="179"/>
      <c r="BB55" s="179"/>
      <c r="BC55" s="179"/>
      <c r="BD55" s="179"/>
      <c r="BE55" s="179"/>
      <c r="BF55" s="179"/>
      <c r="BG55" s="142"/>
      <c r="BH55" s="157">
        <f ca="1">TblConstr[[#This Row],[Tot WG]]/TblConstr[[#This Row],[Land]]</f>
        <v>0</v>
      </c>
      <c r="BI55" s="157">
        <f ca="1">TblConstr[[#This Row],[Tot Hav]]/TblConstr[[#This Row],[Land]]</f>
        <v>0</v>
      </c>
      <c r="BJ55" s="94">
        <f ca="1">ROUNDUP((1-MIN(TblMili[[#This Row],[Smithies]]*smithy_bonus,smithy_bonus_cap) + tech_3_5*TblTech[[#This Row],[3-5]] + tech_5_3*TblTech[[#This Row],[5-3]] + tech_5_5*TblTech[[#This Row],[5-5]])*spec_op_plat,0)</f>
        <v>315</v>
      </c>
      <c r="BK55" s="94">
        <f ca="1">ROUNDUP(IF(race="Gnome",1,(1-MIN(TblMili[[#This Row],[Smithies]]*smithy_bonus,smithy_bonus_cap) + tech_3_5*TblTech[[#This Row],[3-5]] + tech_5_3*TblTech[[#This Row],[5-3]] + tech_5_5*TblTech[[#This Row],[5-5]]))*spec_op_ore,0)</f>
        <v>25</v>
      </c>
      <c r="BL55" s="94">
        <f ca="1">ROUNDUP((1-MIN(TblMili[[#This Row],[Smithies]]*smithy_bonus,smithy_bonus_cap) + tech_3_5*TblTech[[#This Row],[3-5]] + tech_5_3*TblTech[[#This Row],[5-3]] + tech_5_5*TblTech[[#This Row],[5-5]])*spec_dp_plat,0)</f>
        <v>275</v>
      </c>
      <c r="BM55" s="94">
        <f ca="1">ROUNDUP(IF(race="Gnome",1,(1-MIN(TblMili[[#This Row],[Smithies]]*smithy_bonus,smithy_bonus_cap) + tech_3_5*TblTech[[#This Row],[3-5]] + tech_5_3*TblTech[[#This Row],[5-3]] + tech_5_5*TblTech[[#This Row],[5-5]]))*spec_dp_ore,0)</f>
        <v>15</v>
      </c>
      <c r="BN55" s="94">
        <f ca="1">ROUNDUP((1-MIN(TblMili[[#This Row],[Smithies]]*smithy_bonus,smithy_bonus_cap) + tech_3_5*TblTech[[#This Row],[3-5]] + tech_5_3*TblTech[[#This Row],[5-3]] + tech_5_5*TblTech[[#This Row],[5-5]])*elite1_plat,0)</f>
        <v>1040</v>
      </c>
      <c r="BO55" s="94">
        <f ca="1">ROUNDUP(IF(race="Gnome",1,(1-MIN(TblMili[[#This Row],[Smithies]]*smithy_bonus,smithy_bonus_cap) + tech_3_5*TblTech[[#This Row],[3-5]] + tech_5_3*TblTech[[#This Row],[5-3]] + tech_5_5*TblTech[[#This Row],[5-5]]))*elite1_ore,0)</f>
        <v>75</v>
      </c>
      <c r="BP55" s="94">
        <f ca="1">ROUNDUP((1-MIN(TblMili[[#This Row],[Smithies]]*smithy_bonus,smithy_bonus_cap) + tech_3_5*TblTech[[#This Row],[3-5]] + tech_5_3*TblTech[[#This Row],[5-3]] + tech_5_5*TblTech[[#This Row],[5-5]])*elite2_plat,0)</f>
        <v>1280</v>
      </c>
      <c r="BQ55" s="94">
        <f ca="1">ROUNDUP(IF(race="Gnome",1,(1-MIN(TblMili[[#This Row],[Smithies]]*smithy_bonus,smithy_bonus_cap) + tech_3_5*TblTech[[#This Row],[3-5]] + tech_5_3*TblTech[[#This Row],[5-3]] + tech_5_5*TblTech[[#This Row],[5-5]]))*elite2_ore,0)</f>
        <v>100</v>
      </c>
      <c r="BR55" s="94">
        <f ca="1">ROUNDUP((1-MIN(ROUND(fh_spy_cost_red*TblMili[[#This Row],[FH''s]],4),fh_spy_cost_cap)+ tech_1_9*TblTech[[#This Row],[1-9]] + tech_9_1*TblTech[[#This Row],[9-1]])*spy_plat,0)</f>
        <v>500</v>
      </c>
      <c r="BS55" s="94">
        <f ca="1">ROUNDUP((1-MIN(ROUND(fh_spy_cost_red*TblMili[[#This Row],[FH''s]],4),fh_spy_cost_cap)+ tech_1_9*TblTech[[#This Row],[1-9]] + tech_9_1*TblTech[[#This Row],[9-1]])*archspy_plat,0)</f>
        <v>1000</v>
      </c>
      <c r="BT55" s="94">
        <f ca="1">ROUNDUP((1-MIN(ROUND(wg_wiz_cost_bonus*TblMili[[#This Row],[WG''s]],4),wg_wiz_cost_cap) + tech_1_9_2*TblTech[[#This Row],[1-9]] + tech_9_1_2*TblTech[[#This Row],[9-1]])*wizard_plat,0)</f>
        <v>500</v>
      </c>
      <c r="BU55" s="94">
        <f ca="1">ROUNDUP((1-MIN(ROUND(wg_wiz_cost_bonus*TblMili[[#This Row],[WG''s]],4),wg_wiz_cost_cap) + tech_1_9_2*TblTech[[#This Row],[1-9]] + tech_9_1_2*TblTech[[#This Row],[9-1]])*(archmage_plat + IF(TblMagic[[#This Row],[Active Arc Infusion]]&gt;0,400,0)),0)</f>
        <v>1000</v>
      </c>
      <c r="BV55" s="142"/>
      <c r="BW55" s="157">
        <f ca="1">TblConstr[[#This Row],[Homeland]]/TblConstr[[#This Row],[Land]]</f>
        <v>0.6</v>
      </c>
      <c r="BX55" s="157">
        <f ca="1">TblMili[[#This Row],[WG''s]]</f>
        <v>0</v>
      </c>
      <c r="BY55" s="251">
        <f ca="1">IF(mystic_cap="none",TblMili[[#This Row],[Homeland%]]/mystic_bonus,MIN(mystic_cap,TblMili[[#This Row],[Homeland%]]/mystic_bonus))</f>
        <v>2</v>
      </c>
      <c r="BZ55" s="251">
        <f ca="1">IF(druid_op_cap="none",TblMili[[#This Row],[Homeland%]]/druid_op_bonus,MIN(druid_op_cap,TblMili[[#This Row],[Homeland%]]/druid_op_bonus))</f>
        <v>2</v>
      </c>
      <c r="CA55" s="251">
        <f ca="1">IF(druid_dp_cap="none",TblMili[[#This Row],[Homeland%]]/druid_dp_bonus,MIN(druid_dp_cap,TblMili[[#This Row],[Homeland%]]/druid_dp_bonus))</f>
        <v>2</v>
      </c>
      <c r="CB55" s="251">
        <f ca="1">MIN(dryad_cap,TblMili[[#This Row],[Homeland%]]/dryad_bonus)</f>
        <v>2.9999999999999996</v>
      </c>
      <c r="CC55" s="251">
        <f ca="1">MIN(rocka_cap,TblMili[[#This Row],[Homeland%]]/rocka_bonus)</f>
        <v>2</v>
      </c>
      <c r="CD55" s="251">
        <f ca="1">MIN(adept_op_cap,TblMili[[#This Row],[WG]]/adept_op_bonus)</f>
        <v>0</v>
      </c>
      <c r="CE55" s="251">
        <f ca="1">MIN(adept_dp_cap,TblMili[[#This Row],[WG]]/adept_dp_bonus)</f>
        <v>0</v>
      </c>
      <c r="CF55" s="94">
        <f ca="1">MIN(TblMili[[#This Row],[Unit 3]],TblMili[[#This Row],[Unit 2]])*2</f>
        <v>0</v>
      </c>
      <c r="CG55" s="94">
        <f ca="1">MIN(TblMili[[#This Row],[Unit 1]],TblMili[[#This Row],[Unit 4]])*2</f>
        <v>0</v>
      </c>
      <c r="CH55" s="251">
        <f ca="1">MIN(frost_mage_cap,TblMili[[#This Row],[Homeland%]]/frost_mage_bonus)</f>
        <v>2.9999999999999996</v>
      </c>
      <c r="CI55" s="45">
        <f ca="1">MIN(ice_elem_cap,TblMili[[#This Row],[Raw (2)]]*ice_elem_bonus)</f>
        <v>0</v>
      </c>
      <c r="CJ55" s="251">
        <f t="shared" si="2"/>
        <v>0.83333333333333337</v>
      </c>
      <c r="CK55" s="251">
        <f ca="1">MIN(nox_nightshade_cap,TblConstr[[#This Row],[Homeland]]/TblConstr[[#This Row],[Land]]/nox_nightshade_swamp_bonus)</f>
        <v>4</v>
      </c>
      <c r="CL55" s="251">
        <f ca="1">MIN(TblConstr[[#This Row],[Total Swamp]]/TblConstr[[#This Row],[Land]]/abyss_enforce_bonus,abyss_enforcer_cap)</f>
        <v>0</v>
      </c>
      <c r="CM55" s="251">
        <f ca="1">IF(TblMagic[[#This Row],[Active Infernal Command]]&gt;0,TblMili[[#This Row],[Unit 1]]*infernal_cmd_op,0)</f>
        <v>0</v>
      </c>
      <c r="CN55" s="252"/>
      <c r="CO55" s="252"/>
      <c r="CP55" s="252"/>
      <c r="CQ55" s="251">
        <f ca="1">TblMili[[#This Row],[Mystic]]*2</f>
        <v>4</v>
      </c>
      <c r="CR55" s="251">
        <f ca="1">TblMili[[#This Row],[Druid (op)]]*2</f>
        <v>4</v>
      </c>
      <c r="CS55" s="94">
        <f ca="1">TblMili[[#This Row],[Mystic bonus]]*TblMili[[#This Row],[Unit 3]]+TblMili[[#This Row],[Druid bonus]]*TblMili[[#This Row],[Unit 4]]</f>
        <v>0</v>
      </c>
      <c r="CT55" s="155">
        <f ca="1">TblMili[[#This Row],[Dryad]]*2</f>
        <v>5.9999999999999991</v>
      </c>
      <c r="CU55" s="94">
        <f ca="1">sylvan*(TblMili[[#This Row],[Mystic bonus]]*TblMili[[#This Row],[Unit 3]])</f>
        <v>0</v>
      </c>
      <c r="CV55" s="155">
        <f ca="1">TblMili[[#This Row],[Rockapult]]*2</f>
        <v>4</v>
      </c>
      <c r="CW55" s="94">
        <f ca="1">gnome*(TblMili[[#This Row],[Rockapult bonus]]*TblMili[[#This Row],[Unit 3]])</f>
        <v>0</v>
      </c>
      <c r="CX55" s="155">
        <f ca="1">TblMili[[#This Row],[Adept-DP]]*2</f>
        <v>0</v>
      </c>
      <c r="CY55" s="94">
        <f ca="1">dark_elf*(TblMili[[#This Row],[Adept bonus]]*TblMili[[#This Row],[Unit 3]])</f>
        <v>0</v>
      </c>
      <c r="CZ55" s="155">
        <f ca="1">TblMili[[#This Row],[Frost Mage]]*2</f>
        <v>5.9999999999999991</v>
      </c>
      <c r="DA55" s="155">
        <f ca="1">TblMili[[#This Row],[Ice Elemental]]*2</f>
        <v>0</v>
      </c>
      <c r="DB55" s="94">
        <f ca="1">TblMili[[#This Row],[Frost Mage bonus]]*TblMili[[#This Row],[Unit 3]]+TblMili[[#This Row],[Ice Elemental bonus]]*TblMili[[#This Row],[Unit 4]]</f>
        <v>0</v>
      </c>
      <c r="DC55" s="253"/>
      <c r="DD55" s="143">
        <f ca="1">MIN(SUM(TblConstr[[#This Row],[Plain]:[Water]])/TblMili[[#This Row],[Land]]/favorable_terrain_bonus/100,favorable_terrain_max)</f>
        <v>0</v>
      </c>
      <c r="DE55" s="253"/>
      <c r="DF5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5" s="142"/>
      <c r="DH55" s="254">
        <f ca="1">(TblMili[[#This Row],[Wizards]]+2*TblMili[[#This Row],[Archmages]])/TblConstr[[#This Row],[Land]]</f>
        <v>0</v>
      </c>
      <c r="DI55" s="254">
        <f ca="1">TblMili[[#This Row],[Raw (2)]]*(1+race_wizard_strength+IF(TblMili[[#This Row],[Hour]]&gt;72,tech_magical_weaponry_wiz*TblTech[[#This Row],[3-5]],0))</f>
        <v>0</v>
      </c>
    </row>
    <row r="56" spans="1:113" x14ac:dyDescent="0.2">
      <c r="A56" s="137">
        <f>TblRezone[[#This Row],[Hour]]</f>
        <v>53</v>
      </c>
      <c r="B56" s="246">
        <f ca="1">SUM(TblMili[[#This Row],[Unit 1]:[Archmages]])+SUM(OFFSET(TblMili[[#This Row],[Train Unit 1]],-8,0):TblMili[[#This Row],[Train Unit 2]]) + SUM(OFFSET(TblMili[[#This Row],[Train Unit 3]],-11,0):TblMili[[#This Row],[Train AM]]) + TblMili[[#This Row],[Draftees]]</f>
        <v>489</v>
      </c>
      <c r="C56" s="157">
        <f ca="1">TblPop[[#This Row],[Military%]]</f>
        <v>0.63589076723016902</v>
      </c>
      <c r="D56" s="142"/>
      <c r="E56" s="45">
        <f ca="1">OFFSET(TblMili[[#This Row],[Unit 1]],-1,0) + OFFSET(TblMili[[#This Row],[Train Unit 1]],-9,0) - TblMili[[#This Row],[Release Unit 1]] + OFFSET(TblMili[[#This Row],[DnD_Zombies]],-12,0)</f>
        <v>0</v>
      </c>
      <c r="F56" s="45">
        <f ca="1">OFFSET(TblMili[[#This Row],[Unit 2]],-1,0) + OFFSET(TblMili[[#This Row],[Train Unit 2]],-9,0)-TblMili[[#This Row],[Release Unit 2]]</f>
        <v>0</v>
      </c>
      <c r="G56" s="45">
        <f ca="1">OFFSET(TblMili[[#This Row],[Unit 3]],-1,0) + OFFSET(TblMili[[#This Row],[Train Unit 3]],-12,0)-TblMili[[#This Row],[Release Unit 3]]</f>
        <v>0</v>
      </c>
      <c r="H56" s="45">
        <f ca="1">OFFSET(TblMili[[#This Row],[Unit 4]],-1,0) + OFFSET(TblMili[[#This Row],[Train Unit 4]],-12,0)-TblMili[[#This Row],[Release Unit 4]]</f>
        <v>0</v>
      </c>
      <c r="I56" s="45">
        <f ca="1">OFFSET(TblMili[[#This Row],[Spies]],-1,0) + OFFSET(TblMili[[#This Row],[Train Spies]],-12,0) - TblMili[[#This Row],[Release Spies]]-TblMili[[#This Row],[Train AS]]</f>
        <v>0</v>
      </c>
      <c r="J56" s="45">
        <f ca="1">OFFSET(TblMili[[#This Row],[Archspies]],-1,0) + OFFSET(TblMili[[#This Row],[Train AS]],-12,0) - TblMili[[#This Row],[Release AS]]</f>
        <v>0</v>
      </c>
      <c r="K56" s="45">
        <f ca="1">OFFSET(TblMili[[#This Row],[Wizards]],-1,0) + OFFSET(TblMili[[#This Row],[Train Wiz]],-12,0) - TblMili[[#This Row],[Release Wizards]]-TblMili[[#This Row],[Train AM]] + IF(TblMagic[[#This Row],[Active Arc Infusion]]&gt;0,TblMili[[#This Row],[Train AM]])</f>
        <v>0</v>
      </c>
      <c r="L56" s="45">
        <f ca="1">OFFSET(TblMili[[#This Row],[Archmages]],-1,0) + OFFSET(TblMili[[#This Row],[Train AM]],-12,0) - TblMili[[#This Row],[Release AM]]</f>
        <v>0</v>
      </c>
      <c r="M56" s="142"/>
      <c r="N56" s="94">
        <f ca="1">TblProd[[#This Row],[Networth]]</f>
        <v>1250</v>
      </c>
      <c r="O56" s="142"/>
      <c r="P56"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5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6" s="247">
        <f ca="1">TblMili[[#This Row],[Raw]]*(1+TblMili[[#This Row],[Mods_Off]])</f>
        <v>0</v>
      </c>
      <c r="S56"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56" s="247">
        <f ca="1">TblMili[[#This Row],[Non Draft]]+TblMili[[#This Row],[Draftees]]</f>
        <v>489</v>
      </c>
      <c r="U56" s="248">
        <f ca="1">race_defense + TblImps[[#This Row],[Walls]] + ROUND( MIN(gt_bonus*TblConstr[[#This Row],[Tot GT]]/TblConstr[[#This Row],[Land]],gt_bonus_cap), 4) + IF(TblMagic[[#This Row],[Active Howling]]&gt;0,howling_dp_bonus,IF(TblMagic[[#This Row],[Active Ares Call]]&gt;0,ares_call_bonus))</f>
        <v>0</v>
      </c>
      <c r="V56" s="249">
        <f ca="1">TblMili[[#This Row],[Non Draft]] * (1 + TblMili[[#This Row],[Mods_Def]])</f>
        <v>0</v>
      </c>
      <c r="W56" s="247">
        <f ca="1">TblMili[[#This Row],[Draft]] * (1 + TblMili[[#This Row],[Mods_Def]])</f>
        <v>489</v>
      </c>
      <c r="X56" s="247">
        <f ca="1">TblConstr[[#This Row],[Land]]</f>
        <v>50</v>
      </c>
      <c r="Y56" s="250"/>
      <c r="Z56" s="255">
        <f ca="1">IF(TblMili[[#This Row],[Set]]&lt;&gt;"",TblMili[[#This Row],[Set]],OFFSET(TblMili[[#This Row],[Draftrate]],-1,0))</f>
        <v>0.9</v>
      </c>
      <c r="AA56"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489</v>
      </c>
      <c r="AB56" s="154"/>
      <c r="AC56" s="180">
        <f ca="1">(TblConstr[[#This Row],[Tot Smi]]+TblConstr[[#This Row],[Dest Smi]])/(TblConstr[[#This Row],[Land]]-TblExplore[[#This Row],[Land Bonus]]*20)</f>
        <v>0</v>
      </c>
      <c r="AD56" s="137"/>
      <c r="AE56" s="246">
        <f>TblMili[[#This Row],[Hour]]</f>
        <v>53</v>
      </c>
      <c r="AF56" s="138">
        <f ca="1">TblExplore[[#This Row],[Time]]</f>
        <v>46322.166666666541</v>
      </c>
      <c r="AG56" s="179"/>
      <c r="AH56" s="179"/>
      <c r="AI56" s="179"/>
      <c r="AJ56" s="179"/>
      <c r="AK56" s="179"/>
      <c r="AL56" s="179"/>
      <c r="AM56" s="179"/>
      <c r="AN56" s="179"/>
      <c r="AO56" s="420">
        <f ca="1">ROUND(IF(AND(TblMagic[[#This Row],[Active DnD]]&lt;12,TblMagic[[#This Row],[Active DnD]]&gt;5),OFFSET(TblPop[[#This Row],[Draft Growth]],-1,0)*0.375,0),0)</f>
        <v>0</v>
      </c>
      <c r="AP56" s="142"/>
      <c r="AQ56" s="94">
        <f ca="1">TblProd[[#This Row],[Platinum]]</f>
        <v>171651</v>
      </c>
      <c r="AR56" s="94">
        <f ca="1">INDEX(TblProd[[#Headers],[Lumber]]:TblProd[[#This Row],[Ore]],COUNTA(TblProd[[#Headers],[Lumber]]:TblProd[[#This Row],[Lumber]]),MATCH(Military!$AR$2,TblProd[[#Headers],[Lumber]:[Ore]],0))</f>
        <v>0</v>
      </c>
      <c r="AS5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56" s="94">
        <f ca="1">TblMili[[#This Row],[Train Unit 1]]*TblMili[[#This Row],[OP Ore]]+TblMili[[#This Row],[Train Unit 2]]*TblMili[[#This Row],[DP Ore]]+TblMili[[#This Row],[Train Unit 3]]*TblMili[[#This Row],[E1 Ore]]+TblMili[[#This Row],[Train Unit 4]]*TblMili[[#This Row],[E2 Ore]]</f>
        <v>0</v>
      </c>
      <c r="AU56" s="142">
        <f>TblMili[[#This Row],[Hour]]</f>
        <v>53</v>
      </c>
      <c r="AV56" s="152">
        <f ca="1">TblMili[[#This Row],[Time]]</f>
        <v>46322.166666666541</v>
      </c>
      <c r="AW56" s="94">
        <f ca="1">TblMili[[#This Row],[Draftees]]</f>
        <v>489</v>
      </c>
      <c r="AX56" s="179"/>
      <c r="AY56" s="179"/>
      <c r="AZ56" s="179"/>
      <c r="BA56" s="179"/>
      <c r="BB56" s="179"/>
      <c r="BC56" s="179"/>
      <c r="BD56" s="179"/>
      <c r="BE56" s="179"/>
      <c r="BF56" s="179"/>
      <c r="BG56" s="142"/>
      <c r="BH56" s="157">
        <f ca="1">TblConstr[[#This Row],[Tot WG]]/TblConstr[[#This Row],[Land]]</f>
        <v>0</v>
      </c>
      <c r="BI56" s="157">
        <f ca="1">TblConstr[[#This Row],[Tot Hav]]/TblConstr[[#This Row],[Land]]</f>
        <v>0</v>
      </c>
      <c r="BJ56" s="94">
        <f ca="1">ROUNDUP((1-MIN(TblMili[[#This Row],[Smithies]]*smithy_bonus,smithy_bonus_cap) + tech_3_5*TblTech[[#This Row],[3-5]] + tech_5_3*TblTech[[#This Row],[5-3]] + tech_5_5*TblTech[[#This Row],[5-5]])*spec_op_plat,0)</f>
        <v>315</v>
      </c>
      <c r="BK56" s="94">
        <f ca="1">ROUNDUP(IF(race="Gnome",1,(1-MIN(TblMili[[#This Row],[Smithies]]*smithy_bonus,smithy_bonus_cap) + tech_3_5*TblTech[[#This Row],[3-5]] + tech_5_3*TblTech[[#This Row],[5-3]] + tech_5_5*TblTech[[#This Row],[5-5]]))*spec_op_ore,0)</f>
        <v>25</v>
      </c>
      <c r="BL56" s="94">
        <f ca="1">ROUNDUP((1-MIN(TblMili[[#This Row],[Smithies]]*smithy_bonus,smithy_bonus_cap) + tech_3_5*TblTech[[#This Row],[3-5]] + tech_5_3*TblTech[[#This Row],[5-3]] + tech_5_5*TblTech[[#This Row],[5-5]])*spec_dp_plat,0)</f>
        <v>275</v>
      </c>
      <c r="BM56" s="94">
        <f ca="1">ROUNDUP(IF(race="Gnome",1,(1-MIN(TblMili[[#This Row],[Smithies]]*smithy_bonus,smithy_bonus_cap) + tech_3_5*TblTech[[#This Row],[3-5]] + tech_5_3*TblTech[[#This Row],[5-3]] + tech_5_5*TblTech[[#This Row],[5-5]]))*spec_dp_ore,0)</f>
        <v>15</v>
      </c>
      <c r="BN56" s="94">
        <f ca="1">ROUNDUP((1-MIN(TblMili[[#This Row],[Smithies]]*smithy_bonus,smithy_bonus_cap) + tech_3_5*TblTech[[#This Row],[3-5]] + tech_5_3*TblTech[[#This Row],[5-3]] + tech_5_5*TblTech[[#This Row],[5-5]])*elite1_plat,0)</f>
        <v>1040</v>
      </c>
      <c r="BO56" s="94">
        <f ca="1">ROUNDUP(IF(race="Gnome",1,(1-MIN(TblMili[[#This Row],[Smithies]]*smithy_bonus,smithy_bonus_cap) + tech_3_5*TblTech[[#This Row],[3-5]] + tech_5_3*TblTech[[#This Row],[5-3]] + tech_5_5*TblTech[[#This Row],[5-5]]))*elite1_ore,0)</f>
        <v>75</v>
      </c>
      <c r="BP56" s="94">
        <f ca="1">ROUNDUP((1-MIN(TblMili[[#This Row],[Smithies]]*smithy_bonus,smithy_bonus_cap) + tech_3_5*TblTech[[#This Row],[3-5]] + tech_5_3*TblTech[[#This Row],[5-3]] + tech_5_5*TblTech[[#This Row],[5-5]])*elite2_plat,0)</f>
        <v>1280</v>
      </c>
      <c r="BQ56" s="94">
        <f ca="1">ROUNDUP(IF(race="Gnome",1,(1-MIN(TblMili[[#This Row],[Smithies]]*smithy_bonus,smithy_bonus_cap) + tech_3_5*TblTech[[#This Row],[3-5]] + tech_5_3*TblTech[[#This Row],[5-3]] + tech_5_5*TblTech[[#This Row],[5-5]]))*elite2_ore,0)</f>
        <v>100</v>
      </c>
      <c r="BR56" s="94">
        <f ca="1">ROUNDUP((1-MIN(ROUND(fh_spy_cost_red*TblMili[[#This Row],[FH''s]],4),fh_spy_cost_cap)+ tech_1_9*TblTech[[#This Row],[1-9]] + tech_9_1*TblTech[[#This Row],[9-1]])*spy_plat,0)</f>
        <v>500</v>
      </c>
      <c r="BS56" s="94">
        <f ca="1">ROUNDUP((1-MIN(ROUND(fh_spy_cost_red*TblMili[[#This Row],[FH''s]],4),fh_spy_cost_cap)+ tech_1_9*TblTech[[#This Row],[1-9]] + tech_9_1*TblTech[[#This Row],[9-1]])*archspy_plat,0)</f>
        <v>1000</v>
      </c>
      <c r="BT56" s="94">
        <f ca="1">ROUNDUP((1-MIN(ROUND(wg_wiz_cost_bonus*TblMili[[#This Row],[WG''s]],4),wg_wiz_cost_cap) + tech_1_9_2*TblTech[[#This Row],[1-9]] + tech_9_1_2*TblTech[[#This Row],[9-1]])*wizard_plat,0)</f>
        <v>500</v>
      </c>
      <c r="BU56" s="94">
        <f ca="1">ROUNDUP((1-MIN(ROUND(wg_wiz_cost_bonus*TblMili[[#This Row],[WG''s]],4),wg_wiz_cost_cap) + tech_1_9_2*TblTech[[#This Row],[1-9]] + tech_9_1_2*TblTech[[#This Row],[9-1]])*(archmage_plat + IF(TblMagic[[#This Row],[Active Arc Infusion]]&gt;0,400,0)),0)</f>
        <v>1000</v>
      </c>
      <c r="BV56" s="142"/>
      <c r="BW56" s="157">
        <f ca="1">TblConstr[[#This Row],[Homeland]]/TblConstr[[#This Row],[Land]]</f>
        <v>0.6</v>
      </c>
      <c r="BX56" s="157">
        <f ca="1">TblMili[[#This Row],[WG''s]]</f>
        <v>0</v>
      </c>
      <c r="BY56" s="251">
        <f ca="1">IF(mystic_cap="none",TblMili[[#This Row],[Homeland%]]/mystic_bonus,MIN(mystic_cap,TblMili[[#This Row],[Homeland%]]/mystic_bonus))</f>
        <v>2</v>
      </c>
      <c r="BZ56" s="251">
        <f ca="1">IF(druid_op_cap="none",TblMili[[#This Row],[Homeland%]]/druid_op_bonus,MIN(druid_op_cap,TblMili[[#This Row],[Homeland%]]/druid_op_bonus))</f>
        <v>2</v>
      </c>
      <c r="CA56" s="251">
        <f ca="1">IF(druid_dp_cap="none",TblMili[[#This Row],[Homeland%]]/druid_dp_bonus,MIN(druid_dp_cap,TblMili[[#This Row],[Homeland%]]/druid_dp_bonus))</f>
        <v>2</v>
      </c>
      <c r="CB56" s="251">
        <f ca="1">MIN(dryad_cap,TblMili[[#This Row],[Homeland%]]/dryad_bonus)</f>
        <v>2.9999999999999996</v>
      </c>
      <c r="CC56" s="251">
        <f ca="1">MIN(rocka_cap,TblMili[[#This Row],[Homeland%]]/rocka_bonus)</f>
        <v>2</v>
      </c>
      <c r="CD56" s="251">
        <f ca="1">MIN(adept_op_cap,TblMili[[#This Row],[WG]]/adept_op_bonus)</f>
        <v>0</v>
      </c>
      <c r="CE56" s="251">
        <f ca="1">MIN(adept_dp_cap,TblMili[[#This Row],[WG]]/adept_dp_bonus)</f>
        <v>0</v>
      </c>
      <c r="CF56" s="94">
        <f ca="1">MIN(TblMili[[#This Row],[Unit 3]],TblMili[[#This Row],[Unit 2]])*2</f>
        <v>0</v>
      </c>
      <c r="CG56" s="94">
        <f ca="1">MIN(TblMili[[#This Row],[Unit 1]],TblMili[[#This Row],[Unit 4]])*2</f>
        <v>0</v>
      </c>
      <c r="CH56" s="251">
        <f ca="1">MIN(frost_mage_cap,TblMili[[#This Row],[Homeland%]]/frost_mage_bonus)</f>
        <v>2.9999999999999996</v>
      </c>
      <c r="CI56" s="45">
        <f ca="1">MIN(ice_elem_cap,TblMili[[#This Row],[Raw (2)]]*ice_elem_bonus)</f>
        <v>0</v>
      </c>
      <c r="CJ56" s="251">
        <f t="shared" si="2"/>
        <v>0.83333333333333337</v>
      </c>
      <c r="CK56" s="251">
        <f ca="1">MIN(nox_nightshade_cap,TblConstr[[#This Row],[Homeland]]/TblConstr[[#This Row],[Land]]/nox_nightshade_swamp_bonus)</f>
        <v>4</v>
      </c>
      <c r="CL56" s="251">
        <f ca="1">MIN(TblConstr[[#This Row],[Total Swamp]]/TblConstr[[#This Row],[Land]]/abyss_enforce_bonus,abyss_enforcer_cap)</f>
        <v>0</v>
      </c>
      <c r="CM56" s="251">
        <f ca="1">IF(TblMagic[[#This Row],[Active Infernal Command]]&gt;0,TblMili[[#This Row],[Unit 1]]*infernal_cmd_op,0)</f>
        <v>0</v>
      </c>
      <c r="CN56" s="252"/>
      <c r="CO56" s="252"/>
      <c r="CP56" s="252"/>
      <c r="CQ56" s="251">
        <f ca="1">TblMili[[#This Row],[Mystic]]*2</f>
        <v>4</v>
      </c>
      <c r="CR56" s="251">
        <f ca="1">TblMili[[#This Row],[Druid (op)]]*2</f>
        <v>4</v>
      </c>
      <c r="CS56" s="94">
        <f ca="1">TblMili[[#This Row],[Mystic bonus]]*TblMili[[#This Row],[Unit 3]]+TblMili[[#This Row],[Druid bonus]]*TblMili[[#This Row],[Unit 4]]</f>
        <v>0</v>
      </c>
      <c r="CT56" s="155">
        <f ca="1">TblMili[[#This Row],[Dryad]]*2</f>
        <v>5.9999999999999991</v>
      </c>
      <c r="CU56" s="94">
        <f ca="1">sylvan*(TblMili[[#This Row],[Mystic bonus]]*TblMili[[#This Row],[Unit 3]])</f>
        <v>0</v>
      </c>
      <c r="CV56" s="155">
        <f ca="1">TblMili[[#This Row],[Rockapult]]*2</f>
        <v>4</v>
      </c>
      <c r="CW56" s="94">
        <f ca="1">gnome*(TblMili[[#This Row],[Rockapult bonus]]*TblMili[[#This Row],[Unit 3]])</f>
        <v>0</v>
      </c>
      <c r="CX56" s="155">
        <f ca="1">TblMili[[#This Row],[Adept-DP]]*2</f>
        <v>0</v>
      </c>
      <c r="CY56" s="94">
        <f ca="1">dark_elf*(TblMili[[#This Row],[Adept bonus]]*TblMili[[#This Row],[Unit 3]])</f>
        <v>0</v>
      </c>
      <c r="CZ56" s="155">
        <f ca="1">TblMili[[#This Row],[Frost Mage]]*2</f>
        <v>5.9999999999999991</v>
      </c>
      <c r="DA56" s="155">
        <f ca="1">TblMili[[#This Row],[Ice Elemental]]*2</f>
        <v>0</v>
      </c>
      <c r="DB56" s="94">
        <f ca="1">TblMili[[#This Row],[Frost Mage bonus]]*TblMili[[#This Row],[Unit 3]]+TblMili[[#This Row],[Ice Elemental bonus]]*TblMili[[#This Row],[Unit 4]]</f>
        <v>0</v>
      </c>
      <c r="DC56" s="253"/>
      <c r="DD56" s="143">
        <f ca="1">MIN(SUM(TblConstr[[#This Row],[Plain]:[Water]])/TblMili[[#This Row],[Land]]/favorable_terrain_bonus/100,favorable_terrain_max)</f>
        <v>0</v>
      </c>
      <c r="DE56" s="253"/>
      <c r="DF5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6" s="142"/>
      <c r="DH56" s="254">
        <f ca="1">(TblMili[[#This Row],[Wizards]]+2*TblMili[[#This Row],[Archmages]])/TblConstr[[#This Row],[Land]]</f>
        <v>0</v>
      </c>
      <c r="DI56" s="254">
        <f ca="1">TblMili[[#This Row],[Raw (2)]]*(1+race_wizard_strength+IF(TblMili[[#This Row],[Hour]]&gt;72,tech_magical_weaponry_wiz*TblTech[[#This Row],[3-5]],0))</f>
        <v>0</v>
      </c>
    </row>
    <row r="57" spans="1:113" x14ac:dyDescent="0.2">
      <c r="A57" s="137">
        <f>TblRezone[[#This Row],[Hour]]</f>
        <v>54</v>
      </c>
      <c r="B57" s="246">
        <f ca="1">SUM(TblMili[[#This Row],[Unit 1]:[Archmages]])+SUM(OFFSET(TblMili[[#This Row],[Train Unit 1]],-8,0):TblMili[[#This Row],[Train Unit 2]]) + SUM(OFFSET(TblMili[[#This Row],[Train Unit 3]],-11,0):TblMili[[#This Row],[Train AM]]) + TblMili[[#This Row],[Draftees]]</f>
        <v>492</v>
      </c>
      <c r="C57" s="157">
        <f ca="1">TblPop[[#This Row],[Military%]]</f>
        <v>0.63979193758127439</v>
      </c>
      <c r="D57" s="142"/>
      <c r="E57" s="45">
        <f ca="1">OFFSET(TblMili[[#This Row],[Unit 1]],-1,0) + OFFSET(TblMili[[#This Row],[Train Unit 1]],-9,0) - TblMili[[#This Row],[Release Unit 1]] + OFFSET(TblMili[[#This Row],[DnD_Zombies]],-12,0)</f>
        <v>0</v>
      </c>
      <c r="F57" s="45">
        <f ca="1">OFFSET(TblMili[[#This Row],[Unit 2]],-1,0) + OFFSET(TblMili[[#This Row],[Train Unit 2]],-9,0)-TblMili[[#This Row],[Release Unit 2]]</f>
        <v>0</v>
      </c>
      <c r="G57" s="45">
        <f ca="1">OFFSET(TblMili[[#This Row],[Unit 3]],-1,0) + OFFSET(TblMili[[#This Row],[Train Unit 3]],-12,0)-TblMili[[#This Row],[Release Unit 3]]</f>
        <v>0</v>
      </c>
      <c r="H57" s="45">
        <f ca="1">OFFSET(TblMili[[#This Row],[Unit 4]],-1,0) + OFFSET(TblMili[[#This Row],[Train Unit 4]],-12,0)-TblMili[[#This Row],[Release Unit 4]]</f>
        <v>0</v>
      </c>
      <c r="I57" s="45">
        <f ca="1">OFFSET(TblMili[[#This Row],[Spies]],-1,0) + OFFSET(TblMili[[#This Row],[Train Spies]],-12,0) - TblMili[[#This Row],[Release Spies]]-TblMili[[#This Row],[Train AS]]</f>
        <v>0</v>
      </c>
      <c r="J57" s="45">
        <f ca="1">OFFSET(TblMili[[#This Row],[Archspies]],-1,0) + OFFSET(TblMili[[#This Row],[Train AS]],-12,0) - TblMili[[#This Row],[Release AS]]</f>
        <v>0</v>
      </c>
      <c r="K57" s="45">
        <f ca="1">OFFSET(TblMili[[#This Row],[Wizards]],-1,0) + OFFSET(TblMili[[#This Row],[Train Wiz]],-12,0) - TblMili[[#This Row],[Release Wizards]]-TblMili[[#This Row],[Train AM]] + IF(TblMagic[[#This Row],[Active Arc Infusion]]&gt;0,TblMili[[#This Row],[Train AM]])</f>
        <v>0</v>
      </c>
      <c r="L57" s="45">
        <f ca="1">OFFSET(TblMili[[#This Row],[Archmages]],-1,0) + OFFSET(TblMili[[#This Row],[Train AM]],-12,0) - TblMili[[#This Row],[Release AM]]</f>
        <v>0</v>
      </c>
      <c r="M57" s="142"/>
      <c r="N57" s="94">
        <f ca="1">TblProd[[#This Row],[Networth]]</f>
        <v>1250</v>
      </c>
      <c r="O57" s="142"/>
      <c r="P57"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5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7" s="247">
        <f ca="1">TblMili[[#This Row],[Raw]]*(1+TblMili[[#This Row],[Mods_Off]])</f>
        <v>0</v>
      </c>
      <c r="S57"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57" s="247">
        <f ca="1">TblMili[[#This Row],[Non Draft]]+TblMili[[#This Row],[Draftees]]</f>
        <v>492</v>
      </c>
      <c r="U57" s="248">
        <f ca="1">race_defense + TblImps[[#This Row],[Walls]] + ROUND( MIN(gt_bonus*TblConstr[[#This Row],[Tot GT]]/TblConstr[[#This Row],[Land]],gt_bonus_cap), 4) + IF(TblMagic[[#This Row],[Active Howling]]&gt;0,howling_dp_bonus,IF(TblMagic[[#This Row],[Active Ares Call]]&gt;0,ares_call_bonus))</f>
        <v>0</v>
      </c>
      <c r="V57" s="249">
        <f ca="1">TblMili[[#This Row],[Non Draft]] * (1 + TblMili[[#This Row],[Mods_Def]])</f>
        <v>0</v>
      </c>
      <c r="W57" s="247">
        <f ca="1">TblMili[[#This Row],[Draft]] * (1 + TblMili[[#This Row],[Mods_Def]])</f>
        <v>492</v>
      </c>
      <c r="X57" s="247">
        <f ca="1">TblConstr[[#This Row],[Land]]</f>
        <v>50</v>
      </c>
      <c r="Y57" s="250"/>
      <c r="Z57" s="255">
        <f ca="1">IF(TblMili[[#This Row],[Set]]&lt;&gt;"",TblMili[[#This Row],[Set]],OFFSET(TblMili[[#This Row],[Draftrate]],-1,0))</f>
        <v>0.9</v>
      </c>
      <c r="AA57"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492</v>
      </c>
      <c r="AB57" s="154"/>
      <c r="AC57" s="180">
        <f ca="1">(TblConstr[[#This Row],[Tot Smi]]+TblConstr[[#This Row],[Dest Smi]])/(TblConstr[[#This Row],[Land]]-TblExplore[[#This Row],[Land Bonus]]*20)</f>
        <v>0</v>
      </c>
      <c r="AD57" s="137"/>
      <c r="AE57" s="246">
        <f>TblMili[[#This Row],[Hour]]</f>
        <v>54</v>
      </c>
      <c r="AF57" s="138">
        <f ca="1">TblExplore[[#This Row],[Time]]</f>
        <v>46322.208333333205</v>
      </c>
      <c r="AG57" s="179"/>
      <c r="AH57" s="179"/>
      <c r="AI57" s="179"/>
      <c r="AJ57" s="179"/>
      <c r="AK57" s="179"/>
      <c r="AL57" s="179"/>
      <c r="AM57" s="179"/>
      <c r="AN57" s="179"/>
      <c r="AO57" s="420">
        <f ca="1">ROUND(IF(AND(TblMagic[[#This Row],[Active DnD]]&lt;12,TblMagic[[#This Row],[Active DnD]]&gt;5),OFFSET(TblPop[[#This Row],[Draft Growth]],-1,0)*0.375,0),0)</f>
        <v>0</v>
      </c>
      <c r="AP57" s="142"/>
      <c r="AQ57" s="94">
        <f ca="1">TblProd[[#This Row],[Platinum]]</f>
        <v>172407</v>
      </c>
      <c r="AR57" s="94">
        <f ca="1">INDEX(TblProd[[#Headers],[Lumber]]:TblProd[[#This Row],[Ore]],COUNTA(TblProd[[#Headers],[Lumber]]:TblProd[[#This Row],[Lumber]]),MATCH(Military!$AR$2,TblProd[[#Headers],[Lumber]:[Ore]],0))</f>
        <v>0</v>
      </c>
      <c r="AS5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57" s="94">
        <f ca="1">TblMili[[#This Row],[Train Unit 1]]*TblMili[[#This Row],[OP Ore]]+TblMili[[#This Row],[Train Unit 2]]*TblMili[[#This Row],[DP Ore]]+TblMili[[#This Row],[Train Unit 3]]*TblMili[[#This Row],[E1 Ore]]+TblMili[[#This Row],[Train Unit 4]]*TblMili[[#This Row],[E2 Ore]]</f>
        <v>0</v>
      </c>
      <c r="AU57" s="142">
        <f>TblMili[[#This Row],[Hour]]</f>
        <v>54</v>
      </c>
      <c r="AV57" s="152">
        <f ca="1">TblMili[[#This Row],[Time]]</f>
        <v>46322.208333333205</v>
      </c>
      <c r="AW57" s="94">
        <f ca="1">TblMili[[#This Row],[Draftees]]</f>
        <v>492</v>
      </c>
      <c r="AX57" s="179"/>
      <c r="AY57" s="179"/>
      <c r="AZ57" s="179"/>
      <c r="BA57" s="179"/>
      <c r="BB57" s="179"/>
      <c r="BC57" s="179"/>
      <c r="BD57" s="179"/>
      <c r="BE57" s="179"/>
      <c r="BF57" s="179"/>
      <c r="BG57" s="142"/>
      <c r="BH57" s="157">
        <f ca="1">TblConstr[[#This Row],[Tot WG]]/TblConstr[[#This Row],[Land]]</f>
        <v>0</v>
      </c>
      <c r="BI57" s="157">
        <f ca="1">TblConstr[[#This Row],[Tot Hav]]/TblConstr[[#This Row],[Land]]</f>
        <v>0</v>
      </c>
      <c r="BJ57" s="94">
        <f ca="1">ROUNDUP((1-MIN(TblMili[[#This Row],[Smithies]]*smithy_bonus,smithy_bonus_cap) + tech_3_5*TblTech[[#This Row],[3-5]] + tech_5_3*TblTech[[#This Row],[5-3]] + tech_5_5*TblTech[[#This Row],[5-5]])*spec_op_plat,0)</f>
        <v>315</v>
      </c>
      <c r="BK57" s="94">
        <f ca="1">ROUNDUP(IF(race="Gnome",1,(1-MIN(TblMili[[#This Row],[Smithies]]*smithy_bonus,smithy_bonus_cap) + tech_3_5*TblTech[[#This Row],[3-5]] + tech_5_3*TblTech[[#This Row],[5-3]] + tech_5_5*TblTech[[#This Row],[5-5]]))*spec_op_ore,0)</f>
        <v>25</v>
      </c>
      <c r="BL57" s="94">
        <f ca="1">ROUNDUP((1-MIN(TblMili[[#This Row],[Smithies]]*smithy_bonus,smithy_bonus_cap) + tech_3_5*TblTech[[#This Row],[3-5]] + tech_5_3*TblTech[[#This Row],[5-3]] + tech_5_5*TblTech[[#This Row],[5-5]])*spec_dp_plat,0)</f>
        <v>275</v>
      </c>
      <c r="BM57" s="94">
        <f ca="1">ROUNDUP(IF(race="Gnome",1,(1-MIN(TblMili[[#This Row],[Smithies]]*smithy_bonus,smithy_bonus_cap) + tech_3_5*TblTech[[#This Row],[3-5]] + tech_5_3*TblTech[[#This Row],[5-3]] + tech_5_5*TblTech[[#This Row],[5-5]]))*spec_dp_ore,0)</f>
        <v>15</v>
      </c>
      <c r="BN57" s="94">
        <f ca="1">ROUNDUP((1-MIN(TblMili[[#This Row],[Smithies]]*smithy_bonus,smithy_bonus_cap) + tech_3_5*TblTech[[#This Row],[3-5]] + tech_5_3*TblTech[[#This Row],[5-3]] + tech_5_5*TblTech[[#This Row],[5-5]])*elite1_plat,0)</f>
        <v>1040</v>
      </c>
      <c r="BO57" s="94">
        <f ca="1">ROUNDUP(IF(race="Gnome",1,(1-MIN(TblMili[[#This Row],[Smithies]]*smithy_bonus,smithy_bonus_cap) + tech_3_5*TblTech[[#This Row],[3-5]] + tech_5_3*TblTech[[#This Row],[5-3]] + tech_5_5*TblTech[[#This Row],[5-5]]))*elite1_ore,0)</f>
        <v>75</v>
      </c>
      <c r="BP57" s="94">
        <f ca="1">ROUNDUP((1-MIN(TblMili[[#This Row],[Smithies]]*smithy_bonus,smithy_bonus_cap) + tech_3_5*TblTech[[#This Row],[3-5]] + tech_5_3*TblTech[[#This Row],[5-3]] + tech_5_5*TblTech[[#This Row],[5-5]])*elite2_plat,0)</f>
        <v>1280</v>
      </c>
      <c r="BQ57" s="94">
        <f ca="1">ROUNDUP(IF(race="Gnome",1,(1-MIN(TblMili[[#This Row],[Smithies]]*smithy_bonus,smithy_bonus_cap) + tech_3_5*TblTech[[#This Row],[3-5]] + tech_5_3*TblTech[[#This Row],[5-3]] + tech_5_5*TblTech[[#This Row],[5-5]]))*elite2_ore,0)</f>
        <v>100</v>
      </c>
      <c r="BR57" s="94">
        <f ca="1">ROUNDUP((1-MIN(ROUND(fh_spy_cost_red*TblMili[[#This Row],[FH''s]],4),fh_spy_cost_cap)+ tech_1_9*TblTech[[#This Row],[1-9]] + tech_9_1*TblTech[[#This Row],[9-1]])*spy_plat,0)</f>
        <v>500</v>
      </c>
      <c r="BS57" s="94">
        <f ca="1">ROUNDUP((1-MIN(ROUND(fh_spy_cost_red*TblMili[[#This Row],[FH''s]],4),fh_spy_cost_cap)+ tech_1_9*TblTech[[#This Row],[1-9]] + tech_9_1*TblTech[[#This Row],[9-1]])*archspy_plat,0)</f>
        <v>1000</v>
      </c>
      <c r="BT57" s="94">
        <f ca="1">ROUNDUP((1-MIN(ROUND(wg_wiz_cost_bonus*TblMili[[#This Row],[WG''s]],4),wg_wiz_cost_cap) + tech_1_9_2*TblTech[[#This Row],[1-9]] + tech_9_1_2*TblTech[[#This Row],[9-1]])*wizard_plat,0)</f>
        <v>500</v>
      </c>
      <c r="BU57" s="94">
        <f ca="1">ROUNDUP((1-MIN(ROUND(wg_wiz_cost_bonus*TblMili[[#This Row],[WG''s]],4),wg_wiz_cost_cap) + tech_1_9_2*TblTech[[#This Row],[1-9]] + tech_9_1_2*TblTech[[#This Row],[9-1]])*(archmage_plat + IF(TblMagic[[#This Row],[Active Arc Infusion]]&gt;0,400,0)),0)</f>
        <v>1000</v>
      </c>
      <c r="BV57" s="142"/>
      <c r="BW57" s="157">
        <f ca="1">TblConstr[[#This Row],[Homeland]]/TblConstr[[#This Row],[Land]]</f>
        <v>0.6</v>
      </c>
      <c r="BX57" s="157">
        <f ca="1">TblMili[[#This Row],[WG''s]]</f>
        <v>0</v>
      </c>
      <c r="BY57" s="251">
        <f ca="1">IF(mystic_cap="none",TblMili[[#This Row],[Homeland%]]/mystic_bonus,MIN(mystic_cap,TblMili[[#This Row],[Homeland%]]/mystic_bonus))</f>
        <v>2</v>
      </c>
      <c r="BZ57" s="251">
        <f ca="1">IF(druid_op_cap="none",TblMili[[#This Row],[Homeland%]]/druid_op_bonus,MIN(druid_op_cap,TblMili[[#This Row],[Homeland%]]/druid_op_bonus))</f>
        <v>2</v>
      </c>
      <c r="CA57" s="251">
        <f ca="1">IF(druid_dp_cap="none",TblMili[[#This Row],[Homeland%]]/druid_dp_bonus,MIN(druid_dp_cap,TblMili[[#This Row],[Homeland%]]/druid_dp_bonus))</f>
        <v>2</v>
      </c>
      <c r="CB57" s="251">
        <f ca="1">MIN(dryad_cap,TblMili[[#This Row],[Homeland%]]/dryad_bonus)</f>
        <v>2.9999999999999996</v>
      </c>
      <c r="CC57" s="251">
        <f ca="1">MIN(rocka_cap,TblMili[[#This Row],[Homeland%]]/rocka_bonus)</f>
        <v>2</v>
      </c>
      <c r="CD57" s="251">
        <f ca="1">MIN(adept_op_cap,TblMili[[#This Row],[WG]]/adept_op_bonus)</f>
        <v>0</v>
      </c>
      <c r="CE57" s="251">
        <f ca="1">MIN(adept_dp_cap,TblMili[[#This Row],[WG]]/adept_dp_bonus)</f>
        <v>0</v>
      </c>
      <c r="CF57" s="94">
        <f ca="1">MIN(TblMili[[#This Row],[Unit 3]],TblMili[[#This Row],[Unit 2]])*2</f>
        <v>0</v>
      </c>
      <c r="CG57" s="94">
        <f ca="1">MIN(TblMili[[#This Row],[Unit 1]],TblMili[[#This Row],[Unit 4]])*2</f>
        <v>0</v>
      </c>
      <c r="CH57" s="251">
        <f ca="1">MIN(frost_mage_cap,TblMili[[#This Row],[Homeland%]]/frost_mage_bonus)</f>
        <v>2.9999999999999996</v>
      </c>
      <c r="CI57" s="45">
        <f ca="1">MIN(ice_elem_cap,TblMili[[#This Row],[Raw (2)]]*ice_elem_bonus)</f>
        <v>0</v>
      </c>
      <c r="CJ57" s="251">
        <f t="shared" si="2"/>
        <v>0.83333333333333337</v>
      </c>
      <c r="CK57" s="251">
        <f ca="1">MIN(nox_nightshade_cap,TblConstr[[#This Row],[Homeland]]/TblConstr[[#This Row],[Land]]/nox_nightshade_swamp_bonus)</f>
        <v>4</v>
      </c>
      <c r="CL57" s="251">
        <f ca="1">MIN(TblConstr[[#This Row],[Total Swamp]]/TblConstr[[#This Row],[Land]]/abyss_enforce_bonus,abyss_enforcer_cap)</f>
        <v>0</v>
      </c>
      <c r="CM57" s="251">
        <f ca="1">IF(TblMagic[[#This Row],[Active Infernal Command]]&gt;0,TblMili[[#This Row],[Unit 1]]*infernal_cmd_op,0)</f>
        <v>0</v>
      </c>
      <c r="CN57" s="252"/>
      <c r="CO57" s="252"/>
      <c r="CP57" s="252"/>
      <c r="CQ57" s="251">
        <f ca="1">TblMili[[#This Row],[Mystic]]*2</f>
        <v>4</v>
      </c>
      <c r="CR57" s="251">
        <f ca="1">TblMili[[#This Row],[Druid (op)]]*2</f>
        <v>4</v>
      </c>
      <c r="CS57" s="94">
        <f ca="1">TblMili[[#This Row],[Mystic bonus]]*TblMili[[#This Row],[Unit 3]]+TblMili[[#This Row],[Druid bonus]]*TblMili[[#This Row],[Unit 4]]</f>
        <v>0</v>
      </c>
      <c r="CT57" s="155">
        <f ca="1">TblMili[[#This Row],[Dryad]]*2</f>
        <v>5.9999999999999991</v>
      </c>
      <c r="CU57" s="94">
        <f ca="1">sylvan*(TblMili[[#This Row],[Mystic bonus]]*TblMili[[#This Row],[Unit 3]])</f>
        <v>0</v>
      </c>
      <c r="CV57" s="155">
        <f ca="1">TblMili[[#This Row],[Rockapult]]*2</f>
        <v>4</v>
      </c>
      <c r="CW57" s="94">
        <f ca="1">gnome*(TblMili[[#This Row],[Rockapult bonus]]*TblMili[[#This Row],[Unit 3]])</f>
        <v>0</v>
      </c>
      <c r="CX57" s="155">
        <f ca="1">TblMili[[#This Row],[Adept-DP]]*2</f>
        <v>0</v>
      </c>
      <c r="CY57" s="94">
        <f ca="1">dark_elf*(TblMili[[#This Row],[Adept bonus]]*TblMili[[#This Row],[Unit 3]])</f>
        <v>0</v>
      </c>
      <c r="CZ57" s="155">
        <f ca="1">TblMili[[#This Row],[Frost Mage]]*2</f>
        <v>5.9999999999999991</v>
      </c>
      <c r="DA57" s="155">
        <f ca="1">TblMili[[#This Row],[Ice Elemental]]*2</f>
        <v>0</v>
      </c>
      <c r="DB57" s="94">
        <f ca="1">TblMili[[#This Row],[Frost Mage bonus]]*TblMili[[#This Row],[Unit 3]]+TblMili[[#This Row],[Ice Elemental bonus]]*TblMili[[#This Row],[Unit 4]]</f>
        <v>0</v>
      </c>
      <c r="DC57" s="253"/>
      <c r="DD57" s="143">
        <f ca="1">MIN(SUM(TblConstr[[#This Row],[Plain]:[Water]])/TblMili[[#This Row],[Land]]/favorable_terrain_bonus/100,favorable_terrain_max)</f>
        <v>0</v>
      </c>
      <c r="DE57" s="253"/>
      <c r="DF5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7" s="142"/>
      <c r="DH57" s="254">
        <f ca="1">(TblMili[[#This Row],[Wizards]]+2*TblMili[[#This Row],[Archmages]])/TblConstr[[#This Row],[Land]]</f>
        <v>0</v>
      </c>
      <c r="DI57" s="254">
        <f ca="1">TblMili[[#This Row],[Raw (2)]]*(1+race_wizard_strength+IF(TblMili[[#This Row],[Hour]]&gt;72,tech_magical_weaponry_wiz*TblTech[[#This Row],[3-5]],0))</f>
        <v>0</v>
      </c>
    </row>
    <row r="58" spans="1:113" x14ac:dyDescent="0.2">
      <c r="A58" s="137">
        <f>TblRezone[[#This Row],[Hour]]</f>
        <v>55</v>
      </c>
      <c r="B58" s="246">
        <f ca="1">SUM(TblMili[[#This Row],[Unit 1]:[Archmages]])+SUM(OFFSET(TblMili[[#This Row],[Train Unit 1]],-8,0):TblMili[[#This Row],[Train Unit 2]]) + SUM(OFFSET(TblMili[[#This Row],[Train Unit 3]],-11,0):TblMili[[#This Row],[Train AM]]) + TblMili[[#This Row],[Draftees]]</f>
        <v>495</v>
      </c>
      <c r="C58" s="157">
        <f ca="1">TblPop[[#This Row],[Military%]]</f>
        <v>0.64369310793237966</v>
      </c>
      <c r="D58" s="142"/>
      <c r="E58" s="45">
        <f ca="1">OFFSET(TblMili[[#This Row],[Unit 1]],-1,0) + OFFSET(TblMili[[#This Row],[Train Unit 1]],-9,0) - TblMili[[#This Row],[Release Unit 1]] + OFFSET(TblMili[[#This Row],[DnD_Zombies]],-12,0)</f>
        <v>0</v>
      </c>
      <c r="F58" s="45">
        <f ca="1">OFFSET(TblMili[[#This Row],[Unit 2]],-1,0) + OFFSET(TblMili[[#This Row],[Train Unit 2]],-9,0)-TblMili[[#This Row],[Release Unit 2]]</f>
        <v>0</v>
      </c>
      <c r="G58" s="45">
        <f ca="1">OFFSET(TblMili[[#This Row],[Unit 3]],-1,0) + OFFSET(TblMili[[#This Row],[Train Unit 3]],-12,0)-TblMili[[#This Row],[Release Unit 3]]</f>
        <v>0</v>
      </c>
      <c r="H58" s="45">
        <f ca="1">OFFSET(TblMili[[#This Row],[Unit 4]],-1,0) + OFFSET(TblMili[[#This Row],[Train Unit 4]],-12,0)-TblMili[[#This Row],[Release Unit 4]]</f>
        <v>0</v>
      </c>
      <c r="I58" s="45">
        <f ca="1">OFFSET(TblMili[[#This Row],[Spies]],-1,0) + OFFSET(TblMili[[#This Row],[Train Spies]],-12,0) - TblMili[[#This Row],[Release Spies]]-TblMili[[#This Row],[Train AS]]</f>
        <v>0</v>
      </c>
      <c r="J58" s="45">
        <f ca="1">OFFSET(TblMili[[#This Row],[Archspies]],-1,0) + OFFSET(TblMili[[#This Row],[Train AS]],-12,0) - TblMili[[#This Row],[Release AS]]</f>
        <v>0</v>
      </c>
      <c r="K58" s="45">
        <f ca="1">OFFSET(TblMili[[#This Row],[Wizards]],-1,0) + OFFSET(TblMili[[#This Row],[Train Wiz]],-12,0) - TblMili[[#This Row],[Release Wizards]]-TblMili[[#This Row],[Train AM]] + IF(TblMagic[[#This Row],[Active Arc Infusion]]&gt;0,TblMili[[#This Row],[Train AM]])</f>
        <v>0</v>
      </c>
      <c r="L58" s="45">
        <f ca="1">OFFSET(TblMili[[#This Row],[Archmages]],-1,0) + OFFSET(TblMili[[#This Row],[Train AM]],-12,0) - TblMili[[#This Row],[Release AM]]</f>
        <v>0</v>
      </c>
      <c r="M58" s="142"/>
      <c r="N58" s="94">
        <f ca="1">TblProd[[#This Row],[Networth]]</f>
        <v>1250</v>
      </c>
      <c r="O58" s="142"/>
      <c r="P58"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5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8" s="247">
        <f ca="1">TblMili[[#This Row],[Raw]]*(1+TblMili[[#This Row],[Mods_Off]])</f>
        <v>0</v>
      </c>
      <c r="S58"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58" s="247">
        <f ca="1">TblMili[[#This Row],[Non Draft]]+TblMili[[#This Row],[Draftees]]</f>
        <v>495</v>
      </c>
      <c r="U58" s="248">
        <f ca="1">race_defense + TblImps[[#This Row],[Walls]] + ROUND( MIN(gt_bonus*TblConstr[[#This Row],[Tot GT]]/TblConstr[[#This Row],[Land]],gt_bonus_cap), 4) + IF(TblMagic[[#This Row],[Active Howling]]&gt;0,howling_dp_bonus,IF(TblMagic[[#This Row],[Active Ares Call]]&gt;0,ares_call_bonus))</f>
        <v>0</v>
      </c>
      <c r="V58" s="249">
        <f ca="1">TblMili[[#This Row],[Non Draft]] * (1 + TblMili[[#This Row],[Mods_Def]])</f>
        <v>0</v>
      </c>
      <c r="W58" s="247">
        <f ca="1">TblMili[[#This Row],[Draft]] * (1 + TblMili[[#This Row],[Mods_Def]])</f>
        <v>495</v>
      </c>
      <c r="X58" s="247">
        <f ca="1">TblConstr[[#This Row],[Land]]</f>
        <v>50</v>
      </c>
      <c r="Y58" s="250"/>
      <c r="Z58" s="255">
        <f ca="1">IF(TblMili[[#This Row],[Set]]&lt;&gt;"",TblMili[[#This Row],[Set]],OFFSET(TblMili[[#This Row],[Draftrate]],-1,0))</f>
        <v>0.9</v>
      </c>
      <c r="AA58"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495</v>
      </c>
      <c r="AB58" s="154"/>
      <c r="AC58" s="180">
        <f ca="1">(TblConstr[[#This Row],[Tot Smi]]+TblConstr[[#This Row],[Dest Smi]])/(TblConstr[[#This Row],[Land]]-TblExplore[[#This Row],[Land Bonus]]*20)</f>
        <v>0</v>
      </c>
      <c r="AD58" s="137"/>
      <c r="AE58" s="246">
        <f>TblMili[[#This Row],[Hour]]</f>
        <v>55</v>
      </c>
      <c r="AF58" s="138">
        <f ca="1">TblExplore[[#This Row],[Time]]</f>
        <v>46322.249999999869</v>
      </c>
      <c r="AG58" s="179"/>
      <c r="AH58" s="179"/>
      <c r="AI58" s="179"/>
      <c r="AJ58" s="179"/>
      <c r="AK58" s="179"/>
      <c r="AL58" s="179"/>
      <c r="AM58" s="179"/>
      <c r="AN58" s="179"/>
      <c r="AO58" s="420">
        <f ca="1">ROUND(IF(AND(TblMagic[[#This Row],[Active DnD]]&lt;12,TblMagic[[#This Row],[Active DnD]]&gt;5),OFFSET(TblPop[[#This Row],[Draft Growth]],-1,0)*0.375,0),0)</f>
        <v>0</v>
      </c>
      <c r="AP58" s="142"/>
      <c r="AQ58" s="94">
        <f ca="1">TblProd[[#This Row],[Platinum]]</f>
        <v>173154</v>
      </c>
      <c r="AR58" s="94">
        <f ca="1">INDEX(TblProd[[#Headers],[Lumber]]:TblProd[[#This Row],[Ore]],COUNTA(TblProd[[#Headers],[Lumber]]:TblProd[[#This Row],[Lumber]]),MATCH(Military!$AR$2,TblProd[[#Headers],[Lumber]:[Ore]],0))</f>
        <v>0</v>
      </c>
      <c r="AS5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58" s="94">
        <f ca="1">TblMili[[#This Row],[Train Unit 1]]*TblMili[[#This Row],[OP Ore]]+TblMili[[#This Row],[Train Unit 2]]*TblMili[[#This Row],[DP Ore]]+TblMili[[#This Row],[Train Unit 3]]*TblMili[[#This Row],[E1 Ore]]+TblMili[[#This Row],[Train Unit 4]]*TblMili[[#This Row],[E2 Ore]]</f>
        <v>0</v>
      </c>
      <c r="AU58" s="142">
        <f>TblMili[[#This Row],[Hour]]</f>
        <v>55</v>
      </c>
      <c r="AV58" s="152">
        <f ca="1">TblMili[[#This Row],[Time]]</f>
        <v>46322.249999999869</v>
      </c>
      <c r="AW58" s="94">
        <f ca="1">TblMili[[#This Row],[Draftees]]</f>
        <v>495</v>
      </c>
      <c r="AX58" s="179"/>
      <c r="AY58" s="179"/>
      <c r="AZ58" s="179"/>
      <c r="BA58" s="179"/>
      <c r="BB58" s="179"/>
      <c r="BC58" s="179"/>
      <c r="BD58" s="179"/>
      <c r="BE58" s="179"/>
      <c r="BF58" s="179"/>
      <c r="BG58" s="142"/>
      <c r="BH58" s="157">
        <f ca="1">TblConstr[[#This Row],[Tot WG]]/TblConstr[[#This Row],[Land]]</f>
        <v>0</v>
      </c>
      <c r="BI58" s="157">
        <f ca="1">TblConstr[[#This Row],[Tot Hav]]/TblConstr[[#This Row],[Land]]</f>
        <v>0</v>
      </c>
      <c r="BJ58" s="94">
        <f ca="1">ROUNDUP((1-MIN(TblMili[[#This Row],[Smithies]]*smithy_bonus,smithy_bonus_cap) + tech_3_5*TblTech[[#This Row],[3-5]] + tech_5_3*TblTech[[#This Row],[5-3]] + tech_5_5*TblTech[[#This Row],[5-5]])*spec_op_plat,0)</f>
        <v>315</v>
      </c>
      <c r="BK58" s="94">
        <f ca="1">ROUNDUP(IF(race="Gnome",1,(1-MIN(TblMili[[#This Row],[Smithies]]*smithy_bonus,smithy_bonus_cap) + tech_3_5*TblTech[[#This Row],[3-5]] + tech_5_3*TblTech[[#This Row],[5-3]] + tech_5_5*TblTech[[#This Row],[5-5]]))*spec_op_ore,0)</f>
        <v>25</v>
      </c>
      <c r="BL58" s="94">
        <f ca="1">ROUNDUP((1-MIN(TblMili[[#This Row],[Smithies]]*smithy_bonus,smithy_bonus_cap) + tech_3_5*TblTech[[#This Row],[3-5]] + tech_5_3*TblTech[[#This Row],[5-3]] + tech_5_5*TblTech[[#This Row],[5-5]])*spec_dp_plat,0)</f>
        <v>275</v>
      </c>
      <c r="BM58" s="94">
        <f ca="1">ROUNDUP(IF(race="Gnome",1,(1-MIN(TblMili[[#This Row],[Smithies]]*smithy_bonus,smithy_bonus_cap) + tech_3_5*TblTech[[#This Row],[3-5]] + tech_5_3*TblTech[[#This Row],[5-3]] + tech_5_5*TblTech[[#This Row],[5-5]]))*spec_dp_ore,0)</f>
        <v>15</v>
      </c>
      <c r="BN58" s="94">
        <f ca="1">ROUNDUP((1-MIN(TblMili[[#This Row],[Smithies]]*smithy_bonus,smithy_bonus_cap) + tech_3_5*TblTech[[#This Row],[3-5]] + tech_5_3*TblTech[[#This Row],[5-3]] + tech_5_5*TblTech[[#This Row],[5-5]])*elite1_plat,0)</f>
        <v>1040</v>
      </c>
      <c r="BO58" s="94">
        <f ca="1">ROUNDUP(IF(race="Gnome",1,(1-MIN(TblMili[[#This Row],[Smithies]]*smithy_bonus,smithy_bonus_cap) + tech_3_5*TblTech[[#This Row],[3-5]] + tech_5_3*TblTech[[#This Row],[5-3]] + tech_5_5*TblTech[[#This Row],[5-5]]))*elite1_ore,0)</f>
        <v>75</v>
      </c>
      <c r="BP58" s="94">
        <f ca="1">ROUNDUP((1-MIN(TblMili[[#This Row],[Smithies]]*smithy_bonus,smithy_bonus_cap) + tech_3_5*TblTech[[#This Row],[3-5]] + tech_5_3*TblTech[[#This Row],[5-3]] + tech_5_5*TblTech[[#This Row],[5-5]])*elite2_plat,0)</f>
        <v>1280</v>
      </c>
      <c r="BQ58" s="94">
        <f ca="1">ROUNDUP(IF(race="Gnome",1,(1-MIN(TblMili[[#This Row],[Smithies]]*smithy_bonus,smithy_bonus_cap) + tech_3_5*TblTech[[#This Row],[3-5]] + tech_5_3*TblTech[[#This Row],[5-3]] + tech_5_5*TblTech[[#This Row],[5-5]]))*elite2_ore,0)</f>
        <v>100</v>
      </c>
      <c r="BR58" s="94">
        <f ca="1">ROUNDUP((1-MIN(ROUND(fh_spy_cost_red*TblMili[[#This Row],[FH''s]],4),fh_spy_cost_cap)+ tech_1_9*TblTech[[#This Row],[1-9]] + tech_9_1*TblTech[[#This Row],[9-1]])*spy_plat,0)</f>
        <v>500</v>
      </c>
      <c r="BS58" s="94">
        <f ca="1">ROUNDUP((1-MIN(ROUND(fh_spy_cost_red*TblMili[[#This Row],[FH''s]],4),fh_spy_cost_cap)+ tech_1_9*TblTech[[#This Row],[1-9]] + tech_9_1*TblTech[[#This Row],[9-1]])*archspy_plat,0)</f>
        <v>1000</v>
      </c>
      <c r="BT58" s="94">
        <f ca="1">ROUNDUP((1-MIN(ROUND(wg_wiz_cost_bonus*TblMili[[#This Row],[WG''s]],4),wg_wiz_cost_cap) + tech_1_9_2*TblTech[[#This Row],[1-9]] + tech_9_1_2*TblTech[[#This Row],[9-1]])*wizard_plat,0)</f>
        <v>500</v>
      </c>
      <c r="BU58" s="94">
        <f ca="1">ROUNDUP((1-MIN(ROUND(wg_wiz_cost_bonus*TblMili[[#This Row],[WG''s]],4),wg_wiz_cost_cap) + tech_1_9_2*TblTech[[#This Row],[1-9]] + tech_9_1_2*TblTech[[#This Row],[9-1]])*(archmage_plat + IF(TblMagic[[#This Row],[Active Arc Infusion]]&gt;0,400,0)),0)</f>
        <v>1000</v>
      </c>
      <c r="BV58" s="142"/>
      <c r="BW58" s="157">
        <f ca="1">TblConstr[[#This Row],[Homeland]]/TblConstr[[#This Row],[Land]]</f>
        <v>0.6</v>
      </c>
      <c r="BX58" s="157">
        <f ca="1">TblMili[[#This Row],[WG''s]]</f>
        <v>0</v>
      </c>
      <c r="BY58" s="251">
        <f ca="1">IF(mystic_cap="none",TblMili[[#This Row],[Homeland%]]/mystic_bonus,MIN(mystic_cap,TblMili[[#This Row],[Homeland%]]/mystic_bonus))</f>
        <v>2</v>
      </c>
      <c r="BZ58" s="251">
        <f ca="1">IF(druid_op_cap="none",TblMili[[#This Row],[Homeland%]]/druid_op_bonus,MIN(druid_op_cap,TblMili[[#This Row],[Homeland%]]/druid_op_bonus))</f>
        <v>2</v>
      </c>
      <c r="CA58" s="251">
        <f ca="1">IF(druid_dp_cap="none",TblMili[[#This Row],[Homeland%]]/druid_dp_bonus,MIN(druid_dp_cap,TblMili[[#This Row],[Homeland%]]/druid_dp_bonus))</f>
        <v>2</v>
      </c>
      <c r="CB58" s="251">
        <f ca="1">MIN(dryad_cap,TblMili[[#This Row],[Homeland%]]/dryad_bonus)</f>
        <v>2.9999999999999996</v>
      </c>
      <c r="CC58" s="251">
        <f ca="1">MIN(rocka_cap,TblMili[[#This Row],[Homeland%]]/rocka_bonus)</f>
        <v>2</v>
      </c>
      <c r="CD58" s="251">
        <f ca="1">MIN(adept_op_cap,TblMili[[#This Row],[WG]]/adept_op_bonus)</f>
        <v>0</v>
      </c>
      <c r="CE58" s="251">
        <f ca="1">MIN(adept_dp_cap,TblMili[[#This Row],[WG]]/adept_dp_bonus)</f>
        <v>0</v>
      </c>
      <c r="CF58" s="94">
        <f ca="1">MIN(TblMili[[#This Row],[Unit 3]],TblMili[[#This Row],[Unit 2]])*2</f>
        <v>0</v>
      </c>
      <c r="CG58" s="94">
        <f ca="1">MIN(TblMili[[#This Row],[Unit 1]],TblMili[[#This Row],[Unit 4]])*2</f>
        <v>0</v>
      </c>
      <c r="CH58" s="251">
        <f ca="1">MIN(frost_mage_cap,TblMili[[#This Row],[Homeland%]]/frost_mage_bonus)</f>
        <v>2.9999999999999996</v>
      </c>
      <c r="CI58" s="45">
        <f ca="1">MIN(ice_elem_cap,TblMili[[#This Row],[Raw (2)]]*ice_elem_bonus)</f>
        <v>0</v>
      </c>
      <c r="CJ58" s="251">
        <f t="shared" si="2"/>
        <v>0.83333333333333337</v>
      </c>
      <c r="CK58" s="251">
        <f ca="1">MIN(nox_nightshade_cap,TblConstr[[#This Row],[Homeland]]/TblConstr[[#This Row],[Land]]/nox_nightshade_swamp_bonus)</f>
        <v>4</v>
      </c>
      <c r="CL58" s="251">
        <f ca="1">MIN(TblConstr[[#This Row],[Total Swamp]]/TblConstr[[#This Row],[Land]]/abyss_enforce_bonus,abyss_enforcer_cap)</f>
        <v>0</v>
      </c>
      <c r="CM58" s="251">
        <f ca="1">IF(TblMagic[[#This Row],[Active Infernal Command]]&gt;0,TblMili[[#This Row],[Unit 1]]*infernal_cmd_op,0)</f>
        <v>0</v>
      </c>
      <c r="CN58" s="252"/>
      <c r="CO58" s="252"/>
      <c r="CP58" s="252"/>
      <c r="CQ58" s="251">
        <f ca="1">TblMili[[#This Row],[Mystic]]*2</f>
        <v>4</v>
      </c>
      <c r="CR58" s="251">
        <f ca="1">TblMili[[#This Row],[Druid (op)]]*2</f>
        <v>4</v>
      </c>
      <c r="CS58" s="94">
        <f ca="1">TblMili[[#This Row],[Mystic bonus]]*TblMili[[#This Row],[Unit 3]]+TblMili[[#This Row],[Druid bonus]]*TblMili[[#This Row],[Unit 4]]</f>
        <v>0</v>
      </c>
      <c r="CT58" s="155">
        <f ca="1">TblMili[[#This Row],[Dryad]]*2</f>
        <v>5.9999999999999991</v>
      </c>
      <c r="CU58" s="94">
        <f ca="1">sylvan*(TblMili[[#This Row],[Mystic bonus]]*TblMili[[#This Row],[Unit 3]])</f>
        <v>0</v>
      </c>
      <c r="CV58" s="155">
        <f ca="1">TblMili[[#This Row],[Rockapult]]*2</f>
        <v>4</v>
      </c>
      <c r="CW58" s="94">
        <f ca="1">gnome*(TblMili[[#This Row],[Rockapult bonus]]*TblMili[[#This Row],[Unit 3]])</f>
        <v>0</v>
      </c>
      <c r="CX58" s="155">
        <f ca="1">TblMili[[#This Row],[Adept-DP]]*2</f>
        <v>0</v>
      </c>
      <c r="CY58" s="94">
        <f ca="1">dark_elf*(TblMili[[#This Row],[Adept bonus]]*TblMili[[#This Row],[Unit 3]])</f>
        <v>0</v>
      </c>
      <c r="CZ58" s="155">
        <f ca="1">TblMili[[#This Row],[Frost Mage]]*2</f>
        <v>5.9999999999999991</v>
      </c>
      <c r="DA58" s="155">
        <f ca="1">TblMili[[#This Row],[Ice Elemental]]*2</f>
        <v>0</v>
      </c>
      <c r="DB58" s="94">
        <f ca="1">TblMili[[#This Row],[Frost Mage bonus]]*TblMili[[#This Row],[Unit 3]]+TblMili[[#This Row],[Ice Elemental bonus]]*TblMili[[#This Row],[Unit 4]]</f>
        <v>0</v>
      </c>
      <c r="DC58" s="253"/>
      <c r="DD58" s="143">
        <f ca="1">MIN(SUM(TblConstr[[#This Row],[Plain]:[Water]])/TblMili[[#This Row],[Land]]/favorable_terrain_bonus/100,favorable_terrain_max)</f>
        <v>0</v>
      </c>
      <c r="DE58" s="253"/>
      <c r="DF5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8" s="142"/>
      <c r="DH58" s="254">
        <f ca="1">(TblMili[[#This Row],[Wizards]]+2*TblMili[[#This Row],[Archmages]])/TblConstr[[#This Row],[Land]]</f>
        <v>0</v>
      </c>
      <c r="DI58" s="254">
        <f ca="1">TblMili[[#This Row],[Raw (2)]]*(1+race_wizard_strength+IF(TblMili[[#This Row],[Hour]]&gt;72,tech_magical_weaponry_wiz*TblTech[[#This Row],[3-5]],0))</f>
        <v>0</v>
      </c>
    </row>
    <row r="59" spans="1:113" x14ac:dyDescent="0.2">
      <c r="A59" s="137">
        <f>TblRezone[[#This Row],[Hour]]</f>
        <v>56</v>
      </c>
      <c r="B59" s="246">
        <f ca="1">SUM(TblMili[[#This Row],[Unit 1]:[Archmages]])+SUM(OFFSET(TblMili[[#This Row],[Train Unit 1]],-8,0):TblMili[[#This Row],[Train Unit 2]]) + SUM(OFFSET(TblMili[[#This Row],[Train Unit 3]],-11,0):TblMili[[#This Row],[Train AM]]) + TblMili[[#This Row],[Draftees]]</f>
        <v>498</v>
      </c>
      <c r="C59" s="157">
        <f ca="1">TblPop[[#This Row],[Military%]]</f>
        <v>0.64759427828348504</v>
      </c>
      <c r="D59" s="142"/>
      <c r="E59" s="45">
        <f ca="1">OFFSET(TblMili[[#This Row],[Unit 1]],-1,0) + OFFSET(TblMili[[#This Row],[Train Unit 1]],-9,0) - TblMili[[#This Row],[Release Unit 1]] + OFFSET(TblMili[[#This Row],[DnD_Zombies]],-12,0)</f>
        <v>0</v>
      </c>
      <c r="F59" s="45">
        <f ca="1">OFFSET(TblMili[[#This Row],[Unit 2]],-1,0) + OFFSET(TblMili[[#This Row],[Train Unit 2]],-9,0)-TblMili[[#This Row],[Release Unit 2]]</f>
        <v>0</v>
      </c>
      <c r="G59" s="45">
        <f ca="1">OFFSET(TblMili[[#This Row],[Unit 3]],-1,0) + OFFSET(TblMili[[#This Row],[Train Unit 3]],-12,0)-TblMili[[#This Row],[Release Unit 3]]</f>
        <v>0</v>
      </c>
      <c r="H59" s="45">
        <f ca="1">OFFSET(TblMili[[#This Row],[Unit 4]],-1,0) + OFFSET(TblMili[[#This Row],[Train Unit 4]],-12,0)-TblMili[[#This Row],[Release Unit 4]]</f>
        <v>0</v>
      </c>
      <c r="I59" s="45">
        <f ca="1">OFFSET(TblMili[[#This Row],[Spies]],-1,0) + OFFSET(TblMili[[#This Row],[Train Spies]],-12,0) - TblMili[[#This Row],[Release Spies]]-TblMili[[#This Row],[Train AS]]</f>
        <v>0</v>
      </c>
      <c r="J59" s="45">
        <f ca="1">OFFSET(TblMili[[#This Row],[Archspies]],-1,0) + OFFSET(TblMili[[#This Row],[Train AS]],-12,0) - TblMili[[#This Row],[Release AS]]</f>
        <v>0</v>
      </c>
      <c r="K59" s="45">
        <f ca="1">OFFSET(TblMili[[#This Row],[Wizards]],-1,0) + OFFSET(TblMili[[#This Row],[Train Wiz]],-12,0) - TblMili[[#This Row],[Release Wizards]]-TblMili[[#This Row],[Train AM]] + IF(TblMagic[[#This Row],[Active Arc Infusion]]&gt;0,TblMili[[#This Row],[Train AM]])</f>
        <v>0</v>
      </c>
      <c r="L59" s="45">
        <f ca="1">OFFSET(TblMili[[#This Row],[Archmages]],-1,0) + OFFSET(TblMili[[#This Row],[Train AM]],-12,0) - TblMili[[#This Row],[Release AM]]</f>
        <v>0</v>
      </c>
      <c r="M59" s="142"/>
      <c r="N59" s="94">
        <f ca="1">TblProd[[#This Row],[Networth]]</f>
        <v>1250</v>
      </c>
      <c r="O59" s="142"/>
      <c r="P59"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5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9" s="247">
        <f ca="1">TblMili[[#This Row],[Raw]]*(1+TblMili[[#This Row],[Mods_Off]])</f>
        <v>0</v>
      </c>
      <c r="S59"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59" s="247">
        <f ca="1">TblMili[[#This Row],[Non Draft]]+TblMili[[#This Row],[Draftees]]</f>
        <v>498</v>
      </c>
      <c r="U59" s="248">
        <f ca="1">race_defense + TblImps[[#This Row],[Walls]] + ROUND( MIN(gt_bonus*TblConstr[[#This Row],[Tot GT]]/TblConstr[[#This Row],[Land]],gt_bonus_cap), 4) + IF(TblMagic[[#This Row],[Active Howling]]&gt;0,howling_dp_bonus,IF(TblMagic[[#This Row],[Active Ares Call]]&gt;0,ares_call_bonus))</f>
        <v>0</v>
      </c>
      <c r="V59" s="249">
        <f ca="1">TblMili[[#This Row],[Non Draft]] * (1 + TblMili[[#This Row],[Mods_Def]])</f>
        <v>0</v>
      </c>
      <c r="W59" s="247">
        <f ca="1">TblMili[[#This Row],[Draft]] * (1 + TblMili[[#This Row],[Mods_Def]])</f>
        <v>498</v>
      </c>
      <c r="X59" s="247">
        <f ca="1">TblConstr[[#This Row],[Land]]</f>
        <v>50</v>
      </c>
      <c r="Y59" s="250"/>
      <c r="Z59" s="255">
        <f ca="1">IF(TblMili[[#This Row],[Set]]&lt;&gt;"",TblMili[[#This Row],[Set]],OFFSET(TblMili[[#This Row],[Draftrate]],-1,0))</f>
        <v>0.9</v>
      </c>
      <c r="AA59"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498</v>
      </c>
      <c r="AB59" s="154"/>
      <c r="AC59" s="180">
        <f ca="1">(TblConstr[[#This Row],[Tot Smi]]+TblConstr[[#This Row],[Dest Smi]])/(TblConstr[[#This Row],[Land]]-TblExplore[[#This Row],[Land Bonus]]*20)</f>
        <v>0</v>
      </c>
      <c r="AD59" s="137"/>
      <c r="AE59" s="246">
        <f>TblMili[[#This Row],[Hour]]</f>
        <v>56</v>
      </c>
      <c r="AF59" s="138">
        <f ca="1">TblExplore[[#This Row],[Time]]</f>
        <v>46322.291666666533</v>
      </c>
      <c r="AG59" s="179"/>
      <c r="AH59" s="179"/>
      <c r="AI59" s="179"/>
      <c r="AJ59" s="179"/>
      <c r="AK59" s="179"/>
      <c r="AL59" s="179"/>
      <c r="AM59" s="179"/>
      <c r="AN59" s="179"/>
      <c r="AO59" s="420">
        <f ca="1">ROUND(IF(AND(TblMagic[[#This Row],[Active DnD]]&lt;12,TblMagic[[#This Row],[Active DnD]]&gt;5),OFFSET(TblPop[[#This Row],[Draft Growth]],-1,0)*0.375,0),0)</f>
        <v>0</v>
      </c>
      <c r="AP59" s="142"/>
      <c r="AQ59" s="94">
        <f ca="1">TblProd[[#This Row],[Platinum]]</f>
        <v>173893</v>
      </c>
      <c r="AR59" s="94">
        <f ca="1">INDEX(TblProd[[#Headers],[Lumber]]:TblProd[[#This Row],[Ore]],COUNTA(TblProd[[#Headers],[Lumber]]:TblProd[[#This Row],[Lumber]]),MATCH(Military!$AR$2,TblProd[[#Headers],[Lumber]:[Ore]],0))</f>
        <v>0</v>
      </c>
      <c r="AS5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59" s="94">
        <f ca="1">TblMili[[#This Row],[Train Unit 1]]*TblMili[[#This Row],[OP Ore]]+TblMili[[#This Row],[Train Unit 2]]*TblMili[[#This Row],[DP Ore]]+TblMili[[#This Row],[Train Unit 3]]*TblMili[[#This Row],[E1 Ore]]+TblMili[[#This Row],[Train Unit 4]]*TblMili[[#This Row],[E2 Ore]]</f>
        <v>0</v>
      </c>
      <c r="AU59" s="142">
        <f>TblMili[[#This Row],[Hour]]</f>
        <v>56</v>
      </c>
      <c r="AV59" s="152">
        <f ca="1">TblMili[[#This Row],[Time]]</f>
        <v>46322.291666666533</v>
      </c>
      <c r="AW59" s="94">
        <f ca="1">TblMili[[#This Row],[Draftees]]</f>
        <v>498</v>
      </c>
      <c r="AX59" s="179"/>
      <c r="AY59" s="179"/>
      <c r="AZ59" s="179"/>
      <c r="BA59" s="179"/>
      <c r="BB59" s="179"/>
      <c r="BC59" s="179"/>
      <c r="BD59" s="179"/>
      <c r="BE59" s="179"/>
      <c r="BF59" s="179"/>
      <c r="BG59" s="142"/>
      <c r="BH59" s="157">
        <f ca="1">TblConstr[[#This Row],[Tot WG]]/TblConstr[[#This Row],[Land]]</f>
        <v>0</v>
      </c>
      <c r="BI59" s="157">
        <f ca="1">TblConstr[[#This Row],[Tot Hav]]/TblConstr[[#This Row],[Land]]</f>
        <v>0</v>
      </c>
      <c r="BJ59" s="94">
        <f ca="1">ROUNDUP((1-MIN(TblMili[[#This Row],[Smithies]]*smithy_bonus,smithy_bonus_cap) + tech_3_5*TblTech[[#This Row],[3-5]] + tech_5_3*TblTech[[#This Row],[5-3]] + tech_5_5*TblTech[[#This Row],[5-5]])*spec_op_plat,0)</f>
        <v>315</v>
      </c>
      <c r="BK59" s="94">
        <f ca="1">ROUNDUP(IF(race="Gnome",1,(1-MIN(TblMili[[#This Row],[Smithies]]*smithy_bonus,smithy_bonus_cap) + tech_3_5*TblTech[[#This Row],[3-5]] + tech_5_3*TblTech[[#This Row],[5-3]] + tech_5_5*TblTech[[#This Row],[5-5]]))*spec_op_ore,0)</f>
        <v>25</v>
      </c>
      <c r="BL59" s="94">
        <f ca="1">ROUNDUP((1-MIN(TblMili[[#This Row],[Smithies]]*smithy_bonus,smithy_bonus_cap) + tech_3_5*TblTech[[#This Row],[3-5]] + tech_5_3*TblTech[[#This Row],[5-3]] + tech_5_5*TblTech[[#This Row],[5-5]])*spec_dp_plat,0)</f>
        <v>275</v>
      </c>
      <c r="BM59" s="94">
        <f ca="1">ROUNDUP(IF(race="Gnome",1,(1-MIN(TblMili[[#This Row],[Smithies]]*smithy_bonus,smithy_bonus_cap) + tech_3_5*TblTech[[#This Row],[3-5]] + tech_5_3*TblTech[[#This Row],[5-3]] + tech_5_5*TblTech[[#This Row],[5-5]]))*spec_dp_ore,0)</f>
        <v>15</v>
      </c>
      <c r="BN59" s="94">
        <f ca="1">ROUNDUP((1-MIN(TblMili[[#This Row],[Smithies]]*smithy_bonus,smithy_bonus_cap) + tech_3_5*TblTech[[#This Row],[3-5]] + tech_5_3*TblTech[[#This Row],[5-3]] + tech_5_5*TblTech[[#This Row],[5-5]])*elite1_plat,0)</f>
        <v>1040</v>
      </c>
      <c r="BO59" s="94">
        <f ca="1">ROUNDUP(IF(race="Gnome",1,(1-MIN(TblMili[[#This Row],[Smithies]]*smithy_bonus,smithy_bonus_cap) + tech_3_5*TblTech[[#This Row],[3-5]] + tech_5_3*TblTech[[#This Row],[5-3]] + tech_5_5*TblTech[[#This Row],[5-5]]))*elite1_ore,0)</f>
        <v>75</v>
      </c>
      <c r="BP59" s="94">
        <f ca="1">ROUNDUP((1-MIN(TblMili[[#This Row],[Smithies]]*smithy_bonus,smithy_bonus_cap) + tech_3_5*TblTech[[#This Row],[3-5]] + tech_5_3*TblTech[[#This Row],[5-3]] + tech_5_5*TblTech[[#This Row],[5-5]])*elite2_plat,0)</f>
        <v>1280</v>
      </c>
      <c r="BQ59" s="94">
        <f ca="1">ROUNDUP(IF(race="Gnome",1,(1-MIN(TblMili[[#This Row],[Smithies]]*smithy_bonus,smithy_bonus_cap) + tech_3_5*TblTech[[#This Row],[3-5]] + tech_5_3*TblTech[[#This Row],[5-3]] + tech_5_5*TblTech[[#This Row],[5-5]]))*elite2_ore,0)</f>
        <v>100</v>
      </c>
      <c r="BR59" s="94">
        <f ca="1">ROUNDUP((1-MIN(ROUND(fh_spy_cost_red*TblMili[[#This Row],[FH''s]],4),fh_spy_cost_cap)+ tech_1_9*TblTech[[#This Row],[1-9]] + tech_9_1*TblTech[[#This Row],[9-1]])*spy_plat,0)</f>
        <v>500</v>
      </c>
      <c r="BS59" s="94">
        <f ca="1">ROUNDUP((1-MIN(ROUND(fh_spy_cost_red*TblMili[[#This Row],[FH''s]],4),fh_spy_cost_cap)+ tech_1_9*TblTech[[#This Row],[1-9]] + tech_9_1*TblTech[[#This Row],[9-1]])*archspy_plat,0)</f>
        <v>1000</v>
      </c>
      <c r="BT59" s="94">
        <f ca="1">ROUNDUP((1-MIN(ROUND(wg_wiz_cost_bonus*TblMili[[#This Row],[WG''s]],4),wg_wiz_cost_cap) + tech_1_9_2*TblTech[[#This Row],[1-9]] + tech_9_1_2*TblTech[[#This Row],[9-1]])*wizard_plat,0)</f>
        <v>500</v>
      </c>
      <c r="BU59" s="94">
        <f ca="1">ROUNDUP((1-MIN(ROUND(wg_wiz_cost_bonus*TblMili[[#This Row],[WG''s]],4),wg_wiz_cost_cap) + tech_1_9_2*TblTech[[#This Row],[1-9]] + tech_9_1_2*TblTech[[#This Row],[9-1]])*(archmage_plat + IF(TblMagic[[#This Row],[Active Arc Infusion]]&gt;0,400,0)),0)</f>
        <v>1000</v>
      </c>
      <c r="BV59" s="142"/>
      <c r="BW59" s="157">
        <f ca="1">TblConstr[[#This Row],[Homeland]]/TblConstr[[#This Row],[Land]]</f>
        <v>0.6</v>
      </c>
      <c r="BX59" s="157">
        <f ca="1">TblMili[[#This Row],[WG''s]]</f>
        <v>0</v>
      </c>
      <c r="BY59" s="251">
        <f ca="1">IF(mystic_cap="none",TblMili[[#This Row],[Homeland%]]/mystic_bonus,MIN(mystic_cap,TblMili[[#This Row],[Homeland%]]/mystic_bonus))</f>
        <v>2</v>
      </c>
      <c r="BZ59" s="251">
        <f ca="1">IF(druid_op_cap="none",TblMili[[#This Row],[Homeland%]]/druid_op_bonus,MIN(druid_op_cap,TblMili[[#This Row],[Homeland%]]/druid_op_bonus))</f>
        <v>2</v>
      </c>
      <c r="CA59" s="251">
        <f ca="1">IF(druid_dp_cap="none",TblMili[[#This Row],[Homeland%]]/druid_dp_bonus,MIN(druid_dp_cap,TblMili[[#This Row],[Homeland%]]/druid_dp_bonus))</f>
        <v>2</v>
      </c>
      <c r="CB59" s="251">
        <f ca="1">MIN(dryad_cap,TblMili[[#This Row],[Homeland%]]/dryad_bonus)</f>
        <v>2.9999999999999996</v>
      </c>
      <c r="CC59" s="251">
        <f ca="1">MIN(rocka_cap,TblMili[[#This Row],[Homeland%]]/rocka_bonus)</f>
        <v>2</v>
      </c>
      <c r="CD59" s="251">
        <f ca="1">MIN(adept_op_cap,TblMili[[#This Row],[WG]]/adept_op_bonus)</f>
        <v>0</v>
      </c>
      <c r="CE59" s="251">
        <f ca="1">MIN(adept_dp_cap,TblMili[[#This Row],[WG]]/adept_dp_bonus)</f>
        <v>0</v>
      </c>
      <c r="CF59" s="94">
        <f ca="1">MIN(TblMili[[#This Row],[Unit 3]],TblMili[[#This Row],[Unit 2]])*2</f>
        <v>0</v>
      </c>
      <c r="CG59" s="94">
        <f ca="1">MIN(TblMili[[#This Row],[Unit 1]],TblMili[[#This Row],[Unit 4]])*2</f>
        <v>0</v>
      </c>
      <c r="CH59" s="251">
        <f ca="1">MIN(frost_mage_cap,TblMili[[#This Row],[Homeland%]]/frost_mage_bonus)</f>
        <v>2.9999999999999996</v>
      </c>
      <c r="CI59" s="45">
        <f ca="1">MIN(ice_elem_cap,TblMili[[#This Row],[Raw (2)]]*ice_elem_bonus)</f>
        <v>0</v>
      </c>
      <c r="CJ59" s="251">
        <f t="shared" si="2"/>
        <v>0.83333333333333337</v>
      </c>
      <c r="CK59" s="251">
        <f ca="1">MIN(nox_nightshade_cap,TblConstr[[#This Row],[Homeland]]/TblConstr[[#This Row],[Land]]/nox_nightshade_swamp_bonus)</f>
        <v>4</v>
      </c>
      <c r="CL59" s="251">
        <f ca="1">MIN(TblConstr[[#This Row],[Total Swamp]]/TblConstr[[#This Row],[Land]]/abyss_enforce_bonus,abyss_enforcer_cap)</f>
        <v>0</v>
      </c>
      <c r="CM59" s="251">
        <f ca="1">IF(TblMagic[[#This Row],[Active Infernal Command]]&gt;0,TblMili[[#This Row],[Unit 1]]*infernal_cmd_op,0)</f>
        <v>0</v>
      </c>
      <c r="CN59" s="252"/>
      <c r="CO59" s="252"/>
      <c r="CP59" s="252"/>
      <c r="CQ59" s="251">
        <f ca="1">TblMili[[#This Row],[Mystic]]*2</f>
        <v>4</v>
      </c>
      <c r="CR59" s="251">
        <f ca="1">TblMili[[#This Row],[Druid (op)]]*2</f>
        <v>4</v>
      </c>
      <c r="CS59" s="94">
        <f ca="1">TblMili[[#This Row],[Mystic bonus]]*TblMili[[#This Row],[Unit 3]]+TblMili[[#This Row],[Druid bonus]]*TblMili[[#This Row],[Unit 4]]</f>
        <v>0</v>
      </c>
      <c r="CT59" s="155">
        <f ca="1">TblMili[[#This Row],[Dryad]]*2</f>
        <v>5.9999999999999991</v>
      </c>
      <c r="CU59" s="94">
        <f ca="1">sylvan*(TblMili[[#This Row],[Mystic bonus]]*TblMili[[#This Row],[Unit 3]])</f>
        <v>0</v>
      </c>
      <c r="CV59" s="155">
        <f ca="1">TblMili[[#This Row],[Rockapult]]*2</f>
        <v>4</v>
      </c>
      <c r="CW59" s="94">
        <f ca="1">gnome*(TblMili[[#This Row],[Rockapult bonus]]*TblMili[[#This Row],[Unit 3]])</f>
        <v>0</v>
      </c>
      <c r="CX59" s="155">
        <f ca="1">TblMili[[#This Row],[Adept-DP]]*2</f>
        <v>0</v>
      </c>
      <c r="CY59" s="94">
        <f ca="1">dark_elf*(TblMili[[#This Row],[Adept bonus]]*TblMili[[#This Row],[Unit 3]])</f>
        <v>0</v>
      </c>
      <c r="CZ59" s="155">
        <f ca="1">TblMili[[#This Row],[Frost Mage]]*2</f>
        <v>5.9999999999999991</v>
      </c>
      <c r="DA59" s="155">
        <f ca="1">TblMili[[#This Row],[Ice Elemental]]*2</f>
        <v>0</v>
      </c>
      <c r="DB59" s="94">
        <f ca="1">TblMili[[#This Row],[Frost Mage bonus]]*TblMili[[#This Row],[Unit 3]]+TblMili[[#This Row],[Ice Elemental bonus]]*TblMili[[#This Row],[Unit 4]]</f>
        <v>0</v>
      </c>
      <c r="DC59" s="253"/>
      <c r="DD59" s="143">
        <f ca="1">MIN(SUM(TblConstr[[#This Row],[Plain]:[Water]])/TblMili[[#This Row],[Land]]/favorable_terrain_bonus/100,favorable_terrain_max)</f>
        <v>0</v>
      </c>
      <c r="DE59" s="253"/>
      <c r="DF5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9" s="142"/>
      <c r="DH59" s="254">
        <f ca="1">(TblMili[[#This Row],[Wizards]]+2*TblMili[[#This Row],[Archmages]])/TblConstr[[#This Row],[Land]]</f>
        <v>0</v>
      </c>
      <c r="DI59" s="254">
        <f ca="1">TblMili[[#This Row],[Raw (2)]]*(1+race_wizard_strength+IF(TblMili[[#This Row],[Hour]]&gt;72,tech_magical_weaponry_wiz*TblTech[[#This Row],[3-5]],0))</f>
        <v>0</v>
      </c>
    </row>
    <row r="60" spans="1:113" x14ac:dyDescent="0.2">
      <c r="A60" s="137">
        <f>TblRezone[[#This Row],[Hour]]</f>
        <v>57</v>
      </c>
      <c r="B60" s="246">
        <f ca="1">SUM(TblMili[[#This Row],[Unit 1]:[Archmages]])+SUM(OFFSET(TblMili[[#This Row],[Train Unit 1]],-8,0):TblMili[[#This Row],[Train Unit 2]]) + SUM(OFFSET(TblMili[[#This Row],[Train Unit 3]],-11,0):TblMili[[#This Row],[Train AM]]) + TblMili[[#This Row],[Draftees]]</f>
        <v>501</v>
      </c>
      <c r="C60" s="157">
        <f ca="1">TblPop[[#This Row],[Military%]]</f>
        <v>0.65149544863459041</v>
      </c>
      <c r="D60" s="142"/>
      <c r="E60" s="45">
        <f ca="1">OFFSET(TblMili[[#This Row],[Unit 1]],-1,0) + OFFSET(TblMili[[#This Row],[Train Unit 1]],-9,0) - TblMili[[#This Row],[Release Unit 1]] + OFFSET(TblMili[[#This Row],[DnD_Zombies]],-12,0)</f>
        <v>0</v>
      </c>
      <c r="F60" s="45">
        <f ca="1">OFFSET(TblMili[[#This Row],[Unit 2]],-1,0) + OFFSET(TblMili[[#This Row],[Train Unit 2]],-9,0)-TblMili[[#This Row],[Release Unit 2]]</f>
        <v>0</v>
      </c>
      <c r="G60" s="45">
        <f ca="1">OFFSET(TblMili[[#This Row],[Unit 3]],-1,0) + OFFSET(TblMili[[#This Row],[Train Unit 3]],-12,0)-TblMili[[#This Row],[Release Unit 3]]</f>
        <v>0</v>
      </c>
      <c r="H60" s="45">
        <f ca="1">OFFSET(TblMili[[#This Row],[Unit 4]],-1,0) + OFFSET(TblMili[[#This Row],[Train Unit 4]],-12,0)-TblMili[[#This Row],[Release Unit 4]]</f>
        <v>0</v>
      </c>
      <c r="I60" s="45">
        <f ca="1">OFFSET(TblMili[[#This Row],[Spies]],-1,0) + OFFSET(TblMili[[#This Row],[Train Spies]],-12,0) - TblMili[[#This Row],[Release Spies]]-TblMili[[#This Row],[Train AS]]</f>
        <v>0</v>
      </c>
      <c r="J60" s="45">
        <f ca="1">OFFSET(TblMili[[#This Row],[Archspies]],-1,0) + OFFSET(TblMili[[#This Row],[Train AS]],-12,0) - TblMili[[#This Row],[Release AS]]</f>
        <v>0</v>
      </c>
      <c r="K60" s="45">
        <f ca="1">OFFSET(TblMili[[#This Row],[Wizards]],-1,0) + OFFSET(TblMili[[#This Row],[Train Wiz]],-12,0) - TblMili[[#This Row],[Release Wizards]]-TblMili[[#This Row],[Train AM]] + IF(TblMagic[[#This Row],[Active Arc Infusion]]&gt;0,TblMili[[#This Row],[Train AM]])</f>
        <v>0</v>
      </c>
      <c r="L60" s="45">
        <f ca="1">OFFSET(TblMili[[#This Row],[Archmages]],-1,0) + OFFSET(TblMili[[#This Row],[Train AM]],-12,0) - TblMili[[#This Row],[Release AM]]</f>
        <v>0</v>
      </c>
      <c r="M60" s="142"/>
      <c r="N60" s="94">
        <f ca="1">TblProd[[#This Row],[Networth]]</f>
        <v>1250</v>
      </c>
      <c r="O60" s="142"/>
      <c r="P60"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6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0" s="247">
        <f ca="1">TblMili[[#This Row],[Raw]]*(1+TblMili[[#This Row],[Mods_Off]])</f>
        <v>0</v>
      </c>
      <c r="S60"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60" s="247">
        <f ca="1">TblMili[[#This Row],[Non Draft]]+TblMili[[#This Row],[Draftees]]</f>
        <v>501</v>
      </c>
      <c r="U60" s="248">
        <f ca="1">race_defense + TblImps[[#This Row],[Walls]] + ROUND( MIN(gt_bonus*TblConstr[[#This Row],[Tot GT]]/TblConstr[[#This Row],[Land]],gt_bonus_cap), 4) + IF(TblMagic[[#This Row],[Active Howling]]&gt;0,howling_dp_bonus,IF(TblMagic[[#This Row],[Active Ares Call]]&gt;0,ares_call_bonus))</f>
        <v>0</v>
      </c>
      <c r="V60" s="249">
        <f ca="1">TblMili[[#This Row],[Non Draft]] * (1 + TblMili[[#This Row],[Mods_Def]])</f>
        <v>0</v>
      </c>
      <c r="W60" s="247">
        <f ca="1">TblMili[[#This Row],[Draft]] * (1 + TblMili[[#This Row],[Mods_Def]])</f>
        <v>501</v>
      </c>
      <c r="X60" s="247">
        <f ca="1">TblConstr[[#This Row],[Land]]</f>
        <v>50</v>
      </c>
      <c r="Y60" s="250"/>
      <c r="Z60" s="255">
        <f ca="1">IF(TblMili[[#This Row],[Set]]&lt;&gt;"",TblMili[[#This Row],[Set]],OFFSET(TblMili[[#This Row],[Draftrate]],-1,0))</f>
        <v>0.9</v>
      </c>
      <c r="AA60"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501</v>
      </c>
      <c r="AB60" s="154"/>
      <c r="AC60" s="180">
        <f ca="1">(TblConstr[[#This Row],[Tot Smi]]+TblConstr[[#This Row],[Dest Smi]])/(TblConstr[[#This Row],[Land]]-TblExplore[[#This Row],[Land Bonus]]*20)</f>
        <v>0</v>
      </c>
      <c r="AD60" s="137"/>
      <c r="AE60" s="246">
        <f>TblMili[[#This Row],[Hour]]</f>
        <v>57</v>
      </c>
      <c r="AF60" s="138">
        <f ca="1">TblExplore[[#This Row],[Time]]</f>
        <v>46322.333333333198</v>
      </c>
      <c r="AG60" s="179"/>
      <c r="AH60" s="179"/>
      <c r="AI60" s="179"/>
      <c r="AJ60" s="179"/>
      <c r="AK60" s="179"/>
      <c r="AL60" s="179"/>
      <c r="AM60" s="179"/>
      <c r="AN60" s="179"/>
      <c r="AO60" s="420">
        <f ca="1">ROUND(IF(AND(TblMagic[[#This Row],[Active DnD]]&lt;12,TblMagic[[#This Row],[Active DnD]]&gt;5),OFFSET(TblPop[[#This Row],[Draft Growth]],-1,0)*0.375,0),0)</f>
        <v>0</v>
      </c>
      <c r="AP60" s="142"/>
      <c r="AQ60" s="94">
        <f ca="1">TblProd[[#This Row],[Platinum]]</f>
        <v>174624</v>
      </c>
      <c r="AR60" s="94">
        <f ca="1">INDEX(TblProd[[#Headers],[Lumber]]:TblProd[[#This Row],[Ore]],COUNTA(TblProd[[#Headers],[Lumber]]:TblProd[[#This Row],[Lumber]]),MATCH(Military!$AR$2,TblProd[[#Headers],[Lumber]:[Ore]],0))</f>
        <v>0</v>
      </c>
      <c r="AS6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60" s="94">
        <f ca="1">TblMili[[#This Row],[Train Unit 1]]*TblMili[[#This Row],[OP Ore]]+TblMili[[#This Row],[Train Unit 2]]*TblMili[[#This Row],[DP Ore]]+TblMili[[#This Row],[Train Unit 3]]*TblMili[[#This Row],[E1 Ore]]+TblMili[[#This Row],[Train Unit 4]]*TblMili[[#This Row],[E2 Ore]]</f>
        <v>0</v>
      </c>
      <c r="AU60" s="142">
        <f>TblMili[[#This Row],[Hour]]</f>
        <v>57</v>
      </c>
      <c r="AV60" s="152">
        <f ca="1">TblMili[[#This Row],[Time]]</f>
        <v>46322.333333333198</v>
      </c>
      <c r="AW60" s="94">
        <f ca="1">TblMili[[#This Row],[Draftees]]</f>
        <v>501</v>
      </c>
      <c r="AX60" s="179"/>
      <c r="AY60" s="179"/>
      <c r="AZ60" s="179"/>
      <c r="BA60" s="179"/>
      <c r="BB60" s="179"/>
      <c r="BC60" s="179"/>
      <c r="BD60" s="179"/>
      <c r="BE60" s="179"/>
      <c r="BF60" s="179"/>
      <c r="BG60" s="142"/>
      <c r="BH60" s="157">
        <f ca="1">TblConstr[[#This Row],[Tot WG]]/TblConstr[[#This Row],[Land]]</f>
        <v>0</v>
      </c>
      <c r="BI60" s="157">
        <f ca="1">TblConstr[[#This Row],[Tot Hav]]/TblConstr[[#This Row],[Land]]</f>
        <v>0</v>
      </c>
      <c r="BJ60" s="94">
        <f ca="1">ROUNDUP((1-MIN(TblMili[[#This Row],[Smithies]]*smithy_bonus,smithy_bonus_cap) + tech_3_5*TblTech[[#This Row],[3-5]] + tech_5_3*TblTech[[#This Row],[5-3]] + tech_5_5*TblTech[[#This Row],[5-5]])*spec_op_plat,0)</f>
        <v>315</v>
      </c>
      <c r="BK60" s="94">
        <f ca="1">ROUNDUP(IF(race="Gnome",1,(1-MIN(TblMili[[#This Row],[Smithies]]*smithy_bonus,smithy_bonus_cap) + tech_3_5*TblTech[[#This Row],[3-5]] + tech_5_3*TblTech[[#This Row],[5-3]] + tech_5_5*TblTech[[#This Row],[5-5]]))*spec_op_ore,0)</f>
        <v>25</v>
      </c>
      <c r="BL60" s="94">
        <f ca="1">ROUNDUP((1-MIN(TblMili[[#This Row],[Smithies]]*smithy_bonus,smithy_bonus_cap) + tech_3_5*TblTech[[#This Row],[3-5]] + tech_5_3*TblTech[[#This Row],[5-3]] + tech_5_5*TblTech[[#This Row],[5-5]])*spec_dp_plat,0)</f>
        <v>275</v>
      </c>
      <c r="BM60" s="94">
        <f ca="1">ROUNDUP(IF(race="Gnome",1,(1-MIN(TblMili[[#This Row],[Smithies]]*smithy_bonus,smithy_bonus_cap) + tech_3_5*TblTech[[#This Row],[3-5]] + tech_5_3*TblTech[[#This Row],[5-3]] + tech_5_5*TblTech[[#This Row],[5-5]]))*spec_dp_ore,0)</f>
        <v>15</v>
      </c>
      <c r="BN60" s="94">
        <f ca="1">ROUNDUP((1-MIN(TblMili[[#This Row],[Smithies]]*smithy_bonus,smithy_bonus_cap) + tech_3_5*TblTech[[#This Row],[3-5]] + tech_5_3*TblTech[[#This Row],[5-3]] + tech_5_5*TblTech[[#This Row],[5-5]])*elite1_plat,0)</f>
        <v>1040</v>
      </c>
      <c r="BO60" s="94">
        <f ca="1">ROUNDUP(IF(race="Gnome",1,(1-MIN(TblMili[[#This Row],[Smithies]]*smithy_bonus,smithy_bonus_cap) + tech_3_5*TblTech[[#This Row],[3-5]] + tech_5_3*TblTech[[#This Row],[5-3]] + tech_5_5*TblTech[[#This Row],[5-5]]))*elite1_ore,0)</f>
        <v>75</v>
      </c>
      <c r="BP60" s="94">
        <f ca="1">ROUNDUP((1-MIN(TblMili[[#This Row],[Smithies]]*smithy_bonus,smithy_bonus_cap) + tech_3_5*TblTech[[#This Row],[3-5]] + tech_5_3*TblTech[[#This Row],[5-3]] + tech_5_5*TblTech[[#This Row],[5-5]])*elite2_plat,0)</f>
        <v>1280</v>
      </c>
      <c r="BQ60" s="94">
        <f ca="1">ROUNDUP(IF(race="Gnome",1,(1-MIN(TblMili[[#This Row],[Smithies]]*smithy_bonus,smithy_bonus_cap) + tech_3_5*TblTech[[#This Row],[3-5]] + tech_5_3*TblTech[[#This Row],[5-3]] + tech_5_5*TblTech[[#This Row],[5-5]]))*elite2_ore,0)</f>
        <v>100</v>
      </c>
      <c r="BR60" s="94">
        <f ca="1">ROUNDUP((1-MIN(ROUND(fh_spy_cost_red*TblMili[[#This Row],[FH''s]],4),fh_spy_cost_cap)+ tech_1_9*TblTech[[#This Row],[1-9]] + tech_9_1*TblTech[[#This Row],[9-1]])*spy_plat,0)</f>
        <v>500</v>
      </c>
      <c r="BS60" s="94">
        <f ca="1">ROUNDUP((1-MIN(ROUND(fh_spy_cost_red*TblMili[[#This Row],[FH''s]],4),fh_spy_cost_cap)+ tech_1_9*TblTech[[#This Row],[1-9]] + tech_9_1*TblTech[[#This Row],[9-1]])*archspy_plat,0)</f>
        <v>1000</v>
      </c>
      <c r="BT60" s="94">
        <f ca="1">ROUNDUP((1-MIN(ROUND(wg_wiz_cost_bonus*TblMili[[#This Row],[WG''s]],4),wg_wiz_cost_cap) + tech_1_9_2*TblTech[[#This Row],[1-9]] + tech_9_1_2*TblTech[[#This Row],[9-1]])*wizard_plat,0)</f>
        <v>500</v>
      </c>
      <c r="BU60" s="94">
        <f ca="1">ROUNDUP((1-MIN(ROUND(wg_wiz_cost_bonus*TblMili[[#This Row],[WG''s]],4),wg_wiz_cost_cap) + tech_1_9_2*TblTech[[#This Row],[1-9]] + tech_9_1_2*TblTech[[#This Row],[9-1]])*(archmage_plat + IF(TblMagic[[#This Row],[Active Arc Infusion]]&gt;0,400,0)),0)</f>
        <v>1000</v>
      </c>
      <c r="BV60" s="142"/>
      <c r="BW60" s="157">
        <f ca="1">TblConstr[[#This Row],[Homeland]]/TblConstr[[#This Row],[Land]]</f>
        <v>0.6</v>
      </c>
      <c r="BX60" s="157">
        <f ca="1">TblMili[[#This Row],[WG''s]]</f>
        <v>0</v>
      </c>
      <c r="BY60" s="251">
        <f ca="1">IF(mystic_cap="none",TblMili[[#This Row],[Homeland%]]/mystic_bonus,MIN(mystic_cap,TblMili[[#This Row],[Homeland%]]/mystic_bonus))</f>
        <v>2</v>
      </c>
      <c r="BZ60" s="251">
        <f ca="1">IF(druid_op_cap="none",TblMili[[#This Row],[Homeland%]]/druid_op_bonus,MIN(druid_op_cap,TblMili[[#This Row],[Homeland%]]/druid_op_bonus))</f>
        <v>2</v>
      </c>
      <c r="CA60" s="251">
        <f ca="1">IF(druid_dp_cap="none",TblMili[[#This Row],[Homeland%]]/druid_dp_bonus,MIN(druid_dp_cap,TblMili[[#This Row],[Homeland%]]/druid_dp_bonus))</f>
        <v>2</v>
      </c>
      <c r="CB60" s="251">
        <f ca="1">MIN(dryad_cap,TblMili[[#This Row],[Homeland%]]/dryad_bonus)</f>
        <v>2.9999999999999996</v>
      </c>
      <c r="CC60" s="251">
        <f ca="1">MIN(rocka_cap,TblMili[[#This Row],[Homeland%]]/rocka_bonus)</f>
        <v>2</v>
      </c>
      <c r="CD60" s="251">
        <f ca="1">MIN(adept_op_cap,TblMili[[#This Row],[WG]]/adept_op_bonus)</f>
        <v>0</v>
      </c>
      <c r="CE60" s="251">
        <f ca="1">MIN(adept_dp_cap,TblMili[[#This Row],[WG]]/adept_dp_bonus)</f>
        <v>0</v>
      </c>
      <c r="CF60" s="94">
        <f ca="1">MIN(TblMili[[#This Row],[Unit 3]],TblMili[[#This Row],[Unit 2]])*2</f>
        <v>0</v>
      </c>
      <c r="CG60" s="94">
        <f ca="1">MIN(TblMili[[#This Row],[Unit 1]],TblMili[[#This Row],[Unit 4]])*2</f>
        <v>0</v>
      </c>
      <c r="CH60" s="251">
        <f ca="1">MIN(frost_mage_cap,TblMili[[#This Row],[Homeland%]]/frost_mage_bonus)</f>
        <v>2.9999999999999996</v>
      </c>
      <c r="CI60" s="45">
        <f ca="1">MIN(ice_elem_cap,TblMili[[#This Row],[Raw (2)]]*ice_elem_bonus)</f>
        <v>0</v>
      </c>
      <c r="CJ60" s="251">
        <f t="shared" si="2"/>
        <v>0.83333333333333337</v>
      </c>
      <c r="CK60" s="251">
        <f ca="1">MIN(nox_nightshade_cap,TblConstr[[#This Row],[Homeland]]/TblConstr[[#This Row],[Land]]/nox_nightshade_swamp_bonus)</f>
        <v>4</v>
      </c>
      <c r="CL60" s="251">
        <f ca="1">MIN(TblConstr[[#This Row],[Total Swamp]]/TblConstr[[#This Row],[Land]]/abyss_enforce_bonus,abyss_enforcer_cap)</f>
        <v>0</v>
      </c>
      <c r="CM60" s="251">
        <f ca="1">IF(TblMagic[[#This Row],[Active Infernal Command]]&gt;0,TblMili[[#This Row],[Unit 1]]*infernal_cmd_op,0)</f>
        <v>0</v>
      </c>
      <c r="CN60" s="252"/>
      <c r="CO60" s="252"/>
      <c r="CP60" s="252"/>
      <c r="CQ60" s="251">
        <f ca="1">TblMili[[#This Row],[Mystic]]*2</f>
        <v>4</v>
      </c>
      <c r="CR60" s="251">
        <f ca="1">TblMili[[#This Row],[Druid (op)]]*2</f>
        <v>4</v>
      </c>
      <c r="CS60" s="94">
        <f ca="1">TblMili[[#This Row],[Mystic bonus]]*TblMili[[#This Row],[Unit 3]]+TblMili[[#This Row],[Druid bonus]]*TblMili[[#This Row],[Unit 4]]</f>
        <v>0</v>
      </c>
      <c r="CT60" s="155">
        <f ca="1">TblMili[[#This Row],[Dryad]]*2</f>
        <v>5.9999999999999991</v>
      </c>
      <c r="CU60" s="94">
        <f ca="1">sylvan*(TblMili[[#This Row],[Mystic bonus]]*TblMili[[#This Row],[Unit 3]])</f>
        <v>0</v>
      </c>
      <c r="CV60" s="155">
        <f ca="1">TblMili[[#This Row],[Rockapult]]*2</f>
        <v>4</v>
      </c>
      <c r="CW60" s="94">
        <f ca="1">gnome*(TblMili[[#This Row],[Rockapult bonus]]*TblMili[[#This Row],[Unit 3]])</f>
        <v>0</v>
      </c>
      <c r="CX60" s="155">
        <f ca="1">TblMili[[#This Row],[Adept-DP]]*2</f>
        <v>0</v>
      </c>
      <c r="CY60" s="94">
        <f ca="1">dark_elf*(TblMili[[#This Row],[Adept bonus]]*TblMili[[#This Row],[Unit 3]])</f>
        <v>0</v>
      </c>
      <c r="CZ60" s="155">
        <f ca="1">TblMili[[#This Row],[Frost Mage]]*2</f>
        <v>5.9999999999999991</v>
      </c>
      <c r="DA60" s="155">
        <f ca="1">TblMili[[#This Row],[Ice Elemental]]*2</f>
        <v>0</v>
      </c>
      <c r="DB60" s="94">
        <f ca="1">TblMili[[#This Row],[Frost Mage bonus]]*TblMili[[#This Row],[Unit 3]]+TblMili[[#This Row],[Ice Elemental bonus]]*TblMili[[#This Row],[Unit 4]]</f>
        <v>0</v>
      </c>
      <c r="DC60" s="253"/>
      <c r="DD60" s="143">
        <f ca="1">MIN(SUM(TblConstr[[#This Row],[Plain]:[Water]])/TblMili[[#This Row],[Land]]/favorable_terrain_bonus/100,favorable_terrain_max)</f>
        <v>0</v>
      </c>
      <c r="DE60" s="253"/>
      <c r="DF6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0" s="142"/>
      <c r="DH60" s="254">
        <f ca="1">(TblMili[[#This Row],[Wizards]]+2*TblMili[[#This Row],[Archmages]])/TblConstr[[#This Row],[Land]]</f>
        <v>0</v>
      </c>
      <c r="DI60" s="254">
        <f ca="1">TblMili[[#This Row],[Raw (2)]]*(1+race_wizard_strength+IF(TblMili[[#This Row],[Hour]]&gt;72,tech_magical_weaponry_wiz*TblTech[[#This Row],[3-5]],0))</f>
        <v>0</v>
      </c>
    </row>
    <row r="61" spans="1:113" x14ac:dyDescent="0.2">
      <c r="A61" s="137">
        <f>TblRezone[[#This Row],[Hour]]</f>
        <v>58</v>
      </c>
      <c r="B61" s="246">
        <f ca="1">SUM(TblMili[[#This Row],[Unit 1]:[Archmages]])+SUM(OFFSET(TblMili[[#This Row],[Train Unit 1]],-8,0):TblMili[[#This Row],[Train Unit 2]]) + SUM(OFFSET(TblMili[[#This Row],[Train Unit 3]],-11,0):TblMili[[#This Row],[Train AM]]) + TblMili[[#This Row],[Draftees]]</f>
        <v>504</v>
      </c>
      <c r="C61" s="157">
        <f ca="1">TblPop[[#This Row],[Military%]]</f>
        <v>0.65539661898569568</v>
      </c>
      <c r="D61" s="142"/>
      <c r="E61" s="45">
        <f ca="1">OFFSET(TblMili[[#This Row],[Unit 1]],-1,0) + OFFSET(TblMili[[#This Row],[Train Unit 1]],-9,0) - TblMili[[#This Row],[Release Unit 1]] + OFFSET(TblMili[[#This Row],[DnD_Zombies]],-12,0)</f>
        <v>0</v>
      </c>
      <c r="F61" s="45">
        <f ca="1">OFFSET(TblMili[[#This Row],[Unit 2]],-1,0) + OFFSET(TblMili[[#This Row],[Train Unit 2]],-9,0)-TblMili[[#This Row],[Release Unit 2]]</f>
        <v>0</v>
      </c>
      <c r="G61" s="45">
        <f ca="1">OFFSET(TblMili[[#This Row],[Unit 3]],-1,0) + OFFSET(TblMili[[#This Row],[Train Unit 3]],-12,0)-TblMili[[#This Row],[Release Unit 3]]</f>
        <v>0</v>
      </c>
      <c r="H61" s="45">
        <f ca="1">OFFSET(TblMili[[#This Row],[Unit 4]],-1,0) + OFFSET(TblMili[[#This Row],[Train Unit 4]],-12,0)-TblMili[[#This Row],[Release Unit 4]]</f>
        <v>0</v>
      </c>
      <c r="I61" s="45">
        <f ca="1">OFFSET(TblMili[[#This Row],[Spies]],-1,0) + OFFSET(TblMili[[#This Row],[Train Spies]],-12,0) - TblMili[[#This Row],[Release Spies]]-TblMili[[#This Row],[Train AS]]</f>
        <v>0</v>
      </c>
      <c r="J61" s="45">
        <f ca="1">OFFSET(TblMili[[#This Row],[Archspies]],-1,0) + OFFSET(TblMili[[#This Row],[Train AS]],-12,0) - TblMili[[#This Row],[Release AS]]</f>
        <v>0</v>
      </c>
      <c r="K61" s="45">
        <f ca="1">OFFSET(TblMili[[#This Row],[Wizards]],-1,0) + OFFSET(TblMili[[#This Row],[Train Wiz]],-12,0) - TblMili[[#This Row],[Release Wizards]]-TblMili[[#This Row],[Train AM]] + IF(TblMagic[[#This Row],[Active Arc Infusion]]&gt;0,TblMili[[#This Row],[Train AM]])</f>
        <v>0</v>
      </c>
      <c r="L61" s="45">
        <f ca="1">OFFSET(TblMili[[#This Row],[Archmages]],-1,0) + OFFSET(TblMili[[#This Row],[Train AM]],-12,0) - TblMili[[#This Row],[Release AM]]</f>
        <v>0</v>
      </c>
      <c r="M61" s="142"/>
      <c r="N61" s="94">
        <f ca="1">TblProd[[#This Row],[Networth]]</f>
        <v>1250</v>
      </c>
      <c r="O61" s="142"/>
      <c r="P61"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6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1" s="247">
        <f ca="1">TblMili[[#This Row],[Raw]]*(1+TblMili[[#This Row],[Mods_Off]])</f>
        <v>0</v>
      </c>
      <c r="S61"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61" s="247">
        <f ca="1">TblMili[[#This Row],[Non Draft]]+TblMili[[#This Row],[Draftees]]</f>
        <v>504</v>
      </c>
      <c r="U61" s="248">
        <f ca="1">race_defense + TblImps[[#This Row],[Walls]] + ROUND( MIN(gt_bonus*TblConstr[[#This Row],[Tot GT]]/TblConstr[[#This Row],[Land]],gt_bonus_cap), 4) + IF(TblMagic[[#This Row],[Active Howling]]&gt;0,howling_dp_bonus,IF(TblMagic[[#This Row],[Active Ares Call]]&gt;0,ares_call_bonus))</f>
        <v>0</v>
      </c>
      <c r="V61" s="249">
        <f ca="1">TblMili[[#This Row],[Non Draft]] * (1 + TblMili[[#This Row],[Mods_Def]])</f>
        <v>0</v>
      </c>
      <c r="W61" s="247">
        <f ca="1">TblMili[[#This Row],[Draft]] * (1 + TblMili[[#This Row],[Mods_Def]])</f>
        <v>504</v>
      </c>
      <c r="X61" s="247">
        <f ca="1">TblConstr[[#This Row],[Land]]</f>
        <v>50</v>
      </c>
      <c r="Y61" s="250"/>
      <c r="Z61" s="255">
        <f ca="1">IF(TblMili[[#This Row],[Set]]&lt;&gt;"",TblMili[[#This Row],[Set]],OFFSET(TblMili[[#This Row],[Draftrate]],-1,0))</f>
        <v>0.9</v>
      </c>
      <c r="AA61"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504</v>
      </c>
      <c r="AB61" s="154"/>
      <c r="AC61" s="180">
        <f ca="1">(TblConstr[[#This Row],[Tot Smi]]+TblConstr[[#This Row],[Dest Smi]])/(TblConstr[[#This Row],[Land]]-TblExplore[[#This Row],[Land Bonus]]*20)</f>
        <v>0</v>
      </c>
      <c r="AD61" s="137"/>
      <c r="AE61" s="246">
        <f>TblMili[[#This Row],[Hour]]</f>
        <v>58</v>
      </c>
      <c r="AF61" s="138">
        <f ca="1">TblExplore[[#This Row],[Time]]</f>
        <v>46322.374999999862</v>
      </c>
      <c r="AG61" s="179"/>
      <c r="AH61" s="179"/>
      <c r="AI61" s="179"/>
      <c r="AJ61" s="179"/>
      <c r="AK61" s="179"/>
      <c r="AL61" s="179"/>
      <c r="AM61" s="179"/>
      <c r="AN61" s="179"/>
      <c r="AO61" s="420">
        <f ca="1">ROUND(IF(AND(TblMagic[[#This Row],[Active DnD]]&lt;12,TblMagic[[#This Row],[Active DnD]]&gt;5),OFFSET(TblPop[[#This Row],[Draft Growth]],-1,0)*0.375,0),0)</f>
        <v>0</v>
      </c>
      <c r="AP61" s="142"/>
      <c r="AQ61" s="94">
        <f ca="1">TblProd[[#This Row],[Platinum]]</f>
        <v>175347</v>
      </c>
      <c r="AR61" s="94">
        <f ca="1">INDEX(TblProd[[#Headers],[Lumber]]:TblProd[[#This Row],[Ore]],COUNTA(TblProd[[#Headers],[Lumber]]:TblProd[[#This Row],[Lumber]]),MATCH(Military!$AR$2,TblProd[[#Headers],[Lumber]:[Ore]],0))</f>
        <v>0</v>
      </c>
      <c r="AS6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61" s="94">
        <f ca="1">TblMili[[#This Row],[Train Unit 1]]*TblMili[[#This Row],[OP Ore]]+TblMili[[#This Row],[Train Unit 2]]*TblMili[[#This Row],[DP Ore]]+TblMili[[#This Row],[Train Unit 3]]*TblMili[[#This Row],[E1 Ore]]+TblMili[[#This Row],[Train Unit 4]]*TblMili[[#This Row],[E2 Ore]]</f>
        <v>0</v>
      </c>
      <c r="AU61" s="142">
        <f>TblMili[[#This Row],[Hour]]</f>
        <v>58</v>
      </c>
      <c r="AV61" s="152">
        <f ca="1">TblMili[[#This Row],[Time]]</f>
        <v>46322.374999999862</v>
      </c>
      <c r="AW61" s="94">
        <f ca="1">TblMili[[#This Row],[Draftees]]</f>
        <v>504</v>
      </c>
      <c r="AX61" s="179"/>
      <c r="AY61" s="179"/>
      <c r="AZ61" s="179"/>
      <c r="BA61" s="179"/>
      <c r="BB61" s="179"/>
      <c r="BC61" s="179"/>
      <c r="BD61" s="179"/>
      <c r="BE61" s="179"/>
      <c r="BF61" s="179"/>
      <c r="BG61" s="142"/>
      <c r="BH61" s="157">
        <f ca="1">TblConstr[[#This Row],[Tot WG]]/TblConstr[[#This Row],[Land]]</f>
        <v>0</v>
      </c>
      <c r="BI61" s="157">
        <f ca="1">TblConstr[[#This Row],[Tot Hav]]/TblConstr[[#This Row],[Land]]</f>
        <v>0</v>
      </c>
      <c r="BJ61" s="94">
        <f ca="1">ROUNDUP((1-MIN(TblMili[[#This Row],[Smithies]]*smithy_bonus,smithy_bonus_cap) + tech_3_5*TblTech[[#This Row],[3-5]] + tech_5_3*TblTech[[#This Row],[5-3]] + tech_5_5*TblTech[[#This Row],[5-5]])*spec_op_plat,0)</f>
        <v>315</v>
      </c>
      <c r="BK61" s="94">
        <f ca="1">ROUNDUP(IF(race="Gnome",1,(1-MIN(TblMili[[#This Row],[Smithies]]*smithy_bonus,smithy_bonus_cap) + tech_3_5*TblTech[[#This Row],[3-5]] + tech_5_3*TblTech[[#This Row],[5-3]] + tech_5_5*TblTech[[#This Row],[5-5]]))*spec_op_ore,0)</f>
        <v>25</v>
      </c>
      <c r="BL61" s="94">
        <f ca="1">ROUNDUP((1-MIN(TblMili[[#This Row],[Smithies]]*smithy_bonus,smithy_bonus_cap) + tech_3_5*TblTech[[#This Row],[3-5]] + tech_5_3*TblTech[[#This Row],[5-3]] + tech_5_5*TblTech[[#This Row],[5-5]])*spec_dp_plat,0)</f>
        <v>275</v>
      </c>
      <c r="BM61" s="94">
        <f ca="1">ROUNDUP(IF(race="Gnome",1,(1-MIN(TblMili[[#This Row],[Smithies]]*smithy_bonus,smithy_bonus_cap) + tech_3_5*TblTech[[#This Row],[3-5]] + tech_5_3*TblTech[[#This Row],[5-3]] + tech_5_5*TblTech[[#This Row],[5-5]]))*spec_dp_ore,0)</f>
        <v>15</v>
      </c>
      <c r="BN61" s="94">
        <f ca="1">ROUNDUP((1-MIN(TblMili[[#This Row],[Smithies]]*smithy_bonus,smithy_bonus_cap) + tech_3_5*TblTech[[#This Row],[3-5]] + tech_5_3*TblTech[[#This Row],[5-3]] + tech_5_5*TblTech[[#This Row],[5-5]])*elite1_plat,0)</f>
        <v>1040</v>
      </c>
      <c r="BO61" s="94">
        <f ca="1">ROUNDUP(IF(race="Gnome",1,(1-MIN(TblMili[[#This Row],[Smithies]]*smithy_bonus,smithy_bonus_cap) + tech_3_5*TblTech[[#This Row],[3-5]] + tech_5_3*TblTech[[#This Row],[5-3]] + tech_5_5*TblTech[[#This Row],[5-5]]))*elite1_ore,0)</f>
        <v>75</v>
      </c>
      <c r="BP61" s="94">
        <f ca="1">ROUNDUP((1-MIN(TblMili[[#This Row],[Smithies]]*smithy_bonus,smithy_bonus_cap) + tech_3_5*TblTech[[#This Row],[3-5]] + tech_5_3*TblTech[[#This Row],[5-3]] + tech_5_5*TblTech[[#This Row],[5-5]])*elite2_plat,0)</f>
        <v>1280</v>
      </c>
      <c r="BQ61" s="94">
        <f ca="1">ROUNDUP(IF(race="Gnome",1,(1-MIN(TblMili[[#This Row],[Smithies]]*smithy_bonus,smithy_bonus_cap) + tech_3_5*TblTech[[#This Row],[3-5]] + tech_5_3*TblTech[[#This Row],[5-3]] + tech_5_5*TblTech[[#This Row],[5-5]]))*elite2_ore,0)</f>
        <v>100</v>
      </c>
      <c r="BR61" s="94">
        <f ca="1">ROUNDUP((1-MIN(ROUND(fh_spy_cost_red*TblMili[[#This Row],[FH''s]],4),fh_spy_cost_cap)+ tech_1_9*TblTech[[#This Row],[1-9]] + tech_9_1*TblTech[[#This Row],[9-1]])*spy_plat,0)</f>
        <v>500</v>
      </c>
      <c r="BS61" s="94">
        <f ca="1">ROUNDUP((1-MIN(ROUND(fh_spy_cost_red*TblMili[[#This Row],[FH''s]],4),fh_spy_cost_cap)+ tech_1_9*TblTech[[#This Row],[1-9]] + tech_9_1*TblTech[[#This Row],[9-1]])*archspy_plat,0)</f>
        <v>1000</v>
      </c>
      <c r="BT61" s="94">
        <f ca="1">ROUNDUP((1-MIN(ROUND(wg_wiz_cost_bonus*TblMili[[#This Row],[WG''s]],4),wg_wiz_cost_cap) + tech_1_9_2*TblTech[[#This Row],[1-9]] + tech_9_1_2*TblTech[[#This Row],[9-1]])*wizard_plat,0)</f>
        <v>500</v>
      </c>
      <c r="BU61" s="94">
        <f ca="1">ROUNDUP((1-MIN(ROUND(wg_wiz_cost_bonus*TblMili[[#This Row],[WG''s]],4),wg_wiz_cost_cap) + tech_1_9_2*TblTech[[#This Row],[1-9]] + tech_9_1_2*TblTech[[#This Row],[9-1]])*(archmage_plat + IF(TblMagic[[#This Row],[Active Arc Infusion]]&gt;0,400,0)),0)</f>
        <v>1000</v>
      </c>
      <c r="BV61" s="142"/>
      <c r="BW61" s="157">
        <f ca="1">TblConstr[[#This Row],[Homeland]]/TblConstr[[#This Row],[Land]]</f>
        <v>0.6</v>
      </c>
      <c r="BX61" s="157">
        <f ca="1">TblMili[[#This Row],[WG''s]]</f>
        <v>0</v>
      </c>
      <c r="BY61" s="251">
        <f ca="1">IF(mystic_cap="none",TblMili[[#This Row],[Homeland%]]/mystic_bonus,MIN(mystic_cap,TblMili[[#This Row],[Homeland%]]/mystic_bonus))</f>
        <v>2</v>
      </c>
      <c r="BZ61" s="251">
        <f ca="1">IF(druid_op_cap="none",TblMili[[#This Row],[Homeland%]]/druid_op_bonus,MIN(druid_op_cap,TblMili[[#This Row],[Homeland%]]/druid_op_bonus))</f>
        <v>2</v>
      </c>
      <c r="CA61" s="251">
        <f ca="1">IF(druid_dp_cap="none",TblMili[[#This Row],[Homeland%]]/druid_dp_bonus,MIN(druid_dp_cap,TblMili[[#This Row],[Homeland%]]/druid_dp_bonus))</f>
        <v>2</v>
      </c>
      <c r="CB61" s="251">
        <f ca="1">MIN(dryad_cap,TblMili[[#This Row],[Homeland%]]/dryad_bonus)</f>
        <v>2.9999999999999996</v>
      </c>
      <c r="CC61" s="251">
        <f ca="1">MIN(rocka_cap,TblMili[[#This Row],[Homeland%]]/rocka_bonus)</f>
        <v>2</v>
      </c>
      <c r="CD61" s="251">
        <f ca="1">MIN(adept_op_cap,TblMili[[#This Row],[WG]]/adept_op_bonus)</f>
        <v>0</v>
      </c>
      <c r="CE61" s="251">
        <f ca="1">MIN(adept_dp_cap,TblMili[[#This Row],[WG]]/adept_dp_bonus)</f>
        <v>0</v>
      </c>
      <c r="CF61" s="94">
        <f ca="1">MIN(TblMili[[#This Row],[Unit 3]],TblMili[[#This Row],[Unit 2]])*2</f>
        <v>0</v>
      </c>
      <c r="CG61" s="94">
        <f ca="1">MIN(TblMili[[#This Row],[Unit 1]],TblMili[[#This Row],[Unit 4]])*2</f>
        <v>0</v>
      </c>
      <c r="CH61" s="251">
        <f ca="1">MIN(frost_mage_cap,TblMili[[#This Row],[Homeland%]]/frost_mage_bonus)</f>
        <v>2.9999999999999996</v>
      </c>
      <c r="CI61" s="45">
        <f ca="1">MIN(ice_elem_cap,TblMili[[#This Row],[Raw (2)]]*ice_elem_bonus)</f>
        <v>0</v>
      </c>
      <c r="CJ61" s="251">
        <f t="shared" si="2"/>
        <v>0.83333333333333337</v>
      </c>
      <c r="CK61" s="251">
        <f ca="1">MIN(nox_nightshade_cap,TblConstr[[#This Row],[Homeland]]/TblConstr[[#This Row],[Land]]/nox_nightshade_swamp_bonus)</f>
        <v>4</v>
      </c>
      <c r="CL61" s="251">
        <f ca="1">MIN(TblConstr[[#This Row],[Total Swamp]]/TblConstr[[#This Row],[Land]]/abyss_enforce_bonus,abyss_enforcer_cap)</f>
        <v>0</v>
      </c>
      <c r="CM61" s="251">
        <f ca="1">IF(TblMagic[[#This Row],[Active Infernal Command]]&gt;0,TblMili[[#This Row],[Unit 1]]*infernal_cmd_op,0)</f>
        <v>0</v>
      </c>
      <c r="CN61" s="252"/>
      <c r="CO61" s="252"/>
      <c r="CP61" s="252"/>
      <c r="CQ61" s="251">
        <f ca="1">TblMili[[#This Row],[Mystic]]*2</f>
        <v>4</v>
      </c>
      <c r="CR61" s="251">
        <f ca="1">TblMili[[#This Row],[Druid (op)]]*2</f>
        <v>4</v>
      </c>
      <c r="CS61" s="94">
        <f ca="1">TblMili[[#This Row],[Mystic bonus]]*TblMili[[#This Row],[Unit 3]]+TblMili[[#This Row],[Druid bonus]]*TblMili[[#This Row],[Unit 4]]</f>
        <v>0</v>
      </c>
      <c r="CT61" s="155">
        <f ca="1">TblMili[[#This Row],[Dryad]]*2</f>
        <v>5.9999999999999991</v>
      </c>
      <c r="CU61" s="94">
        <f ca="1">sylvan*(TblMili[[#This Row],[Mystic bonus]]*TblMili[[#This Row],[Unit 3]])</f>
        <v>0</v>
      </c>
      <c r="CV61" s="155">
        <f ca="1">TblMili[[#This Row],[Rockapult]]*2</f>
        <v>4</v>
      </c>
      <c r="CW61" s="94">
        <f ca="1">gnome*(TblMili[[#This Row],[Rockapult bonus]]*TblMili[[#This Row],[Unit 3]])</f>
        <v>0</v>
      </c>
      <c r="CX61" s="155">
        <f ca="1">TblMili[[#This Row],[Adept-DP]]*2</f>
        <v>0</v>
      </c>
      <c r="CY61" s="94">
        <f ca="1">dark_elf*(TblMili[[#This Row],[Adept bonus]]*TblMili[[#This Row],[Unit 3]])</f>
        <v>0</v>
      </c>
      <c r="CZ61" s="155">
        <f ca="1">TblMili[[#This Row],[Frost Mage]]*2</f>
        <v>5.9999999999999991</v>
      </c>
      <c r="DA61" s="155">
        <f ca="1">TblMili[[#This Row],[Ice Elemental]]*2</f>
        <v>0</v>
      </c>
      <c r="DB61" s="94">
        <f ca="1">TblMili[[#This Row],[Frost Mage bonus]]*TblMili[[#This Row],[Unit 3]]+TblMili[[#This Row],[Ice Elemental bonus]]*TblMili[[#This Row],[Unit 4]]</f>
        <v>0</v>
      </c>
      <c r="DC61" s="253"/>
      <c r="DD61" s="143">
        <f ca="1">MIN(SUM(TblConstr[[#This Row],[Plain]:[Water]])/TblMili[[#This Row],[Land]]/favorable_terrain_bonus/100,favorable_terrain_max)</f>
        <v>0</v>
      </c>
      <c r="DE61" s="253"/>
      <c r="DF6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1" s="142"/>
      <c r="DH61" s="254">
        <f ca="1">(TblMili[[#This Row],[Wizards]]+2*TblMili[[#This Row],[Archmages]])/TblConstr[[#This Row],[Land]]</f>
        <v>0</v>
      </c>
      <c r="DI61" s="254">
        <f ca="1">TblMili[[#This Row],[Raw (2)]]*(1+race_wizard_strength+IF(TblMili[[#This Row],[Hour]]&gt;72,tech_magical_weaponry_wiz*TblTech[[#This Row],[3-5]],0))</f>
        <v>0</v>
      </c>
    </row>
    <row r="62" spans="1:113" x14ac:dyDescent="0.2">
      <c r="A62" s="137">
        <f>TblRezone[[#This Row],[Hour]]</f>
        <v>59</v>
      </c>
      <c r="B62" s="246">
        <f ca="1">SUM(TblMili[[#This Row],[Unit 1]:[Archmages]])+SUM(OFFSET(TblMili[[#This Row],[Train Unit 1]],-8,0):TblMili[[#This Row],[Train Unit 2]]) + SUM(OFFSET(TblMili[[#This Row],[Train Unit 3]],-11,0):TblMili[[#This Row],[Train AM]]) + TblMili[[#This Row],[Draftees]]</f>
        <v>507</v>
      </c>
      <c r="C62" s="157">
        <f ca="1">TblPop[[#This Row],[Military%]]</f>
        <v>0.65929778933680105</v>
      </c>
      <c r="D62" s="142"/>
      <c r="E62" s="45">
        <f ca="1">OFFSET(TblMili[[#This Row],[Unit 1]],-1,0) + OFFSET(TblMili[[#This Row],[Train Unit 1]],-9,0) - TblMili[[#This Row],[Release Unit 1]] + OFFSET(TblMili[[#This Row],[DnD_Zombies]],-12,0)</f>
        <v>0</v>
      </c>
      <c r="F62" s="45">
        <f ca="1">OFFSET(TblMili[[#This Row],[Unit 2]],-1,0) + OFFSET(TblMili[[#This Row],[Train Unit 2]],-9,0)-TblMili[[#This Row],[Release Unit 2]]</f>
        <v>0</v>
      </c>
      <c r="G62" s="45">
        <f ca="1">OFFSET(TblMili[[#This Row],[Unit 3]],-1,0) + OFFSET(TblMili[[#This Row],[Train Unit 3]],-12,0)-TblMili[[#This Row],[Release Unit 3]]</f>
        <v>0</v>
      </c>
      <c r="H62" s="45">
        <f ca="1">OFFSET(TblMili[[#This Row],[Unit 4]],-1,0) + OFFSET(TblMili[[#This Row],[Train Unit 4]],-12,0)-TblMili[[#This Row],[Release Unit 4]]</f>
        <v>0</v>
      </c>
      <c r="I62" s="45">
        <f ca="1">OFFSET(TblMili[[#This Row],[Spies]],-1,0) + OFFSET(TblMili[[#This Row],[Train Spies]],-12,0) - TblMili[[#This Row],[Release Spies]]-TblMili[[#This Row],[Train AS]]</f>
        <v>0</v>
      </c>
      <c r="J62" s="45">
        <f ca="1">OFFSET(TblMili[[#This Row],[Archspies]],-1,0) + OFFSET(TblMili[[#This Row],[Train AS]],-12,0) - TblMili[[#This Row],[Release AS]]</f>
        <v>0</v>
      </c>
      <c r="K62" s="45">
        <f ca="1">OFFSET(TblMili[[#This Row],[Wizards]],-1,0) + OFFSET(TblMili[[#This Row],[Train Wiz]],-12,0) - TblMili[[#This Row],[Release Wizards]]-TblMili[[#This Row],[Train AM]] + IF(TblMagic[[#This Row],[Active Arc Infusion]]&gt;0,TblMili[[#This Row],[Train AM]])</f>
        <v>0</v>
      </c>
      <c r="L62" s="45">
        <f ca="1">OFFSET(TblMili[[#This Row],[Archmages]],-1,0) + OFFSET(TblMili[[#This Row],[Train AM]],-12,0) - TblMili[[#This Row],[Release AM]]</f>
        <v>0</v>
      </c>
      <c r="M62" s="142"/>
      <c r="N62" s="94">
        <f ca="1">TblProd[[#This Row],[Networth]]</f>
        <v>1250</v>
      </c>
      <c r="O62" s="142"/>
      <c r="P62"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6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2" s="247">
        <f ca="1">TblMili[[#This Row],[Raw]]*(1+TblMili[[#This Row],[Mods_Off]])</f>
        <v>0</v>
      </c>
      <c r="S62"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62" s="247">
        <f ca="1">TblMili[[#This Row],[Non Draft]]+TblMili[[#This Row],[Draftees]]</f>
        <v>507</v>
      </c>
      <c r="U62" s="248">
        <f ca="1">race_defense + TblImps[[#This Row],[Walls]] + ROUND( MIN(gt_bonus*TblConstr[[#This Row],[Tot GT]]/TblConstr[[#This Row],[Land]],gt_bonus_cap), 4) + IF(TblMagic[[#This Row],[Active Howling]]&gt;0,howling_dp_bonus,IF(TblMagic[[#This Row],[Active Ares Call]]&gt;0,ares_call_bonus))</f>
        <v>0</v>
      </c>
      <c r="V62" s="249">
        <f ca="1">TblMili[[#This Row],[Non Draft]] * (1 + TblMili[[#This Row],[Mods_Def]])</f>
        <v>0</v>
      </c>
      <c r="W62" s="247">
        <f ca="1">TblMili[[#This Row],[Draft]] * (1 + TblMili[[#This Row],[Mods_Def]])</f>
        <v>507</v>
      </c>
      <c r="X62" s="247">
        <f ca="1">TblConstr[[#This Row],[Land]]</f>
        <v>50</v>
      </c>
      <c r="Y62" s="250"/>
      <c r="Z62" s="255">
        <f ca="1">IF(TblMili[[#This Row],[Set]]&lt;&gt;"",TblMili[[#This Row],[Set]],OFFSET(TblMili[[#This Row],[Draftrate]],-1,0))</f>
        <v>0.9</v>
      </c>
      <c r="AA62"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507</v>
      </c>
      <c r="AB62" s="154"/>
      <c r="AC62" s="180">
        <f ca="1">(TblConstr[[#This Row],[Tot Smi]]+TblConstr[[#This Row],[Dest Smi]])/(TblConstr[[#This Row],[Land]]-TblExplore[[#This Row],[Land Bonus]]*20)</f>
        <v>0</v>
      </c>
      <c r="AD62" s="137"/>
      <c r="AE62" s="246">
        <f>TblMili[[#This Row],[Hour]]</f>
        <v>59</v>
      </c>
      <c r="AF62" s="138">
        <f ca="1">TblExplore[[#This Row],[Time]]</f>
        <v>46322.416666666526</v>
      </c>
      <c r="AG62" s="179"/>
      <c r="AH62" s="179"/>
      <c r="AI62" s="179"/>
      <c r="AJ62" s="179"/>
      <c r="AK62" s="179"/>
      <c r="AL62" s="179"/>
      <c r="AM62" s="179"/>
      <c r="AN62" s="179"/>
      <c r="AO62" s="420">
        <f ca="1">ROUND(IF(AND(TblMagic[[#This Row],[Active DnD]]&lt;12,TblMagic[[#This Row],[Active DnD]]&gt;5),OFFSET(TblPop[[#This Row],[Draft Growth]],-1,0)*0.375,0),0)</f>
        <v>0</v>
      </c>
      <c r="AP62" s="142"/>
      <c r="AQ62" s="94">
        <f ca="1">TblProd[[#This Row],[Platinum]]</f>
        <v>176062</v>
      </c>
      <c r="AR62" s="94">
        <f ca="1">INDEX(TblProd[[#Headers],[Lumber]]:TblProd[[#This Row],[Ore]],COUNTA(TblProd[[#Headers],[Lumber]]:TblProd[[#This Row],[Lumber]]),MATCH(Military!$AR$2,TblProd[[#Headers],[Lumber]:[Ore]],0))</f>
        <v>0</v>
      </c>
      <c r="AS62"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62" s="94">
        <f ca="1">TblMili[[#This Row],[Train Unit 1]]*TblMili[[#This Row],[OP Ore]]+TblMili[[#This Row],[Train Unit 2]]*TblMili[[#This Row],[DP Ore]]+TblMili[[#This Row],[Train Unit 3]]*TblMili[[#This Row],[E1 Ore]]+TblMili[[#This Row],[Train Unit 4]]*TblMili[[#This Row],[E2 Ore]]</f>
        <v>0</v>
      </c>
      <c r="AU62" s="142">
        <f>TblMili[[#This Row],[Hour]]</f>
        <v>59</v>
      </c>
      <c r="AV62" s="152">
        <f ca="1">TblMili[[#This Row],[Time]]</f>
        <v>46322.416666666526</v>
      </c>
      <c r="AW62" s="94">
        <f ca="1">TblMili[[#This Row],[Draftees]]</f>
        <v>507</v>
      </c>
      <c r="AX62" s="179"/>
      <c r="AY62" s="179"/>
      <c r="AZ62" s="179"/>
      <c r="BA62" s="179"/>
      <c r="BB62" s="179"/>
      <c r="BC62" s="179"/>
      <c r="BD62" s="179"/>
      <c r="BE62" s="179"/>
      <c r="BF62" s="179"/>
      <c r="BG62" s="142"/>
      <c r="BH62" s="157">
        <f ca="1">TblConstr[[#This Row],[Tot WG]]/TblConstr[[#This Row],[Land]]</f>
        <v>0</v>
      </c>
      <c r="BI62" s="157">
        <f ca="1">TblConstr[[#This Row],[Tot Hav]]/TblConstr[[#This Row],[Land]]</f>
        <v>0</v>
      </c>
      <c r="BJ62" s="94">
        <f ca="1">ROUNDUP((1-MIN(TblMili[[#This Row],[Smithies]]*smithy_bonus,smithy_bonus_cap) + tech_3_5*TblTech[[#This Row],[3-5]] + tech_5_3*TblTech[[#This Row],[5-3]] + tech_5_5*TblTech[[#This Row],[5-5]])*spec_op_plat,0)</f>
        <v>315</v>
      </c>
      <c r="BK62" s="94">
        <f ca="1">ROUNDUP(IF(race="Gnome",1,(1-MIN(TblMili[[#This Row],[Smithies]]*smithy_bonus,smithy_bonus_cap) + tech_3_5*TblTech[[#This Row],[3-5]] + tech_5_3*TblTech[[#This Row],[5-3]] + tech_5_5*TblTech[[#This Row],[5-5]]))*spec_op_ore,0)</f>
        <v>25</v>
      </c>
      <c r="BL62" s="94">
        <f ca="1">ROUNDUP((1-MIN(TblMili[[#This Row],[Smithies]]*smithy_bonus,smithy_bonus_cap) + tech_3_5*TblTech[[#This Row],[3-5]] + tech_5_3*TblTech[[#This Row],[5-3]] + tech_5_5*TblTech[[#This Row],[5-5]])*spec_dp_plat,0)</f>
        <v>275</v>
      </c>
      <c r="BM62" s="94">
        <f ca="1">ROUNDUP(IF(race="Gnome",1,(1-MIN(TblMili[[#This Row],[Smithies]]*smithy_bonus,smithy_bonus_cap) + tech_3_5*TblTech[[#This Row],[3-5]] + tech_5_3*TblTech[[#This Row],[5-3]] + tech_5_5*TblTech[[#This Row],[5-5]]))*spec_dp_ore,0)</f>
        <v>15</v>
      </c>
      <c r="BN62" s="94">
        <f ca="1">ROUNDUP((1-MIN(TblMili[[#This Row],[Smithies]]*smithy_bonus,smithy_bonus_cap) + tech_3_5*TblTech[[#This Row],[3-5]] + tech_5_3*TblTech[[#This Row],[5-3]] + tech_5_5*TblTech[[#This Row],[5-5]])*elite1_plat,0)</f>
        <v>1040</v>
      </c>
      <c r="BO62" s="94">
        <f ca="1">ROUNDUP(IF(race="Gnome",1,(1-MIN(TblMili[[#This Row],[Smithies]]*smithy_bonus,smithy_bonus_cap) + tech_3_5*TblTech[[#This Row],[3-5]] + tech_5_3*TblTech[[#This Row],[5-3]] + tech_5_5*TblTech[[#This Row],[5-5]]))*elite1_ore,0)</f>
        <v>75</v>
      </c>
      <c r="BP62" s="94">
        <f ca="1">ROUNDUP((1-MIN(TblMili[[#This Row],[Smithies]]*smithy_bonus,smithy_bonus_cap) + tech_3_5*TblTech[[#This Row],[3-5]] + tech_5_3*TblTech[[#This Row],[5-3]] + tech_5_5*TblTech[[#This Row],[5-5]])*elite2_plat,0)</f>
        <v>1280</v>
      </c>
      <c r="BQ62" s="94">
        <f ca="1">ROUNDUP(IF(race="Gnome",1,(1-MIN(TblMili[[#This Row],[Smithies]]*smithy_bonus,smithy_bonus_cap) + tech_3_5*TblTech[[#This Row],[3-5]] + tech_5_3*TblTech[[#This Row],[5-3]] + tech_5_5*TblTech[[#This Row],[5-5]]))*elite2_ore,0)</f>
        <v>100</v>
      </c>
      <c r="BR62" s="94">
        <f ca="1">ROUNDUP((1-MIN(ROUND(fh_spy_cost_red*TblMili[[#This Row],[FH''s]],4),fh_spy_cost_cap)+ tech_1_9*TblTech[[#This Row],[1-9]] + tech_9_1*TblTech[[#This Row],[9-1]])*spy_plat,0)</f>
        <v>500</v>
      </c>
      <c r="BS62" s="94">
        <f ca="1">ROUNDUP((1-MIN(ROUND(fh_spy_cost_red*TblMili[[#This Row],[FH''s]],4),fh_spy_cost_cap)+ tech_1_9*TblTech[[#This Row],[1-9]] + tech_9_1*TblTech[[#This Row],[9-1]])*archspy_plat,0)</f>
        <v>1000</v>
      </c>
      <c r="BT62" s="94">
        <f ca="1">ROUNDUP((1-MIN(ROUND(wg_wiz_cost_bonus*TblMili[[#This Row],[WG''s]],4),wg_wiz_cost_cap) + tech_1_9_2*TblTech[[#This Row],[1-9]] + tech_9_1_2*TblTech[[#This Row],[9-1]])*wizard_plat,0)</f>
        <v>500</v>
      </c>
      <c r="BU62" s="94">
        <f ca="1">ROUNDUP((1-MIN(ROUND(wg_wiz_cost_bonus*TblMili[[#This Row],[WG''s]],4),wg_wiz_cost_cap) + tech_1_9_2*TblTech[[#This Row],[1-9]] + tech_9_1_2*TblTech[[#This Row],[9-1]])*(archmage_plat + IF(TblMagic[[#This Row],[Active Arc Infusion]]&gt;0,400,0)),0)</f>
        <v>1000</v>
      </c>
      <c r="BV62" s="142"/>
      <c r="BW62" s="157">
        <f ca="1">TblConstr[[#This Row],[Homeland]]/TblConstr[[#This Row],[Land]]</f>
        <v>0.6</v>
      </c>
      <c r="BX62" s="157">
        <f ca="1">TblMili[[#This Row],[WG''s]]</f>
        <v>0</v>
      </c>
      <c r="BY62" s="251">
        <f ca="1">IF(mystic_cap="none",TblMili[[#This Row],[Homeland%]]/mystic_bonus,MIN(mystic_cap,TblMili[[#This Row],[Homeland%]]/mystic_bonus))</f>
        <v>2</v>
      </c>
      <c r="BZ62" s="251">
        <f ca="1">IF(druid_op_cap="none",TblMili[[#This Row],[Homeland%]]/druid_op_bonus,MIN(druid_op_cap,TblMili[[#This Row],[Homeland%]]/druid_op_bonus))</f>
        <v>2</v>
      </c>
      <c r="CA62" s="251">
        <f ca="1">IF(druid_dp_cap="none",TblMili[[#This Row],[Homeland%]]/druid_dp_bonus,MIN(druid_dp_cap,TblMili[[#This Row],[Homeland%]]/druid_dp_bonus))</f>
        <v>2</v>
      </c>
      <c r="CB62" s="251">
        <f ca="1">MIN(dryad_cap,TblMili[[#This Row],[Homeland%]]/dryad_bonus)</f>
        <v>2.9999999999999996</v>
      </c>
      <c r="CC62" s="251">
        <f ca="1">MIN(rocka_cap,TblMili[[#This Row],[Homeland%]]/rocka_bonus)</f>
        <v>2</v>
      </c>
      <c r="CD62" s="251">
        <f ca="1">MIN(adept_op_cap,TblMili[[#This Row],[WG]]/adept_op_bonus)</f>
        <v>0</v>
      </c>
      <c r="CE62" s="251">
        <f ca="1">MIN(adept_dp_cap,TblMili[[#This Row],[WG]]/adept_dp_bonus)</f>
        <v>0</v>
      </c>
      <c r="CF62" s="94">
        <f ca="1">MIN(TblMili[[#This Row],[Unit 3]],TblMili[[#This Row],[Unit 2]])*2</f>
        <v>0</v>
      </c>
      <c r="CG62" s="94">
        <f ca="1">MIN(TblMili[[#This Row],[Unit 1]],TblMili[[#This Row],[Unit 4]])*2</f>
        <v>0</v>
      </c>
      <c r="CH62" s="251">
        <f ca="1">MIN(frost_mage_cap,TblMili[[#This Row],[Homeland%]]/frost_mage_bonus)</f>
        <v>2.9999999999999996</v>
      </c>
      <c r="CI62" s="45">
        <f ca="1">MIN(ice_elem_cap,TblMili[[#This Row],[Raw (2)]]*ice_elem_bonus)</f>
        <v>0</v>
      </c>
      <c r="CJ62" s="251">
        <f t="shared" si="2"/>
        <v>0.83333333333333337</v>
      </c>
      <c r="CK62" s="251">
        <f ca="1">MIN(nox_nightshade_cap,TblConstr[[#This Row],[Homeland]]/TblConstr[[#This Row],[Land]]/nox_nightshade_swamp_bonus)</f>
        <v>4</v>
      </c>
      <c r="CL62" s="251">
        <f ca="1">MIN(TblConstr[[#This Row],[Total Swamp]]/TblConstr[[#This Row],[Land]]/abyss_enforce_bonus,abyss_enforcer_cap)</f>
        <v>0</v>
      </c>
      <c r="CM62" s="251">
        <f ca="1">IF(TblMagic[[#This Row],[Active Infernal Command]]&gt;0,TblMili[[#This Row],[Unit 1]]*infernal_cmd_op,0)</f>
        <v>0</v>
      </c>
      <c r="CN62" s="252"/>
      <c r="CO62" s="252"/>
      <c r="CP62" s="252"/>
      <c r="CQ62" s="251">
        <f ca="1">TblMili[[#This Row],[Mystic]]*2</f>
        <v>4</v>
      </c>
      <c r="CR62" s="251">
        <f ca="1">TblMili[[#This Row],[Druid (op)]]*2</f>
        <v>4</v>
      </c>
      <c r="CS62" s="94">
        <f ca="1">TblMili[[#This Row],[Mystic bonus]]*TblMili[[#This Row],[Unit 3]]+TblMili[[#This Row],[Druid bonus]]*TblMili[[#This Row],[Unit 4]]</f>
        <v>0</v>
      </c>
      <c r="CT62" s="155">
        <f ca="1">TblMili[[#This Row],[Dryad]]*2</f>
        <v>5.9999999999999991</v>
      </c>
      <c r="CU62" s="94">
        <f ca="1">sylvan*(TblMili[[#This Row],[Mystic bonus]]*TblMili[[#This Row],[Unit 3]])</f>
        <v>0</v>
      </c>
      <c r="CV62" s="155">
        <f ca="1">TblMili[[#This Row],[Rockapult]]*2</f>
        <v>4</v>
      </c>
      <c r="CW62" s="94">
        <f ca="1">gnome*(TblMili[[#This Row],[Rockapult bonus]]*TblMili[[#This Row],[Unit 3]])</f>
        <v>0</v>
      </c>
      <c r="CX62" s="155">
        <f ca="1">TblMili[[#This Row],[Adept-DP]]*2</f>
        <v>0</v>
      </c>
      <c r="CY62" s="94">
        <f ca="1">dark_elf*(TblMili[[#This Row],[Adept bonus]]*TblMili[[#This Row],[Unit 3]])</f>
        <v>0</v>
      </c>
      <c r="CZ62" s="155">
        <f ca="1">TblMili[[#This Row],[Frost Mage]]*2</f>
        <v>5.9999999999999991</v>
      </c>
      <c r="DA62" s="155">
        <f ca="1">TblMili[[#This Row],[Ice Elemental]]*2</f>
        <v>0</v>
      </c>
      <c r="DB62" s="94">
        <f ca="1">TblMili[[#This Row],[Frost Mage bonus]]*TblMili[[#This Row],[Unit 3]]+TblMili[[#This Row],[Ice Elemental bonus]]*TblMili[[#This Row],[Unit 4]]</f>
        <v>0</v>
      </c>
      <c r="DC62" s="253"/>
      <c r="DD62" s="143">
        <f ca="1">MIN(SUM(TblConstr[[#This Row],[Plain]:[Water]])/TblMili[[#This Row],[Land]]/favorable_terrain_bonus/100,favorable_terrain_max)</f>
        <v>0</v>
      </c>
      <c r="DE62" s="253"/>
      <c r="DF6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2" s="142"/>
      <c r="DH62" s="254">
        <f ca="1">(TblMili[[#This Row],[Wizards]]+2*TblMili[[#This Row],[Archmages]])/TblConstr[[#This Row],[Land]]</f>
        <v>0</v>
      </c>
      <c r="DI62" s="254">
        <f ca="1">TblMili[[#This Row],[Raw (2)]]*(1+race_wizard_strength+IF(TblMili[[#This Row],[Hour]]&gt;72,tech_magical_weaponry_wiz*TblTech[[#This Row],[3-5]],0))</f>
        <v>0</v>
      </c>
    </row>
    <row r="63" spans="1:113" x14ac:dyDescent="0.2">
      <c r="A63" s="137">
        <f>TblRezone[[#This Row],[Hour]]</f>
        <v>60</v>
      </c>
      <c r="B63" s="246">
        <f ca="1">SUM(TblMili[[#This Row],[Unit 1]:[Archmages]])+SUM(OFFSET(TblMili[[#This Row],[Train Unit 1]],-8,0):TblMili[[#This Row],[Train Unit 2]]) + SUM(OFFSET(TblMili[[#This Row],[Train Unit 3]],-11,0):TblMili[[#This Row],[Train AM]]) + TblMili[[#This Row],[Draftees]]</f>
        <v>510</v>
      </c>
      <c r="C63" s="157">
        <f ca="1">TblPop[[#This Row],[Military%]]</f>
        <v>0.66319895968790632</v>
      </c>
      <c r="D63" s="142"/>
      <c r="E63" s="45">
        <f ca="1">OFFSET(TblMili[[#This Row],[Unit 1]],-1,0) + OFFSET(TblMili[[#This Row],[Train Unit 1]],-9,0) - TblMili[[#This Row],[Release Unit 1]] + OFFSET(TblMili[[#This Row],[DnD_Zombies]],-12,0)</f>
        <v>0</v>
      </c>
      <c r="F63" s="45">
        <f ca="1">OFFSET(TblMili[[#This Row],[Unit 2]],-1,0) + OFFSET(TblMili[[#This Row],[Train Unit 2]],-9,0)-TblMili[[#This Row],[Release Unit 2]]</f>
        <v>0</v>
      </c>
      <c r="G63" s="45">
        <f ca="1">OFFSET(TblMili[[#This Row],[Unit 3]],-1,0) + OFFSET(TblMili[[#This Row],[Train Unit 3]],-12,0)-TblMili[[#This Row],[Release Unit 3]]</f>
        <v>0</v>
      </c>
      <c r="H63" s="45">
        <f ca="1">OFFSET(TblMili[[#This Row],[Unit 4]],-1,0) + OFFSET(TblMili[[#This Row],[Train Unit 4]],-12,0)-TblMili[[#This Row],[Release Unit 4]]</f>
        <v>0</v>
      </c>
      <c r="I63" s="45">
        <f ca="1">OFFSET(TblMili[[#This Row],[Spies]],-1,0) + OFFSET(TblMili[[#This Row],[Train Spies]],-12,0) - TblMili[[#This Row],[Release Spies]]-TblMili[[#This Row],[Train AS]]</f>
        <v>0</v>
      </c>
      <c r="J63" s="45">
        <f ca="1">OFFSET(TblMili[[#This Row],[Archspies]],-1,0) + OFFSET(TblMili[[#This Row],[Train AS]],-12,0) - TblMili[[#This Row],[Release AS]]</f>
        <v>0</v>
      </c>
      <c r="K63" s="45">
        <f ca="1">OFFSET(TblMili[[#This Row],[Wizards]],-1,0) + OFFSET(TblMili[[#This Row],[Train Wiz]],-12,0) - TblMili[[#This Row],[Release Wizards]]-TblMili[[#This Row],[Train AM]] + IF(TblMagic[[#This Row],[Active Arc Infusion]]&gt;0,TblMili[[#This Row],[Train AM]])</f>
        <v>0</v>
      </c>
      <c r="L63" s="45">
        <f ca="1">OFFSET(TblMili[[#This Row],[Archmages]],-1,0) + OFFSET(TblMili[[#This Row],[Train AM]],-12,0) - TblMili[[#This Row],[Release AM]]</f>
        <v>0</v>
      </c>
      <c r="M63" s="142"/>
      <c r="N63" s="94">
        <f ca="1">TblProd[[#This Row],[Networth]]</f>
        <v>1250</v>
      </c>
      <c r="O63" s="142"/>
      <c r="P63"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6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3" s="247">
        <f ca="1">TblMili[[#This Row],[Raw]]*(1+TblMili[[#This Row],[Mods_Off]])</f>
        <v>0</v>
      </c>
      <c r="S63"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63" s="247">
        <f ca="1">TblMili[[#This Row],[Non Draft]]+TblMili[[#This Row],[Draftees]]</f>
        <v>510</v>
      </c>
      <c r="U63" s="248">
        <f ca="1">race_defense + TblImps[[#This Row],[Walls]] + ROUND( MIN(gt_bonus*TblConstr[[#This Row],[Tot GT]]/TblConstr[[#This Row],[Land]],gt_bonus_cap), 4) + IF(TblMagic[[#This Row],[Active Howling]]&gt;0,howling_dp_bonus,IF(TblMagic[[#This Row],[Active Ares Call]]&gt;0,ares_call_bonus))</f>
        <v>0</v>
      </c>
      <c r="V63" s="249">
        <f ca="1">TblMili[[#This Row],[Non Draft]] * (1 + TblMili[[#This Row],[Mods_Def]])</f>
        <v>0</v>
      </c>
      <c r="W63" s="247">
        <f ca="1">TblMili[[#This Row],[Draft]] * (1 + TblMili[[#This Row],[Mods_Def]])</f>
        <v>510</v>
      </c>
      <c r="X63" s="247">
        <f ca="1">TblConstr[[#This Row],[Land]]</f>
        <v>50</v>
      </c>
      <c r="Y63" s="250"/>
      <c r="Z63" s="255">
        <f ca="1">IF(TblMili[[#This Row],[Set]]&lt;&gt;"",TblMili[[#This Row],[Set]],OFFSET(TblMili[[#This Row],[Draftrate]],-1,0))</f>
        <v>0.9</v>
      </c>
      <c r="AA63"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510</v>
      </c>
      <c r="AB63" s="154"/>
      <c r="AC63" s="180">
        <f ca="1">(TblConstr[[#This Row],[Tot Smi]]+TblConstr[[#This Row],[Dest Smi]])/(TblConstr[[#This Row],[Land]]-TblExplore[[#This Row],[Land Bonus]]*20)</f>
        <v>0</v>
      </c>
      <c r="AD63" s="137"/>
      <c r="AE63" s="246">
        <f>TblMili[[#This Row],[Hour]]</f>
        <v>60</v>
      </c>
      <c r="AF63" s="138">
        <f ca="1">TblExplore[[#This Row],[Time]]</f>
        <v>46322.45833333319</v>
      </c>
      <c r="AG63" s="179"/>
      <c r="AH63" s="179"/>
      <c r="AI63" s="179"/>
      <c r="AJ63" s="179"/>
      <c r="AK63" s="179"/>
      <c r="AL63" s="179"/>
      <c r="AM63" s="179"/>
      <c r="AN63" s="179"/>
      <c r="AO63" s="420">
        <f ca="1">ROUND(IF(AND(TblMagic[[#This Row],[Active DnD]]&lt;12,TblMagic[[#This Row],[Active DnD]]&gt;5),OFFSET(TblPop[[#This Row],[Draft Growth]],-1,0)*0.375,0),0)</f>
        <v>0</v>
      </c>
      <c r="AP63" s="142"/>
      <c r="AQ63" s="94">
        <f ca="1">TblProd[[#This Row],[Platinum]]</f>
        <v>176769</v>
      </c>
      <c r="AR63" s="94">
        <f ca="1">INDEX(TblProd[[#Headers],[Lumber]]:TblProd[[#This Row],[Ore]],COUNTA(TblProd[[#Headers],[Lumber]]:TblProd[[#This Row],[Lumber]]),MATCH(Military!$AR$2,TblProd[[#Headers],[Lumber]:[Ore]],0))</f>
        <v>0</v>
      </c>
      <c r="AS6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63" s="94">
        <f ca="1">TblMili[[#This Row],[Train Unit 1]]*TblMili[[#This Row],[OP Ore]]+TblMili[[#This Row],[Train Unit 2]]*TblMili[[#This Row],[DP Ore]]+TblMili[[#This Row],[Train Unit 3]]*TblMili[[#This Row],[E1 Ore]]+TblMili[[#This Row],[Train Unit 4]]*TblMili[[#This Row],[E2 Ore]]</f>
        <v>0</v>
      </c>
      <c r="AU63" s="142">
        <f>TblMili[[#This Row],[Hour]]</f>
        <v>60</v>
      </c>
      <c r="AV63" s="152">
        <f ca="1">TblMili[[#This Row],[Time]]</f>
        <v>46322.45833333319</v>
      </c>
      <c r="AW63" s="94">
        <f ca="1">TblMili[[#This Row],[Draftees]]</f>
        <v>510</v>
      </c>
      <c r="AX63" s="179"/>
      <c r="AY63" s="179"/>
      <c r="AZ63" s="179"/>
      <c r="BA63" s="179"/>
      <c r="BB63" s="179"/>
      <c r="BC63" s="179"/>
      <c r="BD63" s="179"/>
      <c r="BE63" s="179"/>
      <c r="BF63" s="179"/>
      <c r="BG63" s="142"/>
      <c r="BH63" s="157">
        <f ca="1">TblConstr[[#This Row],[Tot WG]]/TblConstr[[#This Row],[Land]]</f>
        <v>0</v>
      </c>
      <c r="BI63" s="157">
        <f ca="1">TblConstr[[#This Row],[Tot Hav]]/TblConstr[[#This Row],[Land]]</f>
        <v>0</v>
      </c>
      <c r="BJ63" s="94">
        <f ca="1">ROUNDUP((1-MIN(TblMili[[#This Row],[Smithies]]*smithy_bonus,smithy_bonus_cap) + tech_3_5*TblTech[[#This Row],[3-5]] + tech_5_3*TblTech[[#This Row],[5-3]] + tech_5_5*TblTech[[#This Row],[5-5]])*spec_op_plat,0)</f>
        <v>315</v>
      </c>
      <c r="BK63" s="94">
        <f ca="1">ROUNDUP(IF(race="Gnome",1,(1-MIN(TblMili[[#This Row],[Smithies]]*smithy_bonus,smithy_bonus_cap) + tech_3_5*TblTech[[#This Row],[3-5]] + tech_5_3*TblTech[[#This Row],[5-3]] + tech_5_5*TblTech[[#This Row],[5-5]]))*spec_op_ore,0)</f>
        <v>25</v>
      </c>
      <c r="BL63" s="94">
        <f ca="1">ROUNDUP((1-MIN(TblMili[[#This Row],[Smithies]]*smithy_bonus,smithy_bonus_cap) + tech_3_5*TblTech[[#This Row],[3-5]] + tech_5_3*TblTech[[#This Row],[5-3]] + tech_5_5*TblTech[[#This Row],[5-5]])*spec_dp_plat,0)</f>
        <v>275</v>
      </c>
      <c r="BM63" s="94">
        <f ca="1">ROUNDUP(IF(race="Gnome",1,(1-MIN(TblMili[[#This Row],[Smithies]]*smithy_bonus,smithy_bonus_cap) + tech_3_5*TblTech[[#This Row],[3-5]] + tech_5_3*TblTech[[#This Row],[5-3]] + tech_5_5*TblTech[[#This Row],[5-5]]))*spec_dp_ore,0)</f>
        <v>15</v>
      </c>
      <c r="BN63" s="94">
        <f ca="1">ROUNDUP((1-MIN(TblMili[[#This Row],[Smithies]]*smithy_bonus,smithy_bonus_cap) + tech_3_5*TblTech[[#This Row],[3-5]] + tech_5_3*TblTech[[#This Row],[5-3]] + tech_5_5*TblTech[[#This Row],[5-5]])*elite1_plat,0)</f>
        <v>1040</v>
      </c>
      <c r="BO63" s="94">
        <f ca="1">ROUNDUP(IF(race="Gnome",1,(1-MIN(TblMili[[#This Row],[Smithies]]*smithy_bonus,smithy_bonus_cap) + tech_3_5*TblTech[[#This Row],[3-5]] + tech_5_3*TblTech[[#This Row],[5-3]] + tech_5_5*TblTech[[#This Row],[5-5]]))*elite1_ore,0)</f>
        <v>75</v>
      </c>
      <c r="BP63" s="94">
        <f ca="1">ROUNDUP((1-MIN(TblMili[[#This Row],[Smithies]]*smithy_bonus,smithy_bonus_cap) + tech_3_5*TblTech[[#This Row],[3-5]] + tech_5_3*TblTech[[#This Row],[5-3]] + tech_5_5*TblTech[[#This Row],[5-5]])*elite2_plat,0)</f>
        <v>1280</v>
      </c>
      <c r="BQ63" s="94">
        <f ca="1">ROUNDUP(IF(race="Gnome",1,(1-MIN(TblMili[[#This Row],[Smithies]]*smithy_bonus,smithy_bonus_cap) + tech_3_5*TblTech[[#This Row],[3-5]] + tech_5_3*TblTech[[#This Row],[5-3]] + tech_5_5*TblTech[[#This Row],[5-5]]))*elite2_ore,0)</f>
        <v>100</v>
      </c>
      <c r="BR63" s="94">
        <f ca="1">ROUNDUP((1-MIN(ROUND(fh_spy_cost_red*TblMili[[#This Row],[FH''s]],4),fh_spy_cost_cap)+ tech_1_9*TblTech[[#This Row],[1-9]] + tech_9_1*TblTech[[#This Row],[9-1]])*spy_plat,0)</f>
        <v>500</v>
      </c>
      <c r="BS63" s="94">
        <f ca="1">ROUNDUP((1-MIN(ROUND(fh_spy_cost_red*TblMili[[#This Row],[FH''s]],4),fh_spy_cost_cap)+ tech_1_9*TblTech[[#This Row],[1-9]] + tech_9_1*TblTech[[#This Row],[9-1]])*archspy_plat,0)</f>
        <v>1000</v>
      </c>
      <c r="BT63" s="94">
        <f ca="1">ROUNDUP((1-MIN(ROUND(wg_wiz_cost_bonus*TblMili[[#This Row],[WG''s]],4),wg_wiz_cost_cap) + tech_1_9_2*TblTech[[#This Row],[1-9]] + tech_9_1_2*TblTech[[#This Row],[9-1]])*wizard_plat,0)</f>
        <v>500</v>
      </c>
      <c r="BU63" s="94">
        <f ca="1">ROUNDUP((1-MIN(ROUND(wg_wiz_cost_bonus*TblMili[[#This Row],[WG''s]],4),wg_wiz_cost_cap) + tech_1_9_2*TblTech[[#This Row],[1-9]] + tech_9_1_2*TblTech[[#This Row],[9-1]])*(archmage_plat + IF(TblMagic[[#This Row],[Active Arc Infusion]]&gt;0,400,0)),0)</f>
        <v>1000</v>
      </c>
      <c r="BV63" s="142"/>
      <c r="BW63" s="157">
        <f ca="1">TblConstr[[#This Row],[Homeland]]/TblConstr[[#This Row],[Land]]</f>
        <v>0.6</v>
      </c>
      <c r="BX63" s="157">
        <f ca="1">TblMili[[#This Row],[WG''s]]</f>
        <v>0</v>
      </c>
      <c r="BY63" s="251">
        <f ca="1">IF(mystic_cap="none",TblMili[[#This Row],[Homeland%]]/mystic_bonus,MIN(mystic_cap,TblMili[[#This Row],[Homeland%]]/mystic_bonus))</f>
        <v>2</v>
      </c>
      <c r="BZ63" s="251">
        <f ca="1">IF(druid_op_cap="none",TblMili[[#This Row],[Homeland%]]/druid_op_bonus,MIN(druid_op_cap,TblMili[[#This Row],[Homeland%]]/druid_op_bonus))</f>
        <v>2</v>
      </c>
      <c r="CA63" s="251">
        <f ca="1">IF(druid_dp_cap="none",TblMili[[#This Row],[Homeland%]]/druid_dp_bonus,MIN(druid_dp_cap,TblMili[[#This Row],[Homeland%]]/druid_dp_bonus))</f>
        <v>2</v>
      </c>
      <c r="CB63" s="251">
        <f ca="1">MIN(dryad_cap,TblMili[[#This Row],[Homeland%]]/dryad_bonus)</f>
        <v>2.9999999999999996</v>
      </c>
      <c r="CC63" s="251">
        <f ca="1">MIN(rocka_cap,TblMili[[#This Row],[Homeland%]]/rocka_bonus)</f>
        <v>2</v>
      </c>
      <c r="CD63" s="251">
        <f ca="1">MIN(adept_op_cap,TblMili[[#This Row],[WG]]/adept_op_bonus)</f>
        <v>0</v>
      </c>
      <c r="CE63" s="251">
        <f ca="1">MIN(adept_dp_cap,TblMili[[#This Row],[WG]]/adept_dp_bonus)</f>
        <v>0</v>
      </c>
      <c r="CF63" s="94">
        <f ca="1">MIN(TblMili[[#This Row],[Unit 3]],TblMili[[#This Row],[Unit 2]])*2</f>
        <v>0</v>
      </c>
      <c r="CG63" s="94">
        <f ca="1">MIN(TblMili[[#This Row],[Unit 1]],TblMili[[#This Row],[Unit 4]])*2</f>
        <v>0</v>
      </c>
      <c r="CH63" s="251">
        <f ca="1">MIN(frost_mage_cap,TblMili[[#This Row],[Homeland%]]/frost_mage_bonus)</f>
        <v>2.9999999999999996</v>
      </c>
      <c r="CI63" s="45">
        <f ca="1">MIN(ice_elem_cap,TblMili[[#This Row],[Raw (2)]]*ice_elem_bonus)</f>
        <v>0</v>
      </c>
      <c r="CJ63" s="251">
        <f t="shared" si="2"/>
        <v>0.83333333333333337</v>
      </c>
      <c r="CK63" s="251">
        <f ca="1">MIN(nox_nightshade_cap,TblConstr[[#This Row],[Homeland]]/TblConstr[[#This Row],[Land]]/nox_nightshade_swamp_bonus)</f>
        <v>4</v>
      </c>
      <c r="CL63" s="251">
        <f ca="1">MIN(TblConstr[[#This Row],[Total Swamp]]/TblConstr[[#This Row],[Land]]/abyss_enforce_bonus,abyss_enforcer_cap)</f>
        <v>0</v>
      </c>
      <c r="CM63" s="251">
        <f ca="1">IF(TblMagic[[#This Row],[Active Infernal Command]]&gt;0,TblMili[[#This Row],[Unit 1]]*infernal_cmd_op,0)</f>
        <v>0</v>
      </c>
      <c r="CN63" s="252"/>
      <c r="CO63" s="252"/>
      <c r="CP63" s="252"/>
      <c r="CQ63" s="251">
        <f ca="1">TblMili[[#This Row],[Mystic]]*2</f>
        <v>4</v>
      </c>
      <c r="CR63" s="251">
        <f ca="1">TblMili[[#This Row],[Druid (op)]]*2</f>
        <v>4</v>
      </c>
      <c r="CS63" s="94">
        <f ca="1">TblMili[[#This Row],[Mystic bonus]]*TblMili[[#This Row],[Unit 3]]+TblMili[[#This Row],[Druid bonus]]*TblMili[[#This Row],[Unit 4]]</f>
        <v>0</v>
      </c>
      <c r="CT63" s="155">
        <f ca="1">TblMili[[#This Row],[Dryad]]*2</f>
        <v>5.9999999999999991</v>
      </c>
      <c r="CU63" s="94">
        <f ca="1">sylvan*(TblMili[[#This Row],[Mystic bonus]]*TblMili[[#This Row],[Unit 3]])</f>
        <v>0</v>
      </c>
      <c r="CV63" s="155">
        <f ca="1">TblMili[[#This Row],[Rockapult]]*2</f>
        <v>4</v>
      </c>
      <c r="CW63" s="94">
        <f ca="1">gnome*(TblMili[[#This Row],[Rockapult bonus]]*TblMili[[#This Row],[Unit 3]])</f>
        <v>0</v>
      </c>
      <c r="CX63" s="155">
        <f ca="1">TblMili[[#This Row],[Adept-DP]]*2</f>
        <v>0</v>
      </c>
      <c r="CY63" s="94">
        <f ca="1">dark_elf*(TblMili[[#This Row],[Adept bonus]]*TblMili[[#This Row],[Unit 3]])</f>
        <v>0</v>
      </c>
      <c r="CZ63" s="155">
        <f ca="1">TblMili[[#This Row],[Frost Mage]]*2</f>
        <v>5.9999999999999991</v>
      </c>
      <c r="DA63" s="155">
        <f ca="1">TblMili[[#This Row],[Ice Elemental]]*2</f>
        <v>0</v>
      </c>
      <c r="DB63" s="94">
        <f ca="1">TblMili[[#This Row],[Frost Mage bonus]]*TblMili[[#This Row],[Unit 3]]+TblMili[[#This Row],[Ice Elemental bonus]]*TblMili[[#This Row],[Unit 4]]</f>
        <v>0</v>
      </c>
      <c r="DC63" s="253"/>
      <c r="DD63" s="143">
        <f ca="1">MIN(SUM(TblConstr[[#This Row],[Plain]:[Water]])/TblMili[[#This Row],[Land]]/favorable_terrain_bonus/100,favorable_terrain_max)</f>
        <v>0</v>
      </c>
      <c r="DE63" s="253"/>
      <c r="DF6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3" s="142"/>
      <c r="DH63" s="254">
        <f ca="1">(TblMili[[#This Row],[Wizards]]+2*TblMili[[#This Row],[Archmages]])/TblConstr[[#This Row],[Land]]</f>
        <v>0</v>
      </c>
      <c r="DI63" s="254">
        <f ca="1">TblMili[[#This Row],[Raw (2)]]*(1+race_wizard_strength+IF(TblMili[[#This Row],[Hour]]&gt;72,tech_magical_weaponry_wiz*TblTech[[#This Row],[3-5]],0))</f>
        <v>0</v>
      </c>
    </row>
    <row r="64" spans="1:113" x14ac:dyDescent="0.2">
      <c r="A64" s="137">
        <f>TblRezone[[#This Row],[Hour]]</f>
        <v>61</v>
      </c>
      <c r="B64" s="246">
        <f ca="1">SUM(TblMili[[#This Row],[Unit 1]:[Archmages]])+SUM(OFFSET(TblMili[[#This Row],[Train Unit 1]],-8,0):TblMili[[#This Row],[Train Unit 2]]) + SUM(OFFSET(TblMili[[#This Row],[Train Unit 3]],-11,0):TblMili[[#This Row],[Train AM]]) + TblMili[[#This Row],[Draftees]]</f>
        <v>513</v>
      </c>
      <c r="C64" s="157">
        <f ca="1">TblPop[[#This Row],[Military%]]</f>
        <v>0.6671001300390117</v>
      </c>
      <c r="D64" s="142"/>
      <c r="E64" s="45">
        <f ca="1">OFFSET(TblMili[[#This Row],[Unit 1]],-1,0) + OFFSET(TblMili[[#This Row],[Train Unit 1]],-9,0) - TblMili[[#This Row],[Release Unit 1]] + OFFSET(TblMili[[#This Row],[DnD_Zombies]],-12,0)</f>
        <v>0</v>
      </c>
      <c r="F64" s="45">
        <f ca="1">OFFSET(TblMili[[#This Row],[Unit 2]],-1,0) + OFFSET(TblMili[[#This Row],[Train Unit 2]],-9,0)-TblMili[[#This Row],[Release Unit 2]]</f>
        <v>0</v>
      </c>
      <c r="G64" s="45">
        <f ca="1">OFFSET(TblMili[[#This Row],[Unit 3]],-1,0) + OFFSET(TblMili[[#This Row],[Train Unit 3]],-12,0)-TblMili[[#This Row],[Release Unit 3]]</f>
        <v>0</v>
      </c>
      <c r="H64" s="45">
        <f ca="1">OFFSET(TblMili[[#This Row],[Unit 4]],-1,0) + OFFSET(TblMili[[#This Row],[Train Unit 4]],-12,0)-TblMili[[#This Row],[Release Unit 4]]</f>
        <v>0</v>
      </c>
      <c r="I64" s="45">
        <f ca="1">OFFSET(TblMili[[#This Row],[Spies]],-1,0) + OFFSET(TblMili[[#This Row],[Train Spies]],-12,0) - TblMili[[#This Row],[Release Spies]]-TblMili[[#This Row],[Train AS]]</f>
        <v>0</v>
      </c>
      <c r="J64" s="45">
        <f ca="1">OFFSET(TblMili[[#This Row],[Archspies]],-1,0) + OFFSET(TblMili[[#This Row],[Train AS]],-12,0) - TblMili[[#This Row],[Release AS]]</f>
        <v>0</v>
      </c>
      <c r="K64" s="45">
        <f ca="1">OFFSET(TblMili[[#This Row],[Wizards]],-1,0) + OFFSET(TblMili[[#This Row],[Train Wiz]],-12,0) - TblMili[[#This Row],[Release Wizards]]-TblMili[[#This Row],[Train AM]] + IF(TblMagic[[#This Row],[Active Arc Infusion]]&gt;0,TblMili[[#This Row],[Train AM]])</f>
        <v>0</v>
      </c>
      <c r="L64" s="45">
        <f ca="1">OFFSET(TblMili[[#This Row],[Archmages]],-1,0) + OFFSET(TblMili[[#This Row],[Train AM]],-12,0) - TblMili[[#This Row],[Release AM]]</f>
        <v>0</v>
      </c>
      <c r="M64" s="142"/>
      <c r="N64" s="94">
        <f ca="1">TblProd[[#This Row],[Networth]]</f>
        <v>1250</v>
      </c>
      <c r="O64" s="142"/>
      <c r="P64"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6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4" s="247">
        <f ca="1">TblMili[[#This Row],[Raw]]*(1+TblMili[[#This Row],[Mods_Off]])</f>
        <v>0</v>
      </c>
      <c r="S64"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64" s="247">
        <f ca="1">TblMili[[#This Row],[Non Draft]]+TblMili[[#This Row],[Draftees]]</f>
        <v>513</v>
      </c>
      <c r="U64" s="248">
        <f ca="1">race_defense + TblImps[[#This Row],[Walls]] + ROUND( MIN(gt_bonus*TblConstr[[#This Row],[Tot GT]]/TblConstr[[#This Row],[Land]],gt_bonus_cap), 4) + IF(TblMagic[[#This Row],[Active Howling]]&gt;0,howling_dp_bonus,IF(TblMagic[[#This Row],[Active Ares Call]]&gt;0,ares_call_bonus))</f>
        <v>0</v>
      </c>
      <c r="V64" s="249">
        <f ca="1">TblMili[[#This Row],[Non Draft]] * (1 + TblMili[[#This Row],[Mods_Def]])</f>
        <v>0</v>
      </c>
      <c r="W64" s="247">
        <f ca="1">TblMili[[#This Row],[Draft]] * (1 + TblMili[[#This Row],[Mods_Def]])</f>
        <v>513</v>
      </c>
      <c r="X64" s="247">
        <f ca="1">TblConstr[[#This Row],[Land]]</f>
        <v>50</v>
      </c>
      <c r="Y64" s="250"/>
      <c r="Z64" s="255">
        <f ca="1">IF(TblMili[[#This Row],[Set]]&lt;&gt;"",TblMili[[#This Row],[Set]],OFFSET(TblMili[[#This Row],[Draftrate]],-1,0))</f>
        <v>0.9</v>
      </c>
      <c r="AA64"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513</v>
      </c>
      <c r="AB64" s="154"/>
      <c r="AC64" s="180">
        <f ca="1">(TblConstr[[#This Row],[Tot Smi]]+TblConstr[[#This Row],[Dest Smi]])/(TblConstr[[#This Row],[Land]]-TblExplore[[#This Row],[Land Bonus]]*20)</f>
        <v>0</v>
      </c>
      <c r="AD64" s="246"/>
      <c r="AE64" s="246">
        <f>TblMili[[#This Row],[Hour]]</f>
        <v>61</v>
      </c>
      <c r="AF64" s="138">
        <f ca="1">TblExplore[[#This Row],[Time]]</f>
        <v>46322.499999999854</v>
      </c>
      <c r="AG64" s="179"/>
      <c r="AH64" s="158"/>
      <c r="AI64" s="179"/>
      <c r="AJ64" s="158"/>
      <c r="AK64" s="158"/>
      <c r="AL64" s="158"/>
      <c r="AM64" s="158"/>
      <c r="AN64" s="179"/>
      <c r="AO64" s="420">
        <f ca="1">ROUND(IF(AND(TblMagic[[#This Row],[Active DnD]]&lt;12,TblMagic[[#This Row],[Active DnD]]&gt;5),OFFSET(TblPop[[#This Row],[Draft Growth]],-1,0)*0.375,0),0)</f>
        <v>0</v>
      </c>
      <c r="AP64" s="142"/>
      <c r="AQ64" s="94">
        <f ca="1">TblProd[[#This Row],[Platinum]]</f>
        <v>177468</v>
      </c>
      <c r="AR64" s="94">
        <f ca="1">INDEX(TblProd[[#Headers],[Lumber]]:TblProd[[#This Row],[Ore]],COUNTA(TblProd[[#Headers],[Lumber]]:TblProd[[#This Row],[Lumber]]),MATCH(Military!$AR$2,TblProd[[#Headers],[Lumber]:[Ore]],0))</f>
        <v>0</v>
      </c>
      <c r="AS6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64" s="94">
        <f ca="1">TblMili[[#This Row],[Train Unit 1]]*TblMili[[#This Row],[OP Ore]]+TblMili[[#This Row],[Train Unit 2]]*TblMili[[#This Row],[DP Ore]]+TblMili[[#This Row],[Train Unit 3]]*TblMili[[#This Row],[E1 Ore]]+TblMili[[#This Row],[Train Unit 4]]*TblMili[[#This Row],[E2 Ore]]</f>
        <v>0</v>
      </c>
      <c r="AU64" s="142">
        <f>TblMili[[#This Row],[Hour]]</f>
        <v>61</v>
      </c>
      <c r="AV64" s="152">
        <f ca="1">TblMili[[#This Row],[Time]]</f>
        <v>46322.499999999854</v>
      </c>
      <c r="AW64" s="94">
        <f ca="1">TblMili[[#This Row],[Draftees]]</f>
        <v>513</v>
      </c>
      <c r="AX64" s="179"/>
      <c r="AY64" s="179"/>
      <c r="AZ64" s="179"/>
      <c r="BA64" s="179"/>
      <c r="BB64" s="179"/>
      <c r="BC64" s="179"/>
      <c r="BD64" s="179"/>
      <c r="BE64" s="179"/>
      <c r="BF64" s="179"/>
      <c r="BG64" s="142"/>
      <c r="BH64" s="157">
        <f ca="1">TblConstr[[#This Row],[Tot WG]]/TblConstr[[#This Row],[Land]]</f>
        <v>0</v>
      </c>
      <c r="BI64" s="157">
        <f ca="1">TblConstr[[#This Row],[Tot Hav]]/TblConstr[[#This Row],[Land]]</f>
        <v>0</v>
      </c>
      <c r="BJ64" s="94">
        <f ca="1">ROUNDUP((1-MIN(TblMili[[#This Row],[Smithies]]*smithy_bonus,smithy_bonus_cap) + tech_3_5*TblTech[[#This Row],[3-5]] + tech_5_3*TblTech[[#This Row],[5-3]] + tech_5_5*TblTech[[#This Row],[5-5]])*spec_op_plat,0)</f>
        <v>315</v>
      </c>
      <c r="BK64" s="94">
        <f ca="1">ROUNDUP(IF(race="Gnome",1,(1-MIN(TblMili[[#This Row],[Smithies]]*smithy_bonus,smithy_bonus_cap) + tech_3_5*TblTech[[#This Row],[3-5]] + tech_5_3*TblTech[[#This Row],[5-3]] + tech_5_5*TblTech[[#This Row],[5-5]]))*spec_op_ore,0)</f>
        <v>25</v>
      </c>
      <c r="BL64" s="94">
        <f ca="1">ROUNDUP((1-MIN(TblMili[[#This Row],[Smithies]]*smithy_bonus,smithy_bonus_cap) + tech_3_5*TblTech[[#This Row],[3-5]] + tech_5_3*TblTech[[#This Row],[5-3]] + tech_5_5*TblTech[[#This Row],[5-5]])*spec_dp_plat,0)</f>
        <v>275</v>
      </c>
      <c r="BM64" s="94">
        <f ca="1">ROUNDUP(IF(race="Gnome",1,(1-MIN(TblMili[[#This Row],[Smithies]]*smithy_bonus,smithy_bonus_cap) + tech_3_5*TblTech[[#This Row],[3-5]] + tech_5_3*TblTech[[#This Row],[5-3]] + tech_5_5*TblTech[[#This Row],[5-5]]))*spec_dp_ore,0)</f>
        <v>15</v>
      </c>
      <c r="BN64" s="94">
        <f ca="1">ROUNDUP((1-MIN(TblMili[[#This Row],[Smithies]]*smithy_bonus,smithy_bonus_cap) + tech_3_5*TblTech[[#This Row],[3-5]] + tech_5_3*TblTech[[#This Row],[5-3]] + tech_5_5*TblTech[[#This Row],[5-5]])*elite1_plat,0)</f>
        <v>1040</v>
      </c>
      <c r="BO64" s="94">
        <f ca="1">ROUNDUP(IF(race="Gnome",1,(1-MIN(TblMili[[#This Row],[Smithies]]*smithy_bonus,smithy_bonus_cap) + tech_3_5*TblTech[[#This Row],[3-5]] + tech_5_3*TblTech[[#This Row],[5-3]] + tech_5_5*TblTech[[#This Row],[5-5]]))*elite1_ore,0)</f>
        <v>75</v>
      </c>
      <c r="BP64" s="94">
        <f ca="1">ROUNDUP((1-MIN(TblMili[[#This Row],[Smithies]]*smithy_bonus,smithy_bonus_cap) + tech_3_5*TblTech[[#This Row],[3-5]] + tech_5_3*TblTech[[#This Row],[5-3]] + tech_5_5*TblTech[[#This Row],[5-5]])*elite2_plat,0)</f>
        <v>1280</v>
      </c>
      <c r="BQ64" s="94">
        <f ca="1">ROUNDUP(IF(race="Gnome",1,(1-MIN(TblMili[[#This Row],[Smithies]]*smithy_bonus,smithy_bonus_cap) + tech_3_5*TblTech[[#This Row],[3-5]] + tech_5_3*TblTech[[#This Row],[5-3]] + tech_5_5*TblTech[[#This Row],[5-5]]))*elite2_ore,0)</f>
        <v>100</v>
      </c>
      <c r="BR64" s="94">
        <f ca="1">ROUNDUP((1-MIN(ROUND(fh_spy_cost_red*TblMili[[#This Row],[FH''s]],4),fh_spy_cost_cap)+ tech_1_9*TblTech[[#This Row],[1-9]] + tech_9_1*TblTech[[#This Row],[9-1]])*spy_plat,0)</f>
        <v>500</v>
      </c>
      <c r="BS64" s="94">
        <f ca="1">ROUNDUP((1-MIN(ROUND(fh_spy_cost_red*TblMili[[#This Row],[FH''s]],4),fh_spy_cost_cap)+ tech_1_9*TblTech[[#This Row],[1-9]] + tech_9_1*TblTech[[#This Row],[9-1]])*archspy_plat,0)</f>
        <v>1000</v>
      </c>
      <c r="BT64" s="94">
        <f ca="1">ROUNDUP((1-MIN(ROUND(wg_wiz_cost_bonus*TblMili[[#This Row],[WG''s]],4),wg_wiz_cost_cap) + tech_1_9_2*TblTech[[#This Row],[1-9]] + tech_9_1_2*TblTech[[#This Row],[9-1]])*wizard_plat,0)</f>
        <v>500</v>
      </c>
      <c r="BU64" s="94">
        <f ca="1">ROUNDUP((1-MIN(ROUND(wg_wiz_cost_bonus*TblMili[[#This Row],[WG''s]],4),wg_wiz_cost_cap) + tech_1_9_2*TblTech[[#This Row],[1-9]] + tech_9_1_2*TblTech[[#This Row],[9-1]])*(archmage_plat + IF(TblMagic[[#This Row],[Active Arc Infusion]]&gt;0,400,0)),0)</f>
        <v>1000</v>
      </c>
      <c r="BV64" s="142"/>
      <c r="BW64" s="157">
        <f ca="1">TblConstr[[#This Row],[Homeland]]/TblConstr[[#This Row],[Land]]</f>
        <v>0.6</v>
      </c>
      <c r="BX64" s="157">
        <f ca="1">TblMili[[#This Row],[WG''s]]</f>
        <v>0</v>
      </c>
      <c r="BY64" s="251">
        <f ca="1">IF(mystic_cap="none",TblMili[[#This Row],[Homeland%]]/mystic_bonus,MIN(mystic_cap,TblMili[[#This Row],[Homeland%]]/mystic_bonus))</f>
        <v>2</v>
      </c>
      <c r="BZ64" s="251">
        <f ca="1">IF(druid_op_cap="none",TblMili[[#This Row],[Homeland%]]/druid_op_bonus,MIN(druid_op_cap,TblMili[[#This Row],[Homeland%]]/druid_op_bonus))</f>
        <v>2</v>
      </c>
      <c r="CA64" s="251">
        <f ca="1">IF(druid_dp_cap="none",TblMili[[#This Row],[Homeland%]]/druid_dp_bonus,MIN(druid_dp_cap,TblMili[[#This Row],[Homeland%]]/druid_dp_bonus))</f>
        <v>2</v>
      </c>
      <c r="CB64" s="251">
        <f ca="1">MIN(dryad_cap,TblMili[[#This Row],[Homeland%]]/dryad_bonus)</f>
        <v>2.9999999999999996</v>
      </c>
      <c r="CC64" s="251">
        <f ca="1">MIN(rocka_cap,TblMili[[#This Row],[Homeland%]]/rocka_bonus)</f>
        <v>2</v>
      </c>
      <c r="CD64" s="251">
        <f ca="1">MIN(adept_op_cap,TblMili[[#This Row],[WG]]/adept_op_bonus)</f>
        <v>0</v>
      </c>
      <c r="CE64" s="251">
        <f ca="1">MIN(adept_dp_cap,TblMili[[#This Row],[WG]]/adept_dp_bonus)</f>
        <v>0</v>
      </c>
      <c r="CF64" s="94">
        <f ca="1">MIN(TblMili[[#This Row],[Unit 3]],TblMili[[#This Row],[Unit 2]])*2</f>
        <v>0</v>
      </c>
      <c r="CG64" s="94">
        <f ca="1">MIN(TblMili[[#This Row],[Unit 1]],TblMili[[#This Row],[Unit 4]])*2</f>
        <v>0</v>
      </c>
      <c r="CH64" s="251">
        <f ca="1">MIN(frost_mage_cap,TblMili[[#This Row],[Homeland%]]/frost_mage_bonus)</f>
        <v>2.9999999999999996</v>
      </c>
      <c r="CI64" s="45">
        <f ca="1">MIN(ice_elem_cap,TblMili[[#This Row],[Raw (2)]]*ice_elem_bonus)</f>
        <v>0</v>
      </c>
      <c r="CJ64" s="251">
        <f t="shared" si="2"/>
        <v>0.83333333333333337</v>
      </c>
      <c r="CK64" s="251">
        <f ca="1">MIN(nox_nightshade_cap,TblConstr[[#This Row],[Homeland]]/TblConstr[[#This Row],[Land]]/nox_nightshade_swamp_bonus)</f>
        <v>4</v>
      </c>
      <c r="CL64" s="251">
        <f ca="1">MIN(TblConstr[[#This Row],[Total Swamp]]/TblConstr[[#This Row],[Land]]/abyss_enforce_bonus,abyss_enforcer_cap)</f>
        <v>0</v>
      </c>
      <c r="CM64" s="251">
        <f ca="1">IF(TblMagic[[#This Row],[Active Infernal Command]]&gt;0,TblMili[[#This Row],[Unit 1]]*infernal_cmd_op,0)</f>
        <v>0</v>
      </c>
      <c r="CN64" s="252"/>
      <c r="CO64" s="252"/>
      <c r="CP64" s="252"/>
      <c r="CQ64" s="251">
        <f ca="1">TblMili[[#This Row],[Mystic]]*2</f>
        <v>4</v>
      </c>
      <c r="CR64" s="251">
        <f ca="1">TblMili[[#This Row],[Druid (op)]]*2</f>
        <v>4</v>
      </c>
      <c r="CS64" s="94">
        <f ca="1">TblMili[[#This Row],[Mystic bonus]]*TblMili[[#This Row],[Unit 3]]+TblMili[[#This Row],[Druid bonus]]*TblMili[[#This Row],[Unit 4]]</f>
        <v>0</v>
      </c>
      <c r="CT64" s="155">
        <f ca="1">TblMili[[#This Row],[Dryad]]*2</f>
        <v>5.9999999999999991</v>
      </c>
      <c r="CU64" s="94">
        <f ca="1">sylvan*(TblMili[[#This Row],[Mystic bonus]]*TblMili[[#This Row],[Unit 3]])</f>
        <v>0</v>
      </c>
      <c r="CV64" s="155">
        <f ca="1">TblMili[[#This Row],[Rockapult]]*2</f>
        <v>4</v>
      </c>
      <c r="CW64" s="94">
        <f ca="1">gnome*(TblMili[[#This Row],[Rockapult bonus]]*TblMili[[#This Row],[Unit 3]])</f>
        <v>0</v>
      </c>
      <c r="CX64" s="155">
        <f ca="1">TblMili[[#This Row],[Adept-DP]]*2</f>
        <v>0</v>
      </c>
      <c r="CY64" s="94">
        <f ca="1">dark_elf*(TblMili[[#This Row],[Adept bonus]]*TblMili[[#This Row],[Unit 3]])</f>
        <v>0</v>
      </c>
      <c r="CZ64" s="155">
        <f ca="1">TblMili[[#This Row],[Frost Mage]]*2</f>
        <v>5.9999999999999991</v>
      </c>
      <c r="DA64" s="155">
        <f ca="1">TblMili[[#This Row],[Ice Elemental]]*2</f>
        <v>0</v>
      </c>
      <c r="DB64" s="94">
        <f ca="1">TblMili[[#This Row],[Frost Mage bonus]]*TblMili[[#This Row],[Unit 3]]+TblMili[[#This Row],[Ice Elemental bonus]]*TblMili[[#This Row],[Unit 4]]</f>
        <v>0</v>
      </c>
      <c r="DC64" s="253"/>
      <c r="DD64" s="143">
        <f ca="1">MIN(SUM(TblConstr[[#This Row],[Plain]:[Water]])/TblMili[[#This Row],[Land]]/favorable_terrain_bonus/100,favorable_terrain_max)</f>
        <v>0</v>
      </c>
      <c r="DE64" s="253"/>
      <c r="DF6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4" s="142"/>
      <c r="DH64" s="254">
        <f ca="1">(TblMili[[#This Row],[Wizards]]+2*TblMili[[#This Row],[Archmages]])/TblConstr[[#This Row],[Land]]</f>
        <v>0</v>
      </c>
      <c r="DI64" s="254">
        <f ca="1">TblMili[[#This Row],[Raw (2)]]*(1+race_wizard_strength+IF(TblMili[[#This Row],[Hour]]&gt;72,tech_magical_weaponry_wiz*TblTech[[#This Row],[3-5]],0))</f>
        <v>0</v>
      </c>
    </row>
    <row r="65" spans="1:113" x14ac:dyDescent="0.2">
      <c r="A65" s="137">
        <f>TblRezone[[#This Row],[Hour]]</f>
        <v>62</v>
      </c>
      <c r="B65" s="246">
        <f ca="1">SUM(TblMili[[#This Row],[Unit 1]:[Archmages]])+SUM(OFFSET(TblMili[[#This Row],[Train Unit 1]],-8,0):TblMili[[#This Row],[Train Unit 2]]) + SUM(OFFSET(TblMili[[#This Row],[Train Unit 3]],-11,0):TblMili[[#This Row],[Train AM]]) + TblMili[[#This Row],[Draftees]]</f>
        <v>516</v>
      </c>
      <c r="C65" s="157">
        <f ca="1">TblPop[[#This Row],[Military%]]</f>
        <v>0.67100130039011707</v>
      </c>
      <c r="D65" s="142"/>
      <c r="E65" s="45">
        <f ca="1">OFFSET(TblMili[[#This Row],[Unit 1]],-1,0) + OFFSET(TblMili[[#This Row],[Train Unit 1]],-9,0) - TblMili[[#This Row],[Release Unit 1]] + OFFSET(TblMili[[#This Row],[DnD_Zombies]],-12,0)</f>
        <v>0</v>
      </c>
      <c r="F65" s="45">
        <f ca="1">OFFSET(TblMili[[#This Row],[Unit 2]],-1,0) + OFFSET(TblMili[[#This Row],[Train Unit 2]],-9,0)-TblMili[[#This Row],[Release Unit 2]]</f>
        <v>0</v>
      </c>
      <c r="G65" s="45">
        <f ca="1">OFFSET(TblMili[[#This Row],[Unit 3]],-1,0) + OFFSET(TblMili[[#This Row],[Train Unit 3]],-12,0)-TblMili[[#This Row],[Release Unit 3]]</f>
        <v>0</v>
      </c>
      <c r="H65" s="45">
        <f ca="1">OFFSET(TblMili[[#This Row],[Unit 4]],-1,0) + OFFSET(TblMili[[#This Row],[Train Unit 4]],-12,0)-TblMili[[#This Row],[Release Unit 4]]</f>
        <v>0</v>
      </c>
      <c r="I65" s="45">
        <f ca="1">OFFSET(TblMili[[#This Row],[Spies]],-1,0) + OFFSET(TblMili[[#This Row],[Train Spies]],-12,0) - TblMili[[#This Row],[Release Spies]]-TblMili[[#This Row],[Train AS]]</f>
        <v>0</v>
      </c>
      <c r="J65" s="45">
        <f ca="1">OFFSET(TblMili[[#This Row],[Archspies]],-1,0) + OFFSET(TblMili[[#This Row],[Train AS]],-12,0) - TblMili[[#This Row],[Release AS]]</f>
        <v>0</v>
      </c>
      <c r="K65" s="45">
        <f ca="1">OFFSET(TblMili[[#This Row],[Wizards]],-1,0) + OFFSET(TblMili[[#This Row],[Train Wiz]],-12,0) - TblMili[[#This Row],[Release Wizards]]-TblMili[[#This Row],[Train AM]] + IF(TblMagic[[#This Row],[Active Arc Infusion]]&gt;0,TblMili[[#This Row],[Train AM]])</f>
        <v>0</v>
      </c>
      <c r="L65" s="45">
        <f ca="1">OFFSET(TblMili[[#This Row],[Archmages]],-1,0) + OFFSET(TblMili[[#This Row],[Train AM]],-12,0) - TblMili[[#This Row],[Release AM]]</f>
        <v>0</v>
      </c>
      <c r="M65" s="142"/>
      <c r="N65" s="94">
        <f ca="1">TblProd[[#This Row],[Networth]]</f>
        <v>1250</v>
      </c>
      <c r="O65" s="142"/>
      <c r="P65"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6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5" s="247">
        <f ca="1">TblMili[[#This Row],[Raw]]*(1+TblMili[[#This Row],[Mods_Off]])</f>
        <v>0</v>
      </c>
      <c r="S65"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65" s="247">
        <f ca="1">TblMili[[#This Row],[Non Draft]]+TblMili[[#This Row],[Draftees]]</f>
        <v>516</v>
      </c>
      <c r="U65" s="248">
        <f ca="1">race_defense + TblImps[[#This Row],[Walls]] + ROUND( MIN(gt_bonus*TblConstr[[#This Row],[Tot GT]]/TblConstr[[#This Row],[Land]],gt_bonus_cap), 4) + IF(TblMagic[[#This Row],[Active Howling]]&gt;0,howling_dp_bonus,IF(TblMagic[[#This Row],[Active Ares Call]]&gt;0,ares_call_bonus))</f>
        <v>0</v>
      </c>
      <c r="V65" s="249">
        <f ca="1">TblMili[[#This Row],[Non Draft]] * (1 + TblMili[[#This Row],[Mods_Def]])</f>
        <v>0</v>
      </c>
      <c r="W65" s="247">
        <f ca="1">TblMili[[#This Row],[Draft]] * (1 + TblMili[[#This Row],[Mods_Def]])</f>
        <v>516</v>
      </c>
      <c r="X65" s="247">
        <f ca="1">TblConstr[[#This Row],[Land]]</f>
        <v>50</v>
      </c>
      <c r="Y65" s="250"/>
      <c r="Z65" s="255">
        <f ca="1">IF(TblMili[[#This Row],[Set]]&lt;&gt;"",TblMili[[#This Row],[Set]],OFFSET(TblMili[[#This Row],[Draftrate]],-1,0))</f>
        <v>0.9</v>
      </c>
      <c r="AA65"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516</v>
      </c>
      <c r="AB65" s="154"/>
      <c r="AC65" s="180">
        <f ca="1">(TblConstr[[#This Row],[Tot Smi]]+TblConstr[[#This Row],[Dest Smi]])/(TblConstr[[#This Row],[Land]]-TblExplore[[#This Row],[Land Bonus]]*20)</f>
        <v>0</v>
      </c>
      <c r="AD65" s="137"/>
      <c r="AE65" s="246">
        <f>TblMili[[#This Row],[Hour]]</f>
        <v>62</v>
      </c>
      <c r="AF65" s="138">
        <f ca="1">TblExplore[[#This Row],[Time]]</f>
        <v>46322.541666666519</v>
      </c>
      <c r="AG65" s="158"/>
      <c r="AH65" s="179"/>
      <c r="AI65" s="179"/>
      <c r="AJ65" s="179"/>
      <c r="AK65" s="179"/>
      <c r="AL65" s="179"/>
      <c r="AM65" s="179"/>
      <c r="AN65" s="179"/>
      <c r="AO65" s="420">
        <f ca="1">ROUND(IF(AND(TblMagic[[#This Row],[Active DnD]]&lt;12,TblMagic[[#This Row],[Active DnD]]&gt;5),OFFSET(TblPop[[#This Row],[Draft Growth]],-1,0)*0.375,0),0)</f>
        <v>0</v>
      </c>
      <c r="AP65" s="142"/>
      <c r="AQ65" s="94">
        <f ca="1">TblProd[[#This Row],[Platinum]]</f>
        <v>178159</v>
      </c>
      <c r="AR65" s="94">
        <f ca="1">INDEX(TblProd[[#Headers],[Lumber]]:TblProd[[#This Row],[Ore]],COUNTA(TblProd[[#Headers],[Lumber]]:TblProd[[#This Row],[Lumber]]),MATCH(Military!$AR$2,TblProd[[#Headers],[Lumber]:[Ore]],0))</f>
        <v>0</v>
      </c>
      <c r="AS6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65" s="94">
        <f ca="1">TblMili[[#This Row],[Train Unit 1]]*TblMili[[#This Row],[OP Ore]]+TblMili[[#This Row],[Train Unit 2]]*TblMili[[#This Row],[DP Ore]]+TblMili[[#This Row],[Train Unit 3]]*TblMili[[#This Row],[E1 Ore]]+TblMili[[#This Row],[Train Unit 4]]*TblMili[[#This Row],[E2 Ore]]</f>
        <v>0</v>
      </c>
      <c r="AU65" s="142">
        <f>TblMili[[#This Row],[Hour]]</f>
        <v>62</v>
      </c>
      <c r="AV65" s="152">
        <f ca="1">TblMili[[#This Row],[Time]]</f>
        <v>46322.541666666519</v>
      </c>
      <c r="AW65" s="94">
        <f ca="1">TblMili[[#This Row],[Draftees]]</f>
        <v>516</v>
      </c>
      <c r="AX65" s="158"/>
      <c r="AY65" s="179"/>
      <c r="AZ65" s="179"/>
      <c r="BA65" s="179"/>
      <c r="BB65" s="179"/>
      <c r="BC65" s="179"/>
      <c r="BD65" s="179"/>
      <c r="BE65" s="179"/>
      <c r="BF65" s="179"/>
      <c r="BG65" s="142"/>
      <c r="BH65" s="157">
        <f ca="1">TblConstr[[#This Row],[Tot WG]]/TblConstr[[#This Row],[Land]]</f>
        <v>0</v>
      </c>
      <c r="BI65" s="157">
        <f ca="1">TblConstr[[#This Row],[Tot Hav]]/TblConstr[[#This Row],[Land]]</f>
        <v>0</v>
      </c>
      <c r="BJ65" s="94">
        <f ca="1">ROUNDUP((1-MIN(TblMili[[#This Row],[Smithies]]*smithy_bonus,smithy_bonus_cap) + tech_3_5*TblTech[[#This Row],[3-5]] + tech_5_3*TblTech[[#This Row],[5-3]] + tech_5_5*TblTech[[#This Row],[5-5]])*spec_op_plat,0)</f>
        <v>315</v>
      </c>
      <c r="BK65" s="94">
        <f ca="1">ROUNDUP(IF(race="Gnome",1,(1-MIN(TblMili[[#This Row],[Smithies]]*smithy_bonus,smithy_bonus_cap) + tech_3_5*TblTech[[#This Row],[3-5]] + tech_5_3*TblTech[[#This Row],[5-3]] + tech_5_5*TblTech[[#This Row],[5-5]]))*spec_op_ore,0)</f>
        <v>25</v>
      </c>
      <c r="BL65" s="94">
        <f ca="1">ROUNDUP((1-MIN(TblMili[[#This Row],[Smithies]]*smithy_bonus,smithy_bonus_cap) + tech_3_5*TblTech[[#This Row],[3-5]] + tech_5_3*TblTech[[#This Row],[5-3]] + tech_5_5*TblTech[[#This Row],[5-5]])*spec_dp_plat,0)</f>
        <v>275</v>
      </c>
      <c r="BM65" s="94">
        <f ca="1">ROUNDUP(IF(race="Gnome",1,(1-MIN(TblMili[[#This Row],[Smithies]]*smithy_bonus,smithy_bonus_cap) + tech_3_5*TblTech[[#This Row],[3-5]] + tech_5_3*TblTech[[#This Row],[5-3]] + tech_5_5*TblTech[[#This Row],[5-5]]))*spec_dp_ore,0)</f>
        <v>15</v>
      </c>
      <c r="BN65" s="94">
        <f ca="1">ROUNDUP((1-MIN(TblMili[[#This Row],[Smithies]]*smithy_bonus,smithy_bonus_cap) + tech_3_5*TblTech[[#This Row],[3-5]] + tech_5_3*TblTech[[#This Row],[5-3]] + tech_5_5*TblTech[[#This Row],[5-5]])*elite1_plat,0)</f>
        <v>1040</v>
      </c>
      <c r="BO65" s="94">
        <f ca="1">ROUNDUP(IF(race="Gnome",1,(1-MIN(TblMili[[#This Row],[Smithies]]*smithy_bonus,smithy_bonus_cap) + tech_3_5*TblTech[[#This Row],[3-5]] + tech_5_3*TblTech[[#This Row],[5-3]] + tech_5_5*TblTech[[#This Row],[5-5]]))*elite1_ore,0)</f>
        <v>75</v>
      </c>
      <c r="BP65" s="94">
        <f ca="1">ROUNDUP((1-MIN(TblMili[[#This Row],[Smithies]]*smithy_bonus,smithy_bonus_cap) + tech_3_5*TblTech[[#This Row],[3-5]] + tech_5_3*TblTech[[#This Row],[5-3]] + tech_5_5*TblTech[[#This Row],[5-5]])*elite2_plat,0)</f>
        <v>1280</v>
      </c>
      <c r="BQ65" s="94">
        <f ca="1">ROUNDUP(IF(race="Gnome",1,(1-MIN(TblMili[[#This Row],[Smithies]]*smithy_bonus,smithy_bonus_cap) + tech_3_5*TblTech[[#This Row],[3-5]] + tech_5_3*TblTech[[#This Row],[5-3]] + tech_5_5*TblTech[[#This Row],[5-5]]))*elite2_ore,0)</f>
        <v>100</v>
      </c>
      <c r="BR65" s="94">
        <f ca="1">ROUNDUP((1-MIN(ROUND(fh_spy_cost_red*TblMili[[#This Row],[FH''s]],4),fh_spy_cost_cap)+ tech_1_9*TblTech[[#This Row],[1-9]] + tech_9_1*TblTech[[#This Row],[9-1]])*spy_plat,0)</f>
        <v>500</v>
      </c>
      <c r="BS65" s="94">
        <f ca="1">ROUNDUP((1-MIN(ROUND(fh_spy_cost_red*TblMili[[#This Row],[FH''s]],4),fh_spy_cost_cap)+ tech_1_9*TblTech[[#This Row],[1-9]] + tech_9_1*TblTech[[#This Row],[9-1]])*archspy_plat,0)</f>
        <v>1000</v>
      </c>
      <c r="BT65" s="94">
        <f ca="1">ROUNDUP((1-MIN(ROUND(wg_wiz_cost_bonus*TblMili[[#This Row],[WG''s]],4),wg_wiz_cost_cap) + tech_1_9_2*TblTech[[#This Row],[1-9]] + tech_9_1_2*TblTech[[#This Row],[9-1]])*wizard_plat,0)</f>
        <v>500</v>
      </c>
      <c r="BU65" s="94">
        <f ca="1">ROUNDUP((1-MIN(ROUND(wg_wiz_cost_bonus*TblMili[[#This Row],[WG''s]],4),wg_wiz_cost_cap) + tech_1_9_2*TblTech[[#This Row],[1-9]] + tech_9_1_2*TblTech[[#This Row],[9-1]])*(archmage_plat + IF(TblMagic[[#This Row],[Active Arc Infusion]]&gt;0,400,0)),0)</f>
        <v>1000</v>
      </c>
      <c r="BV65" s="142"/>
      <c r="BW65" s="157">
        <f ca="1">TblConstr[[#This Row],[Homeland]]/TblConstr[[#This Row],[Land]]</f>
        <v>0.6</v>
      </c>
      <c r="BX65" s="157">
        <f ca="1">TblMili[[#This Row],[WG''s]]</f>
        <v>0</v>
      </c>
      <c r="BY65" s="251">
        <f ca="1">IF(mystic_cap="none",TblMili[[#This Row],[Homeland%]]/mystic_bonus,MIN(mystic_cap,TblMili[[#This Row],[Homeland%]]/mystic_bonus))</f>
        <v>2</v>
      </c>
      <c r="BZ65" s="251">
        <f ca="1">IF(druid_op_cap="none",TblMili[[#This Row],[Homeland%]]/druid_op_bonus,MIN(druid_op_cap,TblMili[[#This Row],[Homeland%]]/druid_op_bonus))</f>
        <v>2</v>
      </c>
      <c r="CA65" s="251">
        <f ca="1">IF(druid_dp_cap="none",TblMili[[#This Row],[Homeland%]]/druid_dp_bonus,MIN(druid_dp_cap,TblMili[[#This Row],[Homeland%]]/druid_dp_bonus))</f>
        <v>2</v>
      </c>
      <c r="CB65" s="251">
        <f ca="1">MIN(dryad_cap,TblMili[[#This Row],[Homeland%]]/dryad_bonus)</f>
        <v>2.9999999999999996</v>
      </c>
      <c r="CC65" s="251">
        <f ca="1">MIN(rocka_cap,TblMili[[#This Row],[Homeland%]]/rocka_bonus)</f>
        <v>2</v>
      </c>
      <c r="CD65" s="251">
        <f ca="1">MIN(adept_op_cap,TblMili[[#This Row],[WG]]/adept_op_bonus)</f>
        <v>0</v>
      </c>
      <c r="CE65" s="251">
        <f ca="1">MIN(adept_dp_cap,TblMili[[#This Row],[WG]]/adept_dp_bonus)</f>
        <v>0</v>
      </c>
      <c r="CF65" s="94">
        <f ca="1">MIN(TblMili[[#This Row],[Unit 3]],TblMili[[#This Row],[Unit 2]])*2</f>
        <v>0</v>
      </c>
      <c r="CG65" s="94">
        <f ca="1">MIN(TblMili[[#This Row],[Unit 1]],TblMili[[#This Row],[Unit 4]])*2</f>
        <v>0</v>
      </c>
      <c r="CH65" s="251">
        <f ca="1">MIN(frost_mage_cap,TblMili[[#This Row],[Homeland%]]/frost_mage_bonus)</f>
        <v>2.9999999999999996</v>
      </c>
      <c r="CI65" s="45">
        <f ca="1">MIN(ice_elem_cap,TblMili[[#This Row],[Raw (2)]]*ice_elem_bonus)</f>
        <v>0</v>
      </c>
      <c r="CJ65" s="251">
        <f t="shared" si="2"/>
        <v>0.83333333333333337</v>
      </c>
      <c r="CK65" s="251">
        <f ca="1">MIN(nox_nightshade_cap,TblConstr[[#This Row],[Homeland]]/TblConstr[[#This Row],[Land]]/nox_nightshade_swamp_bonus)</f>
        <v>4</v>
      </c>
      <c r="CL65" s="251">
        <f ca="1">MIN(TblConstr[[#This Row],[Total Swamp]]/TblConstr[[#This Row],[Land]]/abyss_enforce_bonus,abyss_enforcer_cap)</f>
        <v>0</v>
      </c>
      <c r="CM65" s="251">
        <f ca="1">IF(TblMagic[[#This Row],[Active Infernal Command]]&gt;0,TblMili[[#This Row],[Unit 1]]*infernal_cmd_op,0)</f>
        <v>0</v>
      </c>
      <c r="CN65" s="252"/>
      <c r="CO65" s="252"/>
      <c r="CP65" s="252"/>
      <c r="CQ65" s="251">
        <f ca="1">TblMili[[#This Row],[Mystic]]*2</f>
        <v>4</v>
      </c>
      <c r="CR65" s="251">
        <f ca="1">TblMili[[#This Row],[Druid (op)]]*2</f>
        <v>4</v>
      </c>
      <c r="CS65" s="94">
        <f ca="1">TblMili[[#This Row],[Mystic bonus]]*TblMili[[#This Row],[Unit 3]]+TblMili[[#This Row],[Druid bonus]]*TblMili[[#This Row],[Unit 4]]</f>
        <v>0</v>
      </c>
      <c r="CT65" s="155">
        <f ca="1">TblMili[[#This Row],[Dryad]]*2</f>
        <v>5.9999999999999991</v>
      </c>
      <c r="CU65" s="94">
        <f ca="1">sylvan*(TblMili[[#This Row],[Mystic bonus]]*TblMili[[#This Row],[Unit 3]])</f>
        <v>0</v>
      </c>
      <c r="CV65" s="155">
        <f ca="1">TblMili[[#This Row],[Rockapult]]*2</f>
        <v>4</v>
      </c>
      <c r="CW65" s="94">
        <f ca="1">gnome*(TblMili[[#This Row],[Rockapult bonus]]*TblMili[[#This Row],[Unit 3]])</f>
        <v>0</v>
      </c>
      <c r="CX65" s="155">
        <f ca="1">TblMili[[#This Row],[Adept-DP]]*2</f>
        <v>0</v>
      </c>
      <c r="CY65" s="94">
        <f ca="1">dark_elf*(TblMili[[#This Row],[Adept bonus]]*TblMili[[#This Row],[Unit 3]])</f>
        <v>0</v>
      </c>
      <c r="CZ65" s="155">
        <f ca="1">TblMili[[#This Row],[Frost Mage]]*2</f>
        <v>5.9999999999999991</v>
      </c>
      <c r="DA65" s="155">
        <f ca="1">TblMili[[#This Row],[Ice Elemental]]*2</f>
        <v>0</v>
      </c>
      <c r="DB65" s="94">
        <f ca="1">TblMili[[#This Row],[Frost Mage bonus]]*TblMili[[#This Row],[Unit 3]]+TblMili[[#This Row],[Ice Elemental bonus]]*TblMili[[#This Row],[Unit 4]]</f>
        <v>0</v>
      </c>
      <c r="DC65" s="253"/>
      <c r="DD65" s="143">
        <f ca="1">MIN(SUM(TblConstr[[#This Row],[Plain]:[Water]])/TblMili[[#This Row],[Land]]/favorable_terrain_bonus/100,favorable_terrain_max)</f>
        <v>0</v>
      </c>
      <c r="DE65" s="253"/>
      <c r="DF6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5" s="142"/>
      <c r="DH65" s="254">
        <f ca="1">(TblMili[[#This Row],[Wizards]]+2*TblMili[[#This Row],[Archmages]])/TblConstr[[#This Row],[Land]]</f>
        <v>0</v>
      </c>
      <c r="DI65" s="254">
        <f ca="1">TblMili[[#This Row],[Raw (2)]]*(1+race_wizard_strength+IF(TblMili[[#This Row],[Hour]]&gt;72,tech_magical_weaponry_wiz*TblTech[[#This Row],[3-5]],0))</f>
        <v>0</v>
      </c>
    </row>
    <row r="66" spans="1:113" x14ac:dyDescent="0.2">
      <c r="A66" s="137">
        <f>TblRezone[[#This Row],[Hour]]</f>
        <v>63</v>
      </c>
      <c r="B66" s="246">
        <f ca="1">SUM(TblMili[[#This Row],[Unit 1]:[Archmages]])+SUM(OFFSET(TblMili[[#This Row],[Train Unit 1]],-8,0):TblMili[[#This Row],[Train Unit 2]]) + SUM(OFFSET(TblMili[[#This Row],[Train Unit 3]],-11,0):TblMili[[#This Row],[Train AM]]) + TblMili[[#This Row],[Draftees]]</f>
        <v>519</v>
      </c>
      <c r="C66" s="157">
        <f ca="1">TblPop[[#This Row],[Military%]]</f>
        <v>0.67490247074122234</v>
      </c>
      <c r="D66" s="142"/>
      <c r="E66" s="45">
        <f ca="1">OFFSET(TblMili[[#This Row],[Unit 1]],-1,0) + OFFSET(TblMili[[#This Row],[Train Unit 1]],-9,0) - TblMili[[#This Row],[Release Unit 1]] + OFFSET(TblMili[[#This Row],[DnD_Zombies]],-12,0)</f>
        <v>0</v>
      </c>
      <c r="F66" s="45">
        <f ca="1">OFFSET(TblMili[[#This Row],[Unit 2]],-1,0) + OFFSET(TblMili[[#This Row],[Train Unit 2]],-9,0)-TblMili[[#This Row],[Release Unit 2]]</f>
        <v>0</v>
      </c>
      <c r="G66" s="45">
        <f ca="1">OFFSET(TblMili[[#This Row],[Unit 3]],-1,0) + OFFSET(TblMili[[#This Row],[Train Unit 3]],-12,0)-TblMili[[#This Row],[Release Unit 3]]</f>
        <v>0</v>
      </c>
      <c r="H66" s="45">
        <f ca="1">OFFSET(TblMili[[#This Row],[Unit 4]],-1,0) + OFFSET(TblMili[[#This Row],[Train Unit 4]],-12,0)-TblMili[[#This Row],[Release Unit 4]]</f>
        <v>0</v>
      </c>
      <c r="I66" s="45">
        <f ca="1">OFFSET(TblMili[[#This Row],[Spies]],-1,0) + OFFSET(TblMili[[#This Row],[Train Spies]],-12,0) - TblMili[[#This Row],[Release Spies]]-TblMili[[#This Row],[Train AS]]</f>
        <v>0</v>
      </c>
      <c r="J66" s="45">
        <f ca="1">OFFSET(TblMili[[#This Row],[Archspies]],-1,0) + OFFSET(TblMili[[#This Row],[Train AS]],-12,0) - TblMili[[#This Row],[Release AS]]</f>
        <v>0</v>
      </c>
      <c r="K66" s="45">
        <f ca="1">OFFSET(TblMili[[#This Row],[Wizards]],-1,0) + OFFSET(TblMili[[#This Row],[Train Wiz]],-12,0) - TblMili[[#This Row],[Release Wizards]]-TblMili[[#This Row],[Train AM]] + IF(TblMagic[[#This Row],[Active Arc Infusion]]&gt;0,TblMili[[#This Row],[Train AM]])</f>
        <v>0</v>
      </c>
      <c r="L66" s="45">
        <f ca="1">OFFSET(TblMili[[#This Row],[Archmages]],-1,0) + OFFSET(TblMili[[#This Row],[Train AM]],-12,0) - TblMili[[#This Row],[Release AM]]</f>
        <v>0</v>
      </c>
      <c r="M66" s="142"/>
      <c r="N66" s="94">
        <f ca="1">TblProd[[#This Row],[Networth]]</f>
        <v>1250</v>
      </c>
      <c r="O66" s="142"/>
      <c r="P66"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6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6" s="247">
        <f ca="1">TblMili[[#This Row],[Raw]]*(1+TblMili[[#This Row],[Mods_Off]])</f>
        <v>0</v>
      </c>
      <c r="S66"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66" s="247">
        <f ca="1">TblMili[[#This Row],[Non Draft]]+TblMili[[#This Row],[Draftees]]</f>
        <v>519</v>
      </c>
      <c r="U66" s="248">
        <f ca="1">race_defense + TblImps[[#This Row],[Walls]] + ROUND( MIN(gt_bonus*TblConstr[[#This Row],[Tot GT]]/TblConstr[[#This Row],[Land]],gt_bonus_cap), 4) + IF(TblMagic[[#This Row],[Active Howling]]&gt;0,howling_dp_bonus,IF(TblMagic[[#This Row],[Active Ares Call]]&gt;0,ares_call_bonus))</f>
        <v>0</v>
      </c>
      <c r="V66" s="249">
        <f ca="1">TblMili[[#This Row],[Non Draft]] * (1 + TblMili[[#This Row],[Mods_Def]])</f>
        <v>0</v>
      </c>
      <c r="W66" s="247">
        <f ca="1">TblMili[[#This Row],[Draft]] * (1 + TblMili[[#This Row],[Mods_Def]])</f>
        <v>519</v>
      </c>
      <c r="X66" s="247">
        <f ca="1">TblConstr[[#This Row],[Land]]</f>
        <v>50</v>
      </c>
      <c r="Y66" s="250"/>
      <c r="Z66" s="255">
        <f ca="1">IF(TblMili[[#This Row],[Set]]&lt;&gt;"",TblMili[[#This Row],[Set]],OFFSET(TblMili[[#This Row],[Draftrate]],-1,0))</f>
        <v>0.9</v>
      </c>
      <c r="AA66"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519</v>
      </c>
      <c r="AB66" s="154"/>
      <c r="AC66" s="180">
        <f ca="1">(TblConstr[[#This Row],[Tot Smi]]+TblConstr[[#This Row],[Dest Smi]])/(TblConstr[[#This Row],[Land]]-TblExplore[[#This Row],[Land Bonus]]*20)</f>
        <v>0</v>
      </c>
      <c r="AD66" s="137"/>
      <c r="AE66" s="246">
        <f>TblMili[[#This Row],[Hour]]</f>
        <v>63</v>
      </c>
      <c r="AF66" s="138">
        <f ca="1">TblExplore[[#This Row],[Time]]</f>
        <v>46322.583333333183</v>
      </c>
      <c r="AG66" s="179"/>
      <c r="AH66" s="179"/>
      <c r="AI66" s="179"/>
      <c r="AJ66" s="179"/>
      <c r="AK66" s="179"/>
      <c r="AL66" s="179"/>
      <c r="AM66" s="179"/>
      <c r="AN66" s="179"/>
      <c r="AO66" s="420">
        <f ca="1">ROUND(IF(AND(TblMagic[[#This Row],[Active DnD]]&lt;12,TblMagic[[#This Row],[Active DnD]]&gt;5),OFFSET(TblPop[[#This Row],[Draft Growth]],-1,0)*0.375,0),0)</f>
        <v>0</v>
      </c>
      <c r="AP66" s="142"/>
      <c r="AQ66" s="94">
        <f ca="1">TblProd[[#This Row],[Platinum]]</f>
        <v>178842</v>
      </c>
      <c r="AR66" s="94">
        <f ca="1">INDEX(TblProd[[#Headers],[Lumber]]:TblProd[[#This Row],[Ore]],COUNTA(TblProd[[#Headers],[Lumber]]:TblProd[[#This Row],[Lumber]]),MATCH(Military!$AR$2,TblProd[[#Headers],[Lumber]:[Ore]],0))</f>
        <v>0</v>
      </c>
      <c r="AS6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66" s="94">
        <f ca="1">TblMili[[#This Row],[Train Unit 1]]*TblMili[[#This Row],[OP Ore]]+TblMili[[#This Row],[Train Unit 2]]*TblMili[[#This Row],[DP Ore]]+TblMili[[#This Row],[Train Unit 3]]*TblMili[[#This Row],[E1 Ore]]+TblMili[[#This Row],[Train Unit 4]]*TblMili[[#This Row],[E2 Ore]]</f>
        <v>0</v>
      </c>
      <c r="AU66" s="142">
        <f>TblMili[[#This Row],[Hour]]</f>
        <v>63</v>
      </c>
      <c r="AV66" s="152">
        <f ca="1">TblMili[[#This Row],[Time]]</f>
        <v>46322.583333333183</v>
      </c>
      <c r="AW66" s="94">
        <f ca="1">TblMili[[#This Row],[Draftees]]</f>
        <v>519</v>
      </c>
      <c r="AX66" s="179"/>
      <c r="AY66" s="179"/>
      <c r="AZ66" s="179"/>
      <c r="BA66" s="179"/>
      <c r="BB66" s="179"/>
      <c r="BC66" s="179"/>
      <c r="BD66" s="179"/>
      <c r="BE66" s="179"/>
      <c r="BF66" s="179"/>
      <c r="BG66" s="142"/>
      <c r="BH66" s="157">
        <f ca="1">TblConstr[[#This Row],[Tot WG]]/TblConstr[[#This Row],[Land]]</f>
        <v>0</v>
      </c>
      <c r="BI66" s="157">
        <f ca="1">TblConstr[[#This Row],[Tot Hav]]/TblConstr[[#This Row],[Land]]</f>
        <v>0</v>
      </c>
      <c r="BJ66" s="94">
        <f ca="1">ROUNDUP((1-MIN(TblMili[[#This Row],[Smithies]]*smithy_bonus,smithy_bonus_cap) + tech_3_5*TblTech[[#This Row],[3-5]] + tech_5_3*TblTech[[#This Row],[5-3]] + tech_5_5*TblTech[[#This Row],[5-5]])*spec_op_plat,0)</f>
        <v>315</v>
      </c>
      <c r="BK66" s="94">
        <f ca="1">ROUNDUP(IF(race="Gnome",1,(1-MIN(TblMili[[#This Row],[Smithies]]*smithy_bonus,smithy_bonus_cap) + tech_3_5*TblTech[[#This Row],[3-5]] + tech_5_3*TblTech[[#This Row],[5-3]] + tech_5_5*TblTech[[#This Row],[5-5]]))*spec_op_ore,0)</f>
        <v>25</v>
      </c>
      <c r="BL66" s="94">
        <f ca="1">ROUNDUP((1-MIN(TblMili[[#This Row],[Smithies]]*smithy_bonus,smithy_bonus_cap) + tech_3_5*TblTech[[#This Row],[3-5]] + tech_5_3*TblTech[[#This Row],[5-3]] + tech_5_5*TblTech[[#This Row],[5-5]])*spec_dp_plat,0)</f>
        <v>275</v>
      </c>
      <c r="BM66" s="94">
        <f ca="1">ROUNDUP(IF(race="Gnome",1,(1-MIN(TblMili[[#This Row],[Smithies]]*smithy_bonus,smithy_bonus_cap) + tech_3_5*TblTech[[#This Row],[3-5]] + tech_5_3*TblTech[[#This Row],[5-3]] + tech_5_5*TblTech[[#This Row],[5-5]]))*spec_dp_ore,0)</f>
        <v>15</v>
      </c>
      <c r="BN66" s="94">
        <f ca="1">ROUNDUP((1-MIN(TblMili[[#This Row],[Smithies]]*smithy_bonus,smithy_bonus_cap) + tech_3_5*TblTech[[#This Row],[3-5]] + tech_5_3*TblTech[[#This Row],[5-3]] + tech_5_5*TblTech[[#This Row],[5-5]])*elite1_plat,0)</f>
        <v>1040</v>
      </c>
      <c r="BO66" s="94">
        <f ca="1">ROUNDUP(IF(race="Gnome",1,(1-MIN(TblMili[[#This Row],[Smithies]]*smithy_bonus,smithy_bonus_cap) + tech_3_5*TblTech[[#This Row],[3-5]] + tech_5_3*TblTech[[#This Row],[5-3]] + tech_5_5*TblTech[[#This Row],[5-5]]))*elite1_ore,0)</f>
        <v>75</v>
      </c>
      <c r="BP66" s="94">
        <f ca="1">ROUNDUP((1-MIN(TblMili[[#This Row],[Smithies]]*smithy_bonus,smithy_bonus_cap) + tech_3_5*TblTech[[#This Row],[3-5]] + tech_5_3*TblTech[[#This Row],[5-3]] + tech_5_5*TblTech[[#This Row],[5-5]])*elite2_plat,0)</f>
        <v>1280</v>
      </c>
      <c r="BQ66" s="94">
        <f ca="1">ROUNDUP(IF(race="Gnome",1,(1-MIN(TblMili[[#This Row],[Smithies]]*smithy_bonus,smithy_bonus_cap) + tech_3_5*TblTech[[#This Row],[3-5]] + tech_5_3*TblTech[[#This Row],[5-3]] + tech_5_5*TblTech[[#This Row],[5-5]]))*elite2_ore,0)</f>
        <v>100</v>
      </c>
      <c r="BR66" s="94">
        <f ca="1">ROUNDUP((1-MIN(ROUND(fh_spy_cost_red*TblMili[[#This Row],[FH''s]],4),fh_spy_cost_cap)+ tech_1_9*TblTech[[#This Row],[1-9]] + tech_9_1*TblTech[[#This Row],[9-1]])*spy_plat,0)</f>
        <v>500</v>
      </c>
      <c r="BS66" s="94">
        <f ca="1">ROUNDUP((1-MIN(ROUND(fh_spy_cost_red*TblMili[[#This Row],[FH''s]],4),fh_spy_cost_cap)+ tech_1_9*TblTech[[#This Row],[1-9]] + tech_9_1*TblTech[[#This Row],[9-1]])*archspy_plat,0)</f>
        <v>1000</v>
      </c>
      <c r="BT66" s="94">
        <f ca="1">ROUNDUP((1-MIN(ROUND(wg_wiz_cost_bonus*TblMili[[#This Row],[WG''s]],4),wg_wiz_cost_cap) + tech_1_9_2*TblTech[[#This Row],[1-9]] + tech_9_1_2*TblTech[[#This Row],[9-1]])*wizard_plat,0)</f>
        <v>500</v>
      </c>
      <c r="BU66" s="94">
        <f ca="1">ROUNDUP((1-MIN(ROUND(wg_wiz_cost_bonus*TblMili[[#This Row],[WG''s]],4),wg_wiz_cost_cap) + tech_1_9_2*TblTech[[#This Row],[1-9]] + tech_9_1_2*TblTech[[#This Row],[9-1]])*(archmage_plat + IF(TblMagic[[#This Row],[Active Arc Infusion]]&gt;0,400,0)),0)</f>
        <v>1000</v>
      </c>
      <c r="BV66" s="142"/>
      <c r="BW66" s="157">
        <f ca="1">TblConstr[[#This Row],[Homeland]]/TblConstr[[#This Row],[Land]]</f>
        <v>0.6</v>
      </c>
      <c r="BX66" s="157">
        <f ca="1">TblMili[[#This Row],[WG''s]]</f>
        <v>0</v>
      </c>
      <c r="BY66" s="251">
        <f ca="1">IF(mystic_cap="none",TblMili[[#This Row],[Homeland%]]/mystic_bonus,MIN(mystic_cap,TblMili[[#This Row],[Homeland%]]/mystic_bonus))</f>
        <v>2</v>
      </c>
      <c r="BZ66" s="251">
        <f ca="1">IF(druid_op_cap="none",TblMili[[#This Row],[Homeland%]]/druid_op_bonus,MIN(druid_op_cap,TblMili[[#This Row],[Homeland%]]/druid_op_bonus))</f>
        <v>2</v>
      </c>
      <c r="CA66" s="251">
        <f ca="1">IF(druid_dp_cap="none",TblMili[[#This Row],[Homeland%]]/druid_dp_bonus,MIN(druid_dp_cap,TblMili[[#This Row],[Homeland%]]/druid_dp_bonus))</f>
        <v>2</v>
      </c>
      <c r="CB66" s="251">
        <f ca="1">MIN(dryad_cap,TblMili[[#This Row],[Homeland%]]/dryad_bonus)</f>
        <v>2.9999999999999996</v>
      </c>
      <c r="CC66" s="251">
        <f ca="1">MIN(rocka_cap,TblMili[[#This Row],[Homeland%]]/rocka_bonus)</f>
        <v>2</v>
      </c>
      <c r="CD66" s="251">
        <f ca="1">MIN(adept_op_cap,TblMili[[#This Row],[WG]]/adept_op_bonus)</f>
        <v>0</v>
      </c>
      <c r="CE66" s="251">
        <f ca="1">MIN(adept_dp_cap,TblMili[[#This Row],[WG]]/adept_dp_bonus)</f>
        <v>0</v>
      </c>
      <c r="CF66" s="94">
        <f ca="1">MIN(TblMili[[#This Row],[Unit 3]],TblMili[[#This Row],[Unit 2]])*2</f>
        <v>0</v>
      </c>
      <c r="CG66" s="94">
        <f ca="1">MIN(TblMili[[#This Row],[Unit 1]],TblMili[[#This Row],[Unit 4]])*2</f>
        <v>0</v>
      </c>
      <c r="CH66" s="251">
        <f ca="1">MIN(frost_mage_cap,TblMili[[#This Row],[Homeland%]]/frost_mage_bonus)</f>
        <v>2.9999999999999996</v>
      </c>
      <c r="CI66" s="45">
        <f ca="1">MIN(ice_elem_cap,TblMili[[#This Row],[Raw (2)]]*ice_elem_bonus)</f>
        <v>0</v>
      </c>
      <c r="CJ66" s="251">
        <f t="shared" si="2"/>
        <v>0.83333333333333337</v>
      </c>
      <c r="CK66" s="251">
        <f ca="1">MIN(nox_nightshade_cap,TblConstr[[#This Row],[Homeland]]/TblConstr[[#This Row],[Land]]/nox_nightshade_swamp_bonus)</f>
        <v>4</v>
      </c>
      <c r="CL66" s="251">
        <f ca="1">MIN(TblConstr[[#This Row],[Total Swamp]]/TblConstr[[#This Row],[Land]]/abyss_enforce_bonus,abyss_enforcer_cap)</f>
        <v>0</v>
      </c>
      <c r="CM66" s="251">
        <f ca="1">IF(TblMagic[[#This Row],[Active Infernal Command]]&gt;0,TblMili[[#This Row],[Unit 1]]*infernal_cmd_op,0)</f>
        <v>0</v>
      </c>
      <c r="CN66" s="252"/>
      <c r="CO66" s="252"/>
      <c r="CP66" s="252"/>
      <c r="CQ66" s="251">
        <f ca="1">TblMili[[#This Row],[Mystic]]*2</f>
        <v>4</v>
      </c>
      <c r="CR66" s="251">
        <f ca="1">TblMili[[#This Row],[Druid (op)]]*2</f>
        <v>4</v>
      </c>
      <c r="CS66" s="94">
        <f ca="1">TblMili[[#This Row],[Mystic bonus]]*TblMili[[#This Row],[Unit 3]]+TblMili[[#This Row],[Druid bonus]]*TblMili[[#This Row],[Unit 4]]</f>
        <v>0</v>
      </c>
      <c r="CT66" s="155">
        <f ca="1">TblMili[[#This Row],[Dryad]]*2</f>
        <v>5.9999999999999991</v>
      </c>
      <c r="CU66" s="94">
        <f ca="1">sylvan*(TblMili[[#This Row],[Mystic bonus]]*TblMili[[#This Row],[Unit 3]])</f>
        <v>0</v>
      </c>
      <c r="CV66" s="155">
        <f ca="1">TblMili[[#This Row],[Rockapult]]*2</f>
        <v>4</v>
      </c>
      <c r="CW66" s="94">
        <f ca="1">gnome*(TblMili[[#This Row],[Rockapult bonus]]*TblMili[[#This Row],[Unit 3]])</f>
        <v>0</v>
      </c>
      <c r="CX66" s="155">
        <f ca="1">TblMili[[#This Row],[Adept-DP]]*2</f>
        <v>0</v>
      </c>
      <c r="CY66" s="94">
        <f ca="1">dark_elf*(TblMili[[#This Row],[Adept bonus]]*TblMili[[#This Row],[Unit 3]])</f>
        <v>0</v>
      </c>
      <c r="CZ66" s="155">
        <f ca="1">TblMili[[#This Row],[Frost Mage]]*2</f>
        <v>5.9999999999999991</v>
      </c>
      <c r="DA66" s="155">
        <f ca="1">TblMili[[#This Row],[Ice Elemental]]*2</f>
        <v>0</v>
      </c>
      <c r="DB66" s="94">
        <f ca="1">TblMili[[#This Row],[Frost Mage bonus]]*TblMili[[#This Row],[Unit 3]]+TblMili[[#This Row],[Ice Elemental bonus]]*TblMili[[#This Row],[Unit 4]]</f>
        <v>0</v>
      </c>
      <c r="DC66" s="253"/>
      <c r="DD66" s="143">
        <f ca="1">MIN(SUM(TblConstr[[#This Row],[Plain]:[Water]])/TblMili[[#This Row],[Land]]/favorable_terrain_bonus/100,favorable_terrain_max)</f>
        <v>0</v>
      </c>
      <c r="DE66" s="253"/>
      <c r="DF6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6" s="142"/>
      <c r="DH66" s="254">
        <f ca="1">(TblMili[[#This Row],[Wizards]]+2*TblMili[[#This Row],[Archmages]])/TblConstr[[#This Row],[Land]]</f>
        <v>0</v>
      </c>
      <c r="DI66" s="254">
        <f ca="1">TblMili[[#This Row],[Raw (2)]]*(1+race_wizard_strength+IF(TblMili[[#This Row],[Hour]]&gt;72,tech_magical_weaponry_wiz*TblTech[[#This Row],[3-5]],0))</f>
        <v>0</v>
      </c>
    </row>
    <row r="67" spans="1:113" x14ac:dyDescent="0.2">
      <c r="A67" s="137">
        <f>TblRezone[[#This Row],[Hour]]</f>
        <v>64</v>
      </c>
      <c r="B67" s="246">
        <f ca="1">SUM(TblMili[[#This Row],[Unit 1]:[Archmages]])+SUM(OFFSET(TblMili[[#This Row],[Train Unit 1]],-8,0):TblMili[[#This Row],[Train Unit 2]]) + SUM(OFFSET(TblMili[[#This Row],[Train Unit 3]],-11,0):TblMili[[#This Row],[Train AM]]) + TblMili[[#This Row],[Draftees]]</f>
        <v>522</v>
      </c>
      <c r="C67" s="157">
        <f ca="1">TblPop[[#This Row],[Military%]]</f>
        <v>0.67880364109232771</v>
      </c>
      <c r="D67" s="142"/>
      <c r="E67" s="45">
        <f ca="1">OFFSET(TblMili[[#This Row],[Unit 1]],-1,0) + OFFSET(TblMili[[#This Row],[Train Unit 1]],-9,0) - TblMili[[#This Row],[Release Unit 1]] + OFFSET(TblMili[[#This Row],[DnD_Zombies]],-12,0)</f>
        <v>0</v>
      </c>
      <c r="F67" s="45">
        <f ca="1">OFFSET(TblMili[[#This Row],[Unit 2]],-1,0) + OFFSET(TblMili[[#This Row],[Train Unit 2]],-9,0)-TblMili[[#This Row],[Release Unit 2]]</f>
        <v>0</v>
      </c>
      <c r="G67" s="45">
        <f ca="1">OFFSET(TblMili[[#This Row],[Unit 3]],-1,0) + OFFSET(TblMili[[#This Row],[Train Unit 3]],-12,0)-TblMili[[#This Row],[Release Unit 3]]</f>
        <v>0</v>
      </c>
      <c r="H67" s="45">
        <f ca="1">OFFSET(TblMili[[#This Row],[Unit 4]],-1,0) + OFFSET(TblMili[[#This Row],[Train Unit 4]],-12,0)-TblMili[[#This Row],[Release Unit 4]]</f>
        <v>0</v>
      </c>
      <c r="I67" s="45">
        <f ca="1">OFFSET(TblMili[[#This Row],[Spies]],-1,0) + OFFSET(TblMili[[#This Row],[Train Spies]],-12,0) - TblMili[[#This Row],[Release Spies]]-TblMili[[#This Row],[Train AS]]</f>
        <v>0</v>
      </c>
      <c r="J67" s="45">
        <f ca="1">OFFSET(TblMili[[#This Row],[Archspies]],-1,0) + OFFSET(TblMili[[#This Row],[Train AS]],-12,0) - TblMili[[#This Row],[Release AS]]</f>
        <v>0</v>
      </c>
      <c r="K67" s="45">
        <f ca="1">OFFSET(TblMili[[#This Row],[Wizards]],-1,0) + OFFSET(TblMili[[#This Row],[Train Wiz]],-12,0) - TblMili[[#This Row],[Release Wizards]]-TblMili[[#This Row],[Train AM]] + IF(TblMagic[[#This Row],[Active Arc Infusion]]&gt;0,TblMili[[#This Row],[Train AM]])</f>
        <v>0</v>
      </c>
      <c r="L67" s="45">
        <f ca="1">OFFSET(TblMili[[#This Row],[Archmages]],-1,0) + OFFSET(TblMili[[#This Row],[Train AM]],-12,0) - TblMili[[#This Row],[Release AM]]</f>
        <v>0</v>
      </c>
      <c r="M67" s="142"/>
      <c r="N67" s="94">
        <f ca="1">TblProd[[#This Row],[Networth]]</f>
        <v>1250</v>
      </c>
      <c r="O67" s="142"/>
      <c r="P67"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6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7" s="247">
        <f ca="1">TblMili[[#This Row],[Raw]]*(1+TblMili[[#This Row],[Mods_Off]])</f>
        <v>0</v>
      </c>
      <c r="S67"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67" s="247">
        <f ca="1">TblMili[[#This Row],[Non Draft]]+TblMili[[#This Row],[Draftees]]</f>
        <v>522</v>
      </c>
      <c r="U67" s="248">
        <f ca="1">race_defense + TblImps[[#This Row],[Walls]] + ROUND( MIN(gt_bonus*TblConstr[[#This Row],[Tot GT]]/TblConstr[[#This Row],[Land]],gt_bonus_cap), 4) + IF(TblMagic[[#This Row],[Active Howling]]&gt;0,howling_dp_bonus,IF(TblMagic[[#This Row],[Active Ares Call]]&gt;0,ares_call_bonus))</f>
        <v>0</v>
      </c>
      <c r="V67" s="249">
        <f ca="1">TblMili[[#This Row],[Non Draft]] * (1 + TblMili[[#This Row],[Mods_Def]])</f>
        <v>0</v>
      </c>
      <c r="W67" s="247">
        <f ca="1">TblMili[[#This Row],[Draft]] * (1 + TblMili[[#This Row],[Mods_Def]])</f>
        <v>522</v>
      </c>
      <c r="X67" s="247">
        <f ca="1">TblConstr[[#This Row],[Land]]</f>
        <v>50</v>
      </c>
      <c r="Y67" s="250"/>
      <c r="Z67" s="255">
        <f ca="1">IF(TblMili[[#This Row],[Set]]&lt;&gt;"",TblMili[[#This Row],[Set]],OFFSET(TblMili[[#This Row],[Draftrate]],-1,0))</f>
        <v>0.9</v>
      </c>
      <c r="AA67"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522</v>
      </c>
      <c r="AB67" s="154"/>
      <c r="AC67" s="180">
        <f ca="1">(TblConstr[[#This Row],[Tot Smi]]+TblConstr[[#This Row],[Dest Smi]])/(TblConstr[[#This Row],[Land]]-TblExplore[[#This Row],[Land Bonus]]*20)</f>
        <v>0</v>
      </c>
      <c r="AD67" s="137"/>
      <c r="AE67" s="246">
        <f>TblMili[[#This Row],[Hour]]</f>
        <v>64</v>
      </c>
      <c r="AF67" s="138">
        <f ca="1">TblExplore[[#This Row],[Time]]</f>
        <v>46322.624999999847</v>
      </c>
      <c r="AG67" s="158"/>
      <c r="AH67" s="158"/>
      <c r="AI67" s="179"/>
      <c r="AJ67" s="179"/>
      <c r="AK67" s="179"/>
      <c r="AL67" s="179"/>
      <c r="AM67" s="179"/>
      <c r="AN67" s="179"/>
      <c r="AO67" s="420">
        <f ca="1">ROUND(IF(AND(TblMagic[[#This Row],[Active DnD]]&lt;12,TblMagic[[#This Row],[Active DnD]]&gt;5),OFFSET(TblPop[[#This Row],[Draft Growth]],-1,0)*0.375,0),0)</f>
        <v>0</v>
      </c>
      <c r="AP67" s="142"/>
      <c r="AQ67" s="94">
        <f ca="1">TblProd[[#This Row],[Platinum]]</f>
        <v>179517</v>
      </c>
      <c r="AR67" s="94">
        <f ca="1">INDEX(TblProd[[#Headers],[Lumber]]:TblProd[[#This Row],[Ore]],COUNTA(TblProd[[#Headers],[Lumber]]:TblProd[[#This Row],[Lumber]]),MATCH(Military!$AR$2,TblProd[[#Headers],[Lumber]:[Ore]],0))</f>
        <v>0</v>
      </c>
      <c r="AS6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67" s="94">
        <f ca="1">TblMili[[#This Row],[Train Unit 1]]*TblMili[[#This Row],[OP Ore]]+TblMili[[#This Row],[Train Unit 2]]*TblMili[[#This Row],[DP Ore]]+TblMili[[#This Row],[Train Unit 3]]*TblMili[[#This Row],[E1 Ore]]+TblMili[[#This Row],[Train Unit 4]]*TblMili[[#This Row],[E2 Ore]]</f>
        <v>0</v>
      </c>
      <c r="AU67" s="142">
        <f>TblMili[[#This Row],[Hour]]</f>
        <v>64</v>
      </c>
      <c r="AV67" s="152">
        <f ca="1">TblMili[[#This Row],[Time]]</f>
        <v>46322.624999999847</v>
      </c>
      <c r="AW67" s="94">
        <f ca="1">TblMili[[#This Row],[Draftees]]</f>
        <v>522</v>
      </c>
      <c r="AX67" s="179"/>
      <c r="AY67" s="179"/>
      <c r="AZ67" s="179"/>
      <c r="BA67" s="179"/>
      <c r="BB67" s="179"/>
      <c r="BC67" s="179"/>
      <c r="BD67" s="179"/>
      <c r="BE67" s="179"/>
      <c r="BF67" s="179"/>
      <c r="BG67" s="142"/>
      <c r="BH67" s="157">
        <f ca="1">TblConstr[[#This Row],[Tot WG]]/TblConstr[[#This Row],[Land]]</f>
        <v>0</v>
      </c>
      <c r="BI67" s="157">
        <f ca="1">TblConstr[[#This Row],[Tot Hav]]/TblConstr[[#This Row],[Land]]</f>
        <v>0</v>
      </c>
      <c r="BJ67" s="94">
        <f ca="1">ROUNDUP((1-MIN(TblMili[[#This Row],[Smithies]]*smithy_bonus,smithy_bonus_cap) + tech_3_5*TblTech[[#This Row],[3-5]] + tech_5_3*TblTech[[#This Row],[5-3]] + tech_5_5*TblTech[[#This Row],[5-5]])*spec_op_plat,0)</f>
        <v>315</v>
      </c>
      <c r="BK67" s="94">
        <f ca="1">ROUNDUP(IF(race="Gnome",1,(1-MIN(TblMili[[#This Row],[Smithies]]*smithy_bonus,smithy_bonus_cap) + tech_3_5*TblTech[[#This Row],[3-5]] + tech_5_3*TblTech[[#This Row],[5-3]] + tech_5_5*TblTech[[#This Row],[5-5]]))*spec_op_ore,0)</f>
        <v>25</v>
      </c>
      <c r="BL67" s="94">
        <f ca="1">ROUNDUP((1-MIN(TblMili[[#This Row],[Smithies]]*smithy_bonus,smithy_bonus_cap) + tech_3_5*TblTech[[#This Row],[3-5]] + tech_5_3*TblTech[[#This Row],[5-3]] + tech_5_5*TblTech[[#This Row],[5-5]])*spec_dp_plat,0)</f>
        <v>275</v>
      </c>
      <c r="BM67" s="94">
        <f ca="1">ROUNDUP(IF(race="Gnome",1,(1-MIN(TblMili[[#This Row],[Smithies]]*smithy_bonus,smithy_bonus_cap) + tech_3_5*TblTech[[#This Row],[3-5]] + tech_5_3*TblTech[[#This Row],[5-3]] + tech_5_5*TblTech[[#This Row],[5-5]]))*spec_dp_ore,0)</f>
        <v>15</v>
      </c>
      <c r="BN67" s="94">
        <f ca="1">ROUNDUP((1-MIN(TblMili[[#This Row],[Smithies]]*smithy_bonus,smithy_bonus_cap) + tech_3_5*TblTech[[#This Row],[3-5]] + tech_5_3*TblTech[[#This Row],[5-3]] + tech_5_5*TblTech[[#This Row],[5-5]])*elite1_plat,0)</f>
        <v>1040</v>
      </c>
      <c r="BO67" s="94">
        <f ca="1">ROUNDUP(IF(race="Gnome",1,(1-MIN(TblMili[[#This Row],[Smithies]]*smithy_bonus,smithy_bonus_cap) + tech_3_5*TblTech[[#This Row],[3-5]] + tech_5_3*TblTech[[#This Row],[5-3]] + tech_5_5*TblTech[[#This Row],[5-5]]))*elite1_ore,0)</f>
        <v>75</v>
      </c>
      <c r="BP67" s="94">
        <f ca="1">ROUNDUP((1-MIN(TblMili[[#This Row],[Smithies]]*smithy_bonus,smithy_bonus_cap) + tech_3_5*TblTech[[#This Row],[3-5]] + tech_5_3*TblTech[[#This Row],[5-3]] + tech_5_5*TblTech[[#This Row],[5-5]])*elite2_plat,0)</f>
        <v>1280</v>
      </c>
      <c r="BQ67" s="94">
        <f ca="1">ROUNDUP(IF(race="Gnome",1,(1-MIN(TblMili[[#This Row],[Smithies]]*smithy_bonus,smithy_bonus_cap) + tech_3_5*TblTech[[#This Row],[3-5]] + tech_5_3*TblTech[[#This Row],[5-3]] + tech_5_5*TblTech[[#This Row],[5-5]]))*elite2_ore,0)</f>
        <v>100</v>
      </c>
      <c r="BR67" s="94">
        <f ca="1">ROUNDUP((1-MIN(ROUND(fh_spy_cost_red*TblMili[[#This Row],[FH''s]],4),fh_spy_cost_cap)+ tech_1_9*TblTech[[#This Row],[1-9]] + tech_9_1*TblTech[[#This Row],[9-1]])*spy_plat,0)</f>
        <v>500</v>
      </c>
      <c r="BS67" s="94">
        <f ca="1">ROUNDUP((1-MIN(ROUND(fh_spy_cost_red*TblMili[[#This Row],[FH''s]],4),fh_spy_cost_cap)+ tech_1_9*TblTech[[#This Row],[1-9]] + tech_9_1*TblTech[[#This Row],[9-1]])*archspy_plat,0)</f>
        <v>1000</v>
      </c>
      <c r="BT67" s="94">
        <f ca="1">ROUNDUP((1-MIN(ROUND(wg_wiz_cost_bonus*TblMili[[#This Row],[WG''s]],4),wg_wiz_cost_cap) + tech_1_9_2*TblTech[[#This Row],[1-9]] + tech_9_1_2*TblTech[[#This Row],[9-1]])*wizard_plat,0)</f>
        <v>500</v>
      </c>
      <c r="BU67" s="94">
        <f ca="1">ROUNDUP((1-MIN(ROUND(wg_wiz_cost_bonus*TblMili[[#This Row],[WG''s]],4),wg_wiz_cost_cap) + tech_1_9_2*TblTech[[#This Row],[1-9]] + tech_9_1_2*TblTech[[#This Row],[9-1]])*(archmage_plat + IF(TblMagic[[#This Row],[Active Arc Infusion]]&gt;0,400,0)),0)</f>
        <v>1000</v>
      </c>
      <c r="BV67" s="142"/>
      <c r="BW67" s="157">
        <f ca="1">TblConstr[[#This Row],[Homeland]]/TblConstr[[#This Row],[Land]]</f>
        <v>0.6</v>
      </c>
      <c r="BX67" s="157">
        <f ca="1">TblMili[[#This Row],[WG''s]]</f>
        <v>0</v>
      </c>
      <c r="BY67" s="251">
        <f ca="1">IF(mystic_cap="none",TblMili[[#This Row],[Homeland%]]/mystic_bonus,MIN(mystic_cap,TblMili[[#This Row],[Homeland%]]/mystic_bonus))</f>
        <v>2</v>
      </c>
      <c r="BZ67" s="251">
        <f ca="1">IF(druid_op_cap="none",TblMili[[#This Row],[Homeland%]]/druid_op_bonus,MIN(druid_op_cap,TblMili[[#This Row],[Homeland%]]/druid_op_bonus))</f>
        <v>2</v>
      </c>
      <c r="CA67" s="251">
        <f ca="1">IF(druid_dp_cap="none",TblMili[[#This Row],[Homeland%]]/druid_dp_bonus,MIN(druid_dp_cap,TblMili[[#This Row],[Homeland%]]/druid_dp_bonus))</f>
        <v>2</v>
      </c>
      <c r="CB67" s="251">
        <f ca="1">MIN(dryad_cap,TblMili[[#This Row],[Homeland%]]/dryad_bonus)</f>
        <v>2.9999999999999996</v>
      </c>
      <c r="CC67" s="251">
        <f ca="1">MIN(rocka_cap,TblMili[[#This Row],[Homeland%]]/rocka_bonus)</f>
        <v>2</v>
      </c>
      <c r="CD67" s="251">
        <f ca="1">MIN(adept_op_cap,TblMili[[#This Row],[WG]]/adept_op_bonus)</f>
        <v>0</v>
      </c>
      <c r="CE67" s="251">
        <f ca="1">MIN(adept_dp_cap,TblMili[[#This Row],[WG]]/adept_dp_bonus)</f>
        <v>0</v>
      </c>
      <c r="CF67" s="94">
        <f ca="1">MIN(TblMili[[#This Row],[Unit 3]],TblMili[[#This Row],[Unit 2]])*2</f>
        <v>0</v>
      </c>
      <c r="CG67" s="94">
        <f ca="1">MIN(TblMili[[#This Row],[Unit 1]],TblMili[[#This Row],[Unit 4]])*2</f>
        <v>0</v>
      </c>
      <c r="CH67" s="251">
        <f ca="1">MIN(frost_mage_cap,TblMili[[#This Row],[Homeland%]]/frost_mage_bonus)</f>
        <v>2.9999999999999996</v>
      </c>
      <c r="CI67" s="45">
        <f ca="1">MIN(ice_elem_cap,TblMili[[#This Row],[Raw (2)]]*ice_elem_bonus)</f>
        <v>0</v>
      </c>
      <c r="CJ67" s="251">
        <f t="shared" si="2"/>
        <v>0.83333333333333337</v>
      </c>
      <c r="CK67" s="251">
        <f ca="1">MIN(nox_nightshade_cap,TblConstr[[#This Row],[Homeland]]/TblConstr[[#This Row],[Land]]/nox_nightshade_swamp_bonus)</f>
        <v>4</v>
      </c>
      <c r="CL67" s="251">
        <f ca="1">MIN(TblConstr[[#This Row],[Total Swamp]]/TblConstr[[#This Row],[Land]]/abyss_enforce_bonus,abyss_enforcer_cap)</f>
        <v>0</v>
      </c>
      <c r="CM67" s="251">
        <f ca="1">IF(TblMagic[[#This Row],[Active Infernal Command]]&gt;0,TblMili[[#This Row],[Unit 1]]*infernal_cmd_op,0)</f>
        <v>0</v>
      </c>
      <c r="CN67" s="252"/>
      <c r="CO67" s="252"/>
      <c r="CP67" s="252"/>
      <c r="CQ67" s="251">
        <f ca="1">TblMili[[#This Row],[Mystic]]*2</f>
        <v>4</v>
      </c>
      <c r="CR67" s="251">
        <f ca="1">TblMili[[#This Row],[Druid (op)]]*2</f>
        <v>4</v>
      </c>
      <c r="CS67" s="94">
        <f ca="1">TblMili[[#This Row],[Mystic bonus]]*TblMili[[#This Row],[Unit 3]]+TblMili[[#This Row],[Druid bonus]]*TblMili[[#This Row],[Unit 4]]</f>
        <v>0</v>
      </c>
      <c r="CT67" s="155">
        <f ca="1">TblMili[[#This Row],[Dryad]]*2</f>
        <v>5.9999999999999991</v>
      </c>
      <c r="CU67" s="94">
        <f ca="1">sylvan*(TblMili[[#This Row],[Mystic bonus]]*TblMili[[#This Row],[Unit 3]])</f>
        <v>0</v>
      </c>
      <c r="CV67" s="155">
        <f ca="1">TblMili[[#This Row],[Rockapult]]*2</f>
        <v>4</v>
      </c>
      <c r="CW67" s="94">
        <f ca="1">gnome*(TblMili[[#This Row],[Rockapult bonus]]*TblMili[[#This Row],[Unit 3]])</f>
        <v>0</v>
      </c>
      <c r="CX67" s="155">
        <f ca="1">TblMili[[#This Row],[Adept-DP]]*2</f>
        <v>0</v>
      </c>
      <c r="CY67" s="94">
        <f ca="1">dark_elf*(TblMili[[#This Row],[Adept bonus]]*TblMili[[#This Row],[Unit 3]])</f>
        <v>0</v>
      </c>
      <c r="CZ67" s="155">
        <f ca="1">TblMili[[#This Row],[Frost Mage]]*2</f>
        <v>5.9999999999999991</v>
      </c>
      <c r="DA67" s="155">
        <f ca="1">TblMili[[#This Row],[Ice Elemental]]*2</f>
        <v>0</v>
      </c>
      <c r="DB67" s="94">
        <f ca="1">TblMili[[#This Row],[Frost Mage bonus]]*TblMili[[#This Row],[Unit 3]]+TblMili[[#This Row],[Ice Elemental bonus]]*TblMili[[#This Row],[Unit 4]]</f>
        <v>0</v>
      </c>
      <c r="DC67" s="253"/>
      <c r="DD67" s="143">
        <f ca="1">MIN(SUM(TblConstr[[#This Row],[Plain]:[Water]])/TblMili[[#This Row],[Land]]/favorable_terrain_bonus/100,favorable_terrain_max)</f>
        <v>0</v>
      </c>
      <c r="DE67" s="253"/>
      <c r="DF6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7" s="142"/>
      <c r="DH67" s="254">
        <f ca="1">(TblMili[[#This Row],[Wizards]]+2*TblMili[[#This Row],[Archmages]])/TblConstr[[#This Row],[Land]]</f>
        <v>0</v>
      </c>
      <c r="DI67" s="254">
        <f ca="1">TblMili[[#This Row],[Raw (2)]]*(1+race_wizard_strength+IF(TblMili[[#This Row],[Hour]]&gt;72,tech_magical_weaponry_wiz*TblTech[[#This Row],[3-5]],0))</f>
        <v>0</v>
      </c>
    </row>
    <row r="68" spans="1:113" x14ac:dyDescent="0.2">
      <c r="A68" s="137">
        <f>TblRezone[[#This Row],[Hour]]</f>
        <v>65</v>
      </c>
      <c r="B68" s="246">
        <f ca="1">SUM(TblMili[[#This Row],[Unit 1]:[Archmages]])+SUM(OFFSET(TblMili[[#This Row],[Train Unit 1]],-8,0):TblMili[[#This Row],[Train Unit 2]]) + SUM(OFFSET(TblMili[[#This Row],[Train Unit 3]],-11,0):TblMili[[#This Row],[Train AM]]) + TblMili[[#This Row],[Draftees]]</f>
        <v>524</v>
      </c>
      <c r="C68" s="157">
        <f ca="1">TblPop[[#This Row],[Military%]]</f>
        <v>0.68140442132639789</v>
      </c>
      <c r="D68" s="142"/>
      <c r="E68" s="45">
        <f ca="1">OFFSET(TblMili[[#This Row],[Unit 1]],-1,0) + OFFSET(TblMili[[#This Row],[Train Unit 1]],-9,0) - TblMili[[#This Row],[Release Unit 1]] + OFFSET(TblMili[[#This Row],[DnD_Zombies]],-12,0)</f>
        <v>0</v>
      </c>
      <c r="F68" s="45">
        <f ca="1">OFFSET(TblMili[[#This Row],[Unit 2]],-1,0) + OFFSET(TblMili[[#This Row],[Train Unit 2]],-9,0)-TblMili[[#This Row],[Release Unit 2]]</f>
        <v>0</v>
      </c>
      <c r="G68" s="45">
        <f ca="1">OFFSET(TblMili[[#This Row],[Unit 3]],-1,0) + OFFSET(TblMili[[#This Row],[Train Unit 3]],-12,0)-TblMili[[#This Row],[Release Unit 3]]</f>
        <v>0</v>
      </c>
      <c r="H68" s="45">
        <f ca="1">OFFSET(TblMili[[#This Row],[Unit 4]],-1,0) + OFFSET(TblMili[[#This Row],[Train Unit 4]],-12,0)-TblMili[[#This Row],[Release Unit 4]]</f>
        <v>0</v>
      </c>
      <c r="I68" s="45">
        <f ca="1">OFFSET(TblMili[[#This Row],[Spies]],-1,0) + OFFSET(TblMili[[#This Row],[Train Spies]],-12,0) - TblMili[[#This Row],[Release Spies]]-TblMili[[#This Row],[Train AS]]</f>
        <v>0</v>
      </c>
      <c r="J68" s="45">
        <f ca="1">OFFSET(TblMili[[#This Row],[Archspies]],-1,0) + OFFSET(TblMili[[#This Row],[Train AS]],-12,0) - TblMili[[#This Row],[Release AS]]</f>
        <v>0</v>
      </c>
      <c r="K68" s="45">
        <f ca="1">OFFSET(TblMili[[#This Row],[Wizards]],-1,0) + OFFSET(TblMili[[#This Row],[Train Wiz]],-12,0) - TblMili[[#This Row],[Release Wizards]]-TblMili[[#This Row],[Train AM]] + IF(TblMagic[[#This Row],[Active Arc Infusion]]&gt;0,TblMili[[#This Row],[Train AM]])</f>
        <v>0</v>
      </c>
      <c r="L68" s="45">
        <f ca="1">OFFSET(TblMili[[#This Row],[Archmages]],-1,0) + OFFSET(TblMili[[#This Row],[Train AM]],-12,0) - TblMili[[#This Row],[Release AM]]</f>
        <v>0</v>
      </c>
      <c r="M68" s="142"/>
      <c r="N68" s="94">
        <f ca="1">TblProd[[#This Row],[Networth]]</f>
        <v>1250</v>
      </c>
      <c r="O68" s="142"/>
      <c r="P68"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6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8" s="247">
        <f ca="1">TblMili[[#This Row],[Raw]]*(1+TblMili[[#This Row],[Mods_Off]])</f>
        <v>0</v>
      </c>
      <c r="S68"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68" s="247">
        <f ca="1">TblMili[[#This Row],[Non Draft]]+TblMili[[#This Row],[Draftees]]</f>
        <v>524</v>
      </c>
      <c r="U68" s="248">
        <f ca="1">race_defense + TblImps[[#This Row],[Walls]] + ROUND( MIN(gt_bonus*TblConstr[[#This Row],[Tot GT]]/TblConstr[[#This Row],[Land]],gt_bonus_cap), 4) + IF(TblMagic[[#This Row],[Active Howling]]&gt;0,howling_dp_bonus,IF(TblMagic[[#This Row],[Active Ares Call]]&gt;0,ares_call_bonus))</f>
        <v>0</v>
      </c>
      <c r="V68" s="249">
        <f ca="1">TblMili[[#This Row],[Non Draft]] * (1 + TblMili[[#This Row],[Mods_Def]])</f>
        <v>0</v>
      </c>
      <c r="W68" s="247">
        <f ca="1">TblMili[[#This Row],[Draft]] * (1 + TblMili[[#This Row],[Mods_Def]])</f>
        <v>524</v>
      </c>
      <c r="X68" s="247">
        <f ca="1">TblConstr[[#This Row],[Land]]</f>
        <v>50</v>
      </c>
      <c r="Y68" s="250"/>
      <c r="Z68" s="255">
        <f ca="1">IF(TblMili[[#This Row],[Set]]&lt;&gt;"",TblMili[[#This Row],[Set]],OFFSET(TblMili[[#This Row],[Draftrate]],-1,0))</f>
        <v>0.9</v>
      </c>
      <c r="AA68"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524</v>
      </c>
      <c r="AB68" s="154"/>
      <c r="AC68" s="180">
        <f ca="1">(TblConstr[[#This Row],[Tot Smi]]+TblConstr[[#This Row],[Dest Smi]])/(TblConstr[[#This Row],[Land]]-TblExplore[[#This Row],[Land Bonus]]*20)</f>
        <v>0</v>
      </c>
      <c r="AD68" s="137"/>
      <c r="AE68" s="246">
        <f>TblMili[[#This Row],[Hour]]</f>
        <v>65</v>
      </c>
      <c r="AF68" s="138">
        <f ca="1">TblExplore[[#This Row],[Time]]</f>
        <v>46322.666666666511</v>
      </c>
      <c r="AG68" s="158"/>
      <c r="AH68" s="158"/>
      <c r="AI68" s="179"/>
      <c r="AJ68" s="179"/>
      <c r="AK68" s="179"/>
      <c r="AL68" s="179"/>
      <c r="AM68" s="179"/>
      <c r="AN68" s="179"/>
      <c r="AO68" s="420">
        <f ca="1">ROUND(IF(AND(TblMagic[[#This Row],[Active DnD]]&lt;12,TblMagic[[#This Row],[Active DnD]]&gt;5),OFFSET(TblPop[[#This Row],[Draft Growth]],-1,0)*0.375,0),0)</f>
        <v>0</v>
      </c>
      <c r="AP68" s="142"/>
      <c r="AQ68" s="94">
        <f ca="1">TblProd[[#This Row],[Platinum]]</f>
        <v>180183</v>
      </c>
      <c r="AR68" s="94">
        <f ca="1">INDEX(TblProd[[#Headers],[Lumber]]:TblProd[[#This Row],[Ore]],COUNTA(TblProd[[#Headers],[Lumber]]:TblProd[[#This Row],[Lumber]]),MATCH(Military!$AR$2,TblProd[[#Headers],[Lumber]:[Ore]],0))</f>
        <v>0</v>
      </c>
      <c r="AS6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68" s="94">
        <f ca="1">TblMili[[#This Row],[Train Unit 1]]*TblMili[[#This Row],[OP Ore]]+TblMili[[#This Row],[Train Unit 2]]*TblMili[[#This Row],[DP Ore]]+TblMili[[#This Row],[Train Unit 3]]*TblMili[[#This Row],[E1 Ore]]+TblMili[[#This Row],[Train Unit 4]]*TblMili[[#This Row],[E2 Ore]]</f>
        <v>0</v>
      </c>
      <c r="AU68" s="142">
        <f>TblMili[[#This Row],[Hour]]</f>
        <v>65</v>
      </c>
      <c r="AV68" s="152">
        <f ca="1">TblMili[[#This Row],[Time]]</f>
        <v>46322.666666666511</v>
      </c>
      <c r="AW68" s="94">
        <f ca="1">TblMili[[#This Row],[Draftees]]</f>
        <v>524</v>
      </c>
      <c r="AX68" s="179"/>
      <c r="AY68" s="179"/>
      <c r="AZ68" s="179"/>
      <c r="BA68" s="179"/>
      <c r="BB68" s="179"/>
      <c r="BC68" s="179"/>
      <c r="BD68" s="179"/>
      <c r="BE68" s="179"/>
      <c r="BF68" s="179"/>
      <c r="BG68" s="142"/>
      <c r="BH68" s="157">
        <f ca="1">TblConstr[[#This Row],[Tot WG]]/TblConstr[[#This Row],[Land]]</f>
        <v>0</v>
      </c>
      <c r="BI68" s="157">
        <f ca="1">TblConstr[[#This Row],[Tot Hav]]/TblConstr[[#This Row],[Land]]</f>
        <v>0</v>
      </c>
      <c r="BJ68" s="94">
        <f ca="1">ROUNDUP((1-MIN(TblMili[[#This Row],[Smithies]]*smithy_bonus,smithy_bonus_cap) + tech_3_5*TblTech[[#This Row],[3-5]] + tech_5_3*TblTech[[#This Row],[5-3]] + tech_5_5*TblTech[[#This Row],[5-5]])*spec_op_plat,0)</f>
        <v>315</v>
      </c>
      <c r="BK68" s="94">
        <f ca="1">ROUNDUP(IF(race="Gnome",1,(1-MIN(TblMili[[#This Row],[Smithies]]*smithy_bonus,smithy_bonus_cap) + tech_3_5*TblTech[[#This Row],[3-5]] + tech_5_3*TblTech[[#This Row],[5-3]] + tech_5_5*TblTech[[#This Row],[5-5]]))*spec_op_ore,0)</f>
        <v>25</v>
      </c>
      <c r="BL68" s="94">
        <f ca="1">ROUNDUP((1-MIN(TblMili[[#This Row],[Smithies]]*smithy_bonus,smithy_bonus_cap) + tech_3_5*TblTech[[#This Row],[3-5]] + tech_5_3*TblTech[[#This Row],[5-3]] + tech_5_5*TblTech[[#This Row],[5-5]])*spec_dp_plat,0)</f>
        <v>275</v>
      </c>
      <c r="BM68" s="94">
        <f ca="1">ROUNDUP(IF(race="Gnome",1,(1-MIN(TblMili[[#This Row],[Smithies]]*smithy_bonus,smithy_bonus_cap) + tech_3_5*TblTech[[#This Row],[3-5]] + tech_5_3*TblTech[[#This Row],[5-3]] + tech_5_5*TblTech[[#This Row],[5-5]]))*spec_dp_ore,0)</f>
        <v>15</v>
      </c>
      <c r="BN68" s="94">
        <f ca="1">ROUNDUP((1-MIN(TblMili[[#This Row],[Smithies]]*smithy_bonus,smithy_bonus_cap) + tech_3_5*TblTech[[#This Row],[3-5]] + tech_5_3*TblTech[[#This Row],[5-3]] + tech_5_5*TblTech[[#This Row],[5-5]])*elite1_plat,0)</f>
        <v>1040</v>
      </c>
      <c r="BO68" s="94">
        <f ca="1">ROUNDUP(IF(race="Gnome",1,(1-MIN(TblMili[[#This Row],[Smithies]]*smithy_bonus,smithy_bonus_cap) + tech_3_5*TblTech[[#This Row],[3-5]] + tech_5_3*TblTech[[#This Row],[5-3]] + tech_5_5*TblTech[[#This Row],[5-5]]))*elite1_ore,0)</f>
        <v>75</v>
      </c>
      <c r="BP68" s="94">
        <f ca="1">ROUNDUP((1-MIN(TblMili[[#This Row],[Smithies]]*smithy_bonus,smithy_bonus_cap) + tech_3_5*TblTech[[#This Row],[3-5]] + tech_5_3*TblTech[[#This Row],[5-3]] + tech_5_5*TblTech[[#This Row],[5-5]])*elite2_plat,0)</f>
        <v>1280</v>
      </c>
      <c r="BQ68" s="94">
        <f ca="1">ROUNDUP(IF(race="Gnome",1,(1-MIN(TblMili[[#This Row],[Smithies]]*smithy_bonus,smithy_bonus_cap) + tech_3_5*TblTech[[#This Row],[3-5]] + tech_5_3*TblTech[[#This Row],[5-3]] + tech_5_5*TblTech[[#This Row],[5-5]]))*elite2_ore,0)</f>
        <v>100</v>
      </c>
      <c r="BR68" s="94">
        <f ca="1">ROUNDUP((1-MIN(ROUND(fh_spy_cost_red*TblMili[[#This Row],[FH''s]],4),fh_spy_cost_cap)+ tech_1_9*TblTech[[#This Row],[1-9]] + tech_9_1*TblTech[[#This Row],[9-1]])*spy_plat,0)</f>
        <v>500</v>
      </c>
      <c r="BS68" s="94">
        <f ca="1">ROUNDUP((1-MIN(ROUND(fh_spy_cost_red*TblMili[[#This Row],[FH''s]],4),fh_spy_cost_cap)+ tech_1_9*TblTech[[#This Row],[1-9]] + tech_9_1*TblTech[[#This Row],[9-1]])*archspy_plat,0)</f>
        <v>1000</v>
      </c>
      <c r="BT68" s="94">
        <f ca="1">ROUNDUP((1-MIN(ROUND(wg_wiz_cost_bonus*TblMili[[#This Row],[WG''s]],4),wg_wiz_cost_cap) + tech_1_9_2*TblTech[[#This Row],[1-9]] + tech_9_1_2*TblTech[[#This Row],[9-1]])*wizard_plat,0)</f>
        <v>500</v>
      </c>
      <c r="BU68" s="94">
        <f ca="1">ROUNDUP((1-MIN(ROUND(wg_wiz_cost_bonus*TblMili[[#This Row],[WG''s]],4),wg_wiz_cost_cap) + tech_1_9_2*TblTech[[#This Row],[1-9]] + tech_9_1_2*TblTech[[#This Row],[9-1]])*(archmage_plat + IF(TblMagic[[#This Row],[Active Arc Infusion]]&gt;0,400,0)),0)</f>
        <v>1000</v>
      </c>
      <c r="BV68" s="142"/>
      <c r="BW68" s="157">
        <f ca="1">TblConstr[[#This Row],[Homeland]]/TblConstr[[#This Row],[Land]]</f>
        <v>0.6</v>
      </c>
      <c r="BX68" s="157">
        <f ca="1">TblMili[[#This Row],[WG''s]]</f>
        <v>0</v>
      </c>
      <c r="BY68" s="251">
        <f ca="1">IF(mystic_cap="none",TblMili[[#This Row],[Homeland%]]/mystic_bonus,MIN(mystic_cap,TblMili[[#This Row],[Homeland%]]/mystic_bonus))</f>
        <v>2</v>
      </c>
      <c r="BZ68" s="251">
        <f ca="1">IF(druid_op_cap="none",TblMili[[#This Row],[Homeland%]]/druid_op_bonus,MIN(druid_op_cap,TblMili[[#This Row],[Homeland%]]/druid_op_bonus))</f>
        <v>2</v>
      </c>
      <c r="CA68" s="251">
        <f ca="1">IF(druid_dp_cap="none",TblMili[[#This Row],[Homeland%]]/druid_dp_bonus,MIN(druid_dp_cap,TblMili[[#This Row],[Homeland%]]/druid_dp_bonus))</f>
        <v>2</v>
      </c>
      <c r="CB68" s="251">
        <f ca="1">MIN(dryad_cap,TblMili[[#This Row],[Homeland%]]/dryad_bonus)</f>
        <v>2.9999999999999996</v>
      </c>
      <c r="CC68" s="251">
        <f ca="1">MIN(rocka_cap,TblMili[[#This Row],[Homeland%]]/rocka_bonus)</f>
        <v>2</v>
      </c>
      <c r="CD68" s="251">
        <f ca="1">MIN(adept_op_cap,TblMili[[#This Row],[WG]]/adept_op_bonus)</f>
        <v>0</v>
      </c>
      <c r="CE68" s="251">
        <f ca="1">MIN(adept_dp_cap,TblMili[[#This Row],[WG]]/adept_dp_bonus)</f>
        <v>0</v>
      </c>
      <c r="CF68" s="94">
        <f ca="1">MIN(TblMili[[#This Row],[Unit 3]],TblMili[[#This Row],[Unit 2]])*2</f>
        <v>0</v>
      </c>
      <c r="CG68" s="94">
        <f ca="1">MIN(TblMili[[#This Row],[Unit 1]],TblMili[[#This Row],[Unit 4]])*2</f>
        <v>0</v>
      </c>
      <c r="CH68" s="251">
        <f ca="1">MIN(frost_mage_cap,TblMili[[#This Row],[Homeland%]]/frost_mage_bonus)</f>
        <v>2.9999999999999996</v>
      </c>
      <c r="CI68" s="45">
        <f ca="1">MIN(ice_elem_cap,TblMili[[#This Row],[Raw (2)]]*ice_elem_bonus)</f>
        <v>0</v>
      </c>
      <c r="CJ68" s="251">
        <f t="shared" ref="CJ68:CJ99" si="3">MIN(bone_breaker_cap,250/bone_breaker_bonus)</f>
        <v>0.83333333333333337</v>
      </c>
      <c r="CK68" s="251">
        <f ca="1">MIN(nox_nightshade_cap,TblConstr[[#This Row],[Homeland]]/TblConstr[[#This Row],[Land]]/nox_nightshade_swamp_bonus)</f>
        <v>4</v>
      </c>
      <c r="CL68" s="251">
        <f ca="1">MIN(TblConstr[[#This Row],[Total Swamp]]/TblConstr[[#This Row],[Land]]/abyss_enforce_bonus,abyss_enforcer_cap)</f>
        <v>0</v>
      </c>
      <c r="CM68" s="251">
        <f ca="1">IF(TblMagic[[#This Row],[Active Infernal Command]]&gt;0,TblMili[[#This Row],[Unit 1]]*infernal_cmd_op,0)</f>
        <v>0</v>
      </c>
      <c r="CN68" s="252"/>
      <c r="CO68" s="252"/>
      <c r="CP68" s="252"/>
      <c r="CQ68" s="251">
        <f ca="1">TblMili[[#This Row],[Mystic]]*2</f>
        <v>4</v>
      </c>
      <c r="CR68" s="251">
        <f ca="1">TblMili[[#This Row],[Druid (op)]]*2</f>
        <v>4</v>
      </c>
      <c r="CS68" s="94">
        <f ca="1">TblMili[[#This Row],[Mystic bonus]]*TblMili[[#This Row],[Unit 3]]+TblMili[[#This Row],[Druid bonus]]*TblMili[[#This Row],[Unit 4]]</f>
        <v>0</v>
      </c>
      <c r="CT68" s="155">
        <f ca="1">TblMili[[#This Row],[Dryad]]*2</f>
        <v>5.9999999999999991</v>
      </c>
      <c r="CU68" s="94">
        <f ca="1">sylvan*(TblMili[[#This Row],[Mystic bonus]]*TblMili[[#This Row],[Unit 3]])</f>
        <v>0</v>
      </c>
      <c r="CV68" s="155">
        <f ca="1">TblMili[[#This Row],[Rockapult]]*2</f>
        <v>4</v>
      </c>
      <c r="CW68" s="94">
        <f ca="1">gnome*(TblMili[[#This Row],[Rockapult bonus]]*TblMili[[#This Row],[Unit 3]])</f>
        <v>0</v>
      </c>
      <c r="CX68" s="155">
        <f ca="1">TblMili[[#This Row],[Adept-DP]]*2</f>
        <v>0</v>
      </c>
      <c r="CY68" s="94">
        <f ca="1">dark_elf*(TblMili[[#This Row],[Adept bonus]]*TblMili[[#This Row],[Unit 3]])</f>
        <v>0</v>
      </c>
      <c r="CZ68" s="155">
        <f ca="1">TblMili[[#This Row],[Frost Mage]]*2</f>
        <v>5.9999999999999991</v>
      </c>
      <c r="DA68" s="155">
        <f ca="1">TblMili[[#This Row],[Ice Elemental]]*2</f>
        <v>0</v>
      </c>
      <c r="DB68" s="94">
        <f ca="1">TblMili[[#This Row],[Frost Mage bonus]]*TblMili[[#This Row],[Unit 3]]+TblMili[[#This Row],[Ice Elemental bonus]]*TblMili[[#This Row],[Unit 4]]</f>
        <v>0</v>
      </c>
      <c r="DC68" s="253"/>
      <c r="DD68" s="143">
        <f ca="1">MIN(SUM(TblConstr[[#This Row],[Plain]:[Water]])/TblMili[[#This Row],[Land]]/favorable_terrain_bonus/100,favorable_terrain_max)</f>
        <v>0</v>
      </c>
      <c r="DE68" s="253"/>
      <c r="DF6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8" s="142"/>
      <c r="DH68" s="254">
        <f ca="1">(TblMili[[#This Row],[Wizards]]+2*TblMili[[#This Row],[Archmages]])/TblConstr[[#This Row],[Land]]</f>
        <v>0</v>
      </c>
      <c r="DI68" s="254">
        <f ca="1">TblMili[[#This Row],[Raw (2)]]*(1+race_wizard_strength+IF(TblMili[[#This Row],[Hour]]&gt;72,tech_magical_weaponry_wiz*TblTech[[#This Row],[3-5]],0))</f>
        <v>0</v>
      </c>
    </row>
    <row r="69" spans="1:113" x14ac:dyDescent="0.2">
      <c r="A69" s="137">
        <f>TblRezone[[#This Row],[Hour]]</f>
        <v>66</v>
      </c>
      <c r="B69" s="246">
        <f ca="1">SUM(TblMili[[#This Row],[Unit 1]:[Archmages]])+SUM(OFFSET(TblMili[[#This Row],[Train Unit 1]],-8,0):TblMili[[#This Row],[Train Unit 2]]) + SUM(OFFSET(TblMili[[#This Row],[Train Unit 3]],-11,0):TblMili[[#This Row],[Train AM]]) + TblMili[[#This Row],[Draftees]]</f>
        <v>526</v>
      </c>
      <c r="C69" s="157">
        <f ca="1">TblPop[[#This Row],[Military%]]</f>
        <v>0.68400520156046818</v>
      </c>
      <c r="D69" s="142"/>
      <c r="E69" s="45">
        <f ca="1">OFFSET(TblMili[[#This Row],[Unit 1]],-1,0) + OFFSET(TblMili[[#This Row],[Train Unit 1]],-9,0) - TblMili[[#This Row],[Release Unit 1]] + OFFSET(TblMili[[#This Row],[DnD_Zombies]],-12,0)</f>
        <v>0</v>
      </c>
      <c r="F69" s="45">
        <f ca="1">OFFSET(TblMili[[#This Row],[Unit 2]],-1,0) + OFFSET(TblMili[[#This Row],[Train Unit 2]],-9,0)-TblMili[[#This Row],[Release Unit 2]]</f>
        <v>0</v>
      </c>
      <c r="G69" s="45">
        <f ca="1">OFFSET(TblMili[[#This Row],[Unit 3]],-1,0) + OFFSET(TblMili[[#This Row],[Train Unit 3]],-12,0)-TblMili[[#This Row],[Release Unit 3]]</f>
        <v>0</v>
      </c>
      <c r="H69" s="45">
        <f ca="1">OFFSET(TblMili[[#This Row],[Unit 4]],-1,0) + OFFSET(TblMili[[#This Row],[Train Unit 4]],-12,0)-TblMili[[#This Row],[Release Unit 4]]</f>
        <v>0</v>
      </c>
      <c r="I69" s="45">
        <f ca="1">OFFSET(TblMili[[#This Row],[Spies]],-1,0) + OFFSET(TblMili[[#This Row],[Train Spies]],-12,0) - TblMili[[#This Row],[Release Spies]]-TblMili[[#This Row],[Train AS]]</f>
        <v>0</v>
      </c>
      <c r="J69" s="45">
        <f ca="1">OFFSET(TblMili[[#This Row],[Archspies]],-1,0) + OFFSET(TblMili[[#This Row],[Train AS]],-12,0) - TblMili[[#This Row],[Release AS]]</f>
        <v>0</v>
      </c>
      <c r="K69" s="45">
        <f ca="1">OFFSET(TblMili[[#This Row],[Wizards]],-1,0) + OFFSET(TblMili[[#This Row],[Train Wiz]],-12,0) - TblMili[[#This Row],[Release Wizards]]-TblMili[[#This Row],[Train AM]] + IF(TblMagic[[#This Row],[Active Arc Infusion]]&gt;0,TblMili[[#This Row],[Train AM]])</f>
        <v>0</v>
      </c>
      <c r="L69" s="45">
        <f ca="1">OFFSET(TblMili[[#This Row],[Archmages]],-1,0) + OFFSET(TblMili[[#This Row],[Train AM]],-12,0) - TblMili[[#This Row],[Release AM]]</f>
        <v>0</v>
      </c>
      <c r="M69" s="142"/>
      <c r="N69" s="94">
        <f ca="1">TblProd[[#This Row],[Networth]]</f>
        <v>1250</v>
      </c>
      <c r="O69" s="142"/>
      <c r="P69"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6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9" s="247">
        <f ca="1">TblMili[[#This Row],[Raw]]*(1+TblMili[[#This Row],[Mods_Off]])</f>
        <v>0</v>
      </c>
      <c r="S69"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69" s="247">
        <f ca="1">TblMili[[#This Row],[Non Draft]]+TblMili[[#This Row],[Draftees]]</f>
        <v>526</v>
      </c>
      <c r="U69" s="248">
        <f ca="1">race_defense + TblImps[[#This Row],[Walls]] + ROUND( MIN(gt_bonus*TblConstr[[#This Row],[Tot GT]]/TblConstr[[#This Row],[Land]],gt_bonus_cap), 4) + IF(TblMagic[[#This Row],[Active Howling]]&gt;0,howling_dp_bonus,IF(TblMagic[[#This Row],[Active Ares Call]]&gt;0,ares_call_bonus))</f>
        <v>0</v>
      </c>
      <c r="V69" s="249">
        <f ca="1">TblMili[[#This Row],[Non Draft]] * (1 + TblMili[[#This Row],[Mods_Def]])</f>
        <v>0</v>
      </c>
      <c r="W69" s="247">
        <f ca="1">TblMili[[#This Row],[Draft]] * (1 + TblMili[[#This Row],[Mods_Def]])</f>
        <v>526</v>
      </c>
      <c r="X69" s="247">
        <f ca="1">TblConstr[[#This Row],[Land]]</f>
        <v>50</v>
      </c>
      <c r="Y69" s="250"/>
      <c r="Z69" s="255">
        <f ca="1">IF(TblMili[[#This Row],[Set]]&lt;&gt;"",TblMili[[#This Row],[Set]],OFFSET(TblMili[[#This Row],[Draftrate]],-1,0))</f>
        <v>0.9</v>
      </c>
      <c r="AA69"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526</v>
      </c>
      <c r="AB69" s="154"/>
      <c r="AC69" s="180">
        <f ca="1">(TblConstr[[#This Row],[Tot Smi]]+TblConstr[[#This Row],[Dest Smi]])/(TblConstr[[#This Row],[Land]]-TblExplore[[#This Row],[Land Bonus]]*20)</f>
        <v>0</v>
      </c>
      <c r="AD69" s="137"/>
      <c r="AE69" s="246">
        <f>TblMili[[#This Row],[Hour]]</f>
        <v>66</v>
      </c>
      <c r="AF69" s="138">
        <f ca="1">TblExplore[[#This Row],[Time]]</f>
        <v>46322.708333333176</v>
      </c>
      <c r="AG69" s="179"/>
      <c r="AH69" s="158"/>
      <c r="AI69" s="179"/>
      <c r="AJ69" s="179"/>
      <c r="AK69" s="179"/>
      <c r="AL69" s="179"/>
      <c r="AM69" s="179"/>
      <c r="AN69" s="179"/>
      <c r="AO69" s="420">
        <f ca="1">ROUND(IF(AND(TblMagic[[#This Row],[Active DnD]]&lt;12,TblMagic[[#This Row],[Active DnD]]&gt;5),OFFSET(TblPop[[#This Row],[Draft Growth]],-1,0)*0.375,0),0)</f>
        <v>0</v>
      </c>
      <c r="AP69" s="142"/>
      <c r="AQ69" s="94">
        <f ca="1">TblProd[[#This Row],[Platinum]]</f>
        <v>180844</v>
      </c>
      <c r="AR69" s="94">
        <f ca="1">INDEX(TblProd[[#Headers],[Lumber]]:TblProd[[#This Row],[Ore]],COUNTA(TblProd[[#Headers],[Lumber]]:TblProd[[#This Row],[Lumber]]),MATCH(Military!$AR$2,TblProd[[#Headers],[Lumber]:[Ore]],0))</f>
        <v>0</v>
      </c>
      <c r="AS6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69" s="94">
        <f ca="1">TblMili[[#This Row],[Train Unit 1]]*TblMili[[#This Row],[OP Ore]]+TblMili[[#This Row],[Train Unit 2]]*TblMili[[#This Row],[DP Ore]]+TblMili[[#This Row],[Train Unit 3]]*TblMili[[#This Row],[E1 Ore]]+TblMili[[#This Row],[Train Unit 4]]*TblMili[[#This Row],[E2 Ore]]</f>
        <v>0</v>
      </c>
      <c r="AU69" s="142">
        <f>TblMili[[#This Row],[Hour]]</f>
        <v>66</v>
      </c>
      <c r="AV69" s="152">
        <f ca="1">TblMili[[#This Row],[Time]]</f>
        <v>46322.708333333176</v>
      </c>
      <c r="AW69" s="94">
        <f ca="1">TblMili[[#This Row],[Draftees]]</f>
        <v>526</v>
      </c>
      <c r="AX69" s="179"/>
      <c r="AY69" s="179"/>
      <c r="AZ69" s="179"/>
      <c r="BA69" s="179"/>
      <c r="BB69" s="179"/>
      <c r="BC69" s="179"/>
      <c r="BD69" s="179"/>
      <c r="BE69" s="179"/>
      <c r="BF69" s="179"/>
      <c r="BG69" s="142"/>
      <c r="BH69" s="157">
        <f ca="1">TblConstr[[#This Row],[Tot WG]]/TblConstr[[#This Row],[Land]]</f>
        <v>0</v>
      </c>
      <c r="BI69" s="157">
        <f ca="1">TblConstr[[#This Row],[Tot Hav]]/TblConstr[[#This Row],[Land]]</f>
        <v>0</v>
      </c>
      <c r="BJ69" s="94">
        <f ca="1">ROUNDUP((1-MIN(TblMili[[#This Row],[Smithies]]*smithy_bonus,smithy_bonus_cap) + tech_3_5*TblTech[[#This Row],[3-5]] + tech_5_3*TblTech[[#This Row],[5-3]] + tech_5_5*TblTech[[#This Row],[5-5]])*spec_op_plat,0)</f>
        <v>315</v>
      </c>
      <c r="BK69" s="94">
        <f ca="1">ROUNDUP(IF(race="Gnome",1,(1-MIN(TblMili[[#This Row],[Smithies]]*smithy_bonus,smithy_bonus_cap) + tech_3_5*TblTech[[#This Row],[3-5]] + tech_5_3*TblTech[[#This Row],[5-3]] + tech_5_5*TblTech[[#This Row],[5-5]]))*spec_op_ore,0)</f>
        <v>25</v>
      </c>
      <c r="BL69" s="94">
        <f ca="1">ROUNDUP((1-MIN(TblMili[[#This Row],[Smithies]]*smithy_bonus,smithy_bonus_cap) + tech_3_5*TblTech[[#This Row],[3-5]] + tech_5_3*TblTech[[#This Row],[5-3]] + tech_5_5*TblTech[[#This Row],[5-5]])*spec_dp_plat,0)</f>
        <v>275</v>
      </c>
      <c r="BM69" s="94">
        <f ca="1">ROUNDUP(IF(race="Gnome",1,(1-MIN(TblMili[[#This Row],[Smithies]]*smithy_bonus,smithy_bonus_cap) + tech_3_5*TblTech[[#This Row],[3-5]] + tech_5_3*TblTech[[#This Row],[5-3]] + tech_5_5*TblTech[[#This Row],[5-5]]))*spec_dp_ore,0)</f>
        <v>15</v>
      </c>
      <c r="BN69" s="94">
        <f ca="1">ROUNDUP((1-MIN(TblMili[[#This Row],[Smithies]]*smithy_bonus,smithy_bonus_cap) + tech_3_5*TblTech[[#This Row],[3-5]] + tech_5_3*TblTech[[#This Row],[5-3]] + tech_5_5*TblTech[[#This Row],[5-5]])*elite1_plat,0)</f>
        <v>1040</v>
      </c>
      <c r="BO69" s="94">
        <f ca="1">ROUNDUP(IF(race="Gnome",1,(1-MIN(TblMili[[#This Row],[Smithies]]*smithy_bonus,smithy_bonus_cap) + tech_3_5*TblTech[[#This Row],[3-5]] + tech_5_3*TblTech[[#This Row],[5-3]] + tech_5_5*TblTech[[#This Row],[5-5]]))*elite1_ore,0)</f>
        <v>75</v>
      </c>
      <c r="BP69" s="94">
        <f ca="1">ROUNDUP((1-MIN(TblMili[[#This Row],[Smithies]]*smithy_bonus,smithy_bonus_cap) + tech_3_5*TblTech[[#This Row],[3-5]] + tech_5_3*TblTech[[#This Row],[5-3]] + tech_5_5*TblTech[[#This Row],[5-5]])*elite2_plat,0)</f>
        <v>1280</v>
      </c>
      <c r="BQ69" s="94">
        <f ca="1">ROUNDUP(IF(race="Gnome",1,(1-MIN(TblMili[[#This Row],[Smithies]]*smithy_bonus,smithy_bonus_cap) + tech_3_5*TblTech[[#This Row],[3-5]] + tech_5_3*TblTech[[#This Row],[5-3]] + tech_5_5*TblTech[[#This Row],[5-5]]))*elite2_ore,0)</f>
        <v>100</v>
      </c>
      <c r="BR69" s="94">
        <f ca="1">ROUNDUP((1-MIN(ROUND(fh_spy_cost_red*TblMili[[#This Row],[FH''s]],4),fh_spy_cost_cap)+ tech_1_9*TblTech[[#This Row],[1-9]] + tech_9_1*TblTech[[#This Row],[9-1]])*spy_plat,0)</f>
        <v>500</v>
      </c>
      <c r="BS69" s="94">
        <f ca="1">ROUNDUP((1-MIN(ROUND(fh_spy_cost_red*TblMili[[#This Row],[FH''s]],4),fh_spy_cost_cap)+ tech_1_9*TblTech[[#This Row],[1-9]] + tech_9_1*TblTech[[#This Row],[9-1]])*archspy_plat,0)</f>
        <v>1000</v>
      </c>
      <c r="BT69" s="94">
        <f ca="1">ROUNDUP((1-MIN(ROUND(wg_wiz_cost_bonus*TblMili[[#This Row],[WG''s]],4),wg_wiz_cost_cap) + tech_1_9_2*TblTech[[#This Row],[1-9]] + tech_9_1_2*TblTech[[#This Row],[9-1]])*wizard_plat,0)</f>
        <v>500</v>
      </c>
      <c r="BU69" s="94">
        <f ca="1">ROUNDUP((1-MIN(ROUND(wg_wiz_cost_bonus*TblMili[[#This Row],[WG''s]],4),wg_wiz_cost_cap) + tech_1_9_2*TblTech[[#This Row],[1-9]] + tech_9_1_2*TblTech[[#This Row],[9-1]])*(archmage_plat + IF(TblMagic[[#This Row],[Active Arc Infusion]]&gt;0,400,0)),0)</f>
        <v>1000</v>
      </c>
      <c r="BV69" s="142"/>
      <c r="BW69" s="157">
        <f ca="1">TblConstr[[#This Row],[Homeland]]/TblConstr[[#This Row],[Land]]</f>
        <v>0.6</v>
      </c>
      <c r="BX69" s="157">
        <f ca="1">TblMili[[#This Row],[WG''s]]</f>
        <v>0</v>
      </c>
      <c r="BY69" s="251">
        <f ca="1">IF(mystic_cap="none",TblMili[[#This Row],[Homeland%]]/mystic_bonus,MIN(mystic_cap,TblMili[[#This Row],[Homeland%]]/mystic_bonus))</f>
        <v>2</v>
      </c>
      <c r="BZ69" s="251">
        <f ca="1">IF(druid_op_cap="none",TblMili[[#This Row],[Homeland%]]/druid_op_bonus,MIN(druid_op_cap,TblMili[[#This Row],[Homeland%]]/druid_op_bonus))</f>
        <v>2</v>
      </c>
      <c r="CA69" s="251">
        <f ca="1">IF(druid_dp_cap="none",TblMili[[#This Row],[Homeland%]]/druid_dp_bonus,MIN(druid_dp_cap,TblMili[[#This Row],[Homeland%]]/druid_dp_bonus))</f>
        <v>2</v>
      </c>
      <c r="CB69" s="251">
        <f ca="1">MIN(dryad_cap,TblMili[[#This Row],[Homeland%]]/dryad_bonus)</f>
        <v>2.9999999999999996</v>
      </c>
      <c r="CC69" s="251">
        <f ca="1">MIN(rocka_cap,TblMili[[#This Row],[Homeland%]]/rocka_bonus)</f>
        <v>2</v>
      </c>
      <c r="CD69" s="251">
        <f ca="1">MIN(adept_op_cap,TblMili[[#This Row],[WG]]/adept_op_bonus)</f>
        <v>0</v>
      </c>
      <c r="CE69" s="251">
        <f ca="1">MIN(adept_dp_cap,TblMili[[#This Row],[WG]]/adept_dp_bonus)</f>
        <v>0</v>
      </c>
      <c r="CF69" s="94">
        <f ca="1">MIN(TblMili[[#This Row],[Unit 3]],TblMili[[#This Row],[Unit 2]])*2</f>
        <v>0</v>
      </c>
      <c r="CG69" s="94">
        <f ca="1">MIN(TblMili[[#This Row],[Unit 1]],TblMili[[#This Row],[Unit 4]])*2</f>
        <v>0</v>
      </c>
      <c r="CH69" s="251">
        <f ca="1">MIN(frost_mage_cap,TblMili[[#This Row],[Homeland%]]/frost_mage_bonus)</f>
        <v>2.9999999999999996</v>
      </c>
      <c r="CI69" s="45">
        <f ca="1">MIN(ice_elem_cap,TblMili[[#This Row],[Raw (2)]]*ice_elem_bonus)</f>
        <v>0</v>
      </c>
      <c r="CJ69" s="251">
        <f t="shared" si="3"/>
        <v>0.83333333333333337</v>
      </c>
      <c r="CK69" s="251">
        <f ca="1">MIN(nox_nightshade_cap,TblConstr[[#This Row],[Homeland]]/TblConstr[[#This Row],[Land]]/nox_nightshade_swamp_bonus)</f>
        <v>4</v>
      </c>
      <c r="CL69" s="251">
        <f ca="1">MIN(TblConstr[[#This Row],[Total Swamp]]/TblConstr[[#This Row],[Land]]/abyss_enforce_bonus,abyss_enforcer_cap)</f>
        <v>0</v>
      </c>
      <c r="CM69" s="251">
        <f ca="1">IF(TblMagic[[#This Row],[Active Infernal Command]]&gt;0,TblMili[[#This Row],[Unit 1]]*infernal_cmd_op,0)</f>
        <v>0</v>
      </c>
      <c r="CN69" s="252"/>
      <c r="CO69" s="252"/>
      <c r="CP69" s="252"/>
      <c r="CQ69" s="251">
        <f ca="1">TblMili[[#This Row],[Mystic]]*2</f>
        <v>4</v>
      </c>
      <c r="CR69" s="251">
        <f ca="1">TblMili[[#This Row],[Druid (op)]]*2</f>
        <v>4</v>
      </c>
      <c r="CS69" s="94">
        <f ca="1">TblMili[[#This Row],[Mystic bonus]]*TblMili[[#This Row],[Unit 3]]+TblMili[[#This Row],[Druid bonus]]*TblMili[[#This Row],[Unit 4]]</f>
        <v>0</v>
      </c>
      <c r="CT69" s="155">
        <f ca="1">TblMili[[#This Row],[Dryad]]*2</f>
        <v>5.9999999999999991</v>
      </c>
      <c r="CU69" s="94">
        <f ca="1">sylvan*(TblMili[[#This Row],[Mystic bonus]]*TblMili[[#This Row],[Unit 3]])</f>
        <v>0</v>
      </c>
      <c r="CV69" s="155">
        <f ca="1">TblMili[[#This Row],[Rockapult]]*2</f>
        <v>4</v>
      </c>
      <c r="CW69" s="94">
        <f ca="1">gnome*(TblMili[[#This Row],[Rockapult bonus]]*TblMili[[#This Row],[Unit 3]])</f>
        <v>0</v>
      </c>
      <c r="CX69" s="155">
        <f ca="1">TblMili[[#This Row],[Adept-DP]]*2</f>
        <v>0</v>
      </c>
      <c r="CY69" s="94">
        <f ca="1">dark_elf*(TblMili[[#This Row],[Adept bonus]]*TblMili[[#This Row],[Unit 3]])</f>
        <v>0</v>
      </c>
      <c r="CZ69" s="155">
        <f ca="1">TblMili[[#This Row],[Frost Mage]]*2</f>
        <v>5.9999999999999991</v>
      </c>
      <c r="DA69" s="155">
        <f ca="1">TblMili[[#This Row],[Ice Elemental]]*2</f>
        <v>0</v>
      </c>
      <c r="DB69" s="94">
        <f ca="1">TblMili[[#This Row],[Frost Mage bonus]]*TblMili[[#This Row],[Unit 3]]+TblMili[[#This Row],[Ice Elemental bonus]]*TblMili[[#This Row],[Unit 4]]</f>
        <v>0</v>
      </c>
      <c r="DC69" s="253"/>
      <c r="DD69" s="143">
        <f ca="1">MIN(SUM(TblConstr[[#This Row],[Plain]:[Water]])/TblMili[[#This Row],[Land]]/favorable_terrain_bonus/100,favorable_terrain_max)</f>
        <v>0</v>
      </c>
      <c r="DE69" s="253"/>
      <c r="DF6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9" s="142"/>
      <c r="DH69" s="254">
        <f ca="1">(TblMili[[#This Row],[Wizards]]+2*TblMili[[#This Row],[Archmages]])/TblConstr[[#This Row],[Land]]</f>
        <v>0</v>
      </c>
      <c r="DI69" s="254">
        <f ca="1">TblMili[[#This Row],[Raw (2)]]*(1+race_wizard_strength+IF(TblMili[[#This Row],[Hour]]&gt;72,tech_magical_weaponry_wiz*TblTech[[#This Row],[3-5]],0))</f>
        <v>0</v>
      </c>
    </row>
    <row r="70" spans="1:113" x14ac:dyDescent="0.2">
      <c r="A70" s="137">
        <f>TblRezone[[#This Row],[Hour]]</f>
        <v>67</v>
      </c>
      <c r="B70" s="246">
        <f ca="1">SUM(TblMili[[#This Row],[Unit 1]:[Archmages]])+SUM(OFFSET(TblMili[[#This Row],[Train Unit 1]],-8,0):TblMili[[#This Row],[Train Unit 2]]) + SUM(OFFSET(TblMili[[#This Row],[Train Unit 3]],-11,0):TblMili[[#This Row],[Train AM]]) + TblMili[[#This Row],[Draftees]]</f>
        <v>528</v>
      </c>
      <c r="C70" s="157">
        <f ca="1">TblPop[[#This Row],[Military%]]</f>
        <v>0.68660598179453836</v>
      </c>
      <c r="D70" s="142"/>
      <c r="E70" s="45">
        <f ca="1">OFFSET(TblMili[[#This Row],[Unit 1]],-1,0) + OFFSET(TblMili[[#This Row],[Train Unit 1]],-9,0) - TblMili[[#This Row],[Release Unit 1]] + OFFSET(TblMili[[#This Row],[DnD_Zombies]],-12,0)</f>
        <v>0</v>
      </c>
      <c r="F70" s="45">
        <f ca="1">OFFSET(TblMili[[#This Row],[Unit 2]],-1,0) + OFFSET(TblMili[[#This Row],[Train Unit 2]],-9,0)-TblMili[[#This Row],[Release Unit 2]]</f>
        <v>0</v>
      </c>
      <c r="G70" s="45">
        <f ca="1">OFFSET(TblMili[[#This Row],[Unit 3]],-1,0) + OFFSET(TblMili[[#This Row],[Train Unit 3]],-12,0)-TblMili[[#This Row],[Release Unit 3]]</f>
        <v>0</v>
      </c>
      <c r="H70" s="45">
        <f ca="1">OFFSET(TblMili[[#This Row],[Unit 4]],-1,0) + OFFSET(TblMili[[#This Row],[Train Unit 4]],-12,0)-TblMili[[#This Row],[Release Unit 4]]</f>
        <v>0</v>
      </c>
      <c r="I70" s="45">
        <f ca="1">OFFSET(TblMili[[#This Row],[Spies]],-1,0) + OFFSET(TblMili[[#This Row],[Train Spies]],-12,0) - TblMili[[#This Row],[Release Spies]]-TblMili[[#This Row],[Train AS]]</f>
        <v>0</v>
      </c>
      <c r="J70" s="45">
        <f ca="1">OFFSET(TblMili[[#This Row],[Archspies]],-1,0) + OFFSET(TblMili[[#This Row],[Train AS]],-12,0) - TblMili[[#This Row],[Release AS]]</f>
        <v>0</v>
      </c>
      <c r="K70" s="45">
        <f ca="1">OFFSET(TblMili[[#This Row],[Wizards]],-1,0) + OFFSET(TblMili[[#This Row],[Train Wiz]],-12,0) - TblMili[[#This Row],[Release Wizards]]-TblMili[[#This Row],[Train AM]] + IF(TblMagic[[#This Row],[Active Arc Infusion]]&gt;0,TblMili[[#This Row],[Train AM]])</f>
        <v>0</v>
      </c>
      <c r="L70" s="45">
        <f ca="1">OFFSET(TblMili[[#This Row],[Archmages]],-1,0) + OFFSET(TblMili[[#This Row],[Train AM]],-12,0) - TblMili[[#This Row],[Release AM]]</f>
        <v>0</v>
      </c>
      <c r="M70" s="142"/>
      <c r="N70" s="94">
        <f ca="1">TblProd[[#This Row],[Networth]]</f>
        <v>1250</v>
      </c>
      <c r="O70" s="142"/>
      <c r="P70"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7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0" s="247">
        <f ca="1">TblMili[[#This Row],[Raw]]*(1+TblMili[[#This Row],[Mods_Off]])</f>
        <v>0</v>
      </c>
      <c r="S70"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70" s="247">
        <f ca="1">TblMili[[#This Row],[Non Draft]]+TblMili[[#This Row],[Draftees]]</f>
        <v>528</v>
      </c>
      <c r="U70" s="248">
        <f ca="1">race_defense + TblImps[[#This Row],[Walls]] + ROUND( MIN(gt_bonus*TblConstr[[#This Row],[Tot GT]]/TblConstr[[#This Row],[Land]],gt_bonus_cap), 4) + IF(TblMagic[[#This Row],[Active Howling]]&gt;0,howling_dp_bonus,IF(TblMagic[[#This Row],[Active Ares Call]]&gt;0,ares_call_bonus))</f>
        <v>0</v>
      </c>
      <c r="V70" s="249">
        <f ca="1">TblMili[[#This Row],[Non Draft]] * (1 + TblMili[[#This Row],[Mods_Def]])</f>
        <v>0</v>
      </c>
      <c r="W70" s="247">
        <f ca="1">TblMili[[#This Row],[Draft]] * (1 + TblMili[[#This Row],[Mods_Def]])</f>
        <v>528</v>
      </c>
      <c r="X70" s="247">
        <f ca="1">TblConstr[[#This Row],[Land]]</f>
        <v>50</v>
      </c>
      <c r="Y70" s="250"/>
      <c r="Z70" s="255">
        <f ca="1">IF(TblMili[[#This Row],[Set]]&lt;&gt;"",TblMili[[#This Row],[Set]],OFFSET(TblMili[[#This Row],[Draftrate]],-1,0))</f>
        <v>0.9</v>
      </c>
      <c r="AA70"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528</v>
      </c>
      <c r="AB70" s="154"/>
      <c r="AC70" s="180">
        <f ca="1">(TblConstr[[#This Row],[Tot Smi]]+TblConstr[[#This Row],[Dest Smi]])/(TblConstr[[#This Row],[Land]]-TblExplore[[#This Row],[Land Bonus]]*20)</f>
        <v>0</v>
      </c>
      <c r="AD70" s="137"/>
      <c r="AE70" s="246">
        <f>TblMili[[#This Row],[Hour]]</f>
        <v>67</v>
      </c>
      <c r="AF70" s="138">
        <f ca="1">TblExplore[[#This Row],[Time]]</f>
        <v>46322.74999999984</v>
      </c>
      <c r="AG70" s="179"/>
      <c r="AH70" s="158"/>
      <c r="AI70" s="179"/>
      <c r="AJ70" s="179"/>
      <c r="AK70" s="179"/>
      <c r="AL70" s="179"/>
      <c r="AM70" s="179"/>
      <c r="AN70" s="179"/>
      <c r="AO70" s="420">
        <f ca="1">ROUND(IF(AND(TblMagic[[#This Row],[Active DnD]]&lt;12,TblMagic[[#This Row],[Active DnD]]&gt;5),OFFSET(TblPop[[#This Row],[Draft Growth]],-1,0)*0.375,0),0)</f>
        <v>0</v>
      </c>
      <c r="AP70" s="142"/>
      <c r="AQ70" s="94">
        <f ca="1">TblProd[[#This Row],[Platinum]]</f>
        <v>181500</v>
      </c>
      <c r="AR70" s="94">
        <f ca="1">INDEX(TblProd[[#Headers],[Lumber]]:TblProd[[#This Row],[Ore]],COUNTA(TblProd[[#Headers],[Lumber]]:TblProd[[#This Row],[Lumber]]),MATCH(Military!$AR$2,TblProd[[#Headers],[Lumber]:[Ore]],0))</f>
        <v>0</v>
      </c>
      <c r="AS7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70" s="94">
        <f ca="1">TblMili[[#This Row],[Train Unit 1]]*TblMili[[#This Row],[OP Ore]]+TblMili[[#This Row],[Train Unit 2]]*TblMili[[#This Row],[DP Ore]]+TblMili[[#This Row],[Train Unit 3]]*TblMili[[#This Row],[E1 Ore]]+TblMili[[#This Row],[Train Unit 4]]*TblMili[[#This Row],[E2 Ore]]</f>
        <v>0</v>
      </c>
      <c r="AU70" s="142">
        <f>TblMili[[#This Row],[Hour]]</f>
        <v>67</v>
      </c>
      <c r="AV70" s="152">
        <f ca="1">TblMili[[#This Row],[Time]]</f>
        <v>46322.74999999984</v>
      </c>
      <c r="AW70" s="94">
        <f ca="1">TblMili[[#This Row],[Draftees]]</f>
        <v>528</v>
      </c>
      <c r="AX70" s="179"/>
      <c r="AY70" s="179"/>
      <c r="AZ70" s="179"/>
      <c r="BA70" s="179"/>
      <c r="BB70" s="179"/>
      <c r="BC70" s="179"/>
      <c r="BD70" s="179"/>
      <c r="BE70" s="179"/>
      <c r="BF70" s="179"/>
      <c r="BG70" s="142"/>
      <c r="BH70" s="157">
        <f ca="1">TblConstr[[#This Row],[Tot WG]]/TblConstr[[#This Row],[Land]]</f>
        <v>0</v>
      </c>
      <c r="BI70" s="157">
        <f ca="1">TblConstr[[#This Row],[Tot Hav]]/TblConstr[[#This Row],[Land]]</f>
        <v>0</v>
      </c>
      <c r="BJ70" s="94">
        <f ca="1">ROUNDUP((1-MIN(TblMili[[#This Row],[Smithies]]*smithy_bonus,smithy_bonus_cap) + tech_3_5*TblTech[[#This Row],[3-5]] + tech_5_3*TblTech[[#This Row],[5-3]] + tech_5_5*TblTech[[#This Row],[5-5]])*spec_op_plat,0)</f>
        <v>315</v>
      </c>
      <c r="BK70" s="94">
        <f ca="1">ROUNDUP(IF(race="Gnome",1,(1-MIN(TblMili[[#This Row],[Smithies]]*smithy_bonus,smithy_bonus_cap) + tech_3_5*TblTech[[#This Row],[3-5]] + tech_5_3*TblTech[[#This Row],[5-3]] + tech_5_5*TblTech[[#This Row],[5-5]]))*spec_op_ore,0)</f>
        <v>25</v>
      </c>
      <c r="BL70" s="94">
        <f ca="1">ROUNDUP((1-MIN(TblMili[[#This Row],[Smithies]]*smithy_bonus,smithy_bonus_cap) + tech_3_5*TblTech[[#This Row],[3-5]] + tech_5_3*TblTech[[#This Row],[5-3]] + tech_5_5*TblTech[[#This Row],[5-5]])*spec_dp_plat,0)</f>
        <v>275</v>
      </c>
      <c r="BM70" s="94">
        <f ca="1">ROUNDUP(IF(race="Gnome",1,(1-MIN(TblMili[[#This Row],[Smithies]]*smithy_bonus,smithy_bonus_cap) + tech_3_5*TblTech[[#This Row],[3-5]] + tech_5_3*TblTech[[#This Row],[5-3]] + tech_5_5*TblTech[[#This Row],[5-5]]))*spec_dp_ore,0)</f>
        <v>15</v>
      </c>
      <c r="BN70" s="94">
        <f ca="1">ROUNDUP((1-MIN(TblMili[[#This Row],[Smithies]]*smithy_bonus,smithy_bonus_cap) + tech_3_5*TblTech[[#This Row],[3-5]] + tech_5_3*TblTech[[#This Row],[5-3]] + tech_5_5*TblTech[[#This Row],[5-5]])*elite1_plat,0)</f>
        <v>1040</v>
      </c>
      <c r="BO70" s="94">
        <f ca="1">ROUNDUP(IF(race="Gnome",1,(1-MIN(TblMili[[#This Row],[Smithies]]*smithy_bonus,smithy_bonus_cap) + tech_3_5*TblTech[[#This Row],[3-5]] + tech_5_3*TblTech[[#This Row],[5-3]] + tech_5_5*TblTech[[#This Row],[5-5]]))*elite1_ore,0)</f>
        <v>75</v>
      </c>
      <c r="BP70" s="94">
        <f ca="1">ROUNDUP((1-MIN(TblMili[[#This Row],[Smithies]]*smithy_bonus,smithy_bonus_cap) + tech_3_5*TblTech[[#This Row],[3-5]] + tech_5_3*TblTech[[#This Row],[5-3]] + tech_5_5*TblTech[[#This Row],[5-5]])*elite2_plat,0)</f>
        <v>1280</v>
      </c>
      <c r="BQ70" s="94">
        <f ca="1">ROUNDUP(IF(race="Gnome",1,(1-MIN(TblMili[[#This Row],[Smithies]]*smithy_bonus,smithy_bonus_cap) + tech_3_5*TblTech[[#This Row],[3-5]] + tech_5_3*TblTech[[#This Row],[5-3]] + tech_5_5*TblTech[[#This Row],[5-5]]))*elite2_ore,0)</f>
        <v>100</v>
      </c>
      <c r="BR70" s="94">
        <f ca="1">ROUNDUP((1-MIN(ROUND(fh_spy_cost_red*TblMili[[#This Row],[FH''s]],4),fh_spy_cost_cap)+ tech_1_9*TblTech[[#This Row],[1-9]] + tech_9_1*TblTech[[#This Row],[9-1]])*spy_plat,0)</f>
        <v>500</v>
      </c>
      <c r="BS70" s="94">
        <f ca="1">ROUNDUP((1-MIN(ROUND(fh_spy_cost_red*TblMili[[#This Row],[FH''s]],4),fh_spy_cost_cap)+ tech_1_9*TblTech[[#This Row],[1-9]] + tech_9_1*TblTech[[#This Row],[9-1]])*archspy_plat,0)</f>
        <v>1000</v>
      </c>
      <c r="BT70" s="94">
        <f ca="1">ROUNDUP((1-MIN(ROUND(wg_wiz_cost_bonus*TblMili[[#This Row],[WG''s]],4),wg_wiz_cost_cap) + tech_1_9_2*TblTech[[#This Row],[1-9]] + tech_9_1_2*TblTech[[#This Row],[9-1]])*wizard_plat,0)</f>
        <v>500</v>
      </c>
      <c r="BU70" s="94">
        <f ca="1">ROUNDUP((1-MIN(ROUND(wg_wiz_cost_bonus*TblMili[[#This Row],[WG''s]],4),wg_wiz_cost_cap) + tech_1_9_2*TblTech[[#This Row],[1-9]] + tech_9_1_2*TblTech[[#This Row],[9-1]])*(archmage_plat + IF(TblMagic[[#This Row],[Active Arc Infusion]]&gt;0,400,0)),0)</f>
        <v>1000</v>
      </c>
      <c r="BV70" s="142"/>
      <c r="BW70" s="157">
        <f ca="1">TblConstr[[#This Row],[Homeland]]/TblConstr[[#This Row],[Land]]</f>
        <v>0.6</v>
      </c>
      <c r="BX70" s="157">
        <f ca="1">TblMili[[#This Row],[WG''s]]</f>
        <v>0</v>
      </c>
      <c r="BY70" s="251">
        <f ca="1">IF(mystic_cap="none",TblMili[[#This Row],[Homeland%]]/mystic_bonus,MIN(mystic_cap,TblMili[[#This Row],[Homeland%]]/mystic_bonus))</f>
        <v>2</v>
      </c>
      <c r="BZ70" s="251">
        <f ca="1">IF(druid_op_cap="none",TblMili[[#This Row],[Homeland%]]/druid_op_bonus,MIN(druid_op_cap,TblMili[[#This Row],[Homeland%]]/druid_op_bonus))</f>
        <v>2</v>
      </c>
      <c r="CA70" s="251">
        <f ca="1">IF(druid_dp_cap="none",TblMili[[#This Row],[Homeland%]]/druid_dp_bonus,MIN(druid_dp_cap,TblMili[[#This Row],[Homeland%]]/druid_dp_bonus))</f>
        <v>2</v>
      </c>
      <c r="CB70" s="251">
        <f ca="1">MIN(dryad_cap,TblMili[[#This Row],[Homeland%]]/dryad_bonus)</f>
        <v>2.9999999999999996</v>
      </c>
      <c r="CC70" s="251">
        <f ca="1">MIN(rocka_cap,TblMili[[#This Row],[Homeland%]]/rocka_bonus)</f>
        <v>2</v>
      </c>
      <c r="CD70" s="251">
        <f ca="1">MIN(adept_op_cap,TblMili[[#This Row],[WG]]/adept_op_bonus)</f>
        <v>0</v>
      </c>
      <c r="CE70" s="251">
        <f ca="1">MIN(adept_dp_cap,TblMili[[#This Row],[WG]]/adept_dp_bonus)</f>
        <v>0</v>
      </c>
      <c r="CF70" s="94">
        <f ca="1">MIN(TblMili[[#This Row],[Unit 3]],TblMili[[#This Row],[Unit 2]])*2</f>
        <v>0</v>
      </c>
      <c r="CG70" s="94">
        <f ca="1">MIN(TblMili[[#This Row],[Unit 1]],TblMili[[#This Row],[Unit 4]])*2</f>
        <v>0</v>
      </c>
      <c r="CH70" s="251">
        <f ca="1">MIN(frost_mage_cap,TblMili[[#This Row],[Homeland%]]/frost_mage_bonus)</f>
        <v>2.9999999999999996</v>
      </c>
      <c r="CI70" s="45">
        <f ca="1">MIN(ice_elem_cap,TblMili[[#This Row],[Raw (2)]]*ice_elem_bonus)</f>
        <v>0</v>
      </c>
      <c r="CJ70" s="251">
        <f t="shared" si="3"/>
        <v>0.83333333333333337</v>
      </c>
      <c r="CK70" s="251">
        <f ca="1">MIN(nox_nightshade_cap,TblConstr[[#This Row],[Homeland]]/TblConstr[[#This Row],[Land]]/nox_nightshade_swamp_bonus)</f>
        <v>4</v>
      </c>
      <c r="CL70" s="251">
        <f ca="1">MIN(TblConstr[[#This Row],[Total Swamp]]/TblConstr[[#This Row],[Land]]/abyss_enforce_bonus,abyss_enforcer_cap)</f>
        <v>0</v>
      </c>
      <c r="CM70" s="251">
        <f ca="1">IF(TblMagic[[#This Row],[Active Infernal Command]]&gt;0,TblMili[[#This Row],[Unit 1]]*infernal_cmd_op,0)</f>
        <v>0</v>
      </c>
      <c r="CN70" s="252"/>
      <c r="CO70" s="252"/>
      <c r="CP70" s="252"/>
      <c r="CQ70" s="251">
        <f ca="1">TblMili[[#This Row],[Mystic]]*2</f>
        <v>4</v>
      </c>
      <c r="CR70" s="251">
        <f ca="1">TblMili[[#This Row],[Druid (op)]]*2</f>
        <v>4</v>
      </c>
      <c r="CS70" s="94">
        <f ca="1">TblMili[[#This Row],[Mystic bonus]]*TblMili[[#This Row],[Unit 3]]+TblMili[[#This Row],[Druid bonus]]*TblMili[[#This Row],[Unit 4]]</f>
        <v>0</v>
      </c>
      <c r="CT70" s="155">
        <f ca="1">TblMili[[#This Row],[Dryad]]*2</f>
        <v>5.9999999999999991</v>
      </c>
      <c r="CU70" s="94">
        <f ca="1">sylvan*(TblMili[[#This Row],[Mystic bonus]]*TblMili[[#This Row],[Unit 3]])</f>
        <v>0</v>
      </c>
      <c r="CV70" s="155">
        <f ca="1">TblMili[[#This Row],[Rockapult]]*2</f>
        <v>4</v>
      </c>
      <c r="CW70" s="94">
        <f ca="1">gnome*(TblMili[[#This Row],[Rockapult bonus]]*TblMili[[#This Row],[Unit 3]])</f>
        <v>0</v>
      </c>
      <c r="CX70" s="155">
        <f ca="1">TblMili[[#This Row],[Adept-DP]]*2</f>
        <v>0</v>
      </c>
      <c r="CY70" s="94">
        <f ca="1">dark_elf*(TblMili[[#This Row],[Adept bonus]]*TblMili[[#This Row],[Unit 3]])</f>
        <v>0</v>
      </c>
      <c r="CZ70" s="155">
        <f ca="1">TblMili[[#This Row],[Frost Mage]]*2</f>
        <v>5.9999999999999991</v>
      </c>
      <c r="DA70" s="155">
        <f ca="1">TblMili[[#This Row],[Ice Elemental]]*2</f>
        <v>0</v>
      </c>
      <c r="DB70" s="94">
        <f ca="1">TblMili[[#This Row],[Frost Mage bonus]]*TblMili[[#This Row],[Unit 3]]+TblMili[[#This Row],[Ice Elemental bonus]]*TblMili[[#This Row],[Unit 4]]</f>
        <v>0</v>
      </c>
      <c r="DC70" s="253"/>
      <c r="DD70" s="143">
        <f ca="1">MIN(SUM(TblConstr[[#This Row],[Plain]:[Water]])/TblMili[[#This Row],[Land]]/favorable_terrain_bonus/100,favorable_terrain_max)</f>
        <v>0</v>
      </c>
      <c r="DE70" s="253"/>
      <c r="DF7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0" s="142"/>
      <c r="DH70" s="254">
        <f ca="1">(TblMili[[#This Row],[Wizards]]+2*TblMili[[#This Row],[Archmages]])/TblConstr[[#This Row],[Land]]</f>
        <v>0</v>
      </c>
      <c r="DI70" s="254">
        <f ca="1">TblMili[[#This Row],[Raw (2)]]*(1+race_wizard_strength+IF(TblMili[[#This Row],[Hour]]&gt;72,tech_magical_weaponry_wiz*TblTech[[#This Row],[3-5]],0))</f>
        <v>0</v>
      </c>
    </row>
    <row r="71" spans="1:113" x14ac:dyDescent="0.2">
      <c r="A71" s="137">
        <f>TblRezone[[#This Row],[Hour]]</f>
        <v>68</v>
      </c>
      <c r="B71" s="246">
        <f ca="1">SUM(TblMili[[#This Row],[Unit 1]:[Archmages]])+SUM(OFFSET(TblMili[[#This Row],[Train Unit 1]],-8,0):TblMili[[#This Row],[Train Unit 2]]) + SUM(OFFSET(TblMili[[#This Row],[Train Unit 3]],-11,0):TblMili[[#This Row],[Train AM]]) + TblMili[[#This Row],[Draftees]]</f>
        <v>530</v>
      </c>
      <c r="C71" s="157">
        <f ca="1">TblPop[[#This Row],[Military%]]</f>
        <v>0.68920676202860853</v>
      </c>
      <c r="D71" s="142"/>
      <c r="E71" s="45">
        <f ca="1">OFFSET(TblMili[[#This Row],[Unit 1]],-1,0) + OFFSET(TblMili[[#This Row],[Train Unit 1]],-9,0) - TblMili[[#This Row],[Release Unit 1]] + OFFSET(TblMili[[#This Row],[DnD_Zombies]],-12,0)</f>
        <v>0</v>
      </c>
      <c r="F71" s="45">
        <f ca="1">OFFSET(TblMili[[#This Row],[Unit 2]],-1,0) + OFFSET(TblMili[[#This Row],[Train Unit 2]],-9,0)-TblMili[[#This Row],[Release Unit 2]]</f>
        <v>0</v>
      </c>
      <c r="G71" s="45">
        <f ca="1">OFFSET(TblMili[[#This Row],[Unit 3]],-1,0) + OFFSET(TblMili[[#This Row],[Train Unit 3]],-12,0)-TblMili[[#This Row],[Release Unit 3]]</f>
        <v>0</v>
      </c>
      <c r="H71" s="45">
        <f ca="1">OFFSET(TblMili[[#This Row],[Unit 4]],-1,0) + OFFSET(TblMili[[#This Row],[Train Unit 4]],-12,0)-TblMili[[#This Row],[Release Unit 4]]</f>
        <v>0</v>
      </c>
      <c r="I71" s="45">
        <f ca="1">OFFSET(TblMili[[#This Row],[Spies]],-1,0) + OFFSET(TblMili[[#This Row],[Train Spies]],-12,0) - TblMili[[#This Row],[Release Spies]]-TblMili[[#This Row],[Train AS]]</f>
        <v>0</v>
      </c>
      <c r="J71" s="45">
        <f ca="1">OFFSET(TblMili[[#This Row],[Archspies]],-1,0) + OFFSET(TblMili[[#This Row],[Train AS]],-12,0) - TblMili[[#This Row],[Release AS]]</f>
        <v>0</v>
      </c>
      <c r="K71" s="45">
        <f ca="1">OFFSET(TblMili[[#This Row],[Wizards]],-1,0) + OFFSET(TblMili[[#This Row],[Train Wiz]],-12,0) - TblMili[[#This Row],[Release Wizards]]-TblMili[[#This Row],[Train AM]] + IF(TblMagic[[#This Row],[Active Arc Infusion]]&gt;0,TblMili[[#This Row],[Train AM]])</f>
        <v>0</v>
      </c>
      <c r="L71" s="45">
        <f ca="1">OFFSET(TblMili[[#This Row],[Archmages]],-1,0) + OFFSET(TblMili[[#This Row],[Train AM]],-12,0) - TblMili[[#This Row],[Release AM]]</f>
        <v>0</v>
      </c>
      <c r="M71" s="142"/>
      <c r="N71" s="94">
        <f ca="1">TblProd[[#This Row],[Networth]]</f>
        <v>1250</v>
      </c>
      <c r="O71" s="142"/>
      <c r="P71"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7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1" s="247">
        <f ca="1">TblMili[[#This Row],[Raw]]*(1+TblMili[[#This Row],[Mods_Off]])</f>
        <v>0</v>
      </c>
      <c r="S71"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71" s="247">
        <f ca="1">TblMili[[#This Row],[Non Draft]]+TblMili[[#This Row],[Draftees]]</f>
        <v>530</v>
      </c>
      <c r="U71" s="248">
        <f ca="1">race_defense + TblImps[[#This Row],[Walls]] + ROUND( MIN(gt_bonus*TblConstr[[#This Row],[Tot GT]]/TblConstr[[#This Row],[Land]],gt_bonus_cap), 4) + IF(TblMagic[[#This Row],[Active Howling]]&gt;0,howling_dp_bonus,IF(TblMagic[[#This Row],[Active Ares Call]]&gt;0,ares_call_bonus))</f>
        <v>0</v>
      </c>
      <c r="V71" s="249">
        <f ca="1">TblMili[[#This Row],[Non Draft]] * (1 + TblMili[[#This Row],[Mods_Def]])</f>
        <v>0</v>
      </c>
      <c r="W71" s="247">
        <f ca="1">TblMili[[#This Row],[Draft]] * (1 + TblMili[[#This Row],[Mods_Def]])</f>
        <v>530</v>
      </c>
      <c r="X71" s="247">
        <f ca="1">TblConstr[[#This Row],[Land]]</f>
        <v>50</v>
      </c>
      <c r="Y71" s="250"/>
      <c r="Z71" s="255">
        <f ca="1">IF(TblMili[[#This Row],[Set]]&lt;&gt;"",TblMili[[#This Row],[Set]],OFFSET(TblMili[[#This Row],[Draftrate]],-1,0))</f>
        <v>0.9</v>
      </c>
      <c r="AA71"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530</v>
      </c>
      <c r="AB71" s="154"/>
      <c r="AC71" s="180">
        <f ca="1">(TblConstr[[#This Row],[Tot Smi]]+TblConstr[[#This Row],[Dest Smi]])/(TblConstr[[#This Row],[Land]]-TblExplore[[#This Row],[Land Bonus]]*20)</f>
        <v>0</v>
      </c>
      <c r="AD71" s="137"/>
      <c r="AE71" s="246">
        <f>TblMili[[#This Row],[Hour]]</f>
        <v>68</v>
      </c>
      <c r="AF71" s="138">
        <f ca="1">TblExplore[[#This Row],[Time]]</f>
        <v>46322.791666666504</v>
      </c>
      <c r="AG71" s="179"/>
      <c r="AH71" s="158"/>
      <c r="AI71" s="179"/>
      <c r="AJ71" s="179"/>
      <c r="AK71" s="179"/>
      <c r="AL71" s="179"/>
      <c r="AM71" s="179"/>
      <c r="AN71" s="179"/>
      <c r="AO71" s="420">
        <f ca="1">ROUND(IF(AND(TblMagic[[#This Row],[Active DnD]]&lt;12,TblMagic[[#This Row],[Active DnD]]&gt;5),OFFSET(TblPop[[#This Row],[Draft Growth]],-1,0)*0.375,0),0)</f>
        <v>0</v>
      </c>
      <c r="AP71" s="142"/>
      <c r="AQ71" s="94">
        <f ca="1">TblProd[[#This Row],[Platinum]]</f>
        <v>182150</v>
      </c>
      <c r="AR71" s="94">
        <f ca="1">INDEX(TblProd[[#Headers],[Lumber]]:TblProd[[#This Row],[Ore]],COUNTA(TblProd[[#Headers],[Lumber]]:TblProd[[#This Row],[Lumber]]),MATCH(Military!$AR$2,TblProd[[#Headers],[Lumber]:[Ore]],0))</f>
        <v>0</v>
      </c>
      <c r="AS7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71" s="94">
        <f ca="1">TblMili[[#This Row],[Train Unit 1]]*TblMili[[#This Row],[OP Ore]]+TblMili[[#This Row],[Train Unit 2]]*TblMili[[#This Row],[DP Ore]]+TblMili[[#This Row],[Train Unit 3]]*TblMili[[#This Row],[E1 Ore]]+TblMili[[#This Row],[Train Unit 4]]*TblMili[[#This Row],[E2 Ore]]</f>
        <v>0</v>
      </c>
      <c r="AU71" s="142">
        <f>TblMili[[#This Row],[Hour]]</f>
        <v>68</v>
      </c>
      <c r="AV71" s="152">
        <f ca="1">TblMili[[#This Row],[Time]]</f>
        <v>46322.791666666504</v>
      </c>
      <c r="AW71" s="94">
        <f ca="1">TblMili[[#This Row],[Draftees]]</f>
        <v>530</v>
      </c>
      <c r="AX71" s="179"/>
      <c r="AY71" s="179"/>
      <c r="AZ71" s="179"/>
      <c r="BA71" s="179"/>
      <c r="BB71" s="179"/>
      <c r="BC71" s="179"/>
      <c r="BD71" s="179"/>
      <c r="BE71" s="179"/>
      <c r="BF71" s="179"/>
      <c r="BG71" s="142"/>
      <c r="BH71" s="157">
        <f ca="1">TblConstr[[#This Row],[Tot WG]]/TblConstr[[#This Row],[Land]]</f>
        <v>0</v>
      </c>
      <c r="BI71" s="157">
        <f ca="1">TblConstr[[#This Row],[Tot Hav]]/TblConstr[[#This Row],[Land]]</f>
        <v>0</v>
      </c>
      <c r="BJ71" s="94">
        <f ca="1">ROUNDUP((1-MIN(TblMili[[#This Row],[Smithies]]*smithy_bonus,smithy_bonus_cap) + tech_3_5*TblTech[[#This Row],[3-5]] + tech_5_3*TblTech[[#This Row],[5-3]] + tech_5_5*TblTech[[#This Row],[5-5]])*spec_op_plat,0)</f>
        <v>315</v>
      </c>
      <c r="BK71" s="94">
        <f ca="1">ROUNDUP(IF(race="Gnome",1,(1-MIN(TblMili[[#This Row],[Smithies]]*smithy_bonus,smithy_bonus_cap) + tech_3_5*TblTech[[#This Row],[3-5]] + tech_5_3*TblTech[[#This Row],[5-3]] + tech_5_5*TblTech[[#This Row],[5-5]]))*spec_op_ore,0)</f>
        <v>25</v>
      </c>
      <c r="BL71" s="94">
        <f ca="1">ROUNDUP((1-MIN(TblMili[[#This Row],[Smithies]]*smithy_bonus,smithy_bonus_cap) + tech_3_5*TblTech[[#This Row],[3-5]] + tech_5_3*TblTech[[#This Row],[5-3]] + tech_5_5*TblTech[[#This Row],[5-5]])*spec_dp_plat,0)</f>
        <v>275</v>
      </c>
      <c r="BM71" s="94">
        <f ca="1">ROUNDUP(IF(race="Gnome",1,(1-MIN(TblMili[[#This Row],[Smithies]]*smithy_bonus,smithy_bonus_cap) + tech_3_5*TblTech[[#This Row],[3-5]] + tech_5_3*TblTech[[#This Row],[5-3]] + tech_5_5*TblTech[[#This Row],[5-5]]))*spec_dp_ore,0)</f>
        <v>15</v>
      </c>
      <c r="BN71" s="94">
        <f ca="1">ROUNDUP((1-MIN(TblMili[[#This Row],[Smithies]]*smithy_bonus,smithy_bonus_cap) + tech_3_5*TblTech[[#This Row],[3-5]] + tech_5_3*TblTech[[#This Row],[5-3]] + tech_5_5*TblTech[[#This Row],[5-5]])*elite1_plat,0)</f>
        <v>1040</v>
      </c>
      <c r="BO71" s="94">
        <f ca="1">ROUNDUP(IF(race="Gnome",1,(1-MIN(TblMili[[#This Row],[Smithies]]*smithy_bonus,smithy_bonus_cap) + tech_3_5*TblTech[[#This Row],[3-5]] + tech_5_3*TblTech[[#This Row],[5-3]] + tech_5_5*TblTech[[#This Row],[5-5]]))*elite1_ore,0)</f>
        <v>75</v>
      </c>
      <c r="BP71" s="94">
        <f ca="1">ROUNDUP((1-MIN(TblMili[[#This Row],[Smithies]]*smithy_bonus,smithy_bonus_cap) + tech_3_5*TblTech[[#This Row],[3-5]] + tech_5_3*TblTech[[#This Row],[5-3]] + tech_5_5*TblTech[[#This Row],[5-5]])*elite2_plat,0)</f>
        <v>1280</v>
      </c>
      <c r="BQ71" s="94">
        <f ca="1">ROUNDUP(IF(race="Gnome",1,(1-MIN(TblMili[[#This Row],[Smithies]]*smithy_bonus,smithy_bonus_cap) + tech_3_5*TblTech[[#This Row],[3-5]] + tech_5_3*TblTech[[#This Row],[5-3]] + tech_5_5*TblTech[[#This Row],[5-5]]))*elite2_ore,0)</f>
        <v>100</v>
      </c>
      <c r="BR71" s="94">
        <f ca="1">ROUNDUP((1-MIN(ROUND(fh_spy_cost_red*TblMili[[#This Row],[FH''s]],4),fh_spy_cost_cap)+ tech_1_9*TblTech[[#This Row],[1-9]] + tech_9_1*TblTech[[#This Row],[9-1]])*spy_plat,0)</f>
        <v>500</v>
      </c>
      <c r="BS71" s="94">
        <f ca="1">ROUNDUP((1-MIN(ROUND(fh_spy_cost_red*TblMili[[#This Row],[FH''s]],4),fh_spy_cost_cap)+ tech_1_9*TblTech[[#This Row],[1-9]] + tech_9_1*TblTech[[#This Row],[9-1]])*archspy_plat,0)</f>
        <v>1000</v>
      </c>
      <c r="BT71" s="94">
        <f ca="1">ROUNDUP((1-MIN(ROUND(wg_wiz_cost_bonus*TblMili[[#This Row],[WG''s]],4),wg_wiz_cost_cap) + tech_1_9_2*TblTech[[#This Row],[1-9]] + tech_9_1_2*TblTech[[#This Row],[9-1]])*wizard_plat,0)</f>
        <v>500</v>
      </c>
      <c r="BU71" s="94">
        <f ca="1">ROUNDUP((1-MIN(ROUND(wg_wiz_cost_bonus*TblMili[[#This Row],[WG''s]],4),wg_wiz_cost_cap) + tech_1_9_2*TblTech[[#This Row],[1-9]] + tech_9_1_2*TblTech[[#This Row],[9-1]])*(archmage_plat + IF(TblMagic[[#This Row],[Active Arc Infusion]]&gt;0,400,0)),0)</f>
        <v>1000</v>
      </c>
      <c r="BV71" s="142"/>
      <c r="BW71" s="157">
        <f ca="1">TblConstr[[#This Row],[Homeland]]/TblConstr[[#This Row],[Land]]</f>
        <v>0.6</v>
      </c>
      <c r="BX71" s="157">
        <f ca="1">TblMili[[#This Row],[WG''s]]</f>
        <v>0</v>
      </c>
      <c r="BY71" s="251">
        <f ca="1">IF(mystic_cap="none",TblMili[[#This Row],[Homeland%]]/mystic_bonus,MIN(mystic_cap,TblMili[[#This Row],[Homeland%]]/mystic_bonus))</f>
        <v>2</v>
      </c>
      <c r="BZ71" s="251">
        <f ca="1">IF(druid_op_cap="none",TblMili[[#This Row],[Homeland%]]/druid_op_bonus,MIN(druid_op_cap,TblMili[[#This Row],[Homeland%]]/druid_op_bonus))</f>
        <v>2</v>
      </c>
      <c r="CA71" s="251">
        <f ca="1">IF(druid_dp_cap="none",TblMili[[#This Row],[Homeland%]]/druid_dp_bonus,MIN(druid_dp_cap,TblMili[[#This Row],[Homeland%]]/druid_dp_bonus))</f>
        <v>2</v>
      </c>
      <c r="CB71" s="251">
        <f ca="1">MIN(dryad_cap,TblMili[[#This Row],[Homeland%]]/dryad_bonus)</f>
        <v>2.9999999999999996</v>
      </c>
      <c r="CC71" s="251">
        <f ca="1">MIN(rocka_cap,TblMili[[#This Row],[Homeland%]]/rocka_bonus)</f>
        <v>2</v>
      </c>
      <c r="CD71" s="251">
        <f ca="1">MIN(adept_op_cap,TblMili[[#This Row],[WG]]/adept_op_bonus)</f>
        <v>0</v>
      </c>
      <c r="CE71" s="251">
        <f ca="1">MIN(adept_dp_cap,TblMili[[#This Row],[WG]]/adept_dp_bonus)</f>
        <v>0</v>
      </c>
      <c r="CF71" s="94">
        <f ca="1">MIN(TblMili[[#This Row],[Unit 3]],TblMili[[#This Row],[Unit 2]])*2</f>
        <v>0</v>
      </c>
      <c r="CG71" s="94">
        <f ca="1">MIN(TblMili[[#This Row],[Unit 1]],TblMili[[#This Row],[Unit 4]])*2</f>
        <v>0</v>
      </c>
      <c r="CH71" s="251">
        <f ca="1">MIN(frost_mage_cap,TblMili[[#This Row],[Homeland%]]/frost_mage_bonus)</f>
        <v>2.9999999999999996</v>
      </c>
      <c r="CI71" s="45">
        <f ca="1">MIN(ice_elem_cap,TblMili[[#This Row],[Raw (2)]]*ice_elem_bonus)</f>
        <v>0</v>
      </c>
      <c r="CJ71" s="251">
        <f t="shared" si="3"/>
        <v>0.83333333333333337</v>
      </c>
      <c r="CK71" s="251">
        <f ca="1">MIN(nox_nightshade_cap,TblConstr[[#This Row],[Homeland]]/TblConstr[[#This Row],[Land]]/nox_nightshade_swamp_bonus)</f>
        <v>4</v>
      </c>
      <c r="CL71" s="251">
        <f ca="1">MIN(TblConstr[[#This Row],[Total Swamp]]/TblConstr[[#This Row],[Land]]/abyss_enforce_bonus,abyss_enforcer_cap)</f>
        <v>0</v>
      </c>
      <c r="CM71" s="251">
        <f ca="1">IF(TblMagic[[#This Row],[Active Infernal Command]]&gt;0,TblMili[[#This Row],[Unit 1]]*infernal_cmd_op,0)</f>
        <v>0</v>
      </c>
      <c r="CN71" s="252"/>
      <c r="CO71" s="252"/>
      <c r="CP71" s="252"/>
      <c r="CQ71" s="251">
        <f ca="1">TblMili[[#This Row],[Mystic]]*2</f>
        <v>4</v>
      </c>
      <c r="CR71" s="251">
        <f ca="1">TblMili[[#This Row],[Druid (op)]]*2</f>
        <v>4</v>
      </c>
      <c r="CS71" s="94">
        <f ca="1">TblMili[[#This Row],[Mystic bonus]]*TblMili[[#This Row],[Unit 3]]+TblMili[[#This Row],[Druid bonus]]*TblMili[[#This Row],[Unit 4]]</f>
        <v>0</v>
      </c>
      <c r="CT71" s="155">
        <f ca="1">TblMili[[#This Row],[Dryad]]*2</f>
        <v>5.9999999999999991</v>
      </c>
      <c r="CU71" s="94">
        <f ca="1">sylvan*(TblMili[[#This Row],[Mystic bonus]]*TblMili[[#This Row],[Unit 3]])</f>
        <v>0</v>
      </c>
      <c r="CV71" s="155">
        <f ca="1">TblMili[[#This Row],[Rockapult]]*2</f>
        <v>4</v>
      </c>
      <c r="CW71" s="94">
        <f ca="1">gnome*(TblMili[[#This Row],[Rockapult bonus]]*TblMili[[#This Row],[Unit 3]])</f>
        <v>0</v>
      </c>
      <c r="CX71" s="155">
        <f ca="1">TblMili[[#This Row],[Adept-DP]]*2</f>
        <v>0</v>
      </c>
      <c r="CY71" s="94">
        <f ca="1">dark_elf*(TblMili[[#This Row],[Adept bonus]]*TblMili[[#This Row],[Unit 3]])</f>
        <v>0</v>
      </c>
      <c r="CZ71" s="155">
        <f ca="1">TblMili[[#This Row],[Frost Mage]]*2</f>
        <v>5.9999999999999991</v>
      </c>
      <c r="DA71" s="155">
        <f ca="1">TblMili[[#This Row],[Ice Elemental]]*2</f>
        <v>0</v>
      </c>
      <c r="DB71" s="94">
        <f ca="1">TblMili[[#This Row],[Frost Mage bonus]]*TblMili[[#This Row],[Unit 3]]+TblMili[[#This Row],[Ice Elemental bonus]]*TblMili[[#This Row],[Unit 4]]</f>
        <v>0</v>
      </c>
      <c r="DC71" s="253"/>
      <c r="DD71" s="143">
        <f ca="1">MIN(SUM(TblConstr[[#This Row],[Plain]:[Water]])/TblMili[[#This Row],[Land]]/favorable_terrain_bonus/100,favorable_terrain_max)</f>
        <v>0</v>
      </c>
      <c r="DE71" s="253"/>
      <c r="DF7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1" s="142"/>
      <c r="DH71" s="254">
        <f ca="1">(TblMili[[#This Row],[Wizards]]+2*TblMili[[#This Row],[Archmages]])/TblConstr[[#This Row],[Land]]</f>
        <v>0</v>
      </c>
      <c r="DI71" s="254">
        <f ca="1">TblMili[[#This Row],[Raw (2)]]*(1+race_wizard_strength+IF(TblMili[[#This Row],[Hour]]&gt;72,tech_magical_weaponry_wiz*TblTech[[#This Row],[3-5]],0))</f>
        <v>0</v>
      </c>
    </row>
    <row r="72" spans="1:113" x14ac:dyDescent="0.2">
      <c r="A72" s="137">
        <f>TblRezone[[#This Row],[Hour]]</f>
        <v>69</v>
      </c>
      <c r="B72" s="246">
        <f ca="1">SUM(TblMili[[#This Row],[Unit 1]:[Archmages]])+SUM(OFFSET(TblMili[[#This Row],[Train Unit 1]],-8,0):TblMili[[#This Row],[Train Unit 2]]) + SUM(OFFSET(TblMili[[#This Row],[Train Unit 3]],-11,0):TblMili[[#This Row],[Train AM]]) + TblMili[[#This Row],[Draftees]]</f>
        <v>532</v>
      </c>
      <c r="C72" s="157">
        <f ca="1">TblPop[[#This Row],[Military%]]</f>
        <v>0.69180754226267882</v>
      </c>
      <c r="D72" s="142"/>
      <c r="E72" s="45">
        <f ca="1">OFFSET(TblMili[[#This Row],[Unit 1]],-1,0) + OFFSET(TblMili[[#This Row],[Train Unit 1]],-9,0) - TblMili[[#This Row],[Release Unit 1]] + OFFSET(TblMili[[#This Row],[DnD_Zombies]],-12,0)</f>
        <v>0</v>
      </c>
      <c r="F72" s="45">
        <f ca="1">OFFSET(TblMili[[#This Row],[Unit 2]],-1,0) + OFFSET(TblMili[[#This Row],[Train Unit 2]],-9,0)-TblMili[[#This Row],[Release Unit 2]]</f>
        <v>0</v>
      </c>
      <c r="G72" s="45">
        <f ca="1">OFFSET(TblMili[[#This Row],[Unit 3]],-1,0) + OFFSET(TblMili[[#This Row],[Train Unit 3]],-12,0)-TblMili[[#This Row],[Release Unit 3]]</f>
        <v>0</v>
      </c>
      <c r="H72" s="45">
        <f ca="1">OFFSET(TblMili[[#This Row],[Unit 4]],-1,0) + OFFSET(TblMili[[#This Row],[Train Unit 4]],-12,0)-TblMili[[#This Row],[Release Unit 4]]</f>
        <v>0</v>
      </c>
      <c r="I72" s="45">
        <f ca="1">OFFSET(TblMili[[#This Row],[Spies]],-1,0) + OFFSET(TblMili[[#This Row],[Train Spies]],-12,0) - TblMili[[#This Row],[Release Spies]]-TblMili[[#This Row],[Train AS]]</f>
        <v>0</v>
      </c>
      <c r="J72" s="45">
        <f ca="1">OFFSET(TblMili[[#This Row],[Archspies]],-1,0) + OFFSET(TblMili[[#This Row],[Train AS]],-12,0) - TblMili[[#This Row],[Release AS]]</f>
        <v>0</v>
      </c>
      <c r="K72" s="45">
        <f ca="1">OFFSET(TblMili[[#This Row],[Wizards]],-1,0) + OFFSET(TblMili[[#This Row],[Train Wiz]],-12,0) - TblMili[[#This Row],[Release Wizards]]-TblMili[[#This Row],[Train AM]] + IF(TblMagic[[#This Row],[Active Arc Infusion]]&gt;0,TblMili[[#This Row],[Train AM]])</f>
        <v>0</v>
      </c>
      <c r="L72" s="45">
        <f ca="1">OFFSET(TblMili[[#This Row],[Archmages]],-1,0) + OFFSET(TblMili[[#This Row],[Train AM]],-12,0) - TblMili[[#This Row],[Release AM]]</f>
        <v>0</v>
      </c>
      <c r="M72" s="142"/>
      <c r="N72" s="94">
        <f ca="1">TblProd[[#This Row],[Networth]]</f>
        <v>1250</v>
      </c>
      <c r="O72" s="142"/>
      <c r="P72"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7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2" s="247">
        <f ca="1">TblMili[[#This Row],[Raw]]*(1+TblMili[[#This Row],[Mods_Off]])</f>
        <v>0</v>
      </c>
      <c r="S72"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72" s="247">
        <f ca="1">TblMili[[#This Row],[Non Draft]]+TblMili[[#This Row],[Draftees]]</f>
        <v>532</v>
      </c>
      <c r="U72" s="248">
        <f ca="1">race_defense + TblImps[[#This Row],[Walls]] + ROUND( MIN(gt_bonus*TblConstr[[#This Row],[Tot GT]]/TblConstr[[#This Row],[Land]],gt_bonus_cap), 4) + IF(TblMagic[[#This Row],[Active Howling]]&gt;0,howling_dp_bonus,IF(TblMagic[[#This Row],[Active Ares Call]]&gt;0,ares_call_bonus))</f>
        <v>0</v>
      </c>
      <c r="V72" s="249">
        <f ca="1">TblMili[[#This Row],[Non Draft]] * (1 + TblMili[[#This Row],[Mods_Def]])</f>
        <v>0</v>
      </c>
      <c r="W72" s="247">
        <f ca="1">TblMili[[#This Row],[Draft]] * (1 + TblMili[[#This Row],[Mods_Def]])</f>
        <v>532</v>
      </c>
      <c r="X72" s="247">
        <f ca="1">TblConstr[[#This Row],[Land]]</f>
        <v>50</v>
      </c>
      <c r="Y72" s="250"/>
      <c r="Z72" s="255">
        <f ca="1">IF(TblMili[[#This Row],[Set]]&lt;&gt;"",TblMili[[#This Row],[Set]],OFFSET(TblMili[[#This Row],[Draftrate]],-1,0))</f>
        <v>0.9</v>
      </c>
      <c r="AA72"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532</v>
      </c>
      <c r="AB72" s="154"/>
      <c r="AC72" s="180">
        <f ca="1">(TblConstr[[#This Row],[Tot Smi]]+TblConstr[[#This Row],[Dest Smi]])/(TblConstr[[#This Row],[Land]]-TblExplore[[#This Row],[Land Bonus]]*20)</f>
        <v>0</v>
      </c>
      <c r="AD72" s="137"/>
      <c r="AE72" s="246">
        <f>TblMili[[#This Row],[Hour]]</f>
        <v>69</v>
      </c>
      <c r="AF72" s="138">
        <f ca="1">TblExplore[[#This Row],[Time]]</f>
        <v>46322.833333333168</v>
      </c>
      <c r="AG72" s="179"/>
      <c r="AH72" s="158"/>
      <c r="AI72" s="179"/>
      <c r="AJ72" s="179"/>
      <c r="AK72" s="179"/>
      <c r="AL72" s="179"/>
      <c r="AM72" s="179"/>
      <c r="AN72" s="179"/>
      <c r="AO72" s="420">
        <f ca="1">ROUND(IF(AND(TblMagic[[#This Row],[Active DnD]]&lt;12,TblMagic[[#This Row],[Active DnD]]&gt;5),OFFSET(TblPop[[#This Row],[Draft Growth]],-1,0)*0.375,0),0)</f>
        <v>0</v>
      </c>
      <c r="AP72" s="142"/>
      <c r="AQ72" s="94">
        <f ca="1">TblProd[[#This Row],[Platinum]]</f>
        <v>182795</v>
      </c>
      <c r="AR72" s="94">
        <f ca="1">INDEX(TblProd[[#Headers],[Lumber]]:TblProd[[#This Row],[Ore]],COUNTA(TblProd[[#Headers],[Lumber]]:TblProd[[#This Row],[Lumber]]),MATCH(Military!$AR$2,TblProd[[#Headers],[Lumber]:[Ore]],0))</f>
        <v>0</v>
      </c>
      <c r="AS72"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72" s="94">
        <f ca="1">TblMili[[#This Row],[Train Unit 1]]*TblMili[[#This Row],[OP Ore]]+TblMili[[#This Row],[Train Unit 2]]*TblMili[[#This Row],[DP Ore]]+TblMili[[#This Row],[Train Unit 3]]*TblMili[[#This Row],[E1 Ore]]+TblMili[[#This Row],[Train Unit 4]]*TblMili[[#This Row],[E2 Ore]]</f>
        <v>0</v>
      </c>
      <c r="AU72" s="142">
        <f>TblMili[[#This Row],[Hour]]</f>
        <v>69</v>
      </c>
      <c r="AV72" s="152">
        <f ca="1">TblMili[[#This Row],[Time]]</f>
        <v>46322.833333333168</v>
      </c>
      <c r="AW72" s="94">
        <f ca="1">TblMili[[#This Row],[Draftees]]</f>
        <v>532</v>
      </c>
      <c r="AX72" s="179"/>
      <c r="AY72" s="179"/>
      <c r="AZ72" s="179"/>
      <c r="BA72" s="179"/>
      <c r="BB72" s="179"/>
      <c r="BC72" s="179"/>
      <c r="BD72" s="179"/>
      <c r="BE72" s="179"/>
      <c r="BF72" s="179"/>
      <c r="BG72" s="142"/>
      <c r="BH72" s="157">
        <f ca="1">TblConstr[[#This Row],[Tot WG]]/TblConstr[[#This Row],[Land]]</f>
        <v>0</v>
      </c>
      <c r="BI72" s="157">
        <f ca="1">TblConstr[[#This Row],[Tot Hav]]/TblConstr[[#This Row],[Land]]</f>
        <v>0</v>
      </c>
      <c r="BJ72" s="94">
        <f ca="1">ROUNDUP((1-MIN(TblMili[[#This Row],[Smithies]]*smithy_bonus,smithy_bonus_cap) + tech_3_5*TblTech[[#This Row],[3-5]] + tech_5_3*TblTech[[#This Row],[5-3]] + tech_5_5*TblTech[[#This Row],[5-5]])*spec_op_plat,0)</f>
        <v>315</v>
      </c>
      <c r="BK72" s="94">
        <f ca="1">ROUNDUP(IF(race="Gnome",1,(1-MIN(TblMili[[#This Row],[Smithies]]*smithy_bonus,smithy_bonus_cap) + tech_3_5*TblTech[[#This Row],[3-5]] + tech_5_3*TblTech[[#This Row],[5-3]] + tech_5_5*TblTech[[#This Row],[5-5]]))*spec_op_ore,0)</f>
        <v>25</v>
      </c>
      <c r="BL72" s="94">
        <f ca="1">ROUNDUP((1-MIN(TblMili[[#This Row],[Smithies]]*smithy_bonus,smithy_bonus_cap) + tech_3_5*TblTech[[#This Row],[3-5]] + tech_5_3*TblTech[[#This Row],[5-3]] + tech_5_5*TblTech[[#This Row],[5-5]])*spec_dp_plat,0)</f>
        <v>275</v>
      </c>
      <c r="BM72" s="94">
        <f ca="1">ROUNDUP(IF(race="Gnome",1,(1-MIN(TblMili[[#This Row],[Smithies]]*smithy_bonus,smithy_bonus_cap) + tech_3_5*TblTech[[#This Row],[3-5]] + tech_5_3*TblTech[[#This Row],[5-3]] + tech_5_5*TblTech[[#This Row],[5-5]]))*spec_dp_ore,0)</f>
        <v>15</v>
      </c>
      <c r="BN72" s="94">
        <f ca="1">ROUNDUP((1-MIN(TblMili[[#This Row],[Smithies]]*smithy_bonus,smithy_bonus_cap) + tech_3_5*TblTech[[#This Row],[3-5]] + tech_5_3*TblTech[[#This Row],[5-3]] + tech_5_5*TblTech[[#This Row],[5-5]])*elite1_plat,0)</f>
        <v>1040</v>
      </c>
      <c r="BO72" s="94">
        <f ca="1">ROUNDUP(IF(race="Gnome",1,(1-MIN(TblMili[[#This Row],[Smithies]]*smithy_bonus,smithy_bonus_cap) + tech_3_5*TblTech[[#This Row],[3-5]] + tech_5_3*TblTech[[#This Row],[5-3]] + tech_5_5*TblTech[[#This Row],[5-5]]))*elite1_ore,0)</f>
        <v>75</v>
      </c>
      <c r="BP72" s="94">
        <f ca="1">ROUNDUP((1-MIN(TblMili[[#This Row],[Smithies]]*smithy_bonus,smithy_bonus_cap) + tech_3_5*TblTech[[#This Row],[3-5]] + tech_5_3*TblTech[[#This Row],[5-3]] + tech_5_5*TblTech[[#This Row],[5-5]])*elite2_plat,0)</f>
        <v>1280</v>
      </c>
      <c r="BQ72" s="94">
        <f ca="1">ROUNDUP(IF(race="Gnome",1,(1-MIN(TblMili[[#This Row],[Smithies]]*smithy_bonus,smithy_bonus_cap) + tech_3_5*TblTech[[#This Row],[3-5]] + tech_5_3*TblTech[[#This Row],[5-3]] + tech_5_5*TblTech[[#This Row],[5-5]]))*elite2_ore,0)</f>
        <v>100</v>
      </c>
      <c r="BR72" s="94">
        <f ca="1">ROUNDUP((1-MIN(ROUND(fh_spy_cost_red*TblMili[[#This Row],[FH''s]],4),fh_spy_cost_cap)+ tech_1_9*TblTech[[#This Row],[1-9]] + tech_9_1*TblTech[[#This Row],[9-1]])*spy_plat,0)</f>
        <v>500</v>
      </c>
      <c r="BS72" s="94">
        <f ca="1">ROUNDUP((1-MIN(ROUND(fh_spy_cost_red*TblMili[[#This Row],[FH''s]],4),fh_spy_cost_cap)+ tech_1_9*TblTech[[#This Row],[1-9]] + tech_9_1*TblTech[[#This Row],[9-1]])*archspy_plat,0)</f>
        <v>1000</v>
      </c>
      <c r="BT72" s="94">
        <f ca="1">ROUNDUP((1-MIN(ROUND(wg_wiz_cost_bonus*TblMili[[#This Row],[WG''s]],4),wg_wiz_cost_cap) + tech_1_9_2*TblTech[[#This Row],[1-9]] + tech_9_1_2*TblTech[[#This Row],[9-1]])*wizard_plat,0)</f>
        <v>500</v>
      </c>
      <c r="BU72" s="94">
        <f ca="1">ROUNDUP((1-MIN(ROUND(wg_wiz_cost_bonus*TblMili[[#This Row],[WG''s]],4),wg_wiz_cost_cap) + tech_1_9_2*TblTech[[#This Row],[1-9]] + tech_9_1_2*TblTech[[#This Row],[9-1]])*(archmage_plat + IF(TblMagic[[#This Row],[Active Arc Infusion]]&gt;0,400,0)),0)</f>
        <v>1000</v>
      </c>
      <c r="BV72" s="142"/>
      <c r="BW72" s="157">
        <f ca="1">TblConstr[[#This Row],[Homeland]]/TblConstr[[#This Row],[Land]]</f>
        <v>0.6</v>
      </c>
      <c r="BX72" s="157">
        <f ca="1">TblMili[[#This Row],[WG''s]]</f>
        <v>0</v>
      </c>
      <c r="BY72" s="251">
        <f ca="1">IF(mystic_cap="none",TblMili[[#This Row],[Homeland%]]/mystic_bonus,MIN(mystic_cap,TblMili[[#This Row],[Homeland%]]/mystic_bonus))</f>
        <v>2</v>
      </c>
      <c r="BZ72" s="251">
        <f ca="1">IF(druid_op_cap="none",TblMili[[#This Row],[Homeland%]]/druid_op_bonus,MIN(druid_op_cap,TblMili[[#This Row],[Homeland%]]/druid_op_bonus))</f>
        <v>2</v>
      </c>
      <c r="CA72" s="251">
        <f ca="1">IF(druid_dp_cap="none",TblMili[[#This Row],[Homeland%]]/druid_dp_bonus,MIN(druid_dp_cap,TblMili[[#This Row],[Homeland%]]/druid_dp_bonus))</f>
        <v>2</v>
      </c>
      <c r="CB72" s="251">
        <f ca="1">MIN(dryad_cap,TblMili[[#This Row],[Homeland%]]/dryad_bonus)</f>
        <v>2.9999999999999996</v>
      </c>
      <c r="CC72" s="251">
        <f ca="1">MIN(rocka_cap,TblMili[[#This Row],[Homeland%]]/rocka_bonus)</f>
        <v>2</v>
      </c>
      <c r="CD72" s="251">
        <f ca="1">MIN(adept_op_cap,TblMili[[#This Row],[WG]]/adept_op_bonus)</f>
        <v>0</v>
      </c>
      <c r="CE72" s="251">
        <f ca="1">MIN(adept_dp_cap,TblMili[[#This Row],[WG]]/adept_dp_bonus)</f>
        <v>0</v>
      </c>
      <c r="CF72" s="94">
        <f ca="1">MIN(TblMili[[#This Row],[Unit 3]],TblMili[[#This Row],[Unit 2]])*2</f>
        <v>0</v>
      </c>
      <c r="CG72" s="94">
        <f ca="1">MIN(TblMili[[#This Row],[Unit 1]],TblMili[[#This Row],[Unit 4]])*2</f>
        <v>0</v>
      </c>
      <c r="CH72" s="251">
        <f ca="1">MIN(frost_mage_cap,TblMili[[#This Row],[Homeland%]]/frost_mage_bonus)</f>
        <v>2.9999999999999996</v>
      </c>
      <c r="CI72" s="45">
        <f ca="1">MIN(ice_elem_cap,TblMili[[#This Row],[Raw (2)]]*ice_elem_bonus)</f>
        <v>0</v>
      </c>
      <c r="CJ72" s="251">
        <f t="shared" si="3"/>
        <v>0.83333333333333337</v>
      </c>
      <c r="CK72" s="251">
        <f ca="1">MIN(nox_nightshade_cap,TblConstr[[#This Row],[Homeland]]/TblConstr[[#This Row],[Land]]/nox_nightshade_swamp_bonus)</f>
        <v>4</v>
      </c>
      <c r="CL72" s="251">
        <f ca="1">MIN(TblConstr[[#This Row],[Total Swamp]]/TblConstr[[#This Row],[Land]]/abyss_enforce_bonus,abyss_enforcer_cap)</f>
        <v>0</v>
      </c>
      <c r="CM72" s="251">
        <f ca="1">IF(TblMagic[[#This Row],[Active Infernal Command]]&gt;0,TblMili[[#This Row],[Unit 1]]*infernal_cmd_op,0)</f>
        <v>0</v>
      </c>
      <c r="CN72" s="252"/>
      <c r="CO72" s="252"/>
      <c r="CP72" s="252"/>
      <c r="CQ72" s="251">
        <f ca="1">TblMili[[#This Row],[Mystic]]*2</f>
        <v>4</v>
      </c>
      <c r="CR72" s="251">
        <f ca="1">TblMili[[#This Row],[Druid (op)]]*2</f>
        <v>4</v>
      </c>
      <c r="CS72" s="94">
        <f ca="1">TblMili[[#This Row],[Mystic bonus]]*TblMili[[#This Row],[Unit 3]]+TblMili[[#This Row],[Druid bonus]]*TblMili[[#This Row],[Unit 4]]</f>
        <v>0</v>
      </c>
      <c r="CT72" s="155">
        <f ca="1">TblMili[[#This Row],[Dryad]]*2</f>
        <v>5.9999999999999991</v>
      </c>
      <c r="CU72" s="94">
        <f ca="1">sylvan*(TblMili[[#This Row],[Mystic bonus]]*TblMili[[#This Row],[Unit 3]])</f>
        <v>0</v>
      </c>
      <c r="CV72" s="155">
        <f ca="1">TblMili[[#This Row],[Rockapult]]*2</f>
        <v>4</v>
      </c>
      <c r="CW72" s="94">
        <f ca="1">gnome*(TblMili[[#This Row],[Rockapult bonus]]*TblMili[[#This Row],[Unit 3]])</f>
        <v>0</v>
      </c>
      <c r="CX72" s="155">
        <f ca="1">TblMili[[#This Row],[Adept-DP]]*2</f>
        <v>0</v>
      </c>
      <c r="CY72" s="94">
        <f ca="1">dark_elf*(TblMili[[#This Row],[Adept bonus]]*TblMili[[#This Row],[Unit 3]])</f>
        <v>0</v>
      </c>
      <c r="CZ72" s="155">
        <f ca="1">TblMili[[#This Row],[Frost Mage]]*2</f>
        <v>5.9999999999999991</v>
      </c>
      <c r="DA72" s="155">
        <f ca="1">TblMili[[#This Row],[Ice Elemental]]*2</f>
        <v>0</v>
      </c>
      <c r="DB72" s="94">
        <f ca="1">TblMili[[#This Row],[Frost Mage bonus]]*TblMili[[#This Row],[Unit 3]]+TblMili[[#This Row],[Ice Elemental bonus]]*TblMili[[#This Row],[Unit 4]]</f>
        <v>0</v>
      </c>
      <c r="DC72" s="253"/>
      <c r="DD72" s="143">
        <f ca="1">MIN(SUM(TblConstr[[#This Row],[Plain]:[Water]])/TblMili[[#This Row],[Land]]/favorable_terrain_bonus/100,favorable_terrain_max)</f>
        <v>0</v>
      </c>
      <c r="DE72" s="253"/>
      <c r="DF7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2" s="142"/>
      <c r="DH72" s="254">
        <f ca="1">(TblMili[[#This Row],[Wizards]]+2*TblMili[[#This Row],[Archmages]])/TblConstr[[#This Row],[Land]]</f>
        <v>0</v>
      </c>
      <c r="DI72" s="254">
        <f ca="1">TblMili[[#This Row],[Raw (2)]]*(1+race_wizard_strength+IF(TblMili[[#This Row],[Hour]]&gt;72,tech_magical_weaponry_wiz*TblTech[[#This Row],[3-5]],0))</f>
        <v>0</v>
      </c>
    </row>
    <row r="73" spans="1:113" x14ac:dyDescent="0.2">
      <c r="A73" s="137">
        <f>TblRezone[[#This Row],[Hour]]</f>
        <v>70</v>
      </c>
      <c r="B73" s="246">
        <f ca="1">SUM(TblMili[[#This Row],[Unit 1]:[Archmages]])+SUM(OFFSET(TblMili[[#This Row],[Train Unit 1]],-8,0):TblMili[[#This Row],[Train Unit 2]]) + SUM(OFFSET(TblMili[[#This Row],[Train Unit 3]],-11,0):TblMili[[#This Row],[Train AM]]) + TblMili[[#This Row],[Draftees]]</f>
        <v>534</v>
      </c>
      <c r="C73" s="157">
        <f ca="1">TblPop[[#This Row],[Military%]]</f>
        <v>0.694408322496749</v>
      </c>
      <c r="D73" s="142"/>
      <c r="E73" s="45">
        <f ca="1">OFFSET(TblMili[[#This Row],[Unit 1]],-1,0) + OFFSET(TblMili[[#This Row],[Train Unit 1]],-9,0) - TblMili[[#This Row],[Release Unit 1]] + OFFSET(TblMili[[#This Row],[DnD_Zombies]],-12,0)</f>
        <v>0</v>
      </c>
      <c r="F73" s="45">
        <f ca="1">OFFSET(TblMili[[#This Row],[Unit 2]],-1,0) + OFFSET(TblMili[[#This Row],[Train Unit 2]],-9,0)-TblMili[[#This Row],[Release Unit 2]]</f>
        <v>0</v>
      </c>
      <c r="G73" s="45">
        <f ca="1">OFFSET(TblMili[[#This Row],[Unit 3]],-1,0) + OFFSET(TblMili[[#This Row],[Train Unit 3]],-12,0)-TblMili[[#This Row],[Release Unit 3]]</f>
        <v>0</v>
      </c>
      <c r="H73" s="45">
        <f ca="1">OFFSET(TblMili[[#This Row],[Unit 4]],-1,0) + OFFSET(TblMili[[#This Row],[Train Unit 4]],-12,0)-TblMili[[#This Row],[Release Unit 4]]</f>
        <v>0</v>
      </c>
      <c r="I73" s="45">
        <f ca="1">OFFSET(TblMili[[#This Row],[Spies]],-1,0) + OFFSET(TblMili[[#This Row],[Train Spies]],-12,0) - TblMili[[#This Row],[Release Spies]]-TblMili[[#This Row],[Train AS]]</f>
        <v>0</v>
      </c>
      <c r="J73" s="45">
        <f ca="1">OFFSET(TblMili[[#This Row],[Archspies]],-1,0) + OFFSET(TblMili[[#This Row],[Train AS]],-12,0) - TblMili[[#This Row],[Release AS]]</f>
        <v>0</v>
      </c>
      <c r="K73" s="45">
        <f ca="1">OFFSET(TblMili[[#This Row],[Wizards]],-1,0) + OFFSET(TblMili[[#This Row],[Train Wiz]],-12,0) - TblMili[[#This Row],[Release Wizards]]-TblMili[[#This Row],[Train AM]] + IF(TblMagic[[#This Row],[Active Arc Infusion]]&gt;0,TblMili[[#This Row],[Train AM]])</f>
        <v>0</v>
      </c>
      <c r="L73" s="45">
        <f ca="1">OFFSET(TblMili[[#This Row],[Archmages]],-1,0) + OFFSET(TblMili[[#This Row],[Train AM]],-12,0) - TblMili[[#This Row],[Release AM]]</f>
        <v>0</v>
      </c>
      <c r="M73" s="142"/>
      <c r="N73" s="94">
        <f ca="1">TblProd[[#This Row],[Networth]]</f>
        <v>1250</v>
      </c>
      <c r="O73" s="142"/>
      <c r="P73"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7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3" s="247">
        <f ca="1">TblMili[[#This Row],[Raw]]*(1+TblMili[[#This Row],[Mods_Off]])</f>
        <v>0</v>
      </c>
      <c r="S73"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73" s="247">
        <f ca="1">TblMili[[#This Row],[Non Draft]]+TblMili[[#This Row],[Draftees]]</f>
        <v>534</v>
      </c>
      <c r="U73" s="248">
        <f ca="1">race_defense + TblImps[[#This Row],[Walls]] + ROUND( MIN(gt_bonus*TblConstr[[#This Row],[Tot GT]]/TblConstr[[#This Row],[Land]],gt_bonus_cap), 4) + IF(TblMagic[[#This Row],[Active Howling]]&gt;0,howling_dp_bonus,IF(TblMagic[[#This Row],[Active Ares Call]]&gt;0,ares_call_bonus))</f>
        <v>0</v>
      </c>
      <c r="V73" s="249">
        <f ca="1">TblMili[[#This Row],[Non Draft]] * (1 + TblMili[[#This Row],[Mods_Def]])</f>
        <v>0</v>
      </c>
      <c r="W73" s="247">
        <f ca="1">TblMili[[#This Row],[Draft]] * (1 + TblMili[[#This Row],[Mods_Def]])</f>
        <v>534</v>
      </c>
      <c r="X73" s="247">
        <f ca="1">TblConstr[[#This Row],[Land]]</f>
        <v>50</v>
      </c>
      <c r="Y73" s="250"/>
      <c r="Z73" s="255">
        <f ca="1">IF(TblMili[[#This Row],[Set]]&lt;&gt;"",TblMili[[#This Row],[Set]],OFFSET(TblMili[[#This Row],[Draftrate]],-1,0))</f>
        <v>0.9</v>
      </c>
      <c r="AA73"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534</v>
      </c>
      <c r="AB73" s="154"/>
      <c r="AC73" s="180">
        <f ca="1">(TblConstr[[#This Row],[Tot Smi]]+TblConstr[[#This Row],[Dest Smi]])/(TblConstr[[#This Row],[Land]]-TblExplore[[#This Row],[Land Bonus]]*20)</f>
        <v>0</v>
      </c>
      <c r="AD73" s="137"/>
      <c r="AE73" s="246">
        <f>TblMili[[#This Row],[Hour]]</f>
        <v>70</v>
      </c>
      <c r="AF73" s="138">
        <f ca="1">TblExplore[[#This Row],[Time]]</f>
        <v>46322.874999999833</v>
      </c>
      <c r="AG73" s="179"/>
      <c r="AH73" s="158"/>
      <c r="AI73" s="179"/>
      <c r="AJ73" s="179"/>
      <c r="AK73" s="179"/>
      <c r="AL73" s="179"/>
      <c r="AM73" s="179"/>
      <c r="AN73" s="179"/>
      <c r="AO73" s="420">
        <f ca="1">ROUND(IF(AND(TblMagic[[#This Row],[Active DnD]]&lt;12,TblMagic[[#This Row],[Active DnD]]&gt;5),OFFSET(TblPop[[#This Row],[Draft Growth]],-1,0)*0.375,0),0)</f>
        <v>0</v>
      </c>
      <c r="AP73" s="142"/>
      <c r="AQ73" s="94">
        <f ca="1">TblProd[[#This Row],[Platinum]]</f>
        <v>183434</v>
      </c>
      <c r="AR73" s="94">
        <f ca="1">INDEX(TblProd[[#Headers],[Lumber]]:TblProd[[#This Row],[Ore]],COUNTA(TblProd[[#Headers],[Lumber]]:TblProd[[#This Row],[Lumber]]),MATCH(Military!$AR$2,TblProd[[#Headers],[Lumber]:[Ore]],0))</f>
        <v>0</v>
      </c>
      <c r="AS7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73" s="94">
        <f ca="1">TblMili[[#This Row],[Train Unit 1]]*TblMili[[#This Row],[OP Ore]]+TblMili[[#This Row],[Train Unit 2]]*TblMili[[#This Row],[DP Ore]]+TblMili[[#This Row],[Train Unit 3]]*TblMili[[#This Row],[E1 Ore]]+TblMili[[#This Row],[Train Unit 4]]*TblMili[[#This Row],[E2 Ore]]</f>
        <v>0</v>
      </c>
      <c r="AU73" s="142">
        <f>TblMili[[#This Row],[Hour]]</f>
        <v>70</v>
      </c>
      <c r="AV73" s="152">
        <f ca="1">TblMili[[#This Row],[Time]]</f>
        <v>46322.874999999833</v>
      </c>
      <c r="AW73" s="94">
        <f ca="1">TblMili[[#This Row],[Draftees]]</f>
        <v>534</v>
      </c>
      <c r="AX73" s="179"/>
      <c r="AY73" s="179"/>
      <c r="AZ73" s="179"/>
      <c r="BA73" s="179"/>
      <c r="BB73" s="179"/>
      <c r="BC73" s="179"/>
      <c r="BD73" s="179"/>
      <c r="BE73" s="179"/>
      <c r="BF73" s="179"/>
      <c r="BG73" s="142"/>
      <c r="BH73" s="157">
        <f ca="1">TblConstr[[#This Row],[Tot WG]]/TblConstr[[#This Row],[Land]]</f>
        <v>0</v>
      </c>
      <c r="BI73" s="157">
        <f ca="1">TblConstr[[#This Row],[Tot Hav]]/TblConstr[[#This Row],[Land]]</f>
        <v>0</v>
      </c>
      <c r="BJ73" s="94">
        <f ca="1">ROUNDUP((1-MIN(TblMili[[#This Row],[Smithies]]*smithy_bonus,smithy_bonus_cap) + tech_3_5*TblTech[[#This Row],[3-5]] + tech_5_3*TblTech[[#This Row],[5-3]] + tech_5_5*TblTech[[#This Row],[5-5]])*spec_op_plat,0)</f>
        <v>315</v>
      </c>
      <c r="BK73" s="94">
        <f ca="1">ROUNDUP(IF(race="Gnome",1,(1-MIN(TblMili[[#This Row],[Smithies]]*smithy_bonus,smithy_bonus_cap) + tech_3_5*TblTech[[#This Row],[3-5]] + tech_5_3*TblTech[[#This Row],[5-3]] + tech_5_5*TblTech[[#This Row],[5-5]]))*spec_op_ore,0)</f>
        <v>25</v>
      </c>
      <c r="BL73" s="94">
        <f ca="1">ROUNDUP((1-MIN(TblMili[[#This Row],[Smithies]]*smithy_bonus,smithy_bonus_cap) + tech_3_5*TblTech[[#This Row],[3-5]] + tech_5_3*TblTech[[#This Row],[5-3]] + tech_5_5*TblTech[[#This Row],[5-5]])*spec_dp_plat,0)</f>
        <v>275</v>
      </c>
      <c r="BM73" s="94">
        <f ca="1">ROUNDUP(IF(race="Gnome",1,(1-MIN(TblMili[[#This Row],[Smithies]]*smithy_bonus,smithy_bonus_cap) + tech_3_5*TblTech[[#This Row],[3-5]] + tech_5_3*TblTech[[#This Row],[5-3]] + tech_5_5*TblTech[[#This Row],[5-5]]))*spec_dp_ore,0)</f>
        <v>15</v>
      </c>
      <c r="BN73" s="94">
        <f ca="1">ROUNDUP((1-MIN(TblMili[[#This Row],[Smithies]]*smithy_bonus,smithy_bonus_cap) + tech_3_5*TblTech[[#This Row],[3-5]] + tech_5_3*TblTech[[#This Row],[5-3]] + tech_5_5*TblTech[[#This Row],[5-5]])*elite1_plat,0)</f>
        <v>1040</v>
      </c>
      <c r="BO73" s="94">
        <f ca="1">ROUNDUP(IF(race="Gnome",1,(1-MIN(TblMili[[#This Row],[Smithies]]*smithy_bonus,smithy_bonus_cap) + tech_3_5*TblTech[[#This Row],[3-5]] + tech_5_3*TblTech[[#This Row],[5-3]] + tech_5_5*TblTech[[#This Row],[5-5]]))*elite1_ore,0)</f>
        <v>75</v>
      </c>
      <c r="BP73" s="94">
        <f ca="1">ROUNDUP((1-MIN(TblMili[[#This Row],[Smithies]]*smithy_bonus,smithy_bonus_cap) + tech_3_5*TblTech[[#This Row],[3-5]] + tech_5_3*TblTech[[#This Row],[5-3]] + tech_5_5*TblTech[[#This Row],[5-5]])*elite2_plat,0)</f>
        <v>1280</v>
      </c>
      <c r="BQ73" s="94">
        <f ca="1">ROUNDUP(IF(race="Gnome",1,(1-MIN(TblMili[[#This Row],[Smithies]]*smithy_bonus,smithy_bonus_cap) + tech_3_5*TblTech[[#This Row],[3-5]] + tech_5_3*TblTech[[#This Row],[5-3]] + tech_5_5*TblTech[[#This Row],[5-5]]))*elite2_ore,0)</f>
        <v>100</v>
      </c>
      <c r="BR73" s="94">
        <f ca="1">ROUNDUP((1-MIN(ROUND(fh_spy_cost_red*TblMili[[#This Row],[FH''s]],4),fh_spy_cost_cap)+ tech_1_9*TblTech[[#This Row],[1-9]] + tech_9_1*TblTech[[#This Row],[9-1]])*spy_plat,0)</f>
        <v>500</v>
      </c>
      <c r="BS73" s="94">
        <f ca="1">ROUNDUP((1-MIN(ROUND(fh_spy_cost_red*TblMili[[#This Row],[FH''s]],4),fh_spy_cost_cap)+ tech_1_9*TblTech[[#This Row],[1-9]] + tech_9_1*TblTech[[#This Row],[9-1]])*archspy_plat,0)</f>
        <v>1000</v>
      </c>
      <c r="BT73" s="94">
        <f ca="1">ROUNDUP((1-MIN(ROUND(wg_wiz_cost_bonus*TblMili[[#This Row],[WG''s]],4),wg_wiz_cost_cap) + tech_1_9_2*TblTech[[#This Row],[1-9]] + tech_9_1_2*TblTech[[#This Row],[9-1]])*wizard_plat,0)</f>
        <v>500</v>
      </c>
      <c r="BU73" s="94">
        <f ca="1">ROUNDUP((1-MIN(ROUND(wg_wiz_cost_bonus*TblMili[[#This Row],[WG''s]],4),wg_wiz_cost_cap) + tech_1_9_2*TblTech[[#This Row],[1-9]] + tech_9_1_2*TblTech[[#This Row],[9-1]])*(archmage_plat + IF(TblMagic[[#This Row],[Active Arc Infusion]]&gt;0,400,0)),0)</f>
        <v>1000</v>
      </c>
      <c r="BV73" s="142"/>
      <c r="BW73" s="157">
        <f ca="1">TblConstr[[#This Row],[Homeland]]/TblConstr[[#This Row],[Land]]</f>
        <v>0.6</v>
      </c>
      <c r="BX73" s="157">
        <f ca="1">TblMili[[#This Row],[WG''s]]</f>
        <v>0</v>
      </c>
      <c r="BY73" s="251">
        <f ca="1">IF(mystic_cap="none",TblMili[[#This Row],[Homeland%]]/mystic_bonus,MIN(mystic_cap,TblMili[[#This Row],[Homeland%]]/mystic_bonus))</f>
        <v>2</v>
      </c>
      <c r="BZ73" s="251">
        <f ca="1">IF(druid_op_cap="none",TblMili[[#This Row],[Homeland%]]/druid_op_bonus,MIN(druid_op_cap,TblMili[[#This Row],[Homeland%]]/druid_op_bonus))</f>
        <v>2</v>
      </c>
      <c r="CA73" s="251">
        <f ca="1">IF(druid_dp_cap="none",TblMili[[#This Row],[Homeland%]]/druid_dp_bonus,MIN(druid_dp_cap,TblMili[[#This Row],[Homeland%]]/druid_dp_bonus))</f>
        <v>2</v>
      </c>
      <c r="CB73" s="251">
        <f ca="1">MIN(dryad_cap,TblMili[[#This Row],[Homeland%]]/dryad_bonus)</f>
        <v>2.9999999999999996</v>
      </c>
      <c r="CC73" s="251">
        <f ca="1">MIN(rocka_cap,TblMili[[#This Row],[Homeland%]]/rocka_bonus)</f>
        <v>2</v>
      </c>
      <c r="CD73" s="251">
        <f ca="1">MIN(adept_op_cap,TblMili[[#This Row],[WG]]/adept_op_bonus)</f>
        <v>0</v>
      </c>
      <c r="CE73" s="251">
        <f ca="1">MIN(adept_dp_cap,TblMili[[#This Row],[WG]]/adept_dp_bonus)</f>
        <v>0</v>
      </c>
      <c r="CF73" s="94">
        <f ca="1">MIN(TblMili[[#This Row],[Unit 3]],TblMili[[#This Row],[Unit 2]])*2</f>
        <v>0</v>
      </c>
      <c r="CG73" s="94">
        <f ca="1">MIN(TblMili[[#This Row],[Unit 1]],TblMili[[#This Row],[Unit 4]])*2</f>
        <v>0</v>
      </c>
      <c r="CH73" s="251">
        <f ca="1">MIN(frost_mage_cap,TblMili[[#This Row],[Homeland%]]/frost_mage_bonus)</f>
        <v>2.9999999999999996</v>
      </c>
      <c r="CI73" s="45">
        <f ca="1">MIN(ice_elem_cap,TblMili[[#This Row],[Raw (2)]]*ice_elem_bonus)</f>
        <v>0</v>
      </c>
      <c r="CJ73" s="251">
        <f t="shared" si="3"/>
        <v>0.83333333333333337</v>
      </c>
      <c r="CK73" s="251">
        <f ca="1">MIN(nox_nightshade_cap,TblConstr[[#This Row],[Homeland]]/TblConstr[[#This Row],[Land]]/nox_nightshade_swamp_bonus)</f>
        <v>4</v>
      </c>
      <c r="CL73" s="251">
        <f ca="1">MIN(TblConstr[[#This Row],[Total Swamp]]/TblConstr[[#This Row],[Land]]/abyss_enforce_bonus,abyss_enforcer_cap)</f>
        <v>0</v>
      </c>
      <c r="CM73" s="251">
        <f ca="1">IF(TblMagic[[#This Row],[Active Infernal Command]]&gt;0,TblMili[[#This Row],[Unit 1]]*infernal_cmd_op,0)</f>
        <v>0</v>
      </c>
      <c r="CN73" s="252"/>
      <c r="CO73" s="252"/>
      <c r="CP73" s="252"/>
      <c r="CQ73" s="251">
        <f ca="1">TblMili[[#This Row],[Mystic]]*2</f>
        <v>4</v>
      </c>
      <c r="CR73" s="251">
        <f ca="1">TblMili[[#This Row],[Druid (op)]]*2</f>
        <v>4</v>
      </c>
      <c r="CS73" s="94">
        <f ca="1">TblMili[[#This Row],[Mystic bonus]]*TblMili[[#This Row],[Unit 3]]+TblMili[[#This Row],[Druid bonus]]*TblMili[[#This Row],[Unit 4]]</f>
        <v>0</v>
      </c>
      <c r="CT73" s="155">
        <f ca="1">TblMili[[#This Row],[Dryad]]*2</f>
        <v>5.9999999999999991</v>
      </c>
      <c r="CU73" s="94">
        <f ca="1">sylvan*(TblMili[[#This Row],[Mystic bonus]]*TblMili[[#This Row],[Unit 3]])</f>
        <v>0</v>
      </c>
      <c r="CV73" s="155">
        <f ca="1">TblMili[[#This Row],[Rockapult]]*2</f>
        <v>4</v>
      </c>
      <c r="CW73" s="94">
        <f ca="1">gnome*(TblMili[[#This Row],[Rockapult bonus]]*TblMili[[#This Row],[Unit 3]])</f>
        <v>0</v>
      </c>
      <c r="CX73" s="155">
        <f ca="1">TblMili[[#This Row],[Adept-DP]]*2</f>
        <v>0</v>
      </c>
      <c r="CY73" s="94">
        <f ca="1">dark_elf*(TblMili[[#This Row],[Adept bonus]]*TblMili[[#This Row],[Unit 3]])</f>
        <v>0</v>
      </c>
      <c r="CZ73" s="155">
        <f ca="1">TblMili[[#This Row],[Frost Mage]]*2</f>
        <v>5.9999999999999991</v>
      </c>
      <c r="DA73" s="155">
        <f ca="1">TblMili[[#This Row],[Ice Elemental]]*2</f>
        <v>0</v>
      </c>
      <c r="DB73" s="94">
        <f ca="1">TblMili[[#This Row],[Frost Mage bonus]]*TblMili[[#This Row],[Unit 3]]+TblMili[[#This Row],[Ice Elemental bonus]]*TblMili[[#This Row],[Unit 4]]</f>
        <v>0</v>
      </c>
      <c r="DC73" s="253"/>
      <c r="DD73" s="143">
        <f ca="1">MIN(SUM(TblConstr[[#This Row],[Plain]:[Water]])/TblMili[[#This Row],[Land]]/favorable_terrain_bonus/100,favorable_terrain_max)</f>
        <v>0</v>
      </c>
      <c r="DE73" s="253"/>
      <c r="DF7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3" s="142"/>
      <c r="DH73" s="254">
        <f ca="1">(TblMili[[#This Row],[Wizards]]+2*TblMili[[#This Row],[Archmages]])/TblConstr[[#This Row],[Land]]</f>
        <v>0</v>
      </c>
      <c r="DI73" s="254">
        <f ca="1">TblMili[[#This Row],[Raw (2)]]*(1+race_wizard_strength+IF(TblMili[[#This Row],[Hour]]&gt;72,tech_magical_weaponry_wiz*TblTech[[#This Row],[3-5]],0))</f>
        <v>0</v>
      </c>
    </row>
    <row r="74" spans="1:113" x14ac:dyDescent="0.2">
      <c r="A74" s="137">
        <f>TblRezone[[#This Row],[Hour]]</f>
        <v>71</v>
      </c>
      <c r="B74" s="246">
        <f ca="1">SUM(TblMili[[#This Row],[Unit 1]:[Archmages]])+SUM(OFFSET(TblMili[[#This Row],[Train Unit 1]],-8,0):TblMili[[#This Row],[Train Unit 2]]) + SUM(OFFSET(TblMili[[#This Row],[Train Unit 3]],-11,0):TblMili[[#This Row],[Train AM]]) + TblMili[[#This Row],[Draftees]]</f>
        <v>536</v>
      </c>
      <c r="C74" s="157">
        <f ca="1">TblPop[[#This Row],[Military%]]</f>
        <v>0.69700910273081929</v>
      </c>
      <c r="D74" s="142"/>
      <c r="E74" s="45">
        <f ca="1">OFFSET(TblMili[[#This Row],[Unit 1]],-1,0) + OFFSET(TblMili[[#This Row],[Train Unit 1]],-9,0) - TblMili[[#This Row],[Release Unit 1]] + OFFSET(TblMili[[#This Row],[DnD_Zombies]],-12,0)</f>
        <v>0</v>
      </c>
      <c r="F74" s="45">
        <f ca="1">OFFSET(TblMili[[#This Row],[Unit 2]],-1,0) + OFFSET(TblMili[[#This Row],[Train Unit 2]],-9,0)-TblMili[[#This Row],[Release Unit 2]]</f>
        <v>0</v>
      </c>
      <c r="G74" s="45">
        <f ca="1">OFFSET(TblMili[[#This Row],[Unit 3]],-1,0) + OFFSET(TblMili[[#This Row],[Train Unit 3]],-12,0)-TblMili[[#This Row],[Release Unit 3]]</f>
        <v>0</v>
      </c>
      <c r="H74" s="45">
        <f ca="1">OFFSET(TblMili[[#This Row],[Unit 4]],-1,0) + OFFSET(TblMili[[#This Row],[Train Unit 4]],-12,0)-TblMili[[#This Row],[Release Unit 4]]</f>
        <v>0</v>
      </c>
      <c r="I74" s="45">
        <f ca="1">OFFSET(TblMili[[#This Row],[Spies]],-1,0) + OFFSET(TblMili[[#This Row],[Train Spies]],-12,0) - TblMili[[#This Row],[Release Spies]]-TblMili[[#This Row],[Train AS]]</f>
        <v>0</v>
      </c>
      <c r="J74" s="45">
        <f ca="1">OFFSET(TblMili[[#This Row],[Archspies]],-1,0) + OFFSET(TblMili[[#This Row],[Train AS]],-12,0) - TblMili[[#This Row],[Release AS]]</f>
        <v>0</v>
      </c>
      <c r="K74" s="45">
        <f ca="1">OFFSET(TblMili[[#This Row],[Wizards]],-1,0) + OFFSET(TblMili[[#This Row],[Train Wiz]],-12,0) - TblMili[[#This Row],[Release Wizards]]-TblMili[[#This Row],[Train AM]] + IF(TblMagic[[#This Row],[Active Arc Infusion]]&gt;0,TblMili[[#This Row],[Train AM]])</f>
        <v>0</v>
      </c>
      <c r="L74" s="45">
        <f ca="1">OFFSET(TblMili[[#This Row],[Archmages]],-1,0) + OFFSET(TblMili[[#This Row],[Train AM]],-12,0) - TblMili[[#This Row],[Release AM]]</f>
        <v>0</v>
      </c>
      <c r="M74" s="142"/>
      <c r="N74" s="94">
        <f ca="1">TblProd[[#This Row],[Networth]]</f>
        <v>1250</v>
      </c>
      <c r="O74" s="142"/>
      <c r="P74"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7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4" s="247">
        <f ca="1">TblMili[[#This Row],[Raw]]*(1+TblMili[[#This Row],[Mods_Off]])</f>
        <v>0</v>
      </c>
      <c r="S74"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74" s="247">
        <f ca="1">TblMili[[#This Row],[Non Draft]]+TblMili[[#This Row],[Draftees]]</f>
        <v>536</v>
      </c>
      <c r="U74" s="248">
        <f ca="1">race_defense + TblImps[[#This Row],[Walls]] + ROUND( MIN(gt_bonus*TblConstr[[#This Row],[Tot GT]]/TblConstr[[#This Row],[Land]],gt_bonus_cap), 4) + IF(TblMagic[[#This Row],[Active Howling]]&gt;0,howling_dp_bonus,IF(TblMagic[[#This Row],[Active Ares Call]]&gt;0,ares_call_bonus))</f>
        <v>0</v>
      </c>
      <c r="V74" s="249">
        <f ca="1">TblMili[[#This Row],[Non Draft]] * (1 + TblMili[[#This Row],[Mods_Def]])</f>
        <v>0</v>
      </c>
      <c r="W74" s="247">
        <f ca="1">TblMili[[#This Row],[Draft]] * (1 + TblMili[[#This Row],[Mods_Def]])</f>
        <v>536</v>
      </c>
      <c r="X74" s="247">
        <f ca="1">TblConstr[[#This Row],[Land]]</f>
        <v>50</v>
      </c>
      <c r="Y74" s="250"/>
      <c r="Z74" s="255">
        <f ca="1">IF(TblMili[[#This Row],[Set]]&lt;&gt;"",TblMili[[#This Row],[Set]],OFFSET(TblMili[[#This Row],[Draftrate]],-1,0))</f>
        <v>0.9</v>
      </c>
      <c r="AA74"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536</v>
      </c>
      <c r="AB74" s="154"/>
      <c r="AC74" s="180">
        <f ca="1">(TblConstr[[#This Row],[Tot Smi]]+TblConstr[[#This Row],[Dest Smi]])/(TblConstr[[#This Row],[Land]]-TblExplore[[#This Row],[Land Bonus]]*20)</f>
        <v>0</v>
      </c>
      <c r="AD74" s="137"/>
      <c r="AE74" s="246">
        <f>TblMili[[#This Row],[Hour]]</f>
        <v>71</v>
      </c>
      <c r="AF74" s="138">
        <f ca="1">TblExplore[[#This Row],[Time]]</f>
        <v>46322.916666666497</v>
      </c>
      <c r="AG74" s="179"/>
      <c r="AH74" s="158"/>
      <c r="AI74" s="179"/>
      <c r="AJ74" s="179"/>
      <c r="AK74" s="179"/>
      <c r="AL74" s="179"/>
      <c r="AM74" s="179"/>
      <c r="AN74" s="179"/>
      <c r="AO74" s="420">
        <f ca="1">ROUND(IF(AND(TblMagic[[#This Row],[Active DnD]]&lt;12,TblMagic[[#This Row],[Active DnD]]&gt;5),OFFSET(TblPop[[#This Row],[Draft Growth]],-1,0)*0.375,0),0)</f>
        <v>0</v>
      </c>
      <c r="AP74" s="142"/>
      <c r="AQ74" s="94">
        <f ca="1">TblProd[[#This Row],[Platinum]]</f>
        <v>184068</v>
      </c>
      <c r="AR74" s="94">
        <f ca="1">INDEX(TblProd[[#Headers],[Lumber]]:TblProd[[#This Row],[Ore]],COUNTA(TblProd[[#Headers],[Lumber]]:TblProd[[#This Row],[Lumber]]),MATCH(Military!$AR$2,TblProd[[#Headers],[Lumber]:[Ore]],0))</f>
        <v>0</v>
      </c>
      <c r="AS7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74" s="94">
        <f ca="1">TblMili[[#This Row],[Train Unit 1]]*TblMili[[#This Row],[OP Ore]]+TblMili[[#This Row],[Train Unit 2]]*TblMili[[#This Row],[DP Ore]]+TblMili[[#This Row],[Train Unit 3]]*TblMili[[#This Row],[E1 Ore]]+TblMili[[#This Row],[Train Unit 4]]*TblMili[[#This Row],[E2 Ore]]</f>
        <v>0</v>
      </c>
      <c r="AU74" s="142">
        <f>TblMili[[#This Row],[Hour]]</f>
        <v>71</v>
      </c>
      <c r="AV74" s="152">
        <f ca="1">TblMili[[#This Row],[Time]]</f>
        <v>46322.916666666497</v>
      </c>
      <c r="AW74" s="94">
        <f ca="1">TblMili[[#This Row],[Draftees]]</f>
        <v>536</v>
      </c>
      <c r="AX74" s="179"/>
      <c r="AY74" s="179"/>
      <c r="AZ74" s="179"/>
      <c r="BA74" s="179"/>
      <c r="BB74" s="179"/>
      <c r="BC74" s="179"/>
      <c r="BD74" s="179"/>
      <c r="BE74" s="179"/>
      <c r="BF74" s="179"/>
      <c r="BG74" s="142"/>
      <c r="BH74" s="157">
        <f ca="1">TblConstr[[#This Row],[Tot WG]]/TblConstr[[#This Row],[Land]]</f>
        <v>0</v>
      </c>
      <c r="BI74" s="157">
        <f ca="1">TblConstr[[#This Row],[Tot Hav]]/TblConstr[[#This Row],[Land]]</f>
        <v>0</v>
      </c>
      <c r="BJ74" s="94">
        <f ca="1">ROUNDUP((1-MIN(TblMili[[#This Row],[Smithies]]*smithy_bonus,smithy_bonus_cap) + tech_3_5*TblTech[[#This Row],[3-5]] + tech_5_3*TblTech[[#This Row],[5-3]] + tech_5_5*TblTech[[#This Row],[5-5]])*spec_op_plat,0)</f>
        <v>315</v>
      </c>
      <c r="BK74" s="94">
        <f ca="1">ROUNDUP(IF(race="Gnome",1,(1-MIN(TblMili[[#This Row],[Smithies]]*smithy_bonus,smithy_bonus_cap) + tech_3_5*TblTech[[#This Row],[3-5]] + tech_5_3*TblTech[[#This Row],[5-3]] + tech_5_5*TblTech[[#This Row],[5-5]]))*spec_op_ore,0)</f>
        <v>25</v>
      </c>
      <c r="BL74" s="94">
        <f ca="1">ROUNDUP((1-MIN(TblMili[[#This Row],[Smithies]]*smithy_bonus,smithy_bonus_cap) + tech_3_5*TblTech[[#This Row],[3-5]] + tech_5_3*TblTech[[#This Row],[5-3]] + tech_5_5*TblTech[[#This Row],[5-5]])*spec_dp_plat,0)</f>
        <v>275</v>
      </c>
      <c r="BM74" s="94">
        <f ca="1">ROUNDUP(IF(race="Gnome",1,(1-MIN(TblMili[[#This Row],[Smithies]]*smithy_bonus,smithy_bonus_cap) + tech_3_5*TblTech[[#This Row],[3-5]] + tech_5_3*TblTech[[#This Row],[5-3]] + tech_5_5*TblTech[[#This Row],[5-5]]))*spec_dp_ore,0)</f>
        <v>15</v>
      </c>
      <c r="BN74" s="94">
        <f ca="1">ROUNDUP((1-MIN(TblMili[[#This Row],[Smithies]]*smithy_bonus,smithy_bonus_cap) + tech_3_5*TblTech[[#This Row],[3-5]] + tech_5_3*TblTech[[#This Row],[5-3]] + tech_5_5*TblTech[[#This Row],[5-5]])*elite1_plat,0)</f>
        <v>1040</v>
      </c>
      <c r="BO74" s="94">
        <f ca="1">ROUNDUP(IF(race="Gnome",1,(1-MIN(TblMili[[#This Row],[Smithies]]*smithy_bonus,smithy_bonus_cap) + tech_3_5*TblTech[[#This Row],[3-5]] + tech_5_3*TblTech[[#This Row],[5-3]] + tech_5_5*TblTech[[#This Row],[5-5]]))*elite1_ore,0)</f>
        <v>75</v>
      </c>
      <c r="BP74" s="94">
        <f ca="1">ROUNDUP((1-MIN(TblMili[[#This Row],[Smithies]]*smithy_bonus,smithy_bonus_cap) + tech_3_5*TblTech[[#This Row],[3-5]] + tech_5_3*TblTech[[#This Row],[5-3]] + tech_5_5*TblTech[[#This Row],[5-5]])*elite2_plat,0)</f>
        <v>1280</v>
      </c>
      <c r="BQ74" s="94">
        <f ca="1">ROUNDUP(IF(race="Gnome",1,(1-MIN(TblMili[[#This Row],[Smithies]]*smithy_bonus,smithy_bonus_cap) + tech_3_5*TblTech[[#This Row],[3-5]] + tech_5_3*TblTech[[#This Row],[5-3]] + tech_5_5*TblTech[[#This Row],[5-5]]))*elite2_ore,0)</f>
        <v>100</v>
      </c>
      <c r="BR74" s="94">
        <f ca="1">ROUNDUP((1-MIN(ROUND(fh_spy_cost_red*TblMili[[#This Row],[FH''s]],4),fh_spy_cost_cap)+ tech_1_9*TblTech[[#This Row],[1-9]] + tech_9_1*TblTech[[#This Row],[9-1]])*spy_plat,0)</f>
        <v>500</v>
      </c>
      <c r="BS74" s="94">
        <f ca="1">ROUNDUP((1-MIN(ROUND(fh_spy_cost_red*TblMili[[#This Row],[FH''s]],4),fh_spy_cost_cap)+ tech_1_9*TblTech[[#This Row],[1-9]] + tech_9_1*TblTech[[#This Row],[9-1]])*archspy_plat,0)</f>
        <v>1000</v>
      </c>
      <c r="BT74" s="94">
        <f ca="1">ROUNDUP((1-MIN(ROUND(wg_wiz_cost_bonus*TblMili[[#This Row],[WG''s]],4),wg_wiz_cost_cap) + tech_1_9_2*TblTech[[#This Row],[1-9]] + tech_9_1_2*TblTech[[#This Row],[9-1]])*wizard_plat,0)</f>
        <v>500</v>
      </c>
      <c r="BU74" s="94">
        <f ca="1">ROUNDUP((1-MIN(ROUND(wg_wiz_cost_bonus*TblMili[[#This Row],[WG''s]],4),wg_wiz_cost_cap) + tech_1_9_2*TblTech[[#This Row],[1-9]] + tech_9_1_2*TblTech[[#This Row],[9-1]])*(archmage_plat + IF(TblMagic[[#This Row],[Active Arc Infusion]]&gt;0,400,0)),0)</f>
        <v>1000</v>
      </c>
      <c r="BV74" s="142"/>
      <c r="BW74" s="157">
        <f ca="1">TblConstr[[#This Row],[Homeland]]/TblConstr[[#This Row],[Land]]</f>
        <v>0.6</v>
      </c>
      <c r="BX74" s="157">
        <f ca="1">TblMili[[#This Row],[WG''s]]</f>
        <v>0</v>
      </c>
      <c r="BY74" s="251">
        <f ca="1">IF(mystic_cap="none",TblMili[[#This Row],[Homeland%]]/mystic_bonus,MIN(mystic_cap,TblMili[[#This Row],[Homeland%]]/mystic_bonus))</f>
        <v>2</v>
      </c>
      <c r="BZ74" s="251">
        <f ca="1">IF(druid_op_cap="none",TblMili[[#This Row],[Homeland%]]/druid_op_bonus,MIN(druid_op_cap,TblMili[[#This Row],[Homeland%]]/druid_op_bonus))</f>
        <v>2</v>
      </c>
      <c r="CA74" s="251">
        <f ca="1">IF(druid_dp_cap="none",TblMili[[#This Row],[Homeland%]]/druid_dp_bonus,MIN(druid_dp_cap,TblMili[[#This Row],[Homeland%]]/druid_dp_bonus))</f>
        <v>2</v>
      </c>
      <c r="CB74" s="251">
        <f ca="1">MIN(dryad_cap,TblMili[[#This Row],[Homeland%]]/dryad_bonus)</f>
        <v>2.9999999999999996</v>
      </c>
      <c r="CC74" s="251">
        <f ca="1">MIN(rocka_cap,TblMili[[#This Row],[Homeland%]]/rocka_bonus)</f>
        <v>2</v>
      </c>
      <c r="CD74" s="251">
        <f ca="1">MIN(adept_op_cap,TblMili[[#This Row],[WG]]/adept_op_bonus)</f>
        <v>0</v>
      </c>
      <c r="CE74" s="251">
        <f ca="1">MIN(adept_dp_cap,TblMili[[#This Row],[WG]]/adept_dp_bonus)</f>
        <v>0</v>
      </c>
      <c r="CF74" s="94">
        <f ca="1">MIN(TblMili[[#This Row],[Unit 3]],TblMili[[#This Row],[Unit 2]])*2</f>
        <v>0</v>
      </c>
      <c r="CG74" s="94">
        <f ca="1">MIN(TblMili[[#This Row],[Unit 1]],TblMili[[#This Row],[Unit 4]])*2</f>
        <v>0</v>
      </c>
      <c r="CH74" s="251">
        <f ca="1">MIN(frost_mage_cap,TblMili[[#This Row],[Homeland%]]/frost_mage_bonus)</f>
        <v>2.9999999999999996</v>
      </c>
      <c r="CI74" s="45">
        <f ca="1">MIN(ice_elem_cap,TblMili[[#This Row],[Raw (2)]]*ice_elem_bonus)</f>
        <v>0</v>
      </c>
      <c r="CJ74" s="251">
        <f t="shared" si="3"/>
        <v>0.83333333333333337</v>
      </c>
      <c r="CK74" s="251">
        <f ca="1">MIN(nox_nightshade_cap,TblConstr[[#This Row],[Homeland]]/TblConstr[[#This Row],[Land]]/nox_nightshade_swamp_bonus)</f>
        <v>4</v>
      </c>
      <c r="CL74" s="251">
        <f ca="1">MIN(TblConstr[[#This Row],[Total Swamp]]/TblConstr[[#This Row],[Land]]/abyss_enforce_bonus,abyss_enforcer_cap)</f>
        <v>0</v>
      </c>
      <c r="CM74" s="251">
        <f ca="1">IF(TblMagic[[#This Row],[Active Infernal Command]]&gt;0,TblMili[[#This Row],[Unit 1]]*infernal_cmd_op,0)</f>
        <v>0</v>
      </c>
      <c r="CN74" s="252"/>
      <c r="CO74" s="252"/>
      <c r="CP74" s="252"/>
      <c r="CQ74" s="251">
        <f ca="1">TblMili[[#This Row],[Mystic]]*2</f>
        <v>4</v>
      </c>
      <c r="CR74" s="251">
        <f ca="1">TblMili[[#This Row],[Druid (op)]]*2</f>
        <v>4</v>
      </c>
      <c r="CS74" s="94">
        <f ca="1">TblMili[[#This Row],[Mystic bonus]]*TblMili[[#This Row],[Unit 3]]+TblMili[[#This Row],[Druid bonus]]*TblMili[[#This Row],[Unit 4]]</f>
        <v>0</v>
      </c>
      <c r="CT74" s="155">
        <f ca="1">TblMili[[#This Row],[Dryad]]*2</f>
        <v>5.9999999999999991</v>
      </c>
      <c r="CU74" s="94">
        <f ca="1">sylvan*(TblMili[[#This Row],[Mystic bonus]]*TblMili[[#This Row],[Unit 3]])</f>
        <v>0</v>
      </c>
      <c r="CV74" s="155">
        <f ca="1">TblMili[[#This Row],[Rockapult]]*2</f>
        <v>4</v>
      </c>
      <c r="CW74" s="94">
        <f ca="1">gnome*(TblMili[[#This Row],[Rockapult bonus]]*TblMili[[#This Row],[Unit 3]])</f>
        <v>0</v>
      </c>
      <c r="CX74" s="155">
        <f ca="1">TblMili[[#This Row],[Adept-DP]]*2</f>
        <v>0</v>
      </c>
      <c r="CY74" s="94">
        <f ca="1">dark_elf*(TblMili[[#This Row],[Adept bonus]]*TblMili[[#This Row],[Unit 3]])</f>
        <v>0</v>
      </c>
      <c r="CZ74" s="155">
        <f ca="1">TblMili[[#This Row],[Frost Mage]]*2</f>
        <v>5.9999999999999991</v>
      </c>
      <c r="DA74" s="155">
        <f ca="1">TblMili[[#This Row],[Ice Elemental]]*2</f>
        <v>0</v>
      </c>
      <c r="DB74" s="94">
        <f ca="1">TblMili[[#This Row],[Frost Mage bonus]]*TblMili[[#This Row],[Unit 3]]+TblMili[[#This Row],[Ice Elemental bonus]]*TblMili[[#This Row],[Unit 4]]</f>
        <v>0</v>
      </c>
      <c r="DC74" s="253"/>
      <c r="DD74" s="143">
        <f ca="1">MIN(SUM(TblConstr[[#This Row],[Plain]:[Water]])/TblMili[[#This Row],[Land]]/favorable_terrain_bonus/100,favorable_terrain_max)</f>
        <v>0</v>
      </c>
      <c r="DE74" s="253"/>
      <c r="DF7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4" s="142"/>
      <c r="DH74" s="254">
        <f ca="1">(TblMili[[#This Row],[Wizards]]+2*TblMili[[#This Row],[Archmages]])/TblConstr[[#This Row],[Land]]</f>
        <v>0</v>
      </c>
      <c r="DI74" s="254">
        <f ca="1">TblMili[[#This Row],[Raw (2)]]*(1+race_wizard_strength+IF(TblMili[[#This Row],[Hour]]&gt;72,tech_magical_weaponry_wiz*TblTech[[#This Row],[3-5]],0))</f>
        <v>0</v>
      </c>
    </row>
    <row r="75" spans="1:113" x14ac:dyDescent="0.2">
      <c r="A75" s="137">
        <f>TblRezone[[#This Row],[Hour]]</f>
        <v>72</v>
      </c>
      <c r="B75" s="246">
        <f ca="1">SUM(TblMili[[#This Row],[Unit 1]:[Archmages]])+SUM(OFFSET(TblMili[[#This Row],[Train Unit 1]],-8,0):TblMili[[#This Row],[Train Unit 2]]) + SUM(OFFSET(TblMili[[#This Row],[Train Unit 3]],-11,0):TblMili[[#This Row],[Train AM]]) + TblMili[[#This Row],[Draftees]]</f>
        <v>538</v>
      </c>
      <c r="C75" s="157">
        <f ca="1">TblPop[[#This Row],[Military%]]</f>
        <v>0.69960988296488946</v>
      </c>
      <c r="D75" s="142"/>
      <c r="E75" s="45">
        <f ca="1">OFFSET(TblMili[[#This Row],[Unit 1]],-1,0) + OFFSET(TblMili[[#This Row],[Train Unit 1]],-9,0) - TblMili[[#This Row],[Release Unit 1]] + OFFSET(TblMili[[#This Row],[DnD_Zombies]],-12,0)</f>
        <v>0</v>
      </c>
      <c r="F75" s="45">
        <f ca="1">OFFSET(TblMili[[#This Row],[Unit 2]],-1,0) + OFFSET(TblMili[[#This Row],[Train Unit 2]],-9,0)-TblMili[[#This Row],[Release Unit 2]]</f>
        <v>0</v>
      </c>
      <c r="G75" s="45">
        <f ca="1">OFFSET(TblMili[[#This Row],[Unit 3]],-1,0) + OFFSET(TblMili[[#This Row],[Train Unit 3]],-12,0)-TblMili[[#This Row],[Release Unit 3]]</f>
        <v>0</v>
      </c>
      <c r="H75" s="45">
        <f ca="1">OFFSET(TblMili[[#This Row],[Unit 4]],-1,0) + OFFSET(TblMili[[#This Row],[Train Unit 4]],-12,0)-TblMili[[#This Row],[Release Unit 4]]</f>
        <v>0</v>
      </c>
      <c r="I75" s="45">
        <f ca="1">OFFSET(TblMili[[#This Row],[Spies]],-1,0) + OFFSET(TblMili[[#This Row],[Train Spies]],-12,0) - TblMili[[#This Row],[Release Spies]]-TblMili[[#This Row],[Train AS]]</f>
        <v>0</v>
      </c>
      <c r="J75" s="45">
        <f ca="1">OFFSET(TblMili[[#This Row],[Archspies]],-1,0) + OFFSET(TblMili[[#This Row],[Train AS]],-12,0) - TblMili[[#This Row],[Release AS]]</f>
        <v>0</v>
      </c>
      <c r="K75" s="45">
        <f ca="1">OFFSET(TblMili[[#This Row],[Wizards]],-1,0) + OFFSET(TblMili[[#This Row],[Train Wiz]],-12,0) - TblMili[[#This Row],[Release Wizards]]-TblMili[[#This Row],[Train AM]] + IF(TblMagic[[#This Row],[Active Arc Infusion]]&gt;0,TblMili[[#This Row],[Train AM]])</f>
        <v>0</v>
      </c>
      <c r="L75" s="45">
        <f ca="1">OFFSET(TblMili[[#This Row],[Archmages]],-1,0) + OFFSET(TblMili[[#This Row],[Train AM]],-12,0) - TblMili[[#This Row],[Release AM]]</f>
        <v>0</v>
      </c>
      <c r="M75" s="142"/>
      <c r="N75" s="94">
        <f ca="1">TblProd[[#This Row],[Networth]]</f>
        <v>1250</v>
      </c>
      <c r="O75" s="142"/>
      <c r="P75"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7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5" s="247">
        <f ca="1">TblMili[[#This Row],[Raw]]*(1+TblMili[[#This Row],[Mods_Off]])</f>
        <v>0</v>
      </c>
      <c r="S75"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75" s="247">
        <f ca="1">TblMili[[#This Row],[Non Draft]]+TblMili[[#This Row],[Draftees]]</f>
        <v>538</v>
      </c>
      <c r="U75" s="248">
        <f ca="1">race_defense + TblImps[[#This Row],[Walls]] + ROUND( MIN(gt_bonus*TblConstr[[#This Row],[Tot GT]]/TblConstr[[#This Row],[Land]],gt_bonus_cap), 4) + IF(TblMagic[[#This Row],[Active Howling]]&gt;0,howling_dp_bonus,IF(TblMagic[[#This Row],[Active Ares Call]]&gt;0,ares_call_bonus))</f>
        <v>0</v>
      </c>
      <c r="V75" s="249">
        <f ca="1">TblMili[[#This Row],[Non Draft]] * (1 + TblMili[[#This Row],[Mods_Def]])</f>
        <v>0</v>
      </c>
      <c r="W75" s="247">
        <f ca="1">TblMili[[#This Row],[Draft]] * (1 + TblMili[[#This Row],[Mods_Def]])</f>
        <v>538</v>
      </c>
      <c r="X75" s="247">
        <f ca="1">TblConstr[[#This Row],[Land]]</f>
        <v>50</v>
      </c>
      <c r="Y75" s="250"/>
      <c r="Z75" s="255">
        <f ca="1">IF(TblMili[[#This Row],[Set]]&lt;&gt;"",TblMili[[#This Row],[Set]],OFFSET(TblMili[[#This Row],[Draftrate]],-1,0))</f>
        <v>0.9</v>
      </c>
      <c r="AA75"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538</v>
      </c>
      <c r="AB75" s="154"/>
      <c r="AC75" s="180">
        <f ca="1">(TblConstr[[#This Row],[Tot Smi]]+TblConstr[[#This Row],[Dest Smi]])/(TblConstr[[#This Row],[Land]]-TblExplore[[#This Row],[Land Bonus]]*20)</f>
        <v>0</v>
      </c>
      <c r="AD75" s="137"/>
      <c r="AE75" s="246">
        <f>TblMili[[#This Row],[Hour]]</f>
        <v>72</v>
      </c>
      <c r="AF75" s="138">
        <f ca="1">TblExplore[[#This Row],[Time]]</f>
        <v>46322.958333333161</v>
      </c>
      <c r="AG75" s="179"/>
      <c r="AH75" s="158"/>
      <c r="AI75" s="179"/>
      <c r="AJ75" s="179"/>
      <c r="AK75" s="179"/>
      <c r="AL75" s="179"/>
      <c r="AM75" s="179"/>
      <c r="AN75" s="179"/>
      <c r="AO75" s="420">
        <f ca="1">ROUND(IF(AND(TblMagic[[#This Row],[Active DnD]]&lt;12,TblMagic[[#This Row],[Active DnD]]&gt;5),OFFSET(TblPop[[#This Row],[Draft Growth]],-1,0)*0.375,0),0)</f>
        <v>0</v>
      </c>
      <c r="AP75" s="142"/>
      <c r="AQ75" s="94">
        <f ca="1">TblProd[[#This Row],[Platinum]]</f>
        <v>184697</v>
      </c>
      <c r="AR75" s="94">
        <f ca="1">INDEX(TblProd[[#Headers],[Lumber]]:TblProd[[#This Row],[Ore]],COUNTA(TblProd[[#Headers],[Lumber]]:TblProd[[#This Row],[Lumber]]),MATCH(Military!$AR$2,TblProd[[#Headers],[Lumber]:[Ore]],0))</f>
        <v>0</v>
      </c>
      <c r="AS7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75" s="94">
        <f ca="1">TblMili[[#This Row],[Train Unit 1]]*TblMili[[#This Row],[OP Ore]]+TblMili[[#This Row],[Train Unit 2]]*TblMili[[#This Row],[DP Ore]]+TblMili[[#This Row],[Train Unit 3]]*TblMili[[#This Row],[E1 Ore]]+TblMili[[#This Row],[Train Unit 4]]*TblMili[[#This Row],[E2 Ore]]</f>
        <v>0</v>
      </c>
      <c r="AU75" s="142">
        <f>TblMili[[#This Row],[Hour]]</f>
        <v>72</v>
      </c>
      <c r="AV75" s="152">
        <f ca="1">TblMili[[#This Row],[Time]]</f>
        <v>46322.958333333161</v>
      </c>
      <c r="AW75" s="94">
        <f ca="1">TblMili[[#This Row],[Draftees]]</f>
        <v>538</v>
      </c>
      <c r="AX75" s="179"/>
      <c r="AY75" s="179"/>
      <c r="AZ75" s="179"/>
      <c r="BA75" s="179"/>
      <c r="BB75" s="179"/>
      <c r="BC75" s="179"/>
      <c r="BD75" s="179"/>
      <c r="BE75" s="179"/>
      <c r="BF75" s="179"/>
      <c r="BG75" s="142"/>
      <c r="BH75" s="157">
        <f ca="1">TblConstr[[#This Row],[Tot WG]]/TblConstr[[#This Row],[Land]]</f>
        <v>0</v>
      </c>
      <c r="BI75" s="157">
        <f ca="1">TblConstr[[#This Row],[Tot Hav]]/TblConstr[[#This Row],[Land]]</f>
        <v>0</v>
      </c>
      <c r="BJ75" s="94">
        <f ca="1">ROUNDUP((1-MIN(TblMili[[#This Row],[Smithies]]*smithy_bonus,smithy_bonus_cap) + tech_3_5*TblTech[[#This Row],[3-5]] + tech_5_3*TblTech[[#This Row],[5-3]] + tech_5_5*TblTech[[#This Row],[5-5]])*spec_op_plat,0)</f>
        <v>315</v>
      </c>
      <c r="BK75" s="94">
        <f ca="1">ROUNDUP(IF(race="Gnome",1,(1-MIN(TblMili[[#This Row],[Smithies]]*smithy_bonus,smithy_bonus_cap) + tech_3_5*TblTech[[#This Row],[3-5]] + tech_5_3*TblTech[[#This Row],[5-3]] + tech_5_5*TblTech[[#This Row],[5-5]]))*spec_op_ore,0)</f>
        <v>25</v>
      </c>
      <c r="BL75" s="94">
        <f ca="1">ROUNDUP((1-MIN(TblMili[[#This Row],[Smithies]]*smithy_bonus,smithy_bonus_cap) + tech_3_5*TblTech[[#This Row],[3-5]] + tech_5_3*TblTech[[#This Row],[5-3]] + tech_5_5*TblTech[[#This Row],[5-5]])*spec_dp_plat,0)</f>
        <v>275</v>
      </c>
      <c r="BM75" s="94">
        <f ca="1">ROUNDUP(IF(race="Gnome",1,(1-MIN(TblMili[[#This Row],[Smithies]]*smithy_bonus,smithy_bonus_cap) + tech_3_5*TblTech[[#This Row],[3-5]] + tech_5_3*TblTech[[#This Row],[5-3]] + tech_5_5*TblTech[[#This Row],[5-5]]))*spec_dp_ore,0)</f>
        <v>15</v>
      </c>
      <c r="BN75" s="94">
        <f ca="1">ROUNDUP((1-MIN(TblMili[[#This Row],[Smithies]]*smithy_bonus,smithy_bonus_cap) + tech_3_5*TblTech[[#This Row],[3-5]] + tech_5_3*TblTech[[#This Row],[5-3]] + tech_5_5*TblTech[[#This Row],[5-5]])*elite1_plat,0)</f>
        <v>1040</v>
      </c>
      <c r="BO75" s="94">
        <f ca="1">ROUNDUP(IF(race="Gnome",1,(1-MIN(TblMili[[#This Row],[Smithies]]*smithy_bonus,smithy_bonus_cap) + tech_3_5*TblTech[[#This Row],[3-5]] + tech_5_3*TblTech[[#This Row],[5-3]] + tech_5_5*TblTech[[#This Row],[5-5]]))*elite1_ore,0)</f>
        <v>75</v>
      </c>
      <c r="BP75" s="94">
        <f ca="1">ROUNDUP((1-MIN(TblMili[[#This Row],[Smithies]]*smithy_bonus,smithy_bonus_cap) + tech_3_5*TblTech[[#This Row],[3-5]] + tech_5_3*TblTech[[#This Row],[5-3]] + tech_5_5*TblTech[[#This Row],[5-5]])*elite2_plat,0)</f>
        <v>1280</v>
      </c>
      <c r="BQ75" s="94">
        <f ca="1">ROUNDUP(IF(race="Gnome",1,(1-MIN(TblMili[[#This Row],[Smithies]]*smithy_bonus,smithy_bonus_cap) + tech_3_5*TblTech[[#This Row],[3-5]] + tech_5_3*TblTech[[#This Row],[5-3]] + tech_5_5*TblTech[[#This Row],[5-5]]))*elite2_ore,0)</f>
        <v>100</v>
      </c>
      <c r="BR75" s="94">
        <f ca="1">ROUNDUP((1-MIN(ROUND(fh_spy_cost_red*TblMili[[#This Row],[FH''s]],4),fh_spy_cost_cap)+ tech_1_9*TblTech[[#This Row],[1-9]] + tech_9_1*TblTech[[#This Row],[9-1]])*spy_plat,0)</f>
        <v>500</v>
      </c>
      <c r="BS75" s="94">
        <f ca="1">ROUNDUP((1-MIN(ROUND(fh_spy_cost_red*TblMili[[#This Row],[FH''s]],4),fh_spy_cost_cap)+ tech_1_9*TblTech[[#This Row],[1-9]] + tech_9_1*TblTech[[#This Row],[9-1]])*archspy_plat,0)</f>
        <v>1000</v>
      </c>
      <c r="BT75" s="94">
        <f ca="1">ROUNDUP((1-MIN(ROUND(wg_wiz_cost_bonus*TblMili[[#This Row],[WG''s]],4),wg_wiz_cost_cap) + tech_1_9_2*TblTech[[#This Row],[1-9]] + tech_9_1_2*TblTech[[#This Row],[9-1]])*wizard_plat,0)</f>
        <v>500</v>
      </c>
      <c r="BU75" s="94">
        <f ca="1">ROUNDUP((1-MIN(ROUND(wg_wiz_cost_bonus*TblMili[[#This Row],[WG''s]],4),wg_wiz_cost_cap) + tech_1_9_2*TblTech[[#This Row],[1-9]] + tech_9_1_2*TblTech[[#This Row],[9-1]])*(archmage_plat + IF(TblMagic[[#This Row],[Active Arc Infusion]]&gt;0,400,0)),0)</f>
        <v>1000</v>
      </c>
      <c r="BV75" s="142"/>
      <c r="BW75" s="157">
        <f ca="1">TblConstr[[#This Row],[Homeland]]/TblConstr[[#This Row],[Land]]</f>
        <v>0.6</v>
      </c>
      <c r="BX75" s="157">
        <f ca="1">TblMili[[#This Row],[WG''s]]</f>
        <v>0</v>
      </c>
      <c r="BY75" s="251">
        <f ca="1">IF(mystic_cap="none",TblMili[[#This Row],[Homeland%]]/mystic_bonus,MIN(mystic_cap,TblMili[[#This Row],[Homeland%]]/mystic_bonus))</f>
        <v>2</v>
      </c>
      <c r="BZ75" s="251">
        <f ca="1">IF(druid_op_cap="none",TblMili[[#This Row],[Homeland%]]/druid_op_bonus,MIN(druid_op_cap,TblMili[[#This Row],[Homeland%]]/druid_op_bonus))</f>
        <v>2</v>
      </c>
      <c r="CA75" s="251">
        <f ca="1">IF(druid_dp_cap="none",TblMili[[#This Row],[Homeland%]]/druid_dp_bonus,MIN(druid_dp_cap,TblMili[[#This Row],[Homeland%]]/druid_dp_bonus))</f>
        <v>2</v>
      </c>
      <c r="CB75" s="251">
        <f ca="1">MIN(dryad_cap,TblMili[[#This Row],[Homeland%]]/dryad_bonus)</f>
        <v>2.9999999999999996</v>
      </c>
      <c r="CC75" s="251">
        <f ca="1">MIN(rocka_cap,TblMili[[#This Row],[Homeland%]]/rocka_bonus)</f>
        <v>2</v>
      </c>
      <c r="CD75" s="251">
        <f ca="1">MIN(adept_op_cap,TblMili[[#This Row],[WG]]/adept_op_bonus)</f>
        <v>0</v>
      </c>
      <c r="CE75" s="251">
        <f ca="1">MIN(adept_dp_cap,TblMili[[#This Row],[WG]]/adept_dp_bonus)</f>
        <v>0</v>
      </c>
      <c r="CF75" s="94">
        <f ca="1">MIN(TblMili[[#This Row],[Unit 3]],TblMili[[#This Row],[Unit 2]])*2</f>
        <v>0</v>
      </c>
      <c r="CG75" s="94">
        <f ca="1">MIN(TblMili[[#This Row],[Unit 1]],TblMili[[#This Row],[Unit 4]])*2</f>
        <v>0</v>
      </c>
      <c r="CH75" s="251">
        <f ca="1">MIN(frost_mage_cap,TblMili[[#This Row],[Homeland%]]/frost_mage_bonus)</f>
        <v>2.9999999999999996</v>
      </c>
      <c r="CI75" s="45">
        <f ca="1">MIN(ice_elem_cap,TblMili[[#This Row],[Raw (2)]]*ice_elem_bonus)</f>
        <v>0</v>
      </c>
      <c r="CJ75" s="251">
        <f t="shared" si="3"/>
        <v>0.83333333333333337</v>
      </c>
      <c r="CK75" s="251">
        <f ca="1">MIN(nox_nightshade_cap,TblConstr[[#This Row],[Homeland]]/TblConstr[[#This Row],[Land]]/nox_nightshade_swamp_bonus)</f>
        <v>4</v>
      </c>
      <c r="CL75" s="251">
        <f ca="1">MIN(TblConstr[[#This Row],[Total Swamp]]/TblConstr[[#This Row],[Land]]/abyss_enforce_bonus,abyss_enforcer_cap)</f>
        <v>0</v>
      </c>
      <c r="CM75" s="251">
        <f ca="1">IF(TblMagic[[#This Row],[Active Infernal Command]]&gt;0,TblMili[[#This Row],[Unit 1]]*infernal_cmd_op,0)</f>
        <v>0</v>
      </c>
      <c r="CN75" s="252"/>
      <c r="CO75" s="252"/>
      <c r="CP75" s="252"/>
      <c r="CQ75" s="251">
        <f ca="1">TblMili[[#This Row],[Mystic]]*2</f>
        <v>4</v>
      </c>
      <c r="CR75" s="251">
        <f ca="1">TblMili[[#This Row],[Druid (op)]]*2</f>
        <v>4</v>
      </c>
      <c r="CS75" s="94">
        <f ca="1">TblMili[[#This Row],[Mystic bonus]]*TblMili[[#This Row],[Unit 3]]+TblMili[[#This Row],[Druid bonus]]*TblMili[[#This Row],[Unit 4]]</f>
        <v>0</v>
      </c>
      <c r="CT75" s="155">
        <f ca="1">TblMili[[#This Row],[Dryad]]*2</f>
        <v>5.9999999999999991</v>
      </c>
      <c r="CU75" s="94">
        <f ca="1">sylvan*(TblMili[[#This Row],[Mystic bonus]]*TblMili[[#This Row],[Unit 3]])</f>
        <v>0</v>
      </c>
      <c r="CV75" s="155">
        <f ca="1">TblMili[[#This Row],[Rockapult]]*2</f>
        <v>4</v>
      </c>
      <c r="CW75" s="94">
        <f ca="1">gnome*(TblMili[[#This Row],[Rockapult bonus]]*TblMili[[#This Row],[Unit 3]])</f>
        <v>0</v>
      </c>
      <c r="CX75" s="155">
        <f ca="1">TblMili[[#This Row],[Adept-DP]]*2</f>
        <v>0</v>
      </c>
      <c r="CY75" s="94">
        <f ca="1">dark_elf*(TblMili[[#This Row],[Adept bonus]]*TblMili[[#This Row],[Unit 3]])</f>
        <v>0</v>
      </c>
      <c r="CZ75" s="155">
        <f ca="1">TblMili[[#This Row],[Frost Mage]]*2</f>
        <v>5.9999999999999991</v>
      </c>
      <c r="DA75" s="155">
        <f ca="1">TblMili[[#This Row],[Ice Elemental]]*2</f>
        <v>0</v>
      </c>
      <c r="DB75" s="94">
        <f ca="1">TblMili[[#This Row],[Frost Mage bonus]]*TblMili[[#This Row],[Unit 3]]+TblMili[[#This Row],[Ice Elemental bonus]]*TblMili[[#This Row],[Unit 4]]</f>
        <v>0</v>
      </c>
      <c r="DC75" s="253"/>
      <c r="DD75" s="143">
        <f ca="1">MIN(SUM(TblConstr[[#This Row],[Plain]:[Water]])/TblMili[[#This Row],[Land]]/favorable_terrain_bonus/100,favorable_terrain_max)</f>
        <v>0</v>
      </c>
      <c r="DE75" s="253"/>
      <c r="DF7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5" s="142"/>
      <c r="DH75" s="254">
        <f ca="1">(TblMili[[#This Row],[Wizards]]+2*TblMili[[#This Row],[Archmages]])/TblConstr[[#This Row],[Land]]</f>
        <v>0</v>
      </c>
      <c r="DI75" s="254">
        <f ca="1">TblMili[[#This Row],[Raw (2)]]*(1+race_wizard_strength+IF(TblMili[[#This Row],[Hour]]&gt;72,tech_magical_weaponry_wiz*TblTech[[#This Row],[3-5]],0))</f>
        <v>0</v>
      </c>
    </row>
    <row r="76" spans="1:113" x14ac:dyDescent="0.2">
      <c r="A76" s="137">
        <f>TblRezone[[#This Row],[Hour]]</f>
        <v>73</v>
      </c>
      <c r="B76" s="246">
        <f ca="1">SUM(TblMili[[#This Row],[Unit 1]:[Archmages]])+SUM(OFFSET(TblMili[[#This Row],[Train Unit 1]],-8,0):TblMili[[#This Row],[Train Unit 2]]) + SUM(OFFSET(TblMili[[#This Row],[Train Unit 3]],-11,0):TblMili[[#This Row],[Train AM]]) + TblMili[[#This Row],[Draftees]]</f>
        <v>540</v>
      </c>
      <c r="C76" s="442">
        <f ca="1">TblPop[[#This Row],[Military%]]</f>
        <v>0.70221066319895964</v>
      </c>
      <c r="D76" s="142"/>
      <c r="E76" s="433">
        <f ca="1">OFFSET(TblMili[[#This Row],[Unit 1]],-1,0) + OFFSET(TblMili[[#This Row],[Train Unit 1]],-9,0) - TblMili[[#This Row],[Release Unit 1]] + OFFSET(TblMili[[#This Row],[DnD_Zombies]],-12,0)</f>
        <v>0</v>
      </c>
      <c r="F76" s="433">
        <f ca="1">OFFSET(TblMili[[#This Row],[Unit 2]],-1,0) + OFFSET(TblMili[[#This Row],[Train Unit 2]],-9,0)-TblMili[[#This Row],[Release Unit 2]]</f>
        <v>0</v>
      </c>
      <c r="G76" s="430">
        <f ca="1">OFFSET(TblMili[[#This Row],[Unit 3]],-1,0) + OFFSET(TblMili[[#This Row],[Train Unit 3]],-12,0)-TblMili[[#This Row],[Release Unit 3]]</f>
        <v>0</v>
      </c>
      <c r="H76" s="433">
        <f ca="1">OFFSET(TblMili[[#This Row],[Unit 4]],-1,0) + OFFSET(TblMili[[#This Row],[Train Unit 4]],-12,0)-TblMili[[#This Row],[Release Unit 4]]</f>
        <v>0</v>
      </c>
      <c r="I76" s="433">
        <f ca="1">OFFSET(TblMili[[#This Row],[Spies]],-1,0) + OFFSET(TblMili[[#This Row],[Train Spies]],-12,0) - TblMili[[#This Row],[Release Spies]]-TblMili[[#This Row],[Train AS]]</f>
        <v>0</v>
      </c>
      <c r="J76" s="433">
        <f ca="1">OFFSET(TblMili[[#This Row],[Archspies]],-1,0) + OFFSET(TblMili[[#This Row],[Train AS]],-12,0) - TblMili[[#This Row],[Release AS]]</f>
        <v>0</v>
      </c>
      <c r="K76" s="433">
        <f ca="1">OFFSET(TblMili[[#This Row],[Wizards]],-1,0) + OFFSET(TblMili[[#This Row],[Train Wiz]],-12,0) - TblMili[[#This Row],[Release Wizards]]-TblMili[[#This Row],[Train AM]] + IF(TblMagic[[#This Row],[Active Arc Infusion]]&gt;0,TblMili[[#This Row],[Train AM]])</f>
        <v>0</v>
      </c>
      <c r="L76" s="433">
        <f ca="1">OFFSET(TblMili[[#This Row],[Archmages]],-1,0) + OFFSET(TblMili[[#This Row],[Train AM]],-12,0) - TblMili[[#This Row],[Release AM]]</f>
        <v>0</v>
      </c>
      <c r="M76" s="142"/>
      <c r="N76" s="430">
        <f ca="1">TblProd[[#This Row],[Networth]]</f>
        <v>1250</v>
      </c>
      <c r="O76" s="142"/>
      <c r="P76" s="443">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76" s="442">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6" s="443">
        <f ca="1">TblMili[[#This Row],[Raw]]*(1+TblMili[[#This Row],[Mods_Off]])</f>
        <v>0</v>
      </c>
      <c r="S76" s="443">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76" s="443">
        <f ca="1">TblMili[[#This Row],[Non Draft]]+TblMili[[#This Row],[Draftees]]</f>
        <v>540</v>
      </c>
      <c r="U76" s="444">
        <f ca="1">race_defense + TblImps[[#This Row],[Walls]] + ROUND( MIN(gt_bonus*TblConstr[[#This Row],[Tot GT]]/TblConstr[[#This Row],[Land]],gt_bonus_cap), 4) + IF(TblMagic[[#This Row],[Active Howling]]&gt;0,howling_dp_bonus,IF(TblMagic[[#This Row],[Active Ares Call]]&gt;0,ares_call_bonus))</f>
        <v>0</v>
      </c>
      <c r="V76" s="445">
        <f ca="1">TblMili[[#This Row],[Non Draft]] * (1 + TblMili[[#This Row],[Mods_Def]])</f>
        <v>0</v>
      </c>
      <c r="W76" s="443">
        <f ca="1">TblMili[[#This Row],[Draft]] * (1 + TblMili[[#This Row],[Mods_Def]])</f>
        <v>540</v>
      </c>
      <c r="X76" s="443">
        <f ca="1">TblConstr[[#This Row],[Land]]</f>
        <v>50</v>
      </c>
      <c r="Y76" s="250"/>
      <c r="Z76" s="446">
        <f ca="1">IF(TblMili[[#This Row],[Set]]&lt;&gt;"",TblMili[[#This Row],[Set]],OFFSET(TblMili[[#This Row],[Draftrate]],-1,0))</f>
        <v>0.9</v>
      </c>
      <c r="AA76"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540</v>
      </c>
      <c r="AB76" s="154"/>
      <c r="AC76" s="429">
        <f ca="1">(TblConstr[[#This Row],[Tot Smi]]+TblConstr[[#This Row],[Dest Smi]])/(TblConstr[[#This Row],[Land]]-TblExplore[[#This Row],[Land Bonus]]*20)</f>
        <v>0</v>
      </c>
      <c r="AD76" s="137"/>
      <c r="AE76" s="246">
        <f>TblMili[[#This Row],[Hour]]</f>
        <v>73</v>
      </c>
      <c r="AF76" s="138">
        <f ca="1">TblExplore[[#This Row],[Time]]</f>
        <v>46322.999999999825</v>
      </c>
      <c r="AG76" s="179"/>
      <c r="AH76" s="158"/>
      <c r="AI76" s="179"/>
      <c r="AJ76" s="179"/>
      <c r="AK76" s="179"/>
      <c r="AL76" s="179"/>
      <c r="AM76" s="179"/>
      <c r="AN76" s="179"/>
      <c r="AO76" s="420">
        <f ca="1">ROUND(IF(AND(TblMagic[[#This Row],[Active DnD]]&lt;12,TblMagic[[#This Row],[Active DnD]]&gt;5),OFFSET(TblPop[[#This Row],[Draft Growth]],-1,0)*0.375,0),0)</f>
        <v>0</v>
      </c>
      <c r="AP76" s="142"/>
      <c r="AQ76" s="430">
        <f ca="1">TblProd[[#This Row],[Platinum]]</f>
        <v>185320</v>
      </c>
      <c r="AR76" s="430">
        <f ca="1">INDEX(TblProd[[#Headers],[Lumber]]:TblProd[[#This Row],[Ore]],COUNTA(TblProd[[#Headers],[Lumber]]:TblProd[[#This Row],[Lumber]]),MATCH(Military!$AR$2,TblProd[[#Headers],[Lumber]:[Ore]],0))</f>
        <v>0</v>
      </c>
      <c r="AS76" s="430">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76" s="430">
        <f ca="1">TblMili[[#This Row],[Train Unit 1]]*TblMili[[#This Row],[OP Ore]]+TblMili[[#This Row],[Train Unit 2]]*TblMili[[#This Row],[DP Ore]]+TblMili[[#This Row],[Train Unit 3]]*TblMili[[#This Row],[E1 Ore]]+TblMili[[#This Row],[Train Unit 4]]*TblMili[[#This Row],[E2 Ore]]</f>
        <v>0</v>
      </c>
      <c r="AU76" s="142">
        <f>TblMili[[#This Row],[Hour]]</f>
        <v>73</v>
      </c>
      <c r="AV76" s="152">
        <f ca="1">TblMili[[#This Row],[Time]]</f>
        <v>46322.999999999825</v>
      </c>
      <c r="AW76" s="430">
        <f ca="1">TblMili[[#This Row],[Draftees]]</f>
        <v>540</v>
      </c>
      <c r="AX76" s="158"/>
      <c r="AY76" s="179"/>
      <c r="AZ76" s="179"/>
      <c r="BA76" s="179"/>
      <c r="BB76" s="179"/>
      <c r="BC76" s="179"/>
      <c r="BD76" s="179"/>
      <c r="BE76" s="179"/>
      <c r="BF76" s="179"/>
      <c r="BG76" s="142"/>
      <c r="BH76" s="442">
        <f ca="1">TblConstr[[#This Row],[Tot WG]]/TblConstr[[#This Row],[Land]]</f>
        <v>0</v>
      </c>
      <c r="BI76" s="442">
        <f ca="1">TblConstr[[#This Row],[Tot Hav]]/TblConstr[[#This Row],[Land]]</f>
        <v>0</v>
      </c>
      <c r="BJ76" s="430">
        <f ca="1">ROUNDUP((1-MIN(TblMili[[#This Row],[Smithies]]*smithy_bonus,smithy_bonus_cap) + tech_3_5*TblTech[[#This Row],[3-5]] + tech_5_3*TblTech[[#This Row],[5-3]] + tech_5_5*TblTech[[#This Row],[5-5]])*spec_op_plat,0)</f>
        <v>315</v>
      </c>
      <c r="BK76" s="430">
        <f ca="1">ROUNDUP(IF(race="Gnome",1,(1-MIN(TblMili[[#This Row],[Smithies]]*smithy_bonus,smithy_bonus_cap) + tech_3_5*TblTech[[#This Row],[3-5]] + tech_5_3*TblTech[[#This Row],[5-3]] + tech_5_5*TblTech[[#This Row],[5-5]]))*spec_op_ore,0)</f>
        <v>25</v>
      </c>
      <c r="BL76" s="430">
        <f ca="1">ROUNDUP((1-MIN(TblMili[[#This Row],[Smithies]]*smithy_bonus,smithy_bonus_cap) + tech_3_5*TblTech[[#This Row],[3-5]] + tech_5_3*TblTech[[#This Row],[5-3]] + tech_5_5*TblTech[[#This Row],[5-5]])*spec_dp_plat,0)</f>
        <v>275</v>
      </c>
      <c r="BM76" s="430">
        <f ca="1">ROUNDUP(IF(race="Gnome",1,(1-MIN(TblMili[[#This Row],[Smithies]]*smithy_bonus,smithy_bonus_cap) + tech_3_5*TblTech[[#This Row],[3-5]] + tech_5_3*TblTech[[#This Row],[5-3]] + tech_5_5*TblTech[[#This Row],[5-5]]))*spec_dp_ore,0)</f>
        <v>15</v>
      </c>
      <c r="BN76" s="430">
        <f ca="1">ROUNDUP((1-MIN(TblMili[[#This Row],[Smithies]]*smithy_bonus,smithy_bonus_cap) + tech_3_5*TblTech[[#This Row],[3-5]] + tech_5_3*TblTech[[#This Row],[5-3]] + tech_5_5*TblTech[[#This Row],[5-5]])*elite1_plat,0)</f>
        <v>1040</v>
      </c>
      <c r="BO76" s="430">
        <f ca="1">ROUNDUP(IF(race="Gnome",1,(1-MIN(TblMili[[#This Row],[Smithies]]*smithy_bonus,smithy_bonus_cap) + tech_3_5*TblTech[[#This Row],[3-5]] + tech_5_3*TblTech[[#This Row],[5-3]] + tech_5_5*TblTech[[#This Row],[5-5]]))*elite1_ore,0)</f>
        <v>75</v>
      </c>
      <c r="BP76" s="430">
        <f ca="1">ROUNDUP((1-MIN(TblMili[[#This Row],[Smithies]]*smithy_bonus,smithy_bonus_cap) + tech_3_5*TblTech[[#This Row],[3-5]] + tech_5_3*TblTech[[#This Row],[5-3]] + tech_5_5*TblTech[[#This Row],[5-5]])*elite2_plat,0)</f>
        <v>1280</v>
      </c>
      <c r="BQ76" s="430">
        <f ca="1">ROUNDUP(IF(race="Gnome",1,(1-MIN(TblMili[[#This Row],[Smithies]]*smithy_bonus,smithy_bonus_cap) + tech_3_5*TblTech[[#This Row],[3-5]] + tech_5_3*TblTech[[#This Row],[5-3]] + tech_5_5*TblTech[[#This Row],[5-5]]))*elite2_ore,0)</f>
        <v>100</v>
      </c>
      <c r="BR76" s="430">
        <f ca="1">ROUNDUP((1-MIN(ROUND(fh_spy_cost_red*TblMili[[#This Row],[FH''s]],4),fh_spy_cost_cap)+ tech_1_9*TblTech[[#This Row],[1-9]] + tech_9_1*TblTech[[#This Row],[9-1]])*spy_plat,0)</f>
        <v>500</v>
      </c>
      <c r="BS76" s="430">
        <f ca="1">ROUNDUP((1-MIN(ROUND(fh_spy_cost_red*TblMili[[#This Row],[FH''s]],4),fh_spy_cost_cap)+ tech_1_9*TblTech[[#This Row],[1-9]] + tech_9_1*TblTech[[#This Row],[9-1]])*archspy_plat,0)</f>
        <v>1000</v>
      </c>
      <c r="BT76" s="430">
        <f ca="1">ROUNDUP((1-MIN(ROUND(wg_wiz_cost_bonus*TblMili[[#This Row],[WG''s]],4),wg_wiz_cost_cap) + tech_1_9_2*TblTech[[#This Row],[1-9]] + tech_9_1_2*TblTech[[#This Row],[9-1]])*wizard_plat,0)</f>
        <v>500</v>
      </c>
      <c r="BU76" s="430">
        <f ca="1">ROUNDUP((1-MIN(ROUND(wg_wiz_cost_bonus*TblMili[[#This Row],[WG''s]],4),wg_wiz_cost_cap) + tech_1_9_2*TblTech[[#This Row],[1-9]] + tech_9_1_2*TblTech[[#This Row],[9-1]])*(archmage_plat + IF(TblMagic[[#This Row],[Active Arc Infusion]]&gt;0,400,0)),0)</f>
        <v>1000</v>
      </c>
      <c r="BV76" s="142"/>
      <c r="BW76" s="442">
        <f ca="1">TblConstr[[#This Row],[Homeland]]/TblConstr[[#This Row],[Land]]</f>
        <v>0.6</v>
      </c>
      <c r="BX76" s="442">
        <f ca="1">TblMili[[#This Row],[WG''s]]</f>
        <v>0</v>
      </c>
      <c r="BY76" s="447">
        <f ca="1">IF(mystic_cap="none",TblMili[[#This Row],[Homeland%]]/mystic_bonus,MIN(mystic_cap,TblMili[[#This Row],[Homeland%]]/mystic_bonus))</f>
        <v>2</v>
      </c>
      <c r="BZ76" s="447">
        <f ca="1">IF(druid_op_cap="none",TblMili[[#This Row],[Homeland%]]/druid_op_bonus,MIN(druid_op_cap,TblMili[[#This Row],[Homeland%]]/druid_op_bonus))</f>
        <v>2</v>
      </c>
      <c r="CA76" s="447">
        <f ca="1">IF(druid_dp_cap="none",TblMili[[#This Row],[Homeland%]]/druid_dp_bonus,MIN(druid_dp_cap,TblMili[[#This Row],[Homeland%]]/druid_dp_bonus))</f>
        <v>2</v>
      </c>
      <c r="CB76" s="447">
        <f ca="1">MIN(dryad_cap,TblMili[[#This Row],[Homeland%]]/dryad_bonus)</f>
        <v>2.9999999999999996</v>
      </c>
      <c r="CC76" s="447">
        <f ca="1">MIN(rocka_cap,TblMili[[#This Row],[Homeland%]]/rocka_bonus)</f>
        <v>2</v>
      </c>
      <c r="CD76" s="447">
        <f ca="1">MIN(adept_op_cap,TblMili[[#This Row],[WG]]/adept_op_bonus)</f>
        <v>0</v>
      </c>
      <c r="CE76" s="447">
        <f ca="1">MIN(adept_dp_cap,TblMili[[#This Row],[WG]]/adept_dp_bonus)</f>
        <v>0</v>
      </c>
      <c r="CF76" s="430">
        <f ca="1">MIN(TblMili[[#This Row],[Unit 3]],TblMili[[#This Row],[Unit 2]])*2</f>
        <v>0</v>
      </c>
      <c r="CG76" s="430">
        <f ca="1">MIN(TblMili[[#This Row],[Unit 1]],TblMili[[#This Row],[Unit 4]])*2</f>
        <v>0</v>
      </c>
      <c r="CH76" s="447">
        <f ca="1">MIN(frost_mage_cap,TblMili[[#This Row],[Homeland%]]/frost_mage_bonus)</f>
        <v>2.9999999999999996</v>
      </c>
      <c r="CI76" s="433">
        <f ca="1">MIN(ice_elem_cap,TblMili[[#This Row],[Raw (2)]]*ice_elem_bonus)</f>
        <v>0</v>
      </c>
      <c r="CJ76" s="447">
        <f t="shared" si="3"/>
        <v>0.83333333333333337</v>
      </c>
      <c r="CK76" s="447">
        <f ca="1">MIN(nox_nightshade_cap,TblConstr[[#This Row],[Homeland]]/TblConstr[[#This Row],[Land]]/nox_nightshade_swamp_bonus)</f>
        <v>4</v>
      </c>
      <c r="CL76" s="447">
        <f ca="1">MIN(TblConstr[[#This Row],[Total Swamp]]/TblConstr[[#This Row],[Land]]/abyss_enforce_bonus,abyss_enforcer_cap)</f>
        <v>0</v>
      </c>
      <c r="CM76" s="447">
        <f ca="1">IF(TblMagic[[#This Row],[Active Infernal Command]]&gt;0,TblMili[[#This Row],[Unit 1]]*infernal_cmd_op,0)</f>
        <v>0</v>
      </c>
      <c r="CN76" s="252"/>
      <c r="CO76" s="252"/>
      <c r="CP76" s="252"/>
      <c r="CQ76" s="447">
        <f ca="1">TblMili[[#This Row],[Mystic]]*2</f>
        <v>4</v>
      </c>
      <c r="CR76" s="447">
        <f ca="1">TblMili[[#This Row],[Druid (op)]]*2</f>
        <v>4</v>
      </c>
      <c r="CS76" s="430">
        <f ca="1">TblMili[[#This Row],[Mystic bonus]]*TblMili[[#This Row],[Unit 3]]+TblMili[[#This Row],[Druid bonus]]*TblMili[[#This Row],[Unit 4]]</f>
        <v>0</v>
      </c>
      <c r="CT76" s="448">
        <f ca="1">TblMili[[#This Row],[Dryad]]*2</f>
        <v>5.9999999999999991</v>
      </c>
      <c r="CU76" s="430">
        <f ca="1">sylvan*(TblMili[[#This Row],[Mystic bonus]]*TblMili[[#This Row],[Unit 3]])</f>
        <v>0</v>
      </c>
      <c r="CV76" s="448">
        <f ca="1">TblMili[[#This Row],[Rockapult]]*2</f>
        <v>4</v>
      </c>
      <c r="CW76" s="430">
        <f ca="1">gnome*(TblMili[[#This Row],[Rockapult bonus]]*TblMili[[#This Row],[Unit 3]])</f>
        <v>0</v>
      </c>
      <c r="CX76" s="448">
        <f ca="1">TblMili[[#This Row],[Adept-DP]]*2</f>
        <v>0</v>
      </c>
      <c r="CY76" s="430">
        <f ca="1">dark_elf*(TblMili[[#This Row],[Adept bonus]]*TblMili[[#This Row],[Unit 3]])</f>
        <v>0</v>
      </c>
      <c r="CZ76" s="448">
        <f ca="1">TblMili[[#This Row],[Frost Mage]]*2</f>
        <v>5.9999999999999991</v>
      </c>
      <c r="DA76" s="448">
        <f ca="1">TblMili[[#This Row],[Ice Elemental]]*2</f>
        <v>0</v>
      </c>
      <c r="DB76" s="430">
        <f ca="1">TblMili[[#This Row],[Frost Mage bonus]]*TblMili[[#This Row],[Unit 3]]+TblMili[[#This Row],[Ice Elemental bonus]]*TblMili[[#This Row],[Unit 4]]</f>
        <v>0</v>
      </c>
      <c r="DC76" s="253"/>
      <c r="DD76" s="143">
        <f ca="1">MIN(SUM(TblConstr[[#This Row],[Plain]:[Water]])/TblMili[[#This Row],[Land]]/favorable_terrain_bonus/100,favorable_terrain_max)</f>
        <v>0</v>
      </c>
      <c r="DE76" s="253"/>
      <c r="DF76" s="430">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6" s="142"/>
      <c r="DH76" s="449">
        <f ca="1">(TblMili[[#This Row],[Wizards]]+2*TblMili[[#This Row],[Archmages]])/TblConstr[[#This Row],[Land]]</f>
        <v>0</v>
      </c>
      <c r="DI76" s="449">
        <f ca="1">TblMili[[#This Row],[Raw (2)]]*(1+race_wizard_strength+IF(TblMili[[#This Row],[Hour]]&gt;72,tech_magical_weaponry_wiz*TblTech[[#This Row],[3-5]],0))</f>
        <v>0</v>
      </c>
    </row>
    <row r="77" spans="1:113" x14ac:dyDescent="0.2">
      <c r="A77" s="137">
        <f>TblRezone[[#This Row],[Hour]]</f>
        <v>74</v>
      </c>
      <c r="B77" s="246">
        <f ca="1">SUM(TblMili[[#This Row],[Unit 1]:[Archmages]])+SUM(OFFSET(TblMili[[#This Row],[Train Unit 1]],-8,0):TblMili[[#This Row],[Train Unit 2]]) + SUM(OFFSET(TblMili[[#This Row],[Train Unit 3]],-11,0):TblMili[[#This Row],[Train AM]]) + TblMili[[#This Row],[Draftees]]</f>
        <v>542</v>
      </c>
      <c r="C77" s="157">
        <f ca="1">TblPop[[#This Row],[Military%]]</f>
        <v>0.70481144343302993</v>
      </c>
      <c r="D77" s="142"/>
      <c r="E77" s="45">
        <f ca="1">OFFSET(TblMili[[#This Row],[Unit 1]],-1,0) + OFFSET(TblMili[[#This Row],[Train Unit 1]],-9,0) - TblMili[[#This Row],[Release Unit 1]] + OFFSET(TblMili[[#This Row],[DnD_Zombies]],-12,0)</f>
        <v>0</v>
      </c>
      <c r="F77" s="45">
        <f ca="1">OFFSET(TblMili[[#This Row],[Unit 2]],-1,0) + OFFSET(TblMili[[#This Row],[Train Unit 2]],-9,0)-TblMili[[#This Row],[Release Unit 2]]</f>
        <v>0</v>
      </c>
      <c r="G77" s="45">
        <f ca="1">OFFSET(TblMili[[#This Row],[Unit 3]],-1,0) + OFFSET(TblMili[[#This Row],[Train Unit 3]],-12,0)-TblMili[[#This Row],[Release Unit 3]]</f>
        <v>0</v>
      </c>
      <c r="H77" s="45">
        <f ca="1">OFFSET(TblMili[[#This Row],[Unit 4]],-1,0) + OFFSET(TblMili[[#This Row],[Train Unit 4]],-12,0)-TblMili[[#This Row],[Release Unit 4]]</f>
        <v>0</v>
      </c>
      <c r="I77" s="45">
        <f ca="1">OFFSET(TblMili[[#This Row],[Spies]],-1,0) + OFFSET(TblMili[[#This Row],[Train Spies]],-12,0) - TblMili[[#This Row],[Release Spies]]-TblMili[[#This Row],[Train AS]]</f>
        <v>0</v>
      </c>
      <c r="J77" s="45">
        <f ca="1">OFFSET(TblMili[[#This Row],[Archspies]],-1,0) + OFFSET(TblMili[[#This Row],[Train AS]],-12,0) - TblMili[[#This Row],[Release AS]]</f>
        <v>0</v>
      </c>
      <c r="K77" s="45">
        <f ca="1">OFFSET(TblMili[[#This Row],[Wizards]],-1,0) + OFFSET(TblMili[[#This Row],[Train Wiz]],-12,0) - TblMili[[#This Row],[Release Wizards]]-TblMili[[#This Row],[Train AM]] + IF(TblMagic[[#This Row],[Active Arc Infusion]]&gt;0,TblMili[[#This Row],[Train AM]])</f>
        <v>0</v>
      </c>
      <c r="L77" s="45">
        <f ca="1">OFFSET(TblMili[[#This Row],[Archmages]],-1,0) + OFFSET(TblMili[[#This Row],[Train AM]],-12,0) - TblMili[[#This Row],[Release AM]]</f>
        <v>0</v>
      </c>
      <c r="M77" s="142"/>
      <c r="N77" s="94">
        <f ca="1">TblProd[[#This Row],[Networth]]</f>
        <v>1250</v>
      </c>
      <c r="O77" s="142"/>
      <c r="P77"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7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7" s="247">
        <f ca="1">TblMili[[#This Row],[Raw]]*(1+TblMili[[#This Row],[Mods_Off]])</f>
        <v>0</v>
      </c>
      <c r="S77"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77" s="247">
        <f ca="1">TblMili[[#This Row],[Non Draft]]+TblMili[[#This Row],[Draftees]]</f>
        <v>542</v>
      </c>
      <c r="U77" s="248">
        <f ca="1">race_defense + TblImps[[#This Row],[Walls]] + ROUND( MIN(gt_bonus*TblConstr[[#This Row],[Tot GT]]/TblConstr[[#This Row],[Land]],gt_bonus_cap), 4) + IF(TblMagic[[#This Row],[Active Howling]]&gt;0,howling_dp_bonus,IF(TblMagic[[#This Row],[Active Ares Call]]&gt;0,ares_call_bonus))</f>
        <v>0</v>
      </c>
      <c r="V77" s="249">
        <f ca="1">TblMili[[#This Row],[Non Draft]] * (1 + TblMili[[#This Row],[Mods_Def]])</f>
        <v>0</v>
      </c>
      <c r="W77" s="247">
        <f ca="1">TblMili[[#This Row],[Draft]] * (1 + TblMili[[#This Row],[Mods_Def]])</f>
        <v>542</v>
      </c>
      <c r="X77" s="247">
        <f ca="1">TblConstr[[#This Row],[Land]]</f>
        <v>50</v>
      </c>
      <c r="Y77" s="250"/>
      <c r="Z77" s="255">
        <f ca="1">IF(TblMili[[#This Row],[Set]]&lt;&gt;"",TblMili[[#This Row],[Set]],OFFSET(TblMili[[#This Row],[Draftrate]],-1,0))</f>
        <v>0.9</v>
      </c>
      <c r="AA77"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542</v>
      </c>
      <c r="AB77" s="154"/>
      <c r="AC77" s="180">
        <f ca="1">(TblConstr[[#This Row],[Tot Smi]]+TblConstr[[#This Row],[Dest Smi]])/(TblConstr[[#This Row],[Land]]-TblExplore[[#This Row],[Land Bonus]]*20)</f>
        <v>0</v>
      </c>
      <c r="AD77" s="137"/>
      <c r="AE77" s="246">
        <f>TblMili[[#This Row],[Hour]]</f>
        <v>74</v>
      </c>
      <c r="AF77" s="138">
        <f ca="1">TblExplore[[#This Row],[Time]]</f>
        <v>46323.04166666649</v>
      </c>
      <c r="AG77" s="179"/>
      <c r="AH77" s="158"/>
      <c r="AI77" s="179"/>
      <c r="AJ77" s="179"/>
      <c r="AK77" s="179"/>
      <c r="AL77" s="179"/>
      <c r="AM77" s="179"/>
      <c r="AN77" s="179"/>
      <c r="AO77" s="420">
        <f ca="1">ROUND(IF(AND(TblMagic[[#This Row],[Active DnD]]&lt;12,TblMagic[[#This Row],[Active DnD]]&gt;5),OFFSET(TblPop[[#This Row],[Draft Growth]],-1,0)*0.375,0),0)</f>
        <v>0</v>
      </c>
      <c r="AP77" s="142"/>
      <c r="AQ77" s="94">
        <f ca="1">TblProd[[#This Row],[Platinum]]</f>
        <v>185938</v>
      </c>
      <c r="AR77" s="94">
        <f ca="1">INDEX(TblProd[[#Headers],[Lumber]]:TblProd[[#This Row],[Ore]],COUNTA(TblProd[[#Headers],[Lumber]]:TblProd[[#This Row],[Lumber]]),MATCH(Military!$AR$2,TblProd[[#Headers],[Lumber]:[Ore]],0))</f>
        <v>0</v>
      </c>
      <c r="AS7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77" s="94">
        <f ca="1">TblMili[[#This Row],[Train Unit 1]]*TblMili[[#This Row],[OP Ore]]+TblMili[[#This Row],[Train Unit 2]]*TblMili[[#This Row],[DP Ore]]+TblMili[[#This Row],[Train Unit 3]]*TblMili[[#This Row],[E1 Ore]]+TblMili[[#This Row],[Train Unit 4]]*TblMili[[#This Row],[E2 Ore]]</f>
        <v>0</v>
      </c>
      <c r="AU77" s="142">
        <f>TblMili[[#This Row],[Hour]]</f>
        <v>74</v>
      </c>
      <c r="AV77" s="152">
        <f ca="1">TblMili[[#This Row],[Time]]</f>
        <v>46323.04166666649</v>
      </c>
      <c r="AW77" s="94">
        <f ca="1">TblMili[[#This Row],[Draftees]]</f>
        <v>542</v>
      </c>
      <c r="AX77" s="158"/>
      <c r="AY77" s="179"/>
      <c r="AZ77" s="179"/>
      <c r="BA77" s="179"/>
      <c r="BB77" s="179"/>
      <c r="BC77" s="179"/>
      <c r="BD77" s="179"/>
      <c r="BE77" s="179"/>
      <c r="BF77" s="179"/>
      <c r="BG77" s="142"/>
      <c r="BH77" s="157">
        <f ca="1">TblConstr[[#This Row],[Tot WG]]/TblConstr[[#This Row],[Land]]</f>
        <v>0</v>
      </c>
      <c r="BI77" s="157">
        <f ca="1">TblConstr[[#This Row],[Tot Hav]]/TblConstr[[#This Row],[Land]]</f>
        <v>0</v>
      </c>
      <c r="BJ77" s="94">
        <f ca="1">ROUNDUP((1-MIN(TblMili[[#This Row],[Smithies]]*smithy_bonus,smithy_bonus_cap) + tech_3_5*TblTech[[#This Row],[3-5]] + tech_5_3*TblTech[[#This Row],[5-3]] + tech_5_5*TblTech[[#This Row],[5-5]])*spec_op_plat,0)</f>
        <v>315</v>
      </c>
      <c r="BK77" s="94">
        <f ca="1">ROUNDUP(IF(race="Gnome",1,(1-MIN(TblMili[[#This Row],[Smithies]]*smithy_bonus,smithy_bonus_cap) + tech_3_5*TblTech[[#This Row],[3-5]] + tech_5_3*TblTech[[#This Row],[5-3]] + tech_5_5*TblTech[[#This Row],[5-5]]))*spec_op_ore,0)</f>
        <v>25</v>
      </c>
      <c r="BL77" s="94">
        <f ca="1">ROUNDUP((1-MIN(TblMili[[#This Row],[Smithies]]*smithy_bonus,smithy_bonus_cap) + tech_3_5*TblTech[[#This Row],[3-5]] + tech_5_3*TblTech[[#This Row],[5-3]] + tech_5_5*TblTech[[#This Row],[5-5]])*spec_dp_plat,0)</f>
        <v>275</v>
      </c>
      <c r="BM77" s="94">
        <f ca="1">ROUNDUP(IF(race="Gnome",1,(1-MIN(TblMili[[#This Row],[Smithies]]*smithy_bonus,smithy_bonus_cap) + tech_3_5*TblTech[[#This Row],[3-5]] + tech_5_3*TblTech[[#This Row],[5-3]] + tech_5_5*TblTech[[#This Row],[5-5]]))*spec_dp_ore,0)</f>
        <v>15</v>
      </c>
      <c r="BN77" s="94">
        <f ca="1">ROUNDUP((1-MIN(TblMili[[#This Row],[Smithies]]*smithy_bonus,smithy_bonus_cap) + tech_3_5*TblTech[[#This Row],[3-5]] + tech_5_3*TblTech[[#This Row],[5-3]] + tech_5_5*TblTech[[#This Row],[5-5]])*elite1_plat,0)</f>
        <v>1040</v>
      </c>
      <c r="BO77" s="94">
        <f ca="1">ROUNDUP(IF(race="Gnome",1,(1-MIN(TblMili[[#This Row],[Smithies]]*smithy_bonus,smithy_bonus_cap) + tech_3_5*TblTech[[#This Row],[3-5]] + tech_5_3*TblTech[[#This Row],[5-3]] + tech_5_5*TblTech[[#This Row],[5-5]]))*elite1_ore,0)</f>
        <v>75</v>
      </c>
      <c r="BP77" s="94">
        <f ca="1">ROUNDUP((1-MIN(TblMili[[#This Row],[Smithies]]*smithy_bonus,smithy_bonus_cap) + tech_3_5*TblTech[[#This Row],[3-5]] + tech_5_3*TblTech[[#This Row],[5-3]] + tech_5_5*TblTech[[#This Row],[5-5]])*elite2_plat,0)</f>
        <v>1280</v>
      </c>
      <c r="BQ77" s="94">
        <f ca="1">ROUNDUP(IF(race="Gnome",1,(1-MIN(TblMili[[#This Row],[Smithies]]*smithy_bonus,smithy_bonus_cap) + tech_3_5*TblTech[[#This Row],[3-5]] + tech_5_3*TblTech[[#This Row],[5-3]] + tech_5_5*TblTech[[#This Row],[5-5]]))*elite2_ore,0)</f>
        <v>100</v>
      </c>
      <c r="BR77" s="94">
        <f ca="1">ROUNDUP((1-MIN(ROUND(fh_spy_cost_red*TblMili[[#This Row],[FH''s]],4),fh_spy_cost_cap)+ tech_1_9*TblTech[[#This Row],[1-9]] + tech_9_1*TblTech[[#This Row],[9-1]])*spy_plat,0)</f>
        <v>500</v>
      </c>
      <c r="BS77" s="94">
        <f ca="1">ROUNDUP((1-MIN(ROUND(fh_spy_cost_red*TblMili[[#This Row],[FH''s]],4),fh_spy_cost_cap)+ tech_1_9*TblTech[[#This Row],[1-9]] + tech_9_1*TblTech[[#This Row],[9-1]])*archspy_plat,0)</f>
        <v>1000</v>
      </c>
      <c r="BT77" s="94">
        <f ca="1">ROUNDUP((1-MIN(ROUND(wg_wiz_cost_bonus*TblMili[[#This Row],[WG''s]],4),wg_wiz_cost_cap) + tech_1_9_2*TblTech[[#This Row],[1-9]] + tech_9_1_2*TblTech[[#This Row],[9-1]])*wizard_plat,0)</f>
        <v>500</v>
      </c>
      <c r="BU77" s="94">
        <f ca="1">ROUNDUP((1-MIN(ROUND(wg_wiz_cost_bonus*TblMili[[#This Row],[WG''s]],4),wg_wiz_cost_cap) + tech_1_9_2*TblTech[[#This Row],[1-9]] + tech_9_1_2*TblTech[[#This Row],[9-1]])*(archmage_plat + IF(TblMagic[[#This Row],[Active Arc Infusion]]&gt;0,400,0)),0)</f>
        <v>1000</v>
      </c>
      <c r="BV77" s="142"/>
      <c r="BW77" s="157">
        <f ca="1">TblConstr[[#This Row],[Homeland]]/TblConstr[[#This Row],[Land]]</f>
        <v>0.6</v>
      </c>
      <c r="BX77" s="157">
        <f ca="1">TblMili[[#This Row],[WG''s]]</f>
        <v>0</v>
      </c>
      <c r="BY77" s="251">
        <f ca="1">IF(mystic_cap="none",TblMili[[#This Row],[Homeland%]]/mystic_bonus,MIN(mystic_cap,TblMili[[#This Row],[Homeland%]]/mystic_bonus))</f>
        <v>2</v>
      </c>
      <c r="BZ77" s="251">
        <f ca="1">IF(druid_op_cap="none",TblMili[[#This Row],[Homeland%]]/druid_op_bonus,MIN(druid_op_cap,TblMili[[#This Row],[Homeland%]]/druid_op_bonus))</f>
        <v>2</v>
      </c>
      <c r="CA77" s="251">
        <f ca="1">IF(druid_dp_cap="none",TblMili[[#This Row],[Homeland%]]/druid_dp_bonus,MIN(druid_dp_cap,TblMili[[#This Row],[Homeland%]]/druid_dp_bonus))</f>
        <v>2</v>
      </c>
      <c r="CB77" s="251">
        <f ca="1">MIN(dryad_cap,TblMili[[#This Row],[Homeland%]]/dryad_bonus)</f>
        <v>2.9999999999999996</v>
      </c>
      <c r="CC77" s="251">
        <f ca="1">MIN(rocka_cap,TblMili[[#This Row],[Homeland%]]/rocka_bonus)</f>
        <v>2</v>
      </c>
      <c r="CD77" s="251">
        <f ca="1">MIN(adept_op_cap,TblMili[[#This Row],[WG]]/adept_op_bonus)</f>
        <v>0</v>
      </c>
      <c r="CE77" s="251">
        <f ca="1">MIN(adept_dp_cap,TblMili[[#This Row],[WG]]/adept_dp_bonus)</f>
        <v>0</v>
      </c>
      <c r="CF77" s="94">
        <f ca="1">MIN(TblMili[[#This Row],[Unit 3]],TblMili[[#This Row],[Unit 2]])*2</f>
        <v>0</v>
      </c>
      <c r="CG77" s="94">
        <f ca="1">MIN(TblMili[[#This Row],[Unit 1]],TblMili[[#This Row],[Unit 4]])*2</f>
        <v>0</v>
      </c>
      <c r="CH77" s="251">
        <f ca="1">MIN(frost_mage_cap,TblMili[[#This Row],[Homeland%]]/frost_mage_bonus)</f>
        <v>2.9999999999999996</v>
      </c>
      <c r="CI77" s="45">
        <f ca="1">MIN(ice_elem_cap,TblMili[[#This Row],[Raw (2)]]*ice_elem_bonus)</f>
        <v>0</v>
      </c>
      <c r="CJ77" s="251">
        <f t="shared" si="3"/>
        <v>0.83333333333333337</v>
      </c>
      <c r="CK77" s="251">
        <f ca="1">MIN(nox_nightshade_cap,TblConstr[[#This Row],[Homeland]]/TblConstr[[#This Row],[Land]]/nox_nightshade_swamp_bonus)</f>
        <v>4</v>
      </c>
      <c r="CL77" s="251">
        <f ca="1">MIN(TblConstr[[#This Row],[Total Swamp]]/TblConstr[[#This Row],[Land]]/abyss_enforce_bonus,abyss_enforcer_cap)</f>
        <v>0</v>
      </c>
      <c r="CM77" s="251">
        <f ca="1">IF(TblMagic[[#This Row],[Active Infernal Command]]&gt;0,TblMili[[#This Row],[Unit 1]]*infernal_cmd_op,0)</f>
        <v>0</v>
      </c>
      <c r="CN77" s="252"/>
      <c r="CO77" s="252"/>
      <c r="CP77" s="252"/>
      <c r="CQ77" s="251">
        <f ca="1">TblMili[[#This Row],[Mystic]]*2</f>
        <v>4</v>
      </c>
      <c r="CR77" s="251">
        <f ca="1">TblMili[[#This Row],[Druid (op)]]*2</f>
        <v>4</v>
      </c>
      <c r="CS77" s="94">
        <f ca="1">TblMili[[#This Row],[Mystic bonus]]*TblMili[[#This Row],[Unit 3]]+TblMili[[#This Row],[Druid bonus]]*TblMili[[#This Row],[Unit 4]]</f>
        <v>0</v>
      </c>
      <c r="CT77" s="155">
        <f ca="1">TblMili[[#This Row],[Dryad]]*2</f>
        <v>5.9999999999999991</v>
      </c>
      <c r="CU77" s="94">
        <f ca="1">sylvan*(TblMili[[#This Row],[Mystic bonus]]*TblMili[[#This Row],[Unit 3]])</f>
        <v>0</v>
      </c>
      <c r="CV77" s="155">
        <f ca="1">TblMili[[#This Row],[Rockapult]]*2</f>
        <v>4</v>
      </c>
      <c r="CW77" s="94">
        <f ca="1">gnome*(TblMili[[#This Row],[Rockapult bonus]]*TblMili[[#This Row],[Unit 3]])</f>
        <v>0</v>
      </c>
      <c r="CX77" s="155">
        <f ca="1">TblMili[[#This Row],[Adept-DP]]*2</f>
        <v>0</v>
      </c>
      <c r="CY77" s="94">
        <f ca="1">dark_elf*(TblMili[[#This Row],[Adept bonus]]*TblMili[[#This Row],[Unit 3]])</f>
        <v>0</v>
      </c>
      <c r="CZ77" s="155">
        <f ca="1">TblMili[[#This Row],[Frost Mage]]*2</f>
        <v>5.9999999999999991</v>
      </c>
      <c r="DA77" s="155">
        <f ca="1">TblMili[[#This Row],[Ice Elemental]]*2</f>
        <v>0</v>
      </c>
      <c r="DB77" s="94">
        <f ca="1">TblMili[[#This Row],[Frost Mage bonus]]*TblMili[[#This Row],[Unit 3]]+TblMili[[#This Row],[Ice Elemental bonus]]*TblMili[[#This Row],[Unit 4]]</f>
        <v>0</v>
      </c>
      <c r="DC77" s="253"/>
      <c r="DD77" s="143">
        <f ca="1">MIN(SUM(TblConstr[[#This Row],[Plain]:[Water]])/TblMili[[#This Row],[Land]]/favorable_terrain_bonus/100,favorable_terrain_max)</f>
        <v>0</v>
      </c>
      <c r="DE77" s="253"/>
      <c r="DF7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7" s="142"/>
      <c r="DH77" s="254">
        <f ca="1">(TblMili[[#This Row],[Wizards]]+2*TblMili[[#This Row],[Archmages]])/TblConstr[[#This Row],[Land]]</f>
        <v>0</v>
      </c>
      <c r="DI77" s="254">
        <f ca="1">TblMili[[#This Row],[Raw (2)]]*(1+race_wizard_strength+IF(TblMili[[#This Row],[Hour]]&gt;72,tech_magical_weaponry_wiz*TblTech[[#This Row],[3-5]],0))</f>
        <v>0</v>
      </c>
    </row>
    <row r="78" spans="1:113" x14ac:dyDescent="0.2">
      <c r="A78" s="137">
        <f>TblRezone[[#This Row],[Hour]]</f>
        <v>75</v>
      </c>
      <c r="B78" s="246">
        <f ca="1">SUM(TblMili[[#This Row],[Unit 1]:[Archmages]])+SUM(OFFSET(TblMili[[#This Row],[Train Unit 1]],-8,0):TblMili[[#This Row],[Train Unit 2]]) + SUM(OFFSET(TblMili[[#This Row],[Train Unit 3]],-11,0):TblMili[[#This Row],[Train AM]]) + TblMili[[#This Row],[Draftees]]</f>
        <v>544</v>
      </c>
      <c r="C78" s="157">
        <f ca="1">TblPop[[#This Row],[Military%]]</f>
        <v>0.7074122236671001</v>
      </c>
      <c r="D78" s="142"/>
      <c r="E78" s="45">
        <f ca="1">OFFSET(TblMili[[#This Row],[Unit 1]],-1,0) + OFFSET(TblMili[[#This Row],[Train Unit 1]],-9,0) - TblMili[[#This Row],[Release Unit 1]] + OFFSET(TblMili[[#This Row],[DnD_Zombies]],-12,0)</f>
        <v>0</v>
      </c>
      <c r="F78" s="45">
        <f ca="1">OFFSET(TblMili[[#This Row],[Unit 2]],-1,0) + OFFSET(TblMili[[#This Row],[Train Unit 2]],-9,0)-TblMili[[#This Row],[Release Unit 2]]</f>
        <v>0</v>
      </c>
      <c r="G78" s="45">
        <f ca="1">OFFSET(TblMili[[#This Row],[Unit 3]],-1,0) + OFFSET(TblMili[[#This Row],[Train Unit 3]],-12,0)-TblMili[[#This Row],[Release Unit 3]]</f>
        <v>0</v>
      </c>
      <c r="H78" s="45">
        <f ca="1">OFFSET(TblMili[[#This Row],[Unit 4]],-1,0) + OFFSET(TblMili[[#This Row],[Train Unit 4]],-12,0)-TblMili[[#This Row],[Release Unit 4]]</f>
        <v>0</v>
      </c>
      <c r="I78" s="45">
        <f ca="1">OFFSET(TblMili[[#This Row],[Spies]],-1,0) + OFFSET(TblMili[[#This Row],[Train Spies]],-12,0) - TblMili[[#This Row],[Release Spies]]-TblMili[[#This Row],[Train AS]]</f>
        <v>0</v>
      </c>
      <c r="J78" s="45">
        <f ca="1">OFFSET(TblMili[[#This Row],[Archspies]],-1,0) + OFFSET(TblMili[[#This Row],[Train AS]],-12,0) - TblMili[[#This Row],[Release AS]]</f>
        <v>0</v>
      </c>
      <c r="K78" s="45">
        <f ca="1">OFFSET(TblMili[[#This Row],[Wizards]],-1,0) + OFFSET(TblMili[[#This Row],[Train Wiz]],-12,0) - TblMili[[#This Row],[Release Wizards]]-TblMili[[#This Row],[Train AM]] + IF(TblMagic[[#This Row],[Active Arc Infusion]]&gt;0,TblMili[[#This Row],[Train AM]])</f>
        <v>0</v>
      </c>
      <c r="L78" s="45">
        <f ca="1">OFFSET(TblMili[[#This Row],[Archmages]],-1,0) + OFFSET(TblMili[[#This Row],[Train AM]],-12,0) - TblMili[[#This Row],[Release AM]]</f>
        <v>0</v>
      </c>
      <c r="M78" s="142"/>
      <c r="N78" s="94">
        <f ca="1">TblProd[[#This Row],[Networth]]</f>
        <v>1250</v>
      </c>
      <c r="O78" s="142"/>
      <c r="P78"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7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8" s="247">
        <f ca="1">TblMili[[#This Row],[Raw]]*(1+TblMili[[#This Row],[Mods_Off]])</f>
        <v>0</v>
      </c>
      <c r="S78"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78" s="247">
        <f ca="1">TblMili[[#This Row],[Non Draft]]+TblMili[[#This Row],[Draftees]]</f>
        <v>544</v>
      </c>
      <c r="U78" s="248">
        <f ca="1">race_defense + TblImps[[#This Row],[Walls]] + ROUND( MIN(gt_bonus*TblConstr[[#This Row],[Tot GT]]/TblConstr[[#This Row],[Land]],gt_bonus_cap), 4) + IF(TblMagic[[#This Row],[Active Howling]]&gt;0,howling_dp_bonus,IF(TblMagic[[#This Row],[Active Ares Call]]&gt;0,ares_call_bonus))</f>
        <v>0</v>
      </c>
      <c r="V78" s="249">
        <f ca="1">TblMili[[#This Row],[Non Draft]] * (1 + TblMili[[#This Row],[Mods_Def]])</f>
        <v>0</v>
      </c>
      <c r="W78" s="247">
        <f ca="1">TblMili[[#This Row],[Draft]] * (1 + TblMili[[#This Row],[Mods_Def]])</f>
        <v>544</v>
      </c>
      <c r="X78" s="247">
        <f ca="1">TblConstr[[#This Row],[Land]]</f>
        <v>50</v>
      </c>
      <c r="Y78" s="250"/>
      <c r="Z78" s="255">
        <f ca="1">IF(TblMili[[#This Row],[Set]]&lt;&gt;"",TblMili[[#This Row],[Set]],OFFSET(TblMili[[#This Row],[Draftrate]],-1,0))</f>
        <v>0.9</v>
      </c>
      <c r="AA78"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544</v>
      </c>
      <c r="AB78" s="154"/>
      <c r="AC78" s="180">
        <f ca="1">(TblConstr[[#This Row],[Tot Smi]]+TblConstr[[#This Row],[Dest Smi]])/(TblConstr[[#This Row],[Land]]-TblExplore[[#This Row],[Land Bonus]]*20)</f>
        <v>0</v>
      </c>
      <c r="AD78" s="137"/>
      <c r="AE78" s="246">
        <f>TblMili[[#This Row],[Hour]]</f>
        <v>75</v>
      </c>
      <c r="AF78" s="138">
        <f ca="1">TblExplore[[#This Row],[Time]]</f>
        <v>46323.083333333154</v>
      </c>
      <c r="AG78" s="179"/>
      <c r="AH78" s="158"/>
      <c r="AI78" s="179"/>
      <c r="AJ78" s="179"/>
      <c r="AK78" s="179"/>
      <c r="AL78" s="179"/>
      <c r="AM78" s="179"/>
      <c r="AN78" s="179"/>
      <c r="AO78" s="420">
        <f ca="1">ROUND(IF(AND(TblMagic[[#This Row],[Active DnD]]&lt;12,TblMagic[[#This Row],[Active DnD]]&gt;5),OFFSET(TblPop[[#This Row],[Draft Growth]],-1,0)*0.375,0),0)</f>
        <v>0</v>
      </c>
      <c r="AP78" s="142"/>
      <c r="AQ78" s="94">
        <f ca="1">TblProd[[#This Row],[Platinum]]</f>
        <v>186550</v>
      </c>
      <c r="AR78" s="94">
        <f ca="1">INDEX(TblProd[[#Headers],[Lumber]]:TblProd[[#This Row],[Ore]],COUNTA(TblProd[[#Headers],[Lumber]]:TblProd[[#This Row],[Lumber]]),MATCH(Military!$AR$2,TblProd[[#Headers],[Lumber]:[Ore]],0))</f>
        <v>0</v>
      </c>
      <c r="AS7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78" s="94">
        <f ca="1">TblMili[[#This Row],[Train Unit 1]]*TblMili[[#This Row],[OP Ore]]+TblMili[[#This Row],[Train Unit 2]]*TblMili[[#This Row],[DP Ore]]+TblMili[[#This Row],[Train Unit 3]]*TblMili[[#This Row],[E1 Ore]]+TblMili[[#This Row],[Train Unit 4]]*TblMili[[#This Row],[E2 Ore]]</f>
        <v>0</v>
      </c>
      <c r="AU78" s="142">
        <f>TblMili[[#This Row],[Hour]]</f>
        <v>75</v>
      </c>
      <c r="AV78" s="152">
        <f ca="1">TblMili[[#This Row],[Time]]</f>
        <v>46323.083333333154</v>
      </c>
      <c r="AW78" s="94">
        <f ca="1">TblMili[[#This Row],[Draftees]]</f>
        <v>544</v>
      </c>
      <c r="AX78" s="179"/>
      <c r="AY78" s="179"/>
      <c r="AZ78" s="179"/>
      <c r="BA78" s="179"/>
      <c r="BB78" s="179"/>
      <c r="BC78" s="179"/>
      <c r="BD78" s="179"/>
      <c r="BE78" s="179"/>
      <c r="BF78" s="179"/>
      <c r="BG78" s="142"/>
      <c r="BH78" s="157">
        <f ca="1">TblConstr[[#This Row],[Tot WG]]/TblConstr[[#This Row],[Land]]</f>
        <v>0</v>
      </c>
      <c r="BI78" s="157">
        <f ca="1">TblConstr[[#This Row],[Tot Hav]]/TblConstr[[#This Row],[Land]]</f>
        <v>0</v>
      </c>
      <c r="BJ78" s="94">
        <f ca="1">ROUNDUP((1-MIN(TblMili[[#This Row],[Smithies]]*smithy_bonus,smithy_bonus_cap) + tech_3_5*TblTech[[#This Row],[3-5]] + tech_5_3*TblTech[[#This Row],[5-3]] + tech_5_5*TblTech[[#This Row],[5-5]])*spec_op_plat,0)</f>
        <v>315</v>
      </c>
      <c r="BK78" s="94">
        <f ca="1">ROUNDUP(IF(race="Gnome",1,(1-MIN(TblMili[[#This Row],[Smithies]]*smithy_bonus,smithy_bonus_cap) + tech_3_5*TblTech[[#This Row],[3-5]] + tech_5_3*TblTech[[#This Row],[5-3]] + tech_5_5*TblTech[[#This Row],[5-5]]))*spec_op_ore,0)</f>
        <v>25</v>
      </c>
      <c r="BL78" s="94">
        <f ca="1">ROUNDUP((1-MIN(TblMili[[#This Row],[Smithies]]*smithy_bonus,smithy_bonus_cap) + tech_3_5*TblTech[[#This Row],[3-5]] + tech_5_3*TblTech[[#This Row],[5-3]] + tech_5_5*TblTech[[#This Row],[5-5]])*spec_dp_plat,0)</f>
        <v>275</v>
      </c>
      <c r="BM78" s="94">
        <f ca="1">ROUNDUP(IF(race="Gnome",1,(1-MIN(TblMili[[#This Row],[Smithies]]*smithy_bonus,smithy_bonus_cap) + tech_3_5*TblTech[[#This Row],[3-5]] + tech_5_3*TblTech[[#This Row],[5-3]] + tech_5_5*TblTech[[#This Row],[5-5]]))*spec_dp_ore,0)</f>
        <v>15</v>
      </c>
      <c r="BN78" s="94">
        <f ca="1">ROUNDUP((1-MIN(TblMili[[#This Row],[Smithies]]*smithy_bonus,smithy_bonus_cap) + tech_3_5*TblTech[[#This Row],[3-5]] + tech_5_3*TblTech[[#This Row],[5-3]] + tech_5_5*TblTech[[#This Row],[5-5]])*elite1_plat,0)</f>
        <v>1040</v>
      </c>
      <c r="BO78" s="94">
        <f ca="1">ROUNDUP(IF(race="Gnome",1,(1-MIN(TblMili[[#This Row],[Smithies]]*smithy_bonus,smithy_bonus_cap) + tech_3_5*TblTech[[#This Row],[3-5]] + tech_5_3*TblTech[[#This Row],[5-3]] + tech_5_5*TblTech[[#This Row],[5-5]]))*elite1_ore,0)</f>
        <v>75</v>
      </c>
      <c r="BP78" s="94">
        <f ca="1">ROUNDUP((1-MIN(TblMili[[#This Row],[Smithies]]*smithy_bonus,smithy_bonus_cap) + tech_3_5*TblTech[[#This Row],[3-5]] + tech_5_3*TblTech[[#This Row],[5-3]] + tech_5_5*TblTech[[#This Row],[5-5]])*elite2_plat,0)</f>
        <v>1280</v>
      </c>
      <c r="BQ78" s="94">
        <f ca="1">ROUNDUP(IF(race="Gnome",1,(1-MIN(TblMili[[#This Row],[Smithies]]*smithy_bonus,smithy_bonus_cap) + tech_3_5*TblTech[[#This Row],[3-5]] + tech_5_3*TblTech[[#This Row],[5-3]] + tech_5_5*TblTech[[#This Row],[5-5]]))*elite2_ore,0)</f>
        <v>100</v>
      </c>
      <c r="BR78" s="94">
        <f ca="1">ROUNDUP((1-MIN(ROUND(fh_spy_cost_red*TblMili[[#This Row],[FH''s]],4),fh_spy_cost_cap)+ tech_1_9*TblTech[[#This Row],[1-9]] + tech_9_1*TblTech[[#This Row],[9-1]])*spy_plat,0)</f>
        <v>500</v>
      </c>
      <c r="BS78" s="94">
        <f ca="1">ROUNDUP((1-MIN(ROUND(fh_spy_cost_red*TblMili[[#This Row],[FH''s]],4),fh_spy_cost_cap)+ tech_1_9*TblTech[[#This Row],[1-9]] + tech_9_1*TblTech[[#This Row],[9-1]])*archspy_plat,0)</f>
        <v>1000</v>
      </c>
      <c r="BT78" s="94">
        <f ca="1">ROUNDUP((1-MIN(ROUND(wg_wiz_cost_bonus*TblMili[[#This Row],[WG''s]],4),wg_wiz_cost_cap) + tech_1_9_2*TblTech[[#This Row],[1-9]] + tech_9_1_2*TblTech[[#This Row],[9-1]])*wizard_plat,0)</f>
        <v>500</v>
      </c>
      <c r="BU78" s="94">
        <f ca="1">ROUNDUP((1-MIN(ROUND(wg_wiz_cost_bonus*TblMili[[#This Row],[WG''s]],4),wg_wiz_cost_cap) + tech_1_9_2*TblTech[[#This Row],[1-9]] + tech_9_1_2*TblTech[[#This Row],[9-1]])*(archmage_plat + IF(TblMagic[[#This Row],[Active Arc Infusion]]&gt;0,400,0)),0)</f>
        <v>1000</v>
      </c>
      <c r="BV78" s="142"/>
      <c r="BW78" s="157">
        <f ca="1">TblConstr[[#This Row],[Homeland]]/TblConstr[[#This Row],[Land]]</f>
        <v>0.6</v>
      </c>
      <c r="BX78" s="157">
        <f ca="1">TblMili[[#This Row],[WG''s]]</f>
        <v>0</v>
      </c>
      <c r="BY78" s="251">
        <f ca="1">IF(mystic_cap="none",TblMili[[#This Row],[Homeland%]]/mystic_bonus,MIN(mystic_cap,TblMili[[#This Row],[Homeland%]]/mystic_bonus))</f>
        <v>2</v>
      </c>
      <c r="BZ78" s="251">
        <f ca="1">IF(druid_op_cap="none",TblMili[[#This Row],[Homeland%]]/druid_op_bonus,MIN(druid_op_cap,TblMili[[#This Row],[Homeland%]]/druid_op_bonus))</f>
        <v>2</v>
      </c>
      <c r="CA78" s="251">
        <f ca="1">IF(druid_dp_cap="none",TblMili[[#This Row],[Homeland%]]/druid_dp_bonus,MIN(druid_dp_cap,TblMili[[#This Row],[Homeland%]]/druid_dp_bonus))</f>
        <v>2</v>
      </c>
      <c r="CB78" s="251">
        <f ca="1">MIN(dryad_cap,TblMili[[#This Row],[Homeland%]]/dryad_bonus)</f>
        <v>2.9999999999999996</v>
      </c>
      <c r="CC78" s="251">
        <f ca="1">MIN(rocka_cap,TblMili[[#This Row],[Homeland%]]/rocka_bonus)</f>
        <v>2</v>
      </c>
      <c r="CD78" s="251">
        <f ca="1">MIN(adept_op_cap,TblMili[[#This Row],[WG]]/adept_op_bonus)</f>
        <v>0</v>
      </c>
      <c r="CE78" s="251">
        <f ca="1">MIN(adept_dp_cap,TblMili[[#This Row],[WG]]/adept_dp_bonus)</f>
        <v>0</v>
      </c>
      <c r="CF78" s="94">
        <f ca="1">MIN(TblMili[[#This Row],[Unit 3]],TblMili[[#This Row],[Unit 2]])*2</f>
        <v>0</v>
      </c>
      <c r="CG78" s="94">
        <f ca="1">MIN(TblMili[[#This Row],[Unit 1]],TblMili[[#This Row],[Unit 4]])*2</f>
        <v>0</v>
      </c>
      <c r="CH78" s="251">
        <f ca="1">MIN(frost_mage_cap,TblMili[[#This Row],[Homeland%]]/frost_mage_bonus)</f>
        <v>2.9999999999999996</v>
      </c>
      <c r="CI78" s="45">
        <f ca="1">MIN(ice_elem_cap,TblMili[[#This Row],[Raw (2)]]*ice_elem_bonus)</f>
        <v>0</v>
      </c>
      <c r="CJ78" s="251">
        <f t="shared" si="3"/>
        <v>0.83333333333333337</v>
      </c>
      <c r="CK78" s="251">
        <f ca="1">MIN(nox_nightshade_cap,TblConstr[[#This Row],[Homeland]]/TblConstr[[#This Row],[Land]]/nox_nightshade_swamp_bonus)</f>
        <v>4</v>
      </c>
      <c r="CL78" s="251">
        <f ca="1">MIN(TblConstr[[#This Row],[Total Swamp]]/TblConstr[[#This Row],[Land]]/abyss_enforce_bonus,abyss_enforcer_cap)</f>
        <v>0</v>
      </c>
      <c r="CM78" s="251">
        <f ca="1">IF(TblMagic[[#This Row],[Active Infernal Command]]&gt;0,TblMili[[#This Row],[Unit 1]]*infernal_cmd_op,0)</f>
        <v>0</v>
      </c>
      <c r="CN78" s="252"/>
      <c r="CO78" s="252"/>
      <c r="CP78" s="252"/>
      <c r="CQ78" s="251">
        <f ca="1">TblMili[[#This Row],[Mystic]]*2</f>
        <v>4</v>
      </c>
      <c r="CR78" s="251">
        <f ca="1">TblMili[[#This Row],[Druid (op)]]*2</f>
        <v>4</v>
      </c>
      <c r="CS78" s="94">
        <f ca="1">TblMili[[#This Row],[Mystic bonus]]*TblMili[[#This Row],[Unit 3]]+TblMili[[#This Row],[Druid bonus]]*TblMili[[#This Row],[Unit 4]]</f>
        <v>0</v>
      </c>
      <c r="CT78" s="155">
        <f ca="1">TblMili[[#This Row],[Dryad]]*2</f>
        <v>5.9999999999999991</v>
      </c>
      <c r="CU78" s="94">
        <f ca="1">sylvan*(TblMili[[#This Row],[Mystic bonus]]*TblMili[[#This Row],[Unit 3]])</f>
        <v>0</v>
      </c>
      <c r="CV78" s="155">
        <f ca="1">TblMili[[#This Row],[Rockapult]]*2</f>
        <v>4</v>
      </c>
      <c r="CW78" s="94">
        <f ca="1">gnome*(TblMili[[#This Row],[Rockapult bonus]]*TblMili[[#This Row],[Unit 3]])</f>
        <v>0</v>
      </c>
      <c r="CX78" s="155">
        <f ca="1">TblMili[[#This Row],[Adept-DP]]*2</f>
        <v>0</v>
      </c>
      <c r="CY78" s="94">
        <f ca="1">dark_elf*(TblMili[[#This Row],[Adept bonus]]*TblMili[[#This Row],[Unit 3]])</f>
        <v>0</v>
      </c>
      <c r="CZ78" s="155">
        <f ca="1">TblMili[[#This Row],[Frost Mage]]*2</f>
        <v>5.9999999999999991</v>
      </c>
      <c r="DA78" s="155">
        <f ca="1">TblMili[[#This Row],[Ice Elemental]]*2</f>
        <v>0</v>
      </c>
      <c r="DB78" s="94">
        <f ca="1">TblMili[[#This Row],[Frost Mage bonus]]*TblMili[[#This Row],[Unit 3]]+TblMili[[#This Row],[Ice Elemental bonus]]*TblMili[[#This Row],[Unit 4]]</f>
        <v>0</v>
      </c>
      <c r="DC78" s="253"/>
      <c r="DD78" s="143">
        <f ca="1">MIN(SUM(TblConstr[[#This Row],[Plain]:[Water]])/TblMili[[#This Row],[Land]]/favorable_terrain_bonus/100,favorable_terrain_max)</f>
        <v>0</v>
      </c>
      <c r="DE78" s="253"/>
      <c r="DF7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8" s="142"/>
      <c r="DH78" s="254">
        <f ca="1">(TblMili[[#This Row],[Wizards]]+2*TblMili[[#This Row],[Archmages]])/TblConstr[[#This Row],[Land]]</f>
        <v>0</v>
      </c>
      <c r="DI78" s="254">
        <f ca="1">TblMili[[#This Row],[Raw (2)]]*(1+race_wizard_strength+IF(TblMili[[#This Row],[Hour]]&gt;72,tech_magical_weaponry_wiz*TblTech[[#This Row],[3-5]],0))</f>
        <v>0</v>
      </c>
    </row>
    <row r="79" spans="1:113" x14ac:dyDescent="0.2">
      <c r="A79" s="137">
        <f>TblRezone[[#This Row],[Hour]]</f>
        <v>76</v>
      </c>
      <c r="B79" s="246">
        <f ca="1">SUM(TblMili[[#This Row],[Unit 1]:[Archmages]])+SUM(OFFSET(TblMili[[#This Row],[Train Unit 1]],-8,0):TblMili[[#This Row],[Train Unit 2]]) + SUM(OFFSET(TblMili[[#This Row],[Train Unit 3]],-11,0):TblMili[[#This Row],[Train AM]]) + TblMili[[#This Row],[Draftees]]</f>
        <v>546</v>
      </c>
      <c r="C79" s="157">
        <f ca="1">TblPop[[#This Row],[Military%]]</f>
        <v>0.71001300390117039</v>
      </c>
      <c r="D79" s="142"/>
      <c r="E79" s="45">
        <f ca="1">OFFSET(TblMili[[#This Row],[Unit 1]],-1,0) + OFFSET(TblMili[[#This Row],[Train Unit 1]],-9,0) - TblMili[[#This Row],[Release Unit 1]] + OFFSET(TblMili[[#This Row],[DnD_Zombies]],-12,0)</f>
        <v>0</v>
      </c>
      <c r="F79" s="45">
        <f ca="1">OFFSET(TblMili[[#This Row],[Unit 2]],-1,0) + OFFSET(TblMili[[#This Row],[Train Unit 2]],-9,0)-TblMili[[#This Row],[Release Unit 2]]</f>
        <v>0</v>
      </c>
      <c r="G79" s="45">
        <f ca="1">OFFSET(TblMili[[#This Row],[Unit 3]],-1,0) + OFFSET(TblMili[[#This Row],[Train Unit 3]],-12,0)-TblMili[[#This Row],[Release Unit 3]]</f>
        <v>0</v>
      </c>
      <c r="H79" s="45">
        <f ca="1">OFFSET(TblMili[[#This Row],[Unit 4]],-1,0) + OFFSET(TblMili[[#This Row],[Train Unit 4]],-12,0)-TblMili[[#This Row],[Release Unit 4]]</f>
        <v>0</v>
      </c>
      <c r="I79" s="45">
        <f ca="1">OFFSET(TblMili[[#This Row],[Spies]],-1,0) + OFFSET(TblMili[[#This Row],[Train Spies]],-12,0) - TblMili[[#This Row],[Release Spies]]-TblMili[[#This Row],[Train AS]]</f>
        <v>0</v>
      </c>
      <c r="J79" s="45">
        <f ca="1">OFFSET(TblMili[[#This Row],[Archspies]],-1,0) + OFFSET(TblMili[[#This Row],[Train AS]],-12,0) - TblMili[[#This Row],[Release AS]]</f>
        <v>0</v>
      </c>
      <c r="K79" s="45">
        <f ca="1">OFFSET(TblMili[[#This Row],[Wizards]],-1,0) + OFFSET(TblMili[[#This Row],[Train Wiz]],-12,0) - TblMili[[#This Row],[Release Wizards]]-TblMili[[#This Row],[Train AM]] + IF(TblMagic[[#This Row],[Active Arc Infusion]]&gt;0,TblMili[[#This Row],[Train AM]])</f>
        <v>0</v>
      </c>
      <c r="L79" s="45">
        <f ca="1">OFFSET(TblMili[[#This Row],[Archmages]],-1,0) + OFFSET(TblMili[[#This Row],[Train AM]],-12,0) - TblMili[[#This Row],[Release AM]]</f>
        <v>0</v>
      </c>
      <c r="M79" s="142"/>
      <c r="N79" s="94">
        <f ca="1">TblProd[[#This Row],[Networth]]</f>
        <v>1250</v>
      </c>
      <c r="O79" s="142"/>
      <c r="P79"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7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9" s="247">
        <f ca="1">TblMili[[#This Row],[Raw]]*(1+TblMili[[#This Row],[Mods_Off]])</f>
        <v>0</v>
      </c>
      <c r="S79"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79" s="247">
        <f ca="1">TblMili[[#This Row],[Non Draft]]+TblMili[[#This Row],[Draftees]]</f>
        <v>546</v>
      </c>
      <c r="U79" s="248">
        <f ca="1">race_defense + TblImps[[#This Row],[Walls]] + ROUND( MIN(gt_bonus*TblConstr[[#This Row],[Tot GT]]/TblConstr[[#This Row],[Land]],gt_bonus_cap), 4) + IF(TblMagic[[#This Row],[Active Howling]]&gt;0,howling_dp_bonus,IF(TblMagic[[#This Row],[Active Ares Call]]&gt;0,ares_call_bonus))</f>
        <v>0</v>
      </c>
      <c r="V79" s="249">
        <f ca="1">TblMili[[#This Row],[Non Draft]] * (1 + TblMili[[#This Row],[Mods_Def]])</f>
        <v>0</v>
      </c>
      <c r="W79" s="247">
        <f ca="1">TblMili[[#This Row],[Draft]] * (1 + TblMili[[#This Row],[Mods_Def]])</f>
        <v>546</v>
      </c>
      <c r="X79" s="247">
        <f ca="1">TblConstr[[#This Row],[Land]]</f>
        <v>50</v>
      </c>
      <c r="Y79" s="250"/>
      <c r="Z79" s="255">
        <f ca="1">IF(TblMili[[#This Row],[Set]]&lt;&gt;"",TblMili[[#This Row],[Set]],OFFSET(TblMili[[#This Row],[Draftrate]],-1,0))</f>
        <v>0.9</v>
      </c>
      <c r="AA79"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546</v>
      </c>
      <c r="AB79" s="154"/>
      <c r="AC79" s="180">
        <f ca="1">(TblConstr[[#This Row],[Tot Smi]]+TblConstr[[#This Row],[Dest Smi]])/(TblConstr[[#This Row],[Land]]-TblExplore[[#This Row],[Land Bonus]]*20)</f>
        <v>0</v>
      </c>
      <c r="AD79" s="137"/>
      <c r="AE79" s="246">
        <f>TblMili[[#This Row],[Hour]]</f>
        <v>76</v>
      </c>
      <c r="AF79" s="138">
        <f ca="1">TblExplore[[#This Row],[Time]]</f>
        <v>46323.124999999818</v>
      </c>
      <c r="AG79" s="179"/>
      <c r="AH79" s="179"/>
      <c r="AI79" s="179"/>
      <c r="AJ79" s="179"/>
      <c r="AK79" s="179"/>
      <c r="AL79" s="179"/>
      <c r="AM79" s="179"/>
      <c r="AN79" s="179"/>
      <c r="AO79" s="420">
        <f ca="1">ROUND(IF(AND(TblMagic[[#This Row],[Active DnD]]&lt;12,TblMagic[[#This Row],[Active DnD]]&gt;5),OFFSET(TblPop[[#This Row],[Draft Growth]],-1,0)*0.375,0),0)</f>
        <v>0</v>
      </c>
      <c r="AP79" s="142"/>
      <c r="AQ79" s="94">
        <f ca="1">TblProd[[#This Row],[Platinum]]</f>
        <v>187157</v>
      </c>
      <c r="AR79" s="94">
        <f ca="1">INDEX(TblProd[[#Headers],[Lumber]]:TblProd[[#This Row],[Ore]],COUNTA(TblProd[[#Headers],[Lumber]]:TblProd[[#This Row],[Lumber]]),MATCH(Military!$AR$2,TblProd[[#Headers],[Lumber]:[Ore]],0))</f>
        <v>0</v>
      </c>
      <c r="AS7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79" s="94">
        <f ca="1">TblMili[[#This Row],[Train Unit 1]]*TblMili[[#This Row],[OP Ore]]+TblMili[[#This Row],[Train Unit 2]]*TblMili[[#This Row],[DP Ore]]+TblMili[[#This Row],[Train Unit 3]]*TblMili[[#This Row],[E1 Ore]]+TblMili[[#This Row],[Train Unit 4]]*TblMili[[#This Row],[E2 Ore]]</f>
        <v>0</v>
      </c>
      <c r="AU79" s="142">
        <f>TblMili[[#This Row],[Hour]]</f>
        <v>76</v>
      </c>
      <c r="AV79" s="152">
        <f ca="1">TblMili[[#This Row],[Time]]</f>
        <v>46323.124999999818</v>
      </c>
      <c r="AW79" s="94">
        <f ca="1">TblMili[[#This Row],[Draftees]]</f>
        <v>546</v>
      </c>
      <c r="AX79" s="158"/>
      <c r="AY79" s="179"/>
      <c r="AZ79" s="179"/>
      <c r="BA79" s="179"/>
      <c r="BB79" s="179"/>
      <c r="BC79" s="179"/>
      <c r="BD79" s="179"/>
      <c r="BE79" s="179"/>
      <c r="BF79" s="179"/>
      <c r="BG79" s="142"/>
      <c r="BH79" s="157">
        <f ca="1">TblConstr[[#This Row],[Tot WG]]/TblConstr[[#This Row],[Land]]</f>
        <v>0</v>
      </c>
      <c r="BI79" s="157">
        <f ca="1">TblConstr[[#This Row],[Tot Hav]]/TblConstr[[#This Row],[Land]]</f>
        <v>0</v>
      </c>
      <c r="BJ79" s="94">
        <f ca="1">ROUNDUP((1-MIN(TblMili[[#This Row],[Smithies]]*smithy_bonus,smithy_bonus_cap) + tech_3_5*TblTech[[#This Row],[3-5]] + tech_5_3*TblTech[[#This Row],[5-3]] + tech_5_5*TblTech[[#This Row],[5-5]])*spec_op_plat,0)</f>
        <v>315</v>
      </c>
      <c r="BK79" s="94">
        <f ca="1">ROUNDUP(IF(race="Gnome",1,(1-MIN(TblMili[[#This Row],[Smithies]]*smithy_bonus,smithy_bonus_cap) + tech_3_5*TblTech[[#This Row],[3-5]] + tech_5_3*TblTech[[#This Row],[5-3]] + tech_5_5*TblTech[[#This Row],[5-5]]))*spec_op_ore,0)</f>
        <v>25</v>
      </c>
      <c r="BL79" s="94">
        <f ca="1">ROUNDUP((1-MIN(TblMili[[#This Row],[Smithies]]*smithy_bonus,smithy_bonus_cap) + tech_3_5*TblTech[[#This Row],[3-5]] + tech_5_3*TblTech[[#This Row],[5-3]] + tech_5_5*TblTech[[#This Row],[5-5]])*spec_dp_plat,0)</f>
        <v>275</v>
      </c>
      <c r="BM79" s="94">
        <f ca="1">ROUNDUP(IF(race="Gnome",1,(1-MIN(TblMili[[#This Row],[Smithies]]*smithy_bonus,smithy_bonus_cap) + tech_3_5*TblTech[[#This Row],[3-5]] + tech_5_3*TblTech[[#This Row],[5-3]] + tech_5_5*TblTech[[#This Row],[5-5]]))*spec_dp_ore,0)</f>
        <v>15</v>
      </c>
      <c r="BN79" s="94">
        <f ca="1">ROUNDUP((1-MIN(TblMili[[#This Row],[Smithies]]*smithy_bonus,smithy_bonus_cap) + tech_3_5*TblTech[[#This Row],[3-5]] + tech_5_3*TblTech[[#This Row],[5-3]] + tech_5_5*TblTech[[#This Row],[5-5]])*elite1_plat,0)</f>
        <v>1040</v>
      </c>
      <c r="BO79" s="94">
        <f ca="1">ROUNDUP(IF(race="Gnome",1,(1-MIN(TblMili[[#This Row],[Smithies]]*smithy_bonus,smithy_bonus_cap) + tech_3_5*TblTech[[#This Row],[3-5]] + tech_5_3*TblTech[[#This Row],[5-3]] + tech_5_5*TblTech[[#This Row],[5-5]]))*elite1_ore,0)</f>
        <v>75</v>
      </c>
      <c r="BP79" s="94">
        <f ca="1">ROUNDUP((1-MIN(TblMili[[#This Row],[Smithies]]*smithy_bonus,smithy_bonus_cap) + tech_3_5*TblTech[[#This Row],[3-5]] + tech_5_3*TblTech[[#This Row],[5-3]] + tech_5_5*TblTech[[#This Row],[5-5]])*elite2_plat,0)</f>
        <v>1280</v>
      </c>
      <c r="BQ79" s="94">
        <f ca="1">ROUNDUP(IF(race="Gnome",1,(1-MIN(TblMili[[#This Row],[Smithies]]*smithy_bonus,smithy_bonus_cap) + tech_3_5*TblTech[[#This Row],[3-5]] + tech_5_3*TblTech[[#This Row],[5-3]] + tech_5_5*TblTech[[#This Row],[5-5]]))*elite2_ore,0)</f>
        <v>100</v>
      </c>
      <c r="BR79" s="94">
        <f ca="1">ROUNDUP((1-MIN(ROUND(fh_spy_cost_red*TblMili[[#This Row],[FH''s]],4),fh_spy_cost_cap)+ tech_1_9*TblTech[[#This Row],[1-9]] + tech_9_1*TblTech[[#This Row],[9-1]])*spy_plat,0)</f>
        <v>500</v>
      </c>
      <c r="BS79" s="94">
        <f ca="1">ROUNDUP((1-MIN(ROUND(fh_spy_cost_red*TblMili[[#This Row],[FH''s]],4),fh_spy_cost_cap)+ tech_1_9*TblTech[[#This Row],[1-9]] + tech_9_1*TblTech[[#This Row],[9-1]])*archspy_plat,0)</f>
        <v>1000</v>
      </c>
      <c r="BT79" s="94">
        <f ca="1">ROUNDUP((1-MIN(ROUND(wg_wiz_cost_bonus*TblMili[[#This Row],[WG''s]],4),wg_wiz_cost_cap) + tech_1_9_2*TblTech[[#This Row],[1-9]] + tech_9_1_2*TblTech[[#This Row],[9-1]])*wizard_plat,0)</f>
        <v>500</v>
      </c>
      <c r="BU79" s="94">
        <f ca="1">ROUNDUP((1-MIN(ROUND(wg_wiz_cost_bonus*TblMili[[#This Row],[WG''s]],4),wg_wiz_cost_cap) + tech_1_9_2*TblTech[[#This Row],[1-9]] + tech_9_1_2*TblTech[[#This Row],[9-1]])*(archmage_plat + IF(TblMagic[[#This Row],[Active Arc Infusion]]&gt;0,400,0)),0)</f>
        <v>1000</v>
      </c>
      <c r="BV79" s="142"/>
      <c r="BW79" s="157">
        <f ca="1">TblConstr[[#This Row],[Homeland]]/TblConstr[[#This Row],[Land]]</f>
        <v>0.6</v>
      </c>
      <c r="BX79" s="157">
        <f ca="1">TblMili[[#This Row],[WG''s]]</f>
        <v>0</v>
      </c>
      <c r="BY79" s="251">
        <f ca="1">IF(mystic_cap="none",TblMili[[#This Row],[Homeland%]]/mystic_bonus,MIN(mystic_cap,TblMili[[#This Row],[Homeland%]]/mystic_bonus))</f>
        <v>2</v>
      </c>
      <c r="BZ79" s="251">
        <f ca="1">IF(druid_op_cap="none",TblMili[[#This Row],[Homeland%]]/druid_op_bonus,MIN(druid_op_cap,TblMili[[#This Row],[Homeland%]]/druid_op_bonus))</f>
        <v>2</v>
      </c>
      <c r="CA79" s="251">
        <f ca="1">IF(druid_dp_cap="none",TblMili[[#This Row],[Homeland%]]/druid_dp_bonus,MIN(druid_dp_cap,TblMili[[#This Row],[Homeland%]]/druid_dp_bonus))</f>
        <v>2</v>
      </c>
      <c r="CB79" s="251">
        <f ca="1">MIN(dryad_cap,TblMili[[#This Row],[Homeland%]]/dryad_bonus)</f>
        <v>2.9999999999999996</v>
      </c>
      <c r="CC79" s="251">
        <f ca="1">MIN(rocka_cap,TblMili[[#This Row],[Homeland%]]/rocka_bonus)</f>
        <v>2</v>
      </c>
      <c r="CD79" s="251">
        <f ca="1">MIN(adept_op_cap,TblMili[[#This Row],[WG]]/adept_op_bonus)</f>
        <v>0</v>
      </c>
      <c r="CE79" s="251">
        <f ca="1">MIN(adept_dp_cap,TblMili[[#This Row],[WG]]/adept_dp_bonus)</f>
        <v>0</v>
      </c>
      <c r="CF79" s="94">
        <f ca="1">MIN(TblMili[[#This Row],[Unit 3]],TblMili[[#This Row],[Unit 2]])*2</f>
        <v>0</v>
      </c>
      <c r="CG79" s="94">
        <f ca="1">MIN(TblMili[[#This Row],[Unit 1]],TblMili[[#This Row],[Unit 4]])*2</f>
        <v>0</v>
      </c>
      <c r="CH79" s="251">
        <f ca="1">MIN(frost_mage_cap,TblMili[[#This Row],[Homeland%]]/frost_mage_bonus)</f>
        <v>2.9999999999999996</v>
      </c>
      <c r="CI79" s="45">
        <f ca="1">MIN(ice_elem_cap,TblMili[[#This Row],[Raw (2)]]*ice_elem_bonus)</f>
        <v>0</v>
      </c>
      <c r="CJ79" s="251">
        <f t="shared" si="3"/>
        <v>0.83333333333333337</v>
      </c>
      <c r="CK79" s="251">
        <f ca="1">MIN(nox_nightshade_cap,TblConstr[[#This Row],[Homeland]]/TblConstr[[#This Row],[Land]]/nox_nightshade_swamp_bonus)</f>
        <v>4</v>
      </c>
      <c r="CL79" s="251">
        <f ca="1">MIN(TblConstr[[#This Row],[Total Swamp]]/TblConstr[[#This Row],[Land]]/abyss_enforce_bonus,abyss_enforcer_cap)</f>
        <v>0</v>
      </c>
      <c r="CM79" s="251">
        <f ca="1">IF(TblMagic[[#This Row],[Active Infernal Command]]&gt;0,TblMili[[#This Row],[Unit 1]]*infernal_cmd_op,0)</f>
        <v>0</v>
      </c>
      <c r="CN79" s="252"/>
      <c r="CO79" s="252"/>
      <c r="CP79" s="252"/>
      <c r="CQ79" s="251">
        <f ca="1">TblMili[[#This Row],[Mystic]]*2</f>
        <v>4</v>
      </c>
      <c r="CR79" s="251">
        <f ca="1">TblMili[[#This Row],[Druid (op)]]*2</f>
        <v>4</v>
      </c>
      <c r="CS79" s="94">
        <f ca="1">TblMili[[#This Row],[Mystic bonus]]*TblMili[[#This Row],[Unit 3]]+TblMili[[#This Row],[Druid bonus]]*TblMili[[#This Row],[Unit 4]]</f>
        <v>0</v>
      </c>
      <c r="CT79" s="155">
        <f ca="1">TblMili[[#This Row],[Dryad]]*2</f>
        <v>5.9999999999999991</v>
      </c>
      <c r="CU79" s="94">
        <f ca="1">sylvan*(TblMili[[#This Row],[Mystic bonus]]*TblMili[[#This Row],[Unit 3]])</f>
        <v>0</v>
      </c>
      <c r="CV79" s="155">
        <f ca="1">TblMili[[#This Row],[Rockapult]]*2</f>
        <v>4</v>
      </c>
      <c r="CW79" s="94">
        <f ca="1">gnome*(TblMili[[#This Row],[Rockapult bonus]]*TblMili[[#This Row],[Unit 3]])</f>
        <v>0</v>
      </c>
      <c r="CX79" s="155">
        <f ca="1">TblMili[[#This Row],[Adept-DP]]*2</f>
        <v>0</v>
      </c>
      <c r="CY79" s="94">
        <f ca="1">dark_elf*(TblMili[[#This Row],[Adept bonus]]*TblMili[[#This Row],[Unit 3]])</f>
        <v>0</v>
      </c>
      <c r="CZ79" s="155">
        <f ca="1">TblMili[[#This Row],[Frost Mage]]*2</f>
        <v>5.9999999999999991</v>
      </c>
      <c r="DA79" s="155">
        <f ca="1">TblMili[[#This Row],[Ice Elemental]]*2</f>
        <v>0</v>
      </c>
      <c r="DB79" s="94">
        <f ca="1">TblMili[[#This Row],[Frost Mage bonus]]*TblMili[[#This Row],[Unit 3]]+TblMili[[#This Row],[Ice Elemental bonus]]*TblMili[[#This Row],[Unit 4]]</f>
        <v>0</v>
      </c>
      <c r="DC79" s="253"/>
      <c r="DD79" s="143">
        <f ca="1">MIN(SUM(TblConstr[[#This Row],[Plain]:[Water]])/TblMili[[#This Row],[Land]]/favorable_terrain_bonus/100,favorable_terrain_max)</f>
        <v>0</v>
      </c>
      <c r="DE79" s="253"/>
      <c r="DF7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9" s="142"/>
      <c r="DH79" s="254">
        <f ca="1">(TblMili[[#This Row],[Wizards]]+2*TblMili[[#This Row],[Archmages]])/TblConstr[[#This Row],[Land]]</f>
        <v>0</v>
      </c>
      <c r="DI79" s="254">
        <f ca="1">TblMili[[#This Row],[Raw (2)]]*(1+race_wizard_strength+IF(TblMili[[#This Row],[Hour]]&gt;72,tech_magical_weaponry_wiz*TblTech[[#This Row],[3-5]],0))</f>
        <v>0</v>
      </c>
    </row>
    <row r="80" spans="1:113" x14ac:dyDescent="0.2">
      <c r="A80" s="137">
        <f>TblRezone[[#This Row],[Hour]]</f>
        <v>77</v>
      </c>
      <c r="B80" s="246">
        <f ca="1">SUM(TblMili[[#This Row],[Unit 1]:[Archmages]])+SUM(OFFSET(TblMili[[#This Row],[Train Unit 1]],-8,0):TblMili[[#This Row],[Train Unit 2]]) + SUM(OFFSET(TblMili[[#This Row],[Train Unit 3]],-11,0):TblMili[[#This Row],[Train AM]]) + TblMili[[#This Row],[Draftees]]</f>
        <v>548</v>
      </c>
      <c r="C80" s="157">
        <f ca="1">TblPop[[#This Row],[Military%]]</f>
        <v>0.71261378413524057</v>
      </c>
      <c r="D80" s="142"/>
      <c r="E80" s="45">
        <f ca="1">OFFSET(TblMili[[#This Row],[Unit 1]],-1,0) + OFFSET(TblMili[[#This Row],[Train Unit 1]],-9,0) - TblMili[[#This Row],[Release Unit 1]] + OFFSET(TblMili[[#This Row],[DnD_Zombies]],-12,0)</f>
        <v>0</v>
      </c>
      <c r="F80" s="45">
        <f ca="1">OFFSET(TblMili[[#This Row],[Unit 2]],-1,0) + OFFSET(TblMili[[#This Row],[Train Unit 2]],-9,0)-TblMili[[#This Row],[Release Unit 2]]</f>
        <v>0</v>
      </c>
      <c r="G80" s="45">
        <f ca="1">OFFSET(TblMili[[#This Row],[Unit 3]],-1,0) + OFFSET(TblMili[[#This Row],[Train Unit 3]],-12,0)-TblMili[[#This Row],[Release Unit 3]]</f>
        <v>0</v>
      </c>
      <c r="H80" s="45">
        <f ca="1">OFFSET(TblMili[[#This Row],[Unit 4]],-1,0) + OFFSET(TblMili[[#This Row],[Train Unit 4]],-12,0)-TblMili[[#This Row],[Release Unit 4]]</f>
        <v>0</v>
      </c>
      <c r="I80" s="45">
        <f ca="1">OFFSET(TblMili[[#This Row],[Spies]],-1,0) + OFFSET(TblMili[[#This Row],[Train Spies]],-12,0) - TblMili[[#This Row],[Release Spies]]-TblMili[[#This Row],[Train AS]]</f>
        <v>0</v>
      </c>
      <c r="J80" s="45">
        <f ca="1">OFFSET(TblMili[[#This Row],[Archspies]],-1,0) + OFFSET(TblMili[[#This Row],[Train AS]],-12,0) - TblMili[[#This Row],[Release AS]]</f>
        <v>0</v>
      </c>
      <c r="K80" s="45">
        <f ca="1">OFFSET(TblMili[[#This Row],[Wizards]],-1,0) + OFFSET(TblMili[[#This Row],[Train Wiz]],-12,0) - TblMili[[#This Row],[Release Wizards]]-TblMili[[#This Row],[Train AM]] + IF(TblMagic[[#This Row],[Active Arc Infusion]]&gt;0,TblMili[[#This Row],[Train AM]])</f>
        <v>0</v>
      </c>
      <c r="L80" s="45">
        <f ca="1">OFFSET(TblMili[[#This Row],[Archmages]],-1,0) + OFFSET(TblMili[[#This Row],[Train AM]],-12,0) - TblMili[[#This Row],[Release AM]]</f>
        <v>0</v>
      </c>
      <c r="M80" s="142"/>
      <c r="N80" s="94">
        <f ca="1">TblProd[[#This Row],[Networth]]</f>
        <v>1250</v>
      </c>
      <c r="O80" s="142"/>
      <c r="P80"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8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0" s="247">
        <f ca="1">TblMili[[#This Row],[Raw]]*(1+TblMili[[#This Row],[Mods_Off]])</f>
        <v>0</v>
      </c>
      <c r="S80"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80" s="247">
        <f ca="1">TblMili[[#This Row],[Non Draft]]+TblMili[[#This Row],[Draftees]]</f>
        <v>548</v>
      </c>
      <c r="U80" s="248">
        <f ca="1">race_defense + TblImps[[#This Row],[Walls]] + ROUND( MIN(gt_bonus*TblConstr[[#This Row],[Tot GT]]/TblConstr[[#This Row],[Land]],gt_bonus_cap), 4) + IF(TblMagic[[#This Row],[Active Howling]]&gt;0,howling_dp_bonus,IF(TblMagic[[#This Row],[Active Ares Call]]&gt;0,ares_call_bonus))</f>
        <v>0</v>
      </c>
      <c r="V80" s="249">
        <f ca="1">TblMili[[#This Row],[Non Draft]] * (1 + TblMili[[#This Row],[Mods_Def]])</f>
        <v>0</v>
      </c>
      <c r="W80" s="247">
        <f ca="1">TblMili[[#This Row],[Draft]] * (1 + TblMili[[#This Row],[Mods_Def]])</f>
        <v>548</v>
      </c>
      <c r="X80" s="247">
        <f ca="1">TblConstr[[#This Row],[Land]]</f>
        <v>50</v>
      </c>
      <c r="Y80" s="250"/>
      <c r="Z80" s="255">
        <f ca="1">IF(TblMili[[#This Row],[Set]]&lt;&gt;"",TblMili[[#This Row],[Set]],OFFSET(TblMili[[#This Row],[Draftrate]],-1,0))</f>
        <v>0.9</v>
      </c>
      <c r="AA80"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548</v>
      </c>
      <c r="AB80" s="154"/>
      <c r="AC80" s="180">
        <f ca="1">(TblConstr[[#This Row],[Tot Smi]]+TblConstr[[#This Row],[Dest Smi]])/(TblConstr[[#This Row],[Land]]-TblExplore[[#This Row],[Land Bonus]]*20)</f>
        <v>0</v>
      </c>
      <c r="AD80" s="137"/>
      <c r="AE80" s="246">
        <f>TblMili[[#This Row],[Hour]]</f>
        <v>77</v>
      </c>
      <c r="AF80" s="138">
        <f ca="1">TblExplore[[#This Row],[Time]]</f>
        <v>46323.166666666482</v>
      </c>
      <c r="AG80" s="179"/>
      <c r="AH80" s="179"/>
      <c r="AI80" s="179"/>
      <c r="AJ80" s="179"/>
      <c r="AK80" s="179"/>
      <c r="AL80" s="179"/>
      <c r="AM80" s="179"/>
      <c r="AN80" s="179"/>
      <c r="AO80" s="420">
        <f ca="1">ROUND(IF(AND(TblMagic[[#This Row],[Active DnD]]&lt;12,TblMagic[[#This Row],[Active DnD]]&gt;5),OFFSET(TblPop[[#This Row],[Draft Growth]],-1,0)*0.375,0),0)</f>
        <v>0</v>
      </c>
      <c r="AP80" s="142"/>
      <c r="AQ80" s="94">
        <f ca="1">TblProd[[#This Row],[Platinum]]</f>
        <v>187759</v>
      </c>
      <c r="AR80" s="94">
        <f ca="1">INDEX(TblProd[[#Headers],[Lumber]]:TblProd[[#This Row],[Ore]],COUNTA(TblProd[[#Headers],[Lumber]]:TblProd[[#This Row],[Lumber]]),MATCH(Military!$AR$2,TblProd[[#Headers],[Lumber]:[Ore]],0))</f>
        <v>0</v>
      </c>
      <c r="AS8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80" s="94">
        <f ca="1">TblMili[[#This Row],[Train Unit 1]]*TblMili[[#This Row],[OP Ore]]+TblMili[[#This Row],[Train Unit 2]]*TblMili[[#This Row],[DP Ore]]+TblMili[[#This Row],[Train Unit 3]]*TblMili[[#This Row],[E1 Ore]]+TblMili[[#This Row],[Train Unit 4]]*TblMili[[#This Row],[E2 Ore]]</f>
        <v>0</v>
      </c>
      <c r="AU80" s="142">
        <f>TblMili[[#This Row],[Hour]]</f>
        <v>77</v>
      </c>
      <c r="AV80" s="152">
        <f ca="1">TblMili[[#This Row],[Time]]</f>
        <v>46323.166666666482</v>
      </c>
      <c r="AW80" s="94">
        <f ca="1">TblMili[[#This Row],[Draftees]]</f>
        <v>548</v>
      </c>
      <c r="AX80" s="158"/>
      <c r="AY80" s="179"/>
      <c r="AZ80" s="179"/>
      <c r="BA80" s="179"/>
      <c r="BB80" s="179"/>
      <c r="BC80" s="179"/>
      <c r="BD80" s="179"/>
      <c r="BE80" s="179"/>
      <c r="BF80" s="179"/>
      <c r="BG80" s="142"/>
      <c r="BH80" s="157">
        <f ca="1">TblConstr[[#This Row],[Tot WG]]/TblConstr[[#This Row],[Land]]</f>
        <v>0</v>
      </c>
      <c r="BI80" s="157">
        <f ca="1">TblConstr[[#This Row],[Tot Hav]]/TblConstr[[#This Row],[Land]]</f>
        <v>0</v>
      </c>
      <c r="BJ80" s="94">
        <f ca="1">ROUNDUP((1-MIN(TblMili[[#This Row],[Smithies]]*smithy_bonus,smithy_bonus_cap) + tech_3_5*TblTech[[#This Row],[3-5]] + tech_5_3*TblTech[[#This Row],[5-3]] + tech_5_5*TblTech[[#This Row],[5-5]])*spec_op_plat,0)</f>
        <v>315</v>
      </c>
      <c r="BK80" s="94">
        <f ca="1">ROUNDUP(IF(race="Gnome",1,(1-MIN(TblMili[[#This Row],[Smithies]]*smithy_bonus,smithy_bonus_cap) + tech_3_5*TblTech[[#This Row],[3-5]] + tech_5_3*TblTech[[#This Row],[5-3]] + tech_5_5*TblTech[[#This Row],[5-5]]))*spec_op_ore,0)</f>
        <v>25</v>
      </c>
      <c r="BL80" s="94">
        <f ca="1">ROUNDUP((1-MIN(TblMili[[#This Row],[Smithies]]*smithy_bonus,smithy_bonus_cap) + tech_3_5*TblTech[[#This Row],[3-5]] + tech_5_3*TblTech[[#This Row],[5-3]] + tech_5_5*TblTech[[#This Row],[5-5]])*spec_dp_plat,0)</f>
        <v>275</v>
      </c>
      <c r="BM80" s="94">
        <f ca="1">ROUNDUP(IF(race="Gnome",1,(1-MIN(TblMili[[#This Row],[Smithies]]*smithy_bonus,smithy_bonus_cap) + tech_3_5*TblTech[[#This Row],[3-5]] + tech_5_3*TblTech[[#This Row],[5-3]] + tech_5_5*TblTech[[#This Row],[5-5]]))*spec_dp_ore,0)</f>
        <v>15</v>
      </c>
      <c r="BN80" s="94">
        <f ca="1">ROUNDUP((1-MIN(TblMili[[#This Row],[Smithies]]*smithy_bonus,smithy_bonus_cap) + tech_3_5*TblTech[[#This Row],[3-5]] + tech_5_3*TblTech[[#This Row],[5-3]] + tech_5_5*TblTech[[#This Row],[5-5]])*elite1_plat,0)</f>
        <v>1040</v>
      </c>
      <c r="BO80" s="94">
        <f ca="1">ROUNDUP(IF(race="Gnome",1,(1-MIN(TblMili[[#This Row],[Smithies]]*smithy_bonus,smithy_bonus_cap) + tech_3_5*TblTech[[#This Row],[3-5]] + tech_5_3*TblTech[[#This Row],[5-3]] + tech_5_5*TblTech[[#This Row],[5-5]]))*elite1_ore,0)</f>
        <v>75</v>
      </c>
      <c r="BP80" s="94">
        <f ca="1">ROUNDUP((1-MIN(TblMili[[#This Row],[Smithies]]*smithy_bonus,smithy_bonus_cap) + tech_3_5*TblTech[[#This Row],[3-5]] + tech_5_3*TblTech[[#This Row],[5-3]] + tech_5_5*TblTech[[#This Row],[5-5]])*elite2_plat,0)</f>
        <v>1280</v>
      </c>
      <c r="BQ80" s="94">
        <f ca="1">ROUNDUP(IF(race="Gnome",1,(1-MIN(TblMili[[#This Row],[Smithies]]*smithy_bonus,smithy_bonus_cap) + tech_3_5*TblTech[[#This Row],[3-5]] + tech_5_3*TblTech[[#This Row],[5-3]] + tech_5_5*TblTech[[#This Row],[5-5]]))*elite2_ore,0)</f>
        <v>100</v>
      </c>
      <c r="BR80" s="94">
        <f ca="1">ROUNDUP((1-MIN(ROUND(fh_spy_cost_red*TblMili[[#This Row],[FH''s]],4),fh_spy_cost_cap)+ tech_1_9*TblTech[[#This Row],[1-9]] + tech_9_1*TblTech[[#This Row],[9-1]])*spy_plat,0)</f>
        <v>500</v>
      </c>
      <c r="BS80" s="94">
        <f ca="1">ROUNDUP((1-MIN(ROUND(fh_spy_cost_red*TblMili[[#This Row],[FH''s]],4),fh_spy_cost_cap)+ tech_1_9*TblTech[[#This Row],[1-9]] + tech_9_1*TblTech[[#This Row],[9-1]])*archspy_plat,0)</f>
        <v>1000</v>
      </c>
      <c r="BT80" s="94">
        <f ca="1">ROUNDUP((1-MIN(ROUND(wg_wiz_cost_bonus*TblMili[[#This Row],[WG''s]],4),wg_wiz_cost_cap) + tech_1_9_2*TblTech[[#This Row],[1-9]] + tech_9_1_2*TblTech[[#This Row],[9-1]])*wizard_plat,0)</f>
        <v>500</v>
      </c>
      <c r="BU80" s="94">
        <f ca="1">ROUNDUP((1-MIN(ROUND(wg_wiz_cost_bonus*TblMili[[#This Row],[WG''s]],4),wg_wiz_cost_cap) + tech_1_9_2*TblTech[[#This Row],[1-9]] + tech_9_1_2*TblTech[[#This Row],[9-1]])*(archmage_plat + IF(TblMagic[[#This Row],[Active Arc Infusion]]&gt;0,400,0)),0)</f>
        <v>1000</v>
      </c>
      <c r="BV80" s="142"/>
      <c r="BW80" s="157">
        <f ca="1">TblConstr[[#This Row],[Homeland]]/TblConstr[[#This Row],[Land]]</f>
        <v>0.6</v>
      </c>
      <c r="BX80" s="157">
        <f ca="1">TblMili[[#This Row],[WG''s]]</f>
        <v>0</v>
      </c>
      <c r="BY80" s="251">
        <f ca="1">IF(mystic_cap="none",TblMili[[#This Row],[Homeland%]]/mystic_bonus,MIN(mystic_cap,TblMili[[#This Row],[Homeland%]]/mystic_bonus))</f>
        <v>2</v>
      </c>
      <c r="BZ80" s="251">
        <f ca="1">IF(druid_op_cap="none",TblMili[[#This Row],[Homeland%]]/druid_op_bonus,MIN(druid_op_cap,TblMili[[#This Row],[Homeland%]]/druid_op_bonus))</f>
        <v>2</v>
      </c>
      <c r="CA80" s="251">
        <f ca="1">IF(druid_dp_cap="none",TblMili[[#This Row],[Homeland%]]/druid_dp_bonus,MIN(druid_dp_cap,TblMili[[#This Row],[Homeland%]]/druid_dp_bonus))</f>
        <v>2</v>
      </c>
      <c r="CB80" s="251">
        <f ca="1">MIN(dryad_cap,TblMili[[#This Row],[Homeland%]]/dryad_bonus)</f>
        <v>2.9999999999999996</v>
      </c>
      <c r="CC80" s="251">
        <f ca="1">MIN(rocka_cap,TblMili[[#This Row],[Homeland%]]/rocka_bonus)</f>
        <v>2</v>
      </c>
      <c r="CD80" s="251">
        <f ca="1">MIN(adept_op_cap,TblMili[[#This Row],[WG]]/adept_op_bonus)</f>
        <v>0</v>
      </c>
      <c r="CE80" s="251">
        <f ca="1">MIN(adept_dp_cap,TblMili[[#This Row],[WG]]/adept_dp_bonus)</f>
        <v>0</v>
      </c>
      <c r="CF80" s="94">
        <f ca="1">MIN(TblMili[[#This Row],[Unit 3]],TblMili[[#This Row],[Unit 2]])*2</f>
        <v>0</v>
      </c>
      <c r="CG80" s="94">
        <f ca="1">MIN(TblMili[[#This Row],[Unit 1]],TblMili[[#This Row],[Unit 4]])*2</f>
        <v>0</v>
      </c>
      <c r="CH80" s="251">
        <f ca="1">MIN(frost_mage_cap,TblMili[[#This Row],[Homeland%]]/frost_mage_bonus)</f>
        <v>2.9999999999999996</v>
      </c>
      <c r="CI80" s="45">
        <f ca="1">MIN(ice_elem_cap,TblMili[[#This Row],[Raw (2)]]*ice_elem_bonus)</f>
        <v>0</v>
      </c>
      <c r="CJ80" s="251">
        <f t="shared" si="3"/>
        <v>0.83333333333333337</v>
      </c>
      <c r="CK80" s="251">
        <f ca="1">MIN(nox_nightshade_cap,TblConstr[[#This Row],[Homeland]]/TblConstr[[#This Row],[Land]]/nox_nightshade_swamp_bonus)</f>
        <v>4</v>
      </c>
      <c r="CL80" s="251">
        <f ca="1">MIN(TblConstr[[#This Row],[Total Swamp]]/TblConstr[[#This Row],[Land]]/abyss_enforce_bonus,abyss_enforcer_cap)</f>
        <v>0</v>
      </c>
      <c r="CM80" s="251">
        <f ca="1">IF(TblMagic[[#This Row],[Active Infernal Command]]&gt;0,TblMili[[#This Row],[Unit 1]]*infernal_cmd_op,0)</f>
        <v>0</v>
      </c>
      <c r="CN80" s="252"/>
      <c r="CO80" s="252"/>
      <c r="CP80" s="252"/>
      <c r="CQ80" s="251">
        <f ca="1">TblMili[[#This Row],[Mystic]]*2</f>
        <v>4</v>
      </c>
      <c r="CR80" s="251">
        <f ca="1">TblMili[[#This Row],[Druid (op)]]*2</f>
        <v>4</v>
      </c>
      <c r="CS80" s="94">
        <f ca="1">TblMili[[#This Row],[Mystic bonus]]*TblMili[[#This Row],[Unit 3]]+TblMili[[#This Row],[Druid bonus]]*TblMili[[#This Row],[Unit 4]]</f>
        <v>0</v>
      </c>
      <c r="CT80" s="155">
        <f ca="1">TblMili[[#This Row],[Dryad]]*2</f>
        <v>5.9999999999999991</v>
      </c>
      <c r="CU80" s="94">
        <f ca="1">sylvan*(TblMili[[#This Row],[Mystic bonus]]*TblMili[[#This Row],[Unit 3]])</f>
        <v>0</v>
      </c>
      <c r="CV80" s="155">
        <f ca="1">TblMili[[#This Row],[Rockapult]]*2</f>
        <v>4</v>
      </c>
      <c r="CW80" s="94">
        <f ca="1">gnome*(TblMili[[#This Row],[Rockapult bonus]]*TblMili[[#This Row],[Unit 3]])</f>
        <v>0</v>
      </c>
      <c r="CX80" s="155">
        <f ca="1">TblMili[[#This Row],[Adept-DP]]*2</f>
        <v>0</v>
      </c>
      <c r="CY80" s="94">
        <f ca="1">dark_elf*(TblMili[[#This Row],[Adept bonus]]*TblMili[[#This Row],[Unit 3]])</f>
        <v>0</v>
      </c>
      <c r="CZ80" s="155">
        <f ca="1">TblMili[[#This Row],[Frost Mage]]*2</f>
        <v>5.9999999999999991</v>
      </c>
      <c r="DA80" s="155">
        <f ca="1">TblMili[[#This Row],[Ice Elemental]]*2</f>
        <v>0</v>
      </c>
      <c r="DB80" s="94">
        <f ca="1">TblMili[[#This Row],[Frost Mage bonus]]*TblMili[[#This Row],[Unit 3]]+TblMili[[#This Row],[Ice Elemental bonus]]*TblMili[[#This Row],[Unit 4]]</f>
        <v>0</v>
      </c>
      <c r="DC80" s="253"/>
      <c r="DD80" s="143">
        <f ca="1">MIN(SUM(TblConstr[[#This Row],[Plain]:[Water]])/TblMili[[#This Row],[Land]]/favorable_terrain_bonus/100,favorable_terrain_max)</f>
        <v>0</v>
      </c>
      <c r="DE80" s="253"/>
      <c r="DF8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0" s="142"/>
      <c r="DH80" s="254">
        <f ca="1">(TblMili[[#This Row],[Wizards]]+2*TblMili[[#This Row],[Archmages]])/TblConstr[[#This Row],[Land]]</f>
        <v>0</v>
      </c>
      <c r="DI80" s="254">
        <f ca="1">TblMili[[#This Row],[Raw (2)]]*(1+race_wizard_strength+IF(TblMili[[#This Row],[Hour]]&gt;72,tech_magical_weaponry_wiz*TblTech[[#This Row],[3-5]],0))</f>
        <v>0</v>
      </c>
    </row>
    <row r="81" spans="1:113" x14ac:dyDescent="0.2">
      <c r="A81" s="137">
        <f>TblRezone[[#This Row],[Hour]]</f>
        <v>78</v>
      </c>
      <c r="B81" s="246">
        <f ca="1">SUM(TblMili[[#This Row],[Unit 1]:[Archmages]])+SUM(OFFSET(TblMili[[#This Row],[Train Unit 1]],-8,0):TblMili[[#This Row],[Train Unit 2]]) + SUM(OFFSET(TblMili[[#This Row],[Train Unit 3]],-11,0):TblMili[[#This Row],[Train AM]]) + TblMili[[#This Row],[Draftees]]</f>
        <v>550</v>
      </c>
      <c r="C81" s="157">
        <f ca="1">TblPop[[#This Row],[Military%]]</f>
        <v>0.71521456436931075</v>
      </c>
      <c r="D81" s="142"/>
      <c r="E81" s="45">
        <f ca="1">OFFSET(TblMili[[#This Row],[Unit 1]],-1,0) + OFFSET(TblMili[[#This Row],[Train Unit 1]],-9,0) - TblMili[[#This Row],[Release Unit 1]] + OFFSET(TblMili[[#This Row],[DnD_Zombies]],-12,0)</f>
        <v>0</v>
      </c>
      <c r="F81" s="45">
        <f ca="1">OFFSET(TblMili[[#This Row],[Unit 2]],-1,0) + OFFSET(TblMili[[#This Row],[Train Unit 2]],-9,0)-TblMili[[#This Row],[Release Unit 2]]</f>
        <v>0</v>
      </c>
      <c r="G81" s="45">
        <f ca="1">OFFSET(TblMili[[#This Row],[Unit 3]],-1,0) + OFFSET(TblMili[[#This Row],[Train Unit 3]],-12,0)-TblMili[[#This Row],[Release Unit 3]]</f>
        <v>0</v>
      </c>
      <c r="H81" s="45">
        <f ca="1">OFFSET(TblMili[[#This Row],[Unit 4]],-1,0) + OFFSET(TblMili[[#This Row],[Train Unit 4]],-12,0)-TblMili[[#This Row],[Release Unit 4]]</f>
        <v>0</v>
      </c>
      <c r="I81" s="45">
        <f ca="1">OFFSET(TblMili[[#This Row],[Spies]],-1,0) + OFFSET(TblMili[[#This Row],[Train Spies]],-12,0) - TblMili[[#This Row],[Release Spies]]-TblMili[[#This Row],[Train AS]]</f>
        <v>0</v>
      </c>
      <c r="J81" s="45">
        <f ca="1">OFFSET(TblMili[[#This Row],[Archspies]],-1,0) + OFFSET(TblMili[[#This Row],[Train AS]],-12,0) - TblMili[[#This Row],[Release AS]]</f>
        <v>0</v>
      </c>
      <c r="K81" s="45">
        <f ca="1">OFFSET(TblMili[[#This Row],[Wizards]],-1,0) + OFFSET(TblMili[[#This Row],[Train Wiz]],-12,0) - TblMili[[#This Row],[Release Wizards]]-TblMili[[#This Row],[Train AM]] + IF(TblMagic[[#This Row],[Active Arc Infusion]]&gt;0,TblMili[[#This Row],[Train AM]])</f>
        <v>0</v>
      </c>
      <c r="L81" s="45">
        <f ca="1">OFFSET(TblMili[[#This Row],[Archmages]],-1,0) + OFFSET(TblMili[[#This Row],[Train AM]],-12,0) - TblMili[[#This Row],[Release AM]]</f>
        <v>0</v>
      </c>
      <c r="M81" s="142"/>
      <c r="N81" s="94">
        <f ca="1">TblProd[[#This Row],[Networth]]</f>
        <v>1250</v>
      </c>
      <c r="O81" s="142"/>
      <c r="P81"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8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1" s="247">
        <f ca="1">TblMili[[#This Row],[Raw]]*(1+TblMili[[#This Row],[Mods_Off]])</f>
        <v>0</v>
      </c>
      <c r="S81"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81" s="247">
        <f ca="1">TblMili[[#This Row],[Non Draft]]+TblMili[[#This Row],[Draftees]]</f>
        <v>550</v>
      </c>
      <c r="U81" s="248">
        <f ca="1">race_defense + TblImps[[#This Row],[Walls]] + ROUND( MIN(gt_bonus*TblConstr[[#This Row],[Tot GT]]/TblConstr[[#This Row],[Land]],gt_bonus_cap), 4) + IF(TblMagic[[#This Row],[Active Howling]]&gt;0,howling_dp_bonus,IF(TblMagic[[#This Row],[Active Ares Call]]&gt;0,ares_call_bonus))</f>
        <v>0</v>
      </c>
      <c r="V81" s="249">
        <f ca="1">TblMili[[#This Row],[Non Draft]] * (1 + TblMili[[#This Row],[Mods_Def]])</f>
        <v>0</v>
      </c>
      <c r="W81" s="247">
        <f ca="1">TblMili[[#This Row],[Draft]] * (1 + TblMili[[#This Row],[Mods_Def]])</f>
        <v>550</v>
      </c>
      <c r="X81" s="247">
        <f ca="1">TblConstr[[#This Row],[Land]]</f>
        <v>50</v>
      </c>
      <c r="Y81" s="250"/>
      <c r="Z81" s="255">
        <f ca="1">IF(TblMili[[#This Row],[Set]]&lt;&gt;"",TblMili[[#This Row],[Set]],OFFSET(TblMili[[#This Row],[Draftrate]],-1,0))</f>
        <v>0.9</v>
      </c>
      <c r="AA81"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550</v>
      </c>
      <c r="AB81" s="154"/>
      <c r="AC81" s="180">
        <f ca="1">(TblConstr[[#This Row],[Tot Smi]]+TblConstr[[#This Row],[Dest Smi]])/(TblConstr[[#This Row],[Land]]-TblExplore[[#This Row],[Land Bonus]]*20)</f>
        <v>0</v>
      </c>
      <c r="AD81" s="137"/>
      <c r="AE81" s="246">
        <f>TblMili[[#This Row],[Hour]]</f>
        <v>78</v>
      </c>
      <c r="AF81" s="138">
        <f ca="1">TblExplore[[#This Row],[Time]]</f>
        <v>46323.208333333147</v>
      </c>
      <c r="AG81" s="179"/>
      <c r="AH81" s="179"/>
      <c r="AI81" s="179"/>
      <c r="AJ81" s="179"/>
      <c r="AK81" s="179"/>
      <c r="AL81" s="179"/>
      <c r="AM81" s="179"/>
      <c r="AN81" s="179"/>
      <c r="AO81" s="420">
        <f ca="1">ROUND(IF(AND(TblMagic[[#This Row],[Active DnD]]&lt;12,TblMagic[[#This Row],[Active DnD]]&gt;5),OFFSET(TblPop[[#This Row],[Draft Growth]],-1,0)*0.375,0),0)</f>
        <v>0</v>
      </c>
      <c r="AP81" s="142"/>
      <c r="AQ81" s="94">
        <f ca="1">TblProd[[#This Row],[Platinum]]</f>
        <v>188355</v>
      </c>
      <c r="AR81" s="94">
        <f ca="1">INDEX(TblProd[[#Headers],[Lumber]]:TblProd[[#This Row],[Ore]],COUNTA(TblProd[[#Headers],[Lumber]]:TblProd[[#This Row],[Lumber]]),MATCH(Military!$AR$2,TblProd[[#Headers],[Lumber]:[Ore]],0))</f>
        <v>0</v>
      </c>
      <c r="AS8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81" s="94">
        <f ca="1">TblMili[[#This Row],[Train Unit 1]]*TblMili[[#This Row],[OP Ore]]+TblMili[[#This Row],[Train Unit 2]]*TblMili[[#This Row],[DP Ore]]+TblMili[[#This Row],[Train Unit 3]]*TblMili[[#This Row],[E1 Ore]]+TblMili[[#This Row],[Train Unit 4]]*TblMili[[#This Row],[E2 Ore]]</f>
        <v>0</v>
      </c>
      <c r="AU81" s="142">
        <f>TblMili[[#This Row],[Hour]]</f>
        <v>78</v>
      </c>
      <c r="AV81" s="152">
        <f ca="1">TblMili[[#This Row],[Time]]</f>
        <v>46323.208333333147</v>
      </c>
      <c r="AW81" s="94">
        <f ca="1">TblMili[[#This Row],[Draftees]]</f>
        <v>550</v>
      </c>
      <c r="AX81" s="158"/>
      <c r="AY81" s="179"/>
      <c r="AZ81" s="179"/>
      <c r="BA81" s="179"/>
      <c r="BB81" s="179"/>
      <c r="BC81" s="179"/>
      <c r="BD81" s="179"/>
      <c r="BE81" s="179"/>
      <c r="BF81" s="179"/>
      <c r="BG81" s="142"/>
      <c r="BH81" s="157">
        <f ca="1">TblConstr[[#This Row],[Tot WG]]/TblConstr[[#This Row],[Land]]</f>
        <v>0</v>
      </c>
      <c r="BI81" s="157">
        <f ca="1">TblConstr[[#This Row],[Tot Hav]]/TblConstr[[#This Row],[Land]]</f>
        <v>0</v>
      </c>
      <c r="BJ81" s="94">
        <f ca="1">ROUNDUP((1-MIN(TblMili[[#This Row],[Smithies]]*smithy_bonus,smithy_bonus_cap) + tech_3_5*TblTech[[#This Row],[3-5]] + tech_5_3*TblTech[[#This Row],[5-3]] + tech_5_5*TblTech[[#This Row],[5-5]])*spec_op_plat,0)</f>
        <v>315</v>
      </c>
      <c r="BK81" s="94">
        <f ca="1">ROUNDUP(IF(race="Gnome",1,(1-MIN(TblMili[[#This Row],[Smithies]]*smithy_bonus,smithy_bonus_cap) + tech_3_5*TblTech[[#This Row],[3-5]] + tech_5_3*TblTech[[#This Row],[5-3]] + tech_5_5*TblTech[[#This Row],[5-5]]))*spec_op_ore,0)</f>
        <v>25</v>
      </c>
      <c r="BL81" s="94">
        <f ca="1">ROUNDUP((1-MIN(TblMili[[#This Row],[Smithies]]*smithy_bonus,smithy_bonus_cap) + tech_3_5*TblTech[[#This Row],[3-5]] + tech_5_3*TblTech[[#This Row],[5-3]] + tech_5_5*TblTech[[#This Row],[5-5]])*spec_dp_plat,0)</f>
        <v>275</v>
      </c>
      <c r="BM81" s="94">
        <f ca="1">ROUNDUP(IF(race="Gnome",1,(1-MIN(TblMili[[#This Row],[Smithies]]*smithy_bonus,smithy_bonus_cap) + tech_3_5*TblTech[[#This Row],[3-5]] + tech_5_3*TblTech[[#This Row],[5-3]] + tech_5_5*TblTech[[#This Row],[5-5]]))*spec_dp_ore,0)</f>
        <v>15</v>
      </c>
      <c r="BN81" s="94">
        <f ca="1">ROUNDUP((1-MIN(TblMili[[#This Row],[Smithies]]*smithy_bonus,smithy_bonus_cap) + tech_3_5*TblTech[[#This Row],[3-5]] + tech_5_3*TblTech[[#This Row],[5-3]] + tech_5_5*TblTech[[#This Row],[5-5]])*elite1_plat,0)</f>
        <v>1040</v>
      </c>
      <c r="BO81" s="94">
        <f ca="1">ROUNDUP(IF(race="Gnome",1,(1-MIN(TblMili[[#This Row],[Smithies]]*smithy_bonus,smithy_bonus_cap) + tech_3_5*TblTech[[#This Row],[3-5]] + tech_5_3*TblTech[[#This Row],[5-3]] + tech_5_5*TblTech[[#This Row],[5-5]]))*elite1_ore,0)</f>
        <v>75</v>
      </c>
      <c r="BP81" s="94">
        <f ca="1">ROUNDUP((1-MIN(TblMili[[#This Row],[Smithies]]*smithy_bonus,smithy_bonus_cap) + tech_3_5*TblTech[[#This Row],[3-5]] + tech_5_3*TblTech[[#This Row],[5-3]] + tech_5_5*TblTech[[#This Row],[5-5]])*elite2_plat,0)</f>
        <v>1280</v>
      </c>
      <c r="BQ81" s="94">
        <f ca="1">ROUNDUP(IF(race="Gnome",1,(1-MIN(TblMili[[#This Row],[Smithies]]*smithy_bonus,smithy_bonus_cap) + tech_3_5*TblTech[[#This Row],[3-5]] + tech_5_3*TblTech[[#This Row],[5-3]] + tech_5_5*TblTech[[#This Row],[5-5]]))*elite2_ore,0)</f>
        <v>100</v>
      </c>
      <c r="BR81" s="94">
        <f ca="1">ROUNDUP((1-MIN(ROUND(fh_spy_cost_red*TblMili[[#This Row],[FH''s]],4),fh_spy_cost_cap)+ tech_1_9*TblTech[[#This Row],[1-9]] + tech_9_1*TblTech[[#This Row],[9-1]])*spy_plat,0)</f>
        <v>500</v>
      </c>
      <c r="BS81" s="94">
        <f ca="1">ROUNDUP((1-MIN(ROUND(fh_spy_cost_red*TblMili[[#This Row],[FH''s]],4),fh_spy_cost_cap)+ tech_1_9*TblTech[[#This Row],[1-9]] + tech_9_1*TblTech[[#This Row],[9-1]])*archspy_plat,0)</f>
        <v>1000</v>
      </c>
      <c r="BT81" s="94">
        <f ca="1">ROUNDUP((1-MIN(ROUND(wg_wiz_cost_bonus*TblMili[[#This Row],[WG''s]],4),wg_wiz_cost_cap) + tech_1_9_2*TblTech[[#This Row],[1-9]] + tech_9_1_2*TblTech[[#This Row],[9-1]])*wizard_plat,0)</f>
        <v>500</v>
      </c>
      <c r="BU81" s="94">
        <f ca="1">ROUNDUP((1-MIN(ROUND(wg_wiz_cost_bonus*TblMili[[#This Row],[WG''s]],4),wg_wiz_cost_cap) + tech_1_9_2*TblTech[[#This Row],[1-9]] + tech_9_1_2*TblTech[[#This Row],[9-1]])*(archmage_plat + IF(TblMagic[[#This Row],[Active Arc Infusion]]&gt;0,400,0)),0)</f>
        <v>1000</v>
      </c>
      <c r="BV81" s="142"/>
      <c r="BW81" s="157">
        <f ca="1">TblConstr[[#This Row],[Homeland]]/TblConstr[[#This Row],[Land]]</f>
        <v>0.6</v>
      </c>
      <c r="BX81" s="157">
        <f ca="1">TblMili[[#This Row],[WG''s]]</f>
        <v>0</v>
      </c>
      <c r="BY81" s="251">
        <f ca="1">IF(mystic_cap="none",TblMili[[#This Row],[Homeland%]]/mystic_bonus,MIN(mystic_cap,TblMili[[#This Row],[Homeland%]]/mystic_bonus))</f>
        <v>2</v>
      </c>
      <c r="BZ81" s="251">
        <f ca="1">IF(druid_op_cap="none",TblMili[[#This Row],[Homeland%]]/druid_op_bonus,MIN(druid_op_cap,TblMili[[#This Row],[Homeland%]]/druid_op_bonus))</f>
        <v>2</v>
      </c>
      <c r="CA81" s="251">
        <f ca="1">IF(druid_dp_cap="none",TblMili[[#This Row],[Homeland%]]/druid_dp_bonus,MIN(druid_dp_cap,TblMili[[#This Row],[Homeland%]]/druid_dp_bonus))</f>
        <v>2</v>
      </c>
      <c r="CB81" s="251">
        <f ca="1">MIN(dryad_cap,TblMili[[#This Row],[Homeland%]]/dryad_bonus)</f>
        <v>2.9999999999999996</v>
      </c>
      <c r="CC81" s="251">
        <f ca="1">MIN(rocka_cap,TblMili[[#This Row],[Homeland%]]/rocka_bonus)</f>
        <v>2</v>
      </c>
      <c r="CD81" s="251">
        <f ca="1">MIN(adept_op_cap,TblMili[[#This Row],[WG]]/adept_op_bonus)</f>
        <v>0</v>
      </c>
      <c r="CE81" s="251">
        <f ca="1">MIN(adept_dp_cap,TblMili[[#This Row],[WG]]/adept_dp_bonus)</f>
        <v>0</v>
      </c>
      <c r="CF81" s="94">
        <f ca="1">MIN(TblMili[[#This Row],[Unit 3]],TblMili[[#This Row],[Unit 2]])*2</f>
        <v>0</v>
      </c>
      <c r="CG81" s="94">
        <f ca="1">MIN(TblMili[[#This Row],[Unit 1]],TblMili[[#This Row],[Unit 4]])*2</f>
        <v>0</v>
      </c>
      <c r="CH81" s="251">
        <f ca="1">MIN(frost_mage_cap,TblMili[[#This Row],[Homeland%]]/frost_mage_bonus)</f>
        <v>2.9999999999999996</v>
      </c>
      <c r="CI81" s="45">
        <f ca="1">MIN(ice_elem_cap,TblMili[[#This Row],[Raw (2)]]*ice_elem_bonus)</f>
        <v>0</v>
      </c>
      <c r="CJ81" s="251">
        <f t="shared" si="3"/>
        <v>0.83333333333333337</v>
      </c>
      <c r="CK81" s="251">
        <f ca="1">MIN(nox_nightshade_cap,TblConstr[[#This Row],[Homeland]]/TblConstr[[#This Row],[Land]]/nox_nightshade_swamp_bonus)</f>
        <v>4</v>
      </c>
      <c r="CL81" s="251">
        <f ca="1">MIN(TblConstr[[#This Row],[Total Swamp]]/TblConstr[[#This Row],[Land]]/abyss_enforce_bonus,abyss_enforcer_cap)</f>
        <v>0</v>
      </c>
      <c r="CM81" s="251">
        <f ca="1">IF(TblMagic[[#This Row],[Active Infernal Command]]&gt;0,TblMili[[#This Row],[Unit 1]]*infernal_cmd_op,0)</f>
        <v>0</v>
      </c>
      <c r="CN81" s="252"/>
      <c r="CO81" s="252"/>
      <c r="CP81" s="252"/>
      <c r="CQ81" s="251">
        <f ca="1">TblMili[[#This Row],[Mystic]]*2</f>
        <v>4</v>
      </c>
      <c r="CR81" s="251">
        <f ca="1">TblMili[[#This Row],[Druid (op)]]*2</f>
        <v>4</v>
      </c>
      <c r="CS81" s="94">
        <f ca="1">TblMili[[#This Row],[Mystic bonus]]*TblMili[[#This Row],[Unit 3]]+TblMili[[#This Row],[Druid bonus]]*TblMili[[#This Row],[Unit 4]]</f>
        <v>0</v>
      </c>
      <c r="CT81" s="155">
        <f ca="1">TblMili[[#This Row],[Dryad]]*2</f>
        <v>5.9999999999999991</v>
      </c>
      <c r="CU81" s="94">
        <f ca="1">sylvan*(TblMili[[#This Row],[Mystic bonus]]*TblMili[[#This Row],[Unit 3]])</f>
        <v>0</v>
      </c>
      <c r="CV81" s="155">
        <f ca="1">TblMili[[#This Row],[Rockapult]]*2</f>
        <v>4</v>
      </c>
      <c r="CW81" s="94">
        <f ca="1">gnome*(TblMili[[#This Row],[Rockapult bonus]]*TblMili[[#This Row],[Unit 3]])</f>
        <v>0</v>
      </c>
      <c r="CX81" s="155">
        <f ca="1">TblMili[[#This Row],[Adept-DP]]*2</f>
        <v>0</v>
      </c>
      <c r="CY81" s="94">
        <f ca="1">dark_elf*(TblMili[[#This Row],[Adept bonus]]*TblMili[[#This Row],[Unit 3]])</f>
        <v>0</v>
      </c>
      <c r="CZ81" s="155">
        <f ca="1">TblMili[[#This Row],[Frost Mage]]*2</f>
        <v>5.9999999999999991</v>
      </c>
      <c r="DA81" s="155">
        <f ca="1">TblMili[[#This Row],[Ice Elemental]]*2</f>
        <v>0</v>
      </c>
      <c r="DB81" s="94">
        <f ca="1">TblMili[[#This Row],[Frost Mage bonus]]*TblMili[[#This Row],[Unit 3]]+TblMili[[#This Row],[Ice Elemental bonus]]*TblMili[[#This Row],[Unit 4]]</f>
        <v>0</v>
      </c>
      <c r="DC81" s="253"/>
      <c r="DD81" s="143">
        <f ca="1">MIN(SUM(TblConstr[[#This Row],[Plain]:[Water]])/TblMili[[#This Row],[Land]]/favorable_terrain_bonus/100,favorable_terrain_max)</f>
        <v>0</v>
      </c>
      <c r="DE81" s="253"/>
      <c r="DF8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1" s="142"/>
      <c r="DH81" s="254">
        <f ca="1">(TblMili[[#This Row],[Wizards]]+2*TblMili[[#This Row],[Archmages]])/TblConstr[[#This Row],[Land]]</f>
        <v>0</v>
      </c>
      <c r="DI81" s="254">
        <f ca="1">TblMili[[#This Row],[Raw (2)]]*(1+race_wizard_strength+IF(TblMili[[#This Row],[Hour]]&gt;72,tech_magical_weaponry_wiz*TblTech[[#This Row],[3-5]],0))</f>
        <v>0</v>
      </c>
    </row>
    <row r="82" spans="1:113" x14ac:dyDescent="0.2">
      <c r="A82" s="137">
        <f>TblRezone[[#This Row],[Hour]]</f>
        <v>79</v>
      </c>
      <c r="B82" s="246">
        <f ca="1">SUM(TblMili[[#This Row],[Unit 1]:[Archmages]])+SUM(OFFSET(TblMili[[#This Row],[Train Unit 1]],-8,0):TblMili[[#This Row],[Train Unit 2]]) + SUM(OFFSET(TblMili[[#This Row],[Train Unit 3]],-11,0):TblMili[[#This Row],[Train AM]]) + TblMili[[#This Row],[Draftees]]</f>
        <v>552</v>
      </c>
      <c r="C82" s="157">
        <f ca="1">TblPop[[#This Row],[Military%]]</f>
        <v>0.71781534460338103</v>
      </c>
      <c r="D82" s="142"/>
      <c r="E82" s="45">
        <f ca="1">OFFSET(TblMili[[#This Row],[Unit 1]],-1,0) + OFFSET(TblMili[[#This Row],[Train Unit 1]],-9,0) - TblMili[[#This Row],[Release Unit 1]] + OFFSET(TblMili[[#This Row],[DnD_Zombies]],-12,0)</f>
        <v>0</v>
      </c>
      <c r="F82" s="45">
        <f ca="1">OFFSET(TblMili[[#This Row],[Unit 2]],-1,0) + OFFSET(TblMili[[#This Row],[Train Unit 2]],-9,0)-TblMili[[#This Row],[Release Unit 2]]</f>
        <v>0</v>
      </c>
      <c r="G82" s="45">
        <f ca="1">OFFSET(TblMili[[#This Row],[Unit 3]],-1,0) + OFFSET(TblMili[[#This Row],[Train Unit 3]],-12,0)-TblMili[[#This Row],[Release Unit 3]]</f>
        <v>0</v>
      </c>
      <c r="H82" s="45">
        <f ca="1">OFFSET(TblMili[[#This Row],[Unit 4]],-1,0) + OFFSET(TblMili[[#This Row],[Train Unit 4]],-12,0)-TblMili[[#This Row],[Release Unit 4]]</f>
        <v>0</v>
      </c>
      <c r="I82" s="45">
        <f ca="1">OFFSET(TblMili[[#This Row],[Spies]],-1,0) + OFFSET(TblMili[[#This Row],[Train Spies]],-12,0) - TblMili[[#This Row],[Release Spies]]-TblMili[[#This Row],[Train AS]]</f>
        <v>0</v>
      </c>
      <c r="J82" s="45">
        <f ca="1">OFFSET(TblMili[[#This Row],[Archspies]],-1,0) + OFFSET(TblMili[[#This Row],[Train AS]],-12,0) - TblMili[[#This Row],[Release AS]]</f>
        <v>0</v>
      </c>
      <c r="K82" s="45">
        <f ca="1">OFFSET(TblMili[[#This Row],[Wizards]],-1,0) + OFFSET(TblMili[[#This Row],[Train Wiz]],-12,0) - TblMili[[#This Row],[Release Wizards]]-TblMili[[#This Row],[Train AM]] + IF(TblMagic[[#This Row],[Active Arc Infusion]]&gt;0,TblMili[[#This Row],[Train AM]])</f>
        <v>0</v>
      </c>
      <c r="L82" s="45">
        <f ca="1">OFFSET(TblMili[[#This Row],[Archmages]],-1,0) + OFFSET(TblMili[[#This Row],[Train AM]],-12,0) - TblMili[[#This Row],[Release AM]]</f>
        <v>0</v>
      </c>
      <c r="M82" s="142"/>
      <c r="N82" s="94">
        <f ca="1">TblProd[[#This Row],[Networth]]</f>
        <v>1250</v>
      </c>
      <c r="O82" s="142"/>
      <c r="P82"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8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2" s="247">
        <f ca="1">TblMili[[#This Row],[Raw]]*(1+TblMili[[#This Row],[Mods_Off]])</f>
        <v>0</v>
      </c>
      <c r="S82"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82" s="247">
        <f ca="1">TblMili[[#This Row],[Non Draft]]+TblMili[[#This Row],[Draftees]]</f>
        <v>552</v>
      </c>
      <c r="U82" s="248">
        <f ca="1">race_defense + TblImps[[#This Row],[Walls]] + ROUND( MIN(gt_bonus*TblConstr[[#This Row],[Tot GT]]/TblConstr[[#This Row],[Land]],gt_bonus_cap), 4) + IF(TblMagic[[#This Row],[Active Howling]]&gt;0,howling_dp_bonus,IF(TblMagic[[#This Row],[Active Ares Call]]&gt;0,ares_call_bonus))</f>
        <v>0</v>
      </c>
      <c r="V82" s="249">
        <f ca="1">TblMili[[#This Row],[Non Draft]] * (1 + TblMili[[#This Row],[Mods_Def]])</f>
        <v>0</v>
      </c>
      <c r="W82" s="247">
        <f ca="1">TblMili[[#This Row],[Draft]] * (1 + TblMili[[#This Row],[Mods_Def]])</f>
        <v>552</v>
      </c>
      <c r="X82" s="247">
        <f ca="1">TblConstr[[#This Row],[Land]]</f>
        <v>50</v>
      </c>
      <c r="Y82" s="250"/>
      <c r="Z82" s="255">
        <f ca="1">IF(TblMili[[#This Row],[Set]]&lt;&gt;"",TblMili[[#This Row],[Set]],OFFSET(TblMili[[#This Row],[Draftrate]],-1,0))</f>
        <v>0.9</v>
      </c>
      <c r="AA82"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552</v>
      </c>
      <c r="AB82" s="154"/>
      <c r="AC82" s="180">
        <f ca="1">(TblConstr[[#This Row],[Tot Smi]]+TblConstr[[#This Row],[Dest Smi]])/(TblConstr[[#This Row],[Land]]-TblExplore[[#This Row],[Land Bonus]]*20)</f>
        <v>0</v>
      </c>
      <c r="AD82" s="137"/>
      <c r="AE82" s="246">
        <f>TblMili[[#This Row],[Hour]]</f>
        <v>79</v>
      </c>
      <c r="AF82" s="138">
        <f ca="1">TblExplore[[#This Row],[Time]]</f>
        <v>46323.249999999811</v>
      </c>
      <c r="AG82" s="179"/>
      <c r="AH82" s="179"/>
      <c r="AI82" s="179"/>
      <c r="AJ82" s="179"/>
      <c r="AK82" s="179"/>
      <c r="AL82" s="179"/>
      <c r="AM82" s="179"/>
      <c r="AN82" s="179"/>
      <c r="AO82" s="420">
        <f ca="1">ROUND(IF(AND(TblMagic[[#This Row],[Active DnD]]&lt;12,TblMagic[[#This Row],[Active DnD]]&gt;5),OFFSET(TblPop[[#This Row],[Draft Growth]],-1,0)*0.375,0),0)</f>
        <v>0</v>
      </c>
      <c r="AP82" s="142"/>
      <c r="AQ82" s="94">
        <f ca="1">TblProd[[#This Row],[Platinum]]</f>
        <v>188946</v>
      </c>
      <c r="AR82" s="94">
        <f ca="1">INDEX(TblProd[[#Headers],[Lumber]]:TblProd[[#This Row],[Ore]],COUNTA(TblProd[[#Headers],[Lumber]]:TblProd[[#This Row],[Lumber]]),MATCH(Military!$AR$2,TblProd[[#Headers],[Lumber]:[Ore]],0))</f>
        <v>0</v>
      </c>
      <c r="AS82"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82" s="94">
        <f ca="1">TblMili[[#This Row],[Train Unit 1]]*TblMili[[#This Row],[OP Ore]]+TblMili[[#This Row],[Train Unit 2]]*TblMili[[#This Row],[DP Ore]]+TblMili[[#This Row],[Train Unit 3]]*TblMili[[#This Row],[E1 Ore]]+TblMili[[#This Row],[Train Unit 4]]*TblMili[[#This Row],[E2 Ore]]</f>
        <v>0</v>
      </c>
      <c r="AU82" s="142">
        <f>TblMili[[#This Row],[Hour]]</f>
        <v>79</v>
      </c>
      <c r="AV82" s="152">
        <f ca="1">TblMili[[#This Row],[Time]]</f>
        <v>46323.249999999811</v>
      </c>
      <c r="AW82" s="94">
        <f ca="1">TblMili[[#This Row],[Draftees]]</f>
        <v>552</v>
      </c>
      <c r="AX82" s="158"/>
      <c r="AY82" s="179"/>
      <c r="AZ82" s="179"/>
      <c r="BA82" s="179"/>
      <c r="BB82" s="179"/>
      <c r="BC82" s="179"/>
      <c r="BD82" s="179"/>
      <c r="BE82" s="179"/>
      <c r="BF82" s="179"/>
      <c r="BG82" s="142"/>
      <c r="BH82" s="157">
        <f ca="1">TblConstr[[#This Row],[Tot WG]]/TblConstr[[#This Row],[Land]]</f>
        <v>0</v>
      </c>
      <c r="BI82" s="157">
        <f ca="1">TblConstr[[#This Row],[Tot Hav]]/TblConstr[[#This Row],[Land]]</f>
        <v>0</v>
      </c>
      <c r="BJ82" s="94">
        <f ca="1">ROUNDUP((1-MIN(TblMili[[#This Row],[Smithies]]*smithy_bonus,smithy_bonus_cap) + tech_3_5*TblTech[[#This Row],[3-5]] + tech_5_3*TblTech[[#This Row],[5-3]] + tech_5_5*TblTech[[#This Row],[5-5]])*spec_op_plat,0)</f>
        <v>315</v>
      </c>
      <c r="BK82" s="94">
        <f ca="1">ROUNDUP(IF(race="Gnome",1,(1-MIN(TblMili[[#This Row],[Smithies]]*smithy_bonus,smithy_bonus_cap) + tech_3_5*TblTech[[#This Row],[3-5]] + tech_5_3*TblTech[[#This Row],[5-3]] + tech_5_5*TblTech[[#This Row],[5-5]]))*spec_op_ore,0)</f>
        <v>25</v>
      </c>
      <c r="BL82" s="94">
        <f ca="1">ROUNDUP((1-MIN(TblMili[[#This Row],[Smithies]]*smithy_bonus,smithy_bonus_cap) + tech_3_5*TblTech[[#This Row],[3-5]] + tech_5_3*TblTech[[#This Row],[5-3]] + tech_5_5*TblTech[[#This Row],[5-5]])*spec_dp_plat,0)</f>
        <v>275</v>
      </c>
      <c r="BM82" s="94">
        <f ca="1">ROUNDUP(IF(race="Gnome",1,(1-MIN(TblMili[[#This Row],[Smithies]]*smithy_bonus,smithy_bonus_cap) + tech_3_5*TblTech[[#This Row],[3-5]] + tech_5_3*TblTech[[#This Row],[5-3]] + tech_5_5*TblTech[[#This Row],[5-5]]))*spec_dp_ore,0)</f>
        <v>15</v>
      </c>
      <c r="BN82" s="94">
        <f ca="1">ROUNDUP((1-MIN(TblMili[[#This Row],[Smithies]]*smithy_bonus,smithy_bonus_cap) + tech_3_5*TblTech[[#This Row],[3-5]] + tech_5_3*TblTech[[#This Row],[5-3]] + tech_5_5*TblTech[[#This Row],[5-5]])*elite1_plat,0)</f>
        <v>1040</v>
      </c>
      <c r="BO82" s="94">
        <f ca="1">ROUNDUP(IF(race="Gnome",1,(1-MIN(TblMili[[#This Row],[Smithies]]*smithy_bonus,smithy_bonus_cap) + tech_3_5*TblTech[[#This Row],[3-5]] + tech_5_3*TblTech[[#This Row],[5-3]] + tech_5_5*TblTech[[#This Row],[5-5]]))*elite1_ore,0)</f>
        <v>75</v>
      </c>
      <c r="BP82" s="94">
        <f ca="1">ROUNDUP((1-MIN(TblMili[[#This Row],[Smithies]]*smithy_bonus,smithy_bonus_cap) + tech_3_5*TblTech[[#This Row],[3-5]] + tech_5_3*TblTech[[#This Row],[5-3]] + tech_5_5*TblTech[[#This Row],[5-5]])*elite2_plat,0)</f>
        <v>1280</v>
      </c>
      <c r="BQ82" s="94">
        <f ca="1">ROUNDUP(IF(race="Gnome",1,(1-MIN(TblMili[[#This Row],[Smithies]]*smithy_bonus,smithy_bonus_cap) + tech_3_5*TblTech[[#This Row],[3-5]] + tech_5_3*TblTech[[#This Row],[5-3]] + tech_5_5*TblTech[[#This Row],[5-5]]))*elite2_ore,0)</f>
        <v>100</v>
      </c>
      <c r="BR82" s="94">
        <f ca="1">ROUNDUP((1-MIN(ROUND(fh_spy_cost_red*TblMili[[#This Row],[FH''s]],4),fh_spy_cost_cap)+ tech_1_9*TblTech[[#This Row],[1-9]] + tech_9_1*TblTech[[#This Row],[9-1]])*spy_plat,0)</f>
        <v>500</v>
      </c>
      <c r="BS82" s="94">
        <f ca="1">ROUNDUP((1-MIN(ROUND(fh_spy_cost_red*TblMili[[#This Row],[FH''s]],4),fh_spy_cost_cap)+ tech_1_9*TblTech[[#This Row],[1-9]] + tech_9_1*TblTech[[#This Row],[9-1]])*archspy_plat,0)</f>
        <v>1000</v>
      </c>
      <c r="BT82" s="94">
        <f ca="1">ROUNDUP((1-MIN(ROUND(wg_wiz_cost_bonus*TblMili[[#This Row],[WG''s]],4),wg_wiz_cost_cap) + tech_1_9_2*TblTech[[#This Row],[1-9]] + tech_9_1_2*TblTech[[#This Row],[9-1]])*wizard_plat,0)</f>
        <v>500</v>
      </c>
      <c r="BU82" s="94">
        <f ca="1">ROUNDUP((1-MIN(ROUND(wg_wiz_cost_bonus*TblMili[[#This Row],[WG''s]],4),wg_wiz_cost_cap) + tech_1_9_2*TblTech[[#This Row],[1-9]] + tech_9_1_2*TblTech[[#This Row],[9-1]])*(archmage_plat + IF(TblMagic[[#This Row],[Active Arc Infusion]]&gt;0,400,0)),0)</f>
        <v>1000</v>
      </c>
      <c r="BV82" s="142"/>
      <c r="BW82" s="157">
        <f ca="1">TblConstr[[#This Row],[Homeland]]/TblConstr[[#This Row],[Land]]</f>
        <v>0.6</v>
      </c>
      <c r="BX82" s="157">
        <f ca="1">TblMili[[#This Row],[WG''s]]</f>
        <v>0</v>
      </c>
      <c r="BY82" s="251">
        <f ca="1">IF(mystic_cap="none",TblMili[[#This Row],[Homeland%]]/mystic_bonus,MIN(mystic_cap,TblMili[[#This Row],[Homeland%]]/mystic_bonus))</f>
        <v>2</v>
      </c>
      <c r="BZ82" s="251">
        <f ca="1">IF(druid_op_cap="none",TblMili[[#This Row],[Homeland%]]/druid_op_bonus,MIN(druid_op_cap,TblMili[[#This Row],[Homeland%]]/druid_op_bonus))</f>
        <v>2</v>
      </c>
      <c r="CA82" s="251">
        <f ca="1">IF(druid_dp_cap="none",TblMili[[#This Row],[Homeland%]]/druid_dp_bonus,MIN(druid_dp_cap,TblMili[[#This Row],[Homeland%]]/druid_dp_bonus))</f>
        <v>2</v>
      </c>
      <c r="CB82" s="251">
        <f ca="1">MIN(dryad_cap,TblMili[[#This Row],[Homeland%]]/dryad_bonus)</f>
        <v>2.9999999999999996</v>
      </c>
      <c r="CC82" s="251">
        <f ca="1">MIN(rocka_cap,TblMili[[#This Row],[Homeland%]]/rocka_bonus)</f>
        <v>2</v>
      </c>
      <c r="CD82" s="251">
        <f ca="1">MIN(adept_op_cap,TblMili[[#This Row],[WG]]/adept_op_bonus)</f>
        <v>0</v>
      </c>
      <c r="CE82" s="251">
        <f ca="1">MIN(adept_dp_cap,TblMili[[#This Row],[WG]]/adept_dp_bonus)</f>
        <v>0</v>
      </c>
      <c r="CF82" s="94">
        <f ca="1">MIN(TblMili[[#This Row],[Unit 3]],TblMili[[#This Row],[Unit 2]])*2</f>
        <v>0</v>
      </c>
      <c r="CG82" s="94">
        <f ca="1">MIN(TblMili[[#This Row],[Unit 1]],TblMili[[#This Row],[Unit 4]])*2</f>
        <v>0</v>
      </c>
      <c r="CH82" s="251">
        <f ca="1">MIN(frost_mage_cap,TblMili[[#This Row],[Homeland%]]/frost_mage_bonus)</f>
        <v>2.9999999999999996</v>
      </c>
      <c r="CI82" s="45">
        <f ca="1">MIN(ice_elem_cap,TblMili[[#This Row],[Raw (2)]]*ice_elem_bonus)</f>
        <v>0</v>
      </c>
      <c r="CJ82" s="251">
        <f t="shared" si="3"/>
        <v>0.83333333333333337</v>
      </c>
      <c r="CK82" s="251">
        <f ca="1">MIN(nox_nightshade_cap,TblConstr[[#This Row],[Homeland]]/TblConstr[[#This Row],[Land]]/nox_nightshade_swamp_bonus)</f>
        <v>4</v>
      </c>
      <c r="CL82" s="251">
        <f ca="1">MIN(TblConstr[[#This Row],[Total Swamp]]/TblConstr[[#This Row],[Land]]/abyss_enforce_bonus,abyss_enforcer_cap)</f>
        <v>0</v>
      </c>
      <c r="CM82" s="251">
        <f ca="1">IF(TblMagic[[#This Row],[Active Infernal Command]]&gt;0,TblMili[[#This Row],[Unit 1]]*infernal_cmd_op,0)</f>
        <v>0</v>
      </c>
      <c r="CN82" s="252"/>
      <c r="CO82" s="252"/>
      <c r="CP82" s="252"/>
      <c r="CQ82" s="251">
        <f ca="1">TblMili[[#This Row],[Mystic]]*2</f>
        <v>4</v>
      </c>
      <c r="CR82" s="251">
        <f ca="1">TblMili[[#This Row],[Druid (op)]]*2</f>
        <v>4</v>
      </c>
      <c r="CS82" s="94">
        <f ca="1">TblMili[[#This Row],[Mystic bonus]]*TblMili[[#This Row],[Unit 3]]+TblMili[[#This Row],[Druid bonus]]*TblMili[[#This Row],[Unit 4]]</f>
        <v>0</v>
      </c>
      <c r="CT82" s="155">
        <f ca="1">TblMili[[#This Row],[Dryad]]*2</f>
        <v>5.9999999999999991</v>
      </c>
      <c r="CU82" s="94">
        <f ca="1">sylvan*(TblMili[[#This Row],[Mystic bonus]]*TblMili[[#This Row],[Unit 3]])</f>
        <v>0</v>
      </c>
      <c r="CV82" s="155">
        <f ca="1">TblMili[[#This Row],[Rockapult]]*2</f>
        <v>4</v>
      </c>
      <c r="CW82" s="94">
        <f ca="1">gnome*(TblMili[[#This Row],[Rockapult bonus]]*TblMili[[#This Row],[Unit 3]])</f>
        <v>0</v>
      </c>
      <c r="CX82" s="155">
        <f ca="1">TblMili[[#This Row],[Adept-DP]]*2</f>
        <v>0</v>
      </c>
      <c r="CY82" s="94">
        <f ca="1">dark_elf*(TblMili[[#This Row],[Adept bonus]]*TblMili[[#This Row],[Unit 3]])</f>
        <v>0</v>
      </c>
      <c r="CZ82" s="155">
        <f ca="1">TblMili[[#This Row],[Frost Mage]]*2</f>
        <v>5.9999999999999991</v>
      </c>
      <c r="DA82" s="155">
        <f ca="1">TblMili[[#This Row],[Ice Elemental]]*2</f>
        <v>0</v>
      </c>
      <c r="DB82" s="94">
        <f ca="1">TblMili[[#This Row],[Frost Mage bonus]]*TblMili[[#This Row],[Unit 3]]+TblMili[[#This Row],[Ice Elemental bonus]]*TblMili[[#This Row],[Unit 4]]</f>
        <v>0</v>
      </c>
      <c r="DC82" s="253"/>
      <c r="DD82" s="143">
        <f ca="1">MIN(SUM(TblConstr[[#This Row],[Plain]:[Water]])/TblMili[[#This Row],[Land]]/favorable_terrain_bonus/100,favorable_terrain_max)</f>
        <v>0</v>
      </c>
      <c r="DE82" s="253"/>
      <c r="DF8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2" s="142"/>
      <c r="DH82" s="254">
        <f ca="1">(TblMili[[#This Row],[Wizards]]+2*TblMili[[#This Row],[Archmages]])/TblConstr[[#This Row],[Land]]</f>
        <v>0</v>
      </c>
      <c r="DI82" s="254">
        <f ca="1">TblMili[[#This Row],[Raw (2)]]*(1+race_wizard_strength+IF(TblMili[[#This Row],[Hour]]&gt;72,tech_magical_weaponry_wiz*TblTech[[#This Row],[3-5]],0))</f>
        <v>0</v>
      </c>
    </row>
    <row r="83" spans="1:113" x14ac:dyDescent="0.2">
      <c r="A83" s="137">
        <f>TblRezone[[#This Row],[Hour]]</f>
        <v>80</v>
      </c>
      <c r="B83" s="246">
        <f ca="1">SUM(TblMili[[#This Row],[Unit 1]:[Archmages]])+SUM(OFFSET(TblMili[[#This Row],[Train Unit 1]],-8,0):TblMili[[#This Row],[Train Unit 2]]) + SUM(OFFSET(TblMili[[#This Row],[Train Unit 3]],-11,0):TblMili[[#This Row],[Train AM]]) + TblMili[[#This Row],[Draftees]]</f>
        <v>554</v>
      </c>
      <c r="C83" s="157">
        <f ca="1">TblPop[[#This Row],[Military%]]</f>
        <v>0.72041612483745121</v>
      </c>
      <c r="D83" s="142"/>
      <c r="E83" s="45">
        <f ca="1">OFFSET(TblMili[[#This Row],[Unit 1]],-1,0) + OFFSET(TblMili[[#This Row],[Train Unit 1]],-9,0) - TblMili[[#This Row],[Release Unit 1]] + OFFSET(TblMili[[#This Row],[DnD_Zombies]],-12,0)</f>
        <v>0</v>
      </c>
      <c r="F83" s="45">
        <f ca="1">OFFSET(TblMili[[#This Row],[Unit 2]],-1,0) + OFFSET(TblMili[[#This Row],[Train Unit 2]],-9,0)-TblMili[[#This Row],[Release Unit 2]]</f>
        <v>0</v>
      </c>
      <c r="G83" s="45">
        <f ca="1">OFFSET(TblMili[[#This Row],[Unit 3]],-1,0) + OFFSET(TblMili[[#This Row],[Train Unit 3]],-12,0)-TblMili[[#This Row],[Release Unit 3]]</f>
        <v>0</v>
      </c>
      <c r="H83" s="45">
        <f ca="1">OFFSET(TblMili[[#This Row],[Unit 4]],-1,0) + OFFSET(TblMili[[#This Row],[Train Unit 4]],-12,0)-TblMili[[#This Row],[Release Unit 4]]</f>
        <v>0</v>
      </c>
      <c r="I83" s="45">
        <f ca="1">OFFSET(TblMili[[#This Row],[Spies]],-1,0) + OFFSET(TblMili[[#This Row],[Train Spies]],-12,0) - TblMili[[#This Row],[Release Spies]]-TblMili[[#This Row],[Train AS]]</f>
        <v>0</v>
      </c>
      <c r="J83" s="45">
        <f ca="1">OFFSET(TblMili[[#This Row],[Archspies]],-1,0) + OFFSET(TblMili[[#This Row],[Train AS]],-12,0) - TblMili[[#This Row],[Release AS]]</f>
        <v>0</v>
      </c>
      <c r="K83" s="45">
        <f ca="1">OFFSET(TblMili[[#This Row],[Wizards]],-1,0) + OFFSET(TblMili[[#This Row],[Train Wiz]],-12,0) - TblMili[[#This Row],[Release Wizards]]-TblMili[[#This Row],[Train AM]] + IF(TblMagic[[#This Row],[Active Arc Infusion]]&gt;0,TblMili[[#This Row],[Train AM]])</f>
        <v>0</v>
      </c>
      <c r="L83" s="45">
        <f ca="1">OFFSET(TblMili[[#This Row],[Archmages]],-1,0) + OFFSET(TblMili[[#This Row],[Train AM]],-12,0) - TblMili[[#This Row],[Release AM]]</f>
        <v>0</v>
      </c>
      <c r="M83" s="142"/>
      <c r="N83" s="94">
        <f ca="1">TblProd[[#This Row],[Networth]]</f>
        <v>1250</v>
      </c>
      <c r="O83" s="142"/>
      <c r="P83"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8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3" s="247">
        <f ca="1">TblMili[[#This Row],[Raw]]*(1+TblMili[[#This Row],[Mods_Off]])</f>
        <v>0</v>
      </c>
      <c r="S83"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83" s="247">
        <f ca="1">TblMili[[#This Row],[Non Draft]]+TblMili[[#This Row],[Draftees]]</f>
        <v>554</v>
      </c>
      <c r="U83" s="248">
        <f ca="1">race_defense + TblImps[[#This Row],[Walls]] + ROUND( MIN(gt_bonus*TblConstr[[#This Row],[Tot GT]]/TblConstr[[#This Row],[Land]],gt_bonus_cap), 4) + IF(TblMagic[[#This Row],[Active Howling]]&gt;0,howling_dp_bonus,IF(TblMagic[[#This Row],[Active Ares Call]]&gt;0,ares_call_bonus))</f>
        <v>0</v>
      </c>
      <c r="V83" s="249">
        <f ca="1">TblMili[[#This Row],[Non Draft]] * (1 + TblMili[[#This Row],[Mods_Def]])</f>
        <v>0</v>
      </c>
      <c r="W83" s="247">
        <f ca="1">TblMili[[#This Row],[Draft]] * (1 + TblMili[[#This Row],[Mods_Def]])</f>
        <v>554</v>
      </c>
      <c r="X83" s="247">
        <f ca="1">TblConstr[[#This Row],[Land]]</f>
        <v>50</v>
      </c>
      <c r="Y83" s="250"/>
      <c r="Z83" s="255">
        <f ca="1">IF(TblMili[[#This Row],[Set]]&lt;&gt;"",TblMili[[#This Row],[Set]],OFFSET(TblMili[[#This Row],[Draftrate]],-1,0))</f>
        <v>0.9</v>
      </c>
      <c r="AA83"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554</v>
      </c>
      <c r="AB83" s="154"/>
      <c r="AC83" s="180">
        <f ca="1">(TblConstr[[#This Row],[Tot Smi]]+TblConstr[[#This Row],[Dest Smi]])/(TblConstr[[#This Row],[Land]]-TblExplore[[#This Row],[Land Bonus]]*20)</f>
        <v>0</v>
      </c>
      <c r="AD83" s="137"/>
      <c r="AE83" s="246">
        <f>TblMili[[#This Row],[Hour]]</f>
        <v>80</v>
      </c>
      <c r="AF83" s="138">
        <f ca="1">TblExplore[[#This Row],[Time]]</f>
        <v>46323.291666666475</v>
      </c>
      <c r="AG83" s="179"/>
      <c r="AH83" s="179"/>
      <c r="AI83" s="179"/>
      <c r="AJ83" s="179"/>
      <c r="AK83" s="179"/>
      <c r="AL83" s="179"/>
      <c r="AM83" s="179"/>
      <c r="AN83" s="179"/>
      <c r="AO83" s="420">
        <f ca="1">ROUND(IF(AND(TblMagic[[#This Row],[Active DnD]]&lt;12,TblMagic[[#This Row],[Active DnD]]&gt;5),OFFSET(TblPop[[#This Row],[Draft Growth]],-1,0)*0.375,0),0)</f>
        <v>0</v>
      </c>
      <c r="AP83" s="142"/>
      <c r="AQ83" s="94">
        <f ca="1">TblProd[[#This Row],[Platinum]]</f>
        <v>189531</v>
      </c>
      <c r="AR83" s="94">
        <f ca="1">INDEX(TblProd[[#Headers],[Lumber]]:TblProd[[#This Row],[Ore]],COUNTA(TblProd[[#Headers],[Lumber]]:TblProd[[#This Row],[Lumber]]),MATCH(Military!$AR$2,TblProd[[#Headers],[Lumber]:[Ore]],0))</f>
        <v>0</v>
      </c>
      <c r="AS8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83" s="94">
        <f ca="1">TblMili[[#This Row],[Train Unit 1]]*TblMili[[#This Row],[OP Ore]]+TblMili[[#This Row],[Train Unit 2]]*TblMili[[#This Row],[DP Ore]]+TblMili[[#This Row],[Train Unit 3]]*TblMili[[#This Row],[E1 Ore]]+TblMili[[#This Row],[Train Unit 4]]*TblMili[[#This Row],[E2 Ore]]</f>
        <v>0</v>
      </c>
      <c r="AU83" s="142">
        <f>TblMili[[#This Row],[Hour]]</f>
        <v>80</v>
      </c>
      <c r="AV83" s="152">
        <f ca="1">TblMili[[#This Row],[Time]]</f>
        <v>46323.291666666475</v>
      </c>
      <c r="AW83" s="94">
        <f ca="1">TblMili[[#This Row],[Draftees]]</f>
        <v>554</v>
      </c>
      <c r="AX83" s="158"/>
      <c r="AY83" s="179"/>
      <c r="AZ83" s="179"/>
      <c r="BA83" s="179"/>
      <c r="BB83" s="179"/>
      <c r="BC83" s="179"/>
      <c r="BD83" s="179"/>
      <c r="BE83" s="179"/>
      <c r="BF83" s="179"/>
      <c r="BG83" s="142"/>
      <c r="BH83" s="157">
        <f ca="1">TblConstr[[#This Row],[Tot WG]]/TblConstr[[#This Row],[Land]]</f>
        <v>0</v>
      </c>
      <c r="BI83" s="157">
        <f ca="1">TblConstr[[#This Row],[Tot Hav]]/TblConstr[[#This Row],[Land]]</f>
        <v>0</v>
      </c>
      <c r="BJ83" s="94">
        <f ca="1">ROUNDUP((1-MIN(TblMili[[#This Row],[Smithies]]*smithy_bonus,smithy_bonus_cap) + tech_3_5*TblTech[[#This Row],[3-5]] + tech_5_3*TblTech[[#This Row],[5-3]] + tech_5_5*TblTech[[#This Row],[5-5]])*spec_op_plat,0)</f>
        <v>315</v>
      </c>
      <c r="BK83" s="94">
        <f ca="1">ROUNDUP(IF(race="Gnome",1,(1-MIN(TblMili[[#This Row],[Smithies]]*smithy_bonus,smithy_bonus_cap) + tech_3_5*TblTech[[#This Row],[3-5]] + tech_5_3*TblTech[[#This Row],[5-3]] + tech_5_5*TblTech[[#This Row],[5-5]]))*spec_op_ore,0)</f>
        <v>25</v>
      </c>
      <c r="BL83" s="94">
        <f ca="1">ROUNDUP((1-MIN(TblMili[[#This Row],[Smithies]]*smithy_bonus,smithy_bonus_cap) + tech_3_5*TblTech[[#This Row],[3-5]] + tech_5_3*TblTech[[#This Row],[5-3]] + tech_5_5*TblTech[[#This Row],[5-5]])*spec_dp_plat,0)</f>
        <v>275</v>
      </c>
      <c r="BM83" s="94">
        <f ca="1">ROUNDUP(IF(race="Gnome",1,(1-MIN(TblMili[[#This Row],[Smithies]]*smithy_bonus,smithy_bonus_cap) + tech_3_5*TblTech[[#This Row],[3-5]] + tech_5_3*TblTech[[#This Row],[5-3]] + tech_5_5*TblTech[[#This Row],[5-5]]))*spec_dp_ore,0)</f>
        <v>15</v>
      </c>
      <c r="BN83" s="94">
        <f ca="1">ROUNDUP((1-MIN(TblMili[[#This Row],[Smithies]]*smithy_bonus,smithy_bonus_cap) + tech_3_5*TblTech[[#This Row],[3-5]] + tech_5_3*TblTech[[#This Row],[5-3]] + tech_5_5*TblTech[[#This Row],[5-5]])*elite1_plat,0)</f>
        <v>1040</v>
      </c>
      <c r="BO83" s="94">
        <f ca="1">ROUNDUP(IF(race="Gnome",1,(1-MIN(TblMili[[#This Row],[Smithies]]*smithy_bonus,smithy_bonus_cap) + tech_3_5*TblTech[[#This Row],[3-5]] + tech_5_3*TblTech[[#This Row],[5-3]] + tech_5_5*TblTech[[#This Row],[5-5]]))*elite1_ore,0)</f>
        <v>75</v>
      </c>
      <c r="BP83" s="94">
        <f ca="1">ROUNDUP((1-MIN(TblMili[[#This Row],[Smithies]]*smithy_bonus,smithy_bonus_cap) + tech_3_5*TblTech[[#This Row],[3-5]] + tech_5_3*TblTech[[#This Row],[5-3]] + tech_5_5*TblTech[[#This Row],[5-5]])*elite2_plat,0)</f>
        <v>1280</v>
      </c>
      <c r="BQ83" s="94">
        <f ca="1">ROUNDUP(IF(race="Gnome",1,(1-MIN(TblMili[[#This Row],[Smithies]]*smithy_bonus,smithy_bonus_cap) + tech_3_5*TblTech[[#This Row],[3-5]] + tech_5_3*TblTech[[#This Row],[5-3]] + tech_5_5*TblTech[[#This Row],[5-5]]))*elite2_ore,0)</f>
        <v>100</v>
      </c>
      <c r="BR83" s="94">
        <f ca="1">ROUNDUP((1-MIN(ROUND(fh_spy_cost_red*TblMili[[#This Row],[FH''s]],4),fh_spy_cost_cap)+ tech_1_9*TblTech[[#This Row],[1-9]] + tech_9_1*TblTech[[#This Row],[9-1]])*spy_plat,0)</f>
        <v>500</v>
      </c>
      <c r="BS83" s="94">
        <f ca="1">ROUNDUP((1-MIN(ROUND(fh_spy_cost_red*TblMili[[#This Row],[FH''s]],4),fh_spy_cost_cap)+ tech_1_9*TblTech[[#This Row],[1-9]] + tech_9_1*TblTech[[#This Row],[9-1]])*archspy_plat,0)</f>
        <v>1000</v>
      </c>
      <c r="BT83" s="94">
        <f ca="1">ROUNDUP((1-MIN(ROUND(wg_wiz_cost_bonus*TblMili[[#This Row],[WG''s]],4),wg_wiz_cost_cap) + tech_1_9_2*TblTech[[#This Row],[1-9]] + tech_9_1_2*TblTech[[#This Row],[9-1]])*wizard_plat,0)</f>
        <v>500</v>
      </c>
      <c r="BU83" s="94">
        <f ca="1">ROUNDUP((1-MIN(ROUND(wg_wiz_cost_bonus*TblMili[[#This Row],[WG''s]],4),wg_wiz_cost_cap) + tech_1_9_2*TblTech[[#This Row],[1-9]] + tech_9_1_2*TblTech[[#This Row],[9-1]])*(archmage_plat + IF(TblMagic[[#This Row],[Active Arc Infusion]]&gt;0,400,0)),0)</f>
        <v>1000</v>
      </c>
      <c r="BV83" s="142"/>
      <c r="BW83" s="157">
        <f ca="1">TblConstr[[#This Row],[Homeland]]/TblConstr[[#This Row],[Land]]</f>
        <v>0.6</v>
      </c>
      <c r="BX83" s="157">
        <f ca="1">TblMili[[#This Row],[WG''s]]</f>
        <v>0</v>
      </c>
      <c r="BY83" s="251">
        <f ca="1">IF(mystic_cap="none",TblMili[[#This Row],[Homeland%]]/mystic_bonus,MIN(mystic_cap,TblMili[[#This Row],[Homeland%]]/mystic_bonus))</f>
        <v>2</v>
      </c>
      <c r="BZ83" s="251">
        <f ca="1">IF(druid_op_cap="none",TblMili[[#This Row],[Homeland%]]/druid_op_bonus,MIN(druid_op_cap,TblMili[[#This Row],[Homeland%]]/druid_op_bonus))</f>
        <v>2</v>
      </c>
      <c r="CA83" s="251">
        <f ca="1">IF(druid_dp_cap="none",TblMili[[#This Row],[Homeland%]]/druid_dp_bonus,MIN(druid_dp_cap,TblMili[[#This Row],[Homeland%]]/druid_dp_bonus))</f>
        <v>2</v>
      </c>
      <c r="CB83" s="251">
        <f ca="1">MIN(dryad_cap,TblMili[[#This Row],[Homeland%]]/dryad_bonus)</f>
        <v>2.9999999999999996</v>
      </c>
      <c r="CC83" s="251">
        <f ca="1">MIN(rocka_cap,TblMili[[#This Row],[Homeland%]]/rocka_bonus)</f>
        <v>2</v>
      </c>
      <c r="CD83" s="251">
        <f ca="1">MIN(adept_op_cap,TblMili[[#This Row],[WG]]/adept_op_bonus)</f>
        <v>0</v>
      </c>
      <c r="CE83" s="251">
        <f ca="1">MIN(adept_dp_cap,TblMili[[#This Row],[WG]]/adept_dp_bonus)</f>
        <v>0</v>
      </c>
      <c r="CF83" s="94">
        <f ca="1">MIN(TblMili[[#This Row],[Unit 3]],TblMili[[#This Row],[Unit 2]])*2</f>
        <v>0</v>
      </c>
      <c r="CG83" s="94">
        <f ca="1">MIN(TblMili[[#This Row],[Unit 1]],TblMili[[#This Row],[Unit 4]])*2</f>
        <v>0</v>
      </c>
      <c r="CH83" s="251">
        <f ca="1">MIN(frost_mage_cap,TblMili[[#This Row],[Homeland%]]/frost_mage_bonus)</f>
        <v>2.9999999999999996</v>
      </c>
      <c r="CI83" s="45">
        <f ca="1">MIN(ice_elem_cap,TblMili[[#This Row],[Raw (2)]]*ice_elem_bonus)</f>
        <v>0</v>
      </c>
      <c r="CJ83" s="251">
        <f t="shared" si="3"/>
        <v>0.83333333333333337</v>
      </c>
      <c r="CK83" s="251">
        <f ca="1">MIN(nox_nightshade_cap,TblConstr[[#This Row],[Homeland]]/TblConstr[[#This Row],[Land]]/nox_nightshade_swamp_bonus)</f>
        <v>4</v>
      </c>
      <c r="CL83" s="251">
        <f ca="1">MIN(TblConstr[[#This Row],[Total Swamp]]/TblConstr[[#This Row],[Land]]/abyss_enforce_bonus,abyss_enforcer_cap)</f>
        <v>0</v>
      </c>
      <c r="CM83" s="251">
        <f ca="1">IF(TblMagic[[#This Row],[Active Infernal Command]]&gt;0,TblMili[[#This Row],[Unit 1]]*infernal_cmd_op,0)</f>
        <v>0</v>
      </c>
      <c r="CN83" s="252"/>
      <c r="CO83" s="252"/>
      <c r="CP83" s="252"/>
      <c r="CQ83" s="251">
        <f ca="1">TblMili[[#This Row],[Mystic]]*2</f>
        <v>4</v>
      </c>
      <c r="CR83" s="251">
        <f ca="1">TblMili[[#This Row],[Druid (op)]]*2</f>
        <v>4</v>
      </c>
      <c r="CS83" s="94">
        <f ca="1">TblMili[[#This Row],[Mystic bonus]]*TblMili[[#This Row],[Unit 3]]+TblMili[[#This Row],[Druid bonus]]*TblMili[[#This Row],[Unit 4]]</f>
        <v>0</v>
      </c>
      <c r="CT83" s="155">
        <f ca="1">TblMili[[#This Row],[Dryad]]*2</f>
        <v>5.9999999999999991</v>
      </c>
      <c r="CU83" s="94">
        <f ca="1">sylvan*(TblMili[[#This Row],[Mystic bonus]]*TblMili[[#This Row],[Unit 3]])</f>
        <v>0</v>
      </c>
      <c r="CV83" s="155">
        <f ca="1">TblMili[[#This Row],[Rockapult]]*2</f>
        <v>4</v>
      </c>
      <c r="CW83" s="94">
        <f ca="1">gnome*(TblMili[[#This Row],[Rockapult bonus]]*TblMili[[#This Row],[Unit 3]])</f>
        <v>0</v>
      </c>
      <c r="CX83" s="155">
        <f ca="1">TblMili[[#This Row],[Adept-DP]]*2</f>
        <v>0</v>
      </c>
      <c r="CY83" s="94">
        <f ca="1">dark_elf*(TblMili[[#This Row],[Adept bonus]]*TblMili[[#This Row],[Unit 3]])</f>
        <v>0</v>
      </c>
      <c r="CZ83" s="155">
        <f ca="1">TblMili[[#This Row],[Frost Mage]]*2</f>
        <v>5.9999999999999991</v>
      </c>
      <c r="DA83" s="155">
        <f ca="1">TblMili[[#This Row],[Ice Elemental]]*2</f>
        <v>0</v>
      </c>
      <c r="DB83" s="94">
        <f ca="1">TblMili[[#This Row],[Frost Mage bonus]]*TblMili[[#This Row],[Unit 3]]+TblMili[[#This Row],[Ice Elemental bonus]]*TblMili[[#This Row],[Unit 4]]</f>
        <v>0</v>
      </c>
      <c r="DC83" s="253"/>
      <c r="DD83" s="143">
        <f ca="1">MIN(SUM(TblConstr[[#This Row],[Plain]:[Water]])/TblMili[[#This Row],[Land]]/favorable_terrain_bonus/100,favorable_terrain_max)</f>
        <v>0</v>
      </c>
      <c r="DE83" s="253"/>
      <c r="DF8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3" s="142"/>
      <c r="DH83" s="254">
        <f ca="1">(TblMili[[#This Row],[Wizards]]+2*TblMili[[#This Row],[Archmages]])/TblConstr[[#This Row],[Land]]</f>
        <v>0</v>
      </c>
      <c r="DI83" s="254">
        <f ca="1">TblMili[[#This Row],[Raw (2)]]*(1+race_wizard_strength+IF(TblMili[[#This Row],[Hour]]&gt;72,tech_magical_weaponry_wiz*TblTech[[#This Row],[3-5]],0))</f>
        <v>0</v>
      </c>
    </row>
    <row r="84" spans="1:113" x14ac:dyDescent="0.2">
      <c r="A84" s="137">
        <f>TblRezone[[#This Row],[Hour]]</f>
        <v>81</v>
      </c>
      <c r="B84" s="246">
        <f ca="1">SUM(TblMili[[#This Row],[Unit 1]:[Archmages]])+SUM(OFFSET(TblMili[[#This Row],[Train Unit 1]],-8,0):TblMili[[#This Row],[Train Unit 2]]) + SUM(OFFSET(TblMili[[#This Row],[Train Unit 3]],-11,0):TblMili[[#This Row],[Train AM]]) + TblMili[[#This Row],[Draftees]]</f>
        <v>556</v>
      </c>
      <c r="C84" s="157">
        <f ca="1">TblPop[[#This Row],[Military%]]</f>
        <v>0.7230169050715215</v>
      </c>
      <c r="D84" s="142"/>
      <c r="E84" s="45">
        <f ca="1">OFFSET(TblMili[[#This Row],[Unit 1]],-1,0) + OFFSET(TblMili[[#This Row],[Train Unit 1]],-9,0) - TblMili[[#This Row],[Release Unit 1]] + OFFSET(TblMili[[#This Row],[DnD_Zombies]],-12,0)</f>
        <v>0</v>
      </c>
      <c r="F84" s="45">
        <f ca="1">OFFSET(TblMili[[#This Row],[Unit 2]],-1,0) + OFFSET(TblMili[[#This Row],[Train Unit 2]],-9,0)-TblMili[[#This Row],[Release Unit 2]]</f>
        <v>0</v>
      </c>
      <c r="G84" s="45">
        <f ca="1">OFFSET(TblMili[[#This Row],[Unit 3]],-1,0) + OFFSET(TblMili[[#This Row],[Train Unit 3]],-12,0)-TblMili[[#This Row],[Release Unit 3]]</f>
        <v>0</v>
      </c>
      <c r="H84" s="45">
        <f ca="1">OFFSET(TblMili[[#This Row],[Unit 4]],-1,0) + OFFSET(TblMili[[#This Row],[Train Unit 4]],-12,0)-TblMili[[#This Row],[Release Unit 4]]</f>
        <v>0</v>
      </c>
      <c r="I84" s="45">
        <f ca="1">OFFSET(TblMili[[#This Row],[Spies]],-1,0) + OFFSET(TblMili[[#This Row],[Train Spies]],-12,0) - TblMili[[#This Row],[Release Spies]]-TblMili[[#This Row],[Train AS]]</f>
        <v>0</v>
      </c>
      <c r="J84" s="45">
        <f ca="1">OFFSET(TblMili[[#This Row],[Archspies]],-1,0) + OFFSET(TblMili[[#This Row],[Train AS]],-12,0) - TblMili[[#This Row],[Release AS]]</f>
        <v>0</v>
      </c>
      <c r="K84" s="45">
        <f ca="1">OFFSET(TblMili[[#This Row],[Wizards]],-1,0) + OFFSET(TblMili[[#This Row],[Train Wiz]],-12,0) - TblMili[[#This Row],[Release Wizards]]-TblMili[[#This Row],[Train AM]] + IF(TblMagic[[#This Row],[Active Arc Infusion]]&gt;0,TblMili[[#This Row],[Train AM]])</f>
        <v>0</v>
      </c>
      <c r="L84" s="45">
        <f ca="1">OFFSET(TblMili[[#This Row],[Archmages]],-1,0) + OFFSET(TblMili[[#This Row],[Train AM]],-12,0) - TblMili[[#This Row],[Release AM]]</f>
        <v>0</v>
      </c>
      <c r="M84" s="142"/>
      <c r="N84" s="94">
        <f ca="1">TblProd[[#This Row],[Networth]]</f>
        <v>1250</v>
      </c>
      <c r="O84" s="142"/>
      <c r="P84"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8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4" s="247">
        <f ca="1">TblMili[[#This Row],[Raw]]*(1+TblMili[[#This Row],[Mods_Off]])</f>
        <v>0</v>
      </c>
      <c r="S84"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84" s="247">
        <f ca="1">TblMili[[#This Row],[Non Draft]]+TblMili[[#This Row],[Draftees]]</f>
        <v>556</v>
      </c>
      <c r="U84" s="248">
        <f ca="1">race_defense + TblImps[[#This Row],[Walls]] + ROUND( MIN(gt_bonus*TblConstr[[#This Row],[Tot GT]]/TblConstr[[#This Row],[Land]],gt_bonus_cap), 4) + IF(TblMagic[[#This Row],[Active Howling]]&gt;0,howling_dp_bonus,IF(TblMagic[[#This Row],[Active Ares Call]]&gt;0,ares_call_bonus))</f>
        <v>0</v>
      </c>
      <c r="V84" s="249">
        <f ca="1">TblMili[[#This Row],[Non Draft]] * (1 + TblMili[[#This Row],[Mods_Def]])</f>
        <v>0</v>
      </c>
      <c r="W84" s="247">
        <f ca="1">TblMili[[#This Row],[Draft]] * (1 + TblMili[[#This Row],[Mods_Def]])</f>
        <v>556</v>
      </c>
      <c r="X84" s="247">
        <f ca="1">TblConstr[[#This Row],[Land]]</f>
        <v>50</v>
      </c>
      <c r="Y84" s="250"/>
      <c r="Z84" s="255">
        <f ca="1">IF(TblMili[[#This Row],[Set]]&lt;&gt;"",TblMili[[#This Row],[Set]],OFFSET(TblMili[[#This Row],[Draftrate]],-1,0))</f>
        <v>0.9</v>
      </c>
      <c r="AA84"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556</v>
      </c>
      <c r="AB84" s="154"/>
      <c r="AC84" s="180">
        <f ca="1">(TblConstr[[#This Row],[Tot Smi]]+TblConstr[[#This Row],[Dest Smi]])/(TblConstr[[#This Row],[Land]]-TblExplore[[#This Row],[Land Bonus]]*20)</f>
        <v>0</v>
      </c>
      <c r="AD84" s="137"/>
      <c r="AE84" s="246">
        <f>TblMili[[#This Row],[Hour]]</f>
        <v>81</v>
      </c>
      <c r="AF84" s="138">
        <f ca="1">TblExplore[[#This Row],[Time]]</f>
        <v>46323.333333333139</v>
      </c>
      <c r="AG84" s="179"/>
      <c r="AH84" s="179"/>
      <c r="AI84" s="179"/>
      <c r="AJ84" s="179"/>
      <c r="AK84" s="179"/>
      <c r="AL84" s="179"/>
      <c r="AM84" s="179"/>
      <c r="AN84" s="179"/>
      <c r="AO84" s="420">
        <f ca="1">ROUND(IF(AND(TblMagic[[#This Row],[Active DnD]]&lt;12,TblMagic[[#This Row],[Active DnD]]&gt;5),OFFSET(TblPop[[#This Row],[Draft Growth]],-1,0)*0.375,0),0)</f>
        <v>0</v>
      </c>
      <c r="AP84" s="142"/>
      <c r="AQ84" s="94">
        <f ca="1">TblProd[[#This Row],[Platinum]]</f>
        <v>190111</v>
      </c>
      <c r="AR84" s="94">
        <f ca="1">INDEX(TblProd[[#Headers],[Lumber]]:TblProd[[#This Row],[Ore]],COUNTA(TblProd[[#Headers],[Lumber]]:TblProd[[#This Row],[Lumber]]),MATCH(Military!$AR$2,TblProd[[#Headers],[Lumber]:[Ore]],0))</f>
        <v>0</v>
      </c>
      <c r="AS8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84" s="94">
        <f ca="1">TblMili[[#This Row],[Train Unit 1]]*TblMili[[#This Row],[OP Ore]]+TblMili[[#This Row],[Train Unit 2]]*TblMili[[#This Row],[DP Ore]]+TblMili[[#This Row],[Train Unit 3]]*TblMili[[#This Row],[E1 Ore]]+TblMili[[#This Row],[Train Unit 4]]*TblMili[[#This Row],[E2 Ore]]</f>
        <v>0</v>
      </c>
      <c r="AU84" s="142">
        <f>TblMili[[#This Row],[Hour]]</f>
        <v>81</v>
      </c>
      <c r="AV84" s="152">
        <f ca="1">TblMili[[#This Row],[Time]]</f>
        <v>46323.333333333139</v>
      </c>
      <c r="AW84" s="94">
        <f ca="1">TblMili[[#This Row],[Draftees]]</f>
        <v>556</v>
      </c>
      <c r="AX84" s="158"/>
      <c r="AY84" s="179"/>
      <c r="AZ84" s="179"/>
      <c r="BA84" s="179"/>
      <c r="BB84" s="179"/>
      <c r="BC84" s="179"/>
      <c r="BD84" s="179"/>
      <c r="BE84" s="179"/>
      <c r="BF84" s="179"/>
      <c r="BG84" s="142"/>
      <c r="BH84" s="157">
        <f ca="1">TblConstr[[#This Row],[Tot WG]]/TblConstr[[#This Row],[Land]]</f>
        <v>0</v>
      </c>
      <c r="BI84" s="157">
        <f ca="1">TblConstr[[#This Row],[Tot Hav]]/TblConstr[[#This Row],[Land]]</f>
        <v>0</v>
      </c>
      <c r="BJ84" s="94">
        <f ca="1">ROUNDUP((1-MIN(TblMili[[#This Row],[Smithies]]*smithy_bonus,smithy_bonus_cap) + tech_3_5*TblTech[[#This Row],[3-5]] + tech_5_3*TblTech[[#This Row],[5-3]] + tech_5_5*TblTech[[#This Row],[5-5]])*spec_op_plat,0)</f>
        <v>315</v>
      </c>
      <c r="BK84" s="94">
        <f ca="1">ROUNDUP(IF(race="Gnome",1,(1-MIN(TblMili[[#This Row],[Smithies]]*smithy_bonus,smithy_bonus_cap) + tech_3_5*TblTech[[#This Row],[3-5]] + tech_5_3*TblTech[[#This Row],[5-3]] + tech_5_5*TblTech[[#This Row],[5-5]]))*spec_op_ore,0)</f>
        <v>25</v>
      </c>
      <c r="BL84" s="94">
        <f ca="1">ROUNDUP((1-MIN(TblMili[[#This Row],[Smithies]]*smithy_bonus,smithy_bonus_cap) + tech_3_5*TblTech[[#This Row],[3-5]] + tech_5_3*TblTech[[#This Row],[5-3]] + tech_5_5*TblTech[[#This Row],[5-5]])*spec_dp_plat,0)</f>
        <v>275</v>
      </c>
      <c r="BM84" s="94">
        <f ca="1">ROUNDUP(IF(race="Gnome",1,(1-MIN(TblMili[[#This Row],[Smithies]]*smithy_bonus,smithy_bonus_cap) + tech_3_5*TblTech[[#This Row],[3-5]] + tech_5_3*TblTech[[#This Row],[5-3]] + tech_5_5*TblTech[[#This Row],[5-5]]))*spec_dp_ore,0)</f>
        <v>15</v>
      </c>
      <c r="BN84" s="94">
        <f ca="1">ROUNDUP((1-MIN(TblMili[[#This Row],[Smithies]]*smithy_bonus,smithy_bonus_cap) + tech_3_5*TblTech[[#This Row],[3-5]] + tech_5_3*TblTech[[#This Row],[5-3]] + tech_5_5*TblTech[[#This Row],[5-5]])*elite1_plat,0)</f>
        <v>1040</v>
      </c>
      <c r="BO84" s="94">
        <f ca="1">ROUNDUP(IF(race="Gnome",1,(1-MIN(TblMili[[#This Row],[Smithies]]*smithy_bonus,smithy_bonus_cap) + tech_3_5*TblTech[[#This Row],[3-5]] + tech_5_3*TblTech[[#This Row],[5-3]] + tech_5_5*TblTech[[#This Row],[5-5]]))*elite1_ore,0)</f>
        <v>75</v>
      </c>
      <c r="BP84" s="94">
        <f ca="1">ROUNDUP((1-MIN(TblMili[[#This Row],[Smithies]]*smithy_bonus,smithy_bonus_cap) + tech_3_5*TblTech[[#This Row],[3-5]] + tech_5_3*TblTech[[#This Row],[5-3]] + tech_5_5*TblTech[[#This Row],[5-5]])*elite2_plat,0)</f>
        <v>1280</v>
      </c>
      <c r="BQ84" s="94">
        <f ca="1">ROUNDUP(IF(race="Gnome",1,(1-MIN(TblMili[[#This Row],[Smithies]]*smithy_bonus,smithy_bonus_cap) + tech_3_5*TblTech[[#This Row],[3-5]] + tech_5_3*TblTech[[#This Row],[5-3]] + tech_5_5*TblTech[[#This Row],[5-5]]))*elite2_ore,0)</f>
        <v>100</v>
      </c>
      <c r="BR84" s="94">
        <f ca="1">ROUNDUP((1-MIN(ROUND(fh_spy_cost_red*TblMili[[#This Row],[FH''s]],4),fh_spy_cost_cap)+ tech_1_9*TblTech[[#This Row],[1-9]] + tech_9_1*TblTech[[#This Row],[9-1]])*spy_plat,0)</f>
        <v>500</v>
      </c>
      <c r="BS84" s="94">
        <f ca="1">ROUNDUP((1-MIN(ROUND(fh_spy_cost_red*TblMili[[#This Row],[FH''s]],4),fh_spy_cost_cap)+ tech_1_9*TblTech[[#This Row],[1-9]] + tech_9_1*TblTech[[#This Row],[9-1]])*archspy_plat,0)</f>
        <v>1000</v>
      </c>
      <c r="BT84" s="94">
        <f ca="1">ROUNDUP((1-MIN(ROUND(wg_wiz_cost_bonus*TblMili[[#This Row],[WG''s]],4),wg_wiz_cost_cap) + tech_1_9_2*TblTech[[#This Row],[1-9]] + tech_9_1_2*TblTech[[#This Row],[9-1]])*wizard_plat,0)</f>
        <v>500</v>
      </c>
      <c r="BU84" s="94">
        <f ca="1">ROUNDUP((1-MIN(ROUND(wg_wiz_cost_bonus*TblMili[[#This Row],[WG''s]],4),wg_wiz_cost_cap) + tech_1_9_2*TblTech[[#This Row],[1-9]] + tech_9_1_2*TblTech[[#This Row],[9-1]])*(archmage_plat + IF(TblMagic[[#This Row],[Active Arc Infusion]]&gt;0,400,0)),0)</f>
        <v>1000</v>
      </c>
      <c r="BV84" s="142"/>
      <c r="BW84" s="157">
        <f ca="1">TblConstr[[#This Row],[Homeland]]/TblConstr[[#This Row],[Land]]</f>
        <v>0.6</v>
      </c>
      <c r="BX84" s="157">
        <f ca="1">TblMili[[#This Row],[WG''s]]</f>
        <v>0</v>
      </c>
      <c r="BY84" s="251">
        <f ca="1">IF(mystic_cap="none",TblMili[[#This Row],[Homeland%]]/mystic_bonus,MIN(mystic_cap,TblMili[[#This Row],[Homeland%]]/mystic_bonus))</f>
        <v>2</v>
      </c>
      <c r="BZ84" s="251">
        <f ca="1">IF(druid_op_cap="none",TblMili[[#This Row],[Homeland%]]/druid_op_bonus,MIN(druid_op_cap,TblMili[[#This Row],[Homeland%]]/druid_op_bonus))</f>
        <v>2</v>
      </c>
      <c r="CA84" s="251">
        <f ca="1">IF(druid_dp_cap="none",TblMili[[#This Row],[Homeland%]]/druid_dp_bonus,MIN(druid_dp_cap,TblMili[[#This Row],[Homeland%]]/druid_dp_bonus))</f>
        <v>2</v>
      </c>
      <c r="CB84" s="251">
        <f ca="1">MIN(dryad_cap,TblMili[[#This Row],[Homeland%]]/dryad_bonus)</f>
        <v>2.9999999999999996</v>
      </c>
      <c r="CC84" s="251">
        <f ca="1">MIN(rocka_cap,TblMili[[#This Row],[Homeland%]]/rocka_bonus)</f>
        <v>2</v>
      </c>
      <c r="CD84" s="251">
        <f ca="1">MIN(adept_op_cap,TblMili[[#This Row],[WG]]/adept_op_bonus)</f>
        <v>0</v>
      </c>
      <c r="CE84" s="251">
        <f ca="1">MIN(adept_dp_cap,TblMili[[#This Row],[WG]]/adept_dp_bonus)</f>
        <v>0</v>
      </c>
      <c r="CF84" s="94">
        <f ca="1">MIN(TblMili[[#This Row],[Unit 3]],TblMili[[#This Row],[Unit 2]])*2</f>
        <v>0</v>
      </c>
      <c r="CG84" s="94">
        <f ca="1">MIN(TblMili[[#This Row],[Unit 1]],TblMili[[#This Row],[Unit 4]])*2</f>
        <v>0</v>
      </c>
      <c r="CH84" s="251">
        <f ca="1">MIN(frost_mage_cap,TblMili[[#This Row],[Homeland%]]/frost_mage_bonus)</f>
        <v>2.9999999999999996</v>
      </c>
      <c r="CI84" s="45">
        <f ca="1">MIN(ice_elem_cap,TblMili[[#This Row],[Raw (2)]]*ice_elem_bonus)</f>
        <v>0</v>
      </c>
      <c r="CJ84" s="251">
        <f t="shared" si="3"/>
        <v>0.83333333333333337</v>
      </c>
      <c r="CK84" s="251">
        <f ca="1">MIN(nox_nightshade_cap,TblConstr[[#This Row],[Homeland]]/TblConstr[[#This Row],[Land]]/nox_nightshade_swamp_bonus)</f>
        <v>4</v>
      </c>
      <c r="CL84" s="251">
        <f ca="1">MIN(TblConstr[[#This Row],[Total Swamp]]/TblConstr[[#This Row],[Land]]/abyss_enforce_bonus,abyss_enforcer_cap)</f>
        <v>0</v>
      </c>
      <c r="CM84" s="251">
        <f ca="1">IF(TblMagic[[#This Row],[Active Infernal Command]]&gt;0,TblMili[[#This Row],[Unit 1]]*infernal_cmd_op,0)</f>
        <v>0</v>
      </c>
      <c r="CN84" s="252"/>
      <c r="CO84" s="252"/>
      <c r="CP84" s="252"/>
      <c r="CQ84" s="251">
        <f ca="1">TblMili[[#This Row],[Mystic]]*2</f>
        <v>4</v>
      </c>
      <c r="CR84" s="251">
        <f ca="1">TblMili[[#This Row],[Druid (op)]]*2</f>
        <v>4</v>
      </c>
      <c r="CS84" s="94">
        <f ca="1">TblMili[[#This Row],[Mystic bonus]]*TblMili[[#This Row],[Unit 3]]+TblMili[[#This Row],[Druid bonus]]*TblMili[[#This Row],[Unit 4]]</f>
        <v>0</v>
      </c>
      <c r="CT84" s="155">
        <f ca="1">TblMili[[#This Row],[Dryad]]*2</f>
        <v>5.9999999999999991</v>
      </c>
      <c r="CU84" s="94">
        <f ca="1">sylvan*(TblMili[[#This Row],[Mystic bonus]]*TblMili[[#This Row],[Unit 3]])</f>
        <v>0</v>
      </c>
      <c r="CV84" s="155">
        <f ca="1">TblMili[[#This Row],[Rockapult]]*2</f>
        <v>4</v>
      </c>
      <c r="CW84" s="94">
        <f ca="1">gnome*(TblMili[[#This Row],[Rockapult bonus]]*TblMili[[#This Row],[Unit 3]])</f>
        <v>0</v>
      </c>
      <c r="CX84" s="155">
        <f ca="1">TblMili[[#This Row],[Adept-DP]]*2</f>
        <v>0</v>
      </c>
      <c r="CY84" s="94">
        <f ca="1">dark_elf*(TblMili[[#This Row],[Adept bonus]]*TblMili[[#This Row],[Unit 3]])</f>
        <v>0</v>
      </c>
      <c r="CZ84" s="155">
        <f ca="1">TblMili[[#This Row],[Frost Mage]]*2</f>
        <v>5.9999999999999991</v>
      </c>
      <c r="DA84" s="155">
        <f ca="1">TblMili[[#This Row],[Ice Elemental]]*2</f>
        <v>0</v>
      </c>
      <c r="DB84" s="94">
        <f ca="1">TblMili[[#This Row],[Frost Mage bonus]]*TblMili[[#This Row],[Unit 3]]+TblMili[[#This Row],[Ice Elemental bonus]]*TblMili[[#This Row],[Unit 4]]</f>
        <v>0</v>
      </c>
      <c r="DC84" s="253"/>
      <c r="DD84" s="143">
        <f ca="1">MIN(SUM(TblConstr[[#This Row],[Plain]:[Water]])/TblMili[[#This Row],[Land]]/favorable_terrain_bonus/100,favorable_terrain_max)</f>
        <v>0</v>
      </c>
      <c r="DE84" s="253"/>
      <c r="DF8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4" s="142"/>
      <c r="DH84" s="254">
        <f ca="1">(TblMili[[#This Row],[Wizards]]+2*TblMili[[#This Row],[Archmages]])/TblConstr[[#This Row],[Land]]</f>
        <v>0</v>
      </c>
      <c r="DI84" s="254">
        <f ca="1">TblMili[[#This Row],[Raw (2)]]*(1+race_wizard_strength+IF(TblMili[[#This Row],[Hour]]&gt;72,tech_magical_weaponry_wiz*TblTech[[#This Row],[3-5]],0))</f>
        <v>0</v>
      </c>
    </row>
    <row r="85" spans="1:113" x14ac:dyDescent="0.2">
      <c r="A85" s="137">
        <f>TblRezone[[#This Row],[Hour]]</f>
        <v>82</v>
      </c>
      <c r="B85" s="246">
        <f ca="1">SUM(TblMili[[#This Row],[Unit 1]:[Archmages]])+SUM(OFFSET(TblMili[[#This Row],[Train Unit 1]],-8,0):TblMili[[#This Row],[Train Unit 2]]) + SUM(OFFSET(TblMili[[#This Row],[Train Unit 3]],-11,0):TblMili[[#This Row],[Train AM]]) + TblMili[[#This Row],[Draftees]]</f>
        <v>558</v>
      </c>
      <c r="C85" s="157">
        <f ca="1">TblPop[[#This Row],[Military%]]</f>
        <v>0.72561768530559168</v>
      </c>
      <c r="D85" s="142"/>
      <c r="E85" s="45">
        <f ca="1">OFFSET(TblMili[[#This Row],[Unit 1]],-1,0) + OFFSET(TblMili[[#This Row],[Train Unit 1]],-9,0) - TblMili[[#This Row],[Release Unit 1]] + OFFSET(TblMili[[#This Row],[DnD_Zombies]],-12,0)</f>
        <v>0</v>
      </c>
      <c r="F85" s="45">
        <f ca="1">OFFSET(TblMili[[#This Row],[Unit 2]],-1,0) + OFFSET(TblMili[[#This Row],[Train Unit 2]],-9,0)-TblMili[[#This Row],[Release Unit 2]]</f>
        <v>0</v>
      </c>
      <c r="G85" s="45">
        <f ca="1">OFFSET(TblMili[[#This Row],[Unit 3]],-1,0) + OFFSET(TblMili[[#This Row],[Train Unit 3]],-12,0)-TblMili[[#This Row],[Release Unit 3]]</f>
        <v>0</v>
      </c>
      <c r="H85" s="45">
        <f ca="1">OFFSET(TblMili[[#This Row],[Unit 4]],-1,0) + OFFSET(TblMili[[#This Row],[Train Unit 4]],-12,0)-TblMili[[#This Row],[Release Unit 4]]</f>
        <v>0</v>
      </c>
      <c r="I85" s="45">
        <f ca="1">OFFSET(TblMili[[#This Row],[Spies]],-1,0) + OFFSET(TblMili[[#This Row],[Train Spies]],-12,0) - TblMili[[#This Row],[Release Spies]]-TblMili[[#This Row],[Train AS]]</f>
        <v>0</v>
      </c>
      <c r="J85" s="45">
        <f ca="1">OFFSET(TblMili[[#This Row],[Archspies]],-1,0) + OFFSET(TblMili[[#This Row],[Train AS]],-12,0) - TblMili[[#This Row],[Release AS]]</f>
        <v>0</v>
      </c>
      <c r="K85" s="45">
        <f ca="1">OFFSET(TblMili[[#This Row],[Wizards]],-1,0) + OFFSET(TblMili[[#This Row],[Train Wiz]],-12,0) - TblMili[[#This Row],[Release Wizards]]-TblMili[[#This Row],[Train AM]] + IF(TblMagic[[#This Row],[Active Arc Infusion]]&gt;0,TblMili[[#This Row],[Train AM]])</f>
        <v>0</v>
      </c>
      <c r="L85" s="45">
        <f ca="1">OFFSET(TblMili[[#This Row],[Archmages]],-1,0) + OFFSET(TblMili[[#This Row],[Train AM]],-12,0) - TblMili[[#This Row],[Release AM]]</f>
        <v>0</v>
      </c>
      <c r="M85" s="142"/>
      <c r="N85" s="94">
        <f ca="1">TblProd[[#This Row],[Networth]]</f>
        <v>1250</v>
      </c>
      <c r="O85" s="142"/>
      <c r="P85"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8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5" s="247">
        <f ca="1">TblMili[[#This Row],[Raw]]*(1+TblMili[[#This Row],[Mods_Off]])</f>
        <v>0</v>
      </c>
      <c r="S85"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85" s="247">
        <f ca="1">TblMili[[#This Row],[Non Draft]]+TblMili[[#This Row],[Draftees]]</f>
        <v>558</v>
      </c>
      <c r="U85" s="248">
        <f ca="1">race_defense + TblImps[[#This Row],[Walls]] + ROUND( MIN(gt_bonus*TblConstr[[#This Row],[Tot GT]]/TblConstr[[#This Row],[Land]],gt_bonus_cap), 4) + IF(TblMagic[[#This Row],[Active Howling]]&gt;0,howling_dp_bonus,IF(TblMagic[[#This Row],[Active Ares Call]]&gt;0,ares_call_bonus))</f>
        <v>0</v>
      </c>
      <c r="V85" s="249">
        <f ca="1">TblMili[[#This Row],[Non Draft]] * (1 + TblMili[[#This Row],[Mods_Def]])</f>
        <v>0</v>
      </c>
      <c r="W85" s="247">
        <f ca="1">TblMili[[#This Row],[Draft]] * (1 + TblMili[[#This Row],[Mods_Def]])</f>
        <v>558</v>
      </c>
      <c r="X85" s="247">
        <f ca="1">TblConstr[[#This Row],[Land]]</f>
        <v>50</v>
      </c>
      <c r="Y85" s="250"/>
      <c r="Z85" s="255">
        <f ca="1">IF(TblMili[[#This Row],[Set]]&lt;&gt;"",TblMili[[#This Row],[Set]],OFFSET(TblMili[[#This Row],[Draftrate]],-1,0))</f>
        <v>0.9</v>
      </c>
      <c r="AA85"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558</v>
      </c>
      <c r="AB85" s="154"/>
      <c r="AC85" s="180">
        <f ca="1">(TblConstr[[#This Row],[Tot Smi]]+TblConstr[[#This Row],[Dest Smi]])/(TblConstr[[#This Row],[Land]]-TblExplore[[#This Row],[Land Bonus]]*20)</f>
        <v>0</v>
      </c>
      <c r="AD85" s="137"/>
      <c r="AE85" s="246">
        <f>TblMili[[#This Row],[Hour]]</f>
        <v>82</v>
      </c>
      <c r="AF85" s="138">
        <f ca="1">TblExplore[[#This Row],[Time]]</f>
        <v>46323.374999999804</v>
      </c>
      <c r="AG85" s="179"/>
      <c r="AH85" s="179"/>
      <c r="AI85" s="179"/>
      <c r="AJ85" s="179"/>
      <c r="AK85" s="179"/>
      <c r="AL85" s="179"/>
      <c r="AM85" s="179"/>
      <c r="AN85" s="179"/>
      <c r="AO85" s="420">
        <f ca="1">ROUND(IF(AND(TblMagic[[#This Row],[Active DnD]]&lt;12,TblMagic[[#This Row],[Active DnD]]&gt;5),OFFSET(TblPop[[#This Row],[Draft Growth]],-1,0)*0.375,0),0)</f>
        <v>0</v>
      </c>
      <c r="AP85" s="142"/>
      <c r="AQ85" s="94">
        <f ca="1">TblProd[[#This Row],[Platinum]]</f>
        <v>190686</v>
      </c>
      <c r="AR85" s="94">
        <f ca="1">INDEX(TblProd[[#Headers],[Lumber]]:TblProd[[#This Row],[Ore]],COUNTA(TblProd[[#Headers],[Lumber]]:TblProd[[#This Row],[Lumber]]),MATCH(Military!$AR$2,TblProd[[#Headers],[Lumber]:[Ore]],0))</f>
        <v>0</v>
      </c>
      <c r="AS8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85" s="94">
        <f ca="1">TblMili[[#This Row],[Train Unit 1]]*TblMili[[#This Row],[OP Ore]]+TblMili[[#This Row],[Train Unit 2]]*TblMili[[#This Row],[DP Ore]]+TblMili[[#This Row],[Train Unit 3]]*TblMili[[#This Row],[E1 Ore]]+TblMili[[#This Row],[Train Unit 4]]*TblMili[[#This Row],[E2 Ore]]</f>
        <v>0</v>
      </c>
      <c r="AU85" s="142">
        <f>TblMili[[#This Row],[Hour]]</f>
        <v>82</v>
      </c>
      <c r="AV85" s="152">
        <f ca="1">TblMili[[#This Row],[Time]]</f>
        <v>46323.374999999804</v>
      </c>
      <c r="AW85" s="94">
        <f ca="1">TblMili[[#This Row],[Draftees]]</f>
        <v>558</v>
      </c>
      <c r="AX85" s="158"/>
      <c r="AY85" s="179"/>
      <c r="AZ85" s="179"/>
      <c r="BA85" s="179"/>
      <c r="BB85" s="179"/>
      <c r="BC85" s="179"/>
      <c r="BD85" s="179"/>
      <c r="BE85" s="179"/>
      <c r="BF85" s="179"/>
      <c r="BG85" s="142"/>
      <c r="BH85" s="157">
        <f ca="1">TblConstr[[#This Row],[Tot WG]]/TblConstr[[#This Row],[Land]]</f>
        <v>0</v>
      </c>
      <c r="BI85" s="157">
        <f ca="1">TblConstr[[#This Row],[Tot Hav]]/TblConstr[[#This Row],[Land]]</f>
        <v>0</v>
      </c>
      <c r="BJ85" s="94">
        <f ca="1">ROUNDUP((1-MIN(TblMili[[#This Row],[Smithies]]*smithy_bonus,smithy_bonus_cap) + tech_3_5*TblTech[[#This Row],[3-5]] + tech_5_3*TblTech[[#This Row],[5-3]] + tech_5_5*TblTech[[#This Row],[5-5]])*spec_op_plat,0)</f>
        <v>315</v>
      </c>
      <c r="BK85" s="94">
        <f ca="1">ROUNDUP(IF(race="Gnome",1,(1-MIN(TblMili[[#This Row],[Smithies]]*smithy_bonus,smithy_bonus_cap) + tech_3_5*TblTech[[#This Row],[3-5]] + tech_5_3*TblTech[[#This Row],[5-3]] + tech_5_5*TblTech[[#This Row],[5-5]]))*spec_op_ore,0)</f>
        <v>25</v>
      </c>
      <c r="BL85" s="94">
        <f ca="1">ROUNDUP((1-MIN(TblMili[[#This Row],[Smithies]]*smithy_bonus,smithy_bonus_cap) + tech_3_5*TblTech[[#This Row],[3-5]] + tech_5_3*TblTech[[#This Row],[5-3]] + tech_5_5*TblTech[[#This Row],[5-5]])*spec_dp_plat,0)</f>
        <v>275</v>
      </c>
      <c r="BM85" s="94">
        <f ca="1">ROUNDUP(IF(race="Gnome",1,(1-MIN(TblMili[[#This Row],[Smithies]]*smithy_bonus,smithy_bonus_cap) + tech_3_5*TblTech[[#This Row],[3-5]] + tech_5_3*TblTech[[#This Row],[5-3]] + tech_5_5*TblTech[[#This Row],[5-5]]))*spec_dp_ore,0)</f>
        <v>15</v>
      </c>
      <c r="BN85" s="94">
        <f ca="1">ROUNDUP((1-MIN(TblMili[[#This Row],[Smithies]]*smithy_bonus,smithy_bonus_cap) + tech_3_5*TblTech[[#This Row],[3-5]] + tech_5_3*TblTech[[#This Row],[5-3]] + tech_5_5*TblTech[[#This Row],[5-5]])*elite1_plat,0)</f>
        <v>1040</v>
      </c>
      <c r="BO85" s="94">
        <f ca="1">ROUNDUP(IF(race="Gnome",1,(1-MIN(TblMili[[#This Row],[Smithies]]*smithy_bonus,smithy_bonus_cap) + tech_3_5*TblTech[[#This Row],[3-5]] + tech_5_3*TblTech[[#This Row],[5-3]] + tech_5_5*TblTech[[#This Row],[5-5]]))*elite1_ore,0)</f>
        <v>75</v>
      </c>
      <c r="BP85" s="94">
        <f ca="1">ROUNDUP((1-MIN(TblMili[[#This Row],[Smithies]]*smithy_bonus,smithy_bonus_cap) + tech_3_5*TblTech[[#This Row],[3-5]] + tech_5_3*TblTech[[#This Row],[5-3]] + tech_5_5*TblTech[[#This Row],[5-5]])*elite2_plat,0)</f>
        <v>1280</v>
      </c>
      <c r="BQ85" s="94">
        <f ca="1">ROUNDUP(IF(race="Gnome",1,(1-MIN(TblMili[[#This Row],[Smithies]]*smithy_bonus,smithy_bonus_cap) + tech_3_5*TblTech[[#This Row],[3-5]] + tech_5_3*TblTech[[#This Row],[5-3]] + tech_5_5*TblTech[[#This Row],[5-5]]))*elite2_ore,0)</f>
        <v>100</v>
      </c>
      <c r="BR85" s="94">
        <f ca="1">ROUNDUP((1-MIN(ROUND(fh_spy_cost_red*TblMili[[#This Row],[FH''s]],4),fh_spy_cost_cap)+ tech_1_9*TblTech[[#This Row],[1-9]] + tech_9_1*TblTech[[#This Row],[9-1]])*spy_plat,0)</f>
        <v>500</v>
      </c>
      <c r="BS85" s="94">
        <f ca="1">ROUNDUP((1-MIN(ROUND(fh_spy_cost_red*TblMili[[#This Row],[FH''s]],4),fh_spy_cost_cap)+ tech_1_9*TblTech[[#This Row],[1-9]] + tech_9_1*TblTech[[#This Row],[9-1]])*archspy_plat,0)</f>
        <v>1000</v>
      </c>
      <c r="BT85" s="94">
        <f ca="1">ROUNDUP((1-MIN(ROUND(wg_wiz_cost_bonus*TblMili[[#This Row],[WG''s]],4),wg_wiz_cost_cap) + tech_1_9_2*TblTech[[#This Row],[1-9]] + tech_9_1_2*TblTech[[#This Row],[9-1]])*wizard_plat,0)</f>
        <v>500</v>
      </c>
      <c r="BU85" s="94">
        <f ca="1">ROUNDUP((1-MIN(ROUND(wg_wiz_cost_bonus*TblMili[[#This Row],[WG''s]],4),wg_wiz_cost_cap) + tech_1_9_2*TblTech[[#This Row],[1-9]] + tech_9_1_2*TblTech[[#This Row],[9-1]])*(archmage_plat + IF(TblMagic[[#This Row],[Active Arc Infusion]]&gt;0,400,0)),0)</f>
        <v>1000</v>
      </c>
      <c r="BV85" s="142"/>
      <c r="BW85" s="157">
        <f ca="1">TblConstr[[#This Row],[Homeland]]/TblConstr[[#This Row],[Land]]</f>
        <v>0.6</v>
      </c>
      <c r="BX85" s="157">
        <f ca="1">TblMili[[#This Row],[WG''s]]</f>
        <v>0</v>
      </c>
      <c r="BY85" s="251">
        <f ca="1">IF(mystic_cap="none",TblMili[[#This Row],[Homeland%]]/mystic_bonus,MIN(mystic_cap,TblMili[[#This Row],[Homeland%]]/mystic_bonus))</f>
        <v>2</v>
      </c>
      <c r="BZ85" s="251">
        <f ca="1">IF(druid_op_cap="none",TblMili[[#This Row],[Homeland%]]/druid_op_bonus,MIN(druid_op_cap,TblMili[[#This Row],[Homeland%]]/druid_op_bonus))</f>
        <v>2</v>
      </c>
      <c r="CA85" s="251">
        <f ca="1">IF(druid_dp_cap="none",TblMili[[#This Row],[Homeland%]]/druid_dp_bonus,MIN(druid_dp_cap,TblMili[[#This Row],[Homeland%]]/druid_dp_bonus))</f>
        <v>2</v>
      </c>
      <c r="CB85" s="251">
        <f ca="1">MIN(dryad_cap,TblMili[[#This Row],[Homeland%]]/dryad_bonus)</f>
        <v>2.9999999999999996</v>
      </c>
      <c r="CC85" s="251">
        <f ca="1">MIN(rocka_cap,TblMili[[#This Row],[Homeland%]]/rocka_bonus)</f>
        <v>2</v>
      </c>
      <c r="CD85" s="251">
        <f ca="1">MIN(adept_op_cap,TblMili[[#This Row],[WG]]/adept_op_bonus)</f>
        <v>0</v>
      </c>
      <c r="CE85" s="251">
        <f ca="1">MIN(adept_dp_cap,TblMili[[#This Row],[WG]]/adept_dp_bonus)</f>
        <v>0</v>
      </c>
      <c r="CF85" s="94">
        <f ca="1">MIN(TblMili[[#This Row],[Unit 3]],TblMili[[#This Row],[Unit 2]])*2</f>
        <v>0</v>
      </c>
      <c r="CG85" s="94">
        <f ca="1">MIN(TblMili[[#This Row],[Unit 1]],TblMili[[#This Row],[Unit 4]])*2</f>
        <v>0</v>
      </c>
      <c r="CH85" s="251">
        <f ca="1">MIN(frost_mage_cap,TblMili[[#This Row],[Homeland%]]/frost_mage_bonus)</f>
        <v>2.9999999999999996</v>
      </c>
      <c r="CI85" s="45">
        <f ca="1">MIN(ice_elem_cap,TblMili[[#This Row],[Raw (2)]]*ice_elem_bonus)</f>
        <v>0</v>
      </c>
      <c r="CJ85" s="251">
        <f t="shared" si="3"/>
        <v>0.83333333333333337</v>
      </c>
      <c r="CK85" s="251">
        <f ca="1">MIN(nox_nightshade_cap,TblConstr[[#This Row],[Homeland]]/TblConstr[[#This Row],[Land]]/nox_nightshade_swamp_bonus)</f>
        <v>4</v>
      </c>
      <c r="CL85" s="251">
        <f ca="1">MIN(TblConstr[[#This Row],[Total Swamp]]/TblConstr[[#This Row],[Land]]/abyss_enforce_bonus,abyss_enforcer_cap)</f>
        <v>0</v>
      </c>
      <c r="CM85" s="251">
        <f ca="1">IF(TblMagic[[#This Row],[Active Infernal Command]]&gt;0,TblMili[[#This Row],[Unit 1]]*infernal_cmd_op,0)</f>
        <v>0</v>
      </c>
      <c r="CN85" s="252"/>
      <c r="CO85" s="252"/>
      <c r="CP85" s="252"/>
      <c r="CQ85" s="251">
        <f ca="1">TblMili[[#This Row],[Mystic]]*2</f>
        <v>4</v>
      </c>
      <c r="CR85" s="251">
        <f ca="1">TblMili[[#This Row],[Druid (op)]]*2</f>
        <v>4</v>
      </c>
      <c r="CS85" s="94">
        <f ca="1">TblMili[[#This Row],[Mystic bonus]]*TblMili[[#This Row],[Unit 3]]+TblMili[[#This Row],[Druid bonus]]*TblMili[[#This Row],[Unit 4]]</f>
        <v>0</v>
      </c>
      <c r="CT85" s="155">
        <f ca="1">TblMili[[#This Row],[Dryad]]*2</f>
        <v>5.9999999999999991</v>
      </c>
      <c r="CU85" s="94">
        <f ca="1">sylvan*(TblMili[[#This Row],[Mystic bonus]]*TblMili[[#This Row],[Unit 3]])</f>
        <v>0</v>
      </c>
      <c r="CV85" s="155">
        <f ca="1">TblMili[[#This Row],[Rockapult]]*2</f>
        <v>4</v>
      </c>
      <c r="CW85" s="94">
        <f ca="1">gnome*(TblMili[[#This Row],[Rockapult bonus]]*TblMili[[#This Row],[Unit 3]])</f>
        <v>0</v>
      </c>
      <c r="CX85" s="155">
        <f ca="1">TblMili[[#This Row],[Adept-DP]]*2</f>
        <v>0</v>
      </c>
      <c r="CY85" s="94">
        <f ca="1">dark_elf*(TblMili[[#This Row],[Adept bonus]]*TblMili[[#This Row],[Unit 3]])</f>
        <v>0</v>
      </c>
      <c r="CZ85" s="155">
        <f ca="1">TblMili[[#This Row],[Frost Mage]]*2</f>
        <v>5.9999999999999991</v>
      </c>
      <c r="DA85" s="155">
        <f ca="1">TblMili[[#This Row],[Ice Elemental]]*2</f>
        <v>0</v>
      </c>
      <c r="DB85" s="94">
        <f ca="1">TblMili[[#This Row],[Frost Mage bonus]]*TblMili[[#This Row],[Unit 3]]+TblMili[[#This Row],[Ice Elemental bonus]]*TblMili[[#This Row],[Unit 4]]</f>
        <v>0</v>
      </c>
      <c r="DC85" s="253"/>
      <c r="DD85" s="143">
        <f ca="1">MIN(SUM(TblConstr[[#This Row],[Plain]:[Water]])/TblMili[[#This Row],[Land]]/favorable_terrain_bonus/100,favorable_terrain_max)</f>
        <v>0</v>
      </c>
      <c r="DE85" s="253"/>
      <c r="DF8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5" s="142"/>
      <c r="DH85" s="254">
        <f ca="1">(TblMili[[#This Row],[Wizards]]+2*TblMili[[#This Row],[Archmages]])/TblConstr[[#This Row],[Land]]</f>
        <v>0</v>
      </c>
      <c r="DI85" s="254">
        <f ca="1">TblMili[[#This Row],[Raw (2)]]*(1+race_wizard_strength+IF(TblMili[[#This Row],[Hour]]&gt;72,tech_magical_weaponry_wiz*TblTech[[#This Row],[3-5]],0))</f>
        <v>0</v>
      </c>
    </row>
    <row r="86" spans="1:113" x14ac:dyDescent="0.2">
      <c r="A86" s="137">
        <f>TblRezone[[#This Row],[Hour]]</f>
        <v>83</v>
      </c>
      <c r="B86" s="246">
        <f ca="1">SUM(TblMili[[#This Row],[Unit 1]:[Archmages]])+SUM(OFFSET(TblMili[[#This Row],[Train Unit 1]],-8,0):TblMili[[#This Row],[Train Unit 2]]) + SUM(OFFSET(TblMili[[#This Row],[Train Unit 3]],-11,0):TblMili[[#This Row],[Train AM]]) + TblMili[[#This Row],[Draftees]]</f>
        <v>560</v>
      </c>
      <c r="C86" s="157">
        <f ca="1">TblPop[[#This Row],[Military%]]</f>
        <v>0.72821846553966185</v>
      </c>
      <c r="D86" s="142"/>
      <c r="E86" s="45">
        <f ca="1">OFFSET(TblMili[[#This Row],[Unit 1]],-1,0) + OFFSET(TblMili[[#This Row],[Train Unit 1]],-9,0) - TblMili[[#This Row],[Release Unit 1]] + OFFSET(TblMili[[#This Row],[DnD_Zombies]],-12,0)</f>
        <v>0</v>
      </c>
      <c r="F86" s="45">
        <f ca="1">OFFSET(TblMili[[#This Row],[Unit 2]],-1,0) + OFFSET(TblMili[[#This Row],[Train Unit 2]],-9,0)-TblMili[[#This Row],[Release Unit 2]]</f>
        <v>0</v>
      </c>
      <c r="G86" s="45">
        <f ca="1">OFFSET(TblMili[[#This Row],[Unit 3]],-1,0) + OFFSET(TblMili[[#This Row],[Train Unit 3]],-12,0)-TblMili[[#This Row],[Release Unit 3]]</f>
        <v>0</v>
      </c>
      <c r="H86" s="45">
        <f ca="1">OFFSET(TblMili[[#This Row],[Unit 4]],-1,0) + OFFSET(TblMili[[#This Row],[Train Unit 4]],-12,0)-TblMili[[#This Row],[Release Unit 4]]</f>
        <v>0</v>
      </c>
      <c r="I86" s="45">
        <f ca="1">OFFSET(TblMili[[#This Row],[Spies]],-1,0) + OFFSET(TblMili[[#This Row],[Train Spies]],-12,0) - TblMili[[#This Row],[Release Spies]]-TblMili[[#This Row],[Train AS]]</f>
        <v>0</v>
      </c>
      <c r="J86" s="45">
        <f ca="1">OFFSET(TblMili[[#This Row],[Archspies]],-1,0) + OFFSET(TblMili[[#This Row],[Train AS]],-12,0) - TblMili[[#This Row],[Release AS]]</f>
        <v>0</v>
      </c>
      <c r="K86" s="45">
        <f ca="1">OFFSET(TblMili[[#This Row],[Wizards]],-1,0) + OFFSET(TblMili[[#This Row],[Train Wiz]],-12,0) - TblMili[[#This Row],[Release Wizards]]-TblMili[[#This Row],[Train AM]] + IF(TblMagic[[#This Row],[Active Arc Infusion]]&gt;0,TblMili[[#This Row],[Train AM]])</f>
        <v>0</v>
      </c>
      <c r="L86" s="45">
        <f ca="1">OFFSET(TblMili[[#This Row],[Archmages]],-1,0) + OFFSET(TblMili[[#This Row],[Train AM]],-12,0) - TblMili[[#This Row],[Release AM]]</f>
        <v>0</v>
      </c>
      <c r="M86" s="142"/>
      <c r="N86" s="94">
        <f ca="1">TblProd[[#This Row],[Networth]]</f>
        <v>1250</v>
      </c>
      <c r="O86" s="142"/>
      <c r="P86"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8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6" s="247">
        <f ca="1">TblMili[[#This Row],[Raw]]*(1+TblMili[[#This Row],[Mods_Off]])</f>
        <v>0</v>
      </c>
      <c r="S86"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86" s="247">
        <f ca="1">TblMili[[#This Row],[Non Draft]]+TblMili[[#This Row],[Draftees]]</f>
        <v>560</v>
      </c>
      <c r="U86" s="248">
        <f ca="1">race_defense + TblImps[[#This Row],[Walls]] + ROUND( MIN(gt_bonus*TblConstr[[#This Row],[Tot GT]]/TblConstr[[#This Row],[Land]],gt_bonus_cap), 4) + IF(TblMagic[[#This Row],[Active Howling]]&gt;0,howling_dp_bonus,IF(TblMagic[[#This Row],[Active Ares Call]]&gt;0,ares_call_bonus))</f>
        <v>0</v>
      </c>
      <c r="V86" s="249">
        <f ca="1">TblMili[[#This Row],[Non Draft]] * (1 + TblMili[[#This Row],[Mods_Def]])</f>
        <v>0</v>
      </c>
      <c r="W86" s="247">
        <f ca="1">TblMili[[#This Row],[Draft]] * (1 + TblMili[[#This Row],[Mods_Def]])</f>
        <v>560</v>
      </c>
      <c r="X86" s="247">
        <f ca="1">TblConstr[[#This Row],[Land]]</f>
        <v>50</v>
      </c>
      <c r="Y86" s="250"/>
      <c r="Z86" s="255">
        <f ca="1">IF(TblMili[[#This Row],[Set]]&lt;&gt;"",TblMili[[#This Row],[Set]],OFFSET(TblMili[[#This Row],[Draftrate]],-1,0))</f>
        <v>0.9</v>
      </c>
      <c r="AA86"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560</v>
      </c>
      <c r="AB86" s="154"/>
      <c r="AC86" s="180">
        <f ca="1">(TblConstr[[#This Row],[Tot Smi]]+TblConstr[[#This Row],[Dest Smi]])/(TblConstr[[#This Row],[Land]]-TblExplore[[#This Row],[Land Bonus]]*20)</f>
        <v>0</v>
      </c>
      <c r="AD86" s="137"/>
      <c r="AE86" s="246">
        <f>TblMili[[#This Row],[Hour]]</f>
        <v>83</v>
      </c>
      <c r="AF86" s="138">
        <f ca="1">TblExplore[[#This Row],[Time]]</f>
        <v>46323.416666666468</v>
      </c>
      <c r="AG86" s="179"/>
      <c r="AH86" s="179"/>
      <c r="AI86" s="179"/>
      <c r="AJ86" s="179"/>
      <c r="AK86" s="179"/>
      <c r="AL86" s="179"/>
      <c r="AM86" s="179"/>
      <c r="AN86" s="179"/>
      <c r="AO86" s="420">
        <f ca="1">ROUND(IF(AND(TblMagic[[#This Row],[Active DnD]]&lt;12,TblMagic[[#This Row],[Active DnD]]&gt;5),OFFSET(TblPop[[#This Row],[Draft Growth]],-1,0)*0.375,0),0)</f>
        <v>0</v>
      </c>
      <c r="AP86" s="142"/>
      <c r="AQ86" s="94">
        <f ca="1">TblProd[[#This Row],[Platinum]]</f>
        <v>191255</v>
      </c>
      <c r="AR86" s="94">
        <f ca="1">INDEX(TblProd[[#Headers],[Lumber]]:TblProd[[#This Row],[Ore]],COUNTA(TblProd[[#Headers],[Lumber]]:TblProd[[#This Row],[Lumber]]),MATCH(Military!$AR$2,TblProd[[#Headers],[Lumber]:[Ore]],0))</f>
        <v>0</v>
      </c>
      <c r="AS8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86" s="94">
        <f ca="1">TblMili[[#This Row],[Train Unit 1]]*TblMili[[#This Row],[OP Ore]]+TblMili[[#This Row],[Train Unit 2]]*TblMili[[#This Row],[DP Ore]]+TblMili[[#This Row],[Train Unit 3]]*TblMili[[#This Row],[E1 Ore]]+TblMili[[#This Row],[Train Unit 4]]*TblMili[[#This Row],[E2 Ore]]</f>
        <v>0</v>
      </c>
      <c r="AU86" s="142">
        <f>TblMili[[#This Row],[Hour]]</f>
        <v>83</v>
      </c>
      <c r="AV86" s="152">
        <f ca="1">TblMili[[#This Row],[Time]]</f>
        <v>46323.416666666468</v>
      </c>
      <c r="AW86" s="94">
        <f ca="1">TblMili[[#This Row],[Draftees]]</f>
        <v>560</v>
      </c>
      <c r="AX86" s="158"/>
      <c r="AY86" s="179"/>
      <c r="AZ86" s="179"/>
      <c r="BA86" s="179"/>
      <c r="BB86" s="179"/>
      <c r="BC86" s="179"/>
      <c r="BD86" s="179"/>
      <c r="BE86" s="179"/>
      <c r="BF86" s="179"/>
      <c r="BG86" s="142"/>
      <c r="BH86" s="157">
        <f ca="1">TblConstr[[#This Row],[Tot WG]]/TblConstr[[#This Row],[Land]]</f>
        <v>0</v>
      </c>
      <c r="BI86" s="157">
        <f ca="1">TblConstr[[#This Row],[Tot Hav]]/TblConstr[[#This Row],[Land]]</f>
        <v>0</v>
      </c>
      <c r="BJ86" s="94">
        <f ca="1">ROUNDUP((1-MIN(TblMili[[#This Row],[Smithies]]*smithy_bonus,smithy_bonus_cap) + tech_3_5*TblTech[[#This Row],[3-5]] + tech_5_3*TblTech[[#This Row],[5-3]] + tech_5_5*TblTech[[#This Row],[5-5]])*spec_op_plat,0)</f>
        <v>315</v>
      </c>
      <c r="BK86" s="94">
        <f ca="1">ROUNDUP(IF(race="Gnome",1,(1-MIN(TblMili[[#This Row],[Smithies]]*smithy_bonus,smithy_bonus_cap) + tech_3_5*TblTech[[#This Row],[3-5]] + tech_5_3*TblTech[[#This Row],[5-3]] + tech_5_5*TblTech[[#This Row],[5-5]]))*spec_op_ore,0)</f>
        <v>25</v>
      </c>
      <c r="BL86" s="94">
        <f ca="1">ROUNDUP((1-MIN(TblMili[[#This Row],[Smithies]]*smithy_bonus,smithy_bonus_cap) + tech_3_5*TblTech[[#This Row],[3-5]] + tech_5_3*TblTech[[#This Row],[5-3]] + tech_5_5*TblTech[[#This Row],[5-5]])*spec_dp_plat,0)</f>
        <v>275</v>
      </c>
      <c r="BM86" s="94">
        <f ca="1">ROUNDUP(IF(race="Gnome",1,(1-MIN(TblMili[[#This Row],[Smithies]]*smithy_bonus,smithy_bonus_cap) + tech_3_5*TblTech[[#This Row],[3-5]] + tech_5_3*TblTech[[#This Row],[5-3]] + tech_5_5*TblTech[[#This Row],[5-5]]))*spec_dp_ore,0)</f>
        <v>15</v>
      </c>
      <c r="BN86" s="94">
        <f ca="1">ROUNDUP((1-MIN(TblMili[[#This Row],[Smithies]]*smithy_bonus,smithy_bonus_cap) + tech_3_5*TblTech[[#This Row],[3-5]] + tech_5_3*TblTech[[#This Row],[5-3]] + tech_5_5*TblTech[[#This Row],[5-5]])*elite1_plat,0)</f>
        <v>1040</v>
      </c>
      <c r="BO86" s="94">
        <f ca="1">ROUNDUP(IF(race="Gnome",1,(1-MIN(TblMili[[#This Row],[Smithies]]*smithy_bonus,smithy_bonus_cap) + tech_3_5*TblTech[[#This Row],[3-5]] + tech_5_3*TblTech[[#This Row],[5-3]] + tech_5_5*TblTech[[#This Row],[5-5]]))*elite1_ore,0)</f>
        <v>75</v>
      </c>
      <c r="BP86" s="94">
        <f ca="1">ROUNDUP((1-MIN(TblMili[[#This Row],[Smithies]]*smithy_bonus,smithy_bonus_cap) + tech_3_5*TblTech[[#This Row],[3-5]] + tech_5_3*TblTech[[#This Row],[5-3]] + tech_5_5*TblTech[[#This Row],[5-5]])*elite2_plat,0)</f>
        <v>1280</v>
      </c>
      <c r="BQ86" s="94">
        <f ca="1">ROUNDUP(IF(race="Gnome",1,(1-MIN(TblMili[[#This Row],[Smithies]]*smithy_bonus,smithy_bonus_cap) + tech_3_5*TblTech[[#This Row],[3-5]] + tech_5_3*TblTech[[#This Row],[5-3]] + tech_5_5*TblTech[[#This Row],[5-5]]))*elite2_ore,0)</f>
        <v>100</v>
      </c>
      <c r="BR86" s="94">
        <f ca="1">ROUNDUP((1-MIN(ROUND(fh_spy_cost_red*TblMili[[#This Row],[FH''s]],4),fh_spy_cost_cap)+ tech_1_9*TblTech[[#This Row],[1-9]] + tech_9_1*TblTech[[#This Row],[9-1]])*spy_plat,0)</f>
        <v>500</v>
      </c>
      <c r="BS86" s="94">
        <f ca="1">ROUNDUP((1-MIN(ROUND(fh_spy_cost_red*TblMili[[#This Row],[FH''s]],4),fh_spy_cost_cap)+ tech_1_9*TblTech[[#This Row],[1-9]] + tech_9_1*TblTech[[#This Row],[9-1]])*archspy_plat,0)</f>
        <v>1000</v>
      </c>
      <c r="BT86" s="94">
        <f ca="1">ROUNDUP((1-MIN(ROUND(wg_wiz_cost_bonus*TblMili[[#This Row],[WG''s]],4),wg_wiz_cost_cap) + tech_1_9_2*TblTech[[#This Row],[1-9]] + tech_9_1_2*TblTech[[#This Row],[9-1]])*wizard_plat,0)</f>
        <v>500</v>
      </c>
      <c r="BU86" s="94">
        <f ca="1">ROUNDUP((1-MIN(ROUND(wg_wiz_cost_bonus*TblMili[[#This Row],[WG''s]],4),wg_wiz_cost_cap) + tech_1_9_2*TblTech[[#This Row],[1-9]] + tech_9_1_2*TblTech[[#This Row],[9-1]])*(archmage_plat + IF(TblMagic[[#This Row],[Active Arc Infusion]]&gt;0,400,0)),0)</f>
        <v>1000</v>
      </c>
      <c r="BV86" s="142"/>
      <c r="BW86" s="157">
        <f ca="1">TblConstr[[#This Row],[Homeland]]/TblConstr[[#This Row],[Land]]</f>
        <v>0.6</v>
      </c>
      <c r="BX86" s="157">
        <f ca="1">TblMili[[#This Row],[WG''s]]</f>
        <v>0</v>
      </c>
      <c r="BY86" s="251">
        <f ca="1">IF(mystic_cap="none",TblMili[[#This Row],[Homeland%]]/mystic_bonus,MIN(mystic_cap,TblMili[[#This Row],[Homeland%]]/mystic_bonus))</f>
        <v>2</v>
      </c>
      <c r="BZ86" s="251">
        <f ca="1">IF(druid_op_cap="none",TblMili[[#This Row],[Homeland%]]/druid_op_bonus,MIN(druid_op_cap,TblMili[[#This Row],[Homeland%]]/druid_op_bonus))</f>
        <v>2</v>
      </c>
      <c r="CA86" s="251">
        <f ca="1">IF(druid_dp_cap="none",TblMili[[#This Row],[Homeland%]]/druid_dp_bonus,MIN(druid_dp_cap,TblMili[[#This Row],[Homeland%]]/druid_dp_bonus))</f>
        <v>2</v>
      </c>
      <c r="CB86" s="251">
        <f ca="1">MIN(dryad_cap,TblMili[[#This Row],[Homeland%]]/dryad_bonus)</f>
        <v>2.9999999999999996</v>
      </c>
      <c r="CC86" s="251">
        <f ca="1">MIN(rocka_cap,TblMili[[#This Row],[Homeland%]]/rocka_bonus)</f>
        <v>2</v>
      </c>
      <c r="CD86" s="251">
        <f ca="1">MIN(adept_op_cap,TblMili[[#This Row],[WG]]/adept_op_bonus)</f>
        <v>0</v>
      </c>
      <c r="CE86" s="251">
        <f ca="1">MIN(adept_dp_cap,TblMili[[#This Row],[WG]]/adept_dp_bonus)</f>
        <v>0</v>
      </c>
      <c r="CF86" s="94">
        <f ca="1">MIN(TblMili[[#This Row],[Unit 3]],TblMili[[#This Row],[Unit 2]])*2</f>
        <v>0</v>
      </c>
      <c r="CG86" s="94">
        <f ca="1">MIN(TblMili[[#This Row],[Unit 1]],TblMili[[#This Row],[Unit 4]])*2</f>
        <v>0</v>
      </c>
      <c r="CH86" s="251">
        <f ca="1">MIN(frost_mage_cap,TblMili[[#This Row],[Homeland%]]/frost_mage_bonus)</f>
        <v>2.9999999999999996</v>
      </c>
      <c r="CI86" s="45">
        <f ca="1">MIN(ice_elem_cap,TblMili[[#This Row],[Raw (2)]]*ice_elem_bonus)</f>
        <v>0</v>
      </c>
      <c r="CJ86" s="251">
        <f t="shared" si="3"/>
        <v>0.83333333333333337</v>
      </c>
      <c r="CK86" s="251">
        <f ca="1">MIN(nox_nightshade_cap,TblConstr[[#This Row],[Homeland]]/TblConstr[[#This Row],[Land]]/nox_nightshade_swamp_bonus)</f>
        <v>4</v>
      </c>
      <c r="CL86" s="251">
        <f ca="1">MIN(TblConstr[[#This Row],[Total Swamp]]/TblConstr[[#This Row],[Land]]/abyss_enforce_bonus,abyss_enforcer_cap)</f>
        <v>0</v>
      </c>
      <c r="CM86" s="251">
        <f ca="1">IF(TblMagic[[#This Row],[Active Infernal Command]]&gt;0,TblMili[[#This Row],[Unit 1]]*infernal_cmd_op,0)</f>
        <v>0</v>
      </c>
      <c r="CN86" s="252"/>
      <c r="CO86" s="252"/>
      <c r="CP86" s="252"/>
      <c r="CQ86" s="251">
        <f ca="1">TblMili[[#This Row],[Mystic]]*2</f>
        <v>4</v>
      </c>
      <c r="CR86" s="251">
        <f ca="1">TblMili[[#This Row],[Druid (op)]]*2</f>
        <v>4</v>
      </c>
      <c r="CS86" s="94">
        <f ca="1">TblMili[[#This Row],[Mystic bonus]]*TblMili[[#This Row],[Unit 3]]+TblMili[[#This Row],[Druid bonus]]*TblMili[[#This Row],[Unit 4]]</f>
        <v>0</v>
      </c>
      <c r="CT86" s="155">
        <f ca="1">TblMili[[#This Row],[Dryad]]*2</f>
        <v>5.9999999999999991</v>
      </c>
      <c r="CU86" s="94">
        <f ca="1">sylvan*(TblMili[[#This Row],[Mystic bonus]]*TblMili[[#This Row],[Unit 3]])</f>
        <v>0</v>
      </c>
      <c r="CV86" s="155">
        <f ca="1">TblMili[[#This Row],[Rockapult]]*2</f>
        <v>4</v>
      </c>
      <c r="CW86" s="94">
        <f ca="1">gnome*(TblMili[[#This Row],[Rockapult bonus]]*TblMili[[#This Row],[Unit 3]])</f>
        <v>0</v>
      </c>
      <c r="CX86" s="155">
        <f ca="1">TblMili[[#This Row],[Adept-DP]]*2</f>
        <v>0</v>
      </c>
      <c r="CY86" s="94">
        <f ca="1">dark_elf*(TblMili[[#This Row],[Adept bonus]]*TblMili[[#This Row],[Unit 3]])</f>
        <v>0</v>
      </c>
      <c r="CZ86" s="155">
        <f ca="1">TblMili[[#This Row],[Frost Mage]]*2</f>
        <v>5.9999999999999991</v>
      </c>
      <c r="DA86" s="155">
        <f ca="1">TblMili[[#This Row],[Ice Elemental]]*2</f>
        <v>0</v>
      </c>
      <c r="DB86" s="94">
        <f ca="1">TblMili[[#This Row],[Frost Mage bonus]]*TblMili[[#This Row],[Unit 3]]+TblMili[[#This Row],[Ice Elemental bonus]]*TblMili[[#This Row],[Unit 4]]</f>
        <v>0</v>
      </c>
      <c r="DC86" s="253"/>
      <c r="DD86" s="143">
        <f ca="1">MIN(SUM(TblConstr[[#This Row],[Plain]:[Water]])/TblMili[[#This Row],[Land]]/favorable_terrain_bonus/100,favorable_terrain_max)</f>
        <v>0</v>
      </c>
      <c r="DE86" s="253"/>
      <c r="DF8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6" s="142"/>
      <c r="DH86" s="254">
        <f ca="1">(TblMili[[#This Row],[Wizards]]+2*TblMili[[#This Row],[Archmages]])/TblConstr[[#This Row],[Land]]</f>
        <v>0</v>
      </c>
      <c r="DI86" s="254">
        <f ca="1">TblMili[[#This Row],[Raw (2)]]*(1+race_wizard_strength+IF(TblMili[[#This Row],[Hour]]&gt;72,tech_magical_weaponry_wiz*TblTech[[#This Row],[3-5]],0))</f>
        <v>0</v>
      </c>
    </row>
    <row r="87" spans="1:113" x14ac:dyDescent="0.2">
      <c r="A87" s="137">
        <f>TblRezone[[#This Row],[Hour]]</f>
        <v>84</v>
      </c>
      <c r="B87" s="246">
        <f ca="1">SUM(TblMili[[#This Row],[Unit 1]:[Archmages]])+SUM(OFFSET(TblMili[[#This Row],[Train Unit 1]],-8,0):TblMili[[#This Row],[Train Unit 2]]) + SUM(OFFSET(TblMili[[#This Row],[Train Unit 3]],-11,0):TblMili[[#This Row],[Train AM]]) + TblMili[[#This Row],[Draftees]]</f>
        <v>562</v>
      </c>
      <c r="C87" s="157">
        <f ca="1">TblPop[[#This Row],[Military%]]</f>
        <v>0.73081924577373214</v>
      </c>
      <c r="D87" s="142"/>
      <c r="E87" s="45">
        <f ca="1">OFFSET(TblMili[[#This Row],[Unit 1]],-1,0) + OFFSET(TblMili[[#This Row],[Train Unit 1]],-9,0) - TblMili[[#This Row],[Release Unit 1]] + OFFSET(TblMili[[#This Row],[DnD_Zombies]],-12,0)</f>
        <v>0</v>
      </c>
      <c r="F87" s="45">
        <f ca="1">OFFSET(TblMili[[#This Row],[Unit 2]],-1,0) + OFFSET(TblMili[[#This Row],[Train Unit 2]],-9,0)-TblMili[[#This Row],[Release Unit 2]]</f>
        <v>0</v>
      </c>
      <c r="G87" s="45">
        <f ca="1">OFFSET(TblMili[[#This Row],[Unit 3]],-1,0) + OFFSET(TblMili[[#This Row],[Train Unit 3]],-12,0)-TblMili[[#This Row],[Release Unit 3]]</f>
        <v>0</v>
      </c>
      <c r="H87" s="45">
        <f ca="1">OFFSET(TblMili[[#This Row],[Unit 4]],-1,0) + OFFSET(TblMili[[#This Row],[Train Unit 4]],-12,0)-TblMili[[#This Row],[Release Unit 4]]</f>
        <v>0</v>
      </c>
      <c r="I87" s="45">
        <f ca="1">OFFSET(TblMili[[#This Row],[Spies]],-1,0) + OFFSET(TblMili[[#This Row],[Train Spies]],-12,0) - TblMili[[#This Row],[Release Spies]]-TblMili[[#This Row],[Train AS]]</f>
        <v>0</v>
      </c>
      <c r="J87" s="45">
        <f ca="1">OFFSET(TblMili[[#This Row],[Archspies]],-1,0) + OFFSET(TblMili[[#This Row],[Train AS]],-12,0) - TblMili[[#This Row],[Release AS]]</f>
        <v>0</v>
      </c>
      <c r="K87" s="45">
        <f ca="1">OFFSET(TblMili[[#This Row],[Wizards]],-1,0) + OFFSET(TblMili[[#This Row],[Train Wiz]],-12,0) - TblMili[[#This Row],[Release Wizards]]-TblMili[[#This Row],[Train AM]] + IF(TblMagic[[#This Row],[Active Arc Infusion]]&gt;0,TblMili[[#This Row],[Train AM]])</f>
        <v>0</v>
      </c>
      <c r="L87" s="45">
        <f ca="1">OFFSET(TblMili[[#This Row],[Archmages]],-1,0) + OFFSET(TblMili[[#This Row],[Train AM]],-12,0) - TblMili[[#This Row],[Release AM]]</f>
        <v>0</v>
      </c>
      <c r="M87" s="142"/>
      <c r="N87" s="94">
        <f ca="1">TblProd[[#This Row],[Networth]]</f>
        <v>1250</v>
      </c>
      <c r="O87" s="142"/>
      <c r="P87"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8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7" s="247">
        <f ca="1">TblMili[[#This Row],[Raw]]*(1+TblMili[[#This Row],[Mods_Off]])</f>
        <v>0</v>
      </c>
      <c r="S87"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87" s="247">
        <f ca="1">TblMili[[#This Row],[Non Draft]]+TblMili[[#This Row],[Draftees]]</f>
        <v>562</v>
      </c>
      <c r="U87" s="248">
        <f ca="1">race_defense + TblImps[[#This Row],[Walls]] + ROUND( MIN(gt_bonus*TblConstr[[#This Row],[Tot GT]]/TblConstr[[#This Row],[Land]],gt_bonus_cap), 4) + IF(TblMagic[[#This Row],[Active Howling]]&gt;0,howling_dp_bonus,IF(TblMagic[[#This Row],[Active Ares Call]]&gt;0,ares_call_bonus))</f>
        <v>0</v>
      </c>
      <c r="V87" s="249">
        <f ca="1">TblMili[[#This Row],[Non Draft]] * (1 + TblMili[[#This Row],[Mods_Def]])</f>
        <v>0</v>
      </c>
      <c r="W87" s="247">
        <f ca="1">TblMili[[#This Row],[Draft]] * (1 + TblMili[[#This Row],[Mods_Def]])</f>
        <v>562</v>
      </c>
      <c r="X87" s="247">
        <f ca="1">TblConstr[[#This Row],[Land]]</f>
        <v>50</v>
      </c>
      <c r="Y87" s="250"/>
      <c r="Z87" s="255">
        <f ca="1">IF(TblMili[[#This Row],[Set]]&lt;&gt;"",TblMili[[#This Row],[Set]],OFFSET(TblMili[[#This Row],[Draftrate]],-1,0))</f>
        <v>0.9</v>
      </c>
      <c r="AA87"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562</v>
      </c>
      <c r="AB87" s="154"/>
      <c r="AC87" s="180">
        <f ca="1">(TblConstr[[#This Row],[Tot Smi]]+TblConstr[[#This Row],[Dest Smi]])/(TblConstr[[#This Row],[Land]]-TblExplore[[#This Row],[Land Bonus]]*20)</f>
        <v>0</v>
      </c>
      <c r="AD87" s="137"/>
      <c r="AE87" s="246">
        <f>TblMili[[#This Row],[Hour]]</f>
        <v>84</v>
      </c>
      <c r="AF87" s="138">
        <f ca="1">TblExplore[[#This Row],[Time]]</f>
        <v>46323.458333333132</v>
      </c>
      <c r="AG87" s="179"/>
      <c r="AH87" s="179"/>
      <c r="AI87" s="179"/>
      <c r="AJ87" s="179"/>
      <c r="AK87" s="179"/>
      <c r="AL87" s="179"/>
      <c r="AM87" s="179"/>
      <c r="AN87" s="179"/>
      <c r="AO87" s="420">
        <f ca="1">ROUND(IF(AND(TblMagic[[#This Row],[Active DnD]]&lt;12,TblMagic[[#This Row],[Active DnD]]&gt;5),OFFSET(TblPop[[#This Row],[Draft Growth]],-1,0)*0.375,0),0)</f>
        <v>0</v>
      </c>
      <c r="AP87" s="142"/>
      <c r="AQ87" s="94">
        <f ca="1">TblProd[[#This Row],[Platinum]]</f>
        <v>191819</v>
      </c>
      <c r="AR87" s="94">
        <f ca="1">INDEX(TblProd[[#Headers],[Lumber]]:TblProd[[#This Row],[Ore]],COUNTA(TblProd[[#Headers],[Lumber]]:TblProd[[#This Row],[Lumber]]),MATCH(Military!$AR$2,TblProd[[#Headers],[Lumber]:[Ore]],0))</f>
        <v>0</v>
      </c>
      <c r="AS8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87" s="94">
        <f ca="1">TblMili[[#This Row],[Train Unit 1]]*TblMili[[#This Row],[OP Ore]]+TblMili[[#This Row],[Train Unit 2]]*TblMili[[#This Row],[DP Ore]]+TblMili[[#This Row],[Train Unit 3]]*TblMili[[#This Row],[E1 Ore]]+TblMili[[#This Row],[Train Unit 4]]*TblMili[[#This Row],[E2 Ore]]</f>
        <v>0</v>
      </c>
      <c r="AU87" s="142">
        <f>TblMili[[#This Row],[Hour]]</f>
        <v>84</v>
      </c>
      <c r="AV87" s="152">
        <f ca="1">TblMili[[#This Row],[Time]]</f>
        <v>46323.458333333132</v>
      </c>
      <c r="AW87" s="94">
        <f ca="1">TblMili[[#This Row],[Draftees]]</f>
        <v>562</v>
      </c>
      <c r="AX87" s="158"/>
      <c r="AY87" s="179"/>
      <c r="AZ87" s="179"/>
      <c r="BA87" s="179"/>
      <c r="BB87" s="179"/>
      <c r="BC87" s="179"/>
      <c r="BD87" s="179"/>
      <c r="BE87" s="179"/>
      <c r="BF87" s="179"/>
      <c r="BG87" s="142"/>
      <c r="BH87" s="157">
        <f ca="1">TblConstr[[#This Row],[Tot WG]]/TblConstr[[#This Row],[Land]]</f>
        <v>0</v>
      </c>
      <c r="BI87" s="157">
        <f ca="1">TblConstr[[#This Row],[Tot Hav]]/TblConstr[[#This Row],[Land]]</f>
        <v>0</v>
      </c>
      <c r="BJ87" s="94">
        <f ca="1">ROUNDUP((1-MIN(TblMili[[#This Row],[Smithies]]*smithy_bonus,smithy_bonus_cap) + tech_3_5*TblTech[[#This Row],[3-5]] + tech_5_3*TblTech[[#This Row],[5-3]] + tech_5_5*TblTech[[#This Row],[5-5]])*spec_op_plat,0)</f>
        <v>315</v>
      </c>
      <c r="BK87" s="94">
        <f ca="1">ROUNDUP(IF(race="Gnome",1,(1-MIN(TblMili[[#This Row],[Smithies]]*smithy_bonus,smithy_bonus_cap) + tech_3_5*TblTech[[#This Row],[3-5]] + tech_5_3*TblTech[[#This Row],[5-3]] + tech_5_5*TblTech[[#This Row],[5-5]]))*spec_op_ore,0)</f>
        <v>25</v>
      </c>
      <c r="BL87" s="94">
        <f ca="1">ROUNDUP((1-MIN(TblMili[[#This Row],[Smithies]]*smithy_bonus,smithy_bonus_cap) + tech_3_5*TblTech[[#This Row],[3-5]] + tech_5_3*TblTech[[#This Row],[5-3]] + tech_5_5*TblTech[[#This Row],[5-5]])*spec_dp_plat,0)</f>
        <v>275</v>
      </c>
      <c r="BM87" s="94">
        <f ca="1">ROUNDUP(IF(race="Gnome",1,(1-MIN(TblMili[[#This Row],[Smithies]]*smithy_bonus,smithy_bonus_cap) + tech_3_5*TblTech[[#This Row],[3-5]] + tech_5_3*TblTech[[#This Row],[5-3]] + tech_5_5*TblTech[[#This Row],[5-5]]))*spec_dp_ore,0)</f>
        <v>15</v>
      </c>
      <c r="BN87" s="94">
        <f ca="1">ROUNDUP((1-MIN(TblMili[[#This Row],[Smithies]]*smithy_bonus,smithy_bonus_cap) + tech_3_5*TblTech[[#This Row],[3-5]] + tech_5_3*TblTech[[#This Row],[5-3]] + tech_5_5*TblTech[[#This Row],[5-5]])*elite1_plat,0)</f>
        <v>1040</v>
      </c>
      <c r="BO87" s="94">
        <f ca="1">ROUNDUP(IF(race="Gnome",1,(1-MIN(TblMili[[#This Row],[Smithies]]*smithy_bonus,smithy_bonus_cap) + tech_3_5*TblTech[[#This Row],[3-5]] + tech_5_3*TblTech[[#This Row],[5-3]] + tech_5_5*TblTech[[#This Row],[5-5]]))*elite1_ore,0)</f>
        <v>75</v>
      </c>
      <c r="BP87" s="94">
        <f ca="1">ROUNDUP((1-MIN(TblMili[[#This Row],[Smithies]]*smithy_bonus,smithy_bonus_cap) + tech_3_5*TblTech[[#This Row],[3-5]] + tech_5_3*TblTech[[#This Row],[5-3]] + tech_5_5*TblTech[[#This Row],[5-5]])*elite2_plat,0)</f>
        <v>1280</v>
      </c>
      <c r="BQ87" s="94">
        <f ca="1">ROUNDUP(IF(race="Gnome",1,(1-MIN(TblMili[[#This Row],[Smithies]]*smithy_bonus,smithy_bonus_cap) + tech_3_5*TblTech[[#This Row],[3-5]] + tech_5_3*TblTech[[#This Row],[5-3]] + tech_5_5*TblTech[[#This Row],[5-5]]))*elite2_ore,0)</f>
        <v>100</v>
      </c>
      <c r="BR87" s="94">
        <f ca="1">ROUNDUP((1-MIN(ROUND(fh_spy_cost_red*TblMili[[#This Row],[FH''s]],4),fh_spy_cost_cap)+ tech_1_9*TblTech[[#This Row],[1-9]] + tech_9_1*TblTech[[#This Row],[9-1]])*spy_plat,0)</f>
        <v>500</v>
      </c>
      <c r="BS87" s="94">
        <f ca="1">ROUNDUP((1-MIN(ROUND(fh_spy_cost_red*TblMili[[#This Row],[FH''s]],4),fh_spy_cost_cap)+ tech_1_9*TblTech[[#This Row],[1-9]] + tech_9_1*TblTech[[#This Row],[9-1]])*archspy_plat,0)</f>
        <v>1000</v>
      </c>
      <c r="BT87" s="94">
        <f ca="1">ROUNDUP((1-MIN(ROUND(wg_wiz_cost_bonus*TblMili[[#This Row],[WG''s]],4),wg_wiz_cost_cap) + tech_1_9_2*TblTech[[#This Row],[1-9]] + tech_9_1_2*TblTech[[#This Row],[9-1]])*wizard_plat,0)</f>
        <v>500</v>
      </c>
      <c r="BU87" s="94">
        <f ca="1">ROUNDUP((1-MIN(ROUND(wg_wiz_cost_bonus*TblMili[[#This Row],[WG''s]],4),wg_wiz_cost_cap) + tech_1_9_2*TblTech[[#This Row],[1-9]] + tech_9_1_2*TblTech[[#This Row],[9-1]])*(archmage_plat + IF(TblMagic[[#This Row],[Active Arc Infusion]]&gt;0,400,0)),0)</f>
        <v>1000</v>
      </c>
      <c r="BV87" s="142"/>
      <c r="BW87" s="157">
        <f ca="1">TblConstr[[#This Row],[Homeland]]/TblConstr[[#This Row],[Land]]</f>
        <v>0.6</v>
      </c>
      <c r="BX87" s="157">
        <f ca="1">TblMili[[#This Row],[WG''s]]</f>
        <v>0</v>
      </c>
      <c r="BY87" s="251">
        <f ca="1">IF(mystic_cap="none",TblMili[[#This Row],[Homeland%]]/mystic_bonus,MIN(mystic_cap,TblMili[[#This Row],[Homeland%]]/mystic_bonus))</f>
        <v>2</v>
      </c>
      <c r="BZ87" s="251">
        <f ca="1">IF(druid_op_cap="none",TblMili[[#This Row],[Homeland%]]/druid_op_bonus,MIN(druid_op_cap,TblMili[[#This Row],[Homeland%]]/druid_op_bonus))</f>
        <v>2</v>
      </c>
      <c r="CA87" s="251">
        <f ca="1">IF(druid_dp_cap="none",TblMili[[#This Row],[Homeland%]]/druid_dp_bonus,MIN(druid_dp_cap,TblMili[[#This Row],[Homeland%]]/druid_dp_bonus))</f>
        <v>2</v>
      </c>
      <c r="CB87" s="251">
        <f ca="1">MIN(dryad_cap,TblMili[[#This Row],[Homeland%]]/dryad_bonus)</f>
        <v>2.9999999999999996</v>
      </c>
      <c r="CC87" s="251">
        <f ca="1">MIN(rocka_cap,TblMili[[#This Row],[Homeland%]]/rocka_bonus)</f>
        <v>2</v>
      </c>
      <c r="CD87" s="251">
        <f ca="1">MIN(adept_op_cap,TblMili[[#This Row],[WG]]/adept_op_bonus)</f>
        <v>0</v>
      </c>
      <c r="CE87" s="251">
        <f ca="1">MIN(adept_dp_cap,TblMili[[#This Row],[WG]]/adept_dp_bonus)</f>
        <v>0</v>
      </c>
      <c r="CF87" s="94">
        <f ca="1">MIN(TblMili[[#This Row],[Unit 3]],TblMili[[#This Row],[Unit 2]])*2</f>
        <v>0</v>
      </c>
      <c r="CG87" s="94">
        <f ca="1">MIN(TblMili[[#This Row],[Unit 1]],TblMili[[#This Row],[Unit 4]])*2</f>
        <v>0</v>
      </c>
      <c r="CH87" s="251">
        <f ca="1">MIN(frost_mage_cap,TblMili[[#This Row],[Homeland%]]/frost_mage_bonus)</f>
        <v>2.9999999999999996</v>
      </c>
      <c r="CI87" s="45">
        <f ca="1">MIN(ice_elem_cap,TblMili[[#This Row],[Raw (2)]]*ice_elem_bonus)</f>
        <v>0</v>
      </c>
      <c r="CJ87" s="251">
        <f t="shared" si="3"/>
        <v>0.83333333333333337</v>
      </c>
      <c r="CK87" s="251">
        <f ca="1">MIN(nox_nightshade_cap,TblConstr[[#This Row],[Homeland]]/TblConstr[[#This Row],[Land]]/nox_nightshade_swamp_bonus)</f>
        <v>4</v>
      </c>
      <c r="CL87" s="251">
        <f ca="1">MIN(TblConstr[[#This Row],[Total Swamp]]/TblConstr[[#This Row],[Land]]/abyss_enforce_bonus,abyss_enforcer_cap)</f>
        <v>0</v>
      </c>
      <c r="CM87" s="251">
        <f ca="1">IF(TblMagic[[#This Row],[Active Infernal Command]]&gt;0,TblMili[[#This Row],[Unit 1]]*infernal_cmd_op,0)</f>
        <v>0</v>
      </c>
      <c r="CN87" s="252"/>
      <c r="CO87" s="252"/>
      <c r="CP87" s="252"/>
      <c r="CQ87" s="251">
        <f ca="1">TblMili[[#This Row],[Mystic]]*2</f>
        <v>4</v>
      </c>
      <c r="CR87" s="251">
        <f ca="1">TblMili[[#This Row],[Druid (op)]]*2</f>
        <v>4</v>
      </c>
      <c r="CS87" s="94">
        <f ca="1">TblMili[[#This Row],[Mystic bonus]]*TblMili[[#This Row],[Unit 3]]+TblMili[[#This Row],[Druid bonus]]*TblMili[[#This Row],[Unit 4]]</f>
        <v>0</v>
      </c>
      <c r="CT87" s="155">
        <f ca="1">TblMili[[#This Row],[Dryad]]*2</f>
        <v>5.9999999999999991</v>
      </c>
      <c r="CU87" s="94">
        <f ca="1">sylvan*(TblMili[[#This Row],[Mystic bonus]]*TblMili[[#This Row],[Unit 3]])</f>
        <v>0</v>
      </c>
      <c r="CV87" s="155">
        <f ca="1">TblMili[[#This Row],[Rockapult]]*2</f>
        <v>4</v>
      </c>
      <c r="CW87" s="94">
        <f ca="1">gnome*(TblMili[[#This Row],[Rockapult bonus]]*TblMili[[#This Row],[Unit 3]])</f>
        <v>0</v>
      </c>
      <c r="CX87" s="155">
        <f ca="1">TblMili[[#This Row],[Adept-DP]]*2</f>
        <v>0</v>
      </c>
      <c r="CY87" s="94">
        <f ca="1">dark_elf*(TblMili[[#This Row],[Adept bonus]]*TblMili[[#This Row],[Unit 3]])</f>
        <v>0</v>
      </c>
      <c r="CZ87" s="155">
        <f ca="1">TblMili[[#This Row],[Frost Mage]]*2</f>
        <v>5.9999999999999991</v>
      </c>
      <c r="DA87" s="155">
        <f ca="1">TblMili[[#This Row],[Ice Elemental]]*2</f>
        <v>0</v>
      </c>
      <c r="DB87" s="94">
        <f ca="1">TblMili[[#This Row],[Frost Mage bonus]]*TblMili[[#This Row],[Unit 3]]+TblMili[[#This Row],[Ice Elemental bonus]]*TblMili[[#This Row],[Unit 4]]</f>
        <v>0</v>
      </c>
      <c r="DC87" s="253"/>
      <c r="DD87" s="143">
        <f ca="1">MIN(SUM(TblConstr[[#This Row],[Plain]:[Water]])/TblMili[[#This Row],[Land]]/favorable_terrain_bonus/100,favorable_terrain_max)</f>
        <v>0</v>
      </c>
      <c r="DE87" s="253"/>
      <c r="DF8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7" s="142"/>
      <c r="DH87" s="254">
        <f ca="1">(TblMili[[#This Row],[Wizards]]+2*TblMili[[#This Row],[Archmages]])/TblConstr[[#This Row],[Land]]</f>
        <v>0</v>
      </c>
      <c r="DI87" s="254">
        <f ca="1">TblMili[[#This Row],[Raw (2)]]*(1+race_wizard_strength+IF(TblMili[[#This Row],[Hour]]&gt;72,tech_magical_weaponry_wiz*TblTech[[#This Row],[3-5]],0))</f>
        <v>0</v>
      </c>
    </row>
    <row r="88" spans="1:113" x14ac:dyDescent="0.2">
      <c r="A88" s="137">
        <f>TblRezone[[#This Row],[Hour]]</f>
        <v>85</v>
      </c>
      <c r="B88" s="246">
        <f ca="1">SUM(TblMili[[#This Row],[Unit 1]:[Archmages]])+SUM(OFFSET(TblMili[[#This Row],[Train Unit 1]],-8,0):TblMili[[#This Row],[Train Unit 2]]) + SUM(OFFSET(TblMili[[#This Row],[Train Unit 3]],-11,0):TblMili[[#This Row],[Train AM]]) + TblMili[[#This Row],[Draftees]]</f>
        <v>564</v>
      </c>
      <c r="C88" s="157">
        <f ca="1">TblPop[[#This Row],[Military%]]</f>
        <v>0.73342002600780232</v>
      </c>
      <c r="D88" s="142"/>
      <c r="E88" s="45">
        <f ca="1">OFFSET(TblMili[[#This Row],[Unit 1]],-1,0) + OFFSET(TblMili[[#This Row],[Train Unit 1]],-9,0) - TblMili[[#This Row],[Release Unit 1]] + OFFSET(TblMili[[#This Row],[DnD_Zombies]],-12,0)</f>
        <v>0</v>
      </c>
      <c r="F88" s="45">
        <f ca="1">OFFSET(TblMili[[#This Row],[Unit 2]],-1,0) + OFFSET(TblMili[[#This Row],[Train Unit 2]],-9,0)-TblMili[[#This Row],[Release Unit 2]]</f>
        <v>0</v>
      </c>
      <c r="G88" s="45">
        <f ca="1">OFFSET(TblMili[[#This Row],[Unit 3]],-1,0) + OFFSET(TblMili[[#This Row],[Train Unit 3]],-12,0)-TblMili[[#This Row],[Release Unit 3]]</f>
        <v>0</v>
      </c>
      <c r="H88" s="45">
        <f ca="1">OFFSET(TblMili[[#This Row],[Unit 4]],-1,0) + OFFSET(TblMili[[#This Row],[Train Unit 4]],-12,0)-TblMili[[#This Row],[Release Unit 4]]</f>
        <v>0</v>
      </c>
      <c r="I88" s="45">
        <f ca="1">OFFSET(TblMili[[#This Row],[Spies]],-1,0) + OFFSET(TblMili[[#This Row],[Train Spies]],-12,0) - TblMili[[#This Row],[Release Spies]]-TblMili[[#This Row],[Train AS]]</f>
        <v>0</v>
      </c>
      <c r="J88" s="45">
        <f ca="1">OFFSET(TblMili[[#This Row],[Archspies]],-1,0) + OFFSET(TblMili[[#This Row],[Train AS]],-12,0) - TblMili[[#This Row],[Release AS]]</f>
        <v>0</v>
      </c>
      <c r="K88" s="45">
        <f ca="1">OFFSET(TblMili[[#This Row],[Wizards]],-1,0) + OFFSET(TblMili[[#This Row],[Train Wiz]],-12,0) - TblMili[[#This Row],[Release Wizards]]-TblMili[[#This Row],[Train AM]] + IF(TblMagic[[#This Row],[Active Arc Infusion]]&gt;0,TblMili[[#This Row],[Train AM]])</f>
        <v>0</v>
      </c>
      <c r="L88" s="45">
        <f ca="1">OFFSET(TblMili[[#This Row],[Archmages]],-1,0) + OFFSET(TblMili[[#This Row],[Train AM]],-12,0) - TblMili[[#This Row],[Release AM]]</f>
        <v>0</v>
      </c>
      <c r="M88" s="142"/>
      <c r="N88" s="94">
        <f ca="1">TblProd[[#This Row],[Networth]]</f>
        <v>1250</v>
      </c>
      <c r="O88" s="142"/>
      <c r="P88"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8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8" s="247">
        <f ca="1">TblMili[[#This Row],[Raw]]*(1+TblMili[[#This Row],[Mods_Off]])</f>
        <v>0</v>
      </c>
      <c r="S88"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88" s="247">
        <f ca="1">TblMili[[#This Row],[Non Draft]]+TblMili[[#This Row],[Draftees]]</f>
        <v>564</v>
      </c>
      <c r="U88" s="248">
        <f ca="1">race_defense + TblImps[[#This Row],[Walls]] + ROUND( MIN(gt_bonus*TblConstr[[#This Row],[Tot GT]]/TblConstr[[#This Row],[Land]],gt_bonus_cap), 4) + IF(TblMagic[[#This Row],[Active Howling]]&gt;0,howling_dp_bonus,IF(TblMagic[[#This Row],[Active Ares Call]]&gt;0,ares_call_bonus))</f>
        <v>0</v>
      </c>
      <c r="V88" s="249">
        <f ca="1">TblMili[[#This Row],[Non Draft]] * (1 + TblMili[[#This Row],[Mods_Def]])</f>
        <v>0</v>
      </c>
      <c r="W88" s="247">
        <f ca="1">TblMili[[#This Row],[Draft]] * (1 + TblMili[[#This Row],[Mods_Def]])</f>
        <v>564</v>
      </c>
      <c r="X88" s="247">
        <f ca="1">TblConstr[[#This Row],[Land]]</f>
        <v>50</v>
      </c>
      <c r="Y88" s="250"/>
      <c r="Z88" s="255">
        <f ca="1">IF(TblMili[[#This Row],[Set]]&lt;&gt;"",TblMili[[#This Row],[Set]],OFFSET(TblMili[[#This Row],[Draftrate]],-1,0))</f>
        <v>0.9</v>
      </c>
      <c r="AA88"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564</v>
      </c>
      <c r="AB88" s="154"/>
      <c r="AC88" s="180">
        <f ca="1">(TblConstr[[#This Row],[Tot Smi]]+TblConstr[[#This Row],[Dest Smi]])/(TblConstr[[#This Row],[Land]]-TblExplore[[#This Row],[Land Bonus]]*20)</f>
        <v>0</v>
      </c>
      <c r="AD88" s="246"/>
      <c r="AE88" s="246">
        <f>TblMili[[#This Row],[Hour]]</f>
        <v>85</v>
      </c>
      <c r="AF88" s="138">
        <f ca="1">TblExplore[[#This Row],[Time]]</f>
        <v>46323.499999999796</v>
      </c>
      <c r="AG88" s="179"/>
      <c r="AH88" s="179"/>
      <c r="AI88" s="179"/>
      <c r="AJ88" s="179"/>
      <c r="AK88" s="179"/>
      <c r="AL88" s="179"/>
      <c r="AM88" s="179"/>
      <c r="AN88" s="179"/>
      <c r="AO88" s="420">
        <f ca="1">ROUND(IF(AND(TblMagic[[#This Row],[Active DnD]]&lt;12,TblMagic[[#This Row],[Active DnD]]&gt;5),OFFSET(TblPop[[#This Row],[Draft Growth]],-1,0)*0.375,0),0)</f>
        <v>0</v>
      </c>
      <c r="AP88" s="142"/>
      <c r="AQ88" s="94">
        <f ca="1">TblProd[[#This Row],[Platinum]]</f>
        <v>192377</v>
      </c>
      <c r="AR88" s="94">
        <f ca="1">INDEX(TblProd[[#Headers],[Lumber]]:TblProd[[#This Row],[Ore]],COUNTA(TblProd[[#Headers],[Lumber]]:TblProd[[#This Row],[Lumber]]),MATCH(Military!$AR$2,TblProd[[#Headers],[Lumber]:[Ore]],0))</f>
        <v>0</v>
      </c>
      <c r="AS8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88" s="94">
        <f ca="1">TblMili[[#This Row],[Train Unit 1]]*TblMili[[#This Row],[OP Ore]]+TblMili[[#This Row],[Train Unit 2]]*TblMili[[#This Row],[DP Ore]]+TblMili[[#This Row],[Train Unit 3]]*TblMili[[#This Row],[E1 Ore]]+TblMili[[#This Row],[Train Unit 4]]*TblMili[[#This Row],[E2 Ore]]</f>
        <v>0</v>
      </c>
      <c r="AU88" s="142">
        <f>TblMili[[#This Row],[Hour]]</f>
        <v>85</v>
      </c>
      <c r="AV88" s="152">
        <f ca="1">TblMili[[#This Row],[Time]]</f>
        <v>46323.499999999796</v>
      </c>
      <c r="AW88" s="94">
        <f ca="1">TblMili[[#This Row],[Draftees]]</f>
        <v>564</v>
      </c>
      <c r="AX88" s="179"/>
      <c r="AY88" s="179"/>
      <c r="AZ88" s="179"/>
      <c r="BA88" s="179"/>
      <c r="BB88" s="179"/>
      <c r="BC88" s="179"/>
      <c r="BD88" s="179"/>
      <c r="BE88" s="179"/>
      <c r="BF88" s="179"/>
      <c r="BG88" s="142"/>
      <c r="BH88" s="157">
        <f ca="1">TblConstr[[#This Row],[Tot WG]]/TblConstr[[#This Row],[Land]]</f>
        <v>0</v>
      </c>
      <c r="BI88" s="157">
        <f ca="1">TblConstr[[#This Row],[Tot Hav]]/TblConstr[[#This Row],[Land]]</f>
        <v>0</v>
      </c>
      <c r="BJ88" s="94">
        <f ca="1">ROUNDUP((1-MIN(TblMili[[#This Row],[Smithies]]*smithy_bonus,smithy_bonus_cap) + tech_3_5*TblTech[[#This Row],[3-5]] + tech_5_3*TblTech[[#This Row],[5-3]] + tech_5_5*TblTech[[#This Row],[5-5]])*spec_op_plat,0)</f>
        <v>315</v>
      </c>
      <c r="BK88" s="94">
        <f ca="1">ROUNDUP(IF(race="Gnome",1,(1-MIN(TblMili[[#This Row],[Smithies]]*smithy_bonus,smithy_bonus_cap) + tech_3_5*TblTech[[#This Row],[3-5]] + tech_5_3*TblTech[[#This Row],[5-3]] + tech_5_5*TblTech[[#This Row],[5-5]]))*spec_op_ore,0)</f>
        <v>25</v>
      </c>
      <c r="BL88" s="94">
        <f ca="1">ROUNDUP((1-MIN(TblMili[[#This Row],[Smithies]]*smithy_bonus,smithy_bonus_cap) + tech_3_5*TblTech[[#This Row],[3-5]] + tech_5_3*TblTech[[#This Row],[5-3]] + tech_5_5*TblTech[[#This Row],[5-5]])*spec_dp_plat,0)</f>
        <v>275</v>
      </c>
      <c r="BM88" s="94">
        <f ca="1">ROUNDUP(IF(race="Gnome",1,(1-MIN(TblMili[[#This Row],[Smithies]]*smithy_bonus,smithy_bonus_cap) + tech_3_5*TblTech[[#This Row],[3-5]] + tech_5_3*TblTech[[#This Row],[5-3]] + tech_5_5*TblTech[[#This Row],[5-5]]))*spec_dp_ore,0)</f>
        <v>15</v>
      </c>
      <c r="BN88" s="94">
        <f ca="1">ROUNDUP((1-MIN(TblMili[[#This Row],[Smithies]]*smithy_bonus,smithy_bonus_cap) + tech_3_5*TblTech[[#This Row],[3-5]] + tech_5_3*TblTech[[#This Row],[5-3]] + tech_5_5*TblTech[[#This Row],[5-5]])*elite1_plat,0)</f>
        <v>1040</v>
      </c>
      <c r="BO88" s="94">
        <f ca="1">ROUNDUP(IF(race="Gnome",1,(1-MIN(TblMili[[#This Row],[Smithies]]*smithy_bonus,smithy_bonus_cap) + tech_3_5*TblTech[[#This Row],[3-5]] + tech_5_3*TblTech[[#This Row],[5-3]] + tech_5_5*TblTech[[#This Row],[5-5]]))*elite1_ore,0)</f>
        <v>75</v>
      </c>
      <c r="BP88" s="94">
        <f ca="1">ROUNDUP((1-MIN(TblMili[[#This Row],[Smithies]]*smithy_bonus,smithy_bonus_cap) + tech_3_5*TblTech[[#This Row],[3-5]] + tech_5_3*TblTech[[#This Row],[5-3]] + tech_5_5*TblTech[[#This Row],[5-5]])*elite2_plat,0)</f>
        <v>1280</v>
      </c>
      <c r="BQ88" s="94">
        <f ca="1">ROUNDUP(IF(race="Gnome",1,(1-MIN(TblMili[[#This Row],[Smithies]]*smithy_bonus,smithy_bonus_cap) + tech_3_5*TblTech[[#This Row],[3-5]] + tech_5_3*TblTech[[#This Row],[5-3]] + tech_5_5*TblTech[[#This Row],[5-5]]))*elite2_ore,0)</f>
        <v>100</v>
      </c>
      <c r="BR88" s="94">
        <f ca="1">ROUNDUP((1-MIN(ROUND(fh_spy_cost_red*TblMili[[#This Row],[FH''s]],4),fh_spy_cost_cap)+ tech_1_9*TblTech[[#This Row],[1-9]] + tech_9_1*TblTech[[#This Row],[9-1]])*spy_plat,0)</f>
        <v>500</v>
      </c>
      <c r="BS88" s="94">
        <f ca="1">ROUNDUP((1-MIN(ROUND(fh_spy_cost_red*TblMili[[#This Row],[FH''s]],4),fh_spy_cost_cap)+ tech_1_9*TblTech[[#This Row],[1-9]] + tech_9_1*TblTech[[#This Row],[9-1]])*archspy_plat,0)</f>
        <v>1000</v>
      </c>
      <c r="BT88" s="94">
        <f ca="1">ROUNDUP((1-MIN(ROUND(wg_wiz_cost_bonus*TblMili[[#This Row],[WG''s]],4),wg_wiz_cost_cap) + tech_1_9_2*TblTech[[#This Row],[1-9]] + tech_9_1_2*TblTech[[#This Row],[9-1]])*wizard_plat,0)</f>
        <v>500</v>
      </c>
      <c r="BU88" s="94">
        <f ca="1">ROUNDUP((1-MIN(ROUND(wg_wiz_cost_bonus*TblMili[[#This Row],[WG''s]],4),wg_wiz_cost_cap) + tech_1_9_2*TblTech[[#This Row],[1-9]] + tech_9_1_2*TblTech[[#This Row],[9-1]])*(archmage_plat + IF(TblMagic[[#This Row],[Active Arc Infusion]]&gt;0,400,0)),0)</f>
        <v>1000</v>
      </c>
      <c r="BV88" s="142"/>
      <c r="BW88" s="157">
        <f ca="1">TblConstr[[#This Row],[Homeland]]/TblConstr[[#This Row],[Land]]</f>
        <v>0.6</v>
      </c>
      <c r="BX88" s="157">
        <f ca="1">TblMili[[#This Row],[WG''s]]</f>
        <v>0</v>
      </c>
      <c r="BY88" s="251">
        <f ca="1">IF(mystic_cap="none",TblMili[[#This Row],[Homeland%]]/mystic_bonus,MIN(mystic_cap,TblMili[[#This Row],[Homeland%]]/mystic_bonus))</f>
        <v>2</v>
      </c>
      <c r="BZ88" s="251">
        <f ca="1">IF(druid_op_cap="none",TblMili[[#This Row],[Homeland%]]/druid_op_bonus,MIN(druid_op_cap,TblMili[[#This Row],[Homeland%]]/druid_op_bonus))</f>
        <v>2</v>
      </c>
      <c r="CA88" s="251">
        <f ca="1">IF(druid_dp_cap="none",TblMili[[#This Row],[Homeland%]]/druid_dp_bonus,MIN(druid_dp_cap,TblMili[[#This Row],[Homeland%]]/druid_dp_bonus))</f>
        <v>2</v>
      </c>
      <c r="CB88" s="251">
        <f ca="1">MIN(dryad_cap,TblMili[[#This Row],[Homeland%]]/dryad_bonus)</f>
        <v>2.9999999999999996</v>
      </c>
      <c r="CC88" s="251">
        <f ca="1">MIN(rocka_cap,TblMili[[#This Row],[Homeland%]]/rocka_bonus)</f>
        <v>2</v>
      </c>
      <c r="CD88" s="251">
        <f ca="1">MIN(adept_op_cap,TblMili[[#This Row],[WG]]/adept_op_bonus)</f>
        <v>0</v>
      </c>
      <c r="CE88" s="251">
        <f ca="1">MIN(adept_dp_cap,TblMili[[#This Row],[WG]]/adept_dp_bonus)</f>
        <v>0</v>
      </c>
      <c r="CF88" s="94">
        <f ca="1">MIN(TblMili[[#This Row],[Unit 3]],TblMili[[#This Row],[Unit 2]])*2</f>
        <v>0</v>
      </c>
      <c r="CG88" s="94">
        <f ca="1">MIN(TblMili[[#This Row],[Unit 1]],TblMili[[#This Row],[Unit 4]])*2</f>
        <v>0</v>
      </c>
      <c r="CH88" s="251">
        <f ca="1">MIN(frost_mage_cap,TblMili[[#This Row],[Homeland%]]/frost_mage_bonus)</f>
        <v>2.9999999999999996</v>
      </c>
      <c r="CI88" s="45">
        <f ca="1">MIN(ice_elem_cap,TblMili[[#This Row],[Raw (2)]]*ice_elem_bonus)</f>
        <v>0</v>
      </c>
      <c r="CJ88" s="251">
        <f t="shared" si="3"/>
        <v>0.83333333333333337</v>
      </c>
      <c r="CK88" s="251">
        <f ca="1">MIN(nox_nightshade_cap,TblConstr[[#This Row],[Homeland]]/TblConstr[[#This Row],[Land]]/nox_nightshade_swamp_bonus)</f>
        <v>4</v>
      </c>
      <c r="CL88" s="251">
        <f ca="1">MIN(TblConstr[[#This Row],[Total Swamp]]/TblConstr[[#This Row],[Land]]/abyss_enforce_bonus,abyss_enforcer_cap)</f>
        <v>0</v>
      </c>
      <c r="CM88" s="251">
        <f ca="1">IF(TblMagic[[#This Row],[Active Infernal Command]]&gt;0,TblMili[[#This Row],[Unit 1]]*infernal_cmd_op,0)</f>
        <v>0</v>
      </c>
      <c r="CN88" s="252"/>
      <c r="CO88" s="252"/>
      <c r="CP88" s="252"/>
      <c r="CQ88" s="251">
        <f ca="1">TblMili[[#This Row],[Mystic]]*2</f>
        <v>4</v>
      </c>
      <c r="CR88" s="251">
        <f ca="1">TblMili[[#This Row],[Druid (op)]]*2</f>
        <v>4</v>
      </c>
      <c r="CS88" s="94">
        <f ca="1">TblMili[[#This Row],[Mystic bonus]]*TblMili[[#This Row],[Unit 3]]+TblMili[[#This Row],[Druid bonus]]*TblMili[[#This Row],[Unit 4]]</f>
        <v>0</v>
      </c>
      <c r="CT88" s="155">
        <f ca="1">TblMili[[#This Row],[Dryad]]*2</f>
        <v>5.9999999999999991</v>
      </c>
      <c r="CU88" s="94">
        <f ca="1">sylvan*(TblMili[[#This Row],[Mystic bonus]]*TblMili[[#This Row],[Unit 3]])</f>
        <v>0</v>
      </c>
      <c r="CV88" s="155">
        <f ca="1">TblMili[[#This Row],[Rockapult]]*2</f>
        <v>4</v>
      </c>
      <c r="CW88" s="94">
        <f ca="1">gnome*(TblMili[[#This Row],[Rockapult bonus]]*TblMili[[#This Row],[Unit 3]])</f>
        <v>0</v>
      </c>
      <c r="CX88" s="155">
        <f ca="1">TblMili[[#This Row],[Adept-DP]]*2</f>
        <v>0</v>
      </c>
      <c r="CY88" s="94">
        <f ca="1">dark_elf*(TblMili[[#This Row],[Adept bonus]]*TblMili[[#This Row],[Unit 3]])</f>
        <v>0</v>
      </c>
      <c r="CZ88" s="155">
        <f ca="1">TblMili[[#This Row],[Frost Mage]]*2</f>
        <v>5.9999999999999991</v>
      </c>
      <c r="DA88" s="155">
        <f ca="1">TblMili[[#This Row],[Ice Elemental]]*2</f>
        <v>0</v>
      </c>
      <c r="DB88" s="94">
        <f ca="1">TblMili[[#This Row],[Frost Mage bonus]]*TblMili[[#This Row],[Unit 3]]+TblMili[[#This Row],[Ice Elemental bonus]]*TblMili[[#This Row],[Unit 4]]</f>
        <v>0</v>
      </c>
      <c r="DC88" s="253"/>
      <c r="DD88" s="143">
        <f ca="1">MIN(SUM(TblConstr[[#This Row],[Plain]:[Water]])/TblMili[[#This Row],[Land]]/favorable_terrain_bonus/100,favorable_terrain_max)</f>
        <v>0</v>
      </c>
      <c r="DE88" s="253"/>
      <c r="DF8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8" s="142"/>
      <c r="DH88" s="254">
        <f ca="1">(TblMili[[#This Row],[Wizards]]+2*TblMili[[#This Row],[Archmages]])/TblConstr[[#This Row],[Land]]</f>
        <v>0</v>
      </c>
      <c r="DI88" s="254">
        <f ca="1">TblMili[[#This Row],[Raw (2)]]*(1+race_wizard_strength+IF(TblMili[[#This Row],[Hour]]&gt;72,tech_magical_weaponry_wiz*TblTech[[#This Row],[3-5]],0))</f>
        <v>0</v>
      </c>
    </row>
    <row r="89" spans="1:113" x14ac:dyDescent="0.2">
      <c r="A89" s="137">
        <f>TblRezone[[#This Row],[Hour]]</f>
        <v>86</v>
      </c>
      <c r="B89" s="246">
        <f ca="1">SUM(TblMili[[#This Row],[Unit 1]:[Archmages]])+SUM(OFFSET(TblMili[[#This Row],[Train Unit 1]],-8,0):TblMili[[#This Row],[Train Unit 2]]) + SUM(OFFSET(TblMili[[#This Row],[Train Unit 3]],-11,0):TblMili[[#This Row],[Train AM]]) + TblMili[[#This Row],[Draftees]]</f>
        <v>566</v>
      </c>
      <c r="C89" s="157">
        <f ca="1">TblPop[[#This Row],[Military%]]</f>
        <v>0.7360208062418726</v>
      </c>
      <c r="D89" s="142"/>
      <c r="E89" s="45">
        <f ca="1">OFFSET(TblMili[[#This Row],[Unit 1]],-1,0) + OFFSET(TblMili[[#This Row],[Train Unit 1]],-9,0) - TblMili[[#This Row],[Release Unit 1]] + OFFSET(TblMili[[#This Row],[DnD_Zombies]],-12,0)</f>
        <v>0</v>
      </c>
      <c r="F89" s="45">
        <f ca="1">OFFSET(TblMili[[#This Row],[Unit 2]],-1,0) + OFFSET(TblMili[[#This Row],[Train Unit 2]],-9,0)-TblMili[[#This Row],[Release Unit 2]]</f>
        <v>0</v>
      </c>
      <c r="G89" s="45">
        <f ca="1">OFFSET(TblMili[[#This Row],[Unit 3]],-1,0) + OFFSET(TblMili[[#This Row],[Train Unit 3]],-12,0)-TblMili[[#This Row],[Release Unit 3]]</f>
        <v>0</v>
      </c>
      <c r="H89" s="45">
        <f ca="1">OFFSET(TblMili[[#This Row],[Unit 4]],-1,0) + OFFSET(TblMili[[#This Row],[Train Unit 4]],-12,0)-TblMili[[#This Row],[Release Unit 4]]</f>
        <v>0</v>
      </c>
      <c r="I89" s="45">
        <f ca="1">OFFSET(TblMili[[#This Row],[Spies]],-1,0) + OFFSET(TblMili[[#This Row],[Train Spies]],-12,0) - TblMili[[#This Row],[Release Spies]]-TblMili[[#This Row],[Train AS]]</f>
        <v>0</v>
      </c>
      <c r="J89" s="45">
        <f ca="1">OFFSET(TblMili[[#This Row],[Archspies]],-1,0) + OFFSET(TblMili[[#This Row],[Train AS]],-12,0) - TblMili[[#This Row],[Release AS]]</f>
        <v>0</v>
      </c>
      <c r="K89" s="45">
        <f ca="1">OFFSET(TblMili[[#This Row],[Wizards]],-1,0) + OFFSET(TblMili[[#This Row],[Train Wiz]],-12,0) - TblMili[[#This Row],[Release Wizards]]-TblMili[[#This Row],[Train AM]] + IF(TblMagic[[#This Row],[Active Arc Infusion]]&gt;0,TblMili[[#This Row],[Train AM]])</f>
        <v>0</v>
      </c>
      <c r="L89" s="45">
        <f ca="1">OFFSET(TblMili[[#This Row],[Archmages]],-1,0) + OFFSET(TblMili[[#This Row],[Train AM]],-12,0) - TblMili[[#This Row],[Release AM]]</f>
        <v>0</v>
      </c>
      <c r="M89" s="142"/>
      <c r="N89" s="94">
        <f ca="1">TblProd[[#This Row],[Networth]]</f>
        <v>1250</v>
      </c>
      <c r="O89" s="142"/>
      <c r="P89"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8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9" s="247">
        <f ca="1">TblMili[[#This Row],[Raw]]*(1+TblMili[[#This Row],[Mods_Off]])</f>
        <v>0</v>
      </c>
      <c r="S89"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89" s="247">
        <f ca="1">TblMili[[#This Row],[Non Draft]]+TblMili[[#This Row],[Draftees]]</f>
        <v>566</v>
      </c>
      <c r="U89" s="248">
        <f ca="1">race_defense + TblImps[[#This Row],[Walls]] + ROUND( MIN(gt_bonus*TblConstr[[#This Row],[Tot GT]]/TblConstr[[#This Row],[Land]],gt_bonus_cap), 4) + IF(TblMagic[[#This Row],[Active Howling]]&gt;0,howling_dp_bonus,IF(TblMagic[[#This Row],[Active Ares Call]]&gt;0,ares_call_bonus))</f>
        <v>0</v>
      </c>
      <c r="V89" s="249">
        <f ca="1">TblMili[[#This Row],[Non Draft]] * (1 + TblMili[[#This Row],[Mods_Def]])</f>
        <v>0</v>
      </c>
      <c r="W89" s="247">
        <f ca="1">TblMili[[#This Row],[Draft]] * (1 + TblMili[[#This Row],[Mods_Def]])</f>
        <v>566</v>
      </c>
      <c r="X89" s="247">
        <f ca="1">TblConstr[[#This Row],[Land]]</f>
        <v>50</v>
      </c>
      <c r="Y89" s="250"/>
      <c r="Z89" s="255">
        <f ca="1">IF(TblMili[[#This Row],[Set]]&lt;&gt;"",TblMili[[#This Row],[Set]],OFFSET(TblMili[[#This Row],[Draftrate]],-1,0))</f>
        <v>0.9</v>
      </c>
      <c r="AA89"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566</v>
      </c>
      <c r="AB89" s="154"/>
      <c r="AC89" s="180">
        <f ca="1">(TblConstr[[#This Row],[Tot Smi]]+TblConstr[[#This Row],[Dest Smi]])/(TblConstr[[#This Row],[Land]]-TblExplore[[#This Row],[Land Bonus]]*20)</f>
        <v>0</v>
      </c>
      <c r="AD89" s="137"/>
      <c r="AE89" s="246">
        <f>TblMili[[#This Row],[Hour]]</f>
        <v>86</v>
      </c>
      <c r="AF89" s="138">
        <f ca="1">TblExplore[[#This Row],[Time]]</f>
        <v>46323.541666666461</v>
      </c>
      <c r="AG89" s="179"/>
      <c r="AH89" s="179"/>
      <c r="AI89" s="179"/>
      <c r="AJ89" s="179"/>
      <c r="AK89" s="179"/>
      <c r="AL89" s="179"/>
      <c r="AM89" s="179"/>
      <c r="AN89" s="179"/>
      <c r="AO89" s="420">
        <f ca="1">ROUND(IF(AND(TblMagic[[#This Row],[Active DnD]]&lt;12,TblMagic[[#This Row],[Active DnD]]&gt;5),OFFSET(TblPop[[#This Row],[Draft Growth]],-1,0)*0.375,0),0)</f>
        <v>0</v>
      </c>
      <c r="AP89" s="142"/>
      <c r="AQ89" s="94">
        <f ca="1">TblProd[[#This Row],[Platinum]]</f>
        <v>192930</v>
      </c>
      <c r="AR89" s="94">
        <f ca="1">INDEX(TblProd[[#Headers],[Lumber]]:TblProd[[#This Row],[Ore]],COUNTA(TblProd[[#Headers],[Lumber]]:TblProd[[#This Row],[Lumber]]),MATCH(Military!$AR$2,TblProd[[#Headers],[Lumber]:[Ore]],0))</f>
        <v>0</v>
      </c>
      <c r="AS8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89" s="94">
        <f ca="1">TblMili[[#This Row],[Train Unit 1]]*TblMili[[#This Row],[OP Ore]]+TblMili[[#This Row],[Train Unit 2]]*TblMili[[#This Row],[DP Ore]]+TblMili[[#This Row],[Train Unit 3]]*TblMili[[#This Row],[E1 Ore]]+TblMili[[#This Row],[Train Unit 4]]*TblMili[[#This Row],[E2 Ore]]</f>
        <v>0</v>
      </c>
      <c r="AU89" s="142">
        <f>TblMili[[#This Row],[Hour]]</f>
        <v>86</v>
      </c>
      <c r="AV89" s="152">
        <f ca="1">TblMili[[#This Row],[Time]]</f>
        <v>46323.541666666461</v>
      </c>
      <c r="AW89" s="94">
        <f ca="1">TblMili[[#This Row],[Draftees]]</f>
        <v>566</v>
      </c>
      <c r="AX89" s="179"/>
      <c r="AY89" s="179"/>
      <c r="AZ89" s="179"/>
      <c r="BA89" s="179"/>
      <c r="BB89" s="179"/>
      <c r="BC89" s="179"/>
      <c r="BD89" s="179"/>
      <c r="BE89" s="179"/>
      <c r="BF89" s="179"/>
      <c r="BG89" s="142"/>
      <c r="BH89" s="157">
        <f ca="1">TblConstr[[#This Row],[Tot WG]]/TblConstr[[#This Row],[Land]]</f>
        <v>0</v>
      </c>
      <c r="BI89" s="157">
        <f ca="1">TblConstr[[#This Row],[Tot Hav]]/TblConstr[[#This Row],[Land]]</f>
        <v>0</v>
      </c>
      <c r="BJ89" s="94">
        <f ca="1">ROUNDUP((1-MIN(TblMili[[#This Row],[Smithies]]*smithy_bonus,smithy_bonus_cap) + tech_3_5*TblTech[[#This Row],[3-5]] + tech_5_3*TblTech[[#This Row],[5-3]] + tech_5_5*TblTech[[#This Row],[5-5]])*spec_op_plat,0)</f>
        <v>315</v>
      </c>
      <c r="BK89" s="94">
        <f ca="1">ROUNDUP(IF(race="Gnome",1,(1-MIN(TblMili[[#This Row],[Smithies]]*smithy_bonus,smithy_bonus_cap) + tech_3_5*TblTech[[#This Row],[3-5]] + tech_5_3*TblTech[[#This Row],[5-3]] + tech_5_5*TblTech[[#This Row],[5-5]]))*spec_op_ore,0)</f>
        <v>25</v>
      </c>
      <c r="BL89" s="94">
        <f ca="1">ROUNDUP((1-MIN(TblMili[[#This Row],[Smithies]]*smithy_bonus,smithy_bonus_cap) + tech_3_5*TblTech[[#This Row],[3-5]] + tech_5_3*TblTech[[#This Row],[5-3]] + tech_5_5*TblTech[[#This Row],[5-5]])*spec_dp_plat,0)</f>
        <v>275</v>
      </c>
      <c r="BM89" s="94">
        <f ca="1">ROUNDUP(IF(race="Gnome",1,(1-MIN(TblMili[[#This Row],[Smithies]]*smithy_bonus,smithy_bonus_cap) + tech_3_5*TblTech[[#This Row],[3-5]] + tech_5_3*TblTech[[#This Row],[5-3]] + tech_5_5*TblTech[[#This Row],[5-5]]))*spec_dp_ore,0)</f>
        <v>15</v>
      </c>
      <c r="BN89" s="94">
        <f ca="1">ROUNDUP((1-MIN(TblMili[[#This Row],[Smithies]]*smithy_bonus,smithy_bonus_cap) + tech_3_5*TblTech[[#This Row],[3-5]] + tech_5_3*TblTech[[#This Row],[5-3]] + tech_5_5*TblTech[[#This Row],[5-5]])*elite1_plat,0)</f>
        <v>1040</v>
      </c>
      <c r="BO89" s="94">
        <f ca="1">ROUNDUP(IF(race="Gnome",1,(1-MIN(TblMili[[#This Row],[Smithies]]*smithy_bonus,smithy_bonus_cap) + tech_3_5*TblTech[[#This Row],[3-5]] + tech_5_3*TblTech[[#This Row],[5-3]] + tech_5_5*TblTech[[#This Row],[5-5]]))*elite1_ore,0)</f>
        <v>75</v>
      </c>
      <c r="BP89" s="94">
        <f ca="1">ROUNDUP((1-MIN(TblMili[[#This Row],[Smithies]]*smithy_bonus,smithy_bonus_cap) + tech_3_5*TblTech[[#This Row],[3-5]] + tech_5_3*TblTech[[#This Row],[5-3]] + tech_5_5*TblTech[[#This Row],[5-5]])*elite2_plat,0)</f>
        <v>1280</v>
      </c>
      <c r="BQ89" s="94">
        <f ca="1">ROUNDUP(IF(race="Gnome",1,(1-MIN(TblMili[[#This Row],[Smithies]]*smithy_bonus,smithy_bonus_cap) + tech_3_5*TblTech[[#This Row],[3-5]] + tech_5_3*TblTech[[#This Row],[5-3]] + tech_5_5*TblTech[[#This Row],[5-5]]))*elite2_ore,0)</f>
        <v>100</v>
      </c>
      <c r="BR89" s="94">
        <f ca="1">ROUNDUP((1-MIN(ROUND(fh_spy_cost_red*TblMili[[#This Row],[FH''s]],4),fh_spy_cost_cap)+ tech_1_9*TblTech[[#This Row],[1-9]] + tech_9_1*TblTech[[#This Row],[9-1]])*spy_plat,0)</f>
        <v>500</v>
      </c>
      <c r="BS89" s="94">
        <f ca="1">ROUNDUP((1-MIN(ROUND(fh_spy_cost_red*TblMili[[#This Row],[FH''s]],4),fh_spy_cost_cap)+ tech_1_9*TblTech[[#This Row],[1-9]] + tech_9_1*TblTech[[#This Row],[9-1]])*archspy_plat,0)</f>
        <v>1000</v>
      </c>
      <c r="BT89" s="94">
        <f ca="1">ROUNDUP((1-MIN(ROUND(wg_wiz_cost_bonus*TblMili[[#This Row],[WG''s]],4),wg_wiz_cost_cap) + tech_1_9_2*TblTech[[#This Row],[1-9]] + tech_9_1_2*TblTech[[#This Row],[9-1]])*wizard_plat,0)</f>
        <v>500</v>
      </c>
      <c r="BU89" s="94">
        <f ca="1">ROUNDUP((1-MIN(ROUND(wg_wiz_cost_bonus*TblMili[[#This Row],[WG''s]],4),wg_wiz_cost_cap) + tech_1_9_2*TblTech[[#This Row],[1-9]] + tech_9_1_2*TblTech[[#This Row],[9-1]])*(archmage_plat + IF(TblMagic[[#This Row],[Active Arc Infusion]]&gt;0,400,0)),0)</f>
        <v>1000</v>
      </c>
      <c r="BV89" s="142"/>
      <c r="BW89" s="157">
        <f ca="1">TblConstr[[#This Row],[Homeland]]/TblConstr[[#This Row],[Land]]</f>
        <v>0.6</v>
      </c>
      <c r="BX89" s="157">
        <f ca="1">TblMili[[#This Row],[WG''s]]</f>
        <v>0</v>
      </c>
      <c r="BY89" s="251">
        <f ca="1">IF(mystic_cap="none",TblMili[[#This Row],[Homeland%]]/mystic_bonus,MIN(mystic_cap,TblMili[[#This Row],[Homeland%]]/mystic_bonus))</f>
        <v>2</v>
      </c>
      <c r="BZ89" s="251">
        <f ca="1">IF(druid_op_cap="none",TblMili[[#This Row],[Homeland%]]/druid_op_bonus,MIN(druid_op_cap,TblMili[[#This Row],[Homeland%]]/druid_op_bonus))</f>
        <v>2</v>
      </c>
      <c r="CA89" s="251">
        <f ca="1">IF(druid_dp_cap="none",TblMili[[#This Row],[Homeland%]]/druid_dp_bonus,MIN(druid_dp_cap,TblMili[[#This Row],[Homeland%]]/druid_dp_bonus))</f>
        <v>2</v>
      </c>
      <c r="CB89" s="251">
        <f ca="1">MIN(dryad_cap,TblMili[[#This Row],[Homeland%]]/dryad_bonus)</f>
        <v>2.9999999999999996</v>
      </c>
      <c r="CC89" s="251">
        <f ca="1">MIN(rocka_cap,TblMili[[#This Row],[Homeland%]]/rocka_bonus)</f>
        <v>2</v>
      </c>
      <c r="CD89" s="251">
        <f ca="1">MIN(adept_op_cap,TblMili[[#This Row],[WG]]/adept_op_bonus)</f>
        <v>0</v>
      </c>
      <c r="CE89" s="251">
        <f ca="1">MIN(adept_dp_cap,TblMili[[#This Row],[WG]]/adept_dp_bonus)</f>
        <v>0</v>
      </c>
      <c r="CF89" s="94">
        <f ca="1">MIN(TblMili[[#This Row],[Unit 3]],TblMili[[#This Row],[Unit 2]])*2</f>
        <v>0</v>
      </c>
      <c r="CG89" s="94">
        <f ca="1">MIN(TblMili[[#This Row],[Unit 1]],TblMili[[#This Row],[Unit 4]])*2</f>
        <v>0</v>
      </c>
      <c r="CH89" s="251">
        <f ca="1">MIN(frost_mage_cap,TblMili[[#This Row],[Homeland%]]/frost_mage_bonus)</f>
        <v>2.9999999999999996</v>
      </c>
      <c r="CI89" s="45">
        <f ca="1">MIN(ice_elem_cap,TblMili[[#This Row],[Raw (2)]]*ice_elem_bonus)</f>
        <v>0</v>
      </c>
      <c r="CJ89" s="251">
        <f t="shared" si="3"/>
        <v>0.83333333333333337</v>
      </c>
      <c r="CK89" s="251">
        <f ca="1">MIN(nox_nightshade_cap,TblConstr[[#This Row],[Homeland]]/TblConstr[[#This Row],[Land]]/nox_nightshade_swamp_bonus)</f>
        <v>4</v>
      </c>
      <c r="CL89" s="251">
        <f ca="1">MIN(TblConstr[[#This Row],[Total Swamp]]/TblConstr[[#This Row],[Land]]/abyss_enforce_bonus,abyss_enforcer_cap)</f>
        <v>0</v>
      </c>
      <c r="CM89" s="251">
        <f ca="1">IF(TblMagic[[#This Row],[Active Infernal Command]]&gt;0,TblMili[[#This Row],[Unit 1]]*infernal_cmd_op,0)</f>
        <v>0</v>
      </c>
      <c r="CN89" s="252"/>
      <c r="CO89" s="252"/>
      <c r="CP89" s="252"/>
      <c r="CQ89" s="251">
        <f ca="1">TblMili[[#This Row],[Mystic]]*2</f>
        <v>4</v>
      </c>
      <c r="CR89" s="251">
        <f ca="1">TblMili[[#This Row],[Druid (op)]]*2</f>
        <v>4</v>
      </c>
      <c r="CS89" s="94">
        <f ca="1">TblMili[[#This Row],[Mystic bonus]]*TblMili[[#This Row],[Unit 3]]+TblMili[[#This Row],[Druid bonus]]*TblMili[[#This Row],[Unit 4]]</f>
        <v>0</v>
      </c>
      <c r="CT89" s="155">
        <f ca="1">TblMili[[#This Row],[Dryad]]*2</f>
        <v>5.9999999999999991</v>
      </c>
      <c r="CU89" s="94">
        <f ca="1">sylvan*(TblMili[[#This Row],[Mystic bonus]]*TblMili[[#This Row],[Unit 3]])</f>
        <v>0</v>
      </c>
      <c r="CV89" s="155">
        <f ca="1">TblMili[[#This Row],[Rockapult]]*2</f>
        <v>4</v>
      </c>
      <c r="CW89" s="94">
        <f ca="1">gnome*(TblMili[[#This Row],[Rockapult bonus]]*TblMili[[#This Row],[Unit 3]])</f>
        <v>0</v>
      </c>
      <c r="CX89" s="155">
        <f ca="1">TblMili[[#This Row],[Adept-DP]]*2</f>
        <v>0</v>
      </c>
      <c r="CY89" s="94">
        <f ca="1">dark_elf*(TblMili[[#This Row],[Adept bonus]]*TblMili[[#This Row],[Unit 3]])</f>
        <v>0</v>
      </c>
      <c r="CZ89" s="155">
        <f ca="1">TblMili[[#This Row],[Frost Mage]]*2</f>
        <v>5.9999999999999991</v>
      </c>
      <c r="DA89" s="155">
        <f ca="1">TblMili[[#This Row],[Ice Elemental]]*2</f>
        <v>0</v>
      </c>
      <c r="DB89" s="94">
        <f ca="1">TblMili[[#This Row],[Frost Mage bonus]]*TblMili[[#This Row],[Unit 3]]+TblMili[[#This Row],[Ice Elemental bonus]]*TblMili[[#This Row],[Unit 4]]</f>
        <v>0</v>
      </c>
      <c r="DC89" s="253"/>
      <c r="DD89" s="143">
        <f ca="1">MIN(SUM(TblConstr[[#This Row],[Plain]:[Water]])/TblMili[[#This Row],[Land]]/favorable_terrain_bonus/100,favorable_terrain_max)</f>
        <v>0</v>
      </c>
      <c r="DE89" s="253"/>
      <c r="DF8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9" s="142"/>
      <c r="DH89" s="254">
        <f ca="1">(TblMili[[#This Row],[Wizards]]+2*TblMili[[#This Row],[Archmages]])/TblConstr[[#This Row],[Land]]</f>
        <v>0</v>
      </c>
      <c r="DI89" s="254">
        <f ca="1">TblMili[[#This Row],[Raw (2)]]*(1+race_wizard_strength+IF(TblMili[[#This Row],[Hour]]&gt;72,tech_magical_weaponry_wiz*TblTech[[#This Row],[3-5]],0))</f>
        <v>0</v>
      </c>
    </row>
    <row r="90" spans="1:113" x14ac:dyDescent="0.2">
      <c r="A90" s="137">
        <f>TblRezone[[#This Row],[Hour]]</f>
        <v>87</v>
      </c>
      <c r="B90" s="246">
        <f ca="1">SUM(TblMili[[#This Row],[Unit 1]:[Archmages]])+SUM(OFFSET(TblMili[[#This Row],[Train Unit 1]],-8,0):TblMili[[#This Row],[Train Unit 2]]) + SUM(OFFSET(TblMili[[#This Row],[Train Unit 3]],-11,0):TblMili[[#This Row],[Train AM]]) + TblMili[[#This Row],[Draftees]]</f>
        <v>568</v>
      </c>
      <c r="C90" s="157">
        <f ca="1">TblPop[[#This Row],[Military%]]</f>
        <v>0.73862158647594278</v>
      </c>
      <c r="D90" s="142"/>
      <c r="E90" s="45">
        <f ca="1">OFFSET(TblMili[[#This Row],[Unit 1]],-1,0) + OFFSET(TblMili[[#This Row],[Train Unit 1]],-9,0) - TblMili[[#This Row],[Release Unit 1]] + OFFSET(TblMili[[#This Row],[DnD_Zombies]],-12,0)</f>
        <v>0</v>
      </c>
      <c r="F90" s="45">
        <f ca="1">OFFSET(TblMili[[#This Row],[Unit 2]],-1,0) + OFFSET(TblMili[[#This Row],[Train Unit 2]],-9,0)-TblMili[[#This Row],[Release Unit 2]]</f>
        <v>0</v>
      </c>
      <c r="G90" s="45">
        <f ca="1">OFFSET(TblMili[[#This Row],[Unit 3]],-1,0) + OFFSET(TblMili[[#This Row],[Train Unit 3]],-12,0)-TblMili[[#This Row],[Release Unit 3]]</f>
        <v>0</v>
      </c>
      <c r="H90" s="45">
        <f ca="1">OFFSET(TblMili[[#This Row],[Unit 4]],-1,0) + OFFSET(TblMili[[#This Row],[Train Unit 4]],-12,0)-TblMili[[#This Row],[Release Unit 4]]</f>
        <v>0</v>
      </c>
      <c r="I90" s="45">
        <f ca="1">OFFSET(TblMili[[#This Row],[Spies]],-1,0) + OFFSET(TblMili[[#This Row],[Train Spies]],-12,0) - TblMili[[#This Row],[Release Spies]]-TblMili[[#This Row],[Train AS]]</f>
        <v>0</v>
      </c>
      <c r="J90" s="45">
        <f ca="1">OFFSET(TblMili[[#This Row],[Archspies]],-1,0) + OFFSET(TblMili[[#This Row],[Train AS]],-12,0) - TblMili[[#This Row],[Release AS]]</f>
        <v>0</v>
      </c>
      <c r="K90" s="45">
        <f ca="1">OFFSET(TblMili[[#This Row],[Wizards]],-1,0) + OFFSET(TblMili[[#This Row],[Train Wiz]],-12,0) - TblMili[[#This Row],[Release Wizards]]-TblMili[[#This Row],[Train AM]] + IF(TblMagic[[#This Row],[Active Arc Infusion]]&gt;0,TblMili[[#This Row],[Train AM]])</f>
        <v>0</v>
      </c>
      <c r="L90" s="45">
        <f ca="1">OFFSET(TblMili[[#This Row],[Archmages]],-1,0) + OFFSET(TblMili[[#This Row],[Train AM]],-12,0) - TblMili[[#This Row],[Release AM]]</f>
        <v>0</v>
      </c>
      <c r="M90" s="142"/>
      <c r="N90" s="94">
        <f ca="1">TblProd[[#This Row],[Networth]]</f>
        <v>1250</v>
      </c>
      <c r="O90" s="142"/>
      <c r="P90"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9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0" s="247">
        <f ca="1">TblMili[[#This Row],[Raw]]*(1+TblMili[[#This Row],[Mods_Off]])</f>
        <v>0</v>
      </c>
      <c r="S90"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90" s="247">
        <f ca="1">TblMili[[#This Row],[Non Draft]]+TblMili[[#This Row],[Draftees]]</f>
        <v>568</v>
      </c>
      <c r="U90" s="248">
        <f ca="1">race_defense + TblImps[[#This Row],[Walls]] + ROUND( MIN(gt_bonus*TblConstr[[#This Row],[Tot GT]]/TblConstr[[#This Row],[Land]],gt_bonus_cap), 4) + IF(TblMagic[[#This Row],[Active Howling]]&gt;0,howling_dp_bonus,IF(TblMagic[[#This Row],[Active Ares Call]]&gt;0,ares_call_bonus))</f>
        <v>0</v>
      </c>
      <c r="V90" s="249">
        <f ca="1">TblMili[[#This Row],[Non Draft]] * (1 + TblMili[[#This Row],[Mods_Def]])</f>
        <v>0</v>
      </c>
      <c r="W90" s="247">
        <f ca="1">TblMili[[#This Row],[Draft]] * (1 + TblMili[[#This Row],[Mods_Def]])</f>
        <v>568</v>
      </c>
      <c r="X90" s="247">
        <f ca="1">TblConstr[[#This Row],[Land]]</f>
        <v>50</v>
      </c>
      <c r="Y90" s="250"/>
      <c r="Z90" s="255">
        <f ca="1">IF(TblMili[[#This Row],[Set]]&lt;&gt;"",TblMili[[#This Row],[Set]],OFFSET(TblMili[[#This Row],[Draftrate]],-1,0))</f>
        <v>0.9</v>
      </c>
      <c r="AA90"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568</v>
      </c>
      <c r="AB90" s="154"/>
      <c r="AC90" s="180">
        <f ca="1">(TblConstr[[#This Row],[Tot Smi]]+TblConstr[[#This Row],[Dest Smi]])/(TblConstr[[#This Row],[Land]]-TblExplore[[#This Row],[Land Bonus]]*20)</f>
        <v>0</v>
      </c>
      <c r="AD90" s="137"/>
      <c r="AE90" s="246">
        <f>TblMili[[#This Row],[Hour]]</f>
        <v>87</v>
      </c>
      <c r="AF90" s="138">
        <f ca="1">TblExplore[[#This Row],[Time]]</f>
        <v>46323.583333333125</v>
      </c>
      <c r="AG90" s="179"/>
      <c r="AH90" s="179"/>
      <c r="AI90" s="179"/>
      <c r="AJ90" s="179"/>
      <c r="AK90" s="179"/>
      <c r="AL90" s="179"/>
      <c r="AM90" s="179"/>
      <c r="AN90" s="179"/>
      <c r="AO90" s="420">
        <f ca="1">ROUND(IF(AND(TblMagic[[#This Row],[Active DnD]]&lt;12,TblMagic[[#This Row],[Active DnD]]&gt;5),OFFSET(TblPop[[#This Row],[Draft Growth]],-1,0)*0.375,0),0)</f>
        <v>0</v>
      </c>
      <c r="AP90" s="142"/>
      <c r="AQ90" s="94">
        <f ca="1">TblProd[[#This Row],[Platinum]]</f>
        <v>193478</v>
      </c>
      <c r="AR90" s="94">
        <f ca="1">INDEX(TblProd[[#Headers],[Lumber]]:TblProd[[#This Row],[Ore]],COUNTA(TblProd[[#Headers],[Lumber]]:TblProd[[#This Row],[Lumber]]),MATCH(Military!$AR$2,TblProd[[#Headers],[Lumber]:[Ore]],0))</f>
        <v>0</v>
      </c>
      <c r="AS9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90" s="94">
        <f ca="1">TblMili[[#This Row],[Train Unit 1]]*TblMili[[#This Row],[OP Ore]]+TblMili[[#This Row],[Train Unit 2]]*TblMili[[#This Row],[DP Ore]]+TblMili[[#This Row],[Train Unit 3]]*TblMili[[#This Row],[E1 Ore]]+TblMili[[#This Row],[Train Unit 4]]*TblMili[[#This Row],[E2 Ore]]</f>
        <v>0</v>
      </c>
      <c r="AU90" s="142">
        <f>TblMili[[#This Row],[Hour]]</f>
        <v>87</v>
      </c>
      <c r="AV90" s="152">
        <f ca="1">TblMili[[#This Row],[Time]]</f>
        <v>46323.583333333125</v>
      </c>
      <c r="AW90" s="94">
        <f ca="1">TblMili[[#This Row],[Draftees]]</f>
        <v>568</v>
      </c>
      <c r="AX90" s="179"/>
      <c r="AY90" s="179"/>
      <c r="AZ90" s="179"/>
      <c r="BA90" s="179"/>
      <c r="BB90" s="179"/>
      <c r="BC90" s="179"/>
      <c r="BD90" s="179"/>
      <c r="BE90" s="179"/>
      <c r="BF90" s="179"/>
      <c r="BG90" s="142"/>
      <c r="BH90" s="157">
        <f ca="1">TblConstr[[#This Row],[Tot WG]]/TblConstr[[#This Row],[Land]]</f>
        <v>0</v>
      </c>
      <c r="BI90" s="157">
        <f ca="1">TblConstr[[#This Row],[Tot Hav]]/TblConstr[[#This Row],[Land]]</f>
        <v>0</v>
      </c>
      <c r="BJ90" s="94">
        <f ca="1">ROUNDUP((1-MIN(TblMili[[#This Row],[Smithies]]*smithy_bonus,smithy_bonus_cap) + tech_3_5*TblTech[[#This Row],[3-5]] + tech_5_3*TblTech[[#This Row],[5-3]] + tech_5_5*TblTech[[#This Row],[5-5]])*spec_op_plat,0)</f>
        <v>315</v>
      </c>
      <c r="BK90" s="94">
        <f ca="1">ROUNDUP(IF(race="Gnome",1,(1-MIN(TblMili[[#This Row],[Smithies]]*smithy_bonus,smithy_bonus_cap) + tech_3_5*TblTech[[#This Row],[3-5]] + tech_5_3*TblTech[[#This Row],[5-3]] + tech_5_5*TblTech[[#This Row],[5-5]]))*spec_op_ore,0)</f>
        <v>25</v>
      </c>
      <c r="BL90" s="94">
        <f ca="1">ROUNDUP((1-MIN(TblMili[[#This Row],[Smithies]]*smithy_bonus,smithy_bonus_cap) + tech_3_5*TblTech[[#This Row],[3-5]] + tech_5_3*TblTech[[#This Row],[5-3]] + tech_5_5*TblTech[[#This Row],[5-5]])*spec_dp_plat,0)</f>
        <v>275</v>
      </c>
      <c r="BM90" s="94">
        <f ca="1">ROUNDUP(IF(race="Gnome",1,(1-MIN(TblMili[[#This Row],[Smithies]]*smithy_bonus,smithy_bonus_cap) + tech_3_5*TblTech[[#This Row],[3-5]] + tech_5_3*TblTech[[#This Row],[5-3]] + tech_5_5*TblTech[[#This Row],[5-5]]))*spec_dp_ore,0)</f>
        <v>15</v>
      </c>
      <c r="BN90" s="94">
        <f ca="1">ROUNDUP((1-MIN(TblMili[[#This Row],[Smithies]]*smithy_bonus,smithy_bonus_cap) + tech_3_5*TblTech[[#This Row],[3-5]] + tech_5_3*TblTech[[#This Row],[5-3]] + tech_5_5*TblTech[[#This Row],[5-5]])*elite1_plat,0)</f>
        <v>1040</v>
      </c>
      <c r="BO90" s="94">
        <f ca="1">ROUNDUP(IF(race="Gnome",1,(1-MIN(TblMili[[#This Row],[Smithies]]*smithy_bonus,smithy_bonus_cap) + tech_3_5*TblTech[[#This Row],[3-5]] + tech_5_3*TblTech[[#This Row],[5-3]] + tech_5_5*TblTech[[#This Row],[5-5]]))*elite1_ore,0)</f>
        <v>75</v>
      </c>
      <c r="BP90" s="94">
        <f ca="1">ROUNDUP((1-MIN(TblMili[[#This Row],[Smithies]]*smithy_bonus,smithy_bonus_cap) + tech_3_5*TblTech[[#This Row],[3-5]] + tech_5_3*TblTech[[#This Row],[5-3]] + tech_5_5*TblTech[[#This Row],[5-5]])*elite2_plat,0)</f>
        <v>1280</v>
      </c>
      <c r="BQ90" s="94">
        <f ca="1">ROUNDUP(IF(race="Gnome",1,(1-MIN(TblMili[[#This Row],[Smithies]]*smithy_bonus,smithy_bonus_cap) + tech_3_5*TblTech[[#This Row],[3-5]] + tech_5_3*TblTech[[#This Row],[5-3]] + tech_5_5*TblTech[[#This Row],[5-5]]))*elite2_ore,0)</f>
        <v>100</v>
      </c>
      <c r="BR90" s="94">
        <f ca="1">ROUNDUP((1-MIN(ROUND(fh_spy_cost_red*TblMili[[#This Row],[FH''s]],4),fh_spy_cost_cap)+ tech_1_9*TblTech[[#This Row],[1-9]] + tech_9_1*TblTech[[#This Row],[9-1]])*spy_plat,0)</f>
        <v>500</v>
      </c>
      <c r="BS90" s="94">
        <f ca="1">ROUNDUP((1-MIN(ROUND(fh_spy_cost_red*TblMili[[#This Row],[FH''s]],4),fh_spy_cost_cap)+ tech_1_9*TblTech[[#This Row],[1-9]] + tech_9_1*TblTech[[#This Row],[9-1]])*archspy_plat,0)</f>
        <v>1000</v>
      </c>
      <c r="BT90" s="94">
        <f ca="1">ROUNDUP((1-MIN(ROUND(wg_wiz_cost_bonus*TblMili[[#This Row],[WG''s]],4),wg_wiz_cost_cap) + tech_1_9_2*TblTech[[#This Row],[1-9]] + tech_9_1_2*TblTech[[#This Row],[9-1]])*wizard_plat,0)</f>
        <v>500</v>
      </c>
      <c r="BU90" s="94">
        <f ca="1">ROUNDUP((1-MIN(ROUND(wg_wiz_cost_bonus*TblMili[[#This Row],[WG''s]],4),wg_wiz_cost_cap) + tech_1_9_2*TblTech[[#This Row],[1-9]] + tech_9_1_2*TblTech[[#This Row],[9-1]])*(archmage_plat + IF(TblMagic[[#This Row],[Active Arc Infusion]]&gt;0,400,0)),0)</f>
        <v>1000</v>
      </c>
      <c r="BV90" s="142"/>
      <c r="BW90" s="157">
        <f ca="1">TblConstr[[#This Row],[Homeland]]/TblConstr[[#This Row],[Land]]</f>
        <v>0.6</v>
      </c>
      <c r="BX90" s="157">
        <f ca="1">TblMili[[#This Row],[WG''s]]</f>
        <v>0</v>
      </c>
      <c r="BY90" s="251">
        <f ca="1">IF(mystic_cap="none",TblMili[[#This Row],[Homeland%]]/mystic_bonus,MIN(mystic_cap,TblMili[[#This Row],[Homeland%]]/mystic_bonus))</f>
        <v>2</v>
      </c>
      <c r="BZ90" s="251">
        <f ca="1">IF(druid_op_cap="none",TblMili[[#This Row],[Homeland%]]/druid_op_bonus,MIN(druid_op_cap,TblMili[[#This Row],[Homeland%]]/druid_op_bonus))</f>
        <v>2</v>
      </c>
      <c r="CA90" s="251">
        <f ca="1">IF(druid_dp_cap="none",TblMili[[#This Row],[Homeland%]]/druid_dp_bonus,MIN(druid_dp_cap,TblMili[[#This Row],[Homeland%]]/druid_dp_bonus))</f>
        <v>2</v>
      </c>
      <c r="CB90" s="251">
        <f ca="1">MIN(dryad_cap,TblMili[[#This Row],[Homeland%]]/dryad_bonus)</f>
        <v>2.9999999999999996</v>
      </c>
      <c r="CC90" s="251">
        <f ca="1">MIN(rocka_cap,TblMili[[#This Row],[Homeland%]]/rocka_bonus)</f>
        <v>2</v>
      </c>
      <c r="CD90" s="251">
        <f ca="1">MIN(adept_op_cap,TblMili[[#This Row],[WG]]/adept_op_bonus)</f>
        <v>0</v>
      </c>
      <c r="CE90" s="251">
        <f ca="1">MIN(adept_dp_cap,TblMili[[#This Row],[WG]]/adept_dp_bonus)</f>
        <v>0</v>
      </c>
      <c r="CF90" s="94">
        <f ca="1">MIN(TblMili[[#This Row],[Unit 3]],TblMili[[#This Row],[Unit 2]])*2</f>
        <v>0</v>
      </c>
      <c r="CG90" s="94">
        <f ca="1">MIN(TblMili[[#This Row],[Unit 1]],TblMili[[#This Row],[Unit 4]])*2</f>
        <v>0</v>
      </c>
      <c r="CH90" s="251">
        <f ca="1">MIN(frost_mage_cap,TblMili[[#This Row],[Homeland%]]/frost_mage_bonus)</f>
        <v>2.9999999999999996</v>
      </c>
      <c r="CI90" s="45">
        <f ca="1">MIN(ice_elem_cap,TblMili[[#This Row],[Raw (2)]]*ice_elem_bonus)</f>
        <v>0</v>
      </c>
      <c r="CJ90" s="251">
        <f t="shared" si="3"/>
        <v>0.83333333333333337</v>
      </c>
      <c r="CK90" s="251">
        <f ca="1">MIN(nox_nightshade_cap,TblConstr[[#This Row],[Homeland]]/TblConstr[[#This Row],[Land]]/nox_nightshade_swamp_bonus)</f>
        <v>4</v>
      </c>
      <c r="CL90" s="251">
        <f ca="1">MIN(TblConstr[[#This Row],[Total Swamp]]/TblConstr[[#This Row],[Land]]/abyss_enforce_bonus,abyss_enforcer_cap)</f>
        <v>0</v>
      </c>
      <c r="CM90" s="251">
        <f ca="1">IF(TblMagic[[#This Row],[Active Infernal Command]]&gt;0,TblMili[[#This Row],[Unit 1]]*infernal_cmd_op,0)</f>
        <v>0</v>
      </c>
      <c r="CN90" s="252"/>
      <c r="CO90" s="252"/>
      <c r="CP90" s="252"/>
      <c r="CQ90" s="251">
        <f ca="1">TblMili[[#This Row],[Mystic]]*2</f>
        <v>4</v>
      </c>
      <c r="CR90" s="251">
        <f ca="1">TblMili[[#This Row],[Druid (op)]]*2</f>
        <v>4</v>
      </c>
      <c r="CS90" s="94">
        <f ca="1">TblMili[[#This Row],[Mystic bonus]]*TblMili[[#This Row],[Unit 3]]+TblMili[[#This Row],[Druid bonus]]*TblMili[[#This Row],[Unit 4]]</f>
        <v>0</v>
      </c>
      <c r="CT90" s="155">
        <f ca="1">TblMili[[#This Row],[Dryad]]*2</f>
        <v>5.9999999999999991</v>
      </c>
      <c r="CU90" s="94">
        <f ca="1">sylvan*(TblMili[[#This Row],[Mystic bonus]]*TblMili[[#This Row],[Unit 3]])</f>
        <v>0</v>
      </c>
      <c r="CV90" s="155">
        <f ca="1">TblMili[[#This Row],[Rockapult]]*2</f>
        <v>4</v>
      </c>
      <c r="CW90" s="94">
        <f ca="1">gnome*(TblMili[[#This Row],[Rockapult bonus]]*TblMili[[#This Row],[Unit 3]])</f>
        <v>0</v>
      </c>
      <c r="CX90" s="155">
        <f ca="1">TblMili[[#This Row],[Adept-DP]]*2</f>
        <v>0</v>
      </c>
      <c r="CY90" s="94">
        <f ca="1">dark_elf*(TblMili[[#This Row],[Adept bonus]]*TblMili[[#This Row],[Unit 3]])</f>
        <v>0</v>
      </c>
      <c r="CZ90" s="155">
        <f ca="1">TblMili[[#This Row],[Frost Mage]]*2</f>
        <v>5.9999999999999991</v>
      </c>
      <c r="DA90" s="155">
        <f ca="1">TblMili[[#This Row],[Ice Elemental]]*2</f>
        <v>0</v>
      </c>
      <c r="DB90" s="94">
        <f ca="1">TblMili[[#This Row],[Frost Mage bonus]]*TblMili[[#This Row],[Unit 3]]+TblMili[[#This Row],[Ice Elemental bonus]]*TblMili[[#This Row],[Unit 4]]</f>
        <v>0</v>
      </c>
      <c r="DC90" s="253"/>
      <c r="DD90" s="143">
        <f ca="1">MIN(SUM(TblConstr[[#This Row],[Plain]:[Water]])/TblMili[[#This Row],[Land]]/favorable_terrain_bonus/100,favorable_terrain_max)</f>
        <v>0</v>
      </c>
      <c r="DE90" s="253"/>
      <c r="DF9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0" s="142"/>
      <c r="DH90" s="254">
        <f ca="1">(TblMili[[#This Row],[Wizards]]+2*TblMili[[#This Row],[Archmages]])/TblConstr[[#This Row],[Land]]</f>
        <v>0</v>
      </c>
      <c r="DI90" s="254">
        <f ca="1">TblMili[[#This Row],[Raw (2)]]*(1+race_wizard_strength+IF(TblMili[[#This Row],[Hour]]&gt;72,tech_magical_weaponry_wiz*TblTech[[#This Row],[3-5]],0))</f>
        <v>0</v>
      </c>
    </row>
    <row r="91" spans="1:113" x14ac:dyDescent="0.2">
      <c r="A91" s="137">
        <f>TblRezone[[#This Row],[Hour]]</f>
        <v>88</v>
      </c>
      <c r="B91" s="246">
        <f ca="1">SUM(TblMili[[#This Row],[Unit 1]:[Archmages]])+SUM(OFFSET(TblMili[[#This Row],[Train Unit 1]],-8,0):TblMili[[#This Row],[Train Unit 2]]) + SUM(OFFSET(TblMili[[#This Row],[Train Unit 3]],-11,0):TblMili[[#This Row],[Train AM]]) + TblMili[[#This Row],[Draftees]]</f>
        <v>570</v>
      </c>
      <c r="C91" s="157">
        <f ca="1">TblPop[[#This Row],[Military%]]</f>
        <v>0.74122236671001296</v>
      </c>
      <c r="D91" s="142"/>
      <c r="E91" s="45">
        <f ca="1">OFFSET(TblMili[[#This Row],[Unit 1]],-1,0) + OFFSET(TblMili[[#This Row],[Train Unit 1]],-9,0) - TblMili[[#This Row],[Release Unit 1]] + OFFSET(TblMili[[#This Row],[DnD_Zombies]],-12,0)</f>
        <v>0</v>
      </c>
      <c r="F91" s="45">
        <f ca="1">OFFSET(TblMili[[#This Row],[Unit 2]],-1,0) + OFFSET(TblMili[[#This Row],[Train Unit 2]],-9,0)-TblMili[[#This Row],[Release Unit 2]]</f>
        <v>0</v>
      </c>
      <c r="G91" s="45">
        <f ca="1">OFFSET(TblMili[[#This Row],[Unit 3]],-1,0) + OFFSET(TblMili[[#This Row],[Train Unit 3]],-12,0)-TblMili[[#This Row],[Release Unit 3]]</f>
        <v>0</v>
      </c>
      <c r="H91" s="45">
        <f ca="1">OFFSET(TblMili[[#This Row],[Unit 4]],-1,0) + OFFSET(TblMili[[#This Row],[Train Unit 4]],-12,0)-TblMili[[#This Row],[Release Unit 4]]</f>
        <v>0</v>
      </c>
      <c r="I91" s="45">
        <f ca="1">OFFSET(TblMili[[#This Row],[Spies]],-1,0) + OFFSET(TblMili[[#This Row],[Train Spies]],-12,0) - TblMili[[#This Row],[Release Spies]]-TblMili[[#This Row],[Train AS]]</f>
        <v>0</v>
      </c>
      <c r="J91" s="45">
        <f ca="1">OFFSET(TblMili[[#This Row],[Archspies]],-1,0) + OFFSET(TblMili[[#This Row],[Train AS]],-12,0) - TblMili[[#This Row],[Release AS]]</f>
        <v>0</v>
      </c>
      <c r="K91" s="45">
        <f ca="1">OFFSET(TblMili[[#This Row],[Wizards]],-1,0) + OFFSET(TblMili[[#This Row],[Train Wiz]],-12,0) - TblMili[[#This Row],[Release Wizards]]-TblMili[[#This Row],[Train AM]] + IF(TblMagic[[#This Row],[Active Arc Infusion]]&gt;0,TblMili[[#This Row],[Train AM]])</f>
        <v>0</v>
      </c>
      <c r="L91" s="45">
        <f ca="1">OFFSET(TblMili[[#This Row],[Archmages]],-1,0) + OFFSET(TblMili[[#This Row],[Train AM]],-12,0) - TblMili[[#This Row],[Release AM]]</f>
        <v>0</v>
      </c>
      <c r="M91" s="142"/>
      <c r="N91" s="94">
        <f ca="1">TblProd[[#This Row],[Networth]]</f>
        <v>1250</v>
      </c>
      <c r="O91" s="142"/>
      <c r="P91"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9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1" s="247">
        <f ca="1">TblMili[[#This Row],[Raw]]*(1+TblMili[[#This Row],[Mods_Off]])</f>
        <v>0</v>
      </c>
      <c r="S91"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91" s="247">
        <f ca="1">TblMili[[#This Row],[Non Draft]]+TblMili[[#This Row],[Draftees]]</f>
        <v>570</v>
      </c>
      <c r="U91" s="248">
        <f ca="1">race_defense + TblImps[[#This Row],[Walls]] + ROUND( MIN(gt_bonus*TblConstr[[#This Row],[Tot GT]]/TblConstr[[#This Row],[Land]],gt_bonus_cap), 4) + IF(TblMagic[[#This Row],[Active Howling]]&gt;0,howling_dp_bonus,IF(TblMagic[[#This Row],[Active Ares Call]]&gt;0,ares_call_bonus))</f>
        <v>0</v>
      </c>
      <c r="V91" s="249">
        <f ca="1">TblMili[[#This Row],[Non Draft]] * (1 + TblMili[[#This Row],[Mods_Def]])</f>
        <v>0</v>
      </c>
      <c r="W91" s="247">
        <f ca="1">TblMili[[#This Row],[Draft]] * (1 + TblMili[[#This Row],[Mods_Def]])</f>
        <v>570</v>
      </c>
      <c r="X91" s="247">
        <f ca="1">TblConstr[[#This Row],[Land]]</f>
        <v>50</v>
      </c>
      <c r="Y91" s="250"/>
      <c r="Z91" s="255">
        <f ca="1">IF(TblMili[[#This Row],[Set]]&lt;&gt;"",TblMili[[#This Row],[Set]],OFFSET(TblMili[[#This Row],[Draftrate]],-1,0))</f>
        <v>0.9</v>
      </c>
      <c r="AA91"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570</v>
      </c>
      <c r="AB91" s="154"/>
      <c r="AC91" s="180">
        <f ca="1">(TblConstr[[#This Row],[Tot Smi]]+TblConstr[[#This Row],[Dest Smi]])/(TblConstr[[#This Row],[Land]]-TblExplore[[#This Row],[Land Bonus]]*20)</f>
        <v>0</v>
      </c>
      <c r="AD91" s="137"/>
      <c r="AE91" s="246">
        <f>TblMili[[#This Row],[Hour]]</f>
        <v>88</v>
      </c>
      <c r="AF91" s="138">
        <f ca="1">TblExplore[[#This Row],[Time]]</f>
        <v>46323.624999999789</v>
      </c>
      <c r="AG91" s="179"/>
      <c r="AH91" s="179"/>
      <c r="AI91" s="179"/>
      <c r="AJ91" s="179"/>
      <c r="AK91" s="179"/>
      <c r="AL91" s="179"/>
      <c r="AM91" s="179"/>
      <c r="AN91" s="179"/>
      <c r="AO91" s="420">
        <f ca="1">ROUND(IF(AND(TblMagic[[#This Row],[Active DnD]]&lt;12,TblMagic[[#This Row],[Active DnD]]&gt;5),OFFSET(TblPop[[#This Row],[Draft Growth]],-1,0)*0.375,0),0)</f>
        <v>0</v>
      </c>
      <c r="AP91" s="142"/>
      <c r="AQ91" s="94">
        <f ca="1">TblProd[[#This Row],[Platinum]]</f>
        <v>194020</v>
      </c>
      <c r="AR91" s="94">
        <f ca="1">INDEX(TblProd[[#Headers],[Lumber]]:TblProd[[#This Row],[Ore]],COUNTA(TblProd[[#Headers],[Lumber]]:TblProd[[#This Row],[Lumber]]),MATCH(Military!$AR$2,TblProd[[#Headers],[Lumber]:[Ore]],0))</f>
        <v>0</v>
      </c>
      <c r="AS9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91" s="94">
        <f ca="1">TblMili[[#This Row],[Train Unit 1]]*TblMili[[#This Row],[OP Ore]]+TblMili[[#This Row],[Train Unit 2]]*TblMili[[#This Row],[DP Ore]]+TblMili[[#This Row],[Train Unit 3]]*TblMili[[#This Row],[E1 Ore]]+TblMili[[#This Row],[Train Unit 4]]*TblMili[[#This Row],[E2 Ore]]</f>
        <v>0</v>
      </c>
      <c r="AU91" s="142">
        <f>TblMili[[#This Row],[Hour]]</f>
        <v>88</v>
      </c>
      <c r="AV91" s="152">
        <f ca="1">TblMili[[#This Row],[Time]]</f>
        <v>46323.624999999789</v>
      </c>
      <c r="AW91" s="94">
        <f ca="1">TblMili[[#This Row],[Draftees]]</f>
        <v>570</v>
      </c>
      <c r="AX91" s="179"/>
      <c r="AY91" s="179"/>
      <c r="AZ91" s="179"/>
      <c r="BA91" s="179"/>
      <c r="BB91" s="179"/>
      <c r="BC91" s="179"/>
      <c r="BD91" s="179"/>
      <c r="BE91" s="179"/>
      <c r="BF91" s="179"/>
      <c r="BG91" s="142"/>
      <c r="BH91" s="157">
        <f ca="1">TblConstr[[#This Row],[Tot WG]]/TblConstr[[#This Row],[Land]]</f>
        <v>0</v>
      </c>
      <c r="BI91" s="157">
        <f ca="1">TblConstr[[#This Row],[Tot Hav]]/TblConstr[[#This Row],[Land]]</f>
        <v>0</v>
      </c>
      <c r="BJ91" s="94">
        <f ca="1">ROUNDUP((1-MIN(TblMili[[#This Row],[Smithies]]*smithy_bonus,smithy_bonus_cap) + tech_3_5*TblTech[[#This Row],[3-5]] + tech_5_3*TblTech[[#This Row],[5-3]] + tech_5_5*TblTech[[#This Row],[5-5]])*spec_op_plat,0)</f>
        <v>315</v>
      </c>
      <c r="BK91" s="94">
        <f ca="1">ROUNDUP(IF(race="Gnome",1,(1-MIN(TblMili[[#This Row],[Smithies]]*smithy_bonus,smithy_bonus_cap) + tech_3_5*TblTech[[#This Row],[3-5]] + tech_5_3*TblTech[[#This Row],[5-3]] + tech_5_5*TblTech[[#This Row],[5-5]]))*spec_op_ore,0)</f>
        <v>25</v>
      </c>
      <c r="BL91" s="94">
        <f ca="1">ROUNDUP((1-MIN(TblMili[[#This Row],[Smithies]]*smithy_bonus,smithy_bonus_cap) + tech_3_5*TblTech[[#This Row],[3-5]] + tech_5_3*TblTech[[#This Row],[5-3]] + tech_5_5*TblTech[[#This Row],[5-5]])*spec_dp_plat,0)</f>
        <v>275</v>
      </c>
      <c r="BM91" s="94">
        <f ca="1">ROUNDUP(IF(race="Gnome",1,(1-MIN(TblMili[[#This Row],[Smithies]]*smithy_bonus,smithy_bonus_cap) + tech_3_5*TblTech[[#This Row],[3-5]] + tech_5_3*TblTech[[#This Row],[5-3]] + tech_5_5*TblTech[[#This Row],[5-5]]))*spec_dp_ore,0)</f>
        <v>15</v>
      </c>
      <c r="BN91" s="94">
        <f ca="1">ROUNDUP((1-MIN(TblMili[[#This Row],[Smithies]]*smithy_bonus,smithy_bonus_cap) + tech_3_5*TblTech[[#This Row],[3-5]] + tech_5_3*TblTech[[#This Row],[5-3]] + tech_5_5*TblTech[[#This Row],[5-5]])*elite1_plat,0)</f>
        <v>1040</v>
      </c>
      <c r="BO91" s="94">
        <f ca="1">ROUNDUP(IF(race="Gnome",1,(1-MIN(TblMili[[#This Row],[Smithies]]*smithy_bonus,smithy_bonus_cap) + tech_3_5*TblTech[[#This Row],[3-5]] + tech_5_3*TblTech[[#This Row],[5-3]] + tech_5_5*TblTech[[#This Row],[5-5]]))*elite1_ore,0)</f>
        <v>75</v>
      </c>
      <c r="BP91" s="94">
        <f ca="1">ROUNDUP((1-MIN(TblMili[[#This Row],[Smithies]]*smithy_bonus,smithy_bonus_cap) + tech_3_5*TblTech[[#This Row],[3-5]] + tech_5_3*TblTech[[#This Row],[5-3]] + tech_5_5*TblTech[[#This Row],[5-5]])*elite2_plat,0)</f>
        <v>1280</v>
      </c>
      <c r="BQ91" s="94">
        <f ca="1">ROUNDUP(IF(race="Gnome",1,(1-MIN(TblMili[[#This Row],[Smithies]]*smithy_bonus,smithy_bonus_cap) + tech_3_5*TblTech[[#This Row],[3-5]] + tech_5_3*TblTech[[#This Row],[5-3]] + tech_5_5*TblTech[[#This Row],[5-5]]))*elite2_ore,0)</f>
        <v>100</v>
      </c>
      <c r="BR91" s="94">
        <f ca="1">ROUNDUP((1-MIN(ROUND(fh_spy_cost_red*TblMili[[#This Row],[FH''s]],4),fh_spy_cost_cap)+ tech_1_9*TblTech[[#This Row],[1-9]] + tech_9_1*TblTech[[#This Row],[9-1]])*spy_plat,0)</f>
        <v>500</v>
      </c>
      <c r="BS91" s="94">
        <f ca="1">ROUNDUP((1-MIN(ROUND(fh_spy_cost_red*TblMili[[#This Row],[FH''s]],4),fh_spy_cost_cap)+ tech_1_9*TblTech[[#This Row],[1-9]] + tech_9_1*TblTech[[#This Row],[9-1]])*archspy_plat,0)</f>
        <v>1000</v>
      </c>
      <c r="BT91" s="94">
        <f ca="1">ROUNDUP((1-MIN(ROUND(wg_wiz_cost_bonus*TblMili[[#This Row],[WG''s]],4),wg_wiz_cost_cap) + tech_1_9_2*TblTech[[#This Row],[1-9]] + tech_9_1_2*TblTech[[#This Row],[9-1]])*wizard_plat,0)</f>
        <v>500</v>
      </c>
      <c r="BU91" s="94">
        <f ca="1">ROUNDUP((1-MIN(ROUND(wg_wiz_cost_bonus*TblMili[[#This Row],[WG''s]],4),wg_wiz_cost_cap) + tech_1_9_2*TblTech[[#This Row],[1-9]] + tech_9_1_2*TblTech[[#This Row],[9-1]])*(archmage_plat + IF(TblMagic[[#This Row],[Active Arc Infusion]]&gt;0,400,0)),0)</f>
        <v>1000</v>
      </c>
      <c r="BV91" s="142"/>
      <c r="BW91" s="157">
        <f ca="1">TblConstr[[#This Row],[Homeland]]/TblConstr[[#This Row],[Land]]</f>
        <v>0.6</v>
      </c>
      <c r="BX91" s="157">
        <f ca="1">TblMili[[#This Row],[WG''s]]</f>
        <v>0</v>
      </c>
      <c r="BY91" s="251">
        <f ca="1">IF(mystic_cap="none",TblMili[[#This Row],[Homeland%]]/mystic_bonus,MIN(mystic_cap,TblMili[[#This Row],[Homeland%]]/mystic_bonus))</f>
        <v>2</v>
      </c>
      <c r="BZ91" s="251">
        <f ca="1">IF(druid_op_cap="none",TblMili[[#This Row],[Homeland%]]/druid_op_bonus,MIN(druid_op_cap,TblMili[[#This Row],[Homeland%]]/druid_op_bonus))</f>
        <v>2</v>
      </c>
      <c r="CA91" s="251">
        <f ca="1">IF(druid_dp_cap="none",TblMili[[#This Row],[Homeland%]]/druid_dp_bonus,MIN(druid_dp_cap,TblMili[[#This Row],[Homeland%]]/druid_dp_bonus))</f>
        <v>2</v>
      </c>
      <c r="CB91" s="251">
        <f ca="1">MIN(dryad_cap,TblMili[[#This Row],[Homeland%]]/dryad_bonus)</f>
        <v>2.9999999999999996</v>
      </c>
      <c r="CC91" s="251">
        <f ca="1">MIN(rocka_cap,TblMili[[#This Row],[Homeland%]]/rocka_bonus)</f>
        <v>2</v>
      </c>
      <c r="CD91" s="251">
        <f ca="1">MIN(adept_op_cap,TblMili[[#This Row],[WG]]/adept_op_bonus)</f>
        <v>0</v>
      </c>
      <c r="CE91" s="251">
        <f ca="1">MIN(adept_dp_cap,TblMili[[#This Row],[WG]]/adept_dp_bonus)</f>
        <v>0</v>
      </c>
      <c r="CF91" s="94">
        <f ca="1">MIN(TblMili[[#This Row],[Unit 3]],TblMili[[#This Row],[Unit 2]])*2</f>
        <v>0</v>
      </c>
      <c r="CG91" s="94">
        <f ca="1">MIN(TblMili[[#This Row],[Unit 1]],TblMili[[#This Row],[Unit 4]])*2</f>
        <v>0</v>
      </c>
      <c r="CH91" s="251">
        <f ca="1">MIN(frost_mage_cap,TblMili[[#This Row],[Homeland%]]/frost_mage_bonus)</f>
        <v>2.9999999999999996</v>
      </c>
      <c r="CI91" s="45">
        <f ca="1">MIN(ice_elem_cap,TblMili[[#This Row],[Raw (2)]]*ice_elem_bonus)</f>
        <v>0</v>
      </c>
      <c r="CJ91" s="251">
        <f t="shared" si="3"/>
        <v>0.83333333333333337</v>
      </c>
      <c r="CK91" s="251">
        <f ca="1">MIN(nox_nightshade_cap,TblConstr[[#This Row],[Homeland]]/TblConstr[[#This Row],[Land]]/nox_nightshade_swamp_bonus)</f>
        <v>4</v>
      </c>
      <c r="CL91" s="251">
        <f ca="1">MIN(TblConstr[[#This Row],[Total Swamp]]/TblConstr[[#This Row],[Land]]/abyss_enforce_bonus,abyss_enforcer_cap)</f>
        <v>0</v>
      </c>
      <c r="CM91" s="251">
        <f ca="1">IF(TblMagic[[#This Row],[Active Infernal Command]]&gt;0,TblMili[[#This Row],[Unit 1]]*infernal_cmd_op,0)</f>
        <v>0</v>
      </c>
      <c r="CN91" s="252"/>
      <c r="CO91" s="252"/>
      <c r="CP91" s="252"/>
      <c r="CQ91" s="251">
        <f ca="1">TblMili[[#This Row],[Mystic]]*2</f>
        <v>4</v>
      </c>
      <c r="CR91" s="251">
        <f ca="1">TblMili[[#This Row],[Druid (op)]]*2</f>
        <v>4</v>
      </c>
      <c r="CS91" s="94">
        <f ca="1">TblMili[[#This Row],[Mystic bonus]]*TblMili[[#This Row],[Unit 3]]+TblMili[[#This Row],[Druid bonus]]*TblMili[[#This Row],[Unit 4]]</f>
        <v>0</v>
      </c>
      <c r="CT91" s="155">
        <f ca="1">TblMili[[#This Row],[Dryad]]*2</f>
        <v>5.9999999999999991</v>
      </c>
      <c r="CU91" s="94">
        <f ca="1">sylvan*(TblMili[[#This Row],[Mystic bonus]]*TblMili[[#This Row],[Unit 3]])</f>
        <v>0</v>
      </c>
      <c r="CV91" s="155">
        <f ca="1">TblMili[[#This Row],[Rockapult]]*2</f>
        <v>4</v>
      </c>
      <c r="CW91" s="94">
        <f ca="1">gnome*(TblMili[[#This Row],[Rockapult bonus]]*TblMili[[#This Row],[Unit 3]])</f>
        <v>0</v>
      </c>
      <c r="CX91" s="155">
        <f ca="1">TblMili[[#This Row],[Adept-DP]]*2</f>
        <v>0</v>
      </c>
      <c r="CY91" s="94">
        <f ca="1">dark_elf*(TblMili[[#This Row],[Adept bonus]]*TblMili[[#This Row],[Unit 3]])</f>
        <v>0</v>
      </c>
      <c r="CZ91" s="155">
        <f ca="1">TblMili[[#This Row],[Frost Mage]]*2</f>
        <v>5.9999999999999991</v>
      </c>
      <c r="DA91" s="155">
        <f ca="1">TblMili[[#This Row],[Ice Elemental]]*2</f>
        <v>0</v>
      </c>
      <c r="DB91" s="94">
        <f ca="1">TblMili[[#This Row],[Frost Mage bonus]]*TblMili[[#This Row],[Unit 3]]+TblMili[[#This Row],[Ice Elemental bonus]]*TblMili[[#This Row],[Unit 4]]</f>
        <v>0</v>
      </c>
      <c r="DC91" s="253"/>
      <c r="DD91" s="143">
        <f ca="1">MIN(SUM(TblConstr[[#This Row],[Plain]:[Water]])/TblMili[[#This Row],[Land]]/favorable_terrain_bonus/100,favorable_terrain_max)</f>
        <v>0</v>
      </c>
      <c r="DE91" s="253"/>
      <c r="DF9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1" s="142"/>
      <c r="DH91" s="254">
        <f ca="1">(TblMili[[#This Row],[Wizards]]+2*TblMili[[#This Row],[Archmages]])/TblConstr[[#This Row],[Land]]</f>
        <v>0</v>
      </c>
      <c r="DI91" s="254">
        <f ca="1">TblMili[[#This Row],[Raw (2)]]*(1+race_wizard_strength+IF(TblMili[[#This Row],[Hour]]&gt;72,tech_magical_weaponry_wiz*TblTech[[#This Row],[3-5]],0))</f>
        <v>0</v>
      </c>
    </row>
    <row r="92" spans="1:113" x14ac:dyDescent="0.2">
      <c r="A92" s="137">
        <f>TblRezone[[#This Row],[Hour]]</f>
        <v>89</v>
      </c>
      <c r="B92" s="246">
        <f ca="1">SUM(TblMili[[#This Row],[Unit 1]:[Archmages]])+SUM(OFFSET(TblMili[[#This Row],[Train Unit 1]],-8,0):TblMili[[#This Row],[Train Unit 2]]) + SUM(OFFSET(TblMili[[#This Row],[Train Unit 3]],-11,0):TblMili[[#This Row],[Train AM]]) + TblMili[[#This Row],[Draftees]]</f>
        <v>572</v>
      </c>
      <c r="C92" s="157">
        <f ca="1">TblPop[[#This Row],[Military%]]</f>
        <v>0.74382314694408325</v>
      </c>
      <c r="D92" s="142"/>
      <c r="E92" s="45">
        <f ca="1">OFFSET(TblMili[[#This Row],[Unit 1]],-1,0) + OFFSET(TblMili[[#This Row],[Train Unit 1]],-9,0) - TblMili[[#This Row],[Release Unit 1]] + OFFSET(TblMili[[#This Row],[DnD_Zombies]],-12,0)</f>
        <v>0</v>
      </c>
      <c r="F92" s="45">
        <f ca="1">OFFSET(TblMili[[#This Row],[Unit 2]],-1,0) + OFFSET(TblMili[[#This Row],[Train Unit 2]],-9,0)-TblMili[[#This Row],[Release Unit 2]]</f>
        <v>0</v>
      </c>
      <c r="G92" s="45">
        <f ca="1">OFFSET(TblMili[[#This Row],[Unit 3]],-1,0) + OFFSET(TblMili[[#This Row],[Train Unit 3]],-12,0)-TblMili[[#This Row],[Release Unit 3]]</f>
        <v>0</v>
      </c>
      <c r="H92" s="45">
        <f ca="1">OFFSET(TblMili[[#This Row],[Unit 4]],-1,0) + OFFSET(TblMili[[#This Row],[Train Unit 4]],-12,0)-TblMili[[#This Row],[Release Unit 4]]</f>
        <v>0</v>
      </c>
      <c r="I92" s="45">
        <f ca="1">OFFSET(TblMili[[#This Row],[Spies]],-1,0) + OFFSET(TblMili[[#This Row],[Train Spies]],-12,0) - TblMili[[#This Row],[Release Spies]]-TblMili[[#This Row],[Train AS]]</f>
        <v>0</v>
      </c>
      <c r="J92" s="45">
        <f ca="1">OFFSET(TblMili[[#This Row],[Archspies]],-1,0) + OFFSET(TblMili[[#This Row],[Train AS]],-12,0) - TblMili[[#This Row],[Release AS]]</f>
        <v>0</v>
      </c>
      <c r="K92" s="45">
        <f ca="1">OFFSET(TblMili[[#This Row],[Wizards]],-1,0) + OFFSET(TblMili[[#This Row],[Train Wiz]],-12,0) - TblMili[[#This Row],[Release Wizards]]-TblMili[[#This Row],[Train AM]] + IF(TblMagic[[#This Row],[Active Arc Infusion]]&gt;0,TblMili[[#This Row],[Train AM]])</f>
        <v>0</v>
      </c>
      <c r="L92" s="45">
        <f ca="1">OFFSET(TblMili[[#This Row],[Archmages]],-1,0) + OFFSET(TblMili[[#This Row],[Train AM]],-12,0) - TblMili[[#This Row],[Release AM]]</f>
        <v>0</v>
      </c>
      <c r="M92" s="142"/>
      <c r="N92" s="94">
        <f ca="1">TblProd[[#This Row],[Networth]]</f>
        <v>1250</v>
      </c>
      <c r="O92" s="142"/>
      <c r="P92"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9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2" s="247">
        <f ca="1">TblMili[[#This Row],[Raw]]*(1+TblMili[[#This Row],[Mods_Off]])</f>
        <v>0</v>
      </c>
      <c r="S92"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92" s="247">
        <f ca="1">TblMili[[#This Row],[Non Draft]]+TblMili[[#This Row],[Draftees]]</f>
        <v>572</v>
      </c>
      <c r="U92" s="248">
        <f ca="1">race_defense + TblImps[[#This Row],[Walls]] + ROUND( MIN(gt_bonus*TblConstr[[#This Row],[Tot GT]]/TblConstr[[#This Row],[Land]],gt_bonus_cap), 4) + IF(TblMagic[[#This Row],[Active Howling]]&gt;0,howling_dp_bonus,IF(TblMagic[[#This Row],[Active Ares Call]]&gt;0,ares_call_bonus))</f>
        <v>0</v>
      </c>
      <c r="V92" s="249">
        <f ca="1">TblMili[[#This Row],[Non Draft]] * (1 + TblMili[[#This Row],[Mods_Def]])</f>
        <v>0</v>
      </c>
      <c r="W92" s="247">
        <f ca="1">TblMili[[#This Row],[Draft]] * (1 + TblMili[[#This Row],[Mods_Def]])</f>
        <v>572</v>
      </c>
      <c r="X92" s="247">
        <f ca="1">TblConstr[[#This Row],[Land]]</f>
        <v>50</v>
      </c>
      <c r="Y92" s="250"/>
      <c r="Z92" s="255">
        <f ca="1">IF(TblMili[[#This Row],[Set]]&lt;&gt;"",TblMili[[#This Row],[Set]],OFFSET(TblMili[[#This Row],[Draftrate]],-1,0))</f>
        <v>0.9</v>
      </c>
      <c r="AA92"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572</v>
      </c>
      <c r="AB92" s="154"/>
      <c r="AC92" s="180">
        <f ca="1">(TblConstr[[#This Row],[Tot Smi]]+TblConstr[[#This Row],[Dest Smi]])/(TblConstr[[#This Row],[Land]]-TblExplore[[#This Row],[Land Bonus]]*20)</f>
        <v>0</v>
      </c>
      <c r="AD92" s="137"/>
      <c r="AE92" s="246">
        <f>TblMili[[#This Row],[Hour]]</f>
        <v>89</v>
      </c>
      <c r="AF92" s="138">
        <f ca="1">TblExplore[[#This Row],[Time]]</f>
        <v>46323.666666666453</v>
      </c>
      <c r="AG92" s="179"/>
      <c r="AH92" s="179"/>
      <c r="AI92" s="179"/>
      <c r="AJ92" s="179"/>
      <c r="AK92" s="179"/>
      <c r="AL92" s="179"/>
      <c r="AM92" s="179"/>
      <c r="AN92" s="179"/>
      <c r="AO92" s="420">
        <f ca="1">ROUND(IF(AND(TblMagic[[#This Row],[Active DnD]]&lt;12,TblMagic[[#This Row],[Active DnD]]&gt;5),OFFSET(TblPop[[#This Row],[Draft Growth]],-1,0)*0.375,0),0)</f>
        <v>0</v>
      </c>
      <c r="AP92" s="142"/>
      <c r="AQ92" s="94">
        <f ca="1">TblProd[[#This Row],[Platinum]]</f>
        <v>194557</v>
      </c>
      <c r="AR92" s="94">
        <f ca="1">INDEX(TblProd[[#Headers],[Lumber]]:TblProd[[#This Row],[Ore]],COUNTA(TblProd[[#Headers],[Lumber]]:TblProd[[#This Row],[Lumber]]),MATCH(Military!$AR$2,TblProd[[#Headers],[Lumber]:[Ore]],0))</f>
        <v>0</v>
      </c>
      <c r="AS92"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92" s="94">
        <f ca="1">TblMili[[#This Row],[Train Unit 1]]*TblMili[[#This Row],[OP Ore]]+TblMili[[#This Row],[Train Unit 2]]*TblMili[[#This Row],[DP Ore]]+TblMili[[#This Row],[Train Unit 3]]*TblMili[[#This Row],[E1 Ore]]+TblMili[[#This Row],[Train Unit 4]]*TblMili[[#This Row],[E2 Ore]]</f>
        <v>0</v>
      </c>
      <c r="AU92" s="142">
        <f>TblMili[[#This Row],[Hour]]</f>
        <v>89</v>
      </c>
      <c r="AV92" s="152">
        <f ca="1">TblMili[[#This Row],[Time]]</f>
        <v>46323.666666666453</v>
      </c>
      <c r="AW92" s="94">
        <f ca="1">TblMili[[#This Row],[Draftees]]</f>
        <v>572</v>
      </c>
      <c r="AX92" s="179"/>
      <c r="AY92" s="179"/>
      <c r="AZ92" s="179"/>
      <c r="BA92" s="179"/>
      <c r="BB92" s="179"/>
      <c r="BC92" s="179"/>
      <c r="BD92" s="179"/>
      <c r="BE92" s="179"/>
      <c r="BF92" s="179"/>
      <c r="BG92" s="142"/>
      <c r="BH92" s="157">
        <f ca="1">TblConstr[[#This Row],[Tot WG]]/TblConstr[[#This Row],[Land]]</f>
        <v>0</v>
      </c>
      <c r="BI92" s="157">
        <f ca="1">TblConstr[[#This Row],[Tot Hav]]/TblConstr[[#This Row],[Land]]</f>
        <v>0</v>
      </c>
      <c r="BJ92" s="94">
        <f ca="1">ROUNDUP((1-MIN(TblMili[[#This Row],[Smithies]]*smithy_bonus,smithy_bonus_cap) + tech_3_5*TblTech[[#This Row],[3-5]] + tech_5_3*TblTech[[#This Row],[5-3]] + tech_5_5*TblTech[[#This Row],[5-5]])*spec_op_plat,0)</f>
        <v>315</v>
      </c>
      <c r="BK92" s="94">
        <f ca="1">ROUNDUP(IF(race="Gnome",1,(1-MIN(TblMili[[#This Row],[Smithies]]*smithy_bonus,smithy_bonus_cap) + tech_3_5*TblTech[[#This Row],[3-5]] + tech_5_3*TblTech[[#This Row],[5-3]] + tech_5_5*TblTech[[#This Row],[5-5]]))*spec_op_ore,0)</f>
        <v>25</v>
      </c>
      <c r="BL92" s="94">
        <f ca="1">ROUNDUP((1-MIN(TblMili[[#This Row],[Smithies]]*smithy_bonus,smithy_bonus_cap) + tech_3_5*TblTech[[#This Row],[3-5]] + tech_5_3*TblTech[[#This Row],[5-3]] + tech_5_5*TblTech[[#This Row],[5-5]])*spec_dp_plat,0)</f>
        <v>275</v>
      </c>
      <c r="BM92" s="94">
        <f ca="1">ROUNDUP(IF(race="Gnome",1,(1-MIN(TblMili[[#This Row],[Smithies]]*smithy_bonus,smithy_bonus_cap) + tech_3_5*TblTech[[#This Row],[3-5]] + tech_5_3*TblTech[[#This Row],[5-3]] + tech_5_5*TblTech[[#This Row],[5-5]]))*spec_dp_ore,0)</f>
        <v>15</v>
      </c>
      <c r="BN92" s="94">
        <f ca="1">ROUNDUP((1-MIN(TblMili[[#This Row],[Smithies]]*smithy_bonus,smithy_bonus_cap) + tech_3_5*TblTech[[#This Row],[3-5]] + tech_5_3*TblTech[[#This Row],[5-3]] + tech_5_5*TblTech[[#This Row],[5-5]])*elite1_plat,0)</f>
        <v>1040</v>
      </c>
      <c r="BO92" s="94">
        <f ca="1">ROUNDUP(IF(race="Gnome",1,(1-MIN(TblMili[[#This Row],[Smithies]]*smithy_bonus,smithy_bonus_cap) + tech_3_5*TblTech[[#This Row],[3-5]] + tech_5_3*TblTech[[#This Row],[5-3]] + tech_5_5*TblTech[[#This Row],[5-5]]))*elite1_ore,0)</f>
        <v>75</v>
      </c>
      <c r="BP92" s="94">
        <f ca="1">ROUNDUP((1-MIN(TblMili[[#This Row],[Smithies]]*smithy_bonus,smithy_bonus_cap) + tech_3_5*TblTech[[#This Row],[3-5]] + tech_5_3*TblTech[[#This Row],[5-3]] + tech_5_5*TblTech[[#This Row],[5-5]])*elite2_plat,0)</f>
        <v>1280</v>
      </c>
      <c r="BQ92" s="94">
        <f ca="1">ROUNDUP(IF(race="Gnome",1,(1-MIN(TblMili[[#This Row],[Smithies]]*smithy_bonus,smithy_bonus_cap) + tech_3_5*TblTech[[#This Row],[3-5]] + tech_5_3*TblTech[[#This Row],[5-3]] + tech_5_5*TblTech[[#This Row],[5-5]]))*elite2_ore,0)</f>
        <v>100</v>
      </c>
      <c r="BR92" s="94">
        <f ca="1">ROUNDUP((1-MIN(ROUND(fh_spy_cost_red*TblMili[[#This Row],[FH''s]],4),fh_spy_cost_cap)+ tech_1_9*TblTech[[#This Row],[1-9]] + tech_9_1*TblTech[[#This Row],[9-1]])*spy_plat,0)</f>
        <v>500</v>
      </c>
      <c r="BS92" s="94">
        <f ca="1">ROUNDUP((1-MIN(ROUND(fh_spy_cost_red*TblMili[[#This Row],[FH''s]],4),fh_spy_cost_cap)+ tech_1_9*TblTech[[#This Row],[1-9]] + tech_9_1*TblTech[[#This Row],[9-1]])*archspy_plat,0)</f>
        <v>1000</v>
      </c>
      <c r="BT92" s="94">
        <f ca="1">ROUNDUP((1-MIN(ROUND(wg_wiz_cost_bonus*TblMili[[#This Row],[WG''s]],4),wg_wiz_cost_cap) + tech_1_9_2*TblTech[[#This Row],[1-9]] + tech_9_1_2*TblTech[[#This Row],[9-1]])*wizard_plat,0)</f>
        <v>500</v>
      </c>
      <c r="BU92" s="94">
        <f ca="1">ROUNDUP((1-MIN(ROUND(wg_wiz_cost_bonus*TblMili[[#This Row],[WG''s]],4),wg_wiz_cost_cap) + tech_1_9_2*TblTech[[#This Row],[1-9]] + tech_9_1_2*TblTech[[#This Row],[9-1]])*(archmage_plat + IF(TblMagic[[#This Row],[Active Arc Infusion]]&gt;0,400,0)),0)</f>
        <v>1000</v>
      </c>
      <c r="BV92" s="142"/>
      <c r="BW92" s="157">
        <f ca="1">TblConstr[[#This Row],[Homeland]]/TblConstr[[#This Row],[Land]]</f>
        <v>0.6</v>
      </c>
      <c r="BX92" s="157">
        <f ca="1">TblMili[[#This Row],[WG''s]]</f>
        <v>0</v>
      </c>
      <c r="BY92" s="251">
        <f ca="1">IF(mystic_cap="none",TblMili[[#This Row],[Homeland%]]/mystic_bonus,MIN(mystic_cap,TblMili[[#This Row],[Homeland%]]/mystic_bonus))</f>
        <v>2</v>
      </c>
      <c r="BZ92" s="251">
        <f ca="1">IF(druid_op_cap="none",TblMili[[#This Row],[Homeland%]]/druid_op_bonus,MIN(druid_op_cap,TblMili[[#This Row],[Homeland%]]/druid_op_bonus))</f>
        <v>2</v>
      </c>
      <c r="CA92" s="251">
        <f ca="1">IF(druid_dp_cap="none",TblMili[[#This Row],[Homeland%]]/druid_dp_bonus,MIN(druid_dp_cap,TblMili[[#This Row],[Homeland%]]/druid_dp_bonus))</f>
        <v>2</v>
      </c>
      <c r="CB92" s="251">
        <f ca="1">MIN(dryad_cap,TblMili[[#This Row],[Homeland%]]/dryad_bonus)</f>
        <v>2.9999999999999996</v>
      </c>
      <c r="CC92" s="251">
        <f ca="1">MIN(rocka_cap,TblMili[[#This Row],[Homeland%]]/rocka_bonus)</f>
        <v>2</v>
      </c>
      <c r="CD92" s="251">
        <f ca="1">MIN(adept_op_cap,TblMili[[#This Row],[WG]]/adept_op_bonus)</f>
        <v>0</v>
      </c>
      <c r="CE92" s="251">
        <f ca="1">MIN(adept_dp_cap,TblMili[[#This Row],[WG]]/adept_dp_bonus)</f>
        <v>0</v>
      </c>
      <c r="CF92" s="94">
        <f ca="1">MIN(TblMili[[#This Row],[Unit 3]],TblMili[[#This Row],[Unit 2]])*2</f>
        <v>0</v>
      </c>
      <c r="CG92" s="94">
        <f ca="1">MIN(TblMili[[#This Row],[Unit 1]],TblMili[[#This Row],[Unit 4]])*2</f>
        <v>0</v>
      </c>
      <c r="CH92" s="251">
        <f ca="1">MIN(frost_mage_cap,TblMili[[#This Row],[Homeland%]]/frost_mage_bonus)</f>
        <v>2.9999999999999996</v>
      </c>
      <c r="CI92" s="45">
        <f ca="1">MIN(ice_elem_cap,TblMili[[#This Row],[Raw (2)]]*ice_elem_bonus)</f>
        <v>0</v>
      </c>
      <c r="CJ92" s="251">
        <f t="shared" si="3"/>
        <v>0.83333333333333337</v>
      </c>
      <c r="CK92" s="251">
        <f ca="1">MIN(nox_nightshade_cap,TblConstr[[#This Row],[Homeland]]/TblConstr[[#This Row],[Land]]/nox_nightshade_swamp_bonus)</f>
        <v>4</v>
      </c>
      <c r="CL92" s="251">
        <f ca="1">MIN(TblConstr[[#This Row],[Total Swamp]]/TblConstr[[#This Row],[Land]]/abyss_enforce_bonus,abyss_enforcer_cap)</f>
        <v>0</v>
      </c>
      <c r="CM92" s="251">
        <f ca="1">IF(TblMagic[[#This Row],[Active Infernal Command]]&gt;0,TblMili[[#This Row],[Unit 1]]*infernal_cmd_op,0)</f>
        <v>0</v>
      </c>
      <c r="CN92" s="252"/>
      <c r="CO92" s="252"/>
      <c r="CP92" s="252"/>
      <c r="CQ92" s="251">
        <f ca="1">TblMili[[#This Row],[Mystic]]*2</f>
        <v>4</v>
      </c>
      <c r="CR92" s="251">
        <f ca="1">TblMili[[#This Row],[Druid (op)]]*2</f>
        <v>4</v>
      </c>
      <c r="CS92" s="94">
        <f ca="1">TblMili[[#This Row],[Mystic bonus]]*TblMili[[#This Row],[Unit 3]]+TblMili[[#This Row],[Druid bonus]]*TblMili[[#This Row],[Unit 4]]</f>
        <v>0</v>
      </c>
      <c r="CT92" s="155">
        <f ca="1">TblMili[[#This Row],[Dryad]]*2</f>
        <v>5.9999999999999991</v>
      </c>
      <c r="CU92" s="94">
        <f ca="1">sylvan*(TblMili[[#This Row],[Mystic bonus]]*TblMili[[#This Row],[Unit 3]])</f>
        <v>0</v>
      </c>
      <c r="CV92" s="155">
        <f ca="1">TblMili[[#This Row],[Rockapult]]*2</f>
        <v>4</v>
      </c>
      <c r="CW92" s="94">
        <f ca="1">gnome*(TblMili[[#This Row],[Rockapult bonus]]*TblMili[[#This Row],[Unit 3]])</f>
        <v>0</v>
      </c>
      <c r="CX92" s="155">
        <f ca="1">TblMili[[#This Row],[Adept-DP]]*2</f>
        <v>0</v>
      </c>
      <c r="CY92" s="94">
        <f ca="1">dark_elf*(TblMili[[#This Row],[Adept bonus]]*TblMili[[#This Row],[Unit 3]])</f>
        <v>0</v>
      </c>
      <c r="CZ92" s="155">
        <f ca="1">TblMili[[#This Row],[Frost Mage]]*2</f>
        <v>5.9999999999999991</v>
      </c>
      <c r="DA92" s="155">
        <f ca="1">TblMili[[#This Row],[Ice Elemental]]*2</f>
        <v>0</v>
      </c>
      <c r="DB92" s="94">
        <f ca="1">TblMili[[#This Row],[Frost Mage bonus]]*TblMili[[#This Row],[Unit 3]]+TblMili[[#This Row],[Ice Elemental bonus]]*TblMili[[#This Row],[Unit 4]]</f>
        <v>0</v>
      </c>
      <c r="DC92" s="253"/>
      <c r="DD92" s="143">
        <f ca="1">MIN(SUM(TblConstr[[#This Row],[Plain]:[Water]])/TblMili[[#This Row],[Land]]/favorable_terrain_bonus/100,favorable_terrain_max)</f>
        <v>0</v>
      </c>
      <c r="DE92" s="253"/>
      <c r="DF9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2" s="142"/>
      <c r="DH92" s="254">
        <f ca="1">(TblMili[[#This Row],[Wizards]]+2*TblMili[[#This Row],[Archmages]])/TblConstr[[#This Row],[Land]]</f>
        <v>0</v>
      </c>
      <c r="DI92" s="254">
        <f ca="1">TblMili[[#This Row],[Raw (2)]]*(1+race_wizard_strength+IF(TblMili[[#This Row],[Hour]]&gt;72,tech_magical_weaponry_wiz*TblTech[[#This Row],[3-5]],0))</f>
        <v>0</v>
      </c>
    </row>
    <row r="93" spans="1:113" x14ac:dyDescent="0.2">
      <c r="A93" s="137">
        <f>TblRezone[[#This Row],[Hour]]</f>
        <v>90</v>
      </c>
      <c r="B93" s="246">
        <f ca="1">SUM(TblMili[[#This Row],[Unit 1]:[Archmages]])+SUM(OFFSET(TblMili[[#This Row],[Train Unit 1]],-8,0):TblMili[[#This Row],[Train Unit 2]]) + SUM(OFFSET(TblMili[[#This Row],[Train Unit 3]],-11,0):TblMili[[#This Row],[Train AM]]) + TblMili[[#This Row],[Draftees]]</f>
        <v>574</v>
      </c>
      <c r="C93" s="157">
        <f ca="1">TblPop[[#This Row],[Military%]]</f>
        <v>0.74642392717815342</v>
      </c>
      <c r="D93" s="142"/>
      <c r="E93" s="45">
        <f ca="1">OFFSET(TblMili[[#This Row],[Unit 1]],-1,0) + OFFSET(TblMili[[#This Row],[Train Unit 1]],-9,0) - TblMili[[#This Row],[Release Unit 1]] + OFFSET(TblMili[[#This Row],[DnD_Zombies]],-12,0)</f>
        <v>0</v>
      </c>
      <c r="F93" s="45">
        <f ca="1">OFFSET(TblMili[[#This Row],[Unit 2]],-1,0) + OFFSET(TblMili[[#This Row],[Train Unit 2]],-9,0)-TblMili[[#This Row],[Release Unit 2]]</f>
        <v>0</v>
      </c>
      <c r="G93" s="45">
        <f ca="1">OFFSET(TblMili[[#This Row],[Unit 3]],-1,0) + OFFSET(TblMili[[#This Row],[Train Unit 3]],-12,0)-TblMili[[#This Row],[Release Unit 3]]</f>
        <v>0</v>
      </c>
      <c r="H93" s="45">
        <f ca="1">OFFSET(TblMili[[#This Row],[Unit 4]],-1,0) + OFFSET(TblMili[[#This Row],[Train Unit 4]],-12,0)-TblMili[[#This Row],[Release Unit 4]]</f>
        <v>0</v>
      </c>
      <c r="I93" s="45">
        <f ca="1">OFFSET(TblMili[[#This Row],[Spies]],-1,0) + OFFSET(TblMili[[#This Row],[Train Spies]],-12,0) - TblMili[[#This Row],[Release Spies]]-TblMili[[#This Row],[Train AS]]</f>
        <v>0</v>
      </c>
      <c r="J93" s="45">
        <f ca="1">OFFSET(TblMili[[#This Row],[Archspies]],-1,0) + OFFSET(TblMili[[#This Row],[Train AS]],-12,0) - TblMili[[#This Row],[Release AS]]</f>
        <v>0</v>
      </c>
      <c r="K93" s="45">
        <f ca="1">OFFSET(TblMili[[#This Row],[Wizards]],-1,0) + OFFSET(TblMili[[#This Row],[Train Wiz]],-12,0) - TblMili[[#This Row],[Release Wizards]]-TblMili[[#This Row],[Train AM]] + IF(TblMagic[[#This Row],[Active Arc Infusion]]&gt;0,TblMili[[#This Row],[Train AM]])</f>
        <v>0</v>
      </c>
      <c r="L93" s="45">
        <f ca="1">OFFSET(TblMili[[#This Row],[Archmages]],-1,0) + OFFSET(TblMili[[#This Row],[Train AM]],-12,0) - TblMili[[#This Row],[Release AM]]</f>
        <v>0</v>
      </c>
      <c r="M93" s="142"/>
      <c r="N93" s="94">
        <f ca="1">TblProd[[#This Row],[Networth]]</f>
        <v>1250</v>
      </c>
      <c r="O93" s="142"/>
      <c r="P93"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9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3" s="247">
        <f ca="1">TblMili[[#This Row],[Raw]]*(1+TblMili[[#This Row],[Mods_Off]])</f>
        <v>0</v>
      </c>
      <c r="S93"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93" s="247">
        <f ca="1">TblMili[[#This Row],[Non Draft]]+TblMili[[#This Row],[Draftees]]</f>
        <v>574</v>
      </c>
      <c r="U93" s="248">
        <f ca="1">race_defense + TblImps[[#This Row],[Walls]] + ROUND( MIN(gt_bonus*TblConstr[[#This Row],[Tot GT]]/TblConstr[[#This Row],[Land]],gt_bonus_cap), 4) + IF(TblMagic[[#This Row],[Active Howling]]&gt;0,howling_dp_bonus,IF(TblMagic[[#This Row],[Active Ares Call]]&gt;0,ares_call_bonus))</f>
        <v>0</v>
      </c>
      <c r="V93" s="249">
        <f ca="1">TblMili[[#This Row],[Non Draft]] * (1 + TblMili[[#This Row],[Mods_Def]])</f>
        <v>0</v>
      </c>
      <c r="W93" s="247">
        <f ca="1">TblMili[[#This Row],[Draft]] * (1 + TblMili[[#This Row],[Mods_Def]])</f>
        <v>574</v>
      </c>
      <c r="X93" s="247">
        <f ca="1">TblConstr[[#This Row],[Land]]</f>
        <v>50</v>
      </c>
      <c r="Y93" s="250"/>
      <c r="Z93" s="255">
        <f ca="1">IF(TblMili[[#This Row],[Set]]&lt;&gt;"",TblMili[[#This Row],[Set]],OFFSET(TblMili[[#This Row],[Draftrate]],-1,0))</f>
        <v>0.9</v>
      </c>
      <c r="AA93"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574</v>
      </c>
      <c r="AB93" s="154"/>
      <c r="AC93" s="180">
        <f ca="1">(TblConstr[[#This Row],[Tot Smi]]+TblConstr[[#This Row],[Dest Smi]])/(TblConstr[[#This Row],[Land]]-TblExplore[[#This Row],[Land Bonus]]*20)</f>
        <v>0</v>
      </c>
      <c r="AD93" s="137"/>
      <c r="AE93" s="246">
        <f>TblMili[[#This Row],[Hour]]</f>
        <v>90</v>
      </c>
      <c r="AF93" s="138">
        <f ca="1">TblExplore[[#This Row],[Time]]</f>
        <v>46323.708333333117</v>
      </c>
      <c r="AG93" s="179"/>
      <c r="AH93" s="179"/>
      <c r="AI93" s="179"/>
      <c r="AJ93" s="179"/>
      <c r="AK93" s="179"/>
      <c r="AL93" s="179"/>
      <c r="AM93" s="179"/>
      <c r="AN93" s="179"/>
      <c r="AO93" s="420">
        <f ca="1">ROUND(IF(AND(TblMagic[[#This Row],[Active DnD]]&lt;12,TblMagic[[#This Row],[Active DnD]]&gt;5),OFFSET(TblPop[[#This Row],[Draft Growth]],-1,0)*0.375,0),0)</f>
        <v>0</v>
      </c>
      <c r="AP93" s="142"/>
      <c r="AQ93" s="94">
        <f ca="1">TblProd[[#This Row],[Platinum]]</f>
        <v>195088</v>
      </c>
      <c r="AR93" s="94">
        <f ca="1">INDEX(TblProd[[#Headers],[Lumber]]:TblProd[[#This Row],[Ore]],COUNTA(TblProd[[#Headers],[Lumber]]:TblProd[[#This Row],[Lumber]]),MATCH(Military!$AR$2,TblProd[[#Headers],[Lumber]:[Ore]],0))</f>
        <v>0</v>
      </c>
      <c r="AS9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93" s="94">
        <f ca="1">TblMili[[#This Row],[Train Unit 1]]*TblMili[[#This Row],[OP Ore]]+TblMili[[#This Row],[Train Unit 2]]*TblMili[[#This Row],[DP Ore]]+TblMili[[#This Row],[Train Unit 3]]*TblMili[[#This Row],[E1 Ore]]+TblMili[[#This Row],[Train Unit 4]]*TblMili[[#This Row],[E2 Ore]]</f>
        <v>0</v>
      </c>
      <c r="AU93" s="142">
        <f>TblMili[[#This Row],[Hour]]</f>
        <v>90</v>
      </c>
      <c r="AV93" s="152">
        <f ca="1">TblMili[[#This Row],[Time]]</f>
        <v>46323.708333333117</v>
      </c>
      <c r="AW93" s="94">
        <f ca="1">TblMili[[#This Row],[Draftees]]</f>
        <v>574</v>
      </c>
      <c r="AX93" s="179"/>
      <c r="AY93" s="179"/>
      <c r="AZ93" s="179"/>
      <c r="BA93" s="179"/>
      <c r="BB93" s="179"/>
      <c r="BC93" s="179"/>
      <c r="BD93" s="179"/>
      <c r="BE93" s="179"/>
      <c r="BF93" s="179"/>
      <c r="BG93" s="142"/>
      <c r="BH93" s="157">
        <f ca="1">TblConstr[[#This Row],[Tot WG]]/TblConstr[[#This Row],[Land]]</f>
        <v>0</v>
      </c>
      <c r="BI93" s="157">
        <f ca="1">TblConstr[[#This Row],[Tot Hav]]/TblConstr[[#This Row],[Land]]</f>
        <v>0</v>
      </c>
      <c r="BJ93" s="94">
        <f ca="1">ROUNDUP((1-MIN(TblMili[[#This Row],[Smithies]]*smithy_bonus,smithy_bonus_cap) + tech_3_5*TblTech[[#This Row],[3-5]] + tech_5_3*TblTech[[#This Row],[5-3]] + tech_5_5*TblTech[[#This Row],[5-5]])*spec_op_plat,0)</f>
        <v>315</v>
      </c>
      <c r="BK93" s="94">
        <f ca="1">ROUNDUP(IF(race="Gnome",1,(1-MIN(TblMili[[#This Row],[Smithies]]*smithy_bonus,smithy_bonus_cap) + tech_3_5*TblTech[[#This Row],[3-5]] + tech_5_3*TblTech[[#This Row],[5-3]] + tech_5_5*TblTech[[#This Row],[5-5]]))*spec_op_ore,0)</f>
        <v>25</v>
      </c>
      <c r="BL93" s="94">
        <f ca="1">ROUNDUP((1-MIN(TblMili[[#This Row],[Smithies]]*smithy_bonus,smithy_bonus_cap) + tech_3_5*TblTech[[#This Row],[3-5]] + tech_5_3*TblTech[[#This Row],[5-3]] + tech_5_5*TblTech[[#This Row],[5-5]])*spec_dp_plat,0)</f>
        <v>275</v>
      </c>
      <c r="BM93" s="94">
        <f ca="1">ROUNDUP(IF(race="Gnome",1,(1-MIN(TblMili[[#This Row],[Smithies]]*smithy_bonus,smithy_bonus_cap) + tech_3_5*TblTech[[#This Row],[3-5]] + tech_5_3*TblTech[[#This Row],[5-3]] + tech_5_5*TblTech[[#This Row],[5-5]]))*spec_dp_ore,0)</f>
        <v>15</v>
      </c>
      <c r="BN93" s="94">
        <f ca="1">ROUNDUP((1-MIN(TblMili[[#This Row],[Smithies]]*smithy_bonus,smithy_bonus_cap) + tech_3_5*TblTech[[#This Row],[3-5]] + tech_5_3*TblTech[[#This Row],[5-3]] + tech_5_5*TblTech[[#This Row],[5-5]])*elite1_plat,0)</f>
        <v>1040</v>
      </c>
      <c r="BO93" s="94">
        <f ca="1">ROUNDUP(IF(race="Gnome",1,(1-MIN(TblMili[[#This Row],[Smithies]]*smithy_bonus,smithy_bonus_cap) + tech_3_5*TblTech[[#This Row],[3-5]] + tech_5_3*TblTech[[#This Row],[5-3]] + tech_5_5*TblTech[[#This Row],[5-5]]))*elite1_ore,0)</f>
        <v>75</v>
      </c>
      <c r="BP93" s="94">
        <f ca="1">ROUNDUP((1-MIN(TblMili[[#This Row],[Smithies]]*smithy_bonus,smithy_bonus_cap) + tech_3_5*TblTech[[#This Row],[3-5]] + tech_5_3*TblTech[[#This Row],[5-3]] + tech_5_5*TblTech[[#This Row],[5-5]])*elite2_plat,0)</f>
        <v>1280</v>
      </c>
      <c r="BQ93" s="94">
        <f ca="1">ROUNDUP(IF(race="Gnome",1,(1-MIN(TblMili[[#This Row],[Smithies]]*smithy_bonus,smithy_bonus_cap) + tech_3_5*TblTech[[#This Row],[3-5]] + tech_5_3*TblTech[[#This Row],[5-3]] + tech_5_5*TblTech[[#This Row],[5-5]]))*elite2_ore,0)</f>
        <v>100</v>
      </c>
      <c r="BR93" s="94">
        <f ca="1">ROUNDUP((1-MIN(ROUND(fh_spy_cost_red*TblMili[[#This Row],[FH''s]],4),fh_spy_cost_cap)+ tech_1_9*TblTech[[#This Row],[1-9]] + tech_9_1*TblTech[[#This Row],[9-1]])*spy_plat,0)</f>
        <v>500</v>
      </c>
      <c r="BS93" s="94">
        <f ca="1">ROUNDUP((1-MIN(ROUND(fh_spy_cost_red*TblMili[[#This Row],[FH''s]],4),fh_spy_cost_cap)+ tech_1_9*TblTech[[#This Row],[1-9]] + tech_9_1*TblTech[[#This Row],[9-1]])*archspy_plat,0)</f>
        <v>1000</v>
      </c>
      <c r="BT93" s="94">
        <f ca="1">ROUNDUP((1-MIN(ROUND(wg_wiz_cost_bonus*TblMili[[#This Row],[WG''s]],4),wg_wiz_cost_cap) + tech_1_9_2*TblTech[[#This Row],[1-9]] + tech_9_1_2*TblTech[[#This Row],[9-1]])*wizard_plat,0)</f>
        <v>500</v>
      </c>
      <c r="BU93" s="94">
        <f ca="1">ROUNDUP((1-MIN(ROUND(wg_wiz_cost_bonus*TblMili[[#This Row],[WG''s]],4),wg_wiz_cost_cap) + tech_1_9_2*TblTech[[#This Row],[1-9]] + tech_9_1_2*TblTech[[#This Row],[9-1]])*(archmage_plat + IF(TblMagic[[#This Row],[Active Arc Infusion]]&gt;0,400,0)),0)</f>
        <v>1000</v>
      </c>
      <c r="BV93" s="142"/>
      <c r="BW93" s="157">
        <f ca="1">TblConstr[[#This Row],[Homeland]]/TblConstr[[#This Row],[Land]]</f>
        <v>0.6</v>
      </c>
      <c r="BX93" s="157">
        <f ca="1">TblMili[[#This Row],[WG''s]]</f>
        <v>0</v>
      </c>
      <c r="BY93" s="251">
        <f ca="1">IF(mystic_cap="none",TblMili[[#This Row],[Homeland%]]/mystic_bonus,MIN(mystic_cap,TblMili[[#This Row],[Homeland%]]/mystic_bonus))</f>
        <v>2</v>
      </c>
      <c r="BZ93" s="251">
        <f ca="1">IF(druid_op_cap="none",TblMili[[#This Row],[Homeland%]]/druid_op_bonus,MIN(druid_op_cap,TblMili[[#This Row],[Homeland%]]/druid_op_bonus))</f>
        <v>2</v>
      </c>
      <c r="CA93" s="251">
        <f ca="1">IF(druid_dp_cap="none",TblMili[[#This Row],[Homeland%]]/druid_dp_bonus,MIN(druid_dp_cap,TblMili[[#This Row],[Homeland%]]/druid_dp_bonus))</f>
        <v>2</v>
      </c>
      <c r="CB93" s="251">
        <f ca="1">MIN(dryad_cap,TblMili[[#This Row],[Homeland%]]/dryad_bonus)</f>
        <v>2.9999999999999996</v>
      </c>
      <c r="CC93" s="251">
        <f ca="1">MIN(rocka_cap,TblMili[[#This Row],[Homeland%]]/rocka_bonus)</f>
        <v>2</v>
      </c>
      <c r="CD93" s="251">
        <f ca="1">MIN(adept_op_cap,TblMili[[#This Row],[WG]]/adept_op_bonus)</f>
        <v>0</v>
      </c>
      <c r="CE93" s="251">
        <f ca="1">MIN(adept_dp_cap,TblMili[[#This Row],[WG]]/adept_dp_bonus)</f>
        <v>0</v>
      </c>
      <c r="CF93" s="94">
        <f ca="1">MIN(TblMili[[#This Row],[Unit 3]],TblMili[[#This Row],[Unit 2]])*2</f>
        <v>0</v>
      </c>
      <c r="CG93" s="94">
        <f ca="1">MIN(TblMili[[#This Row],[Unit 1]],TblMili[[#This Row],[Unit 4]])*2</f>
        <v>0</v>
      </c>
      <c r="CH93" s="251">
        <f ca="1">MIN(frost_mage_cap,TblMili[[#This Row],[Homeland%]]/frost_mage_bonus)</f>
        <v>2.9999999999999996</v>
      </c>
      <c r="CI93" s="45">
        <f ca="1">MIN(ice_elem_cap,TblMili[[#This Row],[Raw (2)]]*ice_elem_bonus)</f>
        <v>0</v>
      </c>
      <c r="CJ93" s="251">
        <f t="shared" si="3"/>
        <v>0.83333333333333337</v>
      </c>
      <c r="CK93" s="251">
        <f ca="1">MIN(nox_nightshade_cap,TblConstr[[#This Row],[Homeland]]/TblConstr[[#This Row],[Land]]/nox_nightshade_swamp_bonus)</f>
        <v>4</v>
      </c>
      <c r="CL93" s="251">
        <f ca="1">MIN(TblConstr[[#This Row],[Total Swamp]]/TblConstr[[#This Row],[Land]]/abyss_enforce_bonus,abyss_enforcer_cap)</f>
        <v>0</v>
      </c>
      <c r="CM93" s="251">
        <f ca="1">IF(TblMagic[[#This Row],[Active Infernal Command]]&gt;0,TblMili[[#This Row],[Unit 1]]*infernal_cmd_op,0)</f>
        <v>0</v>
      </c>
      <c r="CN93" s="252"/>
      <c r="CO93" s="252"/>
      <c r="CP93" s="252"/>
      <c r="CQ93" s="251">
        <f ca="1">TblMili[[#This Row],[Mystic]]*2</f>
        <v>4</v>
      </c>
      <c r="CR93" s="251">
        <f ca="1">TblMili[[#This Row],[Druid (op)]]*2</f>
        <v>4</v>
      </c>
      <c r="CS93" s="94">
        <f ca="1">TblMili[[#This Row],[Mystic bonus]]*TblMili[[#This Row],[Unit 3]]+TblMili[[#This Row],[Druid bonus]]*TblMili[[#This Row],[Unit 4]]</f>
        <v>0</v>
      </c>
      <c r="CT93" s="155">
        <f ca="1">TblMili[[#This Row],[Dryad]]*2</f>
        <v>5.9999999999999991</v>
      </c>
      <c r="CU93" s="94">
        <f ca="1">sylvan*(TblMili[[#This Row],[Mystic bonus]]*TblMili[[#This Row],[Unit 3]])</f>
        <v>0</v>
      </c>
      <c r="CV93" s="155">
        <f ca="1">TblMili[[#This Row],[Rockapult]]*2</f>
        <v>4</v>
      </c>
      <c r="CW93" s="94">
        <f ca="1">gnome*(TblMili[[#This Row],[Rockapult bonus]]*TblMili[[#This Row],[Unit 3]])</f>
        <v>0</v>
      </c>
      <c r="CX93" s="155">
        <f ca="1">TblMili[[#This Row],[Adept-DP]]*2</f>
        <v>0</v>
      </c>
      <c r="CY93" s="94">
        <f ca="1">dark_elf*(TblMili[[#This Row],[Adept bonus]]*TblMili[[#This Row],[Unit 3]])</f>
        <v>0</v>
      </c>
      <c r="CZ93" s="155">
        <f ca="1">TblMili[[#This Row],[Frost Mage]]*2</f>
        <v>5.9999999999999991</v>
      </c>
      <c r="DA93" s="155">
        <f ca="1">TblMili[[#This Row],[Ice Elemental]]*2</f>
        <v>0</v>
      </c>
      <c r="DB93" s="94">
        <f ca="1">TblMili[[#This Row],[Frost Mage bonus]]*TblMili[[#This Row],[Unit 3]]+TblMili[[#This Row],[Ice Elemental bonus]]*TblMili[[#This Row],[Unit 4]]</f>
        <v>0</v>
      </c>
      <c r="DC93" s="253"/>
      <c r="DD93" s="143">
        <f ca="1">MIN(SUM(TblConstr[[#This Row],[Plain]:[Water]])/TblMili[[#This Row],[Land]]/favorable_terrain_bonus/100,favorable_terrain_max)</f>
        <v>0</v>
      </c>
      <c r="DE93" s="253"/>
      <c r="DF9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3" s="142"/>
      <c r="DH93" s="254">
        <f ca="1">(TblMili[[#This Row],[Wizards]]+2*TblMili[[#This Row],[Archmages]])/TblConstr[[#This Row],[Land]]</f>
        <v>0</v>
      </c>
      <c r="DI93" s="254">
        <f ca="1">TblMili[[#This Row],[Raw (2)]]*(1+race_wizard_strength+IF(TblMili[[#This Row],[Hour]]&gt;72,tech_magical_weaponry_wiz*TblTech[[#This Row],[3-5]],0))</f>
        <v>0</v>
      </c>
    </row>
    <row r="94" spans="1:113" x14ac:dyDescent="0.2">
      <c r="A94" s="137">
        <f>TblRezone[[#This Row],[Hour]]</f>
        <v>91</v>
      </c>
      <c r="B94" s="246">
        <f ca="1">SUM(TblMili[[#This Row],[Unit 1]:[Archmages]])+SUM(OFFSET(TblMili[[#This Row],[Train Unit 1]],-8,0):TblMili[[#This Row],[Train Unit 2]]) + SUM(OFFSET(TblMili[[#This Row],[Train Unit 3]],-11,0):TblMili[[#This Row],[Train AM]]) + TblMili[[#This Row],[Draftees]]</f>
        <v>576</v>
      </c>
      <c r="C94" s="157">
        <f ca="1">TblPop[[#This Row],[Military%]]</f>
        <v>0.74902470741222371</v>
      </c>
      <c r="D94" s="142"/>
      <c r="E94" s="45">
        <f ca="1">OFFSET(TblMili[[#This Row],[Unit 1]],-1,0) + OFFSET(TblMili[[#This Row],[Train Unit 1]],-9,0) - TblMili[[#This Row],[Release Unit 1]] + OFFSET(TblMili[[#This Row],[DnD_Zombies]],-12,0)</f>
        <v>0</v>
      </c>
      <c r="F94" s="45">
        <f ca="1">OFFSET(TblMili[[#This Row],[Unit 2]],-1,0) + OFFSET(TblMili[[#This Row],[Train Unit 2]],-9,0)-TblMili[[#This Row],[Release Unit 2]]</f>
        <v>0</v>
      </c>
      <c r="G94" s="45">
        <f ca="1">OFFSET(TblMili[[#This Row],[Unit 3]],-1,0) + OFFSET(TblMili[[#This Row],[Train Unit 3]],-12,0)-TblMili[[#This Row],[Release Unit 3]]</f>
        <v>0</v>
      </c>
      <c r="H94" s="45">
        <f ca="1">OFFSET(TblMili[[#This Row],[Unit 4]],-1,0) + OFFSET(TblMili[[#This Row],[Train Unit 4]],-12,0)-TblMili[[#This Row],[Release Unit 4]]</f>
        <v>0</v>
      </c>
      <c r="I94" s="45">
        <f ca="1">OFFSET(TblMili[[#This Row],[Spies]],-1,0) + OFFSET(TblMili[[#This Row],[Train Spies]],-12,0) - TblMili[[#This Row],[Release Spies]]-TblMili[[#This Row],[Train AS]]</f>
        <v>0</v>
      </c>
      <c r="J94" s="45">
        <f ca="1">OFFSET(TblMili[[#This Row],[Archspies]],-1,0) + OFFSET(TblMili[[#This Row],[Train AS]],-12,0) - TblMili[[#This Row],[Release AS]]</f>
        <v>0</v>
      </c>
      <c r="K94" s="45">
        <f ca="1">OFFSET(TblMili[[#This Row],[Wizards]],-1,0) + OFFSET(TblMili[[#This Row],[Train Wiz]],-12,0) - TblMili[[#This Row],[Release Wizards]]-TblMili[[#This Row],[Train AM]] + IF(TblMagic[[#This Row],[Active Arc Infusion]]&gt;0,TblMili[[#This Row],[Train AM]])</f>
        <v>0</v>
      </c>
      <c r="L94" s="45">
        <f ca="1">OFFSET(TblMili[[#This Row],[Archmages]],-1,0) + OFFSET(TblMili[[#This Row],[Train AM]],-12,0) - TblMili[[#This Row],[Release AM]]</f>
        <v>0</v>
      </c>
      <c r="M94" s="142"/>
      <c r="N94" s="94">
        <f ca="1">TblProd[[#This Row],[Networth]]</f>
        <v>1250</v>
      </c>
      <c r="O94" s="142"/>
      <c r="P94"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9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4" s="247">
        <f ca="1">TblMili[[#This Row],[Raw]]*(1+TblMili[[#This Row],[Mods_Off]])</f>
        <v>0</v>
      </c>
      <c r="S94"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94" s="247">
        <f ca="1">TblMili[[#This Row],[Non Draft]]+TblMili[[#This Row],[Draftees]]</f>
        <v>576</v>
      </c>
      <c r="U94" s="248">
        <f ca="1">race_defense + TblImps[[#This Row],[Walls]] + ROUND( MIN(gt_bonus*TblConstr[[#This Row],[Tot GT]]/TblConstr[[#This Row],[Land]],gt_bonus_cap), 4) + IF(TblMagic[[#This Row],[Active Howling]]&gt;0,howling_dp_bonus,IF(TblMagic[[#This Row],[Active Ares Call]]&gt;0,ares_call_bonus))</f>
        <v>0</v>
      </c>
      <c r="V94" s="249">
        <f ca="1">TblMili[[#This Row],[Non Draft]] * (1 + TblMili[[#This Row],[Mods_Def]])</f>
        <v>0</v>
      </c>
      <c r="W94" s="247">
        <f ca="1">TblMili[[#This Row],[Draft]] * (1 + TblMili[[#This Row],[Mods_Def]])</f>
        <v>576</v>
      </c>
      <c r="X94" s="247">
        <f ca="1">TblConstr[[#This Row],[Land]]</f>
        <v>50</v>
      </c>
      <c r="Y94" s="250"/>
      <c r="Z94" s="255">
        <f ca="1">IF(TblMili[[#This Row],[Set]]&lt;&gt;"",TblMili[[#This Row],[Set]],OFFSET(TblMili[[#This Row],[Draftrate]],-1,0))</f>
        <v>0.9</v>
      </c>
      <c r="AA94"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576</v>
      </c>
      <c r="AB94" s="154"/>
      <c r="AC94" s="180">
        <f ca="1">(TblConstr[[#This Row],[Tot Smi]]+TblConstr[[#This Row],[Dest Smi]])/(TblConstr[[#This Row],[Land]]-TblExplore[[#This Row],[Land Bonus]]*20)</f>
        <v>0</v>
      </c>
      <c r="AD94" s="137"/>
      <c r="AE94" s="246">
        <f>TblMili[[#This Row],[Hour]]</f>
        <v>91</v>
      </c>
      <c r="AF94" s="138">
        <f ca="1">TblExplore[[#This Row],[Time]]</f>
        <v>46323.749999999782</v>
      </c>
      <c r="AG94" s="179"/>
      <c r="AH94" s="179"/>
      <c r="AI94" s="179"/>
      <c r="AJ94" s="179"/>
      <c r="AK94" s="179"/>
      <c r="AL94" s="179"/>
      <c r="AM94" s="179"/>
      <c r="AN94" s="179"/>
      <c r="AO94" s="420">
        <f ca="1">ROUND(IF(AND(TblMagic[[#This Row],[Active DnD]]&lt;12,TblMagic[[#This Row],[Active DnD]]&gt;5),OFFSET(TblPop[[#This Row],[Draft Growth]],-1,0)*0.375,0),0)</f>
        <v>0</v>
      </c>
      <c r="AP94" s="142"/>
      <c r="AQ94" s="94">
        <f ca="1">TblProd[[#This Row],[Platinum]]</f>
        <v>195614</v>
      </c>
      <c r="AR94" s="94">
        <f ca="1">INDEX(TblProd[[#Headers],[Lumber]]:TblProd[[#This Row],[Ore]],COUNTA(TblProd[[#Headers],[Lumber]]:TblProd[[#This Row],[Lumber]]),MATCH(Military!$AR$2,TblProd[[#Headers],[Lumber]:[Ore]],0))</f>
        <v>0</v>
      </c>
      <c r="AS9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94" s="94">
        <f ca="1">TblMili[[#This Row],[Train Unit 1]]*TblMili[[#This Row],[OP Ore]]+TblMili[[#This Row],[Train Unit 2]]*TblMili[[#This Row],[DP Ore]]+TblMili[[#This Row],[Train Unit 3]]*TblMili[[#This Row],[E1 Ore]]+TblMili[[#This Row],[Train Unit 4]]*TblMili[[#This Row],[E2 Ore]]</f>
        <v>0</v>
      </c>
      <c r="AU94" s="142">
        <f>TblMili[[#This Row],[Hour]]</f>
        <v>91</v>
      </c>
      <c r="AV94" s="152">
        <f ca="1">TblMili[[#This Row],[Time]]</f>
        <v>46323.749999999782</v>
      </c>
      <c r="AW94" s="94">
        <f ca="1">TblMili[[#This Row],[Draftees]]</f>
        <v>576</v>
      </c>
      <c r="AX94" s="179"/>
      <c r="AY94" s="179"/>
      <c r="AZ94" s="179"/>
      <c r="BA94" s="179"/>
      <c r="BB94" s="179"/>
      <c r="BC94" s="179"/>
      <c r="BD94" s="179"/>
      <c r="BE94" s="179"/>
      <c r="BF94" s="179"/>
      <c r="BG94" s="142"/>
      <c r="BH94" s="157">
        <f ca="1">TblConstr[[#This Row],[Tot WG]]/TblConstr[[#This Row],[Land]]</f>
        <v>0</v>
      </c>
      <c r="BI94" s="157">
        <f ca="1">TblConstr[[#This Row],[Tot Hav]]/TblConstr[[#This Row],[Land]]</f>
        <v>0</v>
      </c>
      <c r="BJ94" s="94">
        <f ca="1">ROUNDUP((1-MIN(TblMili[[#This Row],[Smithies]]*smithy_bonus,smithy_bonus_cap) + tech_3_5*TblTech[[#This Row],[3-5]] + tech_5_3*TblTech[[#This Row],[5-3]] + tech_5_5*TblTech[[#This Row],[5-5]])*spec_op_plat,0)</f>
        <v>315</v>
      </c>
      <c r="BK94" s="94">
        <f ca="1">ROUNDUP(IF(race="Gnome",1,(1-MIN(TblMili[[#This Row],[Smithies]]*smithy_bonus,smithy_bonus_cap) + tech_3_5*TblTech[[#This Row],[3-5]] + tech_5_3*TblTech[[#This Row],[5-3]] + tech_5_5*TblTech[[#This Row],[5-5]]))*spec_op_ore,0)</f>
        <v>25</v>
      </c>
      <c r="BL94" s="94">
        <f ca="1">ROUNDUP((1-MIN(TblMili[[#This Row],[Smithies]]*smithy_bonus,smithy_bonus_cap) + tech_3_5*TblTech[[#This Row],[3-5]] + tech_5_3*TblTech[[#This Row],[5-3]] + tech_5_5*TblTech[[#This Row],[5-5]])*spec_dp_plat,0)</f>
        <v>275</v>
      </c>
      <c r="BM94" s="94">
        <f ca="1">ROUNDUP(IF(race="Gnome",1,(1-MIN(TblMili[[#This Row],[Smithies]]*smithy_bonus,smithy_bonus_cap) + tech_3_5*TblTech[[#This Row],[3-5]] + tech_5_3*TblTech[[#This Row],[5-3]] + tech_5_5*TblTech[[#This Row],[5-5]]))*spec_dp_ore,0)</f>
        <v>15</v>
      </c>
      <c r="BN94" s="94">
        <f ca="1">ROUNDUP((1-MIN(TblMili[[#This Row],[Smithies]]*smithy_bonus,smithy_bonus_cap) + tech_3_5*TblTech[[#This Row],[3-5]] + tech_5_3*TblTech[[#This Row],[5-3]] + tech_5_5*TblTech[[#This Row],[5-5]])*elite1_plat,0)</f>
        <v>1040</v>
      </c>
      <c r="BO94" s="94">
        <f ca="1">ROUNDUP(IF(race="Gnome",1,(1-MIN(TblMili[[#This Row],[Smithies]]*smithy_bonus,smithy_bonus_cap) + tech_3_5*TblTech[[#This Row],[3-5]] + tech_5_3*TblTech[[#This Row],[5-3]] + tech_5_5*TblTech[[#This Row],[5-5]]))*elite1_ore,0)</f>
        <v>75</v>
      </c>
      <c r="BP94" s="94">
        <f ca="1">ROUNDUP((1-MIN(TblMili[[#This Row],[Smithies]]*smithy_bonus,smithy_bonus_cap) + tech_3_5*TblTech[[#This Row],[3-5]] + tech_5_3*TblTech[[#This Row],[5-3]] + tech_5_5*TblTech[[#This Row],[5-5]])*elite2_plat,0)</f>
        <v>1280</v>
      </c>
      <c r="BQ94" s="94">
        <f ca="1">ROUNDUP(IF(race="Gnome",1,(1-MIN(TblMili[[#This Row],[Smithies]]*smithy_bonus,smithy_bonus_cap) + tech_3_5*TblTech[[#This Row],[3-5]] + tech_5_3*TblTech[[#This Row],[5-3]] + tech_5_5*TblTech[[#This Row],[5-5]]))*elite2_ore,0)</f>
        <v>100</v>
      </c>
      <c r="BR94" s="94">
        <f ca="1">ROUNDUP((1-MIN(ROUND(fh_spy_cost_red*TblMili[[#This Row],[FH''s]],4),fh_spy_cost_cap)+ tech_1_9*TblTech[[#This Row],[1-9]] + tech_9_1*TblTech[[#This Row],[9-1]])*spy_plat,0)</f>
        <v>500</v>
      </c>
      <c r="BS94" s="94">
        <f ca="1">ROUNDUP((1-MIN(ROUND(fh_spy_cost_red*TblMili[[#This Row],[FH''s]],4),fh_spy_cost_cap)+ tech_1_9*TblTech[[#This Row],[1-9]] + tech_9_1*TblTech[[#This Row],[9-1]])*archspy_plat,0)</f>
        <v>1000</v>
      </c>
      <c r="BT94" s="94">
        <f ca="1">ROUNDUP((1-MIN(ROUND(wg_wiz_cost_bonus*TblMili[[#This Row],[WG''s]],4),wg_wiz_cost_cap) + tech_1_9_2*TblTech[[#This Row],[1-9]] + tech_9_1_2*TblTech[[#This Row],[9-1]])*wizard_plat,0)</f>
        <v>500</v>
      </c>
      <c r="BU94" s="94">
        <f ca="1">ROUNDUP((1-MIN(ROUND(wg_wiz_cost_bonus*TblMili[[#This Row],[WG''s]],4),wg_wiz_cost_cap) + tech_1_9_2*TblTech[[#This Row],[1-9]] + tech_9_1_2*TblTech[[#This Row],[9-1]])*(archmage_plat + IF(TblMagic[[#This Row],[Active Arc Infusion]]&gt;0,400,0)),0)</f>
        <v>1000</v>
      </c>
      <c r="BV94" s="142"/>
      <c r="BW94" s="157">
        <f ca="1">TblConstr[[#This Row],[Homeland]]/TblConstr[[#This Row],[Land]]</f>
        <v>0.6</v>
      </c>
      <c r="BX94" s="157">
        <f ca="1">TblMili[[#This Row],[WG''s]]</f>
        <v>0</v>
      </c>
      <c r="BY94" s="251">
        <f ca="1">IF(mystic_cap="none",TblMili[[#This Row],[Homeland%]]/mystic_bonus,MIN(mystic_cap,TblMili[[#This Row],[Homeland%]]/mystic_bonus))</f>
        <v>2</v>
      </c>
      <c r="BZ94" s="251">
        <f ca="1">IF(druid_op_cap="none",TblMili[[#This Row],[Homeland%]]/druid_op_bonus,MIN(druid_op_cap,TblMili[[#This Row],[Homeland%]]/druid_op_bonus))</f>
        <v>2</v>
      </c>
      <c r="CA94" s="251">
        <f ca="1">IF(druid_dp_cap="none",TblMili[[#This Row],[Homeland%]]/druid_dp_bonus,MIN(druid_dp_cap,TblMili[[#This Row],[Homeland%]]/druid_dp_bonus))</f>
        <v>2</v>
      </c>
      <c r="CB94" s="251">
        <f ca="1">MIN(dryad_cap,TblMili[[#This Row],[Homeland%]]/dryad_bonus)</f>
        <v>2.9999999999999996</v>
      </c>
      <c r="CC94" s="251">
        <f ca="1">MIN(rocka_cap,TblMili[[#This Row],[Homeland%]]/rocka_bonus)</f>
        <v>2</v>
      </c>
      <c r="CD94" s="251">
        <f ca="1">MIN(adept_op_cap,TblMili[[#This Row],[WG]]/adept_op_bonus)</f>
        <v>0</v>
      </c>
      <c r="CE94" s="251">
        <f ca="1">MIN(adept_dp_cap,TblMili[[#This Row],[WG]]/adept_dp_bonus)</f>
        <v>0</v>
      </c>
      <c r="CF94" s="94">
        <f ca="1">MIN(TblMili[[#This Row],[Unit 3]],TblMili[[#This Row],[Unit 2]])*2</f>
        <v>0</v>
      </c>
      <c r="CG94" s="94">
        <f ca="1">MIN(TblMili[[#This Row],[Unit 1]],TblMili[[#This Row],[Unit 4]])*2</f>
        <v>0</v>
      </c>
      <c r="CH94" s="251">
        <f ca="1">MIN(frost_mage_cap,TblMili[[#This Row],[Homeland%]]/frost_mage_bonus)</f>
        <v>2.9999999999999996</v>
      </c>
      <c r="CI94" s="45">
        <f ca="1">MIN(ice_elem_cap,TblMili[[#This Row],[Raw (2)]]*ice_elem_bonus)</f>
        <v>0</v>
      </c>
      <c r="CJ94" s="251">
        <f t="shared" si="3"/>
        <v>0.83333333333333337</v>
      </c>
      <c r="CK94" s="251">
        <f ca="1">MIN(nox_nightshade_cap,TblConstr[[#This Row],[Homeland]]/TblConstr[[#This Row],[Land]]/nox_nightshade_swamp_bonus)</f>
        <v>4</v>
      </c>
      <c r="CL94" s="251">
        <f ca="1">MIN(TblConstr[[#This Row],[Total Swamp]]/TblConstr[[#This Row],[Land]]/abyss_enforce_bonus,abyss_enforcer_cap)</f>
        <v>0</v>
      </c>
      <c r="CM94" s="251">
        <f ca="1">IF(TblMagic[[#This Row],[Active Infernal Command]]&gt;0,TblMili[[#This Row],[Unit 1]]*infernal_cmd_op,0)</f>
        <v>0</v>
      </c>
      <c r="CN94" s="252"/>
      <c r="CO94" s="252"/>
      <c r="CP94" s="252"/>
      <c r="CQ94" s="251">
        <f ca="1">TblMili[[#This Row],[Mystic]]*2</f>
        <v>4</v>
      </c>
      <c r="CR94" s="251">
        <f ca="1">TblMili[[#This Row],[Druid (op)]]*2</f>
        <v>4</v>
      </c>
      <c r="CS94" s="94">
        <f ca="1">TblMili[[#This Row],[Mystic bonus]]*TblMili[[#This Row],[Unit 3]]+TblMili[[#This Row],[Druid bonus]]*TblMili[[#This Row],[Unit 4]]</f>
        <v>0</v>
      </c>
      <c r="CT94" s="155">
        <f ca="1">TblMili[[#This Row],[Dryad]]*2</f>
        <v>5.9999999999999991</v>
      </c>
      <c r="CU94" s="94">
        <f ca="1">sylvan*(TblMili[[#This Row],[Mystic bonus]]*TblMili[[#This Row],[Unit 3]])</f>
        <v>0</v>
      </c>
      <c r="CV94" s="155">
        <f ca="1">TblMili[[#This Row],[Rockapult]]*2</f>
        <v>4</v>
      </c>
      <c r="CW94" s="94">
        <f ca="1">gnome*(TblMili[[#This Row],[Rockapult bonus]]*TblMili[[#This Row],[Unit 3]])</f>
        <v>0</v>
      </c>
      <c r="CX94" s="155">
        <f ca="1">TblMili[[#This Row],[Adept-DP]]*2</f>
        <v>0</v>
      </c>
      <c r="CY94" s="94">
        <f ca="1">dark_elf*(TblMili[[#This Row],[Adept bonus]]*TblMili[[#This Row],[Unit 3]])</f>
        <v>0</v>
      </c>
      <c r="CZ94" s="155">
        <f ca="1">TblMili[[#This Row],[Frost Mage]]*2</f>
        <v>5.9999999999999991</v>
      </c>
      <c r="DA94" s="155">
        <f ca="1">TblMili[[#This Row],[Ice Elemental]]*2</f>
        <v>0</v>
      </c>
      <c r="DB94" s="94">
        <f ca="1">TblMili[[#This Row],[Frost Mage bonus]]*TblMili[[#This Row],[Unit 3]]+TblMili[[#This Row],[Ice Elemental bonus]]*TblMili[[#This Row],[Unit 4]]</f>
        <v>0</v>
      </c>
      <c r="DC94" s="253"/>
      <c r="DD94" s="143">
        <f ca="1">MIN(SUM(TblConstr[[#This Row],[Plain]:[Water]])/TblMili[[#This Row],[Land]]/favorable_terrain_bonus/100,favorable_terrain_max)</f>
        <v>0</v>
      </c>
      <c r="DE94" s="253"/>
      <c r="DF9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4" s="142"/>
      <c r="DH94" s="254">
        <f ca="1">(TblMili[[#This Row],[Wizards]]+2*TblMili[[#This Row],[Archmages]])/TblConstr[[#This Row],[Land]]</f>
        <v>0</v>
      </c>
      <c r="DI94" s="254">
        <f ca="1">TblMili[[#This Row],[Raw (2)]]*(1+race_wizard_strength+IF(TblMili[[#This Row],[Hour]]&gt;72,tech_magical_weaponry_wiz*TblTech[[#This Row],[3-5]],0))</f>
        <v>0</v>
      </c>
    </row>
    <row r="95" spans="1:113" x14ac:dyDescent="0.2">
      <c r="A95" s="137">
        <f>TblRezone[[#This Row],[Hour]]</f>
        <v>92</v>
      </c>
      <c r="B95" s="246">
        <f ca="1">SUM(TblMili[[#This Row],[Unit 1]:[Archmages]])+SUM(OFFSET(TblMili[[#This Row],[Train Unit 1]],-8,0):TblMili[[#This Row],[Train Unit 2]]) + SUM(OFFSET(TblMili[[#This Row],[Train Unit 3]],-11,0):TblMili[[#This Row],[Train AM]]) + TblMili[[#This Row],[Draftees]]</f>
        <v>578</v>
      </c>
      <c r="C95" s="157">
        <f ca="1">TblPop[[#This Row],[Military%]]</f>
        <v>0.75162548764629389</v>
      </c>
      <c r="D95" s="142"/>
      <c r="E95" s="45">
        <f ca="1">OFFSET(TblMili[[#This Row],[Unit 1]],-1,0) + OFFSET(TblMili[[#This Row],[Train Unit 1]],-9,0) - TblMili[[#This Row],[Release Unit 1]] + OFFSET(TblMili[[#This Row],[DnD_Zombies]],-12,0)</f>
        <v>0</v>
      </c>
      <c r="F95" s="45">
        <f ca="1">OFFSET(TblMili[[#This Row],[Unit 2]],-1,0) + OFFSET(TblMili[[#This Row],[Train Unit 2]],-9,0)-TblMili[[#This Row],[Release Unit 2]]</f>
        <v>0</v>
      </c>
      <c r="G95" s="45">
        <f ca="1">OFFSET(TblMili[[#This Row],[Unit 3]],-1,0) + OFFSET(TblMili[[#This Row],[Train Unit 3]],-12,0)-TblMili[[#This Row],[Release Unit 3]]</f>
        <v>0</v>
      </c>
      <c r="H95" s="45">
        <f ca="1">OFFSET(TblMili[[#This Row],[Unit 4]],-1,0) + OFFSET(TblMili[[#This Row],[Train Unit 4]],-12,0)-TblMili[[#This Row],[Release Unit 4]]</f>
        <v>0</v>
      </c>
      <c r="I95" s="45">
        <f ca="1">OFFSET(TblMili[[#This Row],[Spies]],-1,0) + OFFSET(TblMili[[#This Row],[Train Spies]],-12,0) - TblMili[[#This Row],[Release Spies]]-TblMili[[#This Row],[Train AS]]</f>
        <v>0</v>
      </c>
      <c r="J95" s="45">
        <f ca="1">OFFSET(TblMili[[#This Row],[Archspies]],-1,0) + OFFSET(TblMili[[#This Row],[Train AS]],-12,0) - TblMili[[#This Row],[Release AS]]</f>
        <v>0</v>
      </c>
      <c r="K95" s="45">
        <f ca="1">OFFSET(TblMili[[#This Row],[Wizards]],-1,0) + OFFSET(TblMili[[#This Row],[Train Wiz]],-12,0) - TblMili[[#This Row],[Release Wizards]]-TblMili[[#This Row],[Train AM]] + IF(TblMagic[[#This Row],[Active Arc Infusion]]&gt;0,TblMili[[#This Row],[Train AM]])</f>
        <v>0</v>
      </c>
      <c r="L95" s="45">
        <f ca="1">OFFSET(TblMili[[#This Row],[Archmages]],-1,0) + OFFSET(TblMili[[#This Row],[Train AM]],-12,0) - TblMili[[#This Row],[Release AM]]</f>
        <v>0</v>
      </c>
      <c r="M95" s="142"/>
      <c r="N95" s="94">
        <f ca="1">TblProd[[#This Row],[Networth]]</f>
        <v>1250</v>
      </c>
      <c r="O95" s="142"/>
      <c r="P95"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9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5" s="247">
        <f ca="1">TblMili[[#This Row],[Raw]]*(1+TblMili[[#This Row],[Mods_Off]])</f>
        <v>0</v>
      </c>
      <c r="S95"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95" s="247">
        <f ca="1">TblMili[[#This Row],[Non Draft]]+TblMili[[#This Row],[Draftees]]</f>
        <v>578</v>
      </c>
      <c r="U95" s="248">
        <f ca="1">race_defense + TblImps[[#This Row],[Walls]] + ROUND( MIN(gt_bonus*TblConstr[[#This Row],[Tot GT]]/TblConstr[[#This Row],[Land]],gt_bonus_cap), 4) + IF(TblMagic[[#This Row],[Active Howling]]&gt;0,howling_dp_bonus,IF(TblMagic[[#This Row],[Active Ares Call]]&gt;0,ares_call_bonus))</f>
        <v>0</v>
      </c>
      <c r="V95" s="249">
        <f ca="1">TblMili[[#This Row],[Non Draft]] * (1 + TblMili[[#This Row],[Mods_Def]])</f>
        <v>0</v>
      </c>
      <c r="W95" s="247">
        <f ca="1">TblMili[[#This Row],[Draft]] * (1 + TblMili[[#This Row],[Mods_Def]])</f>
        <v>578</v>
      </c>
      <c r="X95" s="247">
        <f ca="1">TblConstr[[#This Row],[Land]]</f>
        <v>50</v>
      </c>
      <c r="Y95" s="250"/>
      <c r="Z95" s="255">
        <f ca="1">IF(TblMili[[#This Row],[Set]]&lt;&gt;"",TblMili[[#This Row],[Set]],OFFSET(TblMili[[#This Row],[Draftrate]],-1,0))</f>
        <v>0.9</v>
      </c>
      <c r="AA95"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578</v>
      </c>
      <c r="AB95" s="154"/>
      <c r="AC95" s="180">
        <f ca="1">(TblConstr[[#This Row],[Tot Smi]]+TblConstr[[#This Row],[Dest Smi]])/(TblConstr[[#This Row],[Land]]-TblExplore[[#This Row],[Land Bonus]]*20)</f>
        <v>0</v>
      </c>
      <c r="AD95" s="137"/>
      <c r="AE95" s="246">
        <f>TblMili[[#This Row],[Hour]]</f>
        <v>92</v>
      </c>
      <c r="AF95" s="138">
        <f ca="1">TblExplore[[#This Row],[Time]]</f>
        <v>46323.791666666446</v>
      </c>
      <c r="AG95" s="179"/>
      <c r="AH95" s="179"/>
      <c r="AI95" s="179"/>
      <c r="AJ95" s="179"/>
      <c r="AK95" s="179"/>
      <c r="AL95" s="179"/>
      <c r="AM95" s="179"/>
      <c r="AN95" s="179"/>
      <c r="AO95" s="420">
        <f ca="1">ROUND(IF(AND(TblMagic[[#This Row],[Active DnD]]&lt;12,TblMagic[[#This Row],[Active DnD]]&gt;5),OFFSET(TblPop[[#This Row],[Draft Growth]],-1,0)*0.375,0),0)</f>
        <v>0</v>
      </c>
      <c r="AP95" s="142"/>
      <c r="AQ95" s="94">
        <f ca="1">TblProd[[#This Row],[Platinum]]</f>
        <v>196135</v>
      </c>
      <c r="AR95" s="94">
        <f ca="1">INDEX(TblProd[[#Headers],[Lumber]]:TblProd[[#This Row],[Ore]],COUNTA(TblProd[[#Headers],[Lumber]]:TblProd[[#This Row],[Lumber]]),MATCH(Military!$AR$2,TblProd[[#Headers],[Lumber]:[Ore]],0))</f>
        <v>0</v>
      </c>
      <c r="AS9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95" s="94">
        <f ca="1">TblMili[[#This Row],[Train Unit 1]]*TblMili[[#This Row],[OP Ore]]+TblMili[[#This Row],[Train Unit 2]]*TblMili[[#This Row],[DP Ore]]+TblMili[[#This Row],[Train Unit 3]]*TblMili[[#This Row],[E1 Ore]]+TblMili[[#This Row],[Train Unit 4]]*TblMili[[#This Row],[E2 Ore]]</f>
        <v>0</v>
      </c>
      <c r="AU95" s="142">
        <f>TblMili[[#This Row],[Hour]]</f>
        <v>92</v>
      </c>
      <c r="AV95" s="152">
        <f ca="1">TblMili[[#This Row],[Time]]</f>
        <v>46323.791666666446</v>
      </c>
      <c r="AW95" s="94">
        <f ca="1">TblMili[[#This Row],[Draftees]]</f>
        <v>578</v>
      </c>
      <c r="AX95" s="179"/>
      <c r="AY95" s="179"/>
      <c r="AZ95" s="179"/>
      <c r="BA95" s="179"/>
      <c r="BB95" s="179"/>
      <c r="BC95" s="179"/>
      <c r="BD95" s="179"/>
      <c r="BE95" s="179"/>
      <c r="BF95" s="179"/>
      <c r="BG95" s="142"/>
      <c r="BH95" s="157">
        <f ca="1">TblConstr[[#This Row],[Tot WG]]/TblConstr[[#This Row],[Land]]</f>
        <v>0</v>
      </c>
      <c r="BI95" s="157">
        <f ca="1">TblConstr[[#This Row],[Tot Hav]]/TblConstr[[#This Row],[Land]]</f>
        <v>0</v>
      </c>
      <c r="BJ95" s="94">
        <f ca="1">ROUNDUP((1-MIN(TblMili[[#This Row],[Smithies]]*smithy_bonus,smithy_bonus_cap) + tech_3_5*TblTech[[#This Row],[3-5]] + tech_5_3*TblTech[[#This Row],[5-3]] + tech_5_5*TblTech[[#This Row],[5-5]])*spec_op_plat,0)</f>
        <v>315</v>
      </c>
      <c r="BK95" s="94">
        <f ca="1">ROUNDUP(IF(race="Gnome",1,(1-MIN(TblMili[[#This Row],[Smithies]]*smithy_bonus,smithy_bonus_cap) + tech_3_5*TblTech[[#This Row],[3-5]] + tech_5_3*TblTech[[#This Row],[5-3]] + tech_5_5*TblTech[[#This Row],[5-5]]))*spec_op_ore,0)</f>
        <v>25</v>
      </c>
      <c r="BL95" s="94">
        <f ca="1">ROUNDUP((1-MIN(TblMili[[#This Row],[Smithies]]*smithy_bonus,smithy_bonus_cap) + tech_3_5*TblTech[[#This Row],[3-5]] + tech_5_3*TblTech[[#This Row],[5-3]] + tech_5_5*TblTech[[#This Row],[5-5]])*spec_dp_plat,0)</f>
        <v>275</v>
      </c>
      <c r="BM95" s="94">
        <f ca="1">ROUNDUP(IF(race="Gnome",1,(1-MIN(TblMili[[#This Row],[Smithies]]*smithy_bonus,smithy_bonus_cap) + tech_3_5*TblTech[[#This Row],[3-5]] + tech_5_3*TblTech[[#This Row],[5-3]] + tech_5_5*TblTech[[#This Row],[5-5]]))*spec_dp_ore,0)</f>
        <v>15</v>
      </c>
      <c r="BN95" s="94">
        <f ca="1">ROUNDUP((1-MIN(TblMili[[#This Row],[Smithies]]*smithy_bonus,smithy_bonus_cap) + tech_3_5*TblTech[[#This Row],[3-5]] + tech_5_3*TblTech[[#This Row],[5-3]] + tech_5_5*TblTech[[#This Row],[5-5]])*elite1_plat,0)</f>
        <v>1040</v>
      </c>
      <c r="BO95" s="94">
        <f ca="1">ROUNDUP(IF(race="Gnome",1,(1-MIN(TblMili[[#This Row],[Smithies]]*smithy_bonus,smithy_bonus_cap) + tech_3_5*TblTech[[#This Row],[3-5]] + tech_5_3*TblTech[[#This Row],[5-3]] + tech_5_5*TblTech[[#This Row],[5-5]]))*elite1_ore,0)</f>
        <v>75</v>
      </c>
      <c r="BP95" s="94">
        <f ca="1">ROUNDUP((1-MIN(TblMili[[#This Row],[Smithies]]*smithy_bonus,smithy_bonus_cap) + tech_3_5*TblTech[[#This Row],[3-5]] + tech_5_3*TblTech[[#This Row],[5-3]] + tech_5_5*TblTech[[#This Row],[5-5]])*elite2_plat,0)</f>
        <v>1280</v>
      </c>
      <c r="BQ95" s="94">
        <f ca="1">ROUNDUP(IF(race="Gnome",1,(1-MIN(TblMili[[#This Row],[Smithies]]*smithy_bonus,smithy_bonus_cap) + tech_3_5*TblTech[[#This Row],[3-5]] + tech_5_3*TblTech[[#This Row],[5-3]] + tech_5_5*TblTech[[#This Row],[5-5]]))*elite2_ore,0)</f>
        <v>100</v>
      </c>
      <c r="BR95" s="94">
        <f ca="1">ROUNDUP((1-MIN(ROUND(fh_spy_cost_red*TblMili[[#This Row],[FH''s]],4),fh_spy_cost_cap)+ tech_1_9*TblTech[[#This Row],[1-9]] + tech_9_1*TblTech[[#This Row],[9-1]])*spy_plat,0)</f>
        <v>500</v>
      </c>
      <c r="BS95" s="94">
        <f ca="1">ROUNDUP((1-MIN(ROUND(fh_spy_cost_red*TblMili[[#This Row],[FH''s]],4),fh_spy_cost_cap)+ tech_1_9*TblTech[[#This Row],[1-9]] + tech_9_1*TblTech[[#This Row],[9-1]])*archspy_plat,0)</f>
        <v>1000</v>
      </c>
      <c r="BT95" s="94">
        <f ca="1">ROUNDUP((1-MIN(ROUND(wg_wiz_cost_bonus*TblMili[[#This Row],[WG''s]],4),wg_wiz_cost_cap) + tech_1_9_2*TblTech[[#This Row],[1-9]] + tech_9_1_2*TblTech[[#This Row],[9-1]])*wizard_plat,0)</f>
        <v>500</v>
      </c>
      <c r="BU95" s="94">
        <f ca="1">ROUNDUP((1-MIN(ROUND(wg_wiz_cost_bonus*TblMili[[#This Row],[WG''s]],4),wg_wiz_cost_cap) + tech_1_9_2*TblTech[[#This Row],[1-9]] + tech_9_1_2*TblTech[[#This Row],[9-1]])*(archmage_plat + IF(TblMagic[[#This Row],[Active Arc Infusion]]&gt;0,400,0)),0)</f>
        <v>1000</v>
      </c>
      <c r="BV95" s="142"/>
      <c r="BW95" s="157">
        <f ca="1">TblConstr[[#This Row],[Homeland]]/TblConstr[[#This Row],[Land]]</f>
        <v>0.6</v>
      </c>
      <c r="BX95" s="157">
        <f ca="1">TblMili[[#This Row],[WG''s]]</f>
        <v>0</v>
      </c>
      <c r="BY95" s="251">
        <f ca="1">IF(mystic_cap="none",TblMili[[#This Row],[Homeland%]]/mystic_bonus,MIN(mystic_cap,TblMili[[#This Row],[Homeland%]]/mystic_bonus))</f>
        <v>2</v>
      </c>
      <c r="BZ95" s="251">
        <f ca="1">IF(druid_op_cap="none",TblMili[[#This Row],[Homeland%]]/druid_op_bonus,MIN(druid_op_cap,TblMili[[#This Row],[Homeland%]]/druid_op_bonus))</f>
        <v>2</v>
      </c>
      <c r="CA95" s="251">
        <f ca="1">IF(druid_dp_cap="none",TblMili[[#This Row],[Homeland%]]/druid_dp_bonus,MIN(druid_dp_cap,TblMili[[#This Row],[Homeland%]]/druid_dp_bonus))</f>
        <v>2</v>
      </c>
      <c r="CB95" s="251">
        <f ca="1">MIN(dryad_cap,TblMili[[#This Row],[Homeland%]]/dryad_bonus)</f>
        <v>2.9999999999999996</v>
      </c>
      <c r="CC95" s="251">
        <f ca="1">MIN(rocka_cap,TblMili[[#This Row],[Homeland%]]/rocka_bonus)</f>
        <v>2</v>
      </c>
      <c r="CD95" s="251">
        <f ca="1">MIN(adept_op_cap,TblMili[[#This Row],[WG]]/adept_op_bonus)</f>
        <v>0</v>
      </c>
      <c r="CE95" s="251">
        <f ca="1">MIN(adept_dp_cap,TblMili[[#This Row],[WG]]/adept_dp_bonus)</f>
        <v>0</v>
      </c>
      <c r="CF95" s="94">
        <f ca="1">MIN(TblMili[[#This Row],[Unit 3]],TblMili[[#This Row],[Unit 2]])*2</f>
        <v>0</v>
      </c>
      <c r="CG95" s="94">
        <f ca="1">MIN(TblMili[[#This Row],[Unit 1]],TblMili[[#This Row],[Unit 4]])*2</f>
        <v>0</v>
      </c>
      <c r="CH95" s="251">
        <f ca="1">MIN(frost_mage_cap,TblMili[[#This Row],[Homeland%]]/frost_mage_bonus)</f>
        <v>2.9999999999999996</v>
      </c>
      <c r="CI95" s="45">
        <f ca="1">MIN(ice_elem_cap,TblMili[[#This Row],[Raw (2)]]*ice_elem_bonus)</f>
        <v>0</v>
      </c>
      <c r="CJ95" s="251">
        <f t="shared" si="3"/>
        <v>0.83333333333333337</v>
      </c>
      <c r="CK95" s="251">
        <f ca="1">MIN(nox_nightshade_cap,TblConstr[[#This Row],[Homeland]]/TblConstr[[#This Row],[Land]]/nox_nightshade_swamp_bonus)</f>
        <v>4</v>
      </c>
      <c r="CL95" s="251">
        <f ca="1">MIN(TblConstr[[#This Row],[Total Swamp]]/TblConstr[[#This Row],[Land]]/abyss_enforce_bonus,abyss_enforcer_cap)</f>
        <v>0</v>
      </c>
      <c r="CM95" s="251">
        <f ca="1">IF(TblMagic[[#This Row],[Active Infernal Command]]&gt;0,TblMili[[#This Row],[Unit 1]]*infernal_cmd_op,0)</f>
        <v>0</v>
      </c>
      <c r="CN95" s="252"/>
      <c r="CO95" s="252"/>
      <c r="CP95" s="252"/>
      <c r="CQ95" s="251">
        <f ca="1">TblMili[[#This Row],[Mystic]]*2</f>
        <v>4</v>
      </c>
      <c r="CR95" s="251">
        <f ca="1">TblMili[[#This Row],[Druid (op)]]*2</f>
        <v>4</v>
      </c>
      <c r="CS95" s="94">
        <f ca="1">TblMili[[#This Row],[Mystic bonus]]*TblMili[[#This Row],[Unit 3]]+TblMili[[#This Row],[Druid bonus]]*TblMili[[#This Row],[Unit 4]]</f>
        <v>0</v>
      </c>
      <c r="CT95" s="155">
        <f ca="1">TblMili[[#This Row],[Dryad]]*2</f>
        <v>5.9999999999999991</v>
      </c>
      <c r="CU95" s="94">
        <f ca="1">sylvan*(TblMili[[#This Row],[Mystic bonus]]*TblMili[[#This Row],[Unit 3]])</f>
        <v>0</v>
      </c>
      <c r="CV95" s="155">
        <f ca="1">TblMili[[#This Row],[Rockapult]]*2</f>
        <v>4</v>
      </c>
      <c r="CW95" s="94">
        <f ca="1">gnome*(TblMili[[#This Row],[Rockapult bonus]]*TblMili[[#This Row],[Unit 3]])</f>
        <v>0</v>
      </c>
      <c r="CX95" s="155">
        <f ca="1">TblMili[[#This Row],[Adept-DP]]*2</f>
        <v>0</v>
      </c>
      <c r="CY95" s="94">
        <f ca="1">dark_elf*(TblMili[[#This Row],[Adept bonus]]*TblMili[[#This Row],[Unit 3]])</f>
        <v>0</v>
      </c>
      <c r="CZ95" s="155">
        <f ca="1">TblMili[[#This Row],[Frost Mage]]*2</f>
        <v>5.9999999999999991</v>
      </c>
      <c r="DA95" s="155">
        <f ca="1">TblMili[[#This Row],[Ice Elemental]]*2</f>
        <v>0</v>
      </c>
      <c r="DB95" s="94">
        <f ca="1">TblMili[[#This Row],[Frost Mage bonus]]*TblMili[[#This Row],[Unit 3]]+TblMili[[#This Row],[Ice Elemental bonus]]*TblMili[[#This Row],[Unit 4]]</f>
        <v>0</v>
      </c>
      <c r="DC95" s="253"/>
      <c r="DD95" s="143">
        <f ca="1">MIN(SUM(TblConstr[[#This Row],[Plain]:[Water]])/TblMili[[#This Row],[Land]]/favorable_terrain_bonus/100,favorable_terrain_max)</f>
        <v>0</v>
      </c>
      <c r="DE95" s="253"/>
      <c r="DF9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5" s="142"/>
      <c r="DH95" s="254">
        <f ca="1">(TblMili[[#This Row],[Wizards]]+2*TblMili[[#This Row],[Archmages]])/TblConstr[[#This Row],[Land]]</f>
        <v>0</v>
      </c>
      <c r="DI95" s="254">
        <f ca="1">TblMili[[#This Row],[Raw (2)]]*(1+race_wizard_strength+IF(TblMili[[#This Row],[Hour]]&gt;72,tech_magical_weaponry_wiz*TblTech[[#This Row],[3-5]],0))</f>
        <v>0</v>
      </c>
    </row>
    <row r="96" spans="1:113" x14ac:dyDescent="0.2">
      <c r="A96" s="137">
        <f>TblRezone[[#This Row],[Hour]]</f>
        <v>93</v>
      </c>
      <c r="B96" s="246">
        <f ca="1">SUM(TblMili[[#This Row],[Unit 1]:[Archmages]])+SUM(OFFSET(TblMili[[#This Row],[Train Unit 1]],-8,0):TblMili[[#This Row],[Train Unit 2]]) + SUM(OFFSET(TblMili[[#This Row],[Train Unit 3]],-11,0):TblMili[[#This Row],[Train AM]]) + TblMili[[#This Row],[Draftees]]</f>
        <v>580</v>
      </c>
      <c r="C96" s="157">
        <f ca="1">TblPop[[#This Row],[Military%]]</f>
        <v>0.75422626788036407</v>
      </c>
      <c r="D96" s="142"/>
      <c r="E96" s="45">
        <f ca="1">OFFSET(TblMili[[#This Row],[Unit 1]],-1,0) + OFFSET(TblMili[[#This Row],[Train Unit 1]],-9,0) - TblMili[[#This Row],[Release Unit 1]] + OFFSET(TblMili[[#This Row],[DnD_Zombies]],-12,0)</f>
        <v>0</v>
      </c>
      <c r="F96" s="45">
        <f ca="1">OFFSET(TblMili[[#This Row],[Unit 2]],-1,0) + OFFSET(TblMili[[#This Row],[Train Unit 2]],-9,0)-TblMili[[#This Row],[Release Unit 2]]</f>
        <v>0</v>
      </c>
      <c r="G96" s="45">
        <f ca="1">OFFSET(TblMili[[#This Row],[Unit 3]],-1,0) + OFFSET(TblMili[[#This Row],[Train Unit 3]],-12,0)-TblMili[[#This Row],[Release Unit 3]]</f>
        <v>0</v>
      </c>
      <c r="H96" s="45">
        <f ca="1">OFFSET(TblMili[[#This Row],[Unit 4]],-1,0) + OFFSET(TblMili[[#This Row],[Train Unit 4]],-12,0)-TblMili[[#This Row],[Release Unit 4]]</f>
        <v>0</v>
      </c>
      <c r="I96" s="45">
        <f ca="1">OFFSET(TblMili[[#This Row],[Spies]],-1,0) + OFFSET(TblMili[[#This Row],[Train Spies]],-12,0) - TblMili[[#This Row],[Release Spies]]-TblMili[[#This Row],[Train AS]]</f>
        <v>0</v>
      </c>
      <c r="J96" s="45">
        <f ca="1">OFFSET(TblMili[[#This Row],[Archspies]],-1,0) + OFFSET(TblMili[[#This Row],[Train AS]],-12,0) - TblMili[[#This Row],[Release AS]]</f>
        <v>0</v>
      </c>
      <c r="K96" s="45">
        <f ca="1">OFFSET(TblMili[[#This Row],[Wizards]],-1,0) + OFFSET(TblMili[[#This Row],[Train Wiz]],-12,0) - TblMili[[#This Row],[Release Wizards]]-TblMili[[#This Row],[Train AM]] + IF(TblMagic[[#This Row],[Active Arc Infusion]]&gt;0,TblMili[[#This Row],[Train AM]])</f>
        <v>0</v>
      </c>
      <c r="L96" s="45">
        <f ca="1">OFFSET(TblMili[[#This Row],[Archmages]],-1,0) + OFFSET(TblMili[[#This Row],[Train AM]],-12,0) - TblMili[[#This Row],[Release AM]]</f>
        <v>0</v>
      </c>
      <c r="M96" s="142"/>
      <c r="N96" s="94">
        <f ca="1">TblProd[[#This Row],[Networth]]</f>
        <v>1250</v>
      </c>
      <c r="O96" s="142"/>
      <c r="P96"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9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6" s="247">
        <f ca="1">TblMili[[#This Row],[Raw]]*(1+TblMili[[#This Row],[Mods_Off]])</f>
        <v>0</v>
      </c>
      <c r="S96"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96" s="247">
        <f ca="1">TblMili[[#This Row],[Non Draft]]+TblMili[[#This Row],[Draftees]]</f>
        <v>580</v>
      </c>
      <c r="U96" s="248">
        <f ca="1">race_defense + TblImps[[#This Row],[Walls]] + ROUND( MIN(gt_bonus*TblConstr[[#This Row],[Tot GT]]/TblConstr[[#This Row],[Land]],gt_bonus_cap), 4) + IF(TblMagic[[#This Row],[Active Howling]]&gt;0,howling_dp_bonus,IF(TblMagic[[#This Row],[Active Ares Call]]&gt;0,ares_call_bonus))</f>
        <v>0</v>
      </c>
      <c r="V96" s="249">
        <f ca="1">TblMili[[#This Row],[Non Draft]] * (1 + TblMili[[#This Row],[Mods_Def]])</f>
        <v>0</v>
      </c>
      <c r="W96" s="247">
        <f ca="1">TblMili[[#This Row],[Draft]] * (1 + TblMili[[#This Row],[Mods_Def]])</f>
        <v>580</v>
      </c>
      <c r="X96" s="247">
        <f ca="1">TblConstr[[#This Row],[Land]]</f>
        <v>50</v>
      </c>
      <c r="Y96" s="250"/>
      <c r="Z96" s="255">
        <f ca="1">IF(TblMili[[#This Row],[Set]]&lt;&gt;"",TblMili[[#This Row],[Set]],OFFSET(TblMili[[#This Row],[Draftrate]],-1,0))</f>
        <v>0.9</v>
      </c>
      <c r="AA96"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580</v>
      </c>
      <c r="AB96" s="154"/>
      <c r="AC96" s="180">
        <f ca="1">(TblConstr[[#This Row],[Tot Smi]]+TblConstr[[#This Row],[Dest Smi]])/(TblConstr[[#This Row],[Land]]-TblExplore[[#This Row],[Land Bonus]]*20)</f>
        <v>0</v>
      </c>
      <c r="AD96" s="137"/>
      <c r="AE96" s="246">
        <f>TblMili[[#This Row],[Hour]]</f>
        <v>93</v>
      </c>
      <c r="AF96" s="138">
        <f ca="1">TblExplore[[#This Row],[Time]]</f>
        <v>46323.83333333311</v>
      </c>
      <c r="AG96" s="179"/>
      <c r="AH96" s="179"/>
      <c r="AI96" s="179"/>
      <c r="AJ96" s="179"/>
      <c r="AK96" s="179"/>
      <c r="AL96" s="179"/>
      <c r="AM96" s="179"/>
      <c r="AN96" s="179"/>
      <c r="AO96" s="420">
        <f ca="1">ROUND(IF(AND(TblMagic[[#This Row],[Active DnD]]&lt;12,TblMagic[[#This Row],[Active DnD]]&gt;5),OFFSET(TblPop[[#This Row],[Draft Growth]],-1,0)*0.375,0),0)</f>
        <v>0</v>
      </c>
      <c r="AP96" s="142"/>
      <c r="AQ96" s="94">
        <f ca="1">TblProd[[#This Row],[Platinum]]</f>
        <v>196650</v>
      </c>
      <c r="AR96" s="94">
        <f ca="1">INDEX(TblProd[[#Headers],[Lumber]]:TblProd[[#This Row],[Ore]],COUNTA(TblProd[[#Headers],[Lumber]]:TblProd[[#This Row],[Lumber]]),MATCH(Military!$AR$2,TblProd[[#Headers],[Lumber]:[Ore]],0))</f>
        <v>0</v>
      </c>
      <c r="AS9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96" s="94">
        <f ca="1">TblMili[[#This Row],[Train Unit 1]]*TblMili[[#This Row],[OP Ore]]+TblMili[[#This Row],[Train Unit 2]]*TblMili[[#This Row],[DP Ore]]+TblMili[[#This Row],[Train Unit 3]]*TblMili[[#This Row],[E1 Ore]]+TblMili[[#This Row],[Train Unit 4]]*TblMili[[#This Row],[E2 Ore]]</f>
        <v>0</v>
      </c>
      <c r="AU96" s="142">
        <f>TblMili[[#This Row],[Hour]]</f>
        <v>93</v>
      </c>
      <c r="AV96" s="152">
        <f ca="1">TblMili[[#This Row],[Time]]</f>
        <v>46323.83333333311</v>
      </c>
      <c r="AW96" s="94">
        <f ca="1">TblMili[[#This Row],[Draftees]]</f>
        <v>580</v>
      </c>
      <c r="AX96" s="179"/>
      <c r="AY96" s="179"/>
      <c r="AZ96" s="179"/>
      <c r="BA96" s="179"/>
      <c r="BB96" s="179"/>
      <c r="BC96" s="179"/>
      <c r="BD96" s="179"/>
      <c r="BE96" s="179"/>
      <c r="BF96" s="179"/>
      <c r="BG96" s="142"/>
      <c r="BH96" s="157">
        <f ca="1">TblConstr[[#This Row],[Tot WG]]/TblConstr[[#This Row],[Land]]</f>
        <v>0</v>
      </c>
      <c r="BI96" s="157">
        <f ca="1">TblConstr[[#This Row],[Tot Hav]]/TblConstr[[#This Row],[Land]]</f>
        <v>0</v>
      </c>
      <c r="BJ96" s="94">
        <f ca="1">ROUNDUP((1-MIN(TblMili[[#This Row],[Smithies]]*smithy_bonus,smithy_bonus_cap) + tech_3_5*TblTech[[#This Row],[3-5]] + tech_5_3*TblTech[[#This Row],[5-3]] + tech_5_5*TblTech[[#This Row],[5-5]])*spec_op_plat,0)</f>
        <v>315</v>
      </c>
      <c r="BK96" s="94">
        <f ca="1">ROUNDUP(IF(race="Gnome",1,(1-MIN(TblMili[[#This Row],[Smithies]]*smithy_bonus,smithy_bonus_cap) + tech_3_5*TblTech[[#This Row],[3-5]] + tech_5_3*TblTech[[#This Row],[5-3]] + tech_5_5*TblTech[[#This Row],[5-5]]))*spec_op_ore,0)</f>
        <v>25</v>
      </c>
      <c r="BL96" s="94">
        <f ca="1">ROUNDUP((1-MIN(TblMili[[#This Row],[Smithies]]*smithy_bonus,smithy_bonus_cap) + tech_3_5*TblTech[[#This Row],[3-5]] + tech_5_3*TblTech[[#This Row],[5-3]] + tech_5_5*TblTech[[#This Row],[5-5]])*spec_dp_plat,0)</f>
        <v>275</v>
      </c>
      <c r="BM96" s="94">
        <f ca="1">ROUNDUP(IF(race="Gnome",1,(1-MIN(TblMili[[#This Row],[Smithies]]*smithy_bonus,smithy_bonus_cap) + tech_3_5*TblTech[[#This Row],[3-5]] + tech_5_3*TblTech[[#This Row],[5-3]] + tech_5_5*TblTech[[#This Row],[5-5]]))*spec_dp_ore,0)</f>
        <v>15</v>
      </c>
      <c r="BN96" s="94">
        <f ca="1">ROUNDUP((1-MIN(TblMili[[#This Row],[Smithies]]*smithy_bonus,smithy_bonus_cap) + tech_3_5*TblTech[[#This Row],[3-5]] + tech_5_3*TblTech[[#This Row],[5-3]] + tech_5_5*TblTech[[#This Row],[5-5]])*elite1_plat,0)</f>
        <v>1040</v>
      </c>
      <c r="BO96" s="94">
        <f ca="1">ROUNDUP(IF(race="Gnome",1,(1-MIN(TblMili[[#This Row],[Smithies]]*smithy_bonus,smithy_bonus_cap) + tech_3_5*TblTech[[#This Row],[3-5]] + tech_5_3*TblTech[[#This Row],[5-3]] + tech_5_5*TblTech[[#This Row],[5-5]]))*elite1_ore,0)</f>
        <v>75</v>
      </c>
      <c r="BP96" s="94">
        <f ca="1">ROUNDUP((1-MIN(TblMili[[#This Row],[Smithies]]*smithy_bonus,smithy_bonus_cap) + tech_3_5*TblTech[[#This Row],[3-5]] + tech_5_3*TblTech[[#This Row],[5-3]] + tech_5_5*TblTech[[#This Row],[5-5]])*elite2_plat,0)</f>
        <v>1280</v>
      </c>
      <c r="BQ96" s="94">
        <f ca="1">ROUNDUP(IF(race="Gnome",1,(1-MIN(TblMili[[#This Row],[Smithies]]*smithy_bonus,smithy_bonus_cap) + tech_3_5*TblTech[[#This Row],[3-5]] + tech_5_3*TblTech[[#This Row],[5-3]] + tech_5_5*TblTech[[#This Row],[5-5]]))*elite2_ore,0)</f>
        <v>100</v>
      </c>
      <c r="BR96" s="94">
        <f ca="1">ROUNDUP((1-MIN(ROUND(fh_spy_cost_red*TblMili[[#This Row],[FH''s]],4),fh_spy_cost_cap)+ tech_1_9*TblTech[[#This Row],[1-9]] + tech_9_1*TblTech[[#This Row],[9-1]])*spy_plat,0)</f>
        <v>500</v>
      </c>
      <c r="BS96" s="94">
        <f ca="1">ROUNDUP((1-MIN(ROUND(fh_spy_cost_red*TblMili[[#This Row],[FH''s]],4),fh_spy_cost_cap)+ tech_1_9*TblTech[[#This Row],[1-9]] + tech_9_1*TblTech[[#This Row],[9-1]])*archspy_plat,0)</f>
        <v>1000</v>
      </c>
      <c r="BT96" s="94">
        <f ca="1">ROUNDUP((1-MIN(ROUND(wg_wiz_cost_bonus*TblMili[[#This Row],[WG''s]],4),wg_wiz_cost_cap) + tech_1_9_2*TblTech[[#This Row],[1-9]] + tech_9_1_2*TblTech[[#This Row],[9-1]])*wizard_plat,0)</f>
        <v>500</v>
      </c>
      <c r="BU96" s="94">
        <f ca="1">ROUNDUP((1-MIN(ROUND(wg_wiz_cost_bonus*TblMili[[#This Row],[WG''s]],4),wg_wiz_cost_cap) + tech_1_9_2*TblTech[[#This Row],[1-9]] + tech_9_1_2*TblTech[[#This Row],[9-1]])*(archmage_plat + IF(TblMagic[[#This Row],[Active Arc Infusion]]&gt;0,400,0)),0)</f>
        <v>1000</v>
      </c>
      <c r="BV96" s="142"/>
      <c r="BW96" s="157">
        <f ca="1">TblConstr[[#This Row],[Homeland]]/TblConstr[[#This Row],[Land]]</f>
        <v>0.6</v>
      </c>
      <c r="BX96" s="157">
        <f ca="1">TblMili[[#This Row],[WG''s]]</f>
        <v>0</v>
      </c>
      <c r="BY96" s="251">
        <f ca="1">IF(mystic_cap="none",TblMili[[#This Row],[Homeland%]]/mystic_bonus,MIN(mystic_cap,TblMili[[#This Row],[Homeland%]]/mystic_bonus))</f>
        <v>2</v>
      </c>
      <c r="BZ96" s="251">
        <f ca="1">IF(druid_op_cap="none",TblMili[[#This Row],[Homeland%]]/druid_op_bonus,MIN(druid_op_cap,TblMili[[#This Row],[Homeland%]]/druid_op_bonus))</f>
        <v>2</v>
      </c>
      <c r="CA96" s="251">
        <f ca="1">IF(druid_dp_cap="none",TblMili[[#This Row],[Homeland%]]/druid_dp_bonus,MIN(druid_dp_cap,TblMili[[#This Row],[Homeland%]]/druid_dp_bonus))</f>
        <v>2</v>
      </c>
      <c r="CB96" s="251">
        <f ca="1">MIN(dryad_cap,TblMili[[#This Row],[Homeland%]]/dryad_bonus)</f>
        <v>2.9999999999999996</v>
      </c>
      <c r="CC96" s="251">
        <f ca="1">MIN(rocka_cap,TblMili[[#This Row],[Homeland%]]/rocka_bonus)</f>
        <v>2</v>
      </c>
      <c r="CD96" s="251">
        <f ca="1">MIN(adept_op_cap,TblMili[[#This Row],[WG]]/adept_op_bonus)</f>
        <v>0</v>
      </c>
      <c r="CE96" s="251">
        <f ca="1">MIN(adept_dp_cap,TblMili[[#This Row],[WG]]/adept_dp_bonus)</f>
        <v>0</v>
      </c>
      <c r="CF96" s="94">
        <f ca="1">MIN(TblMili[[#This Row],[Unit 3]],TblMili[[#This Row],[Unit 2]])*2</f>
        <v>0</v>
      </c>
      <c r="CG96" s="94">
        <f ca="1">MIN(TblMili[[#This Row],[Unit 1]],TblMili[[#This Row],[Unit 4]])*2</f>
        <v>0</v>
      </c>
      <c r="CH96" s="251">
        <f ca="1">MIN(frost_mage_cap,TblMili[[#This Row],[Homeland%]]/frost_mage_bonus)</f>
        <v>2.9999999999999996</v>
      </c>
      <c r="CI96" s="45">
        <f ca="1">MIN(ice_elem_cap,TblMili[[#This Row],[Raw (2)]]*ice_elem_bonus)</f>
        <v>0</v>
      </c>
      <c r="CJ96" s="251">
        <f t="shared" si="3"/>
        <v>0.83333333333333337</v>
      </c>
      <c r="CK96" s="251">
        <f ca="1">MIN(nox_nightshade_cap,TblConstr[[#This Row],[Homeland]]/TblConstr[[#This Row],[Land]]/nox_nightshade_swamp_bonus)</f>
        <v>4</v>
      </c>
      <c r="CL96" s="251">
        <f ca="1">MIN(TblConstr[[#This Row],[Total Swamp]]/TblConstr[[#This Row],[Land]]/abyss_enforce_bonus,abyss_enforcer_cap)</f>
        <v>0</v>
      </c>
      <c r="CM96" s="251">
        <f ca="1">IF(TblMagic[[#This Row],[Active Infernal Command]]&gt;0,TblMili[[#This Row],[Unit 1]]*infernal_cmd_op,0)</f>
        <v>0</v>
      </c>
      <c r="CN96" s="252"/>
      <c r="CO96" s="252"/>
      <c r="CP96" s="252"/>
      <c r="CQ96" s="251">
        <f ca="1">TblMili[[#This Row],[Mystic]]*2</f>
        <v>4</v>
      </c>
      <c r="CR96" s="251">
        <f ca="1">TblMili[[#This Row],[Druid (op)]]*2</f>
        <v>4</v>
      </c>
      <c r="CS96" s="94">
        <f ca="1">TblMili[[#This Row],[Mystic bonus]]*TblMili[[#This Row],[Unit 3]]+TblMili[[#This Row],[Druid bonus]]*TblMili[[#This Row],[Unit 4]]</f>
        <v>0</v>
      </c>
      <c r="CT96" s="155">
        <f ca="1">TblMili[[#This Row],[Dryad]]*2</f>
        <v>5.9999999999999991</v>
      </c>
      <c r="CU96" s="94">
        <f ca="1">sylvan*(TblMili[[#This Row],[Mystic bonus]]*TblMili[[#This Row],[Unit 3]])</f>
        <v>0</v>
      </c>
      <c r="CV96" s="155">
        <f ca="1">TblMili[[#This Row],[Rockapult]]*2</f>
        <v>4</v>
      </c>
      <c r="CW96" s="94">
        <f ca="1">gnome*(TblMili[[#This Row],[Rockapult bonus]]*TblMili[[#This Row],[Unit 3]])</f>
        <v>0</v>
      </c>
      <c r="CX96" s="155">
        <f ca="1">TblMili[[#This Row],[Adept-DP]]*2</f>
        <v>0</v>
      </c>
      <c r="CY96" s="94">
        <f ca="1">dark_elf*(TblMili[[#This Row],[Adept bonus]]*TblMili[[#This Row],[Unit 3]])</f>
        <v>0</v>
      </c>
      <c r="CZ96" s="155">
        <f ca="1">TblMili[[#This Row],[Frost Mage]]*2</f>
        <v>5.9999999999999991</v>
      </c>
      <c r="DA96" s="155">
        <f ca="1">TblMili[[#This Row],[Ice Elemental]]*2</f>
        <v>0</v>
      </c>
      <c r="DB96" s="94">
        <f ca="1">TblMili[[#This Row],[Frost Mage bonus]]*TblMili[[#This Row],[Unit 3]]+TblMili[[#This Row],[Ice Elemental bonus]]*TblMili[[#This Row],[Unit 4]]</f>
        <v>0</v>
      </c>
      <c r="DC96" s="253"/>
      <c r="DD96" s="143">
        <f ca="1">MIN(SUM(TblConstr[[#This Row],[Plain]:[Water]])/TblMili[[#This Row],[Land]]/favorable_terrain_bonus/100,favorable_terrain_max)</f>
        <v>0</v>
      </c>
      <c r="DE96" s="253"/>
      <c r="DF9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6" s="142"/>
      <c r="DH96" s="254">
        <f ca="1">(TblMili[[#This Row],[Wizards]]+2*TblMili[[#This Row],[Archmages]])/TblConstr[[#This Row],[Land]]</f>
        <v>0</v>
      </c>
      <c r="DI96" s="254">
        <f ca="1">TblMili[[#This Row],[Raw (2)]]*(1+race_wizard_strength+IF(TblMili[[#This Row],[Hour]]&gt;72,tech_magical_weaponry_wiz*TblTech[[#This Row],[3-5]],0))</f>
        <v>0</v>
      </c>
    </row>
    <row r="97" spans="1:113" x14ac:dyDescent="0.2">
      <c r="A97" s="137">
        <f>TblRezone[[#This Row],[Hour]]</f>
        <v>94</v>
      </c>
      <c r="B97" s="246">
        <f ca="1">SUM(TblMili[[#This Row],[Unit 1]:[Archmages]])+SUM(OFFSET(TblMili[[#This Row],[Train Unit 1]],-8,0):TblMili[[#This Row],[Train Unit 2]]) + SUM(OFFSET(TblMili[[#This Row],[Train Unit 3]],-11,0):TblMili[[#This Row],[Train AM]]) + TblMili[[#This Row],[Draftees]]</f>
        <v>582</v>
      </c>
      <c r="C97" s="157">
        <f ca="1">TblPop[[#This Row],[Military%]]</f>
        <v>0.75682704811443435</v>
      </c>
      <c r="D97" s="142"/>
      <c r="E97" s="45">
        <f ca="1">OFFSET(TblMili[[#This Row],[Unit 1]],-1,0) + OFFSET(TblMili[[#This Row],[Train Unit 1]],-9,0) - TblMili[[#This Row],[Release Unit 1]] + OFFSET(TblMili[[#This Row],[DnD_Zombies]],-12,0)</f>
        <v>0</v>
      </c>
      <c r="F97" s="45">
        <f ca="1">OFFSET(TblMili[[#This Row],[Unit 2]],-1,0) + OFFSET(TblMili[[#This Row],[Train Unit 2]],-9,0)-TblMili[[#This Row],[Release Unit 2]]</f>
        <v>0</v>
      </c>
      <c r="G97" s="45">
        <f ca="1">OFFSET(TblMili[[#This Row],[Unit 3]],-1,0) + OFFSET(TblMili[[#This Row],[Train Unit 3]],-12,0)-TblMili[[#This Row],[Release Unit 3]]</f>
        <v>0</v>
      </c>
      <c r="H97" s="45">
        <f ca="1">OFFSET(TblMili[[#This Row],[Unit 4]],-1,0) + OFFSET(TblMili[[#This Row],[Train Unit 4]],-12,0)-TblMili[[#This Row],[Release Unit 4]]</f>
        <v>0</v>
      </c>
      <c r="I97" s="45">
        <f ca="1">OFFSET(TblMili[[#This Row],[Spies]],-1,0) + OFFSET(TblMili[[#This Row],[Train Spies]],-12,0) - TblMili[[#This Row],[Release Spies]]-TblMili[[#This Row],[Train AS]]</f>
        <v>0</v>
      </c>
      <c r="J97" s="45">
        <f ca="1">OFFSET(TblMili[[#This Row],[Archspies]],-1,0) + OFFSET(TblMili[[#This Row],[Train AS]],-12,0) - TblMili[[#This Row],[Release AS]]</f>
        <v>0</v>
      </c>
      <c r="K97" s="45">
        <f ca="1">OFFSET(TblMili[[#This Row],[Wizards]],-1,0) + OFFSET(TblMili[[#This Row],[Train Wiz]],-12,0) - TblMili[[#This Row],[Release Wizards]]-TblMili[[#This Row],[Train AM]] + IF(TblMagic[[#This Row],[Active Arc Infusion]]&gt;0,TblMili[[#This Row],[Train AM]])</f>
        <v>0</v>
      </c>
      <c r="L97" s="45">
        <f ca="1">OFFSET(TblMili[[#This Row],[Archmages]],-1,0) + OFFSET(TblMili[[#This Row],[Train AM]],-12,0) - TblMili[[#This Row],[Release AM]]</f>
        <v>0</v>
      </c>
      <c r="M97" s="142"/>
      <c r="N97" s="94">
        <f ca="1">TblProd[[#This Row],[Networth]]</f>
        <v>1250</v>
      </c>
      <c r="O97" s="142"/>
      <c r="P97"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9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7" s="247">
        <f ca="1">TblMili[[#This Row],[Raw]]*(1+TblMili[[#This Row],[Mods_Off]])</f>
        <v>0</v>
      </c>
      <c r="S97"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97" s="247">
        <f ca="1">TblMili[[#This Row],[Non Draft]]+TblMili[[#This Row],[Draftees]]</f>
        <v>582</v>
      </c>
      <c r="U97" s="248">
        <f ca="1">race_defense + TblImps[[#This Row],[Walls]] + ROUND( MIN(gt_bonus*TblConstr[[#This Row],[Tot GT]]/TblConstr[[#This Row],[Land]],gt_bonus_cap), 4) + IF(TblMagic[[#This Row],[Active Howling]]&gt;0,howling_dp_bonus,IF(TblMagic[[#This Row],[Active Ares Call]]&gt;0,ares_call_bonus))</f>
        <v>0</v>
      </c>
      <c r="V97" s="249">
        <f ca="1">TblMili[[#This Row],[Non Draft]] * (1 + TblMili[[#This Row],[Mods_Def]])</f>
        <v>0</v>
      </c>
      <c r="W97" s="247">
        <f ca="1">TblMili[[#This Row],[Draft]] * (1 + TblMili[[#This Row],[Mods_Def]])</f>
        <v>582</v>
      </c>
      <c r="X97" s="247">
        <f ca="1">TblConstr[[#This Row],[Land]]</f>
        <v>50</v>
      </c>
      <c r="Y97" s="250"/>
      <c r="Z97" s="255">
        <f ca="1">IF(TblMili[[#This Row],[Set]]&lt;&gt;"",TblMili[[#This Row],[Set]],OFFSET(TblMili[[#This Row],[Draftrate]],-1,0))</f>
        <v>0.9</v>
      </c>
      <c r="AA97"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582</v>
      </c>
      <c r="AB97" s="154"/>
      <c r="AC97" s="180">
        <f ca="1">(TblConstr[[#This Row],[Tot Smi]]+TblConstr[[#This Row],[Dest Smi]])/(TblConstr[[#This Row],[Land]]-TblExplore[[#This Row],[Land Bonus]]*20)</f>
        <v>0</v>
      </c>
      <c r="AD97" s="137"/>
      <c r="AE97" s="246">
        <f>TblMili[[#This Row],[Hour]]</f>
        <v>94</v>
      </c>
      <c r="AF97" s="138">
        <f ca="1">TblExplore[[#This Row],[Time]]</f>
        <v>46323.874999999774</v>
      </c>
      <c r="AG97" s="179"/>
      <c r="AH97" s="179"/>
      <c r="AI97" s="179"/>
      <c r="AJ97" s="179"/>
      <c r="AK97" s="179"/>
      <c r="AL97" s="179"/>
      <c r="AM97" s="179"/>
      <c r="AN97" s="179"/>
      <c r="AO97" s="420">
        <f ca="1">ROUND(IF(AND(TblMagic[[#This Row],[Active DnD]]&lt;12,TblMagic[[#This Row],[Active DnD]]&gt;5),OFFSET(TblPop[[#This Row],[Draft Growth]],-1,0)*0.375,0),0)</f>
        <v>0</v>
      </c>
      <c r="AP97" s="142"/>
      <c r="AQ97" s="94">
        <f ca="1">TblProd[[#This Row],[Platinum]]</f>
        <v>197160</v>
      </c>
      <c r="AR97" s="94">
        <f ca="1">INDEX(TblProd[[#Headers],[Lumber]]:TblProd[[#This Row],[Ore]],COUNTA(TblProd[[#Headers],[Lumber]]:TblProd[[#This Row],[Lumber]]),MATCH(Military!$AR$2,TblProd[[#Headers],[Lumber]:[Ore]],0))</f>
        <v>0</v>
      </c>
      <c r="AS9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97" s="94">
        <f ca="1">TblMili[[#This Row],[Train Unit 1]]*TblMili[[#This Row],[OP Ore]]+TblMili[[#This Row],[Train Unit 2]]*TblMili[[#This Row],[DP Ore]]+TblMili[[#This Row],[Train Unit 3]]*TblMili[[#This Row],[E1 Ore]]+TblMili[[#This Row],[Train Unit 4]]*TblMili[[#This Row],[E2 Ore]]</f>
        <v>0</v>
      </c>
      <c r="AU97" s="142">
        <f>TblMili[[#This Row],[Hour]]</f>
        <v>94</v>
      </c>
      <c r="AV97" s="152">
        <f ca="1">TblMili[[#This Row],[Time]]</f>
        <v>46323.874999999774</v>
      </c>
      <c r="AW97" s="94">
        <f ca="1">TblMili[[#This Row],[Draftees]]</f>
        <v>582</v>
      </c>
      <c r="AX97" s="179"/>
      <c r="AY97" s="179"/>
      <c r="AZ97" s="179"/>
      <c r="BA97" s="179"/>
      <c r="BB97" s="179"/>
      <c r="BC97" s="179"/>
      <c r="BD97" s="179"/>
      <c r="BE97" s="179"/>
      <c r="BF97" s="179"/>
      <c r="BG97" s="142"/>
      <c r="BH97" s="157">
        <f ca="1">TblConstr[[#This Row],[Tot WG]]/TblConstr[[#This Row],[Land]]</f>
        <v>0</v>
      </c>
      <c r="BI97" s="157">
        <f ca="1">TblConstr[[#This Row],[Tot Hav]]/TblConstr[[#This Row],[Land]]</f>
        <v>0</v>
      </c>
      <c r="BJ97" s="94">
        <f ca="1">ROUNDUP((1-MIN(TblMili[[#This Row],[Smithies]]*smithy_bonus,smithy_bonus_cap) + tech_3_5*TblTech[[#This Row],[3-5]] + tech_5_3*TblTech[[#This Row],[5-3]] + tech_5_5*TblTech[[#This Row],[5-5]])*spec_op_plat,0)</f>
        <v>315</v>
      </c>
      <c r="BK97" s="94">
        <f ca="1">ROUNDUP(IF(race="Gnome",1,(1-MIN(TblMili[[#This Row],[Smithies]]*smithy_bonus,smithy_bonus_cap) + tech_3_5*TblTech[[#This Row],[3-5]] + tech_5_3*TblTech[[#This Row],[5-3]] + tech_5_5*TblTech[[#This Row],[5-5]]))*spec_op_ore,0)</f>
        <v>25</v>
      </c>
      <c r="BL97" s="94">
        <f ca="1">ROUNDUP((1-MIN(TblMili[[#This Row],[Smithies]]*smithy_bonus,smithy_bonus_cap) + tech_3_5*TblTech[[#This Row],[3-5]] + tech_5_3*TblTech[[#This Row],[5-3]] + tech_5_5*TblTech[[#This Row],[5-5]])*spec_dp_plat,0)</f>
        <v>275</v>
      </c>
      <c r="BM97" s="94">
        <f ca="1">ROUNDUP(IF(race="Gnome",1,(1-MIN(TblMili[[#This Row],[Smithies]]*smithy_bonus,smithy_bonus_cap) + tech_3_5*TblTech[[#This Row],[3-5]] + tech_5_3*TblTech[[#This Row],[5-3]] + tech_5_5*TblTech[[#This Row],[5-5]]))*spec_dp_ore,0)</f>
        <v>15</v>
      </c>
      <c r="BN97" s="94">
        <f ca="1">ROUNDUP((1-MIN(TblMili[[#This Row],[Smithies]]*smithy_bonus,smithy_bonus_cap) + tech_3_5*TblTech[[#This Row],[3-5]] + tech_5_3*TblTech[[#This Row],[5-3]] + tech_5_5*TblTech[[#This Row],[5-5]])*elite1_plat,0)</f>
        <v>1040</v>
      </c>
      <c r="BO97" s="94">
        <f ca="1">ROUNDUP(IF(race="Gnome",1,(1-MIN(TblMili[[#This Row],[Smithies]]*smithy_bonus,smithy_bonus_cap) + tech_3_5*TblTech[[#This Row],[3-5]] + tech_5_3*TblTech[[#This Row],[5-3]] + tech_5_5*TblTech[[#This Row],[5-5]]))*elite1_ore,0)</f>
        <v>75</v>
      </c>
      <c r="BP97" s="94">
        <f ca="1">ROUNDUP((1-MIN(TblMili[[#This Row],[Smithies]]*smithy_bonus,smithy_bonus_cap) + tech_3_5*TblTech[[#This Row],[3-5]] + tech_5_3*TblTech[[#This Row],[5-3]] + tech_5_5*TblTech[[#This Row],[5-5]])*elite2_plat,0)</f>
        <v>1280</v>
      </c>
      <c r="BQ97" s="94">
        <f ca="1">ROUNDUP(IF(race="Gnome",1,(1-MIN(TblMili[[#This Row],[Smithies]]*smithy_bonus,smithy_bonus_cap) + tech_3_5*TblTech[[#This Row],[3-5]] + tech_5_3*TblTech[[#This Row],[5-3]] + tech_5_5*TblTech[[#This Row],[5-5]]))*elite2_ore,0)</f>
        <v>100</v>
      </c>
      <c r="BR97" s="94">
        <f ca="1">ROUNDUP((1-MIN(ROUND(fh_spy_cost_red*TblMili[[#This Row],[FH''s]],4),fh_spy_cost_cap)+ tech_1_9*TblTech[[#This Row],[1-9]] + tech_9_1*TblTech[[#This Row],[9-1]])*spy_plat,0)</f>
        <v>500</v>
      </c>
      <c r="BS97" s="94">
        <f ca="1">ROUNDUP((1-MIN(ROUND(fh_spy_cost_red*TblMili[[#This Row],[FH''s]],4),fh_spy_cost_cap)+ tech_1_9*TblTech[[#This Row],[1-9]] + tech_9_1*TblTech[[#This Row],[9-1]])*archspy_plat,0)</f>
        <v>1000</v>
      </c>
      <c r="BT97" s="94">
        <f ca="1">ROUNDUP((1-MIN(ROUND(wg_wiz_cost_bonus*TblMili[[#This Row],[WG''s]],4),wg_wiz_cost_cap) + tech_1_9_2*TblTech[[#This Row],[1-9]] + tech_9_1_2*TblTech[[#This Row],[9-1]])*wizard_plat,0)</f>
        <v>500</v>
      </c>
      <c r="BU97" s="94">
        <f ca="1">ROUNDUP((1-MIN(ROUND(wg_wiz_cost_bonus*TblMili[[#This Row],[WG''s]],4),wg_wiz_cost_cap) + tech_1_9_2*TblTech[[#This Row],[1-9]] + tech_9_1_2*TblTech[[#This Row],[9-1]])*(archmage_plat + IF(TblMagic[[#This Row],[Active Arc Infusion]]&gt;0,400,0)),0)</f>
        <v>1000</v>
      </c>
      <c r="BV97" s="142"/>
      <c r="BW97" s="157">
        <f ca="1">TblConstr[[#This Row],[Homeland]]/TblConstr[[#This Row],[Land]]</f>
        <v>0.6</v>
      </c>
      <c r="BX97" s="157">
        <f ca="1">TblMili[[#This Row],[WG''s]]</f>
        <v>0</v>
      </c>
      <c r="BY97" s="251">
        <f ca="1">IF(mystic_cap="none",TblMili[[#This Row],[Homeland%]]/mystic_bonus,MIN(mystic_cap,TblMili[[#This Row],[Homeland%]]/mystic_bonus))</f>
        <v>2</v>
      </c>
      <c r="BZ97" s="251">
        <f ca="1">IF(druid_op_cap="none",TblMili[[#This Row],[Homeland%]]/druid_op_bonus,MIN(druid_op_cap,TblMili[[#This Row],[Homeland%]]/druid_op_bonus))</f>
        <v>2</v>
      </c>
      <c r="CA97" s="251">
        <f ca="1">IF(druid_dp_cap="none",TblMili[[#This Row],[Homeland%]]/druid_dp_bonus,MIN(druid_dp_cap,TblMili[[#This Row],[Homeland%]]/druid_dp_bonus))</f>
        <v>2</v>
      </c>
      <c r="CB97" s="251">
        <f ca="1">MIN(dryad_cap,TblMili[[#This Row],[Homeland%]]/dryad_bonus)</f>
        <v>2.9999999999999996</v>
      </c>
      <c r="CC97" s="251">
        <f ca="1">MIN(rocka_cap,TblMili[[#This Row],[Homeland%]]/rocka_bonus)</f>
        <v>2</v>
      </c>
      <c r="CD97" s="251">
        <f ca="1">MIN(adept_op_cap,TblMili[[#This Row],[WG]]/adept_op_bonus)</f>
        <v>0</v>
      </c>
      <c r="CE97" s="251">
        <f ca="1">MIN(adept_dp_cap,TblMili[[#This Row],[WG]]/adept_dp_bonus)</f>
        <v>0</v>
      </c>
      <c r="CF97" s="94">
        <f ca="1">MIN(TblMili[[#This Row],[Unit 3]],TblMili[[#This Row],[Unit 2]])*2</f>
        <v>0</v>
      </c>
      <c r="CG97" s="94">
        <f ca="1">MIN(TblMili[[#This Row],[Unit 1]],TblMili[[#This Row],[Unit 4]])*2</f>
        <v>0</v>
      </c>
      <c r="CH97" s="251">
        <f ca="1">MIN(frost_mage_cap,TblMili[[#This Row],[Homeland%]]/frost_mage_bonus)</f>
        <v>2.9999999999999996</v>
      </c>
      <c r="CI97" s="45">
        <f ca="1">MIN(ice_elem_cap,TblMili[[#This Row],[Raw (2)]]*ice_elem_bonus)</f>
        <v>0</v>
      </c>
      <c r="CJ97" s="251">
        <f t="shared" si="3"/>
        <v>0.83333333333333337</v>
      </c>
      <c r="CK97" s="251">
        <f ca="1">MIN(nox_nightshade_cap,TblConstr[[#This Row],[Homeland]]/TblConstr[[#This Row],[Land]]/nox_nightshade_swamp_bonus)</f>
        <v>4</v>
      </c>
      <c r="CL97" s="251">
        <f ca="1">MIN(TblConstr[[#This Row],[Total Swamp]]/TblConstr[[#This Row],[Land]]/abyss_enforce_bonus,abyss_enforcer_cap)</f>
        <v>0</v>
      </c>
      <c r="CM97" s="251">
        <f ca="1">IF(TblMagic[[#This Row],[Active Infernal Command]]&gt;0,TblMili[[#This Row],[Unit 1]]*infernal_cmd_op,0)</f>
        <v>0</v>
      </c>
      <c r="CN97" s="252"/>
      <c r="CO97" s="252"/>
      <c r="CP97" s="252"/>
      <c r="CQ97" s="251">
        <f ca="1">TblMili[[#This Row],[Mystic]]*2</f>
        <v>4</v>
      </c>
      <c r="CR97" s="251">
        <f ca="1">TblMili[[#This Row],[Druid (op)]]*2</f>
        <v>4</v>
      </c>
      <c r="CS97" s="94">
        <f ca="1">TblMili[[#This Row],[Mystic bonus]]*TblMili[[#This Row],[Unit 3]]+TblMili[[#This Row],[Druid bonus]]*TblMili[[#This Row],[Unit 4]]</f>
        <v>0</v>
      </c>
      <c r="CT97" s="155">
        <f ca="1">TblMili[[#This Row],[Dryad]]*2</f>
        <v>5.9999999999999991</v>
      </c>
      <c r="CU97" s="94">
        <f ca="1">sylvan*(TblMili[[#This Row],[Mystic bonus]]*TblMili[[#This Row],[Unit 3]])</f>
        <v>0</v>
      </c>
      <c r="CV97" s="155">
        <f ca="1">TblMili[[#This Row],[Rockapult]]*2</f>
        <v>4</v>
      </c>
      <c r="CW97" s="94">
        <f ca="1">gnome*(TblMili[[#This Row],[Rockapult bonus]]*TblMili[[#This Row],[Unit 3]])</f>
        <v>0</v>
      </c>
      <c r="CX97" s="155">
        <f ca="1">TblMili[[#This Row],[Adept-DP]]*2</f>
        <v>0</v>
      </c>
      <c r="CY97" s="94">
        <f ca="1">dark_elf*(TblMili[[#This Row],[Adept bonus]]*TblMili[[#This Row],[Unit 3]])</f>
        <v>0</v>
      </c>
      <c r="CZ97" s="155">
        <f ca="1">TblMili[[#This Row],[Frost Mage]]*2</f>
        <v>5.9999999999999991</v>
      </c>
      <c r="DA97" s="155">
        <f ca="1">TblMili[[#This Row],[Ice Elemental]]*2</f>
        <v>0</v>
      </c>
      <c r="DB97" s="94">
        <f ca="1">TblMili[[#This Row],[Frost Mage bonus]]*TblMili[[#This Row],[Unit 3]]+TblMili[[#This Row],[Ice Elemental bonus]]*TblMili[[#This Row],[Unit 4]]</f>
        <v>0</v>
      </c>
      <c r="DC97" s="253"/>
      <c r="DD97" s="143">
        <f ca="1">MIN(SUM(TblConstr[[#This Row],[Plain]:[Water]])/TblMili[[#This Row],[Land]]/favorable_terrain_bonus/100,favorable_terrain_max)</f>
        <v>0</v>
      </c>
      <c r="DE97" s="253"/>
      <c r="DF9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7" s="142"/>
      <c r="DH97" s="254">
        <f ca="1">(TblMili[[#This Row],[Wizards]]+2*TblMili[[#This Row],[Archmages]])/TblConstr[[#This Row],[Land]]</f>
        <v>0</v>
      </c>
      <c r="DI97" s="254">
        <f ca="1">TblMili[[#This Row],[Raw (2)]]*(1+race_wizard_strength+IF(TblMili[[#This Row],[Hour]]&gt;72,tech_magical_weaponry_wiz*TblTech[[#This Row],[3-5]],0))</f>
        <v>0</v>
      </c>
    </row>
    <row r="98" spans="1:113" x14ac:dyDescent="0.2">
      <c r="A98" s="137">
        <f>TblRezone[[#This Row],[Hour]]</f>
        <v>95</v>
      </c>
      <c r="B98" s="246">
        <f ca="1">SUM(TblMili[[#This Row],[Unit 1]:[Archmages]])+SUM(OFFSET(TblMili[[#This Row],[Train Unit 1]],-8,0):TblMili[[#This Row],[Train Unit 2]]) + SUM(OFFSET(TblMili[[#This Row],[Train Unit 3]],-11,0):TblMili[[#This Row],[Train AM]]) + TblMili[[#This Row],[Draftees]]</f>
        <v>584</v>
      </c>
      <c r="C98" s="157">
        <f ca="1">TblPop[[#This Row],[Military%]]</f>
        <v>0.75942782834850453</v>
      </c>
      <c r="D98" s="142"/>
      <c r="E98" s="45">
        <f ca="1">OFFSET(TblMili[[#This Row],[Unit 1]],-1,0) + OFFSET(TblMili[[#This Row],[Train Unit 1]],-9,0) - TblMili[[#This Row],[Release Unit 1]] + OFFSET(TblMili[[#This Row],[DnD_Zombies]],-12,0)</f>
        <v>0</v>
      </c>
      <c r="F98" s="45">
        <f ca="1">OFFSET(TblMili[[#This Row],[Unit 2]],-1,0) + OFFSET(TblMili[[#This Row],[Train Unit 2]],-9,0)-TblMili[[#This Row],[Release Unit 2]]</f>
        <v>0</v>
      </c>
      <c r="G98" s="45">
        <f ca="1">OFFSET(TblMili[[#This Row],[Unit 3]],-1,0) + OFFSET(TblMili[[#This Row],[Train Unit 3]],-12,0)-TblMili[[#This Row],[Release Unit 3]]</f>
        <v>0</v>
      </c>
      <c r="H98" s="45">
        <f ca="1">OFFSET(TblMili[[#This Row],[Unit 4]],-1,0) + OFFSET(TblMili[[#This Row],[Train Unit 4]],-12,0)-TblMili[[#This Row],[Release Unit 4]]</f>
        <v>0</v>
      </c>
      <c r="I98" s="45">
        <f ca="1">OFFSET(TblMili[[#This Row],[Spies]],-1,0) + OFFSET(TblMili[[#This Row],[Train Spies]],-12,0) - TblMili[[#This Row],[Release Spies]]-TblMili[[#This Row],[Train AS]]</f>
        <v>0</v>
      </c>
      <c r="J98" s="45">
        <f ca="1">OFFSET(TblMili[[#This Row],[Archspies]],-1,0) + OFFSET(TblMili[[#This Row],[Train AS]],-12,0) - TblMili[[#This Row],[Release AS]]</f>
        <v>0</v>
      </c>
      <c r="K98" s="45">
        <f ca="1">OFFSET(TblMili[[#This Row],[Wizards]],-1,0) + OFFSET(TblMili[[#This Row],[Train Wiz]],-12,0) - TblMili[[#This Row],[Release Wizards]]-TblMili[[#This Row],[Train AM]] + IF(TblMagic[[#This Row],[Active Arc Infusion]]&gt;0,TblMili[[#This Row],[Train AM]])</f>
        <v>0</v>
      </c>
      <c r="L98" s="45">
        <f ca="1">OFFSET(TblMili[[#This Row],[Archmages]],-1,0) + OFFSET(TblMili[[#This Row],[Train AM]],-12,0) - TblMili[[#This Row],[Release AM]]</f>
        <v>0</v>
      </c>
      <c r="M98" s="142"/>
      <c r="N98" s="94">
        <f ca="1">TblProd[[#This Row],[Networth]]</f>
        <v>1250</v>
      </c>
      <c r="O98" s="142"/>
      <c r="P98"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9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8" s="247">
        <f ca="1">TblMili[[#This Row],[Raw]]*(1+TblMili[[#This Row],[Mods_Off]])</f>
        <v>0</v>
      </c>
      <c r="S98"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98" s="247">
        <f ca="1">TblMili[[#This Row],[Non Draft]]+TblMili[[#This Row],[Draftees]]</f>
        <v>584</v>
      </c>
      <c r="U98" s="248">
        <f ca="1">race_defense + TblImps[[#This Row],[Walls]] + ROUND( MIN(gt_bonus*TblConstr[[#This Row],[Tot GT]]/TblConstr[[#This Row],[Land]],gt_bonus_cap), 4) + IF(TblMagic[[#This Row],[Active Howling]]&gt;0,howling_dp_bonus,IF(TblMagic[[#This Row],[Active Ares Call]]&gt;0,ares_call_bonus))</f>
        <v>0</v>
      </c>
      <c r="V98" s="249">
        <f ca="1">TblMili[[#This Row],[Non Draft]] * (1 + TblMili[[#This Row],[Mods_Def]])</f>
        <v>0</v>
      </c>
      <c r="W98" s="247">
        <f ca="1">TblMili[[#This Row],[Draft]] * (1 + TblMili[[#This Row],[Mods_Def]])</f>
        <v>584</v>
      </c>
      <c r="X98" s="247">
        <f ca="1">TblConstr[[#This Row],[Land]]</f>
        <v>50</v>
      </c>
      <c r="Y98" s="250"/>
      <c r="Z98" s="255">
        <f ca="1">IF(TblMili[[#This Row],[Set]]&lt;&gt;"",TblMili[[#This Row],[Set]],OFFSET(TblMili[[#This Row],[Draftrate]],-1,0))</f>
        <v>0.9</v>
      </c>
      <c r="AA98"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584</v>
      </c>
      <c r="AB98" s="154"/>
      <c r="AC98" s="180">
        <f ca="1">(TblConstr[[#This Row],[Tot Smi]]+TblConstr[[#This Row],[Dest Smi]])/(TblConstr[[#This Row],[Land]]-TblExplore[[#This Row],[Land Bonus]]*20)</f>
        <v>0</v>
      </c>
      <c r="AD98" s="137"/>
      <c r="AE98" s="246">
        <f>TblMili[[#This Row],[Hour]]</f>
        <v>95</v>
      </c>
      <c r="AF98" s="138">
        <f ca="1">TblExplore[[#This Row],[Time]]</f>
        <v>46323.916666666439</v>
      </c>
      <c r="AG98" s="179"/>
      <c r="AH98" s="179"/>
      <c r="AI98" s="179"/>
      <c r="AJ98" s="179"/>
      <c r="AK98" s="179"/>
      <c r="AL98" s="179"/>
      <c r="AM98" s="179"/>
      <c r="AN98" s="179"/>
      <c r="AO98" s="420">
        <f ca="1">ROUND(IF(AND(TblMagic[[#This Row],[Active DnD]]&lt;12,TblMagic[[#This Row],[Active DnD]]&gt;5),OFFSET(TblPop[[#This Row],[Draft Growth]],-1,0)*0.375,0),0)</f>
        <v>0</v>
      </c>
      <c r="AP98" s="142"/>
      <c r="AQ98" s="94">
        <f ca="1">TblProd[[#This Row],[Platinum]]</f>
        <v>197664</v>
      </c>
      <c r="AR98" s="94">
        <f ca="1">INDEX(TblProd[[#Headers],[Lumber]]:TblProd[[#This Row],[Ore]],COUNTA(TblProd[[#Headers],[Lumber]]:TblProd[[#This Row],[Lumber]]),MATCH(Military!$AR$2,TblProd[[#Headers],[Lumber]:[Ore]],0))</f>
        <v>0</v>
      </c>
      <c r="AS9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98" s="94">
        <f ca="1">TblMili[[#This Row],[Train Unit 1]]*TblMili[[#This Row],[OP Ore]]+TblMili[[#This Row],[Train Unit 2]]*TblMili[[#This Row],[DP Ore]]+TblMili[[#This Row],[Train Unit 3]]*TblMili[[#This Row],[E1 Ore]]+TblMili[[#This Row],[Train Unit 4]]*TblMili[[#This Row],[E2 Ore]]</f>
        <v>0</v>
      </c>
      <c r="AU98" s="142">
        <f>TblMili[[#This Row],[Hour]]</f>
        <v>95</v>
      </c>
      <c r="AV98" s="152">
        <f ca="1">TblMili[[#This Row],[Time]]</f>
        <v>46323.916666666439</v>
      </c>
      <c r="AW98" s="94">
        <f ca="1">TblMili[[#This Row],[Draftees]]</f>
        <v>584</v>
      </c>
      <c r="AX98" s="179"/>
      <c r="AY98" s="179"/>
      <c r="AZ98" s="179"/>
      <c r="BA98" s="179"/>
      <c r="BB98" s="179"/>
      <c r="BC98" s="179"/>
      <c r="BD98" s="179"/>
      <c r="BE98" s="179"/>
      <c r="BF98" s="179"/>
      <c r="BG98" s="142"/>
      <c r="BH98" s="157">
        <f ca="1">TblConstr[[#This Row],[Tot WG]]/TblConstr[[#This Row],[Land]]</f>
        <v>0</v>
      </c>
      <c r="BI98" s="157">
        <f ca="1">TblConstr[[#This Row],[Tot Hav]]/TblConstr[[#This Row],[Land]]</f>
        <v>0</v>
      </c>
      <c r="BJ98" s="94">
        <f ca="1">ROUNDUP((1-MIN(TblMili[[#This Row],[Smithies]]*smithy_bonus,smithy_bonus_cap) + tech_3_5*TblTech[[#This Row],[3-5]] + tech_5_3*TblTech[[#This Row],[5-3]] + tech_5_5*TblTech[[#This Row],[5-5]])*spec_op_plat,0)</f>
        <v>315</v>
      </c>
      <c r="BK98" s="94">
        <f ca="1">ROUNDUP(IF(race="Gnome",1,(1-MIN(TblMili[[#This Row],[Smithies]]*smithy_bonus,smithy_bonus_cap) + tech_3_5*TblTech[[#This Row],[3-5]] + tech_5_3*TblTech[[#This Row],[5-3]] + tech_5_5*TblTech[[#This Row],[5-5]]))*spec_op_ore,0)</f>
        <v>25</v>
      </c>
      <c r="BL98" s="94">
        <f ca="1">ROUNDUP((1-MIN(TblMili[[#This Row],[Smithies]]*smithy_bonus,smithy_bonus_cap) + tech_3_5*TblTech[[#This Row],[3-5]] + tech_5_3*TblTech[[#This Row],[5-3]] + tech_5_5*TblTech[[#This Row],[5-5]])*spec_dp_plat,0)</f>
        <v>275</v>
      </c>
      <c r="BM98" s="94">
        <f ca="1">ROUNDUP(IF(race="Gnome",1,(1-MIN(TblMili[[#This Row],[Smithies]]*smithy_bonus,smithy_bonus_cap) + tech_3_5*TblTech[[#This Row],[3-5]] + tech_5_3*TblTech[[#This Row],[5-3]] + tech_5_5*TblTech[[#This Row],[5-5]]))*spec_dp_ore,0)</f>
        <v>15</v>
      </c>
      <c r="BN98" s="94">
        <f ca="1">ROUNDUP((1-MIN(TblMili[[#This Row],[Smithies]]*smithy_bonus,smithy_bonus_cap) + tech_3_5*TblTech[[#This Row],[3-5]] + tech_5_3*TblTech[[#This Row],[5-3]] + tech_5_5*TblTech[[#This Row],[5-5]])*elite1_plat,0)</f>
        <v>1040</v>
      </c>
      <c r="BO98" s="94">
        <f ca="1">ROUNDUP(IF(race="Gnome",1,(1-MIN(TblMili[[#This Row],[Smithies]]*smithy_bonus,smithy_bonus_cap) + tech_3_5*TblTech[[#This Row],[3-5]] + tech_5_3*TblTech[[#This Row],[5-3]] + tech_5_5*TblTech[[#This Row],[5-5]]))*elite1_ore,0)</f>
        <v>75</v>
      </c>
      <c r="BP98" s="94">
        <f ca="1">ROUNDUP((1-MIN(TblMili[[#This Row],[Smithies]]*smithy_bonus,smithy_bonus_cap) + tech_3_5*TblTech[[#This Row],[3-5]] + tech_5_3*TblTech[[#This Row],[5-3]] + tech_5_5*TblTech[[#This Row],[5-5]])*elite2_plat,0)</f>
        <v>1280</v>
      </c>
      <c r="BQ98" s="94">
        <f ca="1">ROUNDUP(IF(race="Gnome",1,(1-MIN(TblMili[[#This Row],[Smithies]]*smithy_bonus,smithy_bonus_cap) + tech_3_5*TblTech[[#This Row],[3-5]] + tech_5_3*TblTech[[#This Row],[5-3]] + tech_5_5*TblTech[[#This Row],[5-5]]))*elite2_ore,0)</f>
        <v>100</v>
      </c>
      <c r="BR98" s="94">
        <f ca="1">ROUNDUP((1-MIN(ROUND(fh_spy_cost_red*TblMili[[#This Row],[FH''s]],4),fh_spy_cost_cap)+ tech_1_9*TblTech[[#This Row],[1-9]] + tech_9_1*TblTech[[#This Row],[9-1]])*spy_plat,0)</f>
        <v>500</v>
      </c>
      <c r="BS98" s="94">
        <f ca="1">ROUNDUP((1-MIN(ROUND(fh_spy_cost_red*TblMili[[#This Row],[FH''s]],4),fh_spy_cost_cap)+ tech_1_9*TblTech[[#This Row],[1-9]] + tech_9_1*TblTech[[#This Row],[9-1]])*archspy_plat,0)</f>
        <v>1000</v>
      </c>
      <c r="BT98" s="94">
        <f ca="1">ROUNDUP((1-MIN(ROUND(wg_wiz_cost_bonus*TblMili[[#This Row],[WG''s]],4),wg_wiz_cost_cap) + tech_1_9_2*TblTech[[#This Row],[1-9]] + tech_9_1_2*TblTech[[#This Row],[9-1]])*wizard_plat,0)</f>
        <v>500</v>
      </c>
      <c r="BU98" s="94">
        <f ca="1">ROUNDUP((1-MIN(ROUND(wg_wiz_cost_bonus*TblMili[[#This Row],[WG''s]],4),wg_wiz_cost_cap) + tech_1_9_2*TblTech[[#This Row],[1-9]] + tech_9_1_2*TblTech[[#This Row],[9-1]])*(archmage_plat + IF(TblMagic[[#This Row],[Active Arc Infusion]]&gt;0,400,0)),0)</f>
        <v>1000</v>
      </c>
      <c r="BV98" s="142"/>
      <c r="BW98" s="157">
        <f ca="1">TblConstr[[#This Row],[Homeland]]/TblConstr[[#This Row],[Land]]</f>
        <v>0.6</v>
      </c>
      <c r="BX98" s="157">
        <f ca="1">TblMili[[#This Row],[WG''s]]</f>
        <v>0</v>
      </c>
      <c r="BY98" s="251">
        <f ca="1">IF(mystic_cap="none",TblMili[[#This Row],[Homeland%]]/mystic_bonus,MIN(mystic_cap,TblMili[[#This Row],[Homeland%]]/mystic_bonus))</f>
        <v>2</v>
      </c>
      <c r="BZ98" s="251">
        <f ca="1">IF(druid_op_cap="none",TblMili[[#This Row],[Homeland%]]/druid_op_bonus,MIN(druid_op_cap,TblMili[[#This Row],[Homeland%]]/druid_op_bonus))</f>
        <v>2</v>
      </c>
      <c r="CA98" s="251">
        <f ca="1">IF(druid_dp_cap="none",TblMili[[#This Row],[Homeland%]]/druid_dp_bonus,MIN(druid_dp_cap,TblMili[[#This Row],[Homeland%]]/druid_dp_bonus))</f>
        <v>2</v>
      </c>
      <c r="CB98" s="251">
        <f ca="1">MIN(dryad_cap,TblMili[[#This Row],[Homeland%]]/dryad_bonus)</f>
        <v>2.9999999999999996</v>
      </c>
      <c r="CC98" s="251">
        <f ca="1">MIN(rocka_cap,TblMili[[#This Row],[Homeland%]]/rocka_bonus)</f>
        <v>2</v>
      </c>
      <c r="CD98" s="251">
        <f ca="1">MIN(adept_op_cap,TblMili[[#This Row],[WG]]/adept_op_bonus)</f>
        <v>0</v>
      </c>
      <c r="CE98" s="251">
        <f ca="1">MIN(adept_dp_cap,TblMili[[#This Row],[WG]]/adept_dp_bonus)</f>
        <v>0</v>
      </c>
      <c r="CF98" s="94">
        <f ca="1">MIN(TblMili[[#This Row],[Unit 3]],TblMili[[#This Row],[Unit 2]])*2</f>
        <v>0</v>
      </c>
      <c r="CG98" s="94">
        <f ca="1">MIN(TblMili[[#This Row],[Unit 1]],TblMili[[#This Row],[Unit 4]])*2</f>
        <v>0</v>
      </c>
      <c r="CH98" s="251">
        <f ca="1">MIN(frost_mage_cap,TblMili[[#This Row],[Homeland%]]/frost_mage_bonus)</f>
        <v>2.9999999999999996</v>
      </c>
      <c r="CI98" s="45">
        <f ca="1">MIN(ice_elem_cap,TblMili[[#This Row],[Raw (2)]]*ice_elem_bonus)</f>
        <v>0</v>
      </c>
      <c r="CJ98" s="251">
        <f t="shared" si="3"/>
        <v>0.83333333333333337</v>
      </c>
      <c r="CK98" s="251">
        <f ca="1">MIN(nox_nightshade_cap,TblConstr[[#This Row],[Homeland]]/TblConstr[[#This Row],[Land]]/nox_nightshade_swamp_bonus)</f>
        <v>4</v>
      </c>
      <c r="CL98" s="251">
        <f ca="1">MIN(TblConstr[[#This Row],[Total Swamp]]/TblConstr[[#This Row],[Land]]/abyss_enforce_bonus,abyss_enforcer_cap)</f>
        <v>0</v>
      </c>
      <c r="CM98" s="251">
        <f ca="1">IF(TblMagic[[#This Row],[Active Infernal Command]]&gt;0,TblMili[[#This Row],[Unit 1]]*infernal_cmd_op,0)</f>
        <v>0</v>
      </c>
      <c r="CN98" s="252"/>
      <c r="CO98" s="252"/>
      <c r="CP98" s="252"/>
      <c r="CQ98" s="251">
        <f ca="1">TblMili[[#This Row],[Mystic]]*2</f>
        <v>4</v>
      </c>
      <c r="CR98" s="251">
        <f ca="1">TblMili[[#This Row],[Druid (op)]]*2</f>
        <v>4</v>
      </c>
      <c r="CS98" s="94">
        <f ca="1">TblMili[[#This Row],[Mystic bonus]]*TblMili[[#This Row],[Unit 3]]+TblMili[[#This Row],[Druid bonus]]*TblMili[[#This Row],[Unit 4]]</f>
        <v>0</v>
      </c>
      <c r="CT98" s="155">
        <f ca="1">TblMili[[#This Row],[Dryad]]*2</f>
        <v>5.9999999999999991</v>
      </c>
      <c r="CU98" s="94">
        <f ca="1">sylvan*(TblMili[[#This Row],[Mystic bonus]]*TblMili[[#This Row],[Unit 3]])</f>
        <v>0</v>
      </c>
      <c r="CV98" s="155">
        <f ca="1">TblMili[[#This Row],[Rockapult]]*2</f>
        <v>4</v>
      </c>
      <c r="CW98" s="94">
        <f ca="1">gnome*(TblMili[[#This Row],[Rockapult bonus]]*TblMili[[#This Row],[Unit 3]])</f>
        <v>0</v>
      </c>
      <c r="CX98" s="155">
        <f ca="1">TblMili[[#This Row],[Adept-DP]]*2</f>
        <v>0</v>
      </c>
      <c r="CY98" s="94">
        <f ca="1">dark_elf*(TblMili[[#This Row],[Adept bonus]]*TblMili[[#This Row],[Unit 3]])</f>
        <v>0</v>
      </c>
      <c r="CZ98" s="155">
        <f ca="1">TblMili[[#This Row],[Frost Mage]]*2</f>
        <v>5.9999999999999991</v>
      </c>
      <c r="DA98" s="155">
        <f ca="1">TblMili[[#This Row],[Ice Elemental]]*2</f>
        <v>0</v>
      </c>
      <c r="DB98" s="94">
        <f ca="1">TblMili[[#This Row],[Frost Mage bonus]]*TblMili[[#This Row],[Unit 3]]+TblMili[[#This Row],[Ice Elemental bonus]]*TblMili[[#This Row],[Unit 4]]</f>
        <v>0</v>
      </c>
      <c r="DC98" s="253"/>
      <c r="DD98" s="143">
        <f ca="1">MIN(SUM(TblConstr[[#This Row],[Plain]:[Water]])/TblMili[[#This Row],[Land]]/favorable_terrain_bonus/100,favorable_terrain_max)</f>
        <v>0</v>
      </c>
      <c r="DE98" s="253"/>
      <c r="DF9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8" s="142"/>
      <c r="DH98" s="254">
        <f ca="1">(TblMili[[#This Row],[Wizards]]+2*TblMili[[#This Row],[Archmages]])/TblConstr[[#This Row],[Land]]</f>
        <v>0</v>
      </c>
      <c r="DI98" s="254">
        <f ca="1">TblMili[[#This Row],[Raw (2)]]*(1+race_wizard_strength+IF(TblMili[[#This Row],[Hour]]&gt;72,tech_magical_weaponry_wiz*TblTech[[#This Row],[3-5]],0))</f>
        <v>0</v>
      </c>
    </row>
    <row r="99" spans="1:113" x14ac:dyDescent="0.2">
      <c r="A99" s="137">
        <f>TblRezone[[#This Row],[Hour]]</f>
        <v>96</v>
      </c>
      <c r="B99" s="246">
        <f ca="1">SUM(TblMili[[#This Row],[Unit 1]:[Archmages]])+SUM(OFFSET(TblMili[[#This Row],[Train Unit 1]],-8,0):TblMili[[#This Row],[Train Unit 2]]) + SUM(OFFSET(TblMili[[#This Row],[Train Unit 3]],-11,0):TblMili[[#This Row],[Train AM]]) + TblMili[[#This Row],[Draftees]]</f>
        <v>586</v>
      </c>
      <c r="C99" s="157">
        <f ca="1">TblPop[[#This Row],[Military%]]</f>
        <v>0.76202860858257482</v>
      </c>
      <c r="D99" s="142"/>
      <c r="E99" s="45">
        <f ca="1">OFFSET(TblMili[[#This Row],[Unit 1]],-1,0) + OFFSET(TblMili[[#This Row],[Train Unit 1]],-9,0) - TblMili[[#This Row],[Release Unit 1]] + OFFSET(TblMili[[#This Row],[DnD_Zombies]],-12,0)</f>
        <v>0</v>
      </c>
      <c r="F99" s="45">
        <f ca="1">OFFSET(TblMili[[#This Row],[Unit 2]],-1,0) + OFFSET(TblMili[[#This Row],[Train Unit 2]],-9,0)-TblMili[[#This Row],[Release Unit 2]]</f>
        <v>0</v>
      </c>
      <c r="G99" s="45">
        <f ca="1">OFFSET(TblMili[[#This Row],[Unit 3]],-1,0) + OFFSET(TblMili[[#This Row],[Train Unit 3]],-12,0)-TblMili[[#This Row],[Release Unit 3]]</f>
        <v>0</v>
      </c>
      <c r="H99" s="45">
        <f ca="1">OFFSET(TblMili[[#This Row],[Unit 4]],-1,0) + OFFSET(TblMili[[#This Row],[Train Unit 4]],-12,0)-TblMili[[#This Row],[Release Unit 4]]</f>
        <v>0</v>
      </c>
      <c r="I99" s="45">
        <f ca="1">OFFSET(TblMili[[#This Row],[Spies]],-1,0) + OFFSET(TblMili[[#This Row],[Train Spies]],-12,0) - TblMili[[#This Row],[Release Spies]]-TblMili[[#This Row],[Train AS]]</f>
        <v>0</v>
      </c>
      <c r="J99" s="45">
        <f ca="1">OFFSET(TblMili[[#This Row],[Archspies]],-1,0) + OFFSET(TblMili[[#This Row],[Train AS]],-12,0) - TblMili[[#This Row],[Release AS]]</f>
        <v>0</v>
      </c>
      <c r="K99" s="45">
        <f ca="1">OFFSET(TblMili[[#This Row],[Wizards]],-1,0) + OFFSET(TblMili[[#This Row],[Train Wiz]],-12,0) - TblMili[[#This Row],[Release Wizards]]-TblMili[[#This Row],[Train AM]] + IF(TblMagic[[#This Row],[Active Arc Infusion]]&gt;0,TblMili[[#This Row],[Train AM]])</f>
        <v>0</v>
      </c>
      <c r="L99" s="45">
        <f ca="1">OFFSET(TblMili[[#This Row],[Archmages]],-1,0) + OFFSET(TblMili[[#This Row],[Train AM]],-12,0) - TblMili[[#This Row],[Release AM]]</f>
        <v>0</v>
      </c>
      <c r="M99" s="142"/>
      <c r="N99" s="94">
        <f ca="1">TblProd[[#This Row],[Networth]]</f>
        <v>1250</v>
      </c>
      <c r="O99" s="142"/>
      <c r="P99"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9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9" s="247">
        <f ca="1">TblMili[[#This Row],[Raw]]*(1+TblMili[[#This Row],[Mods_Off]])</f>
        <v>0</v>
      </c>
      <c r="S99"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99" s="247">
        <f ca="1">TblMili[[#This Row],[Non Draft]]+TblMili[[#This Row],[Draftees]]</f>
        <v>586</v>
      </c>
      <c r="U99" s="248">
        <f ca="1">race_defense + TblImps[[#This Row],[Walls]] + ROUND( MIN(gt_bonus*TblConstr[[#This Row],[Tot GT]]/TblConstr[[#This Row],[Land]],gt_bonus_cap), 4) + IF(TblMagic[[#This Row],[Active Howling]]&gt;0,howling_dp_bonus,IF(TblMagic[[#This Row],[Active Ares Call]]&gt;0,ares_call_bonus))</f>
        <v>0</v>
      </c>
      <c r="V99" s="249">
        <f ca="1">TblMili[[#This Row],[Non Draft]] * (1 + TblMili[[#This Row],[Mods_Def]])</f>
        <v>0</v>
      </c>
      <c r="W99" s="247">
        <f ca="1">TblMili[[#This Row],[Draft]] * (1 + TblMili[[#This Row],[Mods_Def]])</f>
        <v>586</v>
      </c>
      <c r="X99" s="247">
        <f ca="1">TblConstr[[#This Row],[Land]]</f>
        <v>50</v>
      </c>
      <c r="Y99" s="250"/>
      <c r="Z99" s="255">
        <f ca="1">IF(TblMili[[#This Row],[Set]]&lt;&gt;"",TblMili[[#This Row],[Set]],OFFSET(TblMili[[#This Row],[Draftrate]],-1,0))</f>
        <v>0.9</v>
      </c>
      <c r="AA99"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586</v>
      </c>
      <c r="AB99" s="154"/>
      <c r="AC99" s="180">
        <f ca="1">(TblConstr[[#This Row],[Tot Smi]]+TblConstr[[#This Row],[Dest Smi]])/(TblConstr[[#This Row],[Land]]-TblExplore[[#This Row],[Land Bonus]]*20)</f>
        <v>0</v>
      </c>
      <c r="AD99" s="137"/>
      <c r="AE99" s="246">
        <f>TblMili[[#This Row],[Hour]]</f>
        <v>96</v>
      </c>
      <c r="AF99" s="138">
        <f ca="1">TblExplore[[#This Row],[Time]]</f>
        <v>46323.958333333103</v>
      </c>
      <c r="AG99" s="179"/>
      <c r="AH99" s="179"/>
      <c r="AI99" s="179"/>
      <c r="AJ99" s="179"/>
      <c r="AK99" s="179"/>
      <c r="AL99" s="179"/>
      <c r="AM99" s="179"/>
      <c r="AN99" s="179"/>
      <c r="AO99" s="420">
        <f ca="1">ROUND(IF(AND(TblMagic[[#This Row],[Active DnD]]&lt;12,TblMagic[[#This Row],[Active DnD]]&gt;5),OFFSET(TblPop[[#This Row],[Draft Growth]],-1,0)*0.375,0),0)</f>
        <v>0</v>
      </c>
      <c r="AP99" s="142"/>
      <c r="AQ99" s="94">
        <f ca="1">TblProd[[#This Row],[Platinum]]</f>
        <v>198163</v>
      </c>
      <c r="AR99" s="94">
        <f ca="1">INDEX(TblProd[[#Headers],[Lumber]]:TblProd[[#This Row],[Ore]],COUNTA(TblProd[[#Headers],[Lumber]]:TblProd[[#This Row],[Lumber]]),MATCH(Military!$AR$2,TblProd[[#Headers],[Lumber]:[Ore]],0))</f>
        <v>0</v>
      </c>
      <c r="AS9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99" s="94">
        <f ca="1">TblMili[[#This Row],[Train Unit 1]]*TblMili[[#This Row],[OP Ore]]+TblMili[[#This Row],[Train Unit 2]]*TblMili[[#This Row],[DP Ore]]+TblMili[[#This Row],[Train Unit 3]]*TblMili[[#This Row],[E1 Ore]]+TblMili[[#This Row],[Train Unit 4]]*TblMili[[#This Row],[E2 Ore]]</f>
        <v>0</v>
      </c>
      <c r="AU99" s="142">
        <f>TblMili[[#This Row],[Hour]]</f>
        <v>96</v>
      </c>
      <c r="AV99" s="152">
        <f ca="1">TblMili[[#This Row],[Time]]</f>
        <v>46323.958333333103</v>
      </c>
      <c r="AW99" s="94">
        <f ca="1">TblMili[[#This Row],[Draftees]]</f>
        <v>586</v>
      </c>
      <c r="AX99" s="179"/>
      <c r="AY99" s="179"/>
      <c r="AZ99" s="179"/>
      <c r="BA99" s="179"/>
      <c r="BB99" s="179"/>
      <c r="BC99" s="179"/>
      <c r="BD99" s="179"/>
      <c r="BE99" s="179"/>
      <c r="BF99" s="179"/>
      <c r="BG99" s="142"/>
      <c r="BH99" s="157">
        <f ca="1">TblConstr[[#This Row],[Tot WG]]/TblConstr[[#This Row],[Land]]</f>
        <v>0</v>
      </c>
      <c r="BI99" s="157">
        <f ca="1">TblConstr[[#This Row],[Tot Hav]]/TblConstr[[#This Row],[Land]]</f>
        <v>0</v>
      </c>
      <c r="BJ99" s="94">
        <f ca="1">ROUNDUP((1-MIN(TblMili[[#This Row],[Smithies]]*smithy_bonus,smithy_bonus_cap) + tech_3_5*TblTech[[#This Row],[3-5]] + tech_5_3*TblTech[[#This Row],[5-3]] + tech_5_5*TblTech[[#This Row],[5-5]])*spec_op_plat,0)</f>
        <v>315</v>
      </c>
      <c r="BK99" s="94">
        <f ca="1">ROUNDUP(IF(race="Gnome",1,(1-MIN(TblMili[[#This Row],[Smithies]]*smithy_bonus,smithy_bonus_cap) + tech_3_5*TblTech[[#This Row],[3-5]] + tech_5_3*TblTech[[#This Row],[5-3]] + tech_5_5*TblTech[[#This Row],[5-5]]))*spec_op_ore,0)</f>
        <v>25</v>
      </c>
      <c r="BL99" s="94">
        <f ca="1">ROUNDUP((1-MIN(TblMili[[#This Row],[Smithies]]*smithy_bonus,smithy_bonus_cap) + tech_3_5*TblTech[[#This Row],[3-5]] + tech_5_3*TblTech[[#This Row],[5-3]] + tech_5_5*TblTech[[#This Row],[5-5]])*spec_dp_plat,0)</f>
        <v>275</v>
      </c>
      <c r="BM99" s="94">
        <f ca="1">ROUNDUP(IF(race="Gnome",1,(1-MIN(TblMili[[#This Row],[Smithies]]*smithy_bonus,smithy_bonus_cap) + tech_3_5*TblTech[[#This Row],[3-5]] + tech_5_3*TblTech[[#This Row],[5-3]] + tech_5_5*TblTech[[#This Row],[5-5]]))*spec_dp_ore,0)</f>
        <v>15</v>
      </c>
      <c r="BN99" s="94">
        <f ca="1">ROUNDUP((1-MIN(TblMili[[#This Row],[Smithies]]*smithy_bonus,smithy_bonus_cap) + tech_3_5*TblTech[[#This Row],[3-5]] + tech_5_3*TblTech[[#This Row],[5-3]] + tech_5_5*TblTech[[#This Row],[5-5]])*elite1_plat,0)</f>
        <v>1040</v>
      </c>
      <c r="BO99" s="94">
        <f ca="1">ROUNDUP(IF(race="Gnome",1,(1-MIN(TblMili[[#This Row],[Smithies]]*smithy_bonus,smithy_bonus_cap) + tech_3_5*TblTech[[#This Row],[3-5]] + tech_5_3*TblTech[[#This Row],[5-3]] + tech_5_5*TblTech[[#This Row],[5-5]]))*elite1_ore,0)</f>
        <v>75</v>
      </c>
      <c r="BP99" s="94">
        <f ca="1">ROUNDUP((1-MIN(TblMili[[#This Row],[Smithies]]*smithy_bonus,smithy_bonus_cap) + tech_3_5*TblTech[[#This Row],[3-5]] + tech_5_3*TblTech[[#This Row],[5-3]] + tech_5_5*TblTech[[#This Row],[5-5]])*elite2_plat,0)</f>
        <v>1280</v>
      </c>
      <c r="BQ99" s="94">
        <f ca="1">ROUNDUP(IF(race="Gnome",1,(1-MIN(TblMili[[#This Row],[Smithies]]*smithy_bonus,smithy_bonus_cap) + tech_3_5*TblTech[[#This Row],[3-5]] + tech_5_3*TblTech[[#This Row],[5-3]] + tech_5_5*TblTech[[#This Row],[5-5]]))*elite2_ore,0)</f>
        <v>100</v>
      </c>
      <c r="BR99" s="94">
        <f ca="1">ROUNDUP((1-MIN(ROUND(fh_spy_cost_red*TblMili[[#This Row],[FH''s]],4),fh_spy_cost_cap)+ tech_1_9*TblTech[[#This Row],[1-9]] + tech_9_1*TblTech[[#This Row],[9-1]])*spy_plat,0)</f>
        <v>500</v>
      </c>
      <c r="BS99" s="94">
        <f ca="1">ROUNDUP((1-MIN(ROUND(fh_spy_cost_red*TblMili[[#This Row],[FH''s]],4),fh_spy_cost_cap)+ tech_1_9*TblTech[[#This Row],[1-9]] + tech_9_1*TblTech[[#This Row],[9-1]])*archspy_plat,0)</f>
        <v>1000</v>
      </c>
      <c r="BT99" s="94">
        <f ca="1">ROUNDUP((1-MIN(ROUND(wg_wiz_cost_bonus*TblMili[[#This Row],[WG''s]],4),wg_wiz_cost_cap) + tech_1_9_2*TblTech[[#This Row],[1-9]] + tech_9_1_2*TblTech[[#This Row],[9-1]])*wizard_plat,0)</f>
        <v>500</v>
      </c>
      <c r="BU99" s="94">
        <f ca="1">ROUNDUP((1-MIN(ROUND(wg_wiz_cost_bonus*TblMili[[#This Row],[WG''s]],4),wg_wiz_cost_cap) + tech_1_9_2*TblTech[[#This Row],[1-9]] + tech_9_1_2*TblTech[[#This Row],[9-1]])*(archmage_plat + IF(TblMagic[[#This Row],[Active Arc Infusion]]&gt;0,400,0)),0)</f>
        <v>1000</v>
      </c>
      <c r="BV99" s="142"/>
      <c r="BW99" s="157">
        <f ca="1">TblConstr[[#This Row],[Homeland]]/TblConstr[[#This Row],[Land]]</f>
        <v>0.6</v>
      </c>
      <c r="BX99" s="157">
        <f ca="1">TblMili[[#This Row],[WG''s]]</f>
        <v>0</v>
      </c>
      <c r="BY99" s="251">
        <f ca="1">IF(mystic_cap="none",TblMili[[#This Row],[Homeland%]]/mystic_bonus,MIN(mystic_cap,TblMili[[#This Row],[Homeland%]]/mystic_bonus))</f>
        <v>2</v>
      </c>
      <c r="BZ99" s="251">
        <f ca="1">IF(druid_op_cap="none",TblMili[[#This Row],[Homeland%]]/druid_op_bonus,MIN(druid_op_cap,TblMili[[#This Row],[Homeland%]]/druid_op_bonus))</f>
        <v>2</v>
      </c>
      <c r="CA99" s="251">
        <f ca="1">IF(druid_dp_cap="none",TblMili[[#This Row],[Homeland%]]/druid_dp_bonus,MIN(druid_dp_cap,TblMili[[#This Row],[Homeland%]]/druid_dp_bonus))</f>
        <v>2</v>
      </c>
      <c r="CB99" s="251">
        <f ca="1">MIN(dryad_cap,TblMili[[#This Row],[Homeland%]]/dryad_bonus)</f>
        <v>2.9999999999999996</v>
      </c>
      <c r="CC99" s="251">
        <f ca="1">MIN(rocka_cap,TblMili[[#This Row],[Homeland%]]/rocka_bonus)</f>
        <v>2</v>
      </c>
      <c r="CD99" s="251">
        <f ca="1">MIN(adept_op_cap,TblMili[[#This Row],[WG]]/adept_op_bonus)</f>
        <v>0</v>
      </c>
      <c r="CE99" s="251">
        <f ca="1">MIN(adept_dp_cap,TblMili[[#This Row],[WG]]/adept_dp_bonus)</f>
        <v>0</v>
      </c>
      <c r="CF99" s="94">
        <f ca="1">MIN(TblMili[[#This Row],[Unit 3]],TblMili[[#This Row],[Unit 2]])*2</f>
        <v>0</v>
      </c>
      <c r="CG99" s="94">
        <f ca="1">MIN(TblMili[[#This Row],[Unit 1]],TblMili[[#This Row],[Unit 4]])*2</f>
        <v>0</v>
      </c>
      <c r="CH99" s="251">
        <f ca="1">MIN(frost_mage_cap,TblMili[[#This Row],[Homeland%]]/frost_mage_bonus)</f>
        <v>2.9999999999999996</v>
      </c>
      <c r="CI99" s="45">
        <f ca="1">MIN(ice_elem_cap,TblMili[[#This Row],[Raw (2)]]*ice_elem_bonus)</f>
        <v>0</v>
      </c>
      <c r="CJ99" s="251">
        <f t="shared" si="3"/>
        <v>0.83333333333333337</v>
      </c>
      <c r="CK99" s="251">
        <f ca="1">MIN(nox_nightshade_cap,TblConstr[[#This Row],[Homeland]]/TblConstr[[#This Row],[Land]]/nox_nightshade_swamp_bonus)</f>
        <v>4</v>
      </c>
      <c r="CL99" s="251">
        <f ca="1">MIN(TblConstr[[#This Row],[Total Swamp]]/TblConstr[[#This Row],[Land]]/abyss_enforce_bonus,abyss_enforcer_cap)</f>
        <v>0</v>
      </c>
      <c r="CM99" s="251">
        <f ca="1">IF(TblMagic[[#This Row],[Active Infernal Command]]&gt;0,TblMili[[#This Row],[Unit 1]]*infernal_cmd_op,0)</f>
        <v>0</v>
      </c>
      <c r="CN99" s="252"/>
      <c r="CO99" s="252"/>
      <c r="CP99" s="252"/>
      <c r="CQ99" s="251">
        <f ca="1">TblMili[[#This Row],[Mystic]]*2</f>
        <v>4</v>
      </c>
      <c r="CR99" s="251">
        <f ca="1">TblMili[[#This Row],[Druid (op)]]*2</f>
        <v>4</v>
      </c>
      <c r="CS99" s="94">
        <f ca="1">TblMili[[#This Row],[Mystic bonus]]*TblMili[[#This Row],[Unit 3]]+TblMili[[#This Row],[Druid bonus]]*TblMili[[#This Row],[Unit 4]]</f>
        <v>0</v>
      </c>
      <c r="CT99" s="155">
        <f ca="1">TblMili[[#This Row],[Dryad]]*2</f>
        <v>5.9999999999999991</v>
      </c>
      <c r="CU99" s="94">
        <f ca="1">sylvan*(TblMili[[#This Row],[Mystic bonus]]*TblMili[[#This Row],[Unit 3]])</f>
        <v>0</v>
      </c>
      <c r="CV99" s="155">
        <f ca="1">TblMili[[#This Row],[Rockapult]]*2</f>
        <v>4</v>
      </c>
      <c r="CW99" s="94">
        <f ca="1">gnome*(TblMili[[#This Row],[Rockapult bonus]]*TblMili[[#This Row],[Unit 3]])</f>
        <v>0</v>
      </c>
      <c r="CX99" s="155">
        <f ca="1">TblMili[[#This Row],[Adept-DP]]*2</f>
        <v>0</v>
      </c>
      <c r="CY99" s="94">
        <f ca="1">dark_elf*(TblMili[[#This Row],[Adept bonus]]*TblMili[[#This Row],[Unit 3]])</f>
        <v>0</v>
      </c>
      <c r="CZ99" s="155">
        <f ca="1">TblMili[[#This Row],[Frost Mage]]*2</f>
        <v>5.9999999999999991</v>
      </c>
      <c r="DA99" s="155">
        <f ca="1">TblMili[[#This Row],[Ice Elemental]]*2</f>
        <v>0</v>
      </c>
      <c r="DB99" s="94">
        <f ca="1">TblMili[[#This Row],[Frost Mage bonus]]*TblMili[[#This Row],[Unit 3]]+TblMili[[#This Row],[Ice Elemental bonus]]*TblMili[[#This Row],[Unit 4]]</f>
        <v>0</v>
      </c>
      <c r="DC99" s="253"/>
      <c r="DD99" s="143">
        <f ca="1">MIN(SUM(TblConstr[[#This Row],[Plain]:[Water]])/TblMili[[#This Row],[Land]]/favorable_terrain_bonus/100,favorable_terrain_max)</f>
        <v>0</v>
      </c>
      <c r="DE99" s="253"/>
      <c r="DF9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9" s="142"/>
      <c r="DH99" s="254">
        <f ca="1">(TblMili[[#This Row],[Wizards]]+2*TblMili[[#This Row],[Archmages]])/TblConstr[[#This Row],[Land]]</f>
        <v>0</v>
      </c>
      <c r="DI99" s="254">
        <f ca="1">TblMili[[#This Row],[Raw (2)]]*(1+race_wizard_strength+IF(TblMili[[#This Row],[Hour]]&gt;72,tech_magical_weaponry_wiz*TblTech[[#This Row],[3-5]],0))</f>
        <v>0</v>
      </c>
    </row>
    <row r="100" spans="1:113" x14ac:dyDescent="0.2">
      <c r="A100" s="137">
        <f>TblRezone[[#This Row],[Hour]]</f>
        <v>97</v>
      </c>
      <c r="B100" s="246">
        <f ca="1">SUM(TblMili[[#This Row],[Unit 1]:[Archmages]])+SUM(OFFSET(TblMili[[#This Row],[Train Unit 1]],-8,0):TblMili[[#This Row],[Train Unit 2]]) + SUM(OFFSET(TblMili[[#This Row],[Train Unit 3]],-11,0):TblMili[[#This Row],[Train AM]]) + TblMili[[#This Row],[Draftees]]</f>
        <v>588</v>
      </c>
      <c r="C100" s="157">
        <f ca="1">TblPop[[#This Row],[Military%]]</f>
        <v>0.76462938881664499</v>
      </c>
      <c r="D100" s="142"/>
      <c r="E100" s="45">
        <f ca="1">OFFSET(TblMili[[#This Row],[Unit 1]],-1,0) + OFFSET(TblMili[[#This Row],[Train Unit 1]],-9,0) - TblMili[[#This Row],[Release Unit 1]] + OFFSET(TblMili[[#This Row],[DnD_Zombies]],-12,0)</f>
        <v>0</v>
      </c>
      <c r="F100" s="45">
        <f ca="1">OFFSET(TblMili[[#This Row],[Unit 2]],-1,0) + OFFSET(TblMili[[#This Row],[Train Unit 2]],-9,0)-TblMili[[#This Row],[Release Unit 2]]</f>
        <v>0</v>
      </c>
      <c r="G100" s="45">
        <f ca="1">OFFSET(TblMili[[#This Row],[Unit 3]],-1,0) + OFFSET(TblMili[[#This Row],[Train Unit 3]],-12,0)-TblMili[[#This Row],[Release Unit 3]]</f>
        <v>0</v>
      </c>
      <c r="H100" s="45">
        <f ca="1">OFFSET(TblMili[[#This Row],[Unit 4]],-1,0) + OFFSET(TblMili[[#This Row],[Train Unit 4]],-12,0)-TblMili[[#This Row],[Release Unit 4]]</f>
        <v>0</v>
      </c>
      <c r="I100" s="45">
        <f ca="1">OFFSET(TblMili[[#This Row],[Spies]],-1,0) + OFFSET(TblMili[[#This Row],[Train Spies]],-12,0) - TblMili[[#This Row],[Release Spies]]-TblMili[[#This Row],[Train AS]]</f>
        <v>0</v>
      </c>
      <c r="J100" s="45">
        <f ca="1">OFFSET(TblMili[[#This Row],[Archspies]],-1,0) + OFFSET(TblMili[[#This Row],[Train AS]],-12,0) - TblMili[[#This Row],[Release AS]]</f>
        <v>0</v>
      </c>
      <c r="K100" s="45">
        <f ca="1">OFFSET(TblMili[[#This Row],[Wizards]],-1,0) + OFFSET(TblMili[[#This Row],[Train Wiz]],-12,0) - TblMili[[#This Row],[Release Wizards]]-TblMili[[#This Row],[Train AM]] + IF(TblMagic[[#This Row],[Active Arc Infusion]]&gt;0,TblMili[[#This Row],[Train AM]])</f>
        <v>0</v>
      </c>
      <c r="L100" s="45">
        <f ca="1">OFFSET(TblMili[[#This Row],[Archmages]],-1,0) + OFFSET(TblMili[[#This Row],[Train AM]],-12,0) - TblMili[[#This Row],[Release AM]]</f>
        <v>0</v>
      </c>
      <c r="M100" s="142"/>
      <c r="N100" s="94">
        <f ca="1">TblProd[[#This Row],[Networth]]</f>
        <v>1250</v>
      </c>
      <c r="O100" s="142"/>
      <c r="P100"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0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0" s="247">
        <f ca="1">TblMili[[#This Row],[Raw]]*(1+TblMili[[#This Row],[Mods_Off]])</f>
        <v>0</v>
      </c>
      <c r="S100"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00" s="247">
        <f ca="1">TblMili[[#This Row],[Non Draft]]+TblMili[[#This Row],[Draftees]]</f>
        <v>588</v>
      </c>
      <c r="U100" s="248">
        <f ca="1">race_defense + TblImps[[#This Row],[Walls]] + ROUND( MIN(gt_bonus*TblConstr[[#This Row],[Tot GT]]/TblConstr[[#This Row],[Land]],gt_bonus_cap), 4) + IF(TblMagic[[#This Row],[Active Howling]]&gt;0,howling_dp_bonus,IF(TblMagic[[#This Row],[Active Ares Call]]&gt;0,ares_call_bonus))</f>
        <v>0</v>
      </c>
      <c r="V100" s="249">
        <f ca="1">TblMili[[#This Row],[Non Draft]] * (1 + TblMili[[#This Row],[Mods_Def]])</f>
        <v>0</v>
      </c>
      <c r="W100" s="247">
        <f ca="1">TblMili[[#This Row],[Draft]] * (1 + TblMili[[#This Row],[Mods_Def]])</f>
        <v>588</v>
      </c>
      <c r="X100" s="247">
        <f ca="1">TblConstr[[#This Row],[Land]]</f>
        <v>50</v>
      </c>
      <c r="Y100" s="250"/>
      <c r="Z100" s="255">
        <f ca="1">IF(TblMili[[#This Row],[Set]]&lt;&gt;"",TblMili[[#This Row],[Set]],OFFSET(TblMili[[#This Row],[Draftrate]],-1,0))</f>
        <v>0.9</v>
      </c>
      <c r="AA100"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588</v>
      </c>
      <c r="AB100" s="154"/>
      <c r="AC100" s="180">
        <f ca="1">(TblConstr[[#This Row],[Tot Smi]]+TblConstr[[#This Row],[Dest Smi]])/(TblConstr[[#This Row],[Land]]-TblExplore[[#This Row],[Land Bonus]]*20)</f>
        <v>0</v>
      </c>
      <c r="AD100" s="137"/>
      <c r="AE100" s="246">
        <f>TblMili[[#This Row],[Hour]]</f>
        <v>97</v>
      </c>
      <c r="AF100" s="138">
        <f ca="1">TblExplore[[#This Row],[Time]]</f>
        <v>46323.999999999767</v>
      </c>
      <c r="AG100" s="179"/>
      <c r="AH100" s="179"/>
      <c r="AI100" s="179"/>
      <c r="AJ100" s="179"/>
      <c r="AK100" s="179"/>
      <c r="AL100" s="179"/>
      <c r="AM100" s="179"/>
      <c r="AN100" s="179"/>
      <c r="AO100" s="420">
        <f ca="1">ROUND(IF(AND(TblMagic[[#This Row],[Active DnD]]&lt;12,TblMagic[[#This Row],[Active DnD]]&gt;5),OFFSET(TblPop[[#This Row],[Draft Growth]],-1,0)*0.375,0),0)</f>
        <v>0</v>
      </c>
      <c r="AP100" s="142"/>
      <c r="AQ100" s="94">
        <f ca="1">TblProd[[#This Row],[Platinum]]</f>
        <v>198657</v>
      </c>
      <c r="AR100" s="94">
        <f ca="1">INDEX(TblProd[[#Headers],[Lumber]]:TblProd[[#This Row],[Ore]],COUNTA(TblProd[[#Headers],[Lumber]]:TblProd[[#This Row],[Lumber]]),MATCH(Military!$AR$2,TblProd[[#Headers],[Lumber]:[Ore]],0))</f>
        <v>0</v>
      </c>
      <c r="AS10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00" s="94">
        <f ca="1">TblMili[[#This Row],[Train Unit 1]]*TblMili[[#This Row],[OP Ore]]+TblMili[[#This Row],[Train Unit 2]]*TblMili[[#This Row],[DP Ore]]+TblMili[[#This Row],[Train Unit 3]]*TblMili[[#This Row],[E1 Ore]]+TblMili[[#This Row],[Train Unit 4]]*TblMili[[#This Row],[E2 Ore]]</f>
        <v>0</v>
      </c>
      <c r="AU100" s="142">
        <f>TblMili[[#This Row],[Hour]]</f>
        <v>97</v>
      </c>
      <c r="AV100" s="152">
        <f ca="1">TblMili[[#This Row],[Time]]</f>
        <v>46323.999999999767</v>
      </c>
      <c r="AW100" s="94">
        <f ca="1">TblMili[[#This Row],[Draftees]]</f>
        <v>588</v>
      </c>
      <c r="AX100" s="179"/>
      <c r="AY100" s="179"/>
      <c r="AZ100" s="179"/>
      <c r="BA100" s="179"/>
      <c r="BB100" s="179"/>
      <c r="BC100" s="179"/>
      <c r="BD100" s="179"/>
      <c r="BE100" s="179"/>
      <c r="BF100" s="179"/>
      <c r="BG100" s="142"/>
      <c r="BH100" s="157">
        <f ca="1">TblConstr[[#This Row],[Tot WG]]/TblConstr[[#This Row],[Land]]</f>
        <v>0</v>
      </c>
      <c r="BI100" s="157">
        <f ca="1">TblConstr[[#This Row],[Tot Hav]]/TblConstr[[#This Row],[Land]]</f>
        <v>0</v>
      </c>
      <c r="BJ100" s="94">
        <f ca="1">ROUNDUP((1-MIN(TblMili[[#This Row],[Smithies]]*smithy_bonus,smithy_bonus_cap) + tech_3_5*TblTech[[#This Row],[3-5]] + tech_5_3*TblTech[[#This Row],[5-3]] + tech_5_5*TblTech[[#This Row],[5-5]])*spec_op_plat,0)</f>
        <v>315</v>
      </c>
      <c r="BK100" s="94">
        <f ca="1">ROUNDUP(IF(race="Gnome",1,(1-MIN(TblMili[[#This Row],[Smithies]]*smithy_bonus,smithy_bonus_cap) + tech_3_5*TblTech[[#This Row],[3-5]] + tech_5_3*TblTech[[#This Row],[5-3]] + tech_5_5*TblTech[[#This Row],[5-5]]))*spec_op_ore,0)</f>
        <v>25</v>
      </c>
      <c r="BL100" s="94">
        <f ca="1">ROUNDUP((1-MIN(TblMili[[#This Row],[Smithies]]*smithy_bonus,smithy_bonus_cap) + tech_3_5*TblTech[[#This Row],[3-5]] + tech_5_3*TblTech[[#This Row],[5-3]] + tech_5_5*TblTech[[#This Row],[5-5]])*spec_dp_plat,0)</f>
        <v>275</v>
      </c>
      <c r="BM100" s="94">
        <f ca="1">ROUNDUP(IF(race="Gnome",1,(1-MIN(TblMili[[#This Row],[Smithies]]*smithy_bonus,smithy_bonus_cap) + tech_3_5*TblTech[[#This Row],[3-5]] + tech_5_3*TblTech[[#This Row],[5-3]] + tech_5_5*TblTech[[#This Row],[5-5]]))*spec_dp_ore,0)</f>
        <v>15</v>
      </c>
      <c r="BN100" s="94">
        <f ca="1">ROUNDUP((1-MIN(TblMili[[#This Row],[Smithies]]*smithy_bonus,smithy_bonus_cap) + tech_3_5*TblTech[[#This Row],[3-5]] + tech_5_3*TblTech[[#This Row],[5-3]] + tech_5_5*TblTech[[#This Row],[5-5]])*elite1_plat,0)</f>
        <v>1040</v>
      </c>
      <c r="BO100" s="94">
        <f ca="1">ROUNDUP(IF(race="Gnome",1,(1-MIN(TblMili[[#This Row],[Smithies]]*smithy_bonus,smithy_bonus_cap) + tech_3_5*TblTech[[#This Row],[3-5]] + tech_5_3*TblTech[[#This Row],[5-3]] + tech_5_5*TblTech[[#This Row],[5-5]]))*elite1_ore,0)</f>
        <v>75</v>
      </c>
      <c r="BP100" s="94">
        <f ca="1">ROUNDUP((1-MIN(TblMili[[#This Row],[Smithies]]*smithy_bonus,smithy_bonus_cap) + tech_3_5*TblTech[[#This Row],[3-5]] + tech_5_3*TblTech[[#This Row],[5-3]] + tech_5_5*TblTech[[#This Row],[5-5]])*elite2_plat,0)</f>
        <v>1280</v>
      </c>
      <c r="BQ100" s="94">
        <f ca="1">ROUNDUP(IF(race="Gnome",1,(1-MIN(TblMili[[#This Row],[Smithies]]*smithy_bonus,smithy_bonus_cap) + tech_3_5*TblTech[[#This Row],[3-5]] + tech_5_3*TblTech[[#This Row],[5-3]] + tech_5_5*TblTech[[#This Row],[5-5]]))*elite2_ore,0)</f>
        <v>100</v>
      </c>
      <c r="BR100" s="94">
        <f ca="1">ROUNDUP((1-MIN(ROUND(fh_spy_cost_red*TblMili[[#This Row],[FH''s]],4),fh_spy_cost_cap)+ tech_1_9*TblTech[[#This Row],[1-9]] + tech_9_1*TblTech[[#This Row],[9-1]])*spy_plat,0)</f>
        <v>500</v>
      </c>
      <c r="BS100" s="94">
        <f ca="1">ROUNDUP((1-MIN(ROUND(fh_spy_cost_red*TblMili[[#This Row],[FH''s]],4),fh_spy_cost_cap)+ tech_1_9*TblTech[[#This Row],[1-9]] + tech_9_1*TblTech[[#This Row],[9-1]])*archspy_plat,0)</f>
        <v>1000</v>
      </c>
      <c r="BT100" s="94">
        <f ca="1">ROUNDUP((1-MIN(ROUND(wg_wiz_cost_bonus*TblMili[[#This Row],[WG''s]],4),wg_wiz_cost_cap) + tech_1_9_2*TblTech[[#This Row],[1-9]] + tech_9_1_2*TblTech[[#This Row],[9-1]])*wizard_plat,0)</f>
        <v>500</v>
      </c>
      <c r="BU100" s="94">
        <f ca="1">ROUNDUP((1-MIN(ROUND(wg_wiz_cost_bonus*TblMili[[#This Row],[WG''s]],4),wg_wiz_cost_cap) + tech_1_9_2*TblTech[[#This Row],[1-9]] + tech_9_1_2*TblTech[[#This Row],[9-1]])*(archmage_plat + IF(TblMagic[[#This Row],[Active Arc Infusion]]&gt;0,400,0)),0)</f>
        <v>1000</v>
      </c>
      <c r="BV100" s="142"/>
      <c r="BW100" s="157">
        <f ca="1">TblConstr[[#This Row],[Homeland]]/TblConstr[[#This Row],[Land]]</f>
        <v>0.6</v>
      </c>
      <c r="BX100" s="157">
        <f ca="1">TblMili[[#This Row],[WG''s]]</f>
        <v>0</v>
      </c>
      <c r="BY100" s="251">
        <f ca="1">IF(mystic_cap="none",TblMili[[#This Row],[Homeland%]]/mystic_bonus,MIN(mystic_cap,TblMili[[#This Row],[Homeland%]]/mystic_bonus))</f>
        <v>2</v>
      </c>
      <c r="BZ100" s="251">
        <f ca="1">IF(druid_op_cap="none",TblMili[[#This Row],[Homeland%]]/druid_op_bonus,MIN(druid_op_cap,TblMili[[#This Row],[Homeland%]]/druid_op_bonus))</f>
        <v>2</v>
      </c>
      <c r="CA100" s="251">
        <f ca="1">IF(druid_dp_cap="none",TblMili[[#This Row],[Homeland%]]/druid_dp_bonus,MIN(druid_dp_cap,TblMili[[#This Row],[Homeland%]]/druid_dp_bonus))</f>
        <v>2</v>
      </c>
      <c r="CB100" s="251">
        <f ca="1">MIN(dryad_cap,TblMili[[#This Row],[Homeland%]]/dryad_bonus)</f>
        <v>2.9999999999999996</v>
      </c>
      <c r="CC100" s="251">
        <f ca="1">MIN(rocka_cap,TblMili[[#This Row],[Homeland%]]/rocka_bonus)</f>
        <v>2</v>
      </c>
      <c r="CD100" s="251">
        <f ca="1">MIN(adept_op_cap,TblMili[[#This Row],[WG]]/adept_op_bonus)</f>
        <v>0</v>
      </c>
      <c r="CE100" s="251">
        <f ca="1">MIN(adept_dp_cap,TblMili[[#This Row],[WG]]/adept_dp_bonus)</f>
        <v>0</v>
      </c>
      <c r="CF100" s="94">
        <f ca="1">MIN(TblMili[[#This Row],[Unit 3]],TblMili[[#This Row],[Unit 2]])*2</f>
        <v>0</v>
      </c>
      <c r="CG100" s="94">
        <f ca="1">MIN(TblMili[[#This Row],[Unit 1]],TblMili[[#This Row],[Unit 4]])*2</f>
        <v>0</v>
      </c>
      <c r="CH100" s="251">
        <f ca="1">MIN(frost_mage_cap,TblMili[[#This Row],[Homeland%]]/frost_mage_bonus)</f>
        <v>2.9999999999999996</v>
      </c>
      <c r="CI100" s="45">
        <f ca="1">MIN(ice_elem_cap,TblMili[[#This Row],[Raw (2)]]*ice_elem_bonus)</f>
        <v>0</v>
      </c>
      <c r="CJ100" s="251">
        <f t="shared" ref="CJ100:CJ136" si="4">MIN(bone_breaker_cap,250/bone_breaker_bonus)</f>
        <v>0.83333333333333337</v>
      </c>
      <c r="CK100" s="251">
        <f ca="1">MIN(nox_nightshade_cap,TblConstr[[#This Row],[Homeland]]/TblConstr[[#This Row],[Land]]/nox_nightshade_swamp_bonus)</f>
        <v>4</v>
      </c>
      <c r="CL100" s="251">
        <f ca="1">MIN(TblConstr[[#This Row],[Total Swamp]]/TblConstr[[#This Row],[Land]]/abyss_enforce_bonus,abyss_enforcer_cap)</f>
        <v>0</v>
      </c>
      <c r="CM100" s="251">
        <f ca="1">IF(TblMagic[[#This Row],[Active Infernal Command]]&gt;0,TblMili[[#This Row],[Unit 1]]*infernal_cmd_op,0)</f>
        <v>0</v>
      </c>
      <c r="CN100" s="252"/>
      <c r="CO100" s="252"/>
      <c r="CP100" s="252"/>
      <c r="CQ100" s="251">
        <f ca="1">TblMili[[#This Row],[Mystic]]*2</f>
        <v>4</v>
      </c>
      <c r="CR100" s="251">
        <f ca="1">TblMili[[#This Row],[Druid (op)]]*2</f>
        <v>4</v>
      </c>
      <c r="CS100" s="94">
        <f ca="1">TblMili[[#This Row],[Mystic bonus]]*TblMili[[#This Row],[Unit 3]]+TblMili[[#This Row],[Druid bonus]]*TblMili[[#This Row],[Unit 4]]</f>
        <v>0</v>
      </c>
      <c r="CT100" s="155">
        <f ca="1">TblMili[[#This Row],[Dryad]]*2</f>
        <v>5.9999999999999991</v>
      </c>
      <c r="CU100" s="94">
        <f ca="1">sylvan*(TblMili[[#This Row],[Mystic bonus]]*TblMili[[#This Row],[Unit 3]])</f>
        <v>0</v>
      </c>
      <c r="CV100" s="155">
        <f ca="1">TblMili[[#This Row],[Rockapult]]*2</f>
        <v>4</v>
      </c>
      <c r="CW100" s="94">
        <f ca="1">gnome*(TblMili[[#This Row],[Rockapult bonus]]*TblMili[[#This Row],[Unit 3]])</f>
        <v>0</v>
      </c>
      <c r="CX100" s="155">
        <f ca="1">TblMili[[#This Row],[Adept-DP]]*2</f>
        <v>0</v>
      </c>
      <c r="CY100" s="94">
        <f ca="1">dark_elf*(TblMili[[#This Row],[Adept bonus]]*TblMili[[#This Row],[Unit 3]])</f>
        <v>0</v>
      </c>
      <c r="CZ100" s="155">
        <f ca="1">TblMili[[#This Row],[Frost Mage]]*2</f>
        <v>5.9999999999999991</v>
      </c>
      <c r="DA100" s="155">
        <f ca="1">TblMili[[#This Row],[Ice Elemental]]*2</f>
        <v>0</v>
      </c>
      <c r="DB100" s="94">
        <f ca="1">TblMili[[#This Row],[Frost Mage bonus]]*TblMili[[#This Row],[Unit 3]]+TblMili[[#This Row],[Ice Elemental bonus]]*TblMili[[#This Row],[Unit 4]]</f>
        <v>0</v>
      </c>
      <c r="DC100" s="253"/>
      <c r="DD100" s="143">
        <f ca="1">MIN(SUM(TblConstr[[#This Row],[Plain]:[Water]])/TblMili[[#This Row],[Land]]/favorable_terrain_bonus/100,favorable_terrain_max)</f>
        <v>0</v>
      </c>
      <c r="DE100" s="253"/>
      <c r="DF10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0" s="142"/>
      <c r="DH100" s="254">
        <f ca="1">(TblMili[[#This Row],[Wizards]]+2*TblMili[[#This Row],[Archmages]])/TblConstr[[#This Row],[Land]]</f>
        <v>0</v>
      </c>
      <c r="DI100" s="254">
        <f ca="1">TblMili[[#This Row],[Raw (2)]]*(1+race_wizard_strength+IF(TblMili[[#This Row],[Hour]]&gt;72,tech_magical_weaponry_wiz*TblTech[[#This Row],[3-5]],0))</f>
        <v>0</v>
      </c>
    </row>
    <row r="101" spans="1:113" x14ac:dyDescent="0.2">
      <c r="A101" s="137">
        <f>TblRezone[[#This Row],[Hour]]</f>
        <v>98</v>
      </c>
      <c r="B101" s="246">
        <f ca="1">SUM(TblMili[[#This Row],[Unit 1]:[Archmages]])+SUM(OFFSET(TblMili[[#This Row],[Train Unit 1]],-8,0):TblMili[[#This Row],[Train Unit 2]]) + SUM(OFFSET(TblMili[[#This Row],[Train Unit 3]],-11,0):TblMili[[#This Row],[Train AM]]) + TblMili[[#This Row],[Draftees]]</f>
        <v>590</v>
      </c>
      <c r="C101" s="157">
        <f ca="1">TblPop[[#This Row],[Military%]]</f>
        <v>0.76723016905071517</v>
      </c>
      <c r="D101" s="142"/>
      <c r="E101" s="45">
        <f ca="1">OFFSET(TblMili[[#This Row],[Unit 1]],-1,0) + OFFSET(TblMili[[#This Row],[Train Unit 1]],-9,0) - TblMili[[#This Row],[Release Unit 1]] + OFFSET(TblMili[[#This Row],[DnD_Zombies]],-12,0)</f>
        <v>0</v>
      </c>
      <c r="F101" s="45">
        <f ca="1">OFFSET(TblMili[[#This Row],[Unit 2]],-1,0) + OFFSET(TblMili[[#This Row],[Train Unit 2]],-9,0)-TblMili[[#This Row],[Release Unit 2]]</f>
        <v>0</v>
      </c>
      <c r="G101" s="45">
        <f ca="1">OFFSET(TblMili[[#This Row],[Unit 3]],-1,0) + OFFSET(TblMili[[#This Row],[Train Unit 3]],-12,0)-TblMili[[#This Row],[Release Unit 3]]</f>
        <v>0</v>
      </c>
      <c r="H101" s="45">
        <f ca="1">OFFSET(TblMili[[#This Row],[Unit 4]],-1,0) + OFFSET(TblMili[[#This Row],[Train Unit 4]],-12,0)-TblMili[[#This Row],[Release Unit 4]]</f>
        <v>0</v>
      </c>
      <c r="I101" s="45">
        <f ca="1">OFFSET(TblMili[[#This Row],[Spies]],-1,0) + OFFSET(TblMili[[#This Row],[Train Spies]],-12,0) - TblMili[[#This Row],[Release Spies]]-TblMili[[#This Row],[Train AS]]</f>
        <v>0</v>
      </c>
      <c r="J101" s="45">
        <f ca="1">OFFSET(TblMili[[#This Row],[Archspies]],-1,0) + OFFSET(TblMili[[#This Row],[Train AS]],-12,0) - TblMili[[#This Row],[Release AS]]</f>
        <v>0</v>
      </c>
      <c r="K101" s="45">
        <f ca="1">OFFSET(TblMili[[#This Row],[Wizards]],-1,0) + OFFSET(TblMili[[#This Row],[Train Wiz]],-12,0) - TblMili[[#This Row],[Release Wizards]]-TblMili[[#This Row],[Train AM]] + IF(TblMagic[[#This Row],[Active Arc Infusion]]&gt;0,TblMili[[#This Row],[Train AM]])</f>
        <v>0</v>
      </c>
      <c r="L101" s="45">
        <f ca="1">OFFSET(TblMili[[#This Row],[Archmages]],-1,0) + OFFSET(TblMili[[#This Row],[Train AM]],-12,0) - TblMili[[#This Row],[Release AM]]</f>
        <v>0</v>
      </c>
      <c r="M101" s="142"/>
      <c r="N101" s="94">
        <f ca="1">TblProd[[#This Row],[Networth]]</f>
        <v>1250</v>
      </c>
      <c r="O101" s="142"/>
      <c r="P101"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0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1" s="247">
        <f ca="1">TblMili[[#This Row],[Raw]]*(1+TblMili[[#This Row],[Mods_Off]])</f>
        <v>0</v>
      </c>
      <c r="S101"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01" s="247">
        <f ca="1">TblMili[[#This Row],[Non Draft]]+TblMili[[#This Row],[Draftees]]</f>
        <v>590</v>
      </c>
      <c r="U101" s="248">
        <f ca="1">race_defense + TblImps[[#This Row],[Walls]] + ROUND( MIN(gt_bonus*TblConstr[[#This Row],[Tot GT]]/TblConstr[[#This Row],[Land]],gt_bonus_cap), 4) + IF(TblMagic[[#This Row],[Active Howling]]&gt;0,howling_dp_bonus,IF(TblMagic[[#This Row],[Active Ares Call]]&gt;0,ares_call_bonus))</f>
        <v>0</v>
      </c>
      <c r="V101" s="249">
        <f ca="1">TblMili[[#This Row],[Non Draft]] * (1 + TblMili[[#This Row],[Mods_Def]])</f>
        <v>0</v>
      </c>
      <c r="W101" s="247">
        <f ca="1">TblMili[[#This Row],[Draft]] * (1 + TblMili[[#This Row],[Mods_Def]])</f>
        <v>590</v>
      </c>
      <c r="X101" s="247">
        <f ca="1">TblConstr[[#This Row],[Land]]</f>
        <v>50</v>
      </c>
      <c r="Y101" s="250"/>
      <c r="Z101" s="255">
        <f ca="1">IF(TblMili[[#This Row],[Set]]&lt;&gt;"",TblMili[[#This Row],[Set]],OFFSET(TblMili[[#This Row],[Draftrate]],-1,0))</f>
        <v>0.9</v>
      </c>
      <c r="AA101"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590</v>
      </c>
      <c r="AB101" s="154"/>
      <c r="AC101" s="180">
        <f ca="1">(TblConstr[[#This Row],[Tot Smi]]+TblConstr[[#This Row],[Dest Smi]])/(TblConstr[[#This Row],[Land]]-TblExplore[[#This Row],[Land Bonus]]*20)</f>
        <v>0</v>
      </c>
      <c r="AD101" s="137"/>
      <c r="AE101" s="246">
        <f>TblMili[[#This Row],[Hour]]</f>
        <v>98</v>
      </c>
      <c r="AF101" s="138">
        <f ca="1">TblExplore[[#This Row],[Time]]</f>
        <v>46324.041666666431</v>
      </c>
      <c r="AG101" s="179"/>
      <c r="AH101" s="179"/>
      <c r="AI101" s="179"/>
      <c r="AJ101" s="179"/>
      <c r="AK101" s="179"/>
      <c r="AL101" s="179"/>
      <c r="AM101" s="179"/>
      <c r="AN101" s="179"/>
      <c r="AO101" s="420">
        <f ca="1">ROUND(IF(AND(TblMagic[[#This Row],[Active DnD]]&lt;12,TblMagic[[#This Row],[Active DnD]]&gt;5),OFFSET(TblPop[[#This Row],[Draft Growth]],-1,0)*0.375,0),0)</f>
        <v>0</v>
      </c>
      <c r="AP101" s="142"/>
      <c r="AQ101" s="94">
        <f ca="1">TblProd[[#This Row],[Platinum]]</f>
        <v>199145</v>
      </c>
      <c r="AR101" s="94">
        <f ca="1">INDEX(TblProd[[#Headers],[Lumber]]:TblProd[[#This Row],[Ore]],COUNTA(TblProd[[#Headers],[Lumber]]:TblProd[[#This Row],[Lumber]]),MATCH(Military!$AR$2,TblProd[[#Headers],[Lumber]:[Ore]],0))</f>
        <v>0</v>
      </c>
      <c r="AS10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01" s="94">
        <f ca="1">TblMili[[#This Row],[Train Unit 1]]*TblMili[[#This Row],[OP Ore]]+TblMili[[#This Row],[Train Unit 2]]*TblMili[[#This Row],[DP Ore]]+TblMili[[#This Row],[Train Unit 3]]*TblMili[[#This Row],[E1 Ore]]+TblMili[[#This Row],[Train Unit 4]]*TblMili[[#This Row],[E2 Ore]]</f>
        <v>0</v>
      </c>
      <c r="AU101" s="142">
        <f>TblMili[[#This Row],[Hour]]</f>
        <v>98</v>
      </c>
      <c r="AV101" s="152">
        <f ca="1">TblMili[[#This Row],[Time]]</f>
        <v>46324.041666666431</v>
      </c>
      <c r="AW101" s="94">
        <f ca="1">TblMili[[#This Row],[Draftees]]</f>
        <v>590</v>
      </c>
      <c r="AX101" s="179"/>
      <c r="AY101" s="179"/>
      <c r="AZ101" s="179"/>
      <c r="BA101" s="179"/>
      <c r="BB101" s="179"/>
      <c r="BC101" s="179"/>
      <c r="BD101" s="179"/>
      <c r="BE101" s="179"/>
      <c r="BF101" s="179"/>
      <c r="BG101" s="142"/>
      <c r="BH101" s="157">
        <f ca="1">TblConstr[[#This Row],[Tot WG]]/TblConstr[[#This Row],[Land]]</f>
        <v>0</v>
      </c>
      <c r="BI101" s="157">
        <f ca="1">TblConstr[[#This Row],[Tot Hav]]/TblConstr[[#This Row],[Land]]</f>
        <v>0</v>
      </c>
      <c r="BJ101" s="94">
        <f ca="1">ROUNDUP((1-MIN(TblMili[[#This Row],[Smithies]]*smithy_bonus,smithy_bonus_cap) + tech_3_5*TblTech[[#This Row],[3-5]] + tech_5_3*TblTech[[#This Row],[5-3]] + tech_5_5*TblTech[[#This Row],[5-5]])*spec_op_plat,0)</f>
        <v>315</v>
      </c>
      <c r="BK101" s="94">
        <f ca="1">ROUNDUP(IF(race="Gnome",1,(1-MIN(TblMili[[#This Row],[Smithies]]*smithy_bonus,smithy_bonus_cap) + tech_3_5*TblTech[[#This Row],[3-5]] + tech_5_3*TblTech[[#This Row],[5-3]] + tech_5_5*TblTech[[#This Row],[5-5]]))*spec_op_ore,0)</f>
        <v>25</v>
      </c>
      <c r="BL101" s="94">
        <f ca="1">ROUNDUP((1-MIN(TblMili[[#This Row],[Smithies]]*smithy_bonus,smithy_bonus_cap) + tech_3_5*TblTech[[#This Row],[3-5]] + tech_5_3*TblTech[[#This Row],[5-3]] + tech_5_5*TblTech[[#This Row],[5-5]])*spec_dp_plat,0)</f>
        <v>275</v>
      </c>
      <c r="BM101" s="94">
        <f ca="1">ROUNDUP(IF(race="Gnome",1,(1-MIN(TblMili[[#This Row],[Smithies]]*smithy_bonus,smithy_bonus_cap) + tech_3_5*TblTech[[#This Row],[3-5]] + tech_5_3*TblTech[[#This Row],[5-3]] + tech_5_5*TblTech[[#This Row],[5-5]]))*spec_dp_ore,0)</f>
        <v>15</v>
      </c>
      <c r="BN101" s="94">
        <f ca="1">ROUNDUP((1-MIN(TblMili[[#This Row],[Smithies]]*smithy_bonus,smithy_bonus_cap) + tech_3_5*TblTech[[#This Row],[3-5]] + tech_5_3*TblTech[[#This Row],[5-3]] + tech_5_5*TblTech[[#This Row],[5-5]])*elite1_plat,0)</f>
        <v>1040</v>
      </c>
      <c r="BO101" s="94">
        <f ca="1">ROUNDUP(IF(race="Gnome",1,(1-MIN(TblMili[[#This Row],[Smithies]]*smithy_bonus,smithy_bonus_cap) + tech_3_5*TblTech[[#This Row],[3-5]] + tech_5_3*TblTech[[#This Row],[5-3]] + tech_5_5*TblTech[[#This Row],[5-5]]))*elite1_ore,0)</f>
        <v>75</v>
      </c>
      <c r="BP101" s="94">
        <f ca="1">ROUNDUP((1-MIN(TblMili[[#This Row],[Smithies]]*smithy_bonus,smithy_bonus_cap) + tech_3_5*TblTech[[#This Row],[3-5]] + tech_5_3*TblTech[[#This Row],[5-3]] + tech_5_5*TblTech[[#This Row],[5-5]])*elite2_plat,0)</f>
        <v>1280</v>
      </c>
      <c r="BQ101" s="94">
        <f ca="1">ROUNDUP(IF(race="Gnome",1,(1-MIN(TblMili[[#This Row],[Smithies]]*smithy_bonus,smithy_bonus_cap) + tech_3_5*TblTech[[#This Row],[3-5]] + tech_5_3*TblTech[[#This Row],[5-3]] + tech_5_5*TblTech[[#This Row],[5-5]]))*elite2_ore,0)</f>
        <v>100</v>
      </c>
      <c r="BR101" s="94">
        <f ca="1">ROUNDUP((1-MIN(ROUND(fh_spy_cost_red*TblMili[[#This Row],[FH''s]],4),fh_spy_cost_cap)+ tech_1_9*TblTech[[#This Row],[1-9]] + tech_9_1*TblTech[[#This Row],[9-1]])*spy_plat,0)</f>
        <v>500</v>
      </c>
      <c r="BS101" s="94">
        <f ca="1">ROUNDUP((1-MIN(ROUND(fh_spy_cost_red*TblMili[[#This Row],[FH''s]],4),fh_spy_cost_cap)+ tech_1_9*TblTech[[#This Row],[1-9]] + tech_9_1*TblTech[[#This Row],[9-1]])*archspy_plat,0)</f>
        <v>1000</v>
      </c>
      <c r="BT101" s="94">
        <f ca="1">ROUNDUP((1-MIN(ROUND(wg_wiz_cost_bonus*TblMili[[#This Row],[WG''s]],4),wg_wiz_cost_cap) + tech_1_9_2*TblTech[[#This Row],[1-9]] + tech_9_1_2*TblTech[[#This Row],[9-1]])*wizard_plat,0)</f>
        <v>500</v>
      </c>
      <c r="BU101" s="94">
        <f ca="1">ROUNDUP((1-MIN(ROUND(wg_wiz_cost_bonus*TblMili[[#This Row],[WG''s]],4),wg_wiz_cost_cap) + tech_1_9_2*TblTech[[#This Row],[1-9]] + tech_9_1_2*TblTech[[#This Row],[9-1]])*(archmage_plat + IF(TblMagic[[#This Row],[Active Arc Infusion]]&gt;0,400,0)),0)</f>
        <v>1000</v>
      </c>
      <c r="BV101" s="142"/>
      <c r="BW101" s="157">
        <f ca="1">TblConstr[[#This Row],[Homeland]]/TblConstr[[#This Row],[Land]]</f>
        <v>0.6</v>
      </c>
      <c r="BX101" s="157">
        <f ca="1">TblMili[[#This Row],[WG''s]]</f>
        <v>0</v>
      </c>
      <c r="BY101" s="251">
        <f ca="1">IF(mystic_cap="none",TblMili[[#This Row],[Homeland%]]/mystic_bonus,MIN(mystic_cap,TblMili[[#This Row],[Homeland%]]/mystic_bonus))</f>
        <v>2</v>
      </c>
      <c r="BZ101" s="251">
        <f ca="1">IF(druid_op_cap="none",TblMili[[#This Row],[Homeland%]]/druid_op_bonus,MIN(druid_op_cap,TblMili[[#This Row],[Homeland%]]/druid_op_bonus))</f>
        <v>2</v>
      </c>
      <c r="CA101" s="251">
        <f ca="1">IF(druid_dp_cap="none",TblMili[[#This Row],[Homeland%]]/druid_dp_bonus,MIN(druid_dp_cap,TblMili[[#This Row],[Homeland%]]/druid_dp_bonus))</f>
        <v>2</v>
      </c>
      <c r="CB101" s="251">
        <f ca="1">MIN(dryad_cap,TblMili[[#This Row],[Homeland%]]/dryad_bonus)</f>
        <v>2.9999999999999996</v>
      </c>
      <c r="CC101" s="251">
        <f ca="1">MIN(rocka_cap,TblMili[[#This Row],[Homeland%]]/rocka_bonus)</f>
        <v>2</v>
      </c>
      <c r="CD101" s="251">
        <f ca="1">MIN(adept_op_cap,TblMili[[#This Row],[WG]]/adept_op_bonus)</f>
        <v>0</v>
      </c>
      <c r="CE101" s="251">
        <f ca="1">MIN(adept_dp_cap,TblMili[[#This Row],[WG]]/adept_dp_bonus)</f>
        <v>0</v>
      </c>
      <c r="CF101" s="94">
        <f ca="1">MIN(TblMili[[#This Row],[Unit 3]],TblMili[[#This Row],[Unit 2]])*2</f>
        <v>0</v>
      </c>
      <c r="CG101" s="94">
        <f ca="1">MIN(TblMili[[#This Row],[Unit 1]],TblMili[[#This Row],[Unit 4]])*2</f>
        <v>0</v>
      </c>
      <c r="CH101" s="251">
        <f ca="1">MIN(frost_mage_cap,TblMili[[#This Row],[Homeland%]]/frost_mage_bonus)</f>
        <v>2.9999999999999996</v>
      </c>
      <c r="CI101" s="45">
        <f ca="1">MIN(ice_elem_cap,TblMili[[#This Row],[Raw (2)]]*ice_elem_bonus)</f>
        <v>0</v>
      </c>
      <c r="CJ101" s="251">
        <f t="shared" si="4"/>
        <v>0.83333333333333337</v>
      </c>
      <c r="CK101" s="251">
        <f ca="1">MIN(nox_nightshade_cap,TblConstr[[#This Row],[Homeland]]/TblConstr[[#This Row],[Land]]/nox_nightshade_swamp_bonus)</f>
        <v>4</v>
      </c>
      <c r="CL101" s="251">
        <f ca="1">MIN(TblConstr[[#This Row],[Total Swamp]]/TblConstr[[#This Row],[Land]]/abyss_enforce_bonus,abyss_enforcer_cap)</f>
        <v>0</v>
      </c>
      <c r="CM101" s="251">
        <f ca="1">IF(TblMagic[[#This Row],[Active Infernal Command]]&gt;0,TblMili[[#This Row],[Unit 1]]*infernal_cmd_op,0)</f>
        <v>0</v>
      </c>
      <c r="CN101" s="252"/>
      <c r="CO101" s="252"/>
      <c r="CP101" s="252"/>
      <c r="CQ101" s="251">
        <f ca="1">TblMili[[#This Row],[Mystic]]*2</f>
        <v>4</v>
      </c>
      <c r="CR101" s="251">
        <f ca="1">TblMili[[#This Row],[Druid (op)]]*2</f>
        <v>4</v>
      </c>
      <c r="CS101" s="94">
        <f ca="1">TblMili[[#This Row],[Mystic bonus]]*TblMili[[#This Row],[Unit 3]]+TblMili[[#This Row],[Druid bonus]]*TblMili[[#This Row],[Unit 4]]</f>
        <v>0</v>
      </c>
      <c r="CT101" s="155">
        <f ca="1">TblMili[[#This Row],[Dryad]]*2</f>
        <v>5.9999999999999991</v>
      </c>
      <c r="CU101" s="94">
        <f ca="1">sylvan*(TblMili[[#This Row],[Mystic bonus]]*TblMili[[#This Row],[Unit 3]])</f>
        <v>0</v>
      </c>
      <c r="CV101" s="155">
        <f ca="1">TblMili[[#This Row],[Rockapult]]*2</f>
        <v>4</v>
      </c>
      <c r="CW101" s="94">
        <f ca="1">gnome*(TblMili[[#This Row],[Rockapult bonus]]*TblMili[[#This Row],[Unit 3]])</f>
        <v>0</v>
      </c>
      <c r="CX101" s="155">
        <f ca="1">TblMili[[#This Row],[Adept-DP]]*2</f>
        <v>0</v>
      </c>
      <c r="CY101" s="94">
        <f ca="1">dark_elf*(TblMili[[#This Row],[Adept bonus]]*TblMili[[#This Row],[Unit 3]])</f>
        <v>0</v>
      </c>
      <c r="CZ101" s="155">
        <f ca="1">TblMili[[#This Row],[Frost Mage]]*2</f>
        <v>5.9999999999999991</v>
      </c>
      <c r="DA101" s="155">
        <f ca="1">TblMili[[#This Row],[Ice Elemental]]*2</f>
        <v>0</v>
      </c>
      <c r="DB101" s="94">
        <f ca="1">TblMili[[#This Row],[Frost Mage bonus]]*TblMili[[#This Row],[Unit 3]]+TblMili[[#This Row],[Ice Elemental bonus]]*TblMili[[#This Row],[Unit 4]]</f>
        <v>0</v>
      </c>
      <c r="DC101" s="253"/>
      <c r="DD101" s="143">
        <f ca="1">MIN(SUM(TblConstr[[#This Row],[Plain]:[Water]])/TblMili[[#This Row],[Land]]/favorable_terrain_bonus/100,favorable_terrain_max)</f>
        <v>0</v>
      </c>
      <c r="DE101" s="253"/>
      <c r="DF10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1" s="142"/>
      <c r="DH101" s="254">
        <f ca="1">(TblMili[[#This Row],[Wizards]]+2*TblMili[[#This Row],[Archmages]])/TblConstr[[#This Row],[Land]]</f>
        <v>0</v>
      </c>
      <c r="DI101" s="254">
        <f ca="1">TblMili[[#This Row],[Raw (2)]]*(1+race_wizard_strength+IF(TblMili[[#This Row],[Hour]]&gt;72,tech_magical_weaponry_wiz*TblTech[[#This Row],[3-5]],0))</f>
        <v>0</v>
      </c>
    </row>
    <row r="102" spans="1:113" x14ac:dyDescent="0.2">
      <c r="A102" s="137">
        <f>TblRezone[[#This Row],[Hour]]</f>
        <v>99</v>
      </c>
      <c r="B102" s="246">
        <f ca="1">SUM(TblMili[[#This Row],[Unit 1]:[Archmages]])+SUM(OFFSET(TblMili[[#This Row],[Train Unit 1]],-8,0):TblMili[[#This Row],[Train Unit 2]]) + SUM(OFFSET(TblMili[[#This Row],[Train Unit 3]],-11,0):TblMili[[#This Row],[Train AM]]) + TblMili[[#This Row],[Draftees]]</f>
        <v>592</v>
      </c>
      <c r="C102" s="157">
        <f ca="1">TblPop[[#This Row],[Military%]]</f>
        <v>0.76983094928478546</v>
      </c>
      <c r="D102" s="142"/>
      <c r="E102" s="45">
        <f ca="1">OFFSET(TblMili[[#This Row],[Unit 1]],-1,0) + OFFSET(TblMili[[#This Row],[Train Unit 1]],-9,0) - TblMili[[#This Row],[Release Unit 1]] + OFFSET(TblMili[[#This Row],[DnD_Zombies]],-12,0)</f>
        <v>0</v>
      </c>
      <c r="F102" s="45">
        <f ca="1">OFFSET(TblMili[[#This Row],[Unit 2]],-1,0) + OFFSET(TblMili[[#This Row],[Train Unit 2]],-9,0)-TblMili[[#This Row],[Release Unit 2]]</f>
        <v>0</v>
      </c>
      <c r="G102" s="45">
        <f ca="1">OFFSET(TblMili[[#This Row],[Unit 3]],-1,0) + OFFSET(TblMili[[#This Row],[Train Unit 3]],-12,0)-TblMili[[#This Row],[Release Unit 3]]</f>
        <v>0</v>
      </c>
      <c r="H102" s="45">
        <f ca="1">OFFSET(TblMili[[#This Row],[Unit 4]],-1,0) + OFFSET(TblMili[[#This Row],[Train Unit 4]],-12,0)-TblMili[[#This Row],[Release Unit 4]]</f>
        <v>0</v>
      </c>
      <c r="I102" s="45">
        <f ca="1">OFFSET(TblMili[[#This Row],[Spies]],-1,0) + OFFSET(TblMili[[#This Row],[Train Spies]],-12,0) - TblMili[[#This Row],[Release Spies]]-TblMili[[#This Row],[Train AS]]</f>
        <v>0</v>
      </c>
      <c r="J102" s="45">
        <f ca="1">OFFSET(TblMili[[#This Row],[Archspies]],-1,0) + OFFSET(TblMili[[#This Row],[Train AS]],-12,0) - TblMili[[#This Row],[Release AS]]</f>
        <v>0</v>
      </c>
      <c r="K102" s="45">
        <f ca="1">OFFSET(TblMili[[#This Row],[Wizards]],-1,0) + OFFSET(TblMili[[#This Row],[Train Wiz]],-12,0) - TblMili[[#This Row],[Release Wizards]]-TblMili[[#This Row],[Train AM]] + IF(TblMagic[[#This Row],[Active Arc Infusion]]&gt;0,TblMili[[#This Row],[Train AM]])</f>
        <v>0</v>
      </c>
      <c r="L102" s="45">
        <f ca="1">OFFSET(TblMili[[#This Row],[Archmages]],-1,0) + OFFSET(TblMili[[#This Row],[Train AM]],-12,0) - TblMili[[#This Row],[Release AM]]</f>
        <v>0</v>
      </c>
      <c r="M102" s="142"/>
      <c r="N102" s="94">
        <f ca="1">TblProd[[#This Row],[Networth]]</f>
        <v>1250</v>
      </c>
      <c r="O102" s="142"/>
      <c r="P102"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0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2" s="247">
        <f ca="1">TblMili[[#This Row],[Raw]]*(1+TblMili[[#This Row],[Mods_Off]])</f>
        <v>0</v>
      </c>
      <c r="S102"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02" s="247">
        <f ca="1">TblMili[[#This Row],[Non Draft]]+TblMili[[#This Row],[Draftees]]</f>
        <v>592</v>
      </c>
      <c r="U102" s="248">
        <f ca="1">race_defense + TblImps[[#This Row],[Walls]] + ROUND( MIN(gt_bonus*TblConstr[[#This Row],[Tot GT]]/TblConstr[[#This Row],[Land]],gt_bonus_cap), 4) + IF(TblMagic[[#This Row],[Active Howling]]&gt;0,howling_dp_bonus,IF(TblMagic[[#This Row],[Active Ares Call]]&gt;0,ares_call_bonus))</f>
        <v>0</v>
      </c>
      <c r="V102" s="249">
        <f ca="1">TblMili[[#This Row],[Non Draft]] * (1 + TblMili[[#This Row],[Mods_Def]])</f>
        <v>0</v>
      </c>
      <c r="W102" s="247">
        <f ca="1">TblMili[[#This Row],[Draft]] * (1 + TblMili[[#This Row],[Mods_Def]])</f>
        <v>592</v>
      </c>
      <c r="X102" s="247">
        <f ca="1">TblConstr[[#This Row],[Land]]</f>
        <v>50</v>
      </c>
      <c r="Y102" s="250"/>
      <c r="Z102" s="255">
        <f ca="1">IF(TblMili[[#This Row],[Set]]&lt;&gt;"",TblMili[[#This Row],[Set]],OFFSET(TblMili[[#This Row],[Draftrate]],-1,0))</f>
        <v>0.9</v>
      </c>
      <c r="AA102"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592</v>
      </c>
      <c r="AB102" s="154"/>
      <c r="AC102" s="180">
        <f ca="1">(TblConstr[[#This Row],[Tot Smi]]+TblConstr[[#This Row],[Dest Smi]])/(TblConstr[[#This Row],[Land]]-TblExplore[[#This Row],[Land Bonus]]*20)</f>
        <v>0</v>
      </c>
      <c r="AD102" s="137"/>
      <c r="AE102" s="246">
        <f>TblMili[[#This Row],[Hour]]</f>
        <v>99</v>
      </c>
      <c r="AF102" s="138">
        <f ca="1">TblExplore[[#This Row],[Time]]</f>
        <v>46324.083333333096</v>
      </c>
      <c r="AG102" s="179"/>
      <c r="AH102" s="179"/>
      <c r="AI102" s="179"/>
      <c r="AJ102" s="179"/>
      <c r="AK102" s="179"/>
      <c r="AL102" s="179"/>
      <c r="AM102" s="179"/>
      <c r="AN102" s="179"/>
      <c r="AO102" s="420">
        <f ca="1">ROUND(IF(AND(TblMagic[[#This Row],[Active DnD]]&lt;12,TblMagic[[#This Row],[Active DnD]]&gt;5),OFFSET(TblPop[[#This Row],[Draft Growth]],-1,0)*0.375,0),0)</f>
        <v>0</v>
      </c>
      <c r="AP102" s="142"/>
      <c r="AQ102" s="94">
        <f ca="1">TblProd[[#This Row],[Platinum]]</f>
        <v>199628</v>
      </c>
      <c r="AR102" s="94">
        <f ca="1">INDEX(TblProd[[#Headers],[Lumber]]:TblProd[[#This Row],[Ore]],COUNTA(TblProd[[#Headers],[Lumber]]:TblProd[[#This Row],[Lumber]]),MATCH(Military!$AR$2,TblProd[[#Headers],[Lumber]:[Ore]],0))</f>
        <v>0</v>
      </c>
      <c r="AS102"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02" s="94">
        <f ca="1">TblMili[[#This Row],[Train Unit 1]]*TblMili[[#This Row],[OP Ore]]+TblMili[[#This Row],[Train Unit 2]]*TblMili[[#This Row],[DP Ore]]+TblMili[[#This Row],[Train Unit 3]]*TblMili[[#This Row],[E1 Ore]]+TblMili[[#This Row],[Train Unit 4]]*TblMili[[#This Row],[E2 Ore]]</f>
        <v>0</v>
      </c>
      <c r="AU102" s="142">
        <f>TblMili[[#This Row],[Hour]]</f>
        <v>99</v>
      </c>
      <c r="AV102" s="152">
        <f ca="1">TblMili[[#This Row],[Time]]</f>
        <v>46324.083333333096</v>
      </c>
      <c r="AW102" s="94">
        <f ca="1">TblMili[[#This Row],[Draftees]]</f>
        <v>592</v>
      </c>
      <c r="AX102" s="179"/>
      <c r="AY102" s="179"/>
      <c r="AZ102" s="179"/>
      <c r="BA102" s="179"/>
      <c r="BB102" s="179"/>
      <c r="BC102" s="179"/>
      <c r="BD102" s="179"/>
      <c r="BE102" s="179"/>
      <c r="BF102" s="179"/>
      <c r="BG102" s="142"/>
      <c r="BH102" s="157">
        <f ca="1">TblConstr[[#This Row],[Tot WG]]/TblConstr[[#This Row],[Land]]</f>
        <v>0</v>
      </c>
      <c r="BI102" s="157">
        <f ca="1">TblConstr[[#This Row],[Tot Hav]]/TblConstr[[#This Row],[Land]]</f>
        <v>0</v>
      </c>
      <c r="BJ102" s="94">
        <f ca="1">ROUNDUP((1-MIN(TblMili[[#This Row],[Smithies]]*smithy_bonus,smithy_bonus_cap) + tech_3_5*TblTech[[#This Row],[3-5]] + tech_5_3*TblTech[[#This Row],[5-3]] + tech_5_5*TblTech[[#This Row],[5-5]])*spec_op_plat,0)</f>
        <v>315</v>
      </c>
      <c r="BK102" s="94">
        <f ca="1">ROUNDUP(IF(race="Gnome",1,(1-MIN(TblMili[[#This Row],[Smithies]]*smithy_bonus,smithy_bonus_cap) + tech_3_5*TblTech[[#This Row],[3-5]] + tech_5_3*TblTech[[#This Row],[5-3]] + tech_5_5*TblTech[[#This Row],[5-5]]))*spec_op_ore,0)</f>
        <v>25</v>
      </c>
      <c r="BL102" s="94">
        <f ca="1">ROUNDUP((1-MIN(TblMili[[#This Row],[Smithies]]*smithy_bonus,smithy_bonus_cap) + tech_3_5*TblTech[[#This Row],[3-5]] + tech_5_3*TblTech[[#This Row],[5-3]] + tech_5_5*TblTech[[#This Row],[5-5]])*spec_dp_plat,0)</f>
        <v>275</v>
      </c>
      <c r="BM102" s="94">
        <f ca="1">ROUNDUP(IF(race="Gnome",1,(1-MIN(TblMili[[#This Row],[Smithies]]*smithy_bonus,smithy_bonus_cap) + tech_3_5*TblTech[[#This Row],[3-5]] + tech_5_3*TblTech[[#This Row],[5-3]] + tech_5_5*TblTech[[#This Row],[5-5]]))*spec_dp_ore,0)</f>
        <v>15</v>
      </c>
      <c r="BN102" s="94">
        <f ca="1">ROUNDUP((1-MIN(TblMili[[#This Row],[Smithies]]*smithy_bonus,smithy_bonus_cap) + tech_3_5*TblTech[[#This Row],[3-5]] + tech_5_3*TblTech[[#This Row],[5-3]] + tech_5_5*TblTech[[#This Row],[5-5]])*elite1_plat,0)</f>
        <v>1040</v>
      </c>
      <c r="BO102" s="94">
        <f ca="1">ROUNDUP(IF(race="Gnome",1,(1-MIN(TblMili[[#This Row],[Smithies]]*smithy_bonus,smithy_bonus_cap) + tech_3_5*TblTech[[#This Row],[3-5]] + tech_5_3*TblTech[[#This Row],[5-3]] + tech_5_5*TblTech[[#This Row],[5-5]]))*elite1_ore,0)</f>
        <v>75</v>
      </c>
      <c r="BP102" s="94">
        <f ca="1">ROUNDUP((1-MIN(TblMili[[#This Row],[Smithies]]*smithy_bonus,smithy_bonus_cap) + tech_3_5*TblTech[[#This Row],[3-5]] + tech_5_3*TblTech[[#This Row],[5-3]] + tech_5_5*TblTech[[#This Row],[5-5]])*elite2_plat,0)</f>
        <v>1280</v>
      </c>
      <c r="BQ102" s="94">
        <f ca="1">ROUNDUP(IF(race="Gnome",1,(1-MIN(TblMili[[#This Row],[Smithies]]*smithy_bonus,smithy_bonus_cap) + tech_3_5*TblTech[[#This Row],[3-5]] + tech_5_3*TblTech[[#This Row],[5-3]] + tech_5_5*TblTech[[#This Row],[5-5]]))*elite2_ore,0)</f>
        <v>100</v>
      </c>
      <c r="BR102" s="94">
        <f ca="1">ROUNDUP((1-MIN(ROUND(fh_spy_cost_red*TblMili[[#This Row],[FH''s]],4),fh_spy_cost_cap)+ tech_1_9*TblTech[[#This Row],[1-9]] + tech_9_1*TblTech[[#This Row],[9-1]])*spy_plat,0)</f>
        <v>500</v>
      </c>
      <c r="BS102" s="94">
        <f ca="1">ROUNDUP((1-MIN(ROUND(fh_spy_cost_red*TblMili[[#This Row],[FH''s]],4),fh_spy_cost_cap)+ tech_1_9*TblTech[[#This Row],[1-9]] + tech_9_1*TblTech[[#This Row],[9-1]])*archspy_plat,0)</f>
        <v>1000</v>
      </c>
      <c r="BT102" s="94">
        <f ca="1">ROUNDUP((1-MIN(ROUND(wg_wiz_cost_bonus*TblMili[[#This Row],[WG''s]],4),wg_wiz_cost_cap) + tech_1_9_2*TblTech[[#This Row],[1-9]] + tech_9_1_2*TblTech[[#This Row],[9-1]])*wizard_plat,0)</f>
        <v>500</v>
      </c>
      <c r="BU102" s="94">
        <f ca="1">ROUNDUP((1-MIN(ROUND(wg_wiz_cost_bonus*TblMili[[#This Row],[WG''s]],4),wg_wiz_cost_cap) + tech_1_9_2*TblTech[[#This Row],[1-9]] + tech_9_1_2*TblTech[[#This Row],[9-1]])*(archmage_plat + IF(TblMagic[[#This Row],[Active Arc Infusion]]&gt;0,400,0)),0)</f>
        <v>1000</v>
      </c>
      <c r="BV102" s="142"/>
      <c r="BW102" s="157">
        <f ca="1">TblConstr[[#This Row],[Homeland]]/TblConstr[[#This Row],[Land]]</f>
        <v>0.6</v>
      </c>
      <c r="BX102" s="157">
        <f ca="1">TblMili[[#This Row],[WG''s]]</f>
        <v>0</v>
      </c>
      <c r="BY102" s="251">
        <f ca="1">IF(mystic_cap="none",TblMili[[#This Row],[Homeland%]]/mystic_bonus,MIN(mystic_cap,TblMili[[#This Row],[Homeland%]]/mystic_bonus))</f>
        <v>2</v>
      </c>
      <c r="BZ102" s="251">
        <f ca="1">IF(druid_op_cap="none",TblMili[[#This Row],[Homeland%]]/druid_op_bonus,MIN(druid_op_cap,TblMili[[#This Row],[Homeland%]]/druid_op_bonus))</f>
        <v>2</v>
      </c>
      <c r="CA102" s="251">
        <f ca="1">IF(druid_dp_cap="none",TblMili[[#This Row],[Homeland%]]/druid_dp_bonus,MIN(druid_dp_cap,TblMili[[#This Row],[Homeland%]]/druid_dp_bonus))</f>
        <v>2</v>
      </c>
      <c r="CB102" s="251">
        <f ca="1">MIN(dryad_cap,TblMili[[#This Row],[Homeland%]]/dryad_bonus)</f>
        <v>2.9999999999999996</v>
      </c>
      <c r="CC102" s="251">
        <f ca="1">MIN(rocka_cap,TblMili[[#This Row],[Homeland%]]/rocka_bonus)</f>
        <v>2</v>
      </c>
      <c r="CD102" s="251">
        <f ca="1">MIN(adept_op_cap,TblMili[[#This Row],[WG]]/adept_op_bonus)</f>
        <v>0</v>
      </c>
      <c r="CE102" s="251">
        <f ca="1">MIN(adept_dp_cap,TblMili[[#This Row],[WG]]/adept_dp_bonus)</f>
        <v>0</v>
      </c>
      <c r="CF102" s="94">
        <f ca="1">MIN(TblMili[[#This Row],[Unit 3]],TblMili[[#This Row],[Unit 2]])*2</f>
        <v>0</v>
      </c>
      <c r="CG102" s="94">
        <f ca="1">MIN(TblMili[[#This Row],[Unit 1]],TblMili[[#This Row],[Unit 4]])*2</f>
        <v>0</v>
      </c>
      <c r="CH102" s="251">
        <f ca="1">MIN(frost_mage_cap,TblMili[[#This Row],[Homeland%]]/frost_mage_bonus)</f>
        <v>2.9999999999999996</v>
      </c>
      <c r="CI102" s="45">
        <f ca="1">MIN(ice_elem_cap,TblMili[[#This Row],[Raw (2)]]*ice_elem_bonus)</f>
        <v>0</v>
      </c>
      <c r="CJ102" s="251">
        <f t="shared" si="4"/>
        <v>0.83333333333333337</v>
      </c>
      <c r="CK102" s="251">
        <f ca="1">MIN(nox_nightshade_cap,TblConstr[[#This Row],[Homeland]]/TblConstr[[#This Row],[Land]]/nox_nightshade_swamp_bonus)</f>
        <v>4</v>
      </c>
      <c r="CL102" s="251">
        <f ca="1">MIN(TblConstr[[#This Row],[Total Swamp]]/TblConstr[[#This Row],[Land]]/abyss_enforce_bonus,abyss_enforcer_cap)</f>
        <v>0</v>
      </c>
      <c r="CM102" s="251">
        <f ca="1">IF(TblMagic[[#This Row],[Active Infernal Command]]&gt;0,TblMili[[#This Row],[Unit 1]]*infernal_cmd_op,0)</f>
        <v>0</v>
      </c>
      <c r="CN102" s="252"/>
      <c r="CO102" s="252"/>
      <c r="CP102" s="252"/>
      <c r="CQ102" s="251">
        <f ca="1">TblMili[[#This Row],[Mystic]]*2</f>
        <v>4</v>
      </c>
      <c r="CR102" s="251">
        <f ca="1">TblMili[[#This Row],[Druid (op)]]*2</f>
        <v>4</v>
      </c>
      <c r="CS102" s="94">
        <f ca="1">TblMili[[#This Row],[Mystic bonus]]*TblMili[[#This Row],[Unit 3]]+TblMili[[#This Row],[Druid bonus]]*TblMili[[#This Row],[Unit 4]]</f>
        <v>0</v>
      </c>
      <c r="CT102" s="155">
        <f ca="1">TblMili[[#This Row],[Dryad]]*2</f>
        <v>5.9999999999999991</v>
      </c>
      <c r="CU102" s="94">
        <f ca="1">sylvan*(TblMili[[#This Row],[Mystic bonus]]*TblMili[[#This Row],[Unit 3]])</f>
        <v>0</v>
      </c>
      <c r="CV102" s="155">
        <f ca="1">TblMili[[#This Row],[Rockapult]]*2</f>
        <v>4</v>
      </c>
      <c r="CW102" s="94">
        <f ca="1">gnome*(TblMili[[#This Row],[Rockapult bonus]]*TblMili[[#This Row],[Unit 3]])</f>
        <v>0</v>
      </c>
      <c r="CX102" s="155">
        <f ca="1">TblMili[[#This Row],[Adept-DP]]*2</f>
        <v>0</v>
      </c>
      <c r="CY102" s="94">
        <f ca="1">dark_elf*(TblMili[[#This Row],[Adept bonus]]*TblMili[[#This Row],[Unit 3]])</f>
        <v>0</v>
      </c>
      <c r="CZ102" s="155">
        <f ca="1">TblMili[[#This Row],[Frost Mage]]*2</f>
        <v>5.9999999999999991</v>
      </c>
      <c r="DA102" s="155">
        <f ca="1">TblMili[[#This Row],[Ice Elemental]]*2</f>
        <v>0</v>
      </c>
      <c r="DB102" s="94">
        <f ca="1">TblMili[[#This Row],[Frost Mage bonus]]*TblMili[[#This Row],[Unit 3]]+TblMili[[#This Row],[Ice Elemental bonus]]*TblMili[[#This Row],[Unit 4]]</f>
        <v>0</v>
      </c>
      <c r="DC102" s="253"/>
      <c r="DD102" s="143">
        <f ca="1">MIN(SUM(TblConstr[[#This Row],[Plain]:[Water]])/TblMili[[#This Row],[Land]]/favorable_terrain_bonus/100,favorable_terrain_max)</f>
        <v>0</v>
      </c>
      <c r="DE102" s="253"/>
      <c r="DF10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2" s="142"/>
      <c r="DH102" s="254">
        <f ca="1">(TblMili[[#This Row],[Wizards]]+2*TblMili[[#This Row],[Archmages]])/TblConstr[[#This Row],[Land]]</f>
        <v>0</v>
      </c>
      <c r="DI102" s="254">
        <f ca="1">TblMili[[#This Row],[Raw (2)]]*(1+race_wizard_strength+IF(TblMili[[#This Row],[Hour]]&gt;72,tech_magical_weaponry_wiz*TblTech[[#This Row],[3-5]],0))</f>
        <v>0</v>
      </c>
    </row>
    <row r="103" spans="1:113" x14ac:dyDescent="0.2">
      <c r="A103" s="137">
        <f>TblRezone[[#This Row],[Hour]]</f>
        <v>100</v>
      </c>
      <c r="B103" s="246">
        <f ca="1">SUM(TblMili[[#This Row],[Unit 1]:[Archmages]])+SUM(OFFSET(TblMili[[#This Row],[Train Unit 1]],-8,0):TblMili[[#This Row],[Train Unit 2]]) + SUM(OFFSET(TblMili[[#This Row],[Train Unit 3]],-11,0):TblMili[[#This Row],[Train AM]]) + TblMili[[#This Row],[Draftees]]</f>
        <v>594</v>
      </c>
      <c r="C103" s="157">
        <f ca="1">TblPop[[#This Row],[Military%]]</f>
        <v>0.77243172951885564</v>
      </c>
      <c r="D103" s="142"/>
      <c r="E103" s="45">
        <f ca="1">OFFSET(TblMili[[#This Row],[Unit 1]],-1,0) + OFFSET(TblMili[[#This Row],[Train Unit 1]],-9,0) - TblMili[[#This Row],[Release Unit 1]] + OFFSET(TblMili[[#This Row],[DnD_Zombies]],-12,0)</f>
        <v>0</v>
      </c>
      <c r="F103" s="45">
        <f ca="1">OFFSET(TblMili[[#This Row],[Unit 2]],-1,0) + OFFSET(TblMili[[#This Row],[Train Unit 2]],-9,0)-TblMili[[#This Row],[Release Unit 2]]</f>
        <v>0</v>
      </c>
      <c r="G103" s="45">
        <f ca="1">OFFSET(TblMili[[#This Row],[Unit 3]],-1,0) + OFFSET(TblMili[[#This Row],[Train Unit 3]],-12,0)-TblMili[[#This Row],[Release Unit 3]]</f>
        <v>0</v>
      </c>
      <c r="H103" s="45">
        <f ca="1">OFFSET(TblMili[[#This Row],[Unit 4]],-1,0) + OFFSET(TblMili[[#This Row],[Train Unit 4]],-12,0)-TblMili[[#This Row],[Release Unit 4]]</f>
        <v>0</v>
      </c>
      <c r="I103" s="45">
        <f ca="1">OFFSET(TblMili[[#This Row],[Spies]],-1,0) + OFFSET(TblMili[[#This Row],[Train Spies]],-12,0) - TblMili[[#This Row],[Release Spies]]-TblMili[[#This Row],[Train AS]]</f>
        <v>0</v>
      </c>
      <c r="J103" s="45">
        <f ca="1">OFFSET(TblMili[[#This Row],[Archspies]],-1,0) + OFFSET(TblMili[[#This Row],[Train AS]],-12,0) - TblMili[[#This Row],[Release AS]]</f>
        <v>0</v>
      </c>
      <c r="K103" s="45">
        <f ca="1">OFFSET(TblMili[[#This Row],[Wizards]],-1,0) + OFFSET(TblMili[[#This Row],[Train Wiz]],-12,0) - TblMili[[#This Row],[Release Wizards]]-TblMili[[#This Row],[Train AM]] + IF(TblMagic[[#This Row],[Active Arc Infusion]]&gt;0,TblMili[[#This Row],[Train AM]])</f>
        <v>0</v>
      </c>
      <c r="L103" s="45">
        <f ca="1">OFFSET(TblMili[[#This Row],[Archmages]],-1,0) + OFFSET(TblMili[[#This Row],[Train AM]],-12,0) - TblMili[[#This Row],[Release AM]]</f>
        <v>0</v>
      </c>
      <c r="M103" s="142"/>
      <c r="N103" s="94">
        <f ca="1">TblProd[[#This Row],[Networth]]</f>
        <v>1250</v>
      </c>
      <c r="O103" s="142"/>
      <c r="P103"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0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3" s="247">
        <f ca="1">TblMili[[#This Row],[Raw]]*(1+TblMili[[#This Row],[Mods_Off]])</f>
        <v>0</v>
      </c>
      <c r="S103"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03" s="247">
        <f ca="1">TblMili[[#This Row],[Non Draft]]+TblMili[[#This Row],[Draftees]]</f>
        <v>594</v>
      </c>
      <c r="U103" s="248">
        <f ca="1">race_defense + TblImps[[#This Row],[Walls]] + ROUND( MIN(gt_bonus*TblConstr[[#This Row],[Tot GT]]/TblConstr[[#This Row],[Land]],gt_bonus_cap), 4) + IF(TblMagic[[#This Row],[Active Howling]]&gt;0,howling_dp_bonus,IF(TblMagic[[#This Row],[Active Ares Call]]&gt;0,ares_call_bonus))</f>
        <v>0</v>
      </c>
      <c r="V103" s="249">
        <f ca="1">TblMili[[#This Row],[Non Draft]] * (1 + TblMili[[#This Row],[Mods_Def]])</f>
        <v>0</v>
      </c>
      <c r="W103" s="247">
        <f ca="1">TblMili[[#This Row],[Draft]] * (1 + TblMili[[#This Row],[Mods_Def]])</f>
        <v>594</v>
      </c>
      <c r="X103" s="247">
        <f ca="1">TblConstr[[#This Row],[Land]]</f>
        <v>50</v>
      </c>
      <c r="Y103" s="250"/>
      <c r="Z103" s="255">
        <f ca="1">IF(TblMili[[#This Row],[Set]]&lt;&gt;"",TblMili[[#This Row],[Set]],OFFSET(TblMili[[#This Row],[Draftrate]],-1,0))</f>
        <v>0.9</v>
      </c>
      <c r="AA103"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594</v>
      </c>
      <c r="AB103" s="154"/>
      <c r="AC103" s="180">
        <f ca="1">(TblConstr[[#This Row],[Tot Smi]]+TblConstr[[#This Row],[Dest Smi]])/(TblConstr[[#This Row],[Land]]-TblExplore[[#This Row],[Land Bonus]]*20)</f>
        <v>0</v>
      </c>
      <c r="AD103" s="137"/>
      <c r="AE103" s="246">
        <f>TblMili[[#This Row],[Hour]]</f>
        <v>100</v>
      </c>
      <c r="AF103" s="138">
        <f ca="1">TblExplore[[#This Row],[Time]]</f>
        <v>46324.12499999976</v>
      </c>
      <c r="AG103" s="179"/>
      <c r="AH103" s="179"/>
      <c r="AI103" s="179"/>
      <c r="AJ103" s="179"/>
      <c r="AK103" s="179"/>
      <c r="AL103" s="179"/>
      <c r="AM103" s="179"/>
      <c r="AN103" s="179"/>
      <c r="AO103" s="420">
        <f ca="1">ROUND(IF(AND(TblMagic[[#This Row],[Active DnD]]&lt;12,TblMagic[[#This Row],[Active DnD]]&gt;5),OFFSET(TblPop[[#This Row],[Draft Growth]],-1,0)*0.375,0),0)</f>
        <v>0</v>
      </c>
      <c r="AP103" s="142"/>
      <c r="AQ103" s="94">
        <f ca="1">TblProd[[#This Row],[Platinum]]</f>
        <v>200105</v>
      </c>
      <c r="AR103" s="94">
        <f ca="1">INDEX(TblProd[[#Headers],[Lumber]]:TblProd[[#This Row],[Ore]],COUNTA(TblProd[[#Headers],[Lumber]]:TblProd[[#This Row],[Lumber]]),MATCH(Military!$AR$2,TblProd[[#Headers],[Lumber]:[Ore]],0))</f>
        <v>0</v>
      </c>
      <c r="AS10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03" s="94">
        <f ca="1">TblMili[[#This Row],[Train Unit 1]]*TblMili[[#This Row],[OP Ore]]+TblMili[[#This Row],[Train Unit 2]]*TblMili[[#This Row],[DP Ore]]+TblMili[[#This Row],[Train Unit 3]]*TblMili[[#This Row],[E1 Ore]]+TblMili[[#This Row],[Train Unit 4]]*TblMili[[#This Row],[E2 Ore]]</f>
        <v>0</v>
      </c>
      <c r="AU103" s="142">
        <f>TblMili[[#This Row],[Hour]]</f>
        <v>100</v>
      </c>
      <c r="AV103" s="152">
        <f ca="1">TblMili[[#This Row],[Time]]</f>
        <v>46324.12499999976</v>
      </c>
      <c r="AW103" s="94">
        <f ca="1">TblMili[[#This Row],[Draftees]]</f>
        <v>594</v>
      </c>
      <c r="AX103" s="179"/>
      <c r="AY103" s="179"/>
      <c r="AZ103" s="179"/>
      <c r="BA103" s="179"/>
      <c r="BB103" s="179"/>
      <c r="BC103" s="179"/>
      <c r="BD103" s="179"/>
      <c r="BE103" s="179"/>
      <c r="BF103" s="179"/>
      <c r="BG103" s="142"/>
      <c r="BH103" s="157">
        <f ca="1">TblConstr[[#This Row],[Tot WG]]/TblConstr[[#This Row],[Land]]</f>
        <v>0</v>
      </c>
      <c r="BI103" s="157">
        <f ca="1">TblConstr[[#This Row],[Tot Hav]]/TblConstr[[#This Row],[Land]]</f>
        <v>0</v>
      </c>
      <c r="BJ103" s="94">
        <f ca="1">ROUNDUP((1-MIN(TblMili[[#This Row],[Smithies]]*smithy_bonus,smithy_bonus_cap) + tech_3_5*TblTech[[#This Row],[3-5]] + tech_5_3*TblTech[[#This Row],[5-3]] + tech_5_5*TblTech[[#This Row],[5-5]])*spec_op_plat,0)</f>
        <v>315</v>
      </c>
      <c r="BK103" s="94">
        <f ca="1">ROUNDUP(IF(race="Gnome",1,(1-MIN(TblMili[[#This Row],[Smithies]]*smithy_bonus,smithy_bonus_cap) + tech_3_5*TblTech[[#This Row],[3-5]] + tech_5_3*TblTech[[#This Row],[5-3]] + tech_5_5*TblTech[[#This Row],[5-5]]))*spec_op_ore,0)</f>
        <v>25</v>
      </c>
      <c r="BL103" s="94">
        <f ca="1">ROUNDUP((1-MIN(TblMili[[#This Row],[Smithies]]*smithy_bonus,smithy_bonus_cap) + tech_3_5*TblTech[[#This Row],[3-5]] + tech_5_3*TblTech[[#This Row],[5-3]] + tech_5_5*TblTech[[#This Row],[5-5]])*spec_dp_plat,0)</f>
        <v>275</v>
      </c>
      <c r="BM103" s="94">
        <f ca="1">ROUNDUP(IF(race="Gnome",1,(1-MIN(TblMili[[#This Row],[Smithies]]*smithy_bonus,smithy_bonus_cap) + tech_3_5*TblTech[[#This Row],[3-5]] + tech_5_3*TblTech[[#This Row],[5-3]] + tech_5_5*TblTech[[#This Row],[5-5]]))*spec_dp_ore,0)</f>
        <v>15</v>
      </c>
      <c r="BN103" s="94">
        <f ca="1">ROUNDUP((1-MIN(TblMili[[#This Row],[Smithies]]*smithy_bonus,smithy_bonus_cap) + tech_3_5*TblTech[[#This Row],[3-5]] + tech_5_3*TblTech[[#This Row],[5-3]] + tech_5_5*TblTech[[#This Row],[5-5]])*elite1_plat,0)</f>
        <v>1040</v>
      </c>
      <c r="BO103" s="94">
        <f ca="1">ROUNDUP(IF(race="Gnome",1,(1-MIN(TblMili[[#This Row],[Smithies]]*smithy_bonus,smithy_bonus_cap) + tech_3_5*TblTech[[#This Row],[3-5]] + tech_5_3*TblTech[[#This Row],[5-3]] + tech_5_5*TblTech[[#This Row],[5-5]]))*elite1_ore,0)</f>
        <v>75</v>
      </c>
      <c r="BP103" s="94">
        <f ca="1">ROUNDUP((1-MIN(TblMili[[#This Row],[Smithies]]*smithy_bonus,smithy_bonus_cap) + tech_3_5*TblTech[[#This Row],[3-5]] + tech_5_3*TblTech[[#This Row],[5-3]] + tech_5_5*TblTech[[#This Row],[5-5]])*elite2_plat,0)</f>
        <v>1280</v>
      </c>
      <c r="BQ103" s="94">
        <f ca="1">ROUNDUP(IF(race="Gnome",1,(1-MIN(TblMili[[#This Row],[Smithies]]*smithy_bonus,smithy_bonus_cap) + tech_3_5*TblTech[[#This Row],[3-5]] + tech_5_3*TblTech[[#This Row],[5-3]] + tech_5_5*TblTech[[#This Row],[5-5]]))*elite2_ore,0)</f>
        <v>100</v>
      </c>
      <c r="BR103" s="94">
        <f ca="1">ROUNDUP((1-MIN(ROUND(fh_spy_cost_red*TblMili[[#This Row],[FH''s]],4),fh_spy_cost_cap)+ tech_1_9*TblTech[[#This Row],[1-9]] + tech_9_1*TblTech[[#This Row],[9-1]])*spy_plat,0)</f>
        <v>500</v>
      </c>
      <c r="BS103" s="94">
        <f ca="1">ROUNDUP((1-MIN(ROUND(fh_spy_cost_red*TblMili[[#This Row],[FH''s]],4),fh_spy_cost_cap)+ tech_1_9*TblTech[[#This Row],[1-9]] + tech_9_1*TblTech[[#This Row],[9-1]])*archspy_plat,0)</f>
        <v>1000</v>
      </c>
      <c r="BT103" s="94">
        <f ca="1">ROUNDUP((1-MIN(ROUND(wg_wiz_cost_bonus*TblMili[[#This Row],[WG''s]],4),wg_wiz_cost_cap) + tech_1_9_2*TblTech[[#This Row],[1-9]] + tech_9_1_2*TblTech[[#This Row],[9-1]])*wizard_plat,0)</f>
        <v>500</v>
      </c>
      <c r="BU103" s="94">
        <f ca="1">ROUNDUP((1-MIN(ROUND(wg_wiz_cost_bonus*TblMili[[#This Row],[WG''s]],4),wg_wiz_cost_cap) + tech_1_9_2*TblTech[[#This Row],[1-9]] + tech_9_1_2*TblTech[[#This Row],[9-1]])*(archmage_plat + IF(TblMagic[[#This Row],[Active Arc Infusion]]&gt;0,400,0)),0)</f>
        <v>1000</v>
      </c>
      <c r="BV103" s="142"/>
      <c r="BW103" s="157">
        <f ca="1">TblConstr[[#This Row],[Homeland]]/TblConstr[[#This Row],[Land]]</f>
        <v>0.6</v>
      </c>
      <c r="BX103" s="157">
        <f ca="1">TblMili[[#This Row],[WG''s]]</f>
        <v>0</v>
      </c>
      <c r="BY103" s="251">
        <f ca="1">IF(mystic_cap="none",TblMili[[#This Row],[Homeland%]]/mystic_bonus,MIN(mystic_cap,TblMili[[#This Row],[Homeland%]]/mystic_bonus))</f>
        <v>2</v>
      </c>
      <c r="BZ103" s="251">
        <f ca="1">IF(druid_op_cap="none",TblMili[[#This Row],[Homeland%]]/druid_op_bonus,MIN(druid_op_cap,TblMili[[#This Row],[Homeland%]]/druid_op_bonus))</f>
        <v>2</v>
      </c>
      <c r="CA103" s="251">
        <f ca="1">IF(druid_dp_cap="none",TblMili[[#This Row],[Homeland%]]/druid_dp_bonus,MIN(druid_dp_cap,TblMili[[#This Row],[Homeland%]]/druid_dp_bonus))</f>
        <v>2</v>
      </c>
      <c r="CB103" s="251">
        <f ca="1">MIN(dryad_cap,TblMili[[#This Row],[Homeland%]]/dryad_bonus)</f>
        <v>2.9999999999999996</v>
      </c>
      <c r="CC103" s="251">
        <f ca="1">MIN(rocka_cap,TblMili[[#This Row],[Homeland%]]/rocka_bonus)</f>
        <v>2</v>
      </c>
      <c r="CD103" s="251">
        <f ca="1">MIN(adept_op_cap,TblMili[[#This Row],[WG]]/adept_op_bonus)</f>
        <v>0</v>
      </c>
      <c r="CE103" s="251">
        <f ca="1">MIN(adept_dp_cap,TblMili[[#This Row],[WG]]/adept_dp_bonus)</f>
        <v>0</v>
      </c>
      <c r="CF103" s="94">
        <f ca="1">MIN(TblMili[[#This Row],[Unit 3]],TblMili[[#This Row],[Unit 2]])*2</f>
        <v>0</v>
      </c>
      <c r="CG103" s="94">
        <f ca="1">MIN(TblMili[[#This Row],[Unit 1]],TblMili[[#This Row],[Unit 4]])*2</f>
        <v>0</v>
      </c>
      <c r="CH103" s="251">
        <f ca="1">MIN(frost_mage_cap,TblMili[[#This Row],[Homeland%]]/frost_mage_bonus)</f>
        <v>2.9999999999999996</v>
      </c>
      <c r="CI103" s="45">
        <f ca="1">MIN(ice_elem_cap,TblMili[[#This Row],[Raw (2)]]*ice_elem_bonus)</f>
        <v>0</v>
      </c>
      <c r="CJ103" s="251">
        <f t="shared" si="4"/>
        <v>0.83333333333333337</v>
      </c>
      <c r="CK103" s="251">
        <f ca="1">MIN(nox_nightshade_cap,TblConstr[[#This Row],[Homeland]]/TblConstr[[#This Row],[Land]]/nox_nightshade_swamp_bonus)</f>
        <v>4</v>
      </c>
      <c r="CL103" s="251">
        <f ca="1">MIN(TblConstr[[#This Row],[Total Swamp]]/TblConstr[[#This Row],[Land]]/abyss_enforce_bonus,abyss_enforcer_cap)</f>
        <v>0</v>
      </c>
      <c r="CM103" s="251">
        <f ca="1">IF(TblMagic[[#This Row],[Active Infernal Command]]&gt;0,TblMili[[#This Row],[Unit 1]]*infernal_cmd_op,0)</f>
        <v>0</v>
      </c>
      <c r="CN103" s="252"/>
      <c r="CO103" s="252"/>
      <c r="CP103" s="252"/>
      <c r="CQ103" s="251">
        <f ca="1">TblMili[[#This Row],[Mystic]]*2</f>
        <v>4</v>
      </c>
      <c r="CR103" s="251">
        <f ca="1">TblMili[[#This Row],[Druid (op)]]*2</f>
        <v>4</v>
      </c>
      <c r="CS103" s="94">
        <f ca="1">TblMili[[#This Row],[Mystic bonus]]*TblMili[[#This Row],[Unit 3]]+TblMili[[#This Row],[Druid bonus]]*TblMili[[#This Row],[Unit 4]]</f>
        <v>0</v>
      </c>
      <c r="CT103" s="155">
        <f ca="1">TblMili[[#This Row],[Dryad]]*2</f>
        <v>5.9999999999999991</v>
      </c>
      <c r="CU103" s="94">
        <f ca="1">sylvan*(TblMili[[#This Row],[Mystic bonus]]*TblMili[[#This Row],[Unit 3]])</f>
        <v>0</v>
      </c>
      <c r="CV103" s="155">
        <f ca="1">TblMili[[#This Row],[Rockapult]]*2</f>
        <v>4</v>
      </c>
      <c r="CW103" s="94">
        <f ca="1">gnome*(TblMili[[#This Row],[Rockapult bonus]]*TblMili[[#This Row],[Unit 3]])</f>
        <v>0</v>
      </c>
      <c r="CX103" s="155">
        <f ca="1">TblMili[[#This Row],[Adept-DP]]*2</f>
        <v>0</v>
      </c>
      <c r="CY103" s="94">
        <f ca="1">dark_elf*(TblMili[[#This Row],[Adept bonus]]*TblMili[[#This Row],[Unit 3]])</f>
        <v>0</v>
      </c>
      <c r="CZ103" s="155">
        <f ca="1">TblMili[[#This Row],[Frost Mage]]*2</f>
        <v>5.9999999999999991</v>
      </c>
      <c r="DA103" s="155">
        <f ca="1">TblMili[[#This Row],[Ice Elemental]]*2</f>
        <v>0</v>
      </c>
      <c r="DB103" s="94">
        <f ca="1">TblMili[[#This Row],[Frost Mage bonus]]*TblMili[[#This Row],[Unit 3]]+TblMili[[#This Row],[Ice Elemental bonus]]*TblMili[[#This Row],[Unit 4]]</f>
        <v>0</v>
      </c>
      <c r="DC103" s="253"/>
      <c r="DD103" s="143">
        <f ca="1">MIN(SUM(TblConstr[[#This Row],[Plain]:[Water]])/TblMili[[#This Row],[Land]]/favorable_terrain_bonus/100,favorable_terrain_max)</f>
        <v>0</v>
      </c>
      <c r="DE103" s="253"/>
      <c r="DF10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3" s="142"/>
      <c r="DH103" s="254">
        <f ca="1">(TblMili[[#This Row],[Wizards]]+2*TblMili[[#This Row],[Archmages]])/TblConstr[[#This Row],[Land]]</f>
        <v>0</v>
      </c>
      <c r="DI103" s="254">
        <f ca="1">TblMili[[#This Row],[Raw (2)]]*(1+race_wizard_strength+IF(TblMili[[#This Row],[Hour]]&gt;72,tech_magical_weaponry_wiz*TblTech[[#This Row],[3-5]],0))</f>
        <v>0</v>
      </c>
    </row>
    <row r="104" spans="1:113" x14ac:dyDescent="0.2">
      <c r="A104" s="137">
        <f>TblRezone[[#This Row],[Hour]]</f>
        <v>101</v>
      </c>
      <c r="B104" s="246">
        <f ca="1">SUM(TblMili[[#This Row],[Unit 1]:[Archmages]])+SUM(OFFSET(TblMili[[#This Row],[Train Unit 1]],-8,0):TblMili[[#This Row],[Train Unit 2]]) + SUM(OFFSET(TblMili[[#This Row],[Train Unit 3]],-11,0):TblMili[[#This Row],[Train AM]]) + TblMili[[#This Row],[Draftees]]</f>
        <v>596</v>
      </c>
      <c r="C104" s="157">
        <f ca="1">TblPop[[#This Row],[Military%]]</f>
        <v>0.77503250975292592</v>
      </c>
      <c r="D104" s="142"/>
      <c r="E104" s="45">
        <f ca="1">OFFSET(TblMili[[#This Row],[Unit 1]],-1,0) + OFFSET(TblMili[[#This Row],[Train Unit 1]],-9,0) - TblMili[[#This Row],[Release Unit 1]] + OFFSET(TblMili[[#This Row],[DnD_Zombies]],-12,0)</f>
        <v>0</v>
      </c>
      <c r="F104" s="45">
        <f ca="1">OFFSET(TblMili[[#This Row],[Unit 2]],-1,0) + OFFSET(TblMili[[#This Row],[Train Unit 2]],-9,0)-TblMili[[#This Row],[Release Unit 2]]</f>
        <v>0</v>
      </c>
      <c r="G104" s="45">
        <f ca="1">OFFSET(TblMili[[#This Row],[Unit 3]],-1,0) + OFFSET(TblMili[[#This Row],[Train Unit 3]],-12,0)-TblMili[[#This Row],[Release Unit 3]]</f>
        <v>0</v>
      </c>
      <c r="H104" s="45">
        <f ca="1">OFFSET(TblMili[[#This Row],[Unit 4]],-1,0) + OFFSET(TblMili[[#This Row],[Train Unit 4]],-12,0)-TblMili[[#This Row],[Release Unit 4]]</f>
        <v>0</v>
      </c>
      <c r="I104" s="45">
        <f ca="1">OFFSET(TblMili[[#This Row],[Spies]],-1,0) + OFFSET(TblMili[[#This Row],[Train Spies]],-12,0) - TblMili[[#This Row],[Release Spies]]-TblMili[[#This Row],[Train AS]]</f>
        <v>0</v>
      </c>
      <c r="J104" s="45">
        <f ca="1">OFFSET(TblMili[[#This Row],[Archspies]],-1,0) + OFFSET(TblMili[[#This Row],[Train AS]],-12,0) - TblMili[[#This Row],[Release AS]]</f>
        <v>0</v>
      </c>
      <c r="K104" s="45">
        <f ca="1">OFFSET(TblMili[[#This Row],[Wizards]],-1,0) + OFFSET(TblMili[[#This Row],[Train Wiz]],-12,0) - TblMili[[#This Row],[Release Wizards]]-TblMili[[#This Row],[Train AM]] + IF(TblMagic[[#This Row],[Active Arc Infusion]]&gt;0,TblMili[[#This Row],[Train AM]])</f>
        <v>0</v>
      </c>
      <c r="L104" s="45">
        <f ca="1">OFFSET(TblMili[[#This Row],[Archmages]],-1,0) + OFFSET(TblMili[[#This Row],[Train AM]],-12,0) - TblMili[[#This Row],[Release AM]]</f>
        <v>0</v>
      </c>
      <c r="M104" s="142"/>
      <c r="N104" s="94">
        <f ca="1">TblProd[[#This Row],[Networth]]</f>
        <v>1250</v>
      </c>
      <c r="O104" s="142"/>
      <c r="P104"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0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4" s="247">
        <f ca="1">TblMili[[#This Row],[Raw]]*(1+TblMili[[#This Row],[Mods_Off]])</f>
        <v>0</v>
      </c>
      <c r="S104"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04" s="247">
        <f ca="1">TblMili[[#This Row],[Non Draft]]+TblMili[[#This Row],[Draftees]]</f>
        <v>596</v>
      </c>
      <c r="U104" s="248">
        <f ca="1">race_defense + TblImps[[#This Row],[Walls]] + ROUND( MIN(gt_bonus*TblConstr[[#This Row],[Tot GT]]/TblConstr[[#This Row],[Land]],gt_bonus_cap), 4) + IF(TblMagic[[#This Row],[Active Howling]]&gt;0,howling_dp_bonus,IF(TblMagic[[#This Row],[Active Ares Call]]&gt;0,ares_call_bonus))</f>
        <v>0</v>
      </c>
      <c r="V104" s="249">
        <f ca="1">TblMili[[#This Row],[Non Draft]] * (1 + TblMili[[#This Row],[Mods_Def]])</f>
        <v>0</v>
      </c>
      <c r="W104" s="247">
        <f ca="1">TblMili[[#This Row],[Draft]] * (1 + TblMili[[#This Row],[Mods_Def]])</f>
        <v>596</v>
      </c>
      <c r="X104" s="247">
        <f ca="1">TblConstr[[#This Row],[Land]]</f>
        <v>50</v>
      </c>
      <c r="Y104" s="250"/>
      <c r="Z104" s="255">
        <f ca="1">IF(TblMili[[#This Row],[Set]]&lt;&gt;"",TblMili[[#This Row],[Set]],OFFSET(TblMili[[#This Row],[Draftrate]],-1,0))</f>
        <v>0.9</v>
      </c>
      <c r="AA104"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596</v>
      </c>
      <c r="AB104" s="154"/>
      <c r="AC104" s="180">
        <f ca="1">(TblConstr[[#This Row],[Tot Smi]]+TblConstr[[#This Row],[Dest Smi]])/(TblConstr[[#This Row],[Land]]-TblExplore[[#This Row],[Land Bonus]]*20)</f>
        <v>0</v>
      </c>
      <c r="AD104" s="137"/>
      <c r="AE104" s="246">
        <f>TblMili[[#This Row],[Hour]]</f>
        <v>101</v>
      </c>
      <c r="AF104" s="138">
        <f ca="1">TblExplore[[#This Row],[Time]]</f>
        <v>46324.166666666424</v>
      </c>
      <c r="AG104" s="179"/>
      <c r="AH104" s="179"/>
      <c r="AI104" s="179"/>
      <c r="AJ104" s="179"/>
      <c r="AK104" s="179"/>
      <c r="AL104" s="179"/>
      <c r="AM104" s="179"/>
      <c r="AN104" s="179"/>
      <c r="AO104" s="420">
        <f ca="1">ROUND(IF(AND(TblMagic[[#This Row],[Active DnD]]&lt;12,TblMagic[[#This Row],[Active DnD]]&gt;5),OFFSET(TblPop[[#This Row],[Draft Growth]],-1,0)*0.375,0),0)</f>
        <v>0</v>
      </c>
      <c r="AP104" s="142"/>
      <c r="AQ104" s="94">
        <f ca="1">TblProd[[#This Row],[Platinum]]</f>
        <v>200577</v>
      </c>
      <c r="AR104" s="94">
        <f ca="1">INDEX(TblProd[[#Headers],[Lumber]]:TblProd[[#This Row],[Ore]],COUNTA(TblProd[[#Headers],[Lumber]]:TblProd[[#This Row],[Lumber]]),MATCH(Military!$AR$2,TblProd[[#Headers],[Lumber]:[Ore]],0))</f>
        <v>0</v>
      </c>
      <c r="AS10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04" s="94">
        <f ca="1">TblMili[[#This Row],[Train Unit 1]]*TblMili[[#This Row],[OP Ore]]+TblMili[[#This Row],[Train Unit 2]]*TblMili[[#This Row],[DP Ore]]+TblMili[[#This Row],[Train Unit 3]]*TblMili[[#This Row],[E1 Ore]]+TblMili[[#This Row],[Train Unit 4]]*TblMili[[#This Row],[E2 Ore]]</f>
        <v>0</v>
      </c>
      <c r="AU104" s="142">
        <f>TblMili[[#This Row],[Hour]]</f>
        <v>101</v>
      </c>
      <c r="AV104" s="152">
        <f ca="1">TblMili[[#This Row],[Time]]</f>
        <v>46324.166666666424</v>
      </c>
      <c r="AW104" s="94">
        <f ca="1">TblMili[[#This Row],[Draftees]]</f>
        <v>596</v>
      </c>
      <c r="AX104" s="179"/>
      <c r="AY104" s="179"/>
      <c r="AZ104" s="179"/>
      <c r="BA104" s="179"/>
      <c r="BB104" s="179"/>
      <c r="BC104" s="179"/>
      <c r="BD104" s="179"/>
      <c r="BE104" s="179"/>
      <c r="BF104" s="179"/>
      <c r="BG104" s="142"/>
      <c r="BH104" s="157">
        <f ca="1">TblConstr[[#This Row],[Tot WG]]/TblConstr[[#This Row],[Land]]</f>
        <v>0</v>
      </c>
      <c r="BI104" s="157">
        <f ca="1">TblConstr[[#This Row],[Tot Hav]]/TblConstr[[#This Row],[Land]]</f>
        <v>0</v>
      </c>
      <c r="BJ104" s="94">
        <f ca="1">ROUNDUP((1-MIN(TblMili[[#This Row],[Smithies]]*smithy_bonus,smithy_bonus_cap) + tech_3_5*TblTech[[#This Row],[3-5]] + tech_5_3*TblTech[[#This Row],[5-3]] + tech_5_5*TblTech[[#This Row],[5-5]])*spec_op_plat,0)</f>
        <v>315</v>
      </c>
      <c r="BK104" s="94">
        <f ca="1">ROUNDUP(IF(race="Gnome",1,(1-MIN(TblMili[[#This Row],[Smithies]]*smithy_bonus,smithy_bonus_cap) + tech_3_5*TblTech[[#This Row],[3-5]] + tech_5_3*TblTech[[#This Row],[5-3]] + tech_5_5*TblTech[[#This Row],[5-5]]))*spec_op_ore,0)</f>
        <v>25</v>
      </c>
      <c r="BL104" s="94">
        <f ca="1">ROUNDUP((1-MIN(TblMili[[#This Row],[Smithies]]*smithy_bonus,smithy_bonus_cap) + tech_3_5*TblTech[[#This Row],[3-5]] + tech_5_3*TblTech[[#This Row],[5-3]] + tech_5_5*TblTech[[#This Row],[5-5]])*spec_dp_plat,0)</f>
        <v>275</v>
      </c>
      <c r="BM104" s="94">
        <f ca="1">ROUNDUP(IF(race="Gnome",1,(1-MIN(TblMili[[#This Row],[Smithies]]*smithy_bonus,smithy_bonus_cap) + tech_3_5*TblTech[[#This Row],[3-5]] + tech_5_3*TblTech[[#This Row],[5-3]] + tech_5_5*TblTech[[#This Row],[5-5]]))*spec_dp_ore,0)</f>
        <v>15</v>
      </c>
      <c r="BN104" s="94">
        <f ca="1">ROUNDUP((1-MIN(TblMili[[#This Row],[Smithies]]*smithy_bonus,smithy_bonus_cap) + tech_3_5*TblTech[[#This Row],[3-5]] + tech_5_3*TblTech[[#This Row],[5-3]] + tech_5_5*TblTech[[#This Row],[5-5]])*elite1_plat,0)</f>
        <v>1040</v>
      </c>
      <c r="BO104" s="94">
        <f ca="1">ROUNDUP(IF(race="Gnome",1,(1-MIN(TblMili[[#This Row],[Smithies]]*smithy_bonus,smithy_bonus_cap) + tech_3_5*TblTech[[#This Row],[3-5]] + tech_5_3*TblTech[[#This Row],[5-3]] + tech_5_5*TblTech[[#This Row],[5-5]]))*elite1_ore,0)</f>
        <v>75</v>
      </c>
      <c r="BP104" s="94">
        <f ca="1">ROUNDUP((1-MIN(TblMili[[#This Row],[Smithies]]*smithy_bonus,smithy_bonus_cap) + tech_3_5*TblTech[[#This Row],[3-5]] + tech_5_3*TblTech[[#This Row],[5-3]] + tech_5_5*TblTech[[#This Row],[5-5]])*elite2_plat,0)</f>
        <v>1280</v>
      </c>
      <c r="BQ104" s="94">
        <f ca="1">ROUNDUP(IF(race="Gnome",1,(1-MIN(TblMili[[#This Row],[Smithies]]*smithy_bonus,smithy_bonus_cap) + tech_3_5*TblTech[[#This Row],[3-5]] + tech_5_3*TblTech[[#This Row],[5-3]] + tech_5_5*TblTech[[#This Row],[5-5]]))*elite2_ore,0)</f>
        <v>100</v>
      </c>
      <c r="BR104" s="94">
        <f ca="1">ROUNDUP((1-MIN(ROUND(fh_spy_cost_red*TblMili[[#This Row],[FH''s]],4),fh_spy_cost_cap)+ tech_1_9*TblTech[[#This Row],[1-9]] + tech_9_1*TblTech[[#This Row],[9-1]])*spy_plat,0)</f>
        <v>500</v>
      </c>
      <c r="BS104" s="94">
        <f ca="1">ROUNDUP((1-MIN(ROUND(fh_spy_cost_red*TblMili[[#This Row],[FH''s]],4),fh_spy_cost_cap)+ tech_1_9*TblTech[[#This Row],[1-9]] + tech_9_1*TblTech[[#This Row],[9-1]])*archspy_plat,0)</f>
        <v>1000</v>
      </c>
      <c r="BT104" s="94">
        <f ca="1">ROUNDUP((1-MIN(ROUND(wg_wiz_cost_bonus*TblMili[[#This Row],[WG''s]],4),wg_wiz_cost_cap) + tech_1_9_2*TblTech[[#This Row],[1-9]] + tech_9_1_2*TblTech[[#This Row],[9-1]])*wizard_plat,0)</f>
        <v>500</v>
      </c>
      <c r="BU104" s="94">
        <f ca="1">ROUNDUP((1-MIN(ROUND(wg_wiz_cost_bonus*TblMili[[#This Row],[WG''s]],4),wg_wiz_cost_cap) + tech_1_9_2*TblTech[[#This Row],[1-9]] + tech_9_1_2*TblTech[[#This Row],[9-1]])*(archmage_plat + IF(TblMagic[[#This Row],[Active Arc Infusion]]&gt;0,400,0)),0)</f>
        <v>1000</v>
      </c>
      <c r="BV104" s="142"/>
      <c r="BW104" s="157">
        <f ca="1">TblConstr[[#This Row],[Homeland]]/TblConstr[[#This Row],[Land]]</f>
        <v>0.6</v>
      </c>
      <c r="BX104" s="157">
        <f ca="1">TblMili[[#This Row],[WG''s]]</f>
        <v>0</v>
      </c>
      <c r="BY104" s="251">
        <f ca="1">IF(mystic_cap="none",TblMili[[#This Row],[Homeland%]]/mystic_bonus,MIN(mystic_cap,TblMili[[#This Row],[Homeland%]]/mystic_bonus))</f>
        <v>2</v>
      </c>
      <c r="BZ104" s="251">
        <f ca="1">IF(druid_op_cap="none",TblMili[[#This Row],[Homeland%]]/druid_op_bonus,MIN(druid_op_cap,TblMili[[#This Row],[Homeland%]]/druid_op_bonus))</f>
        <v>2</v>
      </c>
      <c r="CA104" s="251">
        <f ca="1">IF(druid_dp_cap="none",TblMili[[#This Row],[Homeland%]]/druid_dp_bonus,MIN(druid_dp_cap,TblMili[[#This Row],[Homeland%]]/druid_dp_bonus))</f>
        <v>2</v>
      </c>
      <c r="CB104" s="251">
        <f ca="1">MIN(dryad_cap,TblMili[[#This Row],[Homeland%]]/dryad_bonus)</f>
        <v>2.9999999999999996</v>
      </c>
      <c r="CC104" s="251">
        <f ca="1">MIN(rocka_cap,TblMili[[#This Row],[Homeland%]]/rocka_bonus)</f>
        <v>2</v>
      </c>
      <c r="CD104" s="251">
        <f ca="1">MIN(adept_op_cap,TblMili[[#This Row],[WG]]/adept_op_bonus)</f>
        <v>0</v>
      </c>
      <c r="CE104" s="251">
        <f ca="1">MIN(adept_dp_cap,TblMili[[#This Row],[WG]]/adept_dp_bonus)</f>
        <v>0</v>
      </c>
      <c r="CF104" s="94">
        <f ca="1">MIN(TblMili[[#This Row],[Unit 3]],TblMili[[#This Row],[Unit 2]])*2</f>
        <v>0</v>
      </c>
      <c r="CG104" s="94">
        <f ca="1">MIN(TblMili[[#This Row],[Unit 1]],TblMili[[#This Row],[Unit 4]])*2</f>
        <v>0</v>
      </c>
      <c r="CH104" s="251">
        <f ca="1">MIN(frost_mage_cap,TblMili[[#This Row],[Homeland%]]/frost_mage_bonus)</f>
        <v>2.9999999999999996</v>
      </c>
      <c r="CI104" s="45">
        <f ca="1">MIN(ice_elem_cap,TblMili[[#This Row],[Raw (2)]]*ice_elem_bonus)</f>
        <v>0</v>
      </c>
      <c r="CJ104" s="251">
        <f t="shared" si="4"/>
        <v>0.83333333333333337</v>
      </c>
      <c r="CK104" s="251">
        <f ca="1">MIN(nox_nightshade_cap,TblConstr[[#This Row],[Homeland]]/TblConstr[[#This Row],[Land]]/nox_nightshade_swamp_bonus)</f>
        <v>4</v>
      </c>
      <c r="CL104" s="251">
        <f ca="1">MIN(TblConstr[[#This Row],[Total Swamp]]/TblConstr[[#This Row],[Land]]/abyss_enforce_bonus,abyss_enforcer_cap)</f>
        <v>0</v>
      </c>
      <c r="CM104" s="251">
        <f ca="1">IF(TblMagic[[#This Row],[Active Infernal Command]]&gt;0,TblMili[[#This Row],[Unit 1]]*infernal_cmd_op,0)</f>
        <v>0</v>
      </c>
      <c r="CN104" s="252"/>
      <c r="CO104" s="252"/>
      <c r="CP104" s="252"/>
      <c r="CQ104" s="251">
        <f ca="1">TblMili[[#This Row],[Mystic]]*2</f>
        <v>4</v>
      </c>
      <c r="CR104" s="251">
        <f ca="1">TblMili[[#This Row],[Druid (op)]]*2</f>
        <v>4</v>
      </c>
      <c r="CS104" s="94">
        <f ca="1">TblMili[[#This Row],[Mystic bonus]]*TblMili[[#This Row],[Unit 3]]+TblMili[[#This Row],[Druid bonus]]*TblMili[[#This Row],[Unit 4]]</f>
        <v>0</v>
      </c>
      <c r="CT104" s="155">
        <f ca="1">TblMili[[#This Row],[Dryad]]*2</f>
        <v>5.9999999999999991</v>
      </c>
      <c r="CU104" s="94">
        <f ca="1">sylvan*(TblMili[[#This Row],[Mystic bonus]]*TblMili[[#This Row],[Unit 3]])</f>
        <v>0</v>
      </c>
      <c r="CV104" s="155">
        <f ca="1">TblMili[[#This Row],[Rockapult]]*2</f>
        <v>4</v>
      </c>
      <c r="CW104" s="94">
        <f ca="1">gnome*(TblMili[[#This Row],[Rockapult bonus]]*TblMili[[#This Row],[Unit 3]])</f>
        <v>0</v>
      </c>
      <c r="CX104" s="155">
        <f ca="1">TblMili[[#This Row],[Adept-DP]]*2</f>
        <v>0</v>
      </c>
      <c r="CY104" s="94">
        <f ca="1">dark_elf*(TblMili[[#This Row],[Adept bonus]]*TblMili[[#This Row],[Unit 3]])</f>
        <v>0</v>
      </c>
      <c r="CZ104" s="155">
        <f ca="1">TblMili[[#This Row],[Frost Mage]]*2</f>
        <v>5.9999999999999991</v>
      </c>
      <c r="DA104" s="155">
        <f ca="1">TblMili[[#This Row],[Ice Elemental]]*2</f>
        <v>0</v>
      </c>
      <c r="DB104" s="94">
        <f ca="1">TblMili[[#This Row],[Frost Mage bonus]]*TblMili[[#This Row],[Unit 3]]+TblMili[[#This Row],[Ice Elemental bonus]]*TblMili[[#This Row],[Unit 4]]</f>
        <v>0</v>
      </c>
      <c r="DC104" s="253"/>
      <c r="DD104" s="143">
        <f ca="1">MIN(SUM(TblConstr[[#This Row],[Plain]:[Water]])/TblMili[[#This Row],[Land]]/favorable_terrain_bonus/100,favorable_terrain_max)</f>
        <v>0</v>
      </c>
      <c r="DE104" s="253"/>
      <c r="DF10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4" s="142"/>
      <c r="DH104" s="254">
        <f ca="1">(TblMili[[#This Row],[Wizards]]+2*TblMili[[#This Row],[Archmages]])/TblConstr[[#This Row],[Land]]</f>
        <v>0</v>
      </c>
      <c r="DI104" s="254">
        <f ca="1">TblMili[[#This Row],[Raw (2)]]*(1+race_wizard_strength+IF(TblMili[[#This Row],[Hour]]&gt;72,tech_magical_weaponry_wiz*TblTech[[#This Row],[3-5]],0))</f>
        <v>0</v>
      </c>
    </row>
    <row r="105" spans="1:113" x14ac:dyDescent="0.2">
      <c r="A105" s="137">
        <f>TblRezone[[#This Row],[Hour]]</f>
        <v>102</v>
      </c>
      <c r="B105" s="246">
        <f ca="1">SUM(TblMili[[#This Row],[Unit 1]:[Archmages]])+SUM(OFFSET(TblMili[[#This Row],[Train Unit 1]],-8,0):TblMili[[#This Row],[Train Unit 2]]) + SUM(OFFSET(TblMili[[#This Row],[Train Unit 3]],-11,0):TblMili[[#This Row],[Train AM]]) + TblMili[[#This Row],[Draftees]]</f>
        <v>598</v>
      </c>
      <c r="C105" s="157">
        <f ca="1">TblPop[[#This Row],[Military%]]</f>
        <v>0.7776332899869961</v>
      </c>
      <c r="D105" s="142"/>
      <c r="E105" s="45">
        <f ca="1">OFFSET(TblMili[[#This Row],[Unit 1]],-1,0) + OFFSET(TblMili[[#This Row],[Train Unit 1]],-9,0) - TblMili[[#This Row],[Release Unit 1]] + OFFSET(TblMili[[#This Row],[DnD_Zombies]],-12,0)</f>
        <v>0</v>
      </c>
      <c r="F105" s="45">
        <f ca="1">OFFSET(TblMili[[#This Row],[Unit 2]],-1,0) + OFFSET(TblMili[[#This Row],[Train Unit 2]],-9,0)-TblMili[[#This Row],[Release Unit 2]]</f>
        <v>0</v>
      </c>
      <c r="G105" s="45">
        <f ca="1">OFFSET(TblMili[[#This Row],[Unit 3]],-1,0) + OFFSET(TblMili[[#This Row],[Train Unit 3]],-12,0)-TblMili[[#This Row],[Release Unit 3]]</f>
        <v>0</v>
      </c>
      <c r="H105" s="45">
        <f ca="1">OFFSET(TblMili[[#This Row],[Unit 4]],-1,0) + OFFSET(TblMili[[#This Row],[Train Unit 4]],-12,0)-TblMili[[#This Row],[Release Unit 4]]</f>
        <v>0</v>
      </c>
      <c r="I105" s="45">
        <f ca="1">OFFSET(TblMili[[#This Row],[Spies]],-1,0) + OFFSET(TblMili[[#This Row],[Train Spies]],-12,0) - TblMili[[#This Row],[Release Spies]]-TblMili[[#This Row],[Train AS]]</f>
        <v>0</v>
      </c>
      <c r="J105" s="45">
        <f ca="1">OFFSET(TblMili[[#This Row],[Archspies]],-1,0) + OFFSET(TblMili[[#This Row],[Train AS]],-12,0) - TblMili[[#This Row],[Release AS]]</f>
        <v>0</v>
      </c>
      <c r="K105" s="45">
        <f ca="1">OFFSET(TblMili[[#This Row],[Wizards]],-1,0) + OFFSET(TblMili[[#This Row],[Train Wiz]],-12,0) - TblMili[[#This Row],[Release Wizards]]-TblMili[[#This Row],[Train AM]] + IF(TblMagic[[#This Row],[Active Arc Infusion]]&gt;0,TblMili[[#This Row],[Train AM]])</f>
        <v>0</v>
      </c>
      <c r="L105" s="45">
        <f ca="1">OFFSET(TblMili[[#This Row],[Archmages]],-1,0) + OFFSET(TblMili[[#This Row],[Train AM]],-12,0) - TblMili[[#This Row],[Release AM]]</f>
        <v>0</v>
      </c>
      <c r="M105" s="142"/>
      <c r="N105" s="94">
        <f ca="1">TblProd[[#This Row],[Networth]]</f>
        <v>1250</v>
      </c>
      <c r="O105" s="142"/>
      <c r="P105"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0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5" s="247">
        <f ca="1">TblMili[[#This Row],[Raw]]*(1+TblMili[[#This Row],[Mods_Off]])</f>
        <v>0</v>
      </c>
      <c r="S105"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05" s="247">
        <f ca="1">TblMili[[#This Row],[Non Draft]]+TblMili[[#This Row],[Draftees]]</f>
        <v>598</v>
      </c>
      <c r="U105" s="248">
        <f ca="1">race_defense + TblImps[[#This Row],[Walls]] + ROUND( MIN(gt_bonus*TblConstr[[#This Row],[Tot GT]]/TblConstr[[#This Row],[Land]],gt_bonus_cap), 4) + IF(TblMagic[[#This Row],[Active Howling]]&gt;0,howling_dp_bonus,IF(TblMagic[[#This Row],[Active Ares Call]]&gt;0,ares_call_bonus))</f>
        <v>0</v>
      </c>
      <c r="V105" s="249">
        <f ca="1">TblMili[[#This Row],[Non Draft]] * (1 + TblMili[[#This Row],[Mods_Def]])</f>
        <v>0</v>
      </c>
      <c r="W105" s="247">
        <f ca="1">TblMili[[#This Row],[Draft]] * (1 + TblMili[[#This Row],[Mods_Def]])</f>
        <v>598</v>
      </c>
      <c r="X105" s="247">
        <f ca="1">TblConstr[[#This Row],[Land]]</f>
        <v>50</v>
      </c>
      <c r="Y105" s="250"/>
      <c r="Z105" s="255">
        <f ca="1">IF(TblMili[[#This Row],[Set]]&lt;&gt;"",TblMili[[#This Row],[Set]],OFFSET(TblMili[[#This Row],[Draftrate]],-1,0))</f>
        <v>0.9</v>
      </c>
      <c r="AA105"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598</v>
      </c>
      <c r="AB105" s="154"/>
      <c r="AC105" s="180">
        <f ca="1">(TblConstr[[#This Row],[Tot Smi]]+TblConstr[[#This Row],[Dest Smi]])/(TblConstr[[#This Row],[Land]]-TblExplore[[#This Row],[Land Bonus]]*20)</f>
        <v>0</v>
      </c>
      <c r="AD105" s="137"/>
      <c r="AE105" s="246">
        <f>TblMili[[#This Row],[Hour]]</f>
        <v>102</v>
      </c>
      <c r="AF105" s="138">
        <f ca="1">TblExplore[[#This Row],[Time]]</f>
        <v>46324.208333333088</v>
      </c>
      <c r="AG105" s="179"/>
      <c r="AH105" s="179"/>
      <c r="AI105" s="179"/>
      <c r="AJ105" s="179"/>
      <c r="AK105" s="179"/>
      <c r="AL105" s="179"/>
      <c r="AM105" s="179"/>
      <c r="AN105" s="179"/>
      <c r="AO105" s="420">
        <f ca="1">ROUND(IF(AND(TblMagic[[#This Row],[Active DnD]]&lt;12,TblMagic[[#This Row],[Active DnD]]&gt;5),OFFSET(TblPop[[#This Row],[Draft Growth]],-1,0)*0.375,0),0)</f>
        <v>0</v>
      </c>
      <c r="AP105" s="142"/>
      <c r="AQ105" s="94">
        <f ca="1">TblProd[[#This Row],[Platinum]]</f>
        <v>201044</v>
      </c>
      <c r="AR105" s="94">
        <f ca="1">INDEX(TblProd[[#Headers],[Lumber]]:TblProd[[#This Row],[Ore]],COUNTA(TblProd[[#Headers],[Lumber]]:TblProd[[#This Row],[Lumber]]),MATCH(Military!$AR$2,TblProd[[#Headers],[Lumber]:[Ore]],0))</f>
        <v>0</v>
      </c>
      <c r="AS10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05" s="94">
        <f ca="1">TblMili[[#This Row],[Train Unit 1]]*TblMili[[#This Row],[OP Ore]]+TblMili[[#This Row],[Train Unit 2]]*TblMili[[#This Row],[DP Ore]]+TblMili[[#This Row],[Train Unit 3]]*TblMili[[#This Row],[E1 Ore]]+TblMili[[#This Row],[Train Unit 4]]*TblMili[[#This Row],[E2 Ore]]</f>
        <v>0</v>
      </c>
      <c r="AU105" s="142">
        <f>TblMili[[#This Row],[Hour]]</f>
        <v>102</v>
      </c>
      <c r="AV105" s="152">
        <f ca="1">TblMili[[#This Row],[Time]]</f>
        <v>46324.208333333088</v>
      </c>
      <c r="AW105" s="94">
        <f ca="1">TblMili[[#This Row],[Draftees]]</f>
        <v>598</v>
      </c>
      <c r="AX105" s="179"/>
      <c r="AY105" s="179"/>
      <c r="AZ105" s="179"/>
      <c r="BA105" s="179"/>
      <c r="BB105" s="179"/>
      <c r="BC105" s="179"/>
      <c r="BD105" s="179"/>
      <c r="BE105" s="179"/>
      <c r="BF105" s="179"/>
      <c r="BG105" s="142"/>
      <c r="BH105" s="157">
        <f ca="1">TblConstr[[#This Row],[Tot WG]]/TblConstr[[#This Row],[Land]]</f>
        <v>0</v>
      </c>
      <c r="BI105" s="157">
        <f ca="1">TblConstr[[#This Row],[Tot Hav]]/TblConstr[[#This Row],[Land]]</f>
        <v>0</v>
      </c>
      <c r="BJ105" s="94">
        <f ca="1">ROUNDUP((1-MIN(TblMili[[#This Row],[Smithies]]*smithy_bonus,smithy_bonus_cap) + tech_3_5*TblTech[[#This Row],[3-5]] + tech_5_3*TblTech[[#This Row],[5-3]] + tech_5_5*TblTech[[#This Row],[5-5]])*spec_op_plat,0)</f>
        <v>315</v>
      </c>
      <c r="BK105" s="94">
        <f ca="1">ROUNDUP(IF(race="Gnome",1,(1-MIN(TblMili[[#This Row],[Smithies]]*smithy_bonus,smithy_bonus_cap) + tech_3_5*TblTech[[#This Row],[3-5]] + tech_5_3*TblTech[[#This Row],[5-3]] + tech_5_5*TblTech[[#This Row],[5-5]]))*spec_op_ore,0)</f>
        <v>25</v>
      </c>
      <c r="BL105" s="94">
        <f ca="1">ROUNDUP((1-MIN(TblMili[[#This Row],[Smithies]]*smithy_bonus,smithy_bonus_cap) + tech_3_5*TblTech[[#This Row],[3-5]] + tech_5_3*TblTech[[#This Row],[5-3]] + tech_5_5*TblTech[[#This Row],[5-5]])*spec_dp_plat,0)</f>
        <v>275</v>
      </c>
      <c r="BM105" s="94">
        <f ca="1">ROUNDUP(IF(race="Gnome",1,(1-MIN(TblMili[[#This Row],[Smithies]]*smithy_bonus,smithy_bonus_cap) + tech_3_5*TblTech[[#This Row],[3-5]] + tech_5_3*TblTech[[#This Row],[5-3]] + tech_5_5*TblTech[[#This Row],[5-5]]))*spec_dp_ore,0)</f>
        <v>15</v>
      </c>
      <c r="BN105" s="94">
        <f ca="1">ROUNDUP((1-MIN(TblMili[[#This Row],[Smithies]]*smithy_bonus,smithy_bonus_cap) + tech_3_5*TblTech[[#This Row],[3-5]] + tech_5_3*TblTech[[#This Row],[5-3]] + tech_5_5*TblTech[[#This Row],[5-5]])*elite1_plat,0)</f>
        <v>1040</v>
      </c>
      <c r="BO105" s="94">
        <f ca="1">ROUNDUP(IF(race="Gnome",1,(1-MIN(TblMili[[#This Row],[Smithies]]*smithy_bonus,smithy_bonus_cap) + tech_3_5*TblTech[[#This Row],[3-5]] + tech_5_3*TblTech[[#This Row],[5-3]] + tech_5_5*TblTech[[#This Row],[5-5]]))*elite1_ore,0)</f>
        <v>75</v>
      </c>
      <c r="BP105" s="94">
        <f ca="1">ROUNDUP((1-MIN(TblMili[[#This Row],[Smithies]]*smithy_bonus,smithy_bonus_cap) + tech_3_5*TblTech[[#This Row],[3-5]] + tech_5_3*TblTech[[#This Row],[5-3]] + tech_5_5*TblTech[[#This Row],[5-5]])*elite2_plat,0)</f>
        <v>1280</v>
      </c>
      <c r="BQ105" s="94">
        <f ca="1">ROUNDUP(IF(race="Gnome",1,(1-MIN(TblMili[[#This Row],[Smithies]]*smithy_bonus,smithy_bonus_cap) + tech_3_5*TblTech[[#This Row],[3-5]] + tech_5_3*TblTech[[#This Row],[5-3]] + tech_5_5*TblTech[[#This Row],[5-5]]))*elite2_ore,0)</f>
        <v>100</v>
      </c>
      <c r="BR105" s="94">
        <f ca="1">ROUNDUP((1-MIN(ROUND(fh_spy_cost_red*TblMili[[#This Row],[FH''s]],4),fh_spy_cost_cap)+ tech_1_9*TblTech[[#This Row],[1-9]] + tech_9_1*TblTech[[#This Row],[9-1]])*spy_plat,0)</f>
        <v>500</v>
      </c>
      <c r="BS105" s="94">
        <f ca="1">ROUNDUP((1-MIN(ROUND(fh_spy_cost_red*TblMili[[#This Row],[FH''s]],4),fh_spy_cost_cap)+ tech_1_9*TblTech[[#This Row],[1-9]] + tech_9_1*TblTech[[#This Row],[9-1]])*archspy_plat,0)</f>
        <v>1000</v>
      </c>
      <c r="BT105" s="94">
        <f ca="1">ROUNDUP((1-MIN(ROUND(wg_wiz_cost_bonus*TblMili[[#This Row],[WG''s]],4),wg_wiz_cost_cap) + tech_1_9_2*TblTech[[#This Row],[1-9]] + tech_9_1_2*TblTech[[#This Row],[9-1]])*wizard_plat,0)</f>
        <v>500</v>
      </c>
      <c r="BU105" s="94">
        <f ca="1">ROUNDUP((1-MIN(ROUND(wg_wiz_cost_bonus*TblMili[[#This Row],[WG''s]],4),wg_wiz_cost_cap) + tech_1_9_2*TblTech[[#This Row],[1-9]] + tech_9_1_2*TblTech[[#This Row],[9-1]])*(archmage_plat + IF(TblMagic[[#This Row],[Active Arc Infusion]]&gt;0,400,0)),0)</f>
        <v>1000</v>
      </c>
      <c r="BV105" s="142"/>
      <c r="BW105" s="157">
        <f ca="1">TblConstr[[#This Row],[Homeland]]/TblConstr[[#This Row],[Land]]</f>
        <v>0.6</v>
      </c>
      <c r="BX105" s="157">
        <f ca="1">TblMili[[#This Row],[WG''s]]</f>
        <v>0</v>
      </c>
      <c r="BY105" s="251">
        <f ca="1">IF(mystic_cap="none",TblMili[[#This Row],[Homeland%]]/mystic_bonus,MIN(mystic_cap,TblMili[[#This Row],[Homeland%]]/mystic_bonus))</f>
        <v>2</v>
      </c>
      <c r="BZ105" s="251">
        <f ca="1">IF(druid_op_cap="none",TblMili[[#This Row],[Homeland%]]/druid_op_bonus,MIN(druid_op_cap,TblMili[[#This Row],[Homeland%]]/druid_op_bonus))</f>
        <v>2</v>
      </c>
      <c r="CA105" s="251">
        <f ca="1">IF(druid_dp_cap="none",TblMili[[#This Row],[Homeland%]]/druid_dp_bonus,MIN(druid_dp_cap,TblMili[[#This Row],[Homeland%]]/druid_dp_bonus))</f>
        <v>2</v>
      </c>
      <c r="CB105" s="251">
        <f ca="1">MIN(dryad_cap,TblMili[[#This Row],[Homeland%]]/dryad_bonus)</f>
        <v>2.9999999999999996</v>
      </c>
      <c r="CC105" s="251">
        <f ca="1">MIN(rocka_cap,TblMili[[#This Row],[Homeland%]]/rocka_bonus)</f>
        <v>2</v>
      </c>
      <c r="CD105" s="251">
        <f ca="1">MIN(adept_op_cap,TblMili[[#This Row],[WG]]/adept_op_bonus)</f>
        <v>0</v>
      </c>
      <c r="CE105" s="251">
        <f ca="1">MIN(adept_dp_cap,TblMili[[#This Row],[WG]]/adept_dp_bonus)</f>
        <v>0</v>
      </c>
      <c r="CF105" s="94">
        <f ca="1">MIN(TblMili[[#This Row],[Unit 3]],TblMili[[#This Row],[Unit 2]])*2</f>
        <v>0</v>
      </c>
      <c r="CG105" s="94">
        <f ca="1">MIN(TblMili[[#This Row],[Unit 1]],TblMili[[#This Row],[Unit 4]])*2</f>
        <v>0</v>
      </c>
      <c r="CH105" s="251">
        <f ca="1">MIN(frost_mage_cap,TblMili[[#This Row],[Homeland%]]/frost_mage_bonus)</f>
        <v>2.9999999999999996</v>
      </c>
      <c r="CI105" s="45">
        <f ca="1">MIN(ice_elem_cap,TblMili[[#This Row],[Raw (2)]]*ice_elem_bonus)</f>
        <v>0</v>
      </c>
      <c r="CJ105" s="251">
        <f t="shared" si="4"/>
        <v>0.83333333333333337</v>
      </c>
      <c r="CK105" s="251">
        <f ca="1">MIN(nox_nightshade_cap,TblConstr[[#This Row],[Homeland]]/TblConstr[[#This Row],[Land]]/nox_nightshade_swamp_bonus)</f>
        <v>4</v>
      </c>
      <c r="CL105" s="251">
        <f ca="1">MIN(TblConstr[[#This Row],[Total Swamp]]/TblConstr[[#This Row],[Land]]/abyss_enforce_bonus,abyss_enforcer_cap)</f>
        <v>0</v>
      </c>
      <c r="CM105" s="251">
        <f ca="1">IF(TblMagic[[#This Row],[Active Infernal Command]]&gt;0,TblMili[[#This Row],[Unit 1]]*infernal_cmd_op,0)</f>
        <v>0</v>
      </c>
      <c r="CN105" s="252"/>
      <c r="CO105" s="252"/>
      <c r="CP105" s="252"/>
      <c r="CQ105" s="251">
        <f ca="1">TblMili[[#This Row],[Mystic]]*2</f>
        <v>4</v>
      </c>
      <c r="CR105" s="251">
        <f ca="1">TblMili[[#This Row],[Druid (op)]]*2</f>
        <v>4</v>
      </c>
      <c r="CS105" s="94">
        <f ca="1">TblMili[[#This Row],[Mystic bonus]]*TblMili[[#This Row],[Unit 3]]+TblMili[[#This Row],[Druid bonus]]*TblMili[[#This Row],[Unit 4]]</f>
        <v>0</v>
      </c>
      <c r="CT105" s="155">
        <f ca="1">TblMili[[#This Row],[Dryad]]*2</f>
        <v>5.9999999999999991</v>
      </c>
      <c r="CU105" s="94">
        <f ca="1">sylvan*(TblMili[[#This Row],[Mystic bonus]]*TblMili[[#This Row],[Unit 3]])</f>
        <v>0</v>
      </c>
      <c r="CV105" s="155">
        <f ca="1">TblMili[[#This Row],[Rockapult]]*2</f>
        <v>4</v>
      </c>
      <c r="CW105" s="94">
        <f ca="1">gnome*(TblMili[[#This Row],[Rockapult bonus]]*TblMili[[#This Row],[Unit 3]])</f>
        <v>0</v>
      </c>
      <c r="CX105" s="155">
        <f ca="1">TblMili[[#This Row],[Adept-DP]]*2</f>
        <v>0</v>
      </c>
      <c r="CY105" s="94">
        <f ca="1">dark_elf*(TblMili[[#This Row],[Adept bonus]]*TblMili[[#This Row],[Unit 3]])</f>
        <v>0</v>
      </c>
      <c r="CZ105" s="155">
        <f ca="1">TblMili[[#This Row],[Frost Mage]]*2</f>
        <v>5.9999999999999991</v>
      </c>
      <c r="DA105" s="155">
        <f ca="1">TblMili[[#This Row],[Ice Elemental]]*2</f>
        <v>0</v>
      </c>
      <c r="DB105" s="94">
        <f ca="1">TblMili[[#This Row],[Frost Mage bonus]]*TblMili[[#This Row],[Unit 3]]+TblMili[[#This Row],[Ice Elemental bonus]]*TblMili[[#This Row],[Unit 4]]</f>
        <v>0</v>
      </c>
      <c r="DC105" s="253"/>
      <c r="DD105" s="143">
        <f ca="1">MIN(SUM(TblConstr[[#This Row],[Plain]:[Water]])/TblMili[[#This Row],[Land]]/favorable_terrain_bonus/100,favorable_terrain_max)</f>
        <v>0</v>
      </c>
      <c r="DE105" s="253"/>
      <c r="DF10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5" s="142"/>
      <c r="DH105" s="254">
        <f ca="1">(TblMili[[#This Row],[Wizards]]+2*TblMili[[#This Row],[Archmages]])/TblConstr[[#This Row],[Land]]</f>
        <v>0</v>
      </c>
      <c r="DI105" s="254">
        <f ca="1">TblMili[[#This Row],[Raw (2)]]*(1+race_wizard_strength+IF(TblMili[[#This Row],[Hour]]&gt;72,tech_magical_weaponry_wiz*TblTech[[#This Row],[3-5]],0))</f>
        <v>0</v>
      </c>
    </row>
    <row r="106" spans="1:113" x14ac:dyDescent="0.2">
      <c r="A106" s="137">
        <f>TblRezone[[#This Row],[Hour]]</f>
        <v>103</v>
      </c>
      <c r="B106" s="246">
        <f ca="1">SUM(TblMili[[#This Row],[Unit 1]:[Archmages]])+SUM(OFFSET(TblMili[[#This Row],[Train Unit 1]],-8,0):TblMili[[#This Row],[Train Unit 2]]) + SUM(OFFSET(TblMili[[#This Row],[Train Unit 3]],-11,0):TblMili[[#This Row],[Train AM]]) + TblMili[[#This Row],[Draftees]]</f>
        <v>600</v>
      </c>
      <c r="C106" s="157">
        <f ca="1">TblPop[[#This Row],[Military%]]</f>
        <v>0.78023407022106628</v>
      </c>
      <c r="D106" s="142"/>
      <c r="E106" s="45">
        <f ca="1">OFFSET(TblMili[[#This Row],[Unit 1]],-1,0) + OFFSET(TblMili[[#This Row],[Train Unit 1]],-9,0) - TblMili[[#This Row],[Release Unit 1]] + OFFSET(TblMili[[#This Row],[DnD_Zombies]],-12,0)</f>
        <v>0</v>
      </c>
      <c r="F106" s="45">
        <f ca="1">OFFSET(TblMili[[#This Row],[Unit 2]],-1,0) + OFFSET(TblMili[[#This Row],[Train Unit 2]],-9,0)-TblMili[[#This Row],[Release Unit 2]]</f>
        <v>0</v>
      </c>
      <c r="G106" s="45">
        <f ca="1">OFFSET(TblMili[[#This Row],[Unit 3]],-1,0) + OFFSET(TblMili[[#This Row],[Train Unit 3]],-12,0)-TblMili[[#This Row],[Release Unit 3]]</f>
        <v>0</v>
      </c>
      <c r="H106" s="45">
        <f ca="1">OFFSET(TblMili[[#This Row],[Unit 4]],-1,0) + OFFSET(TblMili[[#This Row],[Train Unit 4]],-12,0)-TblMili[[#This Row],[Release Unit 4]]</f>
        <v>0</v>
      </c>
      <c r="I106" s="45">
        <f ca="1">OFFSET(TblMili[[#This Row],[Spies]],-1,0) + OFFSET(TblMili[[#This Row],[Train Spies]],-12,0) - TblMili[[#This Row],[Release Spies]]-TblMili[[#This Row],[Train AS]]</f>
        <v>0</v>
      </c>
      <c r="J106" s="45">
        <f ca="1">OFFSET(TblMili[[#This Row],[Archspies]],-1,0) + OFFSET(TblMili[[#This Row],[Train AS]],-12,0) - TblMili[[#This Row],[Release AS]]</f>
        <v>0</v>
      </c>
      <c r="K106" s="45">
        <f ca="1">OFFSET(TblMili[[#This Row],[Wizards]],-1,0) + OFFSET(TblMili[[#This Row],[Train Wiz]],-12,0) - TblMili[[#This Row],[Release Wizards]]-TblMili[[#This Row],[Train AM]] + IF(TblMagic[[#This Row],[Active Arc Infusion]]&gt;0,TblMili[[#This Row],[Train AM]])</f>
        <v>0</v>
      </c>
      <c r="L106" s="45">
        <f ca="1">OFFSET(TblMili[[#This Row],[Archmages]],-1,0) + OFFSET(TblMili[[#This Row],[Train AM]],-12,0) - TblMili[[#This Row],[Release AM]]</f>
        <v>0</v>
      </c>
      <c r="M106" s="142"/>
      <c r="N106" s="94">
        <f ca="1">TblProd[[#This Row],[Networth]]</f>
        <v>1250</v>
      </c>
      <c r="O106" s="142"/>
      <c r="P106"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0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6" s="247">
        <f ca="1">TblMili[[#This Row],[Raw]]*(1+TblMili[[#This Row],[Mods_Off]])</f>
        <v>0</v>
      </c>
      <c r="S106"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06" s="247">
        <f ca="1">TblMili[[#This Row],[Non Draft]]+TblMili[[#This Row],[Draftees]]</f>
        <v>600</v>
      </c>
      <c r="U106" s="248">
        <f ca="1">race_defense + TblImps[[#This Row],[Walls]] + ROUND( MIN(gt_bonus*TblConstr[[#This Row],[Tot GT]]/TblConstr[[#This Row],[Land]],gt_bonus_cap), 4) + IF(TblMagic[[#This Row],[Active Howling]]&gt;0,howling_dp_bonus,IF(TblMagic[[#This Row],[Active Ares Call]]&gt;0,ares_call_bonus))</f>
        <v>0</v>
      </c>
      <c r="V106" s="249">
        <f ca="1">TblMili[[#This Row],[Non Draft]] * (1 + TblMili[[#This Row],[Mods_Def]])</f>
        <v>0</v>
      </c>
      <c r="W106" s="247">
        <f ca="1">TblMili[[#This Row],[Draft]] * (1 + TblMili[[#This Row],[Mods_Def]])</f>
        <v>600</v>
      </c>
      <c r="X106" s="247">
        <f ca="1">TblConstr[[#This Row],[Land]]</f>
        <v>50</v>
      </c>
      <c r="Y106" s="250"/>
      <c r="Z106" s="255">
        <f ca="1">IF(TblMili[[#This Row],[Set]]&lt;&gt;"",TblMili[[#This Row],[Set]],OFFSET(TblMili[[#This Row],[Draftrate]],-1,0))</f>
        <v>0.9</v>
      </c>
      <c r="AA106"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600</v>
      </c>
      <c r="AB106" s="154"/>
      <c r="AC106" s="180">
        <f ca="1">(TblConstr[[#This Row],[Tot Smi]]+TblConstr[[#This Row],[Dest Smi]])/(TblConstr[[#This Row],[Land]]-TblExplore[[#This Row],[Land Bonus]]*20)</f>
        <v>0</v>
      </c>
      <c r="AD106" s="137"/>
      <c r="AE106" s="246">
        <f>TblMili[[#This Row],[Hour]]</f>
        <v>103</v>
      </c>
      <c r="AF106" s="138">
        <f ca="1">TblExplore[[#This Row],[Time]]</f>
        <v>46324.249999999753</v>
      </c>
      <c r="AG106" s="179"/>
      <c r="AH106" s="179"/>
      <c r="AI106" s="179"/>
      <c r="AJ106" s="179"/>
      <c r="AK106" s="179"/>
      <c r="AL106" s="179"/>
      <c r="AM106" s="179"/>
      <c r="AN106" s="179"/>
      <c r="AO106" s="420">
        <f ca="1">ROUND(IF(AND(TblMagic[[#This Row],[Active DnD]]&lt;12,TblMagic[[#This Row],[Active DnD]]&gt;5),OFFSET(TblPop[[#This Row],[Draft Growth]],-1,0)*0.375,0),0)</f>
        <v>0</v>
      </c>
      <c r="AP106" s="142"/>
      <c r="AQ106" s="94">
        <f ca="1">TblProd[[#This Row],[Platinum]]</f>
        <v>201505</v>
      </c>
      <c r="AR106" s="94">
        <f ca="1">INDEX(TblProd[[#Headers],[Lumber]]:TblProd[[#This Row],[Ore]],COUNTA(TblProd[[#Headers],[Lumber]]:TblProd[[#This Row],[Lumber]]),MATCH(Military!$AR$2,TblProd[[#Headers],[Lumber]:[Ore]],0))</f>
        <v>0</v>
      </c>
      <c r="AS10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06" s="94">
        <f ca="1">TblMili[[#This Row],[Train Unit 1]]*TblMili[[#This Row],[OP Ore]]+TblMili[[#This Row],[Train Unit 2]]*TblMili[[#This Row],[DP Ore]]+TblMili[[#This Row],[Train Unit 3]]*TblMili[[#This Row],[E1 Ore]]+TblMili[[#This Row],[Train Unit 4]]*TblMili[[#This Row],[E2 Ore]]</f>
        <v>0</v>
      </c>
      <c r="AU106" s="142">
        <f>TblMili[[#This Row],[Hour]]</f>
        <v>103</v>
      </c>
      <c r="AV106" s="152">
        <f ca="1">TblMili[[#This Row],[Time]]</f>
        <v>46324.249999999753</v>
      </c>
      <c r="AW106" s="94">
        <f ca="1">TblMili[[#This Row],[Draftees]]</f>
        <v>600</v>
      </c>
      <c r="AX106" s="179"/>
      <c r="AY106" s="179"/>
      <c r="AZ106" s="179"/>
      <c r="BA106" s="179"/>
      <c r="BB106" s="179"/>
      <c r="BC106" s="179"/>
      <c r="BD106" s="179"/>
      <c r="BE106" s="179"/>
      <c r="BF106" s="179"/>
      <c r="BG106" s="142"/>
      <c r="BH106" s="157">
        <f ca="1">TblConstr[[#This Row],[Tot WG]]/TblConstr[[#This Row],[Land]]</f>
        <v>0</v>
      </c>
      <c r="BI106" s="157">
        <f ca="1">TblConstr[[#This Row],[Tot Hav]]/TblConstr[[#This Row],[Land]]</f>
        <v>0</v>
      </c>
      <c r="BJ106" s="94">
        <f ca="1">ROUNDUP((1-MIN(TblMili[[#This Row],[Smithies]]*smithy_bonus,smithy_bonus_cap) + tech_3_5*TblTech[[#This Row],[3-5]] + tech_5_3*TblTech[[#This Row],[5-3]] + tech_5_5*TblTech[[#This Row],[5-5]])*spec_op_plat,0)</f>
        <v>315</v>
      </c>
      <c r="BK106" s="94">
        <f ca="1">ROUNDUP(IF(race="Gnome",1,(1-MIN(TblMili[[#This Row],[Smithies]]*smithy_bonus,smithy_bonus_cap) + tech_3_5*TblTech[[#This Row],[3-5]] + tech_5_3*TblTech[[#This Row],[5-3]] + tech_5_5*TblTech[[#This Row],[5-5]]))*spec_op_ore,0)</f>
        <v>25</v>
      </c>
      <c r="BL106" s="94">
        <f ca="1">ROUNDUP((1-MIN(TblMili[[#This Row],[Smithies]]*smithy_bonus,smithy_bonus_cap) + tech_3_5*TblTech[[#This Row],[3-5]] + tech_5_3*TblTech[[#This Row],[5-3]] + tech_5_5*TblTech[[#This Row],[5-5]])*spec_dp_plat,0)</f>
        <v>275</v>
      </c>
      <c r="BM106" s="94">
        <f ca="1">ROUNDUP(IF(race="Gnome",1,(1-MIN(TblMili[[#This Row],[Smithies]]*smithy_bonus,smithy_bonus_cap) + tech_3_5*TblTech[[#This Row],[3-5]] + tech_5_3*TblTech[[#This Row],[5-3]] + tech_5_5*TblTech[[#This Row],[5-5]]))*spec_dp_ore,0)</f>
        <v>15</v>
      </c>
      <c r="BN106" s="94">
        <f ca="1">ROUNDUP((1-MIN(TblMili[[#This Row],[Smithies]]*smithy_bonus,smithy_bonus_cap) + tech_3_5*TblTech[[#This Row],[3-5]] + tech_5_3*TblTech[[#This Row],[5-3]] + tech_5_5*TblTech[[#This Row],[5-5]])*elite1_plat,0)</f>
        <v>1040</v>
      </c>
      <c r="BO106" s="94">
        <f ca="1">ROUNDUP(IF(race="Gnome",1,(1-MIN(TblMili[[#This Row],[Smithies]]*smithy_bonus,smithy_bonus_cap) + tech_3_5*TblTech[[#This Row],[3-5]] + tech_5_3*TblTech[[#This Row],[5-3]] + tech_5_5*TblTech[[#This Row],[5-5]]))*elite1_ore,0)</f>
        <v>75</v>
      </c>
      <c r="BP106" s="94">
        <f ca="1">ROUNDUP((1-MIN(TblMili[[#This Row],[Smithies]]*smithy_bonus,smithy_bonus_cap) + tech_3_5*TblTech[[#This Row],[3-5]] + tech_5_3*TblTech[[#This Row],[5-3]] + tech_5_5*TblTech[[#This Row],[5-5]])*elite2_plat,0)</f>
        <v>1280</v>
      </c>
      <c r="BQ106" s="94">
        <f ca="1">ROUNDUP(IF(race="Gnome",1,(1-MIN(TblMili[[#This Row],[Smithies]]*smithy_bonus,smithy_bonus_cap) + tech_3_5*TblTech[[#This Row],[3-5]] + tech_5_3*TblTech[[#This Row],[5-3]] + tech_5_5*TblTech[[#This Row],[5-5]]))*elite2_ore,0)</f>
        <v>100</v>
      </c>
      <c r="BR106" s="94">
        <f ca="1">ROUNDUP((1-MIN(ROUND(fh_spy_cost_red*TblMili[[#This Row],[FH''s]],4),fh_spy_cost_cap)+ tech_1_9*TblTech[[#This Row],[1-9]] + tech_9_1*TblTech[[#This Row],[9-1]])*spy_plat,0)</f>
        <v>500</v>
      </c>
      <c r="BS106" s="94">
        <f ca="1">ROUNDUP((1-MIN(ROUND(fh_spy_cost_red*TblMili[[#This Row],[FH''s]],4),fh_spy_cost_cap)+ tech_1_9*TblTech[[#This Row],[1-9]] + tech_9_1*TblTech[[#This Row],[9-1]])*archspy_plat,0)</f>
        <v>1000</v>
      </c>
      <c r="BT106" s="94">
        <f ca="1">ROUNDUP((1-MIN(ROUND(wg_wiz_cost_bonus*TblMili[[#This Row],[WG''s]],4),wg_wiz_cost_cap) + tech_1_9_2*TblTech[[#This Row],[1-9]] + tech_9_1_2*TblTech[[#This Row],[9-1]])*wizard_plat,0)</f>
        <v>500</v>
      </c>
      <c r="BU106" s="94">
        <f ca="1">ROUNDUP((1-MIN(ROUND(wg_wiz_cost_bonus*TblMili[[#This Row],[WG''s]],4),wg_wiz_cost_cap) + tech_1_9_2*TblTech[[#This Row],[1-9]] + tech_9_1_2*TblTech[[#This Row],[9-1]])*(archmage_plat + IF(TblMagic[[#This Row],[Active Arc Infusion]]&gt;0,400,0)),0)</f>
        <v>1000</v>
      </c>
      <c r="BV106" s="142"/>
      <c r="BW106" s="157">
        <f ca="1">TblConstr[[#This Row],[Homeland]]/TblConstr[[#This Row],[Land]]</f>
        <v>0.6</v>
      </c>
      <c r="BX106" s="157">
        <f ca="1">TblMili[[#This Row],[WG''s]]</f>
        <v>0</v>
      </c>
      <c r="BY106" s="251">
        <f ca="1">IF(mystic_cap="none",TblMili[[#This Row],[Homeland%]]/mystic_bonus,MIN(mystic_cap,TblMili[[#This Row],[Homeland%]]/mystic_bonus))</f>
        <v>2</v>
      </c>
      <c r="BZ106" s="251">
        <f ca="1">IF(druid_op_cap="none",TblMili[[#This Row],[Homeland%]]/druid_op_bonus,MIN(druid_op_cap,TblMili[[#This Row],[Homeland%]]/druid_op_bonus))</f>
        <v>2</v>
      </c>
      <c r="CA106" s="251">
        <f ca="1">IF(druid_dp_cap="none",TblMili[[#This Row],[Homeland%]]/druid_dp_bonus,MIN(druid_dp_cap,TblMili[[#This Row],[Homeland%]]/druid_dp_bonus))</f>
        <v>2</v>
      </c>
      <c r="CB106" s="251">
        <f ca="1">MIN(dryad_cap,TblMili[[#This Row],[Homeland%]]/dryad_bonus)</f>
        <v>2.9999999999999996</v>
      </c>
      <c r="CC106" s="251">
        <f ca="1">MIN(rocka_cap,TblMili[[#This Row],[Homeland%]]/rocka_bonus)</f>
        <v>2</v>
      </c>
      <c r="CD106" s="251">
        <f ca="1">MIN(adept_op_cap,TblMili[[#This Row],[WG]]/adept_op_bonus)</f>
        <v>0</v>
      </c>
      <c r="CE106" s="251">
        <f ca="1">MIN(adept_dp_cap,TblMili[[#This Row],[WG]]/adept_dp_bonus)</f>
        <v>0</v>
      </c>
      <c r="CF106" s="94">
        <f ca="1">MIN(TblMili[[#This Row],[Unit 3]],TblMili[[#This Row],[Unit 2]])*2</f>
        <v>0</v>
      </c>
      <c r="CG106" s="94">
        <f ca="1">MIN(TblMili[[#This Row],[Unit 1]],TblMili[[#This Row],[Unit 4]])*2</f>
        <v>0</v>
      </c>
      <c r="CH106" s="251">
        <f ca="1">MIN(frost_mage_cap,TblMili[[#This Row],[Homeland%]]/frost_mage_bonus)</f>
        <v>2.9999999999999996</v>
      </c>
      <c r="CI106" s="45">
        <f ca="1">MIN(ice_elem_cap,TblMili[[#This Row],[Raw (2)]]*ice_elem_bonus)</f>
        <v>0</v>
      </c>
      <c r="CJ106" s="251">
        <f t="shared" si="4"/>
        <v>0.83333333333333337</v>
      </c>
      <c r="CK106" s="251">
        <f ca="1">MIN(nox_nightshade_cap,TblConstr[[#This Row],[Homeland]]/TblConstr[[#This Row],[Land]]/nox_nightshade_swamp_bonus)</f>
        <v>4</v>
      </c>
      <c r="CL106" s="251">
        <f ca="1">MIN(TblConstr[[#This Row],[Total Swamp]]/TblConstr[[#This Row],[Land]]/abyss_enforce_bonus,abyss_enforcer_cap)</f>
        <v>0</v>
      </c>
      <c r="CM106" s="251">
        <f ca="1">IF(TblMagic[[#This Row],[Active Infernal Command]]&gt;0,TblMili[[#This Row],[Unit 1]]*infernal_cmd_op,0)</f>
        <v>0</v>
      </c>
      <c r="CN106" s="252"/>
      <c r="CO106" s="252"/>
      <c r="CP106" s="252"/>
      <c r="CQ106" s="251">
        <f ca="1">TblMili[[#This Row],[Mystic]]*2</f>
        <v>4</v>
      </c>
      <c r="CR106" s="251">
        <f ca="1">TblMili[[#This Row],[Druid (op)]]*2</f>
        <v>4</v>
      </c>
      <c r="CS106" s="94">
        <f ca="1">TblMili[[#This Row],[Mystic bonus]]*TblMili[[#This Row],[Unit 3]]+TblMili[[#This Row],[Druid bonus]]*TblMili[[#This Row],[Unit 4]]</f>
        <v>0</v>
      </c>
      <c r="CT106" s="155">
        <f ca="1">TblMili[[#This Row],[Dryad]]*2</f>
        <v>5.9999999999999991</v>
      </c>
      <c r="CU106" s="94">
        <f ca="1">sylvan*(TblMili[[#This Row],[Mystic bonus]]*TblMili[[#This Row],[Unit 3]])</f>
        <v>0</v>
      </c>
      <c r="CV106" s="155">
        <f ca="1">TblMili[[#This Row],[Rockapult]]*2</f>
        <v>4</v>
      </c>
      <c r="CW106" s="94">
        <f ca="1">gnome*(TblMili[[#This Row],[Rockapult bonus]]*TblMili[[#This Row],[Unit 3]])</f>
        <v>0</v>
      </c>
      <c r="CX106" s="155">
        <f ca="1">TblMili[[#This Row],[Adept-DP]]*2</f>
        <v>0</v>
      </c>
      <c r="CY106" s="94">
        <f ca="1">dark_elf*(TblMili[[#This Row],[Adept bonus]]*TblMili[[#This Row],[Unit 3]])</f>
        <v>0</v>
      </c>
      <c r="CZ106" s="155">
        <f ca="1">TblMili[[#This Row],[Frost Mage]]*2</f>
        <v>5.9999999999999991</v>
      </c>
      <c r="DA106" s="155">
        <f ca="1">TblMili[[#This Row],[Ice Elemental]]*2</f>
        <v>0</v>
      </c>
      <c r="DB106" s="94">
        <f ca="1">TblMili[[#This Row],[Frost Mage bonus]]*TblMili[[#This Row],[Unit 3]]+TblMili[[#This Row],[Ice Elemental bonus]]*TblMili[[#This Row],[Unit 4]]</f>
        <v>0</v>
      </c>
      <c r="DC106" s="253"/>
      <c r="DD106" s="143">
        <f ca="1">MIN(SUM(TblConstr[[#This Row],[Plain]:[Water]])/TblMili[[#This Row],[Land]]/favorable_terrain_bonus/100,favorable_terrain_max)</f>
        <v>0</v>
      </c>
      <c r="DE106" s="253"/>
      <c r="DF10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6" s="142"/>
      <c r="DH106" s="254">
        <f ca="1">(TblMili[[#This Row],[Wizards]]+2*TblMili[[#This Row],[Archmages]])/TblConstr[[#This Row],[Land]]</f>
        <v>0</v>
      </c>
      <c r="DI106" s="254">
        <f ca="1">TblMili[[#This Row],[Raw (2)]]*(1+race_wizard_strength+IF(TblMili[[#This Row],[Hour]]&gt;72,tech_magical_weaponry_wiz*TblTech[[#This Row],[3-5]],0))</f>
        <v>0</v>
      </c>
    </row>
    <row r="107" spans="1:113" x14ac:dyDescent="0.2">
      <c r="A107" s="137">
        <f>TblRezone[[#This Row],[Hour]]</f>
        <v>104</v>
      </c>
      <c r="B107" s="246">
        <f ca="1">SUM(TblMili[[#This Row],[Unit 1]:[Archmages]])+SUM(OFFSET(TblMili[[#This Row],[Train Unit 1]],-8,0):TblMili[[#This Row],[Train Unit 2]]) + SUM(OFFSET(TblMili[[#This Row],[Train Unit 3]],-11,0):TblMili[[#This Row],[Train AM]]) + TblMili[[#This Row],[Draftees]]</f>
        <v>602</v>
      </c>
      <c r="C107" s="157">
        <f ca="1">TblPop[[#This Row],[Military%]]</f>
        <v>0.78283485045513657</v>
      </c>
      <c r="D107" s="142"/>
      <c r="E107" s="45">
        <f ca="1">OFFSET(TblMili[[#This Row],[Unit 1]],-1,0) + OFFSET(TblMili[[#This Row],[Train Unit 1]],-9,0) - TblMili[[#This Row],[Release Unit 1]] + OFFSET(TblMili[[#This Row],[DnD_Zombies]],-12,0)</f>
        <v>0</v>
      </c>
      <c r="F107" s="45">
        <f ca="1">OFFSET(TblMili[[#This Row],[Unit 2]],-1,0) + OFFSET(TblMili[[#This Row],[Train Unit 2]],-9,0)-TblMili[[#This Row],[Release Unit 2]]</f>
        <v>0</v>
      </c>
      <c r="G107" s="45">
        <f ca="1">OFFSET(TblMili[[#This Row],[Unit 3]],-1,0) + OFFSET(TblMili[[#This Row],[Train Unit 3]],-12,0)-TblMili[[#This Row],[Release Unit 3]]</f>
        <v>0</v>
      </c>
      <c r="H107" s="45">
        <f ca="1">OFFSET(TblMili[[#This Row],[Unit 4]],-1,0) + OFFSET(TblMili[[#This Row],[Train Unit 4]],-12,0)-TblMili[[#This Row],[Release Unit 4]]</f>
        <v>0</v>
      </c>
      <c r="I107" s="45">
        <f ca="1">OFFSET(TblMili[[#This Row],[Spies]],-1,0) + OFFSET(TblMili[[#This Row],[Train Spies]],-12,0) - TblMili[[#This Row],[Release Spies]]-TblMili[[#This Row],[Train AS]]</f>
        <v>0</v>
      </c>
      <c r="J107" s="45">
        <f ca="1">OFFSET(TblMili[[#This Row],[Archspies]],-1,0) + OFFSET(TblMili[[#This Row],[Train AS]],-12,0) - TblMili[[#This Row],[Release AS]]</f>
        <v>0</v>
      </c>
      <c r="K107" s="45">
        <f ca="1">OFFSET(TblMili[[#This Row],[Wizards]],-1,0) + OFFSET(TblMili[[#This Row],[Train Wiz]],-12,0) - TblMili[[#This Row],[Release Wizards]]-TblMili[[#This Row],[Train AM]] + IF(TblMagic[[#This Row],[Active Arc Infusion]]&gt;0,TblMili[[#This Row],[Train AM]])</f>
        <v>0</v>
      </c>
      <c r="L107" s="45">
        <f ca="1">OFFSET(TblMili[[#This Row],[Archmages]],-1,0) + OFFSET(TblMili[[#This Row],[Train AM]],-12,0) - TblMili[[#This Row],[Release AM]]</f>
        <v>0</v>
      </c>
      <c r="M107" s="142"/>
      <c r="N107" s="94">
        <f ca="1">TblProd[[#This Row],[Networth]]</f>
        <v>1250</v>
      </c>
      <c r="O107" s="142"/>
      <c r="P107"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0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7" s="247">
        <f ca="1">TblMili[[#This Row],[Raw]]*(1+TblMili[[#This Row],[Mods_Off]])</f>
        <v>0</v>
      </c>
      <c r="S107"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07" s="247">
        <f ca="1">TblMili[[#This Row],[Non Draft]]+TblMili[[#This Row],[Draftees]]</f>
        <v>602</v>
      </c>
      <c r="U107" s="248">
        <f ca="1">race_defense + TblImps[[#This Row],[Walls]] + ROUND( MIN(gt_bonus*TblConstr[[#This Row],[Tot GT]]/TblConstr[[#This Row],[Land]],gt_bonus_cap), 4) + IF(TblMagic[[#This Row],[Active Howling]]&gt;0,howling_dp_bonus,IF(TblMagic[[#This Row],[Active Ares Call]]&gt;0,ares_call_bonus))</f>
        <v>0</v>
      </c>
      <c r="V107" s="249">
        <f ca="1">TblMili[[#This Row],[Non Draft]] * (1 + TblMili[[#This Row],[Mods_Def]])</f>
        <v>0</v>
      </c>
      <c r="W107" s="247">
        <f ca="1">TblMili[[#This Row],[Draft]] * (1 + TblMili[[#This Row],[Mods_Def]])</f>
        <v>602</v>
      </c>
      <c r="X107" s="247">
        <f ca="1">TblConstr[[#This Row],[Land]]</f>
        <v>50</v>
      </c>
      <c r="Y107" s="250"/>
      <c r="Z107" s="255">
        <f ca="1">IF(TblMili[[#This Row],[Set]]&lt;&gt;"",TblMili[[#This Row],[Set]],OFFSET(TblMili[[#This Row],[Draftrate]],-1,0))</f>
        <v>0.9</v>
      </c>
      <c r="AA107"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602</v>
      </c>
      <c r="AB107" s="154"/>
      <c r="AC107" s="180">
        <f ca="1">(TblConstr[[#This Row],[Tot Smi]]+TblConstr[[#This Row],[Dest Smi]])/(TblConstr[[#This Row],[Land]]-TblExplore[[#This Row],[Land Bonus]]*20)</f>
        <v>0</v>
      </c>
      <c r="AD107" s="137"/>
      <c r="AE107" s="246">
        <f>TblMili[[#This Row],[Hour]]</f>
        <v>104</v>
      </c>
      <c r="AF107" s="138">
        <f ca="1">TblExplore[[#This Row],[Time]]</f>
        <v>46324.291666666417</v>
      </c>
      <c r="AG107" s="179"/>
      <c r="AH107" s="179"/>
      <c r="AI107" s="179"/>
      <c r="AJ107" s="179"/>
      <c r="AK107" s="179"/>
      <c r="AL107" s="179"/>
      <c r="AM107" s="179"/>
      <c r="AN107" s="179"/>
      <c r="AO107" s="420">
        <f ca="1">ROUND(IF(AND(TblMagic[[#This Row],[Active DnD]]&lt;12,TblMagic[[#This Row],[Active DnD]]&gt;5),OFFSET(TblPop[[#This Row],[Draft Growth]],-1,0)*0.375,0),0)</f>
        <v>0</v>
      </c>
      <c r="AP107" s="142"/>
      <c r="AQ107" s="94">
        <f ca="1">TblProd[[#This Row],[Platinum]]</f>
        <v>201961</v>
      </c>
      <c r="AR107" s="94">
        <f ca="1">INDEX(TblProd[[#Headers],[Lumber]]:TblProd[[#This Row],[Ore]],COUNTA(TblProd[[#Headers],[Lumber]]:TblProd[[#This Row],[Lumber]]),MATCH(Military!$AR$2,TblProd[[#Headers],[Lumber]:[Ore]],0))</f>
        <v>0</v>
      </c>
      <c r="AS10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07" s="94">
        <f ca="1">TblMili[[#This Row],[Train Unit 1]]*TblMili[[#This Row],[OP Ore]]+TblMili[[#This Row],[Train Unit 2]]*TblMili[[#This Row],[DP Ore]]+TblMili[[#This Row],[Train Unit 3]]*TblMili[[#This Row],[E1 Ore]]+TblMili[[#This Row],[Train Unit 4]]*TblMili[[#This Row],[E2 Ore]]</f>
        <v>0</v>
      </c>
      <c r="AU107" s="142">
        <f>TblMili[[#This Row],[Hour]]</f>
        <v>104</v>
      </c>
      <c r="AV107" s="152">
        <f ca="1">TblMili[[#This Row],[Time]]</f>
        <v>46324.291666666417</v>
      </c>
      <c r="AW107" s="94">
        <f ca="1">TblMili[[#This Row],[Draftees]]</f>
        <v>602</v>
      </c>
      <c r="AX107" s="179"/>
      <c r="AY107" s="179"/>
      <c r="AZ107" s="179"/>
      <c r="BA107" s="179"/>
      <c r="BB107" s="179"/>
      <c r="BC107" s="179"/>
      <c r="BD107" s="179"/>
      <c r="BE107" s="179"/>
      <c r="BF107" s="179"/>
      <c r="BG107" s="142"/>
      <c r="BH107" s="157">
        <f ca="1">TblConstr[[#This Row],[Tot WG]]/TblConstr[[#This Row],[Land]]</f>
        <v>0</v>
      </c>
      <c r="BI107" s="157">
        <f ca="1">TblConstr[[#This Row],[Tot Hav]]/TblConstr[[#This Row],[Land]]</f>
        <v>0</v>
      </c>
      <c r="BJ107" s="94">
        <f ca="1">ROUNDUP((1-MIN(TblMili[[#This Row],[Smithies]]*smithy_bonus,smithy_bonus_cap) + tech_3_5*TblTech[[#This Row],[3-5]] + tech_5_3*TblTech[[#This Row],[5-3]] + tech_5_5*TblTech[[#This Row],[5-5]])*spec_op_plat,0)</f>
        <v>315</v>
      </c>
      <c r="BK107" s="94">
        <f ca="1">ROUNDUP(IF(race="Gnome",1,(1-MIN(TblMili[[#This Row],[Smithies]]*smithy_bonus,smithy_bonus_cap) + tech_3_5*TblTech[[#This Row],[3-5]] + tech_5_3*TblTech[[#This Row],[5-3]] + tech_5_5*TblTech[[#This Row],[5-5]]))*spec_op_ore,0)</f>
        <v>25</v>
      </c>
      <c r="BL107" s="94">
        <f ca="1">ROUNDUP((1-MIN(TblMili[[#This Row],[Smithies]]*smithy_bonus,smithy_bonus_cap) + tech_3_5*TblTech[[#This Row],[3-5]] + tech_5_3*TblTech[[#This Row],[5-3]] + tech_5_5*TblTech[[#This Row],[5-5]])*spec_dp_plat,0)</f>
        <v>275</v>
      </c>
      <c r="BM107" s="94">
        <f ca="1">ROUNDUP(IF(race="Gnome",1,(1-MIN(TblMili[[#This Row],[Smithies]]*smithy_bonus,smithy_bonus_cap) + tech_3_5*TblTech[[#This Row],[3-5]] + tech_5_3*TblTech[[#This Row],[5-3]] + tech_5_5*TblTech[[#This Row],[5-5]]))*spec_dp_ore,0)</f>
        <v>15</v>
      </c>
      <c r="BN107" s="94">
        <f ca="1">ROUNDUP((1-MIN(TblMili[[#This Row],[Smithies]]*smithy_bonus,smithy_bonus_cap) + tech_3_5*TblTech[[#This Row],[3-5]] + tech_5_3*TblTech[[#This Row],[5-3]] + tech_5_5*TblTech[[#This Row],[5-5]])*elite1_plat,0)</f>
        <v>1040</v>
      </c>
      <c r="BO107" s="94">
        <f ca="1">ROUNDUP(IF(race="Gnome",1,(1-MIN(TblMili[[#This Row],[Smithies]]*smithy_bonus,smithy_bonus_cap) + tech_3_5*TblTech[[#This Row],[3-5]] + tech_5_3*TblTech[[#This Row],[5-3]] + tech_5_5*TblTech[[#This Row],[5-5]]))*elite1_ore,0)</f>
        <v>75</v>
      </c>
      <c r="BP107" s="94">
        <f ca="1">ROUNDUP((1-MIN(TblMili[[#This Row],[Smithies]]*smithy_bonus,smithy_bonus_cap) + tech_3_5*TblTech[[#This Row],[3-5]] + tech_5_3*TblTech[[#This Row],[5-3]] + tech_5_5*TblTech[[#This Row],[5-5]])*elite2_plat,0)</f>
        <v>1280</v>
      </c>
      <c r="BQ107" s="94">
        <f ca="1">ROUNDUP(IF(race="Gnome",1,(1-MIN(TblMili[[#This Row],[Smithies]]*smithy_bonus,smithy_bonus_cap) + tech_3_5*TblTech[[#This Row],[3-5]] + tech_5_3*TblTech[[#This Row],[5-3]] + tech_5_5*TblTech[[#This Row],[5-5]]))*elite2_ore,0)</f>
        <v>100</v>
      </c>
      <c r="BR107" s="94">
        <f ca="1">ROUNDUP((1-MIN(ROUND(fh_spy_cost_red*TblMili[[#This Row],[FH''s]],4),fh_spy_cost_cap)+ tech_1_9*TblTech[[#This Row],[1-9]] + tech_9_1*TblTech[[#This Row],[9-1]])*spy_plat,0)</f>
        <v>500</v>
      </c>
      <c r="BS107" s="94">
        <f ca="1">ROUNDUP((1-MIN(ROUND(fh_spy_cost_red*TblMili[[#This Row],[FH''s]],4),fh_spy_cost_cap)+ tech_1_9*TblTech[[#This Row],[1-9]] + tech_9_1*TblTech[[#This Row],[9-1]])*archspy_plat,0)</f>
        <v>1000</v>
      </c>
      <c r="BT107" s="94">
        <f ca="1">ROUNDUP((1-MIN(ROUND(wg_wiz_cost_bonus*TblMili[[#This Row],[WG''s]],4),wg_wiz_cost_cap) + tech_1_9_2*TblTech[[#This Row],[1-9]] + tech_9_1_2*TblTech[[#This Row],[9-1]])*wizard_plat,0)</f>
        <v>500</v>
      </c>
      <c r="BU107" s="94">
        <f ca="1">ROUNDUP((1-MIN(ROUND(wg_wiz_cost_bonus*TblMili[[#This Row],[WG''s]],4),wg_wiz_cost_cap) + tech_1_9_2*TblTech[[#This Row],[1-9]] + tech_9_1_2*TblTech[[#This Row],[9-1]])*(archmage_plat + IF(TblMagic[[#This Row],[Active Arc Infusion]]&gt;0,400,0)),0)</f>
        <v>1000</v>
      </c>
      <c r="BV107" s="142"/>
      <c r="BW107" s="157">
        <f ca="1">TblConstr[[#This Row],[Homeland]]/TblConstr[[#This Row],[Land]]</f>
        <v>0.6</v>
      </c>
      <c r="BX107" s="157">
        <f ca="1">TblMili[[#This Row],[WG''s]]</f>
        <v>0</v>
      </c>
      <c r="BY107" s="251">
        <f ca="1">IF(mystic_cap="none",TblMili[[#This Row],[Homeland%]]/mystic_bonus,MIN(mystic_cap,TblMili[[#This Row],[Homeland%]]/mystic_bonus))</f>
        <v>2</v>
      </c>
      <c r="BZ107" s="251">
        <f ca="1">IF(druid_op_cap="none",TblMili[[#This Row],[Homeland%]]/druid_op_bonus,MIN(druid_op_cap,TblMili[[#This Row],[Homeland%]]/druid_op_bonus))</f>
        <v>2</v>
      </c>
      <c r="CA107" s="251">
        <f ca="1">IF(druid_dp_cap="none",TblMili[[#This Row],[Homeland%]]/druid_dp_bonus,MIN(druid_dp_cap,TblMili[[#This Row],[Homeland%]]/druid_dp_bonus))</f>
        <v>2</v>
      </c>
      <c r="CB107" s="251">
        <f ca="1">MIN(dryad_cap,TblMili[[#This Row],[Homeland%]]/dryad_bonus)</f>
        <v>2.9999999999999996</v>
      </c>
      <c r="CC107" s="251">
        <f ca="1">MIN(rocka_cap,TblMili[[#This Row],[Homeland%]]/rocka_bonus)</f>
        <v>2</v>
      </c>
      <c r="CD107" s="251">
        <f ca="1">MIN(adept_op_cap,TblMili[[#This Row],[WG]]/adept_op_bonus)</f>
        <v>0</v>
      </c>
      <c r="CE107" s="251">
        <f ca="1">MIN(adept_dp_cap,TblMili[[#This Row],[WG]]/adept_dp_bonus)</f>
        <v>0</v>
      </c>
      <c r="CF107" s="94">
        <f ca="1">MIN(TblMili[[#This Row],[Unit 3]],TblMili[[#This Row],[Unit 2]])*2</f>
        <v>0</v>
      </c>
      <c r="CG107" s="94">
        <f ca="1">MIN(TblMili[[#This Row],[Unit 1]],TblMili[[#This Row],[Unit 4]])*2</f>
        <v>0</v>
      </c>
      <c r="CH107" s="251">
        <f ca="1">MIN(frost_mage_cap,TblMili[[#This Row],[Homeland%]]/frost_mage_bonus)</f>
        <v>2.9999999999999996</v>
      </c>
      <c r="CI107" s="45">
        <f ca="1">MIN(ice_elem_cap,TblMili[[#This Row],[Raw (2)]]*ice_elem_bonus)</f>
        <v>0</v>
      </c>
      <c r="CJ107" s="251">
        <f t="shared" si="4"/>
        <v>0.83333333333333337</v>
      </c>
      <c r="CK107" s="251">
        <f ca="1">MIN(nox_nightshade_cap,TblConstr[[#This Row],[Homeland]]/TblConstr[[#This Row],[Land]]/nox_nightshade_swamp_bonus)</f>
        <v>4</v>
      </c>
      <c r="CL107" s="251">
        <f ca="1">MIN(TblConstr[[#This Row],[Total Swamp]]/TblConstr[[#This Row],[Land]]/abyss_enforce_bonus,abyss_enforcer_cap)</f>
        <v>0</v>
      </c>
      <c r="CM107" s="251">
        <f ca="1">IF(TblMagic[[#This Row],[Active Infernal Command]]&gt;0,TblMili[[#This Row],[Unit 1]]*infernal_cmd_op,0)</f>
        <v>0</v>
      </c>
      <c r="CN107" s="252"/>
      <c r="CO107" s="252"/>
      <c r="CP107" s="252"/>
      <c r="CQ107" s="251">
        <f ca="1">TblMili[[#This Row],[Mystic]]*2</f>
        <v>4</v>
      </c>
      <c r="CR107" s="251">
        <f ca="1">TblMili[[#This Row],[Druid (op)]]*2</f>
        <v>4</v>
      </c>
      <c r="CS107" s="94">
        <f ca="1">TblMili[[#This Row],[Mystic bonus]]*TblMili[[#This Row],[Unit 3]]+TblMili[[#This Row],[Druid bonus]]*TblMili[[#This Row],[Unit 4]]</f>
        <v>0</v>
      </c>
      <c r="CT107" s="155">
        <f ca="1">TblMili[[#This Row],[Dryad]]*2</f>
        <v>5.9999999999999991</v>
      </c>
      <c r="CU107" s="94">
        <f ca="1">sylvan*(TblMili[[#This Row],[Mystic bonus]]*TblMili[[#This Row],[Unit 3]])</f>
        <v>0</v>
      </c>
      <c r="CV107" s="155">
        <f ca="1">TblMili[[#This Row],[Rockapult]]*2</f>
        <v>4</v>
      </c>
      <c r="CW107" s="94">
        <f ca="1">gnome*(TblMili[[#This Row],[Rockapult bonus]]*TblMili[[#This Row],[Unit 3]])</f>
        <v>0</v>
      </c>
      <c r="CX107" s="155">
        <f ca="1">TblMili[[#This Row],[Adept-DP]]*2</f>
        <v>0</v>
      </c>
      <c r="CY107" s="94">
        <f ca="1">dark_elf*(TblMili[[#This Row],[Adept bonus]]*TblMili[[#This Row],[Unit 3]])</f>
        <v>0</v>
      </c>
      <c r="CZ107" s="155">
        <f ca="1">TblMili[[#This Row],[Frost Mage]]*2</f>
        <v>5.9999999999999991</v>
      </c>
      <c r="DA107" s="155">
        <f ca="1">TblMili[[#This Row],[Ice Elemental]]*2</f>
        <v>0</v>
      </c>
      <c r="DB107" s="94">
        <f ca="1">TblMili[[#This Row],[Frost Mage bonus]]*TblMili[[#This Row],[Unit 3]]+TblMili[[#This Row],[Ice Elemental bonus]]*TblMili[[#This Row],[Unit 4]]</f>
        <v>0</v>
      </c>
      <c r="DC107" s="253"/>
      <c r="DD107" s="143">
        <f ca="1">MIN(SUM(TblConstr[[#This Row],[Plain]:[Water]])/TblMili[[#This Row],[Land]]/favorable_terrain_bonus/100,favorable_terrain_max)</f>
        <v>0</v>
      </c>
      <c r="DE107" s="253"/>
      <c r="DF10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7" s="142"/>
      <c r="DH107" s="254">
        <f ca="1">(TblMili[[#This Row],[Wizards]]+2*TblMili[[#This Row],[Archmages]])/TblConstr[[#This Row],[Land]]</f>
        <v>0</v>
      </c>
      <c r="DI107" s="254">
        <f ca="1">TblMili[[#This Row],[Raw (2)]]*(1+race_wizard_strength+IF(TblMili[[#This Row],[Hour]]&gt;72,tech_magical_weaponry_wiz*TblTech[[#This Row],[3-5]],0))</f>
        <v>0</v>
      </c>
    </row>
    <row r="108" spans="1:113" x14ac:dyDescent="0.2">
      <c r="A108" s="137">
        <f>TblRezone[[#This Row],[Hour]]</f>
        <v>105</v>
      </c>
      <c r="B108" s="246">
        <f ca="1">SUM(TblMili[[#This Row],[Unit 1]:[Archmages]])+SUM(OFFSET(TblMili[[#This Row],[Train Unit 1]],-8,0):TblMili[[#This Row],[Train Unit 2]]) + SUM(OFFSET(TblMili[[#This Row],[Train Unit 3]],-11,0):TblMili[[#This Row],[Train AM]]) + TblMili[[#This Row],[Draftees]]</f>
        <v>604</v>
      </c>
      <c r="C108" s="157">
        <f ca="1">TblPop[[#This Row],[Military%]]</f>
        <v>0.78543563068920674</v>
      </c>
      <c r="D108" s="142"/>
      <c r="E108" s="45">
        <f ca="1">OFFSET(TblMili[[#This Row],[Unit 1]],-1,0) + OFFSET(TblMili[[#This Row],[Train Unit 1]],-9,0) - TblMili[[#This Row],[Release Unit 1]] + OFFSET(TblMili[[#This Row],[DnD_Zombies]],-12,0)</f>
        <v>0</v>
      </c>
      <c r="F108" s="45">
        <f ca="1">OFFSET(TblMili[[#This Row],[Unit 2]],-1,0) + OFFSET(TblMili[[#This Row],[Train Unit 2]],-9,0)-TblMili[[#This Row],[Release Unit 2]]</f>
        <v>0</v>
      </c>
      <c r="G108" s="45">
        <f ca="1">OFFSET(TblMili[[#This Row],[Unit 3]],-1,0) + OFFSET(TblMili[[#This Row],[Train Unit 3]],-12,0)-TblMili[[#This Row],[Release Unit 3]]</f>
        <v>0</v>
      </c>
      <c r="H108" s="45">
        <f ca="1">OFFSET(TblMili[[#This Row],[Unit 4]],-1,0) + OFFSET(TblMili[[#This Row],[Train Unit 4]],-12,0)-TblMili[[#This Row],[Release Unit 4]]</f>
        <v>0</v>
      </c>
      <c r="I108" s="45">
        <f ca="1">OFFSET(TblMili[[#This Row],[Spies]],-1,0) + OFFSET(TblMili[[#This Row],[Train Spies]],-12,0) - TblMili[[#This Row],[Release Spies]]-TblMili[[#This Row],[Train AS]]</f>
        <v>0</v>
      </c>
      <c r="J108" s="45">
        <f ca="1">OFFSET(TblMili[[#This Row],[Archspies]],-1,0) + OFFSET(TblMili[[#This Row],[Train AS]],-12,0) - TblMili[[#This Row],[Release AS]]</f>
        <v>0</v>
      </c>
      <c r="K108" s="45">
        <f ca="1">OFFSET(TblMili[[#This Row],[Wizards]],-1,0) + OFFSET(TblMili[[#This Row],[Train Wiz]],-12,0) - TblMili[[#This Row],[Release Wizards]]-TblMili[[#This Row],[Train AM]] + IF(TblMagic[[#This Row],[Active Arc Infusion]]&gt;0,TblMili[[#This Row],[Train AM]])</f>
        <v>0</v>
      </c>
      <c r="L108" s="45">
        <f ca="1">OFFSET(TblMili[[#This Row],[Archmages]],-1,0) + OFFSET(TblMili[[#This Row],[Train AM]],-12,0) - TblMili[[#This Row],[Release AM]]</f>
        <v>0</v>
      </c>
      <c r="M108" s="142"/>
      <c r="N108" s="94">
        <f ca="1">TblProd[[#This Row],[Networth]]</f>
        <v>1250</v>
      </c>
      <c r="O108" s="142"/>
      <c r="P108"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0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8" s="247">
        <f ca="1">TblMili[[#This Row],[Raw]]*(1+TblMili[[#This Row],[Mods_Off]])</f>
        <v>0</v>
      </c>
      <c r="S108"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08" s="247">
        <f ca="1">TblMili[[#This Row],[Non Draft]]+TblMili[[#This Row],[Draftees]]</f>
        <v>604</v>
      </c>
      <c r="U108" s="248">
        <f ca="1">race_defense + TblImps[[#This Row],[Walls]] + ROUND( MIN(gt_bonus*TblConstr[[#This Row],[Tot GT]]/TblConstr[[#This Row],[Land]],gt_bonus_cap), 4) + IF(TblMagic[[#This Row],[Active Howling]]&gt;0,howling_dp_bonus,IF(TblMagic[[#This Row],[Active Ares Call]]&gt;0,ares_call_bonus))</f>
        <v>0</v>
      </c>
      <c r="V108" s="249">
        <f ca="1">TblMili[[#This Row],[Non Draft]] * (1 + TblMili[[#This Row],[Mods_Def]])</f>
        <v>0</v>
      </c>
      <c r="W108" s="247">
        <f ca="1">TblMili[[#This Row],[Draft]] * (1 + TblMili[[#This Row],[Mods_Def]])</f>
        <v>604</v>
      </c>
      <c r="X108" s="247">
        <f ca="1">TblConstr[[#This Row],[Land]]</f>
        <v>50</v>
      </c>
      <c r="Y108" s="250"/>
      <c r="Z108" s="255">
        <f ca="1">IF(TblMili[[#This Row],[Set]]&lt;&gt;"",TblMili[[#This Row],[Set]],OFFSET(TblMili[[#This Row],[Draftrate]],-1,0))</f>
        <v>0.9</v>
      </c>
      <c r="AA108"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604</v>
      </c>
      <c r="AB108" s="154"/>
      <c r="AC108" s="180">
        <f ca="1">(TblConstr[[#This Row],[Tot Smi]]+TblConstr[[#This Row],[Dest Smi]])/(TblConstr[[#This Row],[Land]]-TblExplore[[#This Row],[Land Bonus]]*20)</f>
        <v>0</v>
      </c>
      <c r="AD108" s="137"/>
      <c r="AE108" s="246">
        <f>TblMili[[#This Row],[Hour]]</f>
        <v>105</v>
      </c>
      <c r="AF108" s="138">
        <f ca="1">TblExplore[[#This Row],[Time]]</f>
        <v>46324.333333333081</v>
      </c>
      <c r="AG108" s="179"/>
      <c r="AH108" s="179"/>
      <c r="AI108" s="179"/>
      <c r="AJ108" s="179"/>
      <c r="AK108" s="179"/>
      <c r="AL108" s="179"/>
      <c r="AM108" s="179"/>
      <c r="AN108" s="179"/>
      <c r="AO108" s="420">
        <f ca="1">ROUND(IF(AND(TblMagic[[#This Row],[Active DnD]]&lt;12,TblMagic[[#This Row],[Active DnD]]&gt;5),OFFSET(TblPop[[#This Row],[Draft Growth]],-1,0)*0.375,0),0)</f>
        <v>0</v>
      </c>
      <c r="AP108" s="142"/>
      <c r="AQ108" s="94">
        <f ca="1">TblProd[[#This Row],[Platinum]]</f>
        <v>202411</v>
      </c>
      <c r="AR108" s="94">
        <f ca="1">INDEX(TblProd[[#Headers],[Lumber]]:TblProd[[#This Row],[Ore]],COUNTA(TblProd[[#Headers],[Lumber]]:TblProd[[#This Row],[Lumber]]),MATCH(Military!$AR$2,TblProd[[#Headers],[Lumber]:[Ore]],0))</f>
        <v>0</v>
      </c>
      <c r="AS10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08" s="94">
        <f ca="1">TblMili[[#This Row],[Train Unit 1]]*TblMili[[#This Row],[OP Ore]]+TblMili[[#This Row],[Train Unit 2]]*TblMili[[#This Row],[DP Ore]]+TblMili[[#This Row],[Train Unit 3]]*TblMili[[#This Row],[E1 Ore]]+TblMili[[#This Row],[Train Unit 4]]*TblMili[[#This Row],[E2 Ore]]</f>
        <v>0</v>
      </c>
      <c r="AU108" s="142">
        <f>TblMili[[#This Row],[Hour]]</f>
        <v>105</v>
      </c>
      <c r="AV108" s="152">
        <f ca="1">TblMili[[#This Row],[Time]]</f>
        <v>46324.333333333081</v>
      </c>
      <c r="AW108" s="94">
        <f ca="1">TblMili[[#This Row],[Draftees]]</f>
        <v>604</v>
      </c>
      <c r="AX108" s="179"/>
      <c r="AY108" s="179"/>
      <c r="AZ108" s="179"/>
      <c r="BA108" s="179"/>
      <c r="BB108" s="179"/>
      <c r="BC108" s="179"/>
      <c r="BD108" s="179"/>
      <c r="BE108" s="179"/>
      <c r="BF108" s="179"/>
      <c r="BG108" s="142"/>
      <c r="BH108" s="157">
        <f ca="1">TblConstr[[#This Row],[Tot WG]]/TblConstr[[#This Row],[Land]]</f>
        <v>0</v>
      </c>
      <c r="BI108" s="157">
        <f ca="1">TblConstr[[#This Row],[Tot Hav]]/TblConstr[[#This Row],[Land]]</f>
        <v>0</v>
      </c>
      <c r="BJ108" s="94">
        <f ca="1">ROUNDUP((1-MIN(TblMili[[#This Row],[Smithies]]*smithy_bonus,smithy_bonus_cap) + tech_3_5*TblTech[[#This Row],[3-5]] + tech_5_3*TblTech[[#This Row],[5-3]] + tech_5_5*TblTech[[#This Row],[5-5]])*spec_op_plat,0)</f>
        <v>315</v>
      </c>
      <c r="BK108" s="94">
        <f ca="1">ROUNDUP(IF(race="Gnome",1,(1-MIN(TblMili[[#This Row],[Smithies]]*smithy_bonus,smithy_bonus_cap) + tech_3_5*TblTech[[#This Row],[3-5]] + tech_5_3*TblTech[[#This Row],[5-3]] + tech_5_5*TblTech[[#This Row],[5-5]]))*spec_op_ore,0)</f>
        <v>25</v>
      </c>
      <c r="BL108" s="94">
        <f ca="1">ROUNDUP((1-MIN(TblMili[[#This Row],[Smithies]]*smithy_bonus,smithy_bonus_cap) + tech_3_5*TblTech[[#This Row],[3-5]] + tech_5_3*TblTech[[#This Row],[5-3]] + tech_5_5*TblTech[[#This Row],[5-5]])*spec_dp_plat,0)</f>
        <v>275</v>
      </c>
      <c r="BM108" s="94">
        <f ca="1">ROUNDUP(IF(race="Gnome",1,(1-MIN(TblMili[[#This Row],[Smithies]]*smithy_bonus,smithy_bonus_cap) + tech_3_5*TblTech[[#This Row],[3-5]] + tech_5_3*TblTech[[#This Row],[5-3]] + tech_5_5*TblTech[[#This Row],[5-5]]))*spec_dp_ore,0)</f>
        <v>15</v>
      </c>
      <c r="BN108" s="94">
        <f ca="1">ROUNDUP((1-MIN(TblMili[[#This Row],[Smithies]]*smithy_bonus,smithy_bonus_cap) + tech_3_5*TblTech[[#This Row],[3-5]] + tech_5_3*TblTech[[#This Row],[5-3]] + tech_5_5*TblTech[[#This Row],[5-5]])*elite1_plat,0)</f>
        <v>1040</v>
      </c>
      <c r="BO108" s="94">
        <f ca="1">ROUNDUP(IF(race="Gnome",1,(1-MIN(TblMili[[#This Row],[Smithies]]*smithy_bonus,smithy_bonus_cap) + tech_3_5*TblTech[[#This Row],[3-5]] + tech_5_3*TblTech[[#This Row],[5-3]] + tech_5_5*TblTech[[#This Row],[5-5]]))*elite1_ore,0)</f>
        <v>75</v>
      </c>
      <c r="BP108" s="94">
        <f ca="1">ROUNDUP((1-MIN(TblMili[[#This Row],[Smithies]]*smithy_bonus,smithy_bonus_cap) + tech_3_5*TblTech[[#This Row],[3-5]] + tech_5_3*TblTech[[#This Row],[5-3]] + tech_5_5*TblTech[[#This Row],[5-5]])*elite2_plat,0)</f>
        <v>1280</v>
      </c>
      <c r="BQ108" s="94">
        <f ca="1">ROUNDUP(IF(race="Gnome",1,(1-MIN(TblMili[[#This Row],[Smithies]]*smithy_bonus,smithy_bonus_cap) + tech_3_5*TblTech[[#This Row],[3-5]] + tech_5_3*TblTech[[#This Row],[5-3]] + tech_5_5*TblTech[[#This Row],[5-5]]))*elite2_ore,0)</f>
        <v>100</v>
      </c>
      <c r="BR108" s="94">
        <f ca="1">ROUNDUP((1-MIN(ROUND(fh_spy_cost_red*TblMili[[#This Row],[FH''s]],4),fh_spy_cost_cap)+ tech_1_9*TblTech[[#This Row],[1-9]] + tech_9_1*TblTech[[#This Row],[9-1]])*spy_plat,0)</f>
        <v>500</v>
      </c>
      <c r="BS108" s="94">
        <f ca="1">ROUNDUP((1-MIN(ROUND(fh_spy_cost_red*TblMili[[#This Row],[FH''s]],4),fh_spy_cost_cap)+ tech_1_9*TblTech[[#This Row],[1-9]] + tech_9_1*TblTech[[#This Row],[9-1]])*archspy_plat,0)</f>
        <v>1000</v>
      </c>
      <c r="BT108" s="94">
        <f ca="1">ROUNDUP((1-MIN(ROUND(wg_wiz_cost_bonus*TblMili[[#This Row],[WG''s]],4),wg_wiz_cost_cap) + tech_1_9_2*TblTech[[#This Row],[1-9]] + tech_9_1_2*TblTech[[#This Row],[9-1]])*wizard_plat,0)</f>
        <v>500</v>
      </c>
      <c r="BU108" s="94">
        <f ca="1">ROUNDUP((1-MIN(ROUND(wg_wiz_cost_bonus*TblMili[[#This Row],[WG''s]],4),wg_wiz_cost_cap) + tech_1_9_2*TblTech[[#This Row],[1-9]] + tech_9_1_2*TblTech[[#This Row],[9-1]])*(archmage_plat + IF(TblMagic[[#This Row],[Active Arc Infusion]]&gt;0,400,0)),0)</f>
        <v>1000</v>
      </c>
      <c r="BV108" s="142"/>
      <c r="BW108" s="157">
        <f ca="1">TblConstr[[#This Row],[Homeland]]/TblConstr[[#This Row],[Land]]</f>
        <v>0.6</v>
      </c>
      <c r="BX108" s="157">
        <f ca="1">TblMili[[#This Row],[WG''s]]</f>
        <v>0</v>
      </c>
      <c r="BY108" s="251">
        <f ca="1">IF(mystic_cap="none",TblMili[[#This Row],[Homeland%]]/mystic_bonus,MIN(mystic_cap,TblMili[[#This Row],[Homeland%]]/mystic_bonus))</f>
        <v>2</v>
      </c>
      <c r="BZ108" s="251">
        <f ca="1">IF(druid_op_cap="none",TblMili[[#This Row],[Homeland%]]/druid_op_bonus,MIN(druid_op_cap,TblMili[[#This Row],[Homeland%]]/druid_op_bonus))</f>
        <v>2</v>
      </c>
      <c r="CA108" s="251">
        <f ca="1">IF(druid_dp_cap="none",TblMili[[#This Row],[Homeland%]]/druid_dp_bonus,MIN(druid_dp_cap,TblMili[[#This Row],[Homeland%]]/druid_dp_bonus))</f>
        <v>2</v>
      </c>
      <c r="CB108" s="251">
        <f ca="1">MIN(dryad_cap,TblMili[[#This Row],[Homeland%]]/dryad_bonus)</f>
        <v>2.9999999999999996</v>
      </c>
      <c r="CC108" s="251">
        <f ca="1">MIN(rocka_cap,TblMili[[#This Row],[Homeland%]]/rocka_bonus)</f>
        <v>2</v>
      </c>
      <c r="CD108" s="251">
        <f ca="1">MIN(adept_op_cap,TblMili[[#This Row],[WG]]/adept_op_bonus)</f>
        <v>0</v>
      </c>
      <c r="CE108" s="251">
        <f ca="1">MIN(adept_dp_cap,TblMili[[#This Row],[WG]]/adept_dp_bonus)</f>
        <v>0</v>
      </c>
      <c r="CF108" s="94">
        <f ca="1">MIN(TblMili[[#This Row],[Unit 3]],TblMili[[#This Row],[Unit 2]])*2</f>
        <v>0</v>
      </c>
      <c r="CG108" s="94">
        <f ca="1">MIN(TblMili[[#This Row],[Unit 1]],TblMili[[#This Row],[Unit 4]])*2</f>
        <v>0</v>
      </c>
      <c r="CH108" s="251">
        <f ca="1">MIN(frost_mage_cap,TblMili[[#This Row],[Homeland%]]/frost_mage_bonus)</f>
        <v>2.9999999999999996</v>
      </c>
      <c r="CI108" s="45">
        <f ca="1">MIN(ice_elem_cap,TblMili[[#This Row],[Raw (2)]]*ice_elem_bonus)</f>
        <v>0</v>
      </c>
      <c r="CJ108" s="251">
        <f t="shared" si="4"/>
        <v>0.83333333333333337</v>
      </c>
      <c r="CK108" s="251">
        <f ca="1">MIN(nox_nightshade_cap,TblConstr[[#This Row],[Homeland]]/TblConstr[[#This Row],[Land]]/nox_nightshade_swamp_bonus)</f>
        <v>4</v>
      </c>
      <c r="CL108" s="251">
        <f ca="1">MIN(TblConstr[[#This Row],[Total Swamp]]/TblConstr[[#This Row],[Land]]/abyss_enforce_bonus,abyss_enforcer_cap)</f>
        <v>0</v>
      </c>
      <c r="CM108" s="251">
        <f ca="1">IF(TblMagic[[#This Row],[Active Infernal Command]]&gt;0,TblMili[[#This Row],[Unit 1]]*infernal_cmd_op,0)</f>
        <v>0</v>
      </c>
      <c r="CN108" s="252"/>
      <c r="CO108" s="252"/>
      <c r="CP108" s="252"/>
      <c r="CQ108" s="251">
        <f ca="1">TblMili[[#This Row],[Mystic]]*2</f>
        <v>4</v>
      </c>
      <c r="CR108" s="251">
        <f ca="1">TblMili[[#This Row],[Druid (op)]]*2</f>
        <v>4</v>
      </c>
      <c r="CS108" s="94">
        <f ca="1">TblMili[[#This Row],[Mystic bonus]]*TblMili[[#This Row],[Unit 3]]+TblMili[[#This Row],[Druid bonus]]*TblMili[[#This Row],[Unit 4]]</f>
        <v>0</v>
      </c>
      <c r="CT108" s="155">
        <f ca="1">TblMili[[#This Row],[Dryad]]*2</f>
        <v>5.9999999999999991</v>
      </c>
      <c r="CU108" s="94">
        <f ca="1">sylvan*(TblMili[[#This Row],[Mystic bonus]]*TblMili[[#This Row],[Unit 3]])</f>
        <v>0</v>
      </c>
      <c r="CV108" s="155">
        <f ca="1">TblMili[[#This Row],[Rockapult]]*2</f>
        <v>4</v>
      </c>
      <c r="CW108" s="94">
        <f ca="1">gnome*(TblMili[[#This Row],[Rockapult bonus]]*TblMili[[#This Row],[Unit 3]])</f>
        <v>0</v>
      </c>
      <c r="CX108" s="155">
        <f ca="1">TblMili[[#This Row],[Adept-DP]]*2</f>
        <v>0</v>
      </c>
      <c r="CY108" s="94">
        <f ca="1">dark_elf*(TblMili[[#This Row],[Adept bonus]]*TblMili[[#This Row],[Unit 3]])</f>
        <v>0</v>
      </c>
      <c r="CZ108" s="155">
        <f ca="1">TblMili[[#This Row],[Frost Mage]]*2</f>
        <v>5.9999999999999991</v>
      </c>
      <c r="DA108" s="155">
        <f ca="1">TblMili[[#This Row],[Ice Elemental]]*2</f>
        <v>0</v>
      </c>
      <c r="DB108" s="94">
        <f ca="1">TblMili[[#This Row],[Frost Mage bonus]]*TblMili[[#This Row],[Unit 3]]+TblMili[[#This Row],[Ice Elemental bonus]]*TblMili[[#This Row],[Unit 4]]</f>
        <v>0</v>
      </c>
      <c r="DC108" s="253"/>
      <c r="DD108" s="143">
        <f ca="1">MIN(SUM(TblConstr[[#This Row],[Plain]:[Water]])/TblMili[[#This Row],[Land]]/favorable_terrain_bonus/100,favorable_terrain_max)</f>
        <v>0</v>
      </c>
      <c r="DE108" s="253"/>
      <c r="DF10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8" s="142"/>
      <c r="DH108" s="254">
        <f ca="1">(TblMili[[#This Row],[Wizards]]+2*TblMili[[#This Row],[Archmages]])/TblConstr[[#This Row],[Land]]</f>
        <v>0</v>
      </c>
      <c r="DI108" s="254">
        <f ca="1">TblMili[[#This Row],[Raw (2)]]*(1+race_wizard_strength+IF(TblMili[[#This Row],[Hour]]&gt;72,tech_magical_weaponry_wiz*TblTech[[#This Row],[3-5]],0))</f>
        <v>0</v>
      </c>
    </row>
    <row r="109" spans="1:113" x14ac:dyDescent="0.2">
      <c r="A109" s="137">
        <f>TblRezone[[#This Row],[Hour]]</f>
        <v>106</v>
      </c>
      <c r="B109" s="246">
        <f ca="1">SUM(TblMili[[#This Row],[Unit 1]:[Archmages]])+SUM(OFFSET(TblMili[[#This Row],[Train Unit 1]],-8,0):TblMili[[#This Row],[Train Unit 2]]) + SUM(OFFSET(TblMili[[#This Row],[Train Unit 3]],-11,0):TblMili[[#This Row],[Train AM]]) + TblMili[[#This Row],[Draftees]]</f>
        <v>606</v>
      </c>
      <c r="C109" s="157">
        <f ca="1">TblPop[[#This Row],[Military%]]</f>
        <v>0.78803641092327703</v>
      </c>
      <c r="D109" s="142"/>
      <c r="E109" s="45">
        <f ca="1">OFFSET(TblMili[[#This Row],[Unit 1]],-1,0) + OFFSET(TblMili[[#This Row],[Train Unit 1]],-9,0) - TblMili[[#This Row],[Release Unit 1]] + OFFSET(TblMili[[#This Row],[DnD_Zombies]],-12,0)</f>
        <v>0</v>
      </c>
      <c r="F109" s="45">
        <f ca="1">OFFSET(TblMili[[#This Row],[Unit 2]],-1,0) + OFFSET(TblMili[[#This Row],[Train Unit 2]],-9,0)-TblMili[[#This Row],[Release Unit 2]]</f>
        <v>0</v>
      </c>
      <c r="G109" s="45">
        <f ca="1">OFFSET(TblMili[[#This Row],[Unit 3]],-1,0) + OFFSET(TblMili[[#This Row],[Train Unit 3]],-12,0)-TblMili[[#This Row],[Release Unit 3]]</f>
        <v>0</v>
      </c>
      <c r="H109" s="45">
        <f ca="1">OFFSET(TblMili[[#This Row],[Unit 4]],-1,0) + OFFSET(TblMili[[#This Row],[Train Unit 4]],-12,0)-TblMili[[#This Row],[Release Unit 4]]</f>
        <v>0</v>
      </c>
      <c r="I109" s="45">
        <f ca="1">OFFSET(TblMili[[#This Row],[Spies]],-1,0) + OFFSET(TblMili[[#This Row],[Train Spies]],-12,0) - TblMili[[#This Row],[Release Spies]]-TblMili[[#This Row],[Train AS]]</f>
        <v>0</v>
      </c>
      <c r="J109" s="45">
        <f ca="1">OFFSET(TblMili[[#This Row],[Archspies]],-1,0) + OFFSET(TblMili[[#This Row],[Train AS]],-12,0) - TblMili[[#This Row],[Release AS]]</f>
        <v>0</v>
      </c>
      <c r="K109" s="45">
        <f ca="1">OFFSET(TblMili[[#This Row],[Wizards]],-1,0) + OFFSET(TblMili[[#This Row],[Train Wiz]],-12,0) - TblMili[[#This Row],[Release Wizards]]-TblMili[[#This Row],[Train AM]] + IF(TblMagic[[#This Row],[Active Arc Infusion]]&gt;0,TblMili[[#This Row],[Train AM]])</f>
        <v>0</v>
      </c>
      <c r="L109" s="45">
        <f ca="1">OFFSET(TblMili[[#This Row],[Archmages]],-1,0) + OFFSET(TblMili[[#This Row],[Train AM]],-12,0) - TblMili[[#This Row],[Release AM]]</f>
        <v>0</v>
      </c>
      <c r="M109" s="142"/>
      <c r="N109" s="94">
        <f ca="1">TblProd[[#This Row],[Networth]]</f>
        <v>1250</v>
      </c>
      <c r="O109" s="142"/>
      <c r="P109"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0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9" s="247">
        <f ca="1">TblMili[[#This Row],[Raw]]*(1+TblMili[[#This Row],[Mods_Off]])</f>
        <v>0</v>
      </c>
      <c r="S109"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09" s="247">
        <f ca="1">TblMili[[#This Row],[Non Draft]]+TblMili[[#This Row],[Draftees]]</f>
        <v>606</v>
      </c>
      <c r="U109" s="248">
        <f ca="1">race_defense + TblImps[[#This Row],[Walls]] + ROUND( MIN(gt_bonus*TblConstr[[#This Row],[Tot GT]]/TblConstr[[#This Row],[Land]],gt_bonus_cap), 4) + IF(TblMagic[[#This Row],[Active Howling]]&gt;0,howling_dp_bonus,IF(TblMagic[[#This Row],[Active Ares Call]]&gt;0,ares_call_bonus))</f>
        <v>0</v>
      </c>
      <c r="V109" s="249">
        <f ca="1">TblMili[[#This Row],[Non Draft]] * (1 + TblMili[[#This Row],[Mods_Def]])</f>
        <v>0</v>
      </c>
      <c r="W109" s="247">
        <f ca="1">TblMili[[#This Row],[Draft]] * (1 + TblMili[[#This Row],[Mods_Def]])</f>
        <v>606</v>
      </c>
      <c r="X109" s="247">
        <f ca="1">TblConstr[[#This Row],[Land]]</f>
        <v>50</v>
      </c>
      <c r="Y109" s="250"/>
      <c r="Z109" s="255">
        <f ca="1">IF(TblMili[[#This Row],[Set]]&lt;&gt;"",TblMili[[#This Row],[Set]],OFFSET(TblMili[[#This Row],[Draftrate]],-1,0))</f>
        <v>0.9</v>
      </c>
      <c r="AA109"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606</v>
      </c>
      <c r="AB109" s="154"/>
      <c r="AC109" s="180">
        <f ca="1">(TblConstr[[#This Row],[Tot Smi]]+TblConstr[[#This Row],[Dest Smi]])/(TblConstr[[#This Row],[Land]]-TblExplore[[#This Row],[Land Bonus]]*20)</f>
        <v>0</v>
      </c>
      <c r="AD109" s="137"/>
      <c r="AE109" s="246">
        <f>TblMili[[#This Row],[Hour]]</f>
        <v>106</v>
      </c>
      <c r="AF109" s="138">
        <f ca="1">TblExplore[[#This Row],[Time]]</f>
        <v>46324.374999999745</v>
      </c>
      <c r="AG109" s="179"/>
      <c r="AH109" s="179"/>
      <c r="AI109" s="179"/>
      <c r="AJ109" s="179"/>
      <c r="AK109" s="179"/>
      <c r="AL109" s="179"/>
      <c r="AM109" s="179"/>
      <c r="AN109" s="179"/>
      <c r="AO109" s="420">
        <f ca="1">ROUND(IF(AND(TblMagic[[#This Row],[Active DnD]]&lt;12,TblMagic[[#This Row],[Active DnD]]&gt;5),OFFSET(TblPop[[#This Row],[Draft Growth]],-1,0)*0.375,0),0)</f>
        <v>0</v>
      </c>
      <c r="AP109" s="142"/>
      <c r="AQ109" s="94">
        <f ca="1">TblProd[[#This Row],[Platinum]]</f>
        <v>202856</v>
      </c>
      <c r="AR109" s="94">
        <f ca="1">INDEX(TblProd[[#Headers],[Lumber]]:TblProd[[#This Row],[Ore]],COUNTA(TblProd[[#Headers],[Lumber]]:TblProd[[#This Row],[Lumber]]),MATCH(Military!$AR$2,TblProd[[#Headers],[Lumber]:[Ore]],0))</f>
        <v>0</v>
      </c>
      <c r="AS10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09" s="94">
        <f ca="1">TblMili[[#This Row],[Train Unit 1]]*TblMili[[#This Row],[OP Ore]]+TblMili[[#This Row],[Train Unit 2]]*TblMili[[#This Row],[DP Ore]]+TblMili[[#This Row],[Train Unit 3]]*TblMili[[#This Row],[E1 Ore]]+TblMili[[#This Row],[Train Unit 4]]*TblMili[[#This Row],[E2 Ore]]</f>
        <v>0</v>
      </c>
      <c r="AU109" s="142">
        <f>TblMili[[#This Row],[Hour]]</f>
        <v>106</v>
      </c>
      <c r="AV109" s="152">
        <f ca="1">TblMili[[#This Row],[Time]]</f>
        <v>46324.374999999745</v>
      </c>
      <c r="AW109" s="94">
        <f ca="1">TblMili[[#This Row],[Draftees]]</f>
        <v>606</v>
      </c>
      <c r="AX109" s="179"/>
      <c r="AY109" s="179"/>
      <c r="AZ109" s="179"/>
      <c r="BA109" s="179"/>
      <c r="BB109" s="179"/>
      <c r="BC109" s="179"/>
      <c r="BD109" s="179"/>
      <c r="BE109" s="179"/>
      <c r="BF109" s="179"/>
      <c r="BG109" s="142"/>
      <c r="BH109" s="157">
        <f ca="1">TblConstr[[#This Row],[Tot WG]]/TblConstr[[#This Row],[Land]]</f>
        <v>0</v>
      </c>
      <c r="BI109" s="157">
        <f ca="1">TblConstr[[#This Row],[Tot Hav]]/TblConstr[[#This Row],[Land]]</f>
        <v>0</v>
      </c>
      <c r="BJ109" s="94">
        <f ca="1">ROUNDUP((1-MIN(TblMili[[#This Row],[Smithies]]*smithy_bonus,smithy_bonus_cap) + tech_3_5*TblTech[[#This Row],[3-5]] + tech_5_3*TblTech[[#This Row],[5-3]] + tech_5_5*TblTech[[#This Row],[5-5]])*spec_op_plat,0)</f>
        <v>315</v>
      </c>
      <c r="BK109" s="94">
        <f ca="1">ROUNDUP(IF(race="Gnome",1,(1-MIN(TblMili[[#This Row],[Smithies]]*smithy_bonus,smithy_bonus_cap) + tech_3_5*TblTech[[#This Row],[3-5]] + tech_5_3*TblTech[[#This Row],[5-3]] + tech_5_5*TblTech[[#This Row],[5-5]]))*spec_op_ore,0)</f>
        <v>25</v>
      </c>
      <c r="BL109" s="94">
        <f ca="1">ROUNDUP((1-MIN(TblMili[[#This Row],[Smithies]]*smithy_bonus,smithy_bonus_cap) + tech_3_5*TblTech[[#This Row],[3-5]] + tech_5_3*TblTech[[#This Row],[5-3]] + tech_5_5*TblTech[[#This Row],[5-5]])*spec_dp_plat,0)</f>
        <v>275</v>
      </c>
      <c r="BM109" s="94">
        <f ca="1">ROUNDUP(IF(race="Gnome",1,(1-MIN(TblMili[[#This Row],[Smithies]]*smithy_bonus,smithy_bonus_cap) + tech_3_5*TblTech[[#This Row],[3-5]] + tech_5_3*TblTech[[#This Row],[5-3]] + tech_5_5*TblTech[[#This Row],[5-5]]))*spec_dp_ore,0)</f>
        <v>15</v>
      </c>
      <c r="BN109" s="94">
        <f ca="1">ROUNDUP((1-MIN(TblMili[[#This Row],[Smithies]]*smithy_bonus,smithy_bonus_cap) + tech_3_5*TblTech[[#This Row],[3-5]] + tech_5_3*TblTech[[#This Row],[5-3]] + tech_5_5*TblTech[[#This Row],[5-5]])*elite1_plat,0)</f>
        <v>1040</v>
      </c>
      <c r="BO109" s="94">
        <f ca="1">ROUNDUP(IF(race="Gnome",1,(1-MIN(TblMili[[#This Row],[Smithies]]*smithy_bonus,smithy_bonus_cap) + tech_3_5*TblTech[[#This Row],[3-5]] + tech_5_3*TblTech[[#This Row],[5-3]] + tech_5_5*TblTech[[#This Row],[5-5]]))*elite1_ore,0)</f>
        <v>75</v>
      </c>
      <c r="BP109" s="94">
        <f ca="1">ROUNDUP((1-MIN(TblMili[[#This Row],[Smithies]]*smithy_bonus,smithy_bonus_cap) + tech_3_5*TblTech[[#This Row],[3-5]] + tech_5_3*TblTech[[#This Row],[5-3]] + tech_5_5*TblTech[[#This Row],[5-5]])*elite2_plat,0)</f>
        <v>1280</v>
      </c>
      <c r="BQ109" s="94">
        <f ca="1">ROUNDUP(IF(race="Gnome",1,(1-MIN(TblMili[[#This Row],[Smithies]]*smithy_bonus,smithy_bonus_cap) + tech_3_5*TblTech[[#This Row],[3-5]] + tech_5_3*TblTech[[#This Row],[5-3]] + tech_5_5*TblTech[[#This Row],[5-5]]))*elite2_ore,0)</f>
        <v>100</v>
      </c>
      <c r="BR109" s="94">
        <f ca="1">ROUNDUP((1-MIN(ROUND(fh_spy_cost_red*TblMili[[#This Row],[FH''s]],4),fh_spy_cost_cap)+ tech_1_9*TblTech[[#This Row],[1-9]] + tech_9_1*TblTech[[#This Row],[9-1]])*spy_plat,0)</f>
        <v>500</v>
      </c>
      <c r="BS109" s="94">
        <f ca="1">ROUNDUP((1-MIN(ROUND(fh_spy_cost_red*TblMili[[#This Row],[FH''s]],4),fh_spy_cost_cap)+ tech_1_9*TblTech[[#This Row],[1-9]] + tech_9_1*TblTech[[#This Row],[9-1]])*archspy_plat,0)</f>
        <v>1000</v>
      </c>
      <c r="BT109" s="94">
        <f ca="1">ROUNDUP((1-MIN(ROUND(wg_wiz_cost_bonus*TblMili[[#This Row],[WG''s]],4),wg_wiz_cost_cap) + tech_1_9_2*TblTech[[#This Row],[1-9]] + tech_9_1_2*TblTech[[#This Row],[9-1]])*wizard_plat,0)</f>
        <v>500</v>
      </c>
      <c r="BU109" s="94">
        <f ca="1">ROUNDUP((1-MIN(ROUND(wg_wiz_cost_bonus*TblMili[[#This Row],[WG''s]],4),wg_wiz_cost_cap) + tech_1_9_2*TblTech[[#This Row],[1-9]] + tech_9_1_2*TblTech[[#This Row],[9-1]])*(archmage_plat + IF(TblMagic[[#This Row],[Active Arc Infusion]]&gt;0,400,0)),0)</f>
        <v>1000</v>
      </c>
      <c r="BV109" s="142"/>
      <c r="BW109" s="157">
        <f ca="1">TblConstr[[#This Row],[Homeland]]/TblConstr[[#This Row],[Land]]</f>
        <v>0.6</v>
      </c>
      <c r="BX109" s="157">
        <f ca="1">TblMili[[#This Row],[WG''s]]</f>
        <v>0</v>
      </c>
      <c r="BY109" s="251">
        <f ca="1">IF(mystic_cap="none",TblMili[[#This Row],[Homeland%]]/mystic_bonus,MIN(mystic_cap,TblMili[[#This Row],[Homeland%]]/mystic_bonus))</f>
        <v>2</v>
      </c>
      <c r="BZ109" s="251">
        <f ca="1">IF(druid_op_cap="none",TblMili[[#This Row],[Homeland%]]/druid_op_bonus,MIN(druid_op_cap,TblMili[[#This Row],[Homeland%]]/druid_op_bonus))</f>
        <v>2</v>
      </c>
      <c r="CA109" s="251">
        <f ca="1">IF(druid_dp_cap="none",TblMili[[#This Row],[Homeland%]]/druid_dp_bonus,MIN(druid_dp_cap,TblMili[[#This Row],[Homeland%]]/druid_dp_bonus))</f>
        <v>2</v>
      </c>
      <c r="CB109" s="251">
        <f ca="1">MIN(dryad_cap,TblMili[[#This Row],[Homeland%]]/dryad_bonus)</f>
        <v>2.9999999999999996</v>
      </c>
      <c r="CC109" s="251">
        <f ca="1">MIN(rocka_cap,TblMili[[#This Row],[Homeland%]]/rocka_bonus)</f>
        <v>2</v>
      </c>
      <c r="CD109" s="251">
        <f ca="1">MIN(adept_op_cap,TblMili[[#This Row],[WG]]/adept_op_bonus)</f>
        <v>0</v>
      </c>
      <c r="CE109" s="251">
        <f ca="1">MIN(adept_dp_cap,TblMili[[#This Row],[WG]]/adept_dp_bonus)</f>
        <v>0</v>
      </c>
      <c r="CF109" s="94">
        <f ca="1">MIN(TblMili[[#This Row],[Unit 3]],TblMili[[#This Row],[Unit 2]])*2</f>
        <v>0</v>
      </c>
      <c r="CG109" s="94">
        <f ca="1">MIN(TblMili[[#This Row],[Unit 1]],TblMili[[#This Row],[Unit 4]])*2</f>
        <v>0</v>
      </c>
      <c r="CH109" s="251">
        <f ca="1">MIN(frost_mage_cap,TblMili[[#This Row],[Homeland%]]/frost_mage_bonus)</f>
        <v>2.9999999999999996</v>
      </c>
      <c r="CI109" s="45">
        <f ca="1">MIN(ice_elem_cap,TblMili[[#This Row],[Raw (2)]]*ice_elem_bonus)</f>
        <v>0</v>
      </c>
      <c r="CJ109" s="251">
        <f t="shared" si="4"/>
        <v>0.83333333333333337</v>
      </c>
      <c r="CK109" s="251">
        <f ca="1">MIN(nox_nightshade_cap,TblConstr[[#This Row],[Homeland]]/TblConstr[[#This Row],[Land]]/nox_nightshade_swamp_bonus)</f>
        <v>4</v>
      </c>
      <c r="CL109" s="251">
        <f ca="1">MIN(TblConstr[[#This Row],[Total Swamp]]/TblConstr[[#This Row],[Land]]/abyss_enforce_bonus,abyss_enforcer_cap)</f>
        <v>0</v>
      </c>
      <c r="CM109" s="251">
        <f ca="1">IF(TblMagic[[#This Row],[Active Infernal Command]]&gt;0,TblMili[[#This Row],[Unit 1]]*infernal_cmd_op,0)</f>
        <v>0</v>
      </c>
      <c r="CN109" s="252"/>
      <c r="CO109" s="252"/>
      <c r="CP109" s="252"/>
      <c r="CQ109" s="251">
        <f ca="1">TblMili[[#This Row],[Mystic]]*2</f>
        <v>4</v>
      </c>
      <c r="CR109" s="251">
        <f ca="1">TblMili[[#This Row],[Druid (op)]]*2</f>
        <v>4</v>
      </c>
      <c r="CS109" s="94">
        <f ca="1">TblMili[[#This Row],[Mystic bonus]]*TblMili[[#This Row],[Unit 3]]+TblMili[[#This Row],[Druid bonus]]*TblMili[[#This Row],[Unit 4]]</f>
        <v>0</v>
      </c>
      <c r="CT109" s="155">
        <f ca="1">TblMili[[#This Row],[Dryad]]*2</f>
        <v>5.9999999999999991</v>
      </c>
      <c r="CU109" s="94">
        <f ca="1">sylvan*(TblMili[[#This Row],[Mystic bonus]]*TblMili[[#This Row],[Unit 3]])</f>
        <v>0</v>
      </c>
      <c r="CV109" s="155">
        <f ca="1">TblMili[[#This Row],[Rockapult]]*2</f>
        <v>4</v>
      </c>
      <c r="CW109" s="94">
        <f ca="1">gnome*(TblMili[[#This Row],[Rockapult bonus]]*TblMili[[#This Row],[Unit 3]])</f>
        <v>0</v>
      </c>
      <c r="CX109" s="155">
        <f ca="1">TblMili[[#This Row],[Adept-DP]]*2</f>
        <v>0</v>
      </c>
      <c r="CY109" s="94">
        <f ca="1">dark_elf*(TblMili[[#This Row],[Adept bonus]]*TblMili[[#This Row],[Unit 3]])</f>
        <v>0</v>
      </c>
      <c r="CZ109" s="155">
        <f ca="1">TblMili[[#This Row],[Frost Mage]]*2</f>
        <v>5.9999999999999991</v>
      </c>
      <c r="DA109" s="155">
        <f ca="1">TblMili[[#This Row],[Ice Elemental]]*2</f>
        <v>0</v>
      </c>
      <c r="DB109" s="94">
        <f ca="1">TblMili[[#This Row],[Frost Mage bonus]]*TblMili[[#This Row],[Unit 3]]+TblMili[[#This Row],[Ice Elemental bonus]]*TblMili[[#This Row],[Unit 4]]</f>
        <v>0</v>
      </c>
      <c r="DC109" s="253"/>
      <c r="DD109" s="143">
        <f ca="1">MIN(SUM(TblConstr[[#This Row],[Plain]:[Water]])/TblMili[[#This Row],[Land]]/favorable_terrain_bonus/100,favorable_terrain_max)</f>
        <v>0</v>
      </c>
      <c r="DE109" s="253"/>
      <c r="DF10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9" s="142"/>
      <c r="DH109" s="254">
        <f ca="1">(TblMili[[#This Row],[Wizards]]+2*TblMili[[#This Row],[Archmages]])/TblConstr[[#This Row],[Land]]</f>
        <v>0</v>
      </c>
      <c r="DI109" s="254">
        <f ca="1">TblMili[[#This Row],[Raw (2)]]*(1+race_wizard_strength+IF(TblMili[[#This Row],[Hour]]&gt;72,tech_magical_weaponry_wiz*TblTech[[#This Row],[3-5]],0))</f>
        <v>0</v>
      </c>
    </row>
    <row r="110" spans="1:113" x14ac:dyDescent="0.2">
      <c r="A110" s="137">
        <f>TblRezone[[#This Row],[Hour]]</f>
        <v>107</v>
      </c>
      <c r="B110" s="246">
        <f ca="1">SUM(TblMili[[#This Row],[Unit 1]:[Archmages]])+SUM(OFFSET(TblMili[[#This Row],[Train Unit 1]],-8,0):TblMili[[#This Row],[Train Unit 2]]) + SUM(OFFSET(TblMili[[#This Row],[Train Unit 3]],-11,0):TblMili[[#This Row],[Train AM]]) + TblMili[[#This Row],[Draftees]]</f>
        <v>608</v>
      </c>
      <c r="C110" s="157">
        <f ca="1">TblPop[[#This Row],[Military%]]</f>
        <v>0.79063719115734721</v>
      </c>
      <c r="D110" s="142"/>
      <c r="E110" s="45">
        <f ca="1">OFFSET(TblMili[[#This Row],[Unit 1]],-1,0) + OFFSET(TblMili[[#This Row],[Train Unit 1]],-9,0) - TblMili[[#This Row],[Release Unit 1]] + OFFSET(TblMili[[#This Row],[DnD_Zombies]],-12,0)</f>
        <v>0</v>
      </c>
      <c r="F110" s="45">
        <f ca="1">OFFSET(TblMili[[#This Row],[Unit 2]],-1,0) + OFFSET(TblMili[[#This Row],[Train Unit 2]],-9,0)-TblMili[[#This Row],[Release Unit 2]]</f>
        <v>0</v>
      </c>
      <c r="G110" s="45">
        <f ca="1">OFFSET(TblMili[[#This Row],[Unit 3]],-1,0) + OFFSET(TblMili[[#This Row],[Train Unit 3]],-12,0)-TblMili[[#This Row],[Release Unit 3]]</f>
        <v>0</v>
      </c>
      <c r="H110" s="45">
        <f ca="1">OFFSET(TblMili[[#This Row],[Unit 4]],-1,0) + OFFSET(TblMili[[#This Row],[Train Unit 4]],-12,0)-TblMili[[#This Row],[Release Unit 4]]</f>
        <v>0</v>
      </c>
      <c r="I110" s="45">
        <f ca="1">OFFSET(TblMili[[#This Row],[Spies]],-1,0) + OFFSET(TblMili[[#This Row],[Train Spies]],-12,0) - TblMili[[#This Row],[Release Spies]]-TblMili[[#This Row],[Train AS]]</f>
        <v>0</v>
      </c>
      <c r="J110" s="45">
        <f ca="1">OFFSET(TblMili[[#This Row],[Archspies]],-1,0) + OFFSET(TblMili[[#This Row],[Train AS]],-12,0) - TblMili[[#This Row],[Release AS]]</f>
        <v>0</v>
      </c>
      <c r="K110" s="45">
        <f ca="1">OFFSET(TblMili[[#This Row],[Wizards]],-1,0) + OFFSET(TblMili[[#This Row],[Train Wiz]],-12,0) - TblMili[[#This Row],[Release Wizards]]-TblMili[[#This Row],[Train AM]] + IF(TblMagic[[#This Row],[Active Arc Infusion]]&gt;0,TblMili[[#This Row],[Train AM]])</f>
        <v>0</v>
      </c>
      <c r="L110" s="45">
        <f ca="1">OFFSET(TblMili[[#This Row],[Archmages]],-1,0) + OFFSET(TblMili[[#This Row],[Train AM]],-12,0) - TblMili[[#This Row],[Release AM]]</f>
        <v>0</v>
      </c>
      <c r="M110" s="142"/>
      <c r="N110" s="94">
        <f ca="1">TblProd[[#This Row],[Networth]]</f>
        <v>1250</v>
      </c>
      <c r="O110" s="142"/>
      <c r="P110"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1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0" s="247">
        <f ca="1">TblMili[[#This Row],[Raw]]*(1+TblMili[[#This Row],[Mods_Off]])</f>
        <v>0</v>
      </c>
      <c r="S110"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10" s="247">
        <f ca="1">TblMili[[#This Row],[Non Draft]]+TblMili[[#This Row],[Draftees]]</f>
        <v>608</v>
      </c>
      <c r="U110" s="248">
        <f ca="1">race_defense + TblImps[[#This Row],[Walls]] + ROUND( MIN(gt_bonus*TblConstr[[#This Row],[Tot GT]]/TblConstr[[#This Row],[Land]],gt_bonus_cap), 4) + IF(TblMagic[[#This Row],[Active Howling]]&gt;0,howling_dp_bonus,IF(TblMagic[[#This Row],[Active Ares Call]]&gt;0,ares_call_bonus))</f>
        <v>0</v>
      </c>
      <c r="V110" s="249">
        <f ca="1">TblMili[[#This Row],[Non Draft]] * (1 + TblMili[[#This Row],[Mods_Def]])</f>
        <v>0</v>
      </c>
      <c r="W110" s="247">
        <f ca="1">TblMili[[#This Row],[Draft]] * (1 + TblMili[[#This Row],[Mods_Def]])</f>
        <v>608</v>
      </c>
      <c r="X110" s="247">
        <f ca="1">TblConstr[[#This Row],[Land]]</f>
        <v>50</v>
      </c>
      <c r="Y110" s="250"/>
      <c r="Z110" s="255">
        <f ca="1">IF(TblMili[[#This Row],[Set]]&lt;&gt;"",TblMili[[#This Row],[Set]],OFFSET(TblMili[[#This Row],[Draftrate]],-1,0))</f>
        <v>0.9</v>
      </c>
      <c r="AA110"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608</v>
      </c>
      <c r="AB110" s="154"/>
      <c r="AC110" s="180">
        <f ca="1">(TblConstr[[#This Row],[Tot Smi]]+TblConstr[[#This Row],[Dest Smi]])/(TblConstr[[#This Row],[Land]]-TblExplore[[#This Row],[Land Bonus]]*20)</f>
        <v>0</v>
      </c>
      <c r="AD110" s="137"/>
      <c r="AE110" s="246">
        <f>TblMili[[#This Row],[Hour]]</f>
        <v>107</v>
      </c>
      <c r="AF110" s="138">
        <f ca="1">TblExplore[[#This Row],[Time]]</f>
        <v>46324.41666666641</v>
      </c>
      <c r="AG110" s="179"/>
      <c r="AH110" s="179"/>
      <c r="AI110" s="179"/>
      <c r="AJ110" s="179"/>
      <c r="AK110" s="179"/>
      <c r="AL110" s="179"/>
      <c r="AM110" s="179"/>
      <c r="AN110" s="179"/>
      <c r="AO110" s="420">
        <f ca="1">ROUND(IF(AND(TblMagic[[#This Row],[Active DnD]]&lt;12,TblMagic[[#This Row],[Active DnD]]&gt;5),OFFSET(TblPop[[#This Row],[Draft Growth]],-1,0)*0.375,0),0)</f>
        <v>0</v>
      </c>
      <c r="AP110" s="142"/>
      <c r="AQ110" s="94">
        <f ca="1">TblProd[[#This Row],[Platinum]]</f>
        <v>203296</v>
      </c>
      <c r="AR110" s="94">
        <f ca="1">INDEX(TblProd[[#Headers],[Lumber]]:TblProd[[#This Row],[Ore]],COUNTA(TblProd[[#Headers],[Lumber]]:TblProd[[#This Row],[Lumber]]),MATCH(Military!$AR$2,TblProd[[#Headers],[Lumber]:[Ore]],0))</f>
        <v>0</v>
      </c>
      <c r="AS11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10" s="94">
        <f ca="1">TblMili[[#This Row],[Train Unit 1]]*TblMili[[#This Row],[OP Ore]]+TblMili[[#This Row],[Train Unit 2]]*TblMili[[#This Row],[DP Ore]]+TblMili[[#This Row],[Train Unit 3]]*TblMili[[#This Row],[E1 Ore]]+TblMili[[#This Row],[Train Unit 4]]*TblMili[[#This Row],[E2 Ore]]</f>
        <v>0</v>
      </c>
      <c r="AU110" s="142">
        <f>TblMili[[#This Row],[Hour]]</f>
        <v>107</v>
      </c>
      <c r="AV110" s="152">
        <f ca="1">TblMili[[#This Row],[Time]]</f>
        <v>46324.41666666641</v>
      </c>
      <c r="AW110" s="94">
        <f ca="1">TblMili[[#This Row],[Draftees]]</f>
        <v>608</v>
      </c>
      <c r="AX110" s="179"/>
      <c r="AY110" s="179"/>
      <c r="AZ110" s="179"/>
      <c r="BA110" s="179"/>
      <c r="BB110" s="179"/>
      <c r="BC110" s="179"/>
      <c r="BD110" s="179"/>
      <c r="BE110" s="179"/>
      <c r="BF110" s="179"/>
      <c r="BG110" s="142"/>
      <c r="BH110" s="157">
        <f ca="1">TblConstr[[#This Row],[Tot WG]]/TblConstr[[#This Row],[Land]]</f>
        <v>0</v>
      </c>
      <c r="BI110" s="157">
        <f ca="1">TblConstr[[#This Row],[Tot Hav]]/TblConstr[[#This Row],[Land]]</f>
        <v>0</v>
      </c>
      <c r="BJ110" s="94">
        <f ca="1">ROUNDUP((1-MIN(TblMili[[#This Row],[Smithies]]*smithy_bonus,smithy_bonus_cap) + tech_3_5*TblTech[[#This Row],[3-5]] + tech_5_3*TblTech[[#This Row],[5-3]] + tech_5_5*TblTech[[#This Row],[5-5]])*spec_op_plat,0)</f>
        <v>315</v>
      </c>
      <c r="BK110" s="94">
        <f ca="1">ROUNDUP(IF(race="Gnome",1,(1-MIN(TblMili[[#This Row],[Smithies]]*smithy_bonus,smithy_bonus_cap) + tech_3_5*TblTech[[#This Row],[3-5]] + tech_5_3*TblTech[[#This Row],[5-3]] + tech_5_5*TblTech[[#This Row],[5-5]]))*spec_op_ore,0)</f>
        <v>25</v>
      </c>
      <c r="BL110" s="94">
        <f ca="1">ROUNDUP((1-MIN(TblMili[[#This Row],[Smithies]]*smithy_bonus,smithy_bonus_cap) + tech_3_5*TblTech[[#This Row],[3-5]] + tech_5_3*TblTech[[#This Row],[5-3]] + tech_5_5*TblTech[[#This Row],[5-5]])*spec_dp_plat,0)</f>
        <v>275</v>
      </c>
      <c r="BM110" s="94">
        <f ca="1">ROUNDUP(IF(race="Gnome",1,(1-MIN(TblMili[[#This Row],[Smithies]]*smithy_bonus,smithy_bonus_cap) + tech_3_5*TblTech[[#This Row],[3-5]] + tech_5_3*TblTech[[#This Row],[5-3]] + tech_5_5*TblTech[[#This Row],[5-5]]))*spec_dp_ore,0)</f>
        <v>15</v>
      </c>
      <c r="BN110" s="94">
        <f ca="1">ROUNDUP((1-MIN(TblMili[[#This Row],[Smithies]]*smithy_bonus,smithy_bonus_cap) + tech_3_5*TblTech[[#This Row],[3-5]] + tech_5_3*TblTech[[#This Row],[5-3]] + tech_5_5*TblTech[[#This Row],[5-5]])*elite1_plat,0)</f>
        <v>1040</v>
      </c>
      <c r="BO110" s="94">
        <f ca="1">ROUNDUP(IF(race="Gnome",1,(1-MIN(TblMili[[#This Row],[Smithies]]*smithy_bonus,smithy_bonus_cap) + tech_3_5*TblTech[[#This Row],[3-5]] + tech_5_3*TblTech[[#This Row],[5-3]] + tech_5_5*TblTech[[#This Row],[5-5]]))*elite1_ore,0)</f>
        <v>75</v>
      </c>
      <c r="BP110" s="94">
        <f ca="1">ROUNDUP((1-MIN(TblMili[[#This Row],[Smithies]]*smithy_bonus,smithy_bonus_cap) + tech_3_5*TblTech[[#This Row],[3-5]] + tech_5_3*TblTech[[#This Row],[5-3]] + tech_5_5*TblTech[[#This Row],[5-5]])*elite2_plat,0)</f>
        <v>1280</v>
      </c>
      <c r="BQ110" s="94">
        <f ca="1">ROUNDUP(IF(race="Gnome",1,(1-MIN(TblMili[[#This Row],[Smithies]]*smithy_bonus,smithy_bonus_cap) + tech_3_5*TblTech[[#This Row],[3-5]] + tech_5_3*TblTech[[#This Row],[5-3]] + tech_5_5*TblTech[[#This Row],[5-5]]))*elite2_ore,0)</f>
        <v>100</v>
      </c>
      <c r="BR110" s="94">
        <f ca="1">ROUNDUP((1-MIN(ROUND(fh_spy_cost_red*TblMili[[#This Row],[FH''s]],4),fh_spy_cost_cap)+ tech_1_9*TblTech[[#This Row],[1-9]] + tech_9_1*TblTech[[#This Row],[9-1]])*spy_plat,0)</f>
        <v>500</v>
      </c>
      <c r="BS110" s="94">
        <f ca="1">ROUNDUP((1-MIN(ROUND(fh_spy_cost_red*TblMili[[#This Row],[FH''s]],4),fh_spy_cost_cap)+ tech_1_9*TblTech[[#This Row],[1-9]] + tech_9_1*TblTech[[#This Row],[9-1]])*archspy_plat,0)</f>
        <v>1000</v>
      </c>
      <c r="BT110" s="94">
        <f ca="1">ROUNDUP((1-MIN(ROUND(wg_wiz_cost_bonus*TblMili[[#This Row],[WG''s]],4),wg_wiz_cost_cap) + tech_1_9_2*TblTech[[#This Row],[1-9]] + tech_9_1_2*TblTech[[#This Row],[9-1]])*wizard_plat,0)</f>
        <v>500</v>
      </c>
      <c r="BU110" s="94">
        <f ca="1">ROUNDUP((1-MIN(ROUND(wg_wiz_cost_bonus*TblMili[[#This Row],[WG''s]],4),wg_wiz_cost_cap) + tech_1_9_2*TblTech[[#This Row],[1-9]] + tech_9_1_2*TblTech[[#This Row],[9-1]])*(archmage_plat + IF(TblMagic[[#This Row],[Active Arc Infusion]]&gt;0,400,0)),0)</f>
        <v>1000</v>
      </c>
      <c r="BV110" s="142"/>
      <c r="BW110" s="157">
        <f ca="1">TblConstr[[#This Row],[Homeland]]/TblConstr[[#This Row],[Land]]</f>
        <v>0.6</v>
      </c>
      <c r="BX110" s="157">
        <f ca="1">TblMili[[#This Row],[WG''s]]</f>
        <v>0</v>
      </c>
      <c r="BY110" s="251">
        <f ca="1">IF(mystic_cap="none",TblMili[[#This Row],[Homeland%]]/mystic_bonus,MIN(mystic_cap,TblMili[[#This Row],[Homeland%]]/mystic_bonus))</f>
        <v>2</v>
      </c>
      <c r="BZ110" s="251">
        <f ca="1">IF(druid_op_cap="none",TblMili[[#This Row],[Homeland%]]/druid_op_bonus,MIN(druid_op_cap,TblMili[[#This Row],[Homeland%]]/druid_op_bonus))</f>
        <v>2</v>
      </c>
      <c r="CA110" s="251">
        <f ca="1">IF(druid_dp_cap="none",TblMili[[#This Row],[Homeland%]]/druid_dp_bonus,MIN(druid_dp_cap,TblMili[[#This Row],[Homeland%]]/druid_dp_bonus))</f>
        <v>2</v>
      </c>
      <c r="CB110" s="251">
        <f ca="1">MIN(dryad_cap,TblMili[[#This Row],[Homeland%]]/dryad_bonus)</f>
        <v>2.9999999999999996</v>
      </c>
      <c r="CC110" s="251">
        <f ca="1">MIN(rocka_cap,TblMili[[#This Row],[Homeland%]]/rocka_bonus)</f>
        <v>2</v>
      </c>
      <c r="CD110" s="251">
        <f ca="1">MIN(adept_op_cap,TblMili[[#This Row],[WG]]/adept_op_bonus)</f>
        <v>0</v>
      </c>
      <c r="CE110" s="251">
        <f ca="1">MIN(adept_dp_cap,TblMili[[#This Row],[WG]]/adept_dp_bonus)</f>
        <v>0</v>
      </c>
      <c r="CF110" s="94">
        <f ca="1">MIN(TblMili[[#This Row],[Unit 3]],TblMili[[#This Row],[Unit 2]])*2</f>
        <v>0</v>
      </c>
      <c r="CG110" s="94">
        <f ca="1">MIN(TblMili[[#This Row],[Unit 1]],TblMili[[#This Row],[Unit 4]])*2</f>
        <v>0</v>
      </c>
      <c r="CH110" s="251">
        <f ca="1">MIN(frost_mage_cap,TblMili[[#This Row],[Homeland%]]/frost_mage_bonus)</f>
        <v>2.9999999999999996</v>
      </c>
      <c r="CI110" s="45">
        <f ca="1">MIN(ice_elem_cap,TblMili[[#This Row],[Raw (2)]]*ice_elem_bonus)</f>
        <v>0</v>
      </c>
      <c r="CJ110" s="251">
        <f t="shared" si="4"/>
        <v>0.83333333333333337</v>
      </c>
      <c r="CK110" s="251">
        <f ca="1">MIN(nox_nightshade_cap,TblConstr[[#This Row],[Homeland]]/TblConstr[[#This Row],[Land]]/nox_nightshade_swamp_bonus)</f>
        <v>4</v>
      </c>
      <c r="CL110" s="251">
        <f ca="1">MIN(TblConstr[[#This Row],[Total Swamp]]/TblConstr[[#This Row],[Land]]/abyss_enforce_bonus,abyss_enforcer_cap)</f>
        <v>0</v>
      </c>
      <c r="CM110" s="251">
        <f ca="1">IF(TblMagic[[#This Row],[Active Infernal Command]]&gt;0,TblMili[[#This Row],[Unit 1]]*infernal_cmd_op,0)</f>
        <v>0</v>
      </c>
      <c r="CN110" s="252"/>
      <c r="CO110" s="252"/>
      <c r="CP110" s="252"/>
      <c r="CQ110" s="251">
        <f ca="1">TblMili[[#This Row],[Mystic]]*2</f>
        <v>4</v>
      </c>
      <c r="CR110" s="251">
        <f ca="1">TblMili[[#This Row],[Druid (op)]]*2</f>
        <v>4</v>
      </c>
      <c r="CS110" s="94">
        <f ca="1">TblMili[[#This Row],[Mystic bonus]]*TblMili[[#This Row],[Unit 3]]+TblMili[[#This Row],[Druid bonus]]*TblMili[[#This Row],[Unit 4]]</f>
        <v>0</v>
      </c>
      <c r="CT110" s="155">
        <f ca="1">TblMili[[#This Row],[Dryad]]*2</f>
        <v>5.9999999999999991</v>
      </c>
      <c r="CU110" s="94">
        <f ca="1">sylvan*(TblMili[[#This Row],[Mystic bonus]]*TblMili[[#This Row],[Unit 3]])</f>
        <v>0</v>
      </c>
      <c r="CV110" s="155">
        <f ca="1">TblMili[[#This Row],[Rockapult]]*2</f>
        <v>4</v>
      </c>
      <c r="CW110" s="94">
        <f ca="1">gnome*(TblMili[[#This Row],[Rockapult bonus]]*TblMili[[#This Row],[Unit 3]])</f>
        <v>0</v>
      </c>
      <c r="CX110" s="155">
        <f ca="1">TblMili[[#This Row],[Adept-DP]]*2</f>
        <v>0</v>
      </c>
      <c r="CY110" s="94">
        <f ca="1">dark_elf*(TblMili[[#This Row],[Adept bonus]]*TblMili[[#This Row],[Unit 3]])</f>
        <v>0</v>
      </c>
      <c r="CZ110" s="155">
        <f ca="1">TblMili[[#This Row],[Frost Mage]]*2</f>
        <v>5.9999999999999991</v>
      </c>
      <c r="DA110" s="155">
        <f ca="1">TblMili[[#This Row],[Ice Elemental]]*2</f>
        <v>0</v>
      </c>
      <c r="DB110" s="94">
        <f ca="1">TblMili[[#This Row],[Frost Mage bonus]]*TblMili[[#This Row],[Unit 3]]+TblMili[[#This Row],[Ice Elemental bonus]]*TblMili[[#This Row],[Unit 4]]</f>
        <v>0</v>
      </c>
      <c r="DC110" s="253"/>
      <c r="DD110" s="143">
        <f ca="1">MIN(SUM(TblConstr[[#This Row],[Plain]:[Water]])/TblMili[[#This Row],[Land]]/favorable_terrain_bonus/100,favorable_terrain_max)</f>
        <v>0</v>
      </c>
      <c r="DE110" s="253"/>
      <c r="DF11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0" s="142"/>
      <c r="DH110" s="254">
        <f ca="1">(TblMili[[#This Row],[Wizards]]+2*TblMili[[#This Row],[Archmages]])/TblConstr[[#This Row],[Land]]</f>
        <v>0</v>
      </c>
      <c r="DI110" s="254">
        <f ca="1">TblMili[[#This Row],[Raw (2)]]*(1+race_wizard_strength+IF(TblMili[[#This Row],[Hour]]&gt;72,tech_magical_weaponry_wiz*TblTech[[#This Row],[3-5]],0))</f>
        <v>0</v>
      </c>
    </row>
    <row r="111" spans="1:113" x14ac:dyDescent="0.2">
      <c r="A111" s="137">
        <f>TblRezone[[#This Row],[Hour]]</f>
        <v>108</v>
      </c>
      <c r="B111" s="246">
        <f ca="1">SUM(TblMili[[#This Row],[Unit 1]:[Archmages]])+SUM(OFFSET(TblMili[[#This Row],[Train Unit 1]],-8,0):TblMili[[#This Row],[Train Unit 2]]) + SUM(OFFSET(TblMili[[#This Row],[Train Unit 3]],-11,0):TblMili[[#This Row],[Train AM]]) + TblMili[[#This Row],[Draftees]]</f>
        <v>610</v>
      </c>
      <c r="C111" s="157">
        <f ca="1">TblPop[[#This Row],[Military%]]</f>
        <v>0.79323797139141738</v>
      </c>
      <c r="D111" s="142"/>
      <c r="E111" s="45">
        <f ca="1">OFFSET(TblMili[[#This Row],[Unit 1]],-1,0) + OFFSET(TblMili[[#This Row],[Train Unit 1]],-9,0) - TblMili[[#This Row],[Release Unit 1]] + OFFSET(TblMili[[#This Row],[DnD_Zombies]],-12,0)</f>
        <v>0</v>
      </c>
      <c r="F111" s="45">
        <f ca="1">OFFSET(TblMili[[#This Row],[Unit 2]],-1,0) + OFFSET(TblMili[[#This Row],[Train Unit 2]],-9,0)-TblMili[[#This Row],[Release Unit 2]]</f>
        <v>0</v>
      </c>
      <c r="G111" s="45">
        <f ca="1">OFFSET(TblMili[[#This Row],[Unit 3]],-1,0) + OFFSET(TblMili[[#This Row],[Train Unit 3]],-12,0)-TblMili[[#This Row],[Release Unit 3]]</f>
        <v>0</v>
      </c>
      <c r="H111" s="45">
        <f ca="1">OFFSET(TblMili[[#This Row],[Unit 4]],-1,0) + OFFSET(TblMili[[#This Row],[Train Unit 4]],-12,0)-TblMili[[#This Row],[Release Unit 4]]</f>
        <v>0</v>
      </c>
      <c r="I111" s="45">
        <f ca="1">OFFSET(TblMili[[#This Row],[Spies]],-1,0) + OFFSET(TblMili[[#This Row],[Train Spies]],-12,0) - TblMili[[#This Row],[Release Spies]]-TblMili[[#This Row],[Train AS]]</f>
        <v>0</v>
      </c>
      <c r="J111" s="45">
        <f ca="1">OFFSET(TblMili[[#This Row],[Archspies]],-1,0) + OFFSET(TblMili[[#This Row],[Train AS]],-12,0) - TblMili[[#This Row],[Release AS]]</f>
        <v>0</v>
      </c>
      <c r="K111" s="45">
        <f ca="1">OFFSET(TblMili[[#This Row],[Wizards]],-1,0) + OFFSET(TblMili[[#This Row],[Train Wiz]],-12,0) - TblMili[[#This Row],[Release Wizards]]-TblMili[[#This Row],[Train AM]] + IF(TblMagic[[#This Row],[Active Arc Infusion]]&gt;0,TblMili[[#This Row],[Train AM]])</f>
        <v>0</v>
      </c>
      <c r="L111" s="45">
        <f ca="1">OFFSET(TblMili[[#This Row],[Archmages]],-1,0) + OFFSET(TblMili[[#This Row],[Train AM]],-12,0) - TblMili[[#This Row],[Release AM]]</f>
        <v>0</v>
      </c>
      <c r="M111" s="142"/>
      <c r="N111" s="94">
        <f ca="1">TblProd[[#This Row],[Networth]]</f>
        <v>1250</v>
      </c>
      <c r="O111" s="142"/>
      <c r="P111"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1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1" s="247">
        <f ca="1">TblMili[[#This Row],[Raw]]*(1+TblMili[[#This Row],[Mods_Off]])</f>
        <v>0</v>
      </c>
      <c r="S111"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11" s="247">
        <f ca="1">TblMili[[#This Row],[Non Draft]]+TblMili[[#This Row],[Draftees]]</f>
        <v>610</v>
      </c>
      <c r="U111" s="248">
        <f ca="1">race_defense + TblImps[[#This Row],[Walls]] + ROUND( MIN(gt_bonus*TblConstr[[#This Row],[Tot GT]]/TblConstr[[#This Row],[Land]],gt_bonus_cap), 4) + IF(TblMagic[[#This Row],[Active Howling]]&gt;0,howling_dp_bonus,IF(TblMagic[[#This Row],[Active Ares Call]]&gt;0,ares_call_bonus))</f>
        <v>0</v>
      </c>
      <c r="V111" s="249">
        <f ca="1">TblMili[[#This Row],[Non Draft]] * (1 + TblMili[[#This Row],[Mods_Def]])</f>
        <v>0</v>
      </c>
      <c r="W111" s="247">
        <f ca="1">TblMili[[#This Row],[Draft]] * (1 + TblMili[[#This Row],[Mods_Def]])</f>
        <v>610</v>
      </c>
      <c r="X111" s="247">
        <f ca="1">TblConstr[[#This Row],[Land]]</f>
        <v>50</v>
      </c>
      <c r="Y111" s="250"/>
      <c r="Z111" s="255">
        <f ca="1">IF(TblMili[[#This Row],[Set]]&lt;&gt;"",TblMili[[#This Row],[Set]],OFFSET(TblMili[[#This Row],[Draftrate]],-1,0))</f>
        <v>0.9</v>
      </c>
      <c r="AA111"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610</v>
      </c>
      <c r="AB111" s="154"/>
      <c r="AC111" s="180">
        <f ca="1">(TblConstr[[#This Row],[Tot Smi]]+TblConstr[[#This Row],[Dest Smi]])/(TblConstr[[#This Row],[Land]]-TblExplore[[#This Row],[Land Bonus]]*20)</f>
        <v>0</v>
      </c>
      <c r="AD111" s="137"/>
      <c r="AE111" s="246">
        <f>TblMili[[#This Row],[Hour]]</f>
        <v>108</v>
      </c>
      <c r="AF111" s="138">
        <f ca="1">TblExplore[[#This Row],[Time]]</f>
        <v>46324.458333333074</v>
      </c>
      <c r="AG111" s="179"/>
      <c r="AH111" s="179"/>
      <c r="AI111" s="179"/>
      <c r="AJ111" s="179"/>
      <c r="AK111" s="179"/>
      <c r="AL111" s="179"/>
      <c r="AM111" s="179"/>
      <c r="AN111" s="179"/>
      <c r="AO111" s="420">
        <f ca="1">ROUND(IF(AND(TblMagic[[#This Row],[Active DnD]]&lt;12,TblMagic[[#This Row],[Active DnD]]&gt;5),OFFSET(TblPop[[#This Row],[Draft Growth]],-1,0)*0.375,0),0)</f>
        <v>0</v>
      </c>
      <c r="AP111" s="142"/>
      <c r="AQ111" s="94">
        <f ca="1">TblProd[[#This Row],[Platinum]]</f>
        <v>203730</v>
      </c>
      <c r="AR111" s="94">
        <f ca="1">INDEX(TblProd[[#Headers],[Lumber]]:TblProd[[#This Row],[Ore]],COUNTA(TblProd[[#Headers],[Lumber]]:TblProd[[#This Row],[Lumber]]),MATCH(Military!$AR$2,TblProd[[#Headers],[Lumber]:[Ore]],0))</f>
        <v>0</v>
      </c>
      <c r="AS11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11" s="94">
        <f ca="1">TblMili[[#This Row],[Train Unit 1]]*TblMili[[#This Row],[OP Ore]]+TblMili[[#This Row],[Train Unit 2]]*TblMili[[#This Row],[DP Ore]]+TblMili[[#This Row],[Train Unit 3]]*TblMili[[#This Row],[E1 Ore]]+TblMili[[#This Row],[Train Unit 4]]*TblMili[[#This Row],[E2 Ore]]</f>
        <v>0</v>
      </c>
      <c r="AU111" s="142">
        <f>TblMili[[#This Row],[Hour]]</f>
        <v>108</v>
      </c>
      <c r="AV111" s="152">
        <f ca="1">TblMili[[#This Row],[Time]]</f>
        <v>46324.458333333074</v>
      </c>
      <c r="AW111" s="94">
        <f ca="1">TblMili[[#This Row],[Draftees]]</f>
        <v>610</v>
      </c>
      <c r="AX111" s="179"/>
      <c r="AY111" s="179"/>
      <c r="AZ111" s="179"/>
      <c r="BA111" s="179"/>
      <c r="BB111" s="179"/>
      <c r="BC111" s="179"/>
      <c r="BD111" s="179"/>
      <c r="BE111" s="179"/>
      <c r="BF111" s="179"/>
      <c r="BG111" s="142"/>
      <c r="BH111" s="157">
        <f ca="1">TblConstr[[#This Row],[Tot WG]]/TblConstr[[#This Row],[Land]]</f>
        <v>0</v>
      </c>
      <c r="BI111" s="157">
        <f ca="1">TblConstr[[#This Row],[Tot Hav]]/TblConstr[[#This Row],[Land]]</f>
        <v>0</v>
      </c>
      <c r="BJ111" s="94">
        <f ca="1">ROUNDUP((1-MIN(TblMili[[#This Row],[Smithies]]*smithy_bonus,smithy_bonus_cap) + tech_3_5*TblTech[[#This Row],[3-5]] + tech_5_3*TblTech[[#This Row],[5-3]] + tech_5_5*TblTech[[#This Row],[5-5]])*spec_op_plat,0)</f>
        <v>315</v>
      </c>
      <c r="BK111" s="94">
        <f ca="1">ROUNDUP(IF(race="Gnome",1,(1-MIN(TblMili[[#This Row],[Smithies]]*smithy_bonus,smithy_bonus_cap) + tech_3_5*TblTech[[#This Row],[3-5]] + tech_5_3*TblTech[[#This Row],[5-3]] + tech_5_5*TblTech[[#This Row],[5-5]]))*spec_op_ore,0)</f>
        <v>25</v>
      </c>
      <c r="BL111" s="94">
        <f ca="1">ROUNDUP((1-MIN(TblMili[[#This Row],[Smithies]]*smithy_bonus,smithy_bonus_cap) + tech_3_5*TblTech[[#This Row],[3-5]] + tech_5_3*TblTech[[#This Row],[5-3]] + tech_5_5*TblTech[[#This Row],[5-5]])*spec_dp_plat,0)</f>
        <v>275</v>
      </c>
      <c r="BM111" s="94">
        <f ca="1">ROUNDUP(IF(race="Gnome",1,(1-MIN(TblMili[[#This Row],[Smithies]]*smithy_bonus,smithy_bonus_cap) + tech_3_5*TblTech[[#This Row],[3-5]] + tech_5_3*TblTech[[#This Row],[5-3]] + tech_5_5*TblTech[[#This Row],[5-5]]))*spec_dp_ore,0)</f>
        <v>15</v>
      </c>
      <c r="BN111" s="94">
        <f ca="1">ROUNDUP((1-MIN(TblMili[[#This Row],[Smithies]]*smithy_bonus,smithy_bonus_cap) + tech_3_5*TblTech[[#This Row],[3-5]] + tech_5_3*TblTech[[#This Row],[5-3]] + tech_5_5*TblTech[[#This Row],[5-5]])*elite1_plat,0)</f>
        <v>1040</v>
      </c>
      <c r="BO111" s="94">
        <f ca="1">ROUNDUP(IF(race="Gnome",1,(1-MIN(TblMili[[#This Row],[Smithies]]*smithy_bonus,smithy_bonus_cap) + tech_3_5*TblTech[[#This Row],[3-5]] + tech_5_3*TblTech[[#This Row],[5-3]] + tech_5_5*TblTech[[#This Row],[5-5]]))*elite1_ore,0)</f>
        <v>75</v>
      </c>
      <c r="BP111" s="94">
        <f ca="1">ROUNDUP((1-MIN(TblMili[[#This Row],[Smithies]]*smithy_bonus,smithy_bonus_cap) + tech_3_5*TblTech[[#This Row],[3-5]] + tech_5_3*TblTech[[#This Row],[5-3]] + tech_5_5*TblTech[[#This Row],[5-5]])*elite2_plat,0)</f>
        <v>1280</v>
      </c>
      <c r="BQ111" s="94">
        <f ca="1">ROUNDUP(IF(race="Gnome",1,(1-MIN(TblMili[[#This Row],[Smithies]]*smithy_bonus,smithy_bonus_cap) + tech_3_5*TblTech[[#This Row],[3-5]] + tech_5_3*TblTech[[#This Row],[5-3]] + tech_5_5*TblTech[[#This Row],[5-5]]))*elite2_ore,0)</f>
        <v>100</v>
      </c>
      <c r="BR111" s="94">
        <f ca="1">ROUNDUP((1-MIN(ROUND(fh_spy_cost_red*TblMili[[#This Row],[FH''s]],4),fh_spy_cost_cap)+ tech_1_9*TblTech[[#This Row],[1-9]] + tech_9_1*TblTech[[#This Row],[9-1]])*spy_plat,0)</f>
        <v>500</v>
      </c>
      <c r="BS111" s="94">
        <f ca="1">ROUNDUP((1-MIN(ROUND(fh_spy_cost_red*TblMili[[#This Row],[FH''s]],4),fh_spy_cost_cap)+ tech_1_9*TblTech[[#This Row],[1-9]] + tech_9_1*TblTech[[#This Row],[9-1]])*archspy_plat,0)</f>
        <v>1000</v>
      </c>
      <c r="BT111" s="94">
        <f ca="1">ROUNDUP((1-MIN(ROUND(wg_wiz_cost_bonus*TblMili[[#This Row],[WG''s]],4),wg_wiz_cost_cap) + tech_1_9_2*TblTech[[#This Row],[1-9]] + tech_9_1_2*TblTech[[#This Row],[9-1]])*wizard_plat,0)</f>
        <v>500</v>
      </c>
      <c r="BU111" s="94">
        <f ca="1">ROUNDUP((1-MIN(ROUND(wg_wiz_cost_bonus*TblMili[[#This Row],[WG''s]],4),wg_wiz_cost_cap) + tech_1_9_2*TblTech[[#This Row],[1-9]] + tech_9_1_2*TblTech[[#This Row],[9-1]])*(archmage_plat + IF(TblMagic[[#This Row],[Active Arc Infusion]]&gt;0,400,0)),0)</f>
        <v>1000</v>
      </c>
      <c r="BV111" s="142"/>
      <c r="BW111" s="157">
        <f ca="1">TblConstr[[#This Row],[Homeland]]/TblConstr[[#This Row],[Land]]</f>
        <v>0.6</v>
      </c>
      <c r="BX111" s="157">
        <f ca="1">TblMili[[#This Row],[WG''s]]</f>
        <v>0</v>
      </c>
      <c r="BY111" s="251">
        <f ca="1">IF(mystic_cap="none",TblMili[[#This Row],[Homeland%]]/mystic_bonus,MIN(mystic_cap,TblMili[[#This Row],[Homeland%]]/mystic_bonus))</f>
        <v>2</v>
      </c>
      <c r="BZ111" s="251">
        <f ca="1">IF(druid_op_cap="none",TblMili[[#This Row],[Homeland%]]/druid_op_bonus,MIN(druid_op_cap,TblMili[[#This Row],[Homeland%]]/druid_op_bonus))</f>
        <v>2</v>
      </c>
      <c r="CA111" s="251">
        <f ca="1">IF(druid_dp_cap="none",TblMili[[#This Row],[Homeland%]]/druid_dp_bonus,MIN(druid_dp_cap,TblMili[[#This Row],[Homeland%]]/druid_dp_bonus))</f>
        <v>2</v>
      </c>
      <c r="CB111" s="251">
        <f ca="1">MIN(dryad_cap,TblMili[[#This Row],[Homeland%]]/dryad_bonus)</f>
        <v>2.9999999999999996</v>
      </c>
      <c r="CC111" s="251">
        <f ca="1">MIN(rocka_cap,TblMili[[#This Row],[Homeland%]]/rocka_bonus)</f>
        <v>2</v>
      </c>
      <c r="CD111" s="251">
        <f ca="1">MIN(adept_op_cap,TblMili[[#This Row],[WG]]/adept_op_bonus)</f>
        <v>0</v>
      </c>
      <c r="CE111" s="251">
        <f ca="1">MIN(adept_dp_cap,TblMili[[#This Row],[WG]]/adept_dp_bonus)</f>
        <v>0</v>
      </c>
      <c r="CF111" s="94">
        <f ca="1">MIN(TblMili[[#This Row],[Unit 3]],TblMili[[#This Row],[Unit 2]])*2</f>
        <v>0</v>
      </c>
      <c r="CG111" s="94">
        <f ca="1">MIN(TblMili[[#This Row],[Unit 1]],TblMili[[#This Row],[Unit 4]])*2</f>
        <v>0</v>
      </c>
      <c r="CH111" s="251">
        <f ca="1">MIN(frost_mage_cap,TblMili[[#This Row],[Homeland%]]/frost_mage_bonus)</f>
        <v>2.9999999999999996</v>
      </c>
      <c r="CI111" s="45">
        <f ca="1">MIN(ice_elem_cap,TblMili[[#This Row],[Raw (2)]]*ice_elem_bonus)</f>
        <v>0</v>
      </c>
      <c r="CJ111" s="251">
        <f t="shared" si="4"/>
        <v>0.83333333333333337</v>
      </c>
      <c r="CK111" s="251">
        <f ca="1">MIN(nox_nightshade_cap,TblConstr[[#This Row],[Homeland]]/TblConstr[[#This Row],[Land]]/nox_nightshade_swamp_bonus)</f>
        <v>4</v>
      </c>
      <c r="CL111" s="251">
        <f ca="1">MIN(TblConstr[[#This Row],[Total Swamp]]/TblConstr[[#This Row],[Land]]/abyss_enforce_bonus,abyss_enforcer_cap)</f>
        <v>0</v>
      </c>
      <c r="CM111" s="251">
        <f ca="1">IF(TblMagic[[#This Row],[Active Infernal Command]]&gt;0,TblMili[[#This Row],[Unit 1]]*infernal_cmd_op,0)</f>
        <v>0</v>
      </c>
      <c r="CN111" s="252"/>
      <c r="CO111" s="252"/>
      <c r="CP111" s="252"/>
      <c r="CQ111" s="251">
        <f ca="1">TblMili[[#This Row],[Mystic]]*2</f>
        <v>4</v>
      </c>
      <c r="CR111" s="251">
        <f ca="1">TblMili[[#This Row],[Druid (op)]]*2</f>
        <v>4</v>
      </c>
      <c r="CS111" s="94">
        <f ca="1">TblMili[[#This Row],[Mystic bonus]]*TblMili[[#This Row],[Unit 3]]+TblMili[[#This Row],[Druid bonus]]*TblMili[[#This Row],[Unit 4]]</f>
        <v>0</v>
      </c>
      <c r="CT111" s="155">
        <f ca="1">TblMili[[#This Row],[Dryad]]*2</f>
        <v>5.9999999999999991</v>
      </c>
      <c r="CU111" s="94">
        <f ca="1">sylvan*(TblMili[[#This Row],[Mystic bonus]]*TblMili[[#This Row],[Unit 3]])</f>
        <v>0</v>
      </c>
      <c r="CV111" s="155">
        <f ca="1">TblMili[[#This Row],[Rockapult]]*2</f>
        <v>4</v>
      </c>
      <c r="CW111" s="94">
        <f ca="1">gnome*(TblMili[[#This Row],[Rockapult bonus]]*TblMili[[#This Row],[Unit 3]])</f>
        <v>0</v>
      </c>
      <c r="CX111" s="155">
        <f ca="1">TblMili[[#This Row],[Adept-DP]]*2</f>
        <v>0</v>
      </c>
      <c r="CY111" s="94">
        <f ca="1">dark_elf*(TblMili[[#This Row],[Adept bonus]]*TblMili[[#This Row],[Unit 3]])</f>
        <v>0</v>
      </c>
      <c r="CZ111" s="155">
        <f ca="1">TblMili[[#This Row],[Frost Mage]]*2</f>
        <v>5.9999999999999991</v>
      </c>
      <c r="DA111" s="155">
        <f ca="1">TblMili[[#This Row],[Ice Elemental]]*2</f>
        <v>0</v>
      </c>
      <c r="DB111" s="94">
        <f ca="1">TblMili[[#This Row],[Frost Mage bonus]]*TblMili[[#This Row],[Unit 3]]+TblMili[[#This Row],[Ice Elemental bonus]]*TblMili[[#This Row],[Unit 4]]</f>
        <v>0</v>
      </c>
      <c r="DC111" s="253"/>
      <c r="DD111" s="143">
        <f ca="1">MIN(SUM(TblConstr[[#This Row],[Plain]:[Water]])/TblMili[[#This Row],[Land]]/favorable_terrain_bonus/100,favorable_terrain_max)</f>
        <v>0</v>
      </c>
      <c r="DE111" s="253"/>
      <c r="DF11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1" s="142"/>
      <c r="DH111" s="254">
        <f ca="1">(TblMili[[#This Row],[Wizards]]+2*TblMili[[#This Row],[Archmages]])/TblConstr[[#This Row],[Land]]</f>
        <v>0</v>
      </c>
      <c r="DI111" s="254">
        <f ca="1">TblMili[[#This Row],[Raw (2)]]*(1+race_wizard_strength+IF(TblMili[[#This Row],[Hour]]&gt;72,tech_magical_weaponry_wiz*TblTech[[#This Row],[3-5]],0))</f>
        <v>0</v>
      </c>
    </row>
    <row r="112" spans="1:113" x14ac:dyDescent="0.2">
      <c r="A112" s="137">
        <f>TblRezone[[#This Row],[Hour]]</f>
        <v>109</v>
      </c>
      <c r="B112" s="246">
        <f ca="1">SUM(TblMili[[#This Row],[Unit 1]:[Archmages]])+SUM(OFFSET(TblMili[[#This Row],[Train Unit 1]],-8,0):TblMili[[#This Row],[Train Unit 2]]) + SUM(OFFSET(TblMili[[#This Row],[Train Unit 3]],-11,0):TblMili[[#This Row],[Train AM]]) + TblMili[[#This Row],[Draftees]]</f>
        <v>612</v>
      </c>
      <c r="C112" s="157">
        <f ca="1">TblPop[[#This Row],[Military%]]</f>
        <v>0.79583875162548767</v>
      </c>
      <c r="D112" s="142"/>
      <c r="E112" s="45">
        <f ca="1">OFFSET(TblMili[[#This Row],[Unit 1]],-1,0) + OFFSET(TblMili[[#This Row],[Train Unit 1]],-9,0) - TblMili[[#This Row],[Release Unit 1]] + OFFSET(TblMili[[#This Row],[DnD_Zombies]],-12,0)</f>
        <v>0</v>
      </c>
      <c r="F112" s="45">
        <f ca="1">OFFSET(TblMili[[#This Row],[Unit 2]],-1,0) + OFFSET(TblMili[[#This Row],[Train Unit 2]],-9,0)-TblMili[[#This Row],[Release Unit 2]]</f>
        <v>0</v>
      </c>
      <c r="G112" s="45">
        <f ca="1">OFFSET(TblMili[[#This Row],[Unit 3]],-1,0) + OFFSET(TblMili[[#This Row],[Train Unit 3]],-12,0)-TblMili[[#This Row],[Release Unit 3]]</f>
        <v>0</v>
      </c>
      <c r="H112" s="45">
        <f ca="1">OFFSET(TblMili[[#This Row],[Unit 4]],-1,0) + OFFSET(TblMili[[#This Row],[Train Unit 4]],-12,0)-TblMili[[#This Row],[Release Unit 4]]</f>
        <v>0</v>
      </c>
      <c r="I112" s="45">
        <f ca="1">OFFSET(TblMili[[#This Row],[Spies]],-1,0) + OFFSET(TblMili[[#This Row],[Train Spies]],-12,0) - TblMili[[#This Row],[Release Spies]]-TblMili[[#This Row],[Train AS]]</f>
        <v>0</v>
      </c>
      <c r="J112" s="45">
        <f ca="1">OFFSET(TblMili[[#This Row],[Archspies]],-1,0) + OFFSET(TblMili[[#This Row],[Train AS]],-12,0) - TblMili[[#This Row],[Release AS]]</f>
        <v>0</v>
      </c>
      <c r="K112" s="45">
        <f ca="1">OFFSET(TblMili[[#This Row],[Wizards]],-1,0) + OFFSET(TblMili[[#This Row],[Train Wiz]],-12,0) - TblMili[[#This Row],[Release Wizards]]-TblMili[[#This Row],[Train AM]] + IF(TblMagic[[#This Row],[Active Arc Infusion]]&gt;0,TblMili[[#This Row],[Train AM]])</f>
        <v>0</v>
      </c>
      <c r="L112" s="45">
        <f ca="1">OFFSET(TblMili[[#This Row],[Archmages]],-1,0) + OFFSET(TblMili[[#This Row],[Train AM]],-12,0) - TblMili[[#This Row],[Release AM]]</f>
        <v>0</v>
      </c>
      <c r="M112" s="142"/>
      <c r="N112" s="94">
        <f ca="1">TblProd[[#This Row],[Networth]]</f>
        <v>1250</v>
      </c>
      <c r="O112" s="142"/>
      <c r="P112"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1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2" s="247">
        <f ca="1">TblMili[[#This Row],[Raw]]*(1+TblMili[[#This Row],[Mods_Off]])</f>
        <v>0</v>
      </c>
      <c r="S112"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12" s="247">
        <f ca="1">TblMili[[#This Row],[Non Draft]]+TblMili[[#This Row],[Draftees]]</f>
        <v>612</v>
      </c>
      <c r="U112" s="248">
        <f ca="1">race_defense + TblImps[[#This Row],[Walls]] + ROUND( MIN(gt_bonus*TblConstr[[#This Row],[Tot GT]]/TblConstr[[#This Row],[Land]],gt_bonus_cap), 4) + IF(TblMagic[[#This Row],[Active Howling]]&gt;0,howling_dp_bonus,IF(TblMagic[[#This Row],[Active Ares Call]]&gt;0,ares_call_bonus))</f>
        <v>0</v>
      </c>
      <c r="V112" s="249">
        <f ca="1">TblMili[[#This Row],[Non Draft]] * (1 + TblMili[[#This Row],[Mods_Def]])</f>
        <v>0</v>
      </c>
      <c r="W112" s="247">
        <f ca="1">TblMili[[#This Row],[Draft]] * (1 + TblMili[[#This Row],[Mods_Def]])</f>
        <v>612</v>
      </c>
      <c r="X112" s="247">
        <f ca="1">TblConstr[[#This Row],[Land]]</f>
        <v>50</v>
      </c>
      <c r="Y112" s="250"/>
      <c r="Z112" s="255">
        <f ca="1">IF(TblMili[[#This Row],[Set]]&lt;&gt;"",TblMili[[#This Row],[Set]],OFFSET(TblMili[[#This Row],[Draftrate]],-1,0))</f>
        <v>0.9</v>
      </c>
      <c r="AA112"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612</v>
      </c>
      <c r="AB112" s="154"/>
      <c r="AC112" s="180">
        <f ca="1">(TblConstr[[#This Row],[Tot Smi]]+TblConstr[[#This Row],[Dest Smi]])/(TblConstr[[#This Row],[Land]]-TblExplore[[#This Row],[Land Bonus]]*20)</f>
        <v>0</v>
      </c>
      <c r="AD112" s="137"/>
      <c r="AE112" s="246">
        <f>TblMili[[#This Row],[Hour]]</f>
        <v>109</v>
      </c>
      <c r="AF112" s="138">
        <f ca="1">TblExplore[[#This Row],[Time]]</f>
        <v>46324.499999999738</v>
      </c>
      <c r="AG112" s="179"/>
      <c r="AH112" s="179"/>
      <c r="AI112" s="179"/>
      <c r="AJ112" s="179"/>
      <c r="AK112" s="179"/>
      <c r="AL112" s="179"/>
      <c r="AM112" s="179"/>
      <c r="AN112" s="179"/>
      <c r="AO112" s="420">
        <f ca="1">ROUND(IF(AND(TblMagic[[#This Row],[Active DnD]]&lt;12,TblMagic[[#This Row],[Active DnD]]&gt;5),OFFSET(TblPop[[#This Row],[Draft Growth]],-1,0)*0.375,0),0)</f>
        <v>0</v>
      </c>
      <c r="AP112" s="142"/>
      <c r="AQ112" s="94">
        <f ca="1">TblProd[[#This Row],[Platinum]]</f>
        <v>204159</v>
      </c>
      <c r="AR112" s="94">
        <f ca="1">INDEX(TblProd[[#Headers],[Lumber]]:TblProd[[#This Row],[Ore]],COUNTA(TblProd[[#Headers],[Lumber]]:TblProd[[#This Row],[Lumber]]),MATCH(Military!$AR$2,TblProd[[#Headers],[Lumber]:[Ore]],0))</f>
        <v>0</v>
      </c>
      <c r="AS112"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12" s="94">
        <f ca="1">TblMili[[#This Row],[Train Unit 1]]*TblMili[[#This Row],[OP Ore]]+TblMili[[#This Row],[Train Unit 2]]*TblMili[[#This Row],[DP Ore]]+TblMili[[#This Row],[Train Unit 3]]*TblMili[[#This Row],[E1 Ore]]+TblMili[[#This Row],[Train Unit 4]]*TblMili[[#This Row],[E2 Ore]]</f>
        <v>0</v>
      </c>
      <c r="AU112" s="142">
        <f>TblMili[[#This Row],[Hour]]</f>
        <v>109</v>
      </c>
      <c r="AV112" s="152">
        <f ca="1">TblMili[[#This Row],[Time]]</f>
        <v>46324.499999999738</v>
      </c>
      <c r="AW112" s="94">
        <f ca="1">TblMili[[#This Row],[Draftees]]</f>
        <v>612</v>
      </c>
      <c r="AX112" s="179"/>
      <c r="AY112" s="179"/>
      <c r="AZ112" s="179"/>
      <c r="BA112" s="179"/>
      <c r="BB112" s="179"/>
      <c r="BC112" s="179"/>
      <c r="BD112" s="179"/>
      <c r="BE112" s="179"/>
      <c r="BF112" s="179"/>
      <c r="BG112" s="142"/>
      <c r="BH112" s="157">
        <f ca="1">TblConstr[[#This Row],[Tot WG]]/TblConstr[[#This Row],[Land]]</f>
        <v>0</v>
      </c>
      <c r="BI112" s="157">
        <f ca="1">TblConstr[[#This Row],[Tot Hav]]/TblConstr[[#This Row],[Land]]</f>
        <v>0</v>
      </c>
      <c r="BJ112" s="94">
        <f ca="1">ROUNDUP((1-MIN(TblMili[[#This Row],[Smithies]]*smithy_bonus,smithy_bonus_cap) + tech_3_5*TblTech[[#This Row],[3-5]] + tech_5_3*TblTech[[#This Row],[5-3]] + tech_5_5*TblTech[[#This Row],[5-5]])*spec_op_plat,0)</f>
        <v>315</v>
      </c>
      <c r="BK112" s="94">
        <f ca="1">ROUNDUP(IF(race="Gnome",1,(1-MIN(TblMili[[#This Row],[Smithies]]*smithy_bonus,smithy_bonus_cap) + tech_3_5*TblTech[[#This Row],[3-5]] + tech_5_3*TblTech[[#This Row],[5-3]] + tech_5_5*TblTech[[#This Row],[5-5]]))*spec_op_ore,0)</f>
        <v>25</v>
      </c>
      <c r="BL112" s="94">
        <f ca="1">ROUNDUP((1-MIN(TblMili[[#This Row],[Smithies]]*smithy_bonus,smithy_bonus_cap) + tech_3_5*TblTech[[#This Row],[3-5]] + tech_5_3*TblTech[[#This Row],[5-3]] + tech_5_5*TblTech[[#This Row],[5-5]])*spec_dp_plat,0)</f>
        <v>275</v>
      </c>
      <c r="BM112" s="94">
        <f ca="1">ROUNDUP(IF(race="Gnome",1,(1-MIN(TblMili[[#This Row],[Smithies]]*smithy_bonus,smithy_bonus_cap) + tech_3_5*TblTech[[#This Row],[3-5]] + tech_5_3*TblTech[[#This Row],[5-3]] + tech_5_5*TblTech[[#This Row],[5-5]]))*spec_dp_ore,0)</f>
        <v>15</v>
      </c>
      <c r="BN112" s="94">
        <f ca="1">ROUNDUP((1-MIN(TblMili[[#This Row],[Smithies]]*smithy_bonus,smithy_bonus_cap) + tech_3_5*TblTech[[#This Row],[3-5]] + tech_5_3*TblTech[[#This Row],[5-3]] + tech_5_5*TblTech[[#This Row],[5-5]])*elite1_plat,0)</f>
        <v>1040</v>
      </c>
      <c r="BO112" s="94">
        <f ca="1">ROUNDUP(IF(race="Gnome",1,(1-MIN(TblMili[[#This Row],[Smithies]]*smithy_bonus,smithy_bonus_cap) + tech_3_5*TblTech[[#This Row],[3-5]] + tech_5_3*TblTech[[#This Row],[5-3]] + tech_5_5*TblTech[[#This Row],[5-5]]))*elite1_ore,0)</f>
        <v>75</v>
      </c>
      <c r="BP112" s="94">
        <f ca="1">ROUNDUP((1-MIN(TblMili[[#This Row],[Smithies]]*smithy_bonus,smithy_bonus_cap) + tech_3_5*TblTech[[#This Row],[3-5]] + tech_5_3*TblTech[[#This Row],[5-3]] + tech_5_5*TblTech[[#This Row],[5-5]])*elite2_plat,0)</f>
        <v>1280</v>
      </c>
      <c r="BQ112" s="94">
        <f ca="1">ROUNDUP(IF(race="Gnome",1,(1-MIN(TblMili[[#This Row],[Smithies]]*smithy_bonus,smithy_bonus_cap) + tech_3_5*TblTech[[#This Row],[3-5]] + tech_5_3*TblTech[[#This Row],[5-3]] + tech_5_5*TblTech[[#This Row],[5-5]]))*elite2_ore,0)</f>
        <v>100</v>
      </c>
      <c r="BR112" s="94">
        <f ca="1">ROUNDUP((1-MIN(ROUND(fh_spy_cost_red*TblMili[[#This Row],[FH''s]],4),fh_spy_cost_cap)+ tech_1_9*TblTech[[#This Row],[1-9]] + tech_9_1*TblTech[[#This Row],[9-1]])*spy_plat,0)</f>
        <v>500</v>
      </c>
      <c r="BS112" s="94">
        <f ca="1">ROUNDUP((1-MIN(ROUND(fh_spy_cost_red*TblMili[[#This Row],[FH''s]],4),fh_spy_cost_cap)+ tech_1_9*TblTech[[#This Row],[1-9]] + tech_9_1*TblTech[[#This Row],[9-1]])*archspy_plat,0)</f>
        <v>1000</v>
      </c>
      <c r="BT112" s="94">
        <f ca="1">ROUNDUP((1-MIN(ROUND(wg_wiz_cost_bonus*TblMili[[#This Row],[WG''s]],4),wg_wiz_cost_cap) + tech_1_9_2*TblTech[[#This Row],[1-9]] + tech_9_1_2*TblTech[[#This Row],[9-1]])*wizard_plat,0)</f>
        <v>500</v>
      </c>
      <c r="BU112" s="94">
        <f ca="1">ROUNDUP((1-MIN(ROUND(wg_wiz_cost_bonus*TblMili[[#This Row],[WG''s]],4),wg_wiz_cost_cap) + tech_1_9_2*TblTech[[#This Row],[1-9]] + tech_9_1_2*TblTech[[#This Row],[9-1]])*(archmage_plat + IF(TblMagic[[#This Row],[Active Arc Infusion]]&gt;0,400,0)),0)</f>
        <v>1000</v>
      </c>
      <c r="BV112" s="142"/>
      <c r="BW112" s="157">
        <f ca="1">TblConstr[[#This Row],[Homeland]]/TblConstr[[#This Row],[Land]]</f>
        <v>0.6</v>
      </c>
      <c r="BX112" s="157">
        <f ca="1">TblMili[[#This Row],[WG''s]]</f>
        <v>0</v>
      </c>
      <c r="BY112" s="251">
        <f ca="1">IF(mystic_cap="none",TblMili[[#This Row],[Homeland%]]/mystic_bonus,MIN(mystic_cap,TblMili[[#This Row],[Homeland%]]/mystic_bonus))</f>
        <v>2</v>
      </c>
      <c r="BZ112" s="251">
        <f ca="1">IF(druid_op_cap="none",TblMili[[#This Row],[Homeland%]]/druid_op_bonus,MIN(druid_op_cap,TblMili[[#This Row],[Homeland%]]/druid_op_bonus))</f>
        <v>2</v>
      </c>
      <c r="CA112" s="251">
        <f ca="1">IF(druid_dp_cap="none",TblMili[[#This Row],[Homeland%]]/druid_dp_bonus,MIN(druid_dp_cap,TblMili[[#This Row],[Homeland%]]/druid_dp_bonus))</f>
        <v>2</v>
      </c>
      <c r="CB112" s="251">
        <f ca="1">MIN(dryad_cap,TblMili[[#This Row],[Homeland%]]/dryad_bonus)</f>
        <v>2.9999999999999996</v>
      </c>
      <c r="CC112" s="251">
        <f ca="1">MIN(rocka_cap,TblMili[[#This Row],[Homeland%]]/rocka_bonus)</f>
        <v>2</v>
      </c>
      <c r="CD112" s="251">
        <f ca="1">MIN(adept_op_cap,TblMili[[#This Row],[WG]]/adept_op_bonus)</f>
        <v>0</v>
      </c>
      <c r="CE112" s="251">
        <f ca="1">MIN(adept_dp_cap,TblMili[[#This Row],[WG]]/adept_dp_bonus)</f>
        <v>0</v>
      </c>
      <c r="CF112" s="94">
        <f ca="1">MIN(TblMili[[#This Row],[Unit 3]],TblMili[[#This Row],[Unit 2]])*2</f>
        <v>0</v>
      </c>
      <c r="CG112" s="94">
        <f ca="1">MIN(TblMili[[#This Row],[Unit 1]],TblMili[[#This Row],[Unit 4]])*2</f>
        <v>0</v>
      </c>
      <c r="CH112" s="251">
        <f ca="1">MIN(frost_mage_cap,TblMili[[#This Row],[Homeland%]]/frost_mage_bonus)</f>
        <v>2.9999999999999996</v>
      </c>
      <c r="CI112" s="45">
        <f ca="1">MIN(ice_elem_cap,TblMili[[#This Row],[Raw (2)]]*ice_elem_bonus)</f>
        <v>0</v>
      </c>
      <c r="CJ112" s="251">
        <f t="shared" si="4"/>
        <v>0.83333333333333337</v>
      </c>
      <c r="CK112" s="251">
        <f ca="1">MIN(nox_nightshade_cap,TblConstr[[#This Row],[Homeland]]/TblConstr[[#This Row],[Land]]/nox_nightshade_swamp_bonus)</f>
        <v>4</v>
      </c>
      <c r="CL112" s="251">
        <f ca="1">MIN(TblConstr[[#This Row],[Total Swamp]]/TblConstr[[#This Row],[Land]]/abyss_enforce_bonus,abyss_enforcer_cap)</f>
        <v>0</v>
      </c>
      <c r="CM112" s="251">
        <f ca="1">IF(TblMagic[[#This Row],[Active Infernal Command]]&gt;0,TblMili[[#This Row],[Unit 1]]*infernal_cmd_op,0)</f>
        <v>0</v>
      </c>
      <c r="CN112" s="252"/>
      <c r="CO112" s="252"/>
      <c r="CP112" s="252"/>
      <c r="CQ112" s="251">
        <f ca="1">TblMili[[#This Row],[Mystic]]*2</f>
        <v>4</v>
      </c>
      <c r="CR112" s="251">
        <f ca="1">TblMili[[#This Row],[Druid (op)]]*2</f>
        <v>4</v>
      </c>
      <c r="CS112" s="94">
        <f ca="1">TblMili[[#This Row],[Mystic bonus]]*TblMili[[#This Row],[Unit 3]]+TblMili[[#This Row],[Druid bonus]]*TblMili[[#This Row],[Unit 4]]</f>
        <v>0</v>
      </c>
      <c r="CT112" s="155">
        <f ca="1">TblMili[[#This Row],[Dryad]]*2</f>
        <v>5.9999999999999991</v>
      </c>
      <c r="CU112" s="94">
        <f ca="1">sylvan*(TblMili[[#This Row],[Mystic bonus]]*TblMili[[#This Row],[Unit 3]])</f>
        <v>0</v>
      </c>
      <c r="CV112" s="155">
        <f ca="1">TblMili[[#This Row],[Rockapult]]*2</f>
        <v>4</v>
      </c>
      <c r="CW112" s="94">
        <f ca="1">gnome*(TblMili[[#This Row],[Rockapult bonus]]*TblMili[[#This Row],[Unit 3]])</f>
        <v>0</v>
      </c>
      <c r="CX112" s="155">
        <f ca="1">TblMili[[#This Row],[Adept-DP]]*2</f>
        <v>0</v>
      </c>
      <c r="CY112" s="94">
        <f ca="1">dark_elf*(TblMili[[#This Row],[Adept bonus]]*TblMili[[#This Row],[Unit 3]])</f>
        <v>0</v>
      </c>
      <c r="CZ112" s="155">
        <f ca="1">TblMili[[#This Row],[Frost Mage]]*2</f>
        <v>5.9999999999999991</v>
      </c>
      <c r="DA112" s="155">
        <f ca="1">TblMili[[#This Row],[Ice Elemental]]*2</f>
        <v>0</v>
      </c>
      <c r="DB112" s="94">
        <f ca="1">TblMili[[#This Row],[Frost Mage bonus]]*TblMili[[#This Row],[Unit 3]]+TblMili[[#This Row],[Ice Elemental bonus]]*TblMili[[#This Row],[Unit 4]]</f>
        <v>0</v>
      </c>
      <c r="DC112" s="253"/>
      <c r="DD112" s="143">
        <f ca="1">MIN(SUM(TblConstr[[#This Row],[Plain]:[Water]])/TblMili[[#This Row],[Land]]/favorable_terrain_bonus/100,favorable_terrain_max)</f>
        <v>0</v>
      </c>
      <c r="DE112" s="253"/>
      <c r="DF11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2" s="142"/>
      <c r="DH112" s="254">
        <f ca="1">(TblMili[[#This Row],[Wizards]]+2*TblMili[[#This Row],[Archmages]])/TblConstr[[#This Row],[Land]]</f>
        <v>0</v>
      </c>
      <c r="DI112" s="254">
        <f ca="1">TblMili[[#This Row],[Raw (2)]]*(1+race_wizard_strength+IF(TblMili[[#This Row],[Hour]]&gt;72,tech_magical_weaponry_wiz*TblTech[[#This Row],[3-5]],0))</f>
        <v>0</v>
      </c>
    </row>
    <row r="113" spans="1:113" x14ac:dyDescent="0.2">
      <c r="A113" s="137">
        <f>TblRezone[[#This Row],[Hour]]</f>
        <v>110</v>
      </c>
      <c r="B113" s="246">
        <f ca="1">SUM(TblMili[[#This Row],[Unit 1]:[Archmages]])+SUM(OFFSET(TblMili[[#This Row],[Train Unit 1]],-8,0):TblMili[[#This Row],[Train Unit 2]]) + SUM(OFFSET(TblMili[[#This Row],[Train Unit 3]],-11,0):TblMili[[#This Row],[Train AM]]) + TblMili[[#This Row],[Draftees]]</f>
        <v>614</v>
      </c>
      <c r="C113" s="157">
        <f ca="1">TblPop[[#This Row],[Military%]]</f>
        <v>0.79843953185955785</v>
      </c>
      <c r="D113" s="142"/>
      <c r="E113" s="45">
        <f ca="1">OFFSET(TblMili[[#This Row],[Unit 1]],-1,0) + OFFSET(TblMili[[#This Row],[Train Unit 1]],-9,0) - TblMili[[#This Row],[Release Unit 1]] + OFFSET(TblMili[[#This Row],[DnD_Zombies]],-12,0)</f>
        <v>0</v>
      </c>
      <c r="F113" s="45">
        <f ca="1">OFFSET(TblMili[[#This Row],[Unit 2]],-1,0) + OFFSET(TblMili[[#This Row],[Train Unit 2]],-9,0)-TblMili[[#This Row],[Release Unit 2]]</f>
        <v>0</v>
      </c>
      <c r="G113" s="45">
        <f ca="1">OFFSET(TblMili[[#This Row],[Unit 3]],-1,0) + OFFSET(TblMili[[#This Row],[Train Unit 3]],-12,0)-TblMili[[#This Row],[Release Unit 3]]</f>
        <v>0</v>
      </c>
      <c r="H113" s="45">
        <f ca="1">OFFSET(TblMili[[#This Row],[Unit 4]],-1,0) + OFFSET(TblMili[[#This Row],[Train Unit 4]],-12,0)-TblMili[[#This Row],[Release Unit 4]]</f>
        <v>0</v>
      </c>
      <c r="I113" s="45">
        <f ca="1">OFFSET(TblMili[[#This Row],[Spies]],-1,0) + OFFSET(TblMili[[#This Row],[Train Spies]],-12,0) - TblMili[[#This Row],[Release Spies]]-TblMili[[#This Row],[Train AS]]</f>
        <v>0</v>
      </c>
      <c r="J113" s="45">
        <f ca="1">OFFSET(TblMili[[#This Row],[Archspies]],-1,0) + OFFSET(TblMili[[#This Row],[Train AS]],-12,0) - TblMili[[#This Row],[Release AS]]</f>
        <v>0</v>
      </c>
      <c r="K113" s="45">
        <f ca="1">OFFSET(TblMili[[#This Row],[Wizards]],-1,0) + OFFSET(TblMili[[#This Row],[Train Wiz]],-12,0) - TblMili[[#This Row],[Release Wizards]]-TblMili[[#This Row],[Train AM]] + IF(TblMagic[[#This Row],[Active Arc Infusion]]&gt;0,TblMili[[#This Row],[Train AM]])</f>
        <v>0</v>
      </c>
      <c r="L113" s="45">
        <f ca="1">OFFSET(TblMili[[#This Row],[Archmages]],-1,0) + OFFSET(TblMili[[#This Row],[Train AM]],-12,0) - TblMili[[#This Row],[Release AM]]</f>
        <v>0</v>
      </c>
      <c r="M113" s="142"/>
      <c r="N113" s="94">
        <f ca="1">TblProd[[#This Row],[Networth]]</f>
        <v>1250</v>
      </c>
      <c r="O113" s="142"/>
      <c r="P113"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1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3" s="247">
        <f ca="1">TblMili[[#This Row],[Raw]]*(1+TblMili[[#This Row],[Mods_Off]])</f>
        <v>0</v>
      </c>
      <c r="S113"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13" s="247">
        <f ca="1">TblMili[[#This Row],[Non Draft]]+TblMili[[#This Row],[Draftees]]</f>
        <v>614</v>
      </c>
      <c r="U113" s="248">
        <f ca="1">race_defense + TblImps[[#This Row],[Walls]] + ROUND( MIN(gt_bonus*TblConstr[[#This Row],[Tot GT]]/TblConstr[[#This Row],[Land]],gt_bonus_cap), 4) + IF(TblMagic[[#This Row],[Active Howling]]&gt;0,howling_dp_bonus,IF(TblMagic[[#This Row],[Active Ares Call]]&gt;0,ares_call_bonus))</f>
        <v>0</v>
      </c>
      <c r="V113" s="249">
        <f ca="1">TblMili[[#This Row],[Non Draft]] * (1 + TblMili[[#This Row],[Mods_Def]])</f>
        <v>0</v>
      </c>
      <c r="W113" s="247">
        <f ca="1">TblMili[[#This Row],[Draft]] * (1 + TblMili[[#This Row],[Mods_Def]])</f>
        <v>614</v>
      </c>
      <c r="X113" s="247">
        <f ca="1">TblConstr[[#This Row],[Land]]</f>
        <v>50</v>
      </c>
      <c r="Y113" s="250"/>
      <c r="Z113" s="255">
        <f ca="1">IF(TblMili[[#This Row],[Set]]&lt;&gt;"",TblMili[[#This Row],[Set]],OFFSET(TblMili[[#This Row],[Draftrate]],-1,0))</f>
        <v>0.9</v>
      </c>
      <c r="AA113"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614</v>
      </c>
      <c r="AB113" s="154"/>
      <c r="AC113" s="180">
        <f ca="1">(TblConstr[[#This Row],[Tot Smi]]+TblConstr[[#This Row],[Dest Smi]])/(TblConstr[[#This Row],[Land]]-TblExplore[[#This Row],[Land Bonus]]*20)</f>
        <v>0</v>
      </c>
      <c r="AD113" s="137"/>
      <c r="AE113" s="246">
        <f>TblMili[[#This Row],[Hour]]</f>
        <v>110</v>
      </c>
      <c r="AF113" s="138">
        <f ca="1">TblExplore[[#This Row],[Time]]</f>
        <v>46324.541666666402</v>
      </c>
      <c r="AG113" s="179"/>
      <c r="AH113" s="179"/>
      <c r="AI113" s="179"/>
      <c r="AJ113" s="179"/>
      <c r="AK113" s="179"/>
      <c r="AL113" s="179"/>
      <c r="AM113" s="179"/>
      <c r="AN113" s="179"/>
      <c r="AO113" s="420">
        <f ca="1">ROUND(IF(AND(TblMagic[[#This Row],[Active DnD]]&lt;12,TblMagic[[#This Row],[Active DnD]]&gt;5),OFFSET(TblPop[[#This Row],[Draft Growth]],-1,0)*0.375,0),0)</f>
        <v>0</v>
      </c>
      <c r="AP113" s="142"/>
      <c r="AQ113" s="94">
        <f ca="1">TblProd[[#This Row],[Platinum]]</f>
        <v>204582</v>
      </c>
      <c r="AR113" s="94">
        <f ca="1">INDEX(TblProd[[#Headers],[Lumber]]:TblProd[[#This Row],[Ore]],COUNTA(TblProd[[#Headers],[Lumber]]:TblProd[[#This Row],[Lumber]]),MATCH(Military!$AR$2,TblProd[[#Headers],[Lumber]:[Ore]],0))</f>
        <v>0</v>
      </c>
      <c r="AS11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13" s="94">
        <f ca="1">TblMili[[#This Row],[Train Unit 1]]*TblMili[[#This Row],[OP Ore]]+TblMili[[#This Row],[Train Unit 2]]*TblMili[[#This Row],[DP Ore]]+TblMili[[#This Row],[Train Unit 3]]*TblMili[[#This Row],[E1 Ore]]+TblMili[[#This Row],[Train Unit 4]]*TblMili[[#This Row],[E2 Ore]]</f>
        <v>0</v>
      </c>
      <c r="AU113" s="142">
        <f>TblMili[[#This Row],[Hour]]</f>
        <v>110</v>
      </c>
      <c r="AV113" s="152">
        <f ca="1">TblMili[[#This Row],[Time]]</f>
        <v>46324.541666666402</v>
      </c>
      <c r="AW113" s="94">
        <f ca="1">TblMili[[#This Row],[Draftees]]</f>
        <v>614</v>
      </c>
      <c r="AX113" s="179"/>
      <c r="AY113" s="179"/>
      <c r="AZ113" s="179"/>
      <c r="BA113" s="179"/>
      <c r="BB113" s="179"/>
      <c r="BC113" s="179"/>
      <c r="BD113" s="179"/>
      <c r="BE113" s="179"/>
      <c r="BF113" s="179"/>
      <c r="BG113" s="142"/>
      <c r="BH113" s="157">
        <f ca="1">TblConstr[[#This Row],[Tot WG]]/TblConstr[[#This Row],[Land]]</f>
        <v>0</v>
      </c>
      <c r="BI113" s="157">
        <f ca="1">TblConstr[[#This Row],[Tot Hav]]/TblConstr[[#This Row],[Land]]</f>
        <v>0</v>
      </c>
      <c r="BJ113" s="94">
        <f ca="1">ROUNDUP((1-MIN(TblMili[[#This Row],[Smithies]]*smithy_bonus,smithy_bonus_cap) + tech_3_5*TblTech[[#This Row],[3-5]] + tech_5_3*TblTech[[#This Row],[5-3]] + tech_5_5*TblTech[[#This Row],[5-5]])*spec_op_plat,0)</f>
        <v>315</v>
      </c>
      <c r="BK113" s="94">
        <f ca="1">ROUNDUP(IF(race="Gnome",1,(1-MIN(TblMili[[#This Row],[Smithies]]*smithy_bonus,smithy_bonus_cap) + tech_3_5*TblTech[[#This Row],[3-5]] + tech_5_3*TblTech[[#This Row],[5-3]] + tech_5_5*TblTech[[#This Row],[5-5]]))*spec_op_ore,0)</f>
        <v>25</v>
      </c>
      <c r="BL113" s="94">
        <f ca="1">ROUNDUP((1-MIN(TblMili[[#This Row],[Smithies]]*smithy_bonus,smithy_bonus_cap) + tech_3_5*TblTech[[#This Row],[3-5]] + tech_5_3*TblTech[[#This Row],[5-3]] + tech_5_5*TblTech[[#This Row],[5-5]])*spec_dp_plat,0)</f>
        <v>275</v>
      </c>
      <c r="BM113" s="94">
        <f ca="1">ROUNDUP(IF(race="Gnome",1,(1-MIN(TblMili[[#This Row],[Smithies]]*smithy_bonus,smithy_bonus_cap) + tech_3_5*TblTech[[#This Row],[3-5]] + tech_5_3*TblTech[[#This Row],[5-3]] + tech_5_5*TblTech[[#This Row],[5-5]]))*spec_dp_ore,0)</f>
        <v>15</v>
      </c>
      <c r="BN113" s="94">
        <f ca="1">ROUNDUP((1-MIN(TblMili[[#This Row],[Smithies]]*smithy_bonus,smithy_bonus_cap) + tech_3_5*TblTech[[#This Row],[3-5]] + tech_5_3*TblTech[[#This Row],[5-3]] + tech_5_5*TblTech[[#This Row],[5-5]])*elite1_plat,0)</f>
        <v>1040</v>
      </c>
      <c r="BO113" s="94">
        <f ca="1">ROUNDUP(IF(race="Gnome",1,(1-MIN(TblMili[[#This Row],[Smithies]]*smithy_bonus,smithy_bonus_cap) + tech_3_5*TblTech[[#This Row],[3-5]] + tech_5_3*TblTech[[#This Row],[5-3]] + tech_5_5*TblTech[[#This Row],[5-5]]))*elite1_ore,0)</f>
        <v>75</v>
      </c>
      <c r="BP113" s="94">
        <f ca="1">ROUNDUP((1-MIN(TblMili[[#This Row],[Smithies]]*smithy_bonus,smithy_bonus_cap) + tech_3_5*TblTech[[#This Row],[3-5]] + tech_5_3*TblTech[[#This Row],[5-3]] + tech_5_5*TblTech[[#This Row],[5-5]])*elite2_plat,0)</f>
        <v>1280</v>
      </c>
      <c r="BQ113" s="94">
        <f ca="1">ROUNDUP(IF(race="Gnome",1,(1-MIN(TblMili[[#This Row],[Smithies]]*smithy_bonus,smithy_bonus_cap) + tech_3_5*TblTech[[#This Row],[3-5]] + tech_5_3*TblTech[[#This Row],[5-3]] + tech_5_5*TblTech[[#This Row],[5-5]]))*elite2_ore,0)</f>
        <v>100</v>
      </c>
      <c r="BR113" s="94">
        <f ca="1">ROUNDUP((1-MIN(ROUND(fh_spy_cost_red*TblMili[[#This Row],[FH''s]],4),fh_spy_cost_cap)+ tech_1_9*TblTech[[#This Row],[1-9]] + tech_9_1*TblTech[[#This Row],[9-1]])*spy_plat,0)</f>
        <v>500</v>
      </c>
      <c r="BS113" s="94">
        <f ca="1">ROUNDUP((1-MIN(ROUND(fh_spy_cost_red*TblMili[[#This Row],[FH''s]],4),fh_spy_cost_cap)+ tech_1_9*TblTech[[#This Row],[1-9]] + tech_9_1*TblTech[[#This Row],[9-1]])*archspy_plat,0)</f>
        <v>1000</v>
      </c>
      <c r="BT113" s="94">
        <f ca="1">ROUNDUP((1-MIN(ROUND(wg_wiz_cost_bonus*TblMili[[#This Row],[WG''s]],4),wg_wiz_cost_cap) + tech_1_9_2*TblTech[[#This Row],[1-9]] + tech_9_1_2*TblTech[[#This Row],[9-1]])*wizard_plat,0)</f>
        <v>500</v>
      </c>
      <c r="BU113" s="94">
        <f ca="1">ROUNDUP((1-MIN(ROUND(wg_wiz_cost_bonus*TblMili[[#This Row],[WG''s]],4),wg_wiz_cost_cap) + tech_1_9_2*TblTech[[#This Row],[1-9]] + tech_9_1_2*TblTech[[#This Row],[9-1]])*(archmage_plat + IF(TblMagic[[#This Row],[Active Arc Infusion]]&gt;0,400,0)),0)</f>
        <v>1000</v>
      </c>
      <c r="BV113" s="142"/>
      <c r="BW113" s="157">
        <f ca="1">TblConstr[[#This Row],[Homeland]]/TblConstr[[#This Row],[Land]]</f>
        <v>0.6</v>
      </c>
      <c r="BX113" s="157">
        <f ca="1">TblMili[[#This Row],[WG''s]]</f>
        <v>0</v>
      </c>
      <c r="BY113" s="251">
        <f ca="1">IF(mystic_cap="none",TblMili[[#This Row],[Homeland%]]/mystic_bonus,MIN(mystic_cap,TblMili[[#This Row],[Homeland%]]/mystic_bonus))</f>
        <v>2</v>
      </c>
      <c r="BZ113" s="251">
        <f ca="1">IF(druid_op_cap="none",TblMili[[#This Row],[Homeland%]]/druid_op_bonus,MIN(druid_op_cap,TblMili[[#This Row],[Homeland%]]/druid_op_bonus))</f>
        <v>2</v>
      </c>
      <c r="CA113" s="251">
        <f ca="1">IF(druid_dp_cap="none",TblMili[[#This Row],[Homeland%]]/druid_dp_bonus,MIN(druid_dp_cap,TblMili[[#This Row],[Homeland%]]/druid_dp_bonus))</f>
        <v>2</v>
      </c>
      <c r="CB113" s="251">
        <f ca="1">MIN(dryad_cap,TblMili[[#This Row],[Homeland%]]/dryad_bonus)</f>
        <v>2.9999999999999996</v>
      </c>
      <c r="CC113" s="251">
        <f ca="1">MIN(rocka_cap,TblMili[[#This Row],[Homeland%]]/rocka_bonus)</f>
        <v>2</v>
      </c>
      <c r="CD113" s="251">
        <f ca="1">MIN(adept_op_cap,TblMili[[#This Row],[WG]]/adept_op_bonus)</f>
        <v>0</v>
      </c>
      <c r="CE113" s="251">
        <f ca="1">MIN(adept_dp_cap,TblMili[[#This Row],[WG]]/adept_dp_bonus)</f>
        <v>0</v>
      </c>
      <c r="CF113" s="94">
        <f ca="1">MIN(TblMili[[#This Row],[Unit 3]],TblMili[[#This Row],[Unit 2]])*2</f>
        <v>0</v>
      </c>
      <c r="CG113" s="94">
        <f ca="1">MIN(TblMili[[#This Row],[Unit 1]],TblMili[[#This Row],[Unit 4]])*2</f>
        <v>0</v>
      </c>
      <c r="CH113" s="251">
        <f ca="1">MIN(frost_mage_cap,TblMili[[#This Row],[Homeland%]]/frost_mage_bonus)</f>
        <v>2.9999999999999996</v>
      </c>
      <c r="CI113" s="45">
        <f ca="1">MIN(ice_elem_cap,TblMili[[#This Row],[Raw (2)]]*ice_elem_bonus)</f>
        <v>0</v>
      </c>
      <c r="CJ113" s="251">
        <f t="shared" si="4"/>
        <v>0.83333333333333337</v>
      </c>
      <c r="CK113" s="251">
        <f ca="1">MIN(nox_nightshade_cap,TblConstr[[#This Row],[Homeland]]/TblConstr[[#This Row],[Land]]/nox_nightshade_swamp_bonus)</f>
        <v>4</v>
      </c>
      <c r="CL113" s="251">
        <f ca="1">MIN(TblConstr[[#This Row],[Total Swamp]]/TblConstr[[#This Row],[Land]]/abyss_enforce_bonus,abyss_enforcer_cap)</f>
        <v>0</v>
      </c>
      <c r="CM113" s="251">
        <f ca="1">IF(TblMagic[[#This Row],[Active Infernal Command]]&gt;0,TblMili[[#This Row],[Unit 1]]*infernal_cmd_op,0)</f>
        <v>0</v>
      </c>
      <c r="CN113" s="252"/>
      <c r="CO113" s="252"/>
      <c r="CP113" s="252"/>
      <c r="CQ113" s="251">
        <f ca="1">TblMili[[#This Row],[Mystic]]*2</f>
        <v>4</v>
      </c>
      <c r="CR113" s="251">
        <f ca="1">TblMili[[#This Row],[Druid (op)]]*2</f>
        <v>4</v>
      </c>
      <c r="CS113" s="94">
        <f ca="1">TblMili[[#This Row],[Mystic bonus]]*TblMili[[#This Row],[Unit 3]]+TblMili[[#This Row],[Druid bonus]]*TblMili[[#This Row],[Unit 4]]</f>
        <v>0</v>
      </c>
      <c r="CT113" s="155">
        <f ca="1">TblMili[[#This Row],[Dryad]]*2</f>
        <v>5.9999999999999991</v>
      </c>
      <c r="CU113" s="94">
        <f ca="1">sylvan*(TblMili[[#This Row],[Mystic bonus]]*TblMili[[#This Row],[Unit 3]])</f>
        <v>0</v>
      </c>
      <c r="CV113" s="155">
        <f ca="1">TblMili[[#This Row],[Rockapult]]*2</f>
        <v>4</v>
      </c>
      <c r="CW113" s="94">
        <f ca="1">gnome*(TblMili[[#This Row],[Rockapult bonus]]*TblMili[[#This Row],[Unit 3]])</f>
        <v>0</v>
      </c>
      <c r="CX113" s="155">
        <f ca="1">TblMili[[#This Row],[Adept-DP]]*2</f>
        <v>0</v>
      </c>
      <c r="CY113" s="94">
        <f ca="1">dark_elf*(TblMili[[#This Row],[Adept bonus]]*TblMili[[#This Row],[Unit 3]])</f>
        <v>0</v>
      </c>
      <c r="CZ113" s="155">
        <f ca="1">TblMili[[#This Row],[Frost Mage]]*2</f>
        <v>5.9999999999999991</v>
      </c>
      <c r="DA113" s="155">
        <f ca="1">TblMili[[#This Row],[Ice Elemental]]*2</f>
        <v>0</v>
      </c>
      <c r="DB113" s="94">
        <f ca="1">TblMili[[#This Row],[Frost Mage bonus]]*TblMili[[#This Row],[Unit 3]]+TblMili[[#This Row],[Ice Elemental bonus]]*TblMili[[#This Row],[Unit 4]]</f>
        <v>0</v>
      </c>
      <c r="DC113" s="253"/>
      <c r="DD113" s="143">
        <f ca="1">MIN(SUM(TblConstr[[#This Row],[Plain]:[Water]])/TblMili[[#This Row],[Land]]/favorable_terrain_bonus/100,favorable_terrain_max)</f>
        <v>0</v>
      </c>
      <c r="DE113" s="253"/>
      <c r="DF11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3" s="142"/>
      <c r="DH113" s="254">
        <f ca="1">(TblMili[[#This Row],[Wizards]]+2*TblMili[[#This Row],[Archmages]])/TblConstr[[#This Row],[Land]]</f>
        <v>0</v>
      </c>
      <c r="DI113" s="254">
        <f ca="1">TblMili[[#This Row],[Raw (2)]]*(1+race_wizard_strength+IF(TblMili[[#This Row],[Hour]]&gt;72,tech_magical_weaponry_wiz*TblTech[[#This Row],[3-5]],0))</f>
        <v>0</v>
      </c>
    </row>
    <row r="114" spans="1:113" x14ac:dyDescent="0.2">
      <c r="A114" s="137">
        <f>TblRezone[[#This Row],[Hour]]</f>
        <v>111</v>
      </c>
      <c r="B114" s="246">
        <f ca="1">SUM(TblMili[[#This Row],[Unit 1]:[Archmages]])+SUM(OFFSET(TblMili[[#This Row],[Train Unit 1]],-8,0):TblMili[[#This Row],[Train Unit 2]]) + SUM(OFFSET(TblMili[[#This Row],[Train Unit 3]],-11,0):TblMili[[#This Row],[Train AM]]) + TblMili[[#This Row],[Draftees]]</f>
        <v>616</v>
      </c>
      <c r="C114" s="157">
        <f ca="1">TblPop[[#This Row],[Military%]]</f>
        <v>0.80104031209362814</v>
      </c>
      <c r="D114" s="142"/>
      <c r="E114" s="45">
        <f ca="1">OFFSET(TblMili[[#This Row],[Unit 1]],-1,0) + OFFSET(TblMili[[#This Row],[Train Unit 1]],-9,0) - TblMili[[#This Row],[Release Unit 1]] + OFFSET(TblMili[[#This Row],[DnD_Zombies]],-12,0)</f>
        <v>0</v>
      </c>
      <c r="F114" s="45">
        <f ca="1">OFFSET(TblMili[[#This Row],[Unit 2]],-1,0) + OFFSET(TblMili[[#This Row],[Train Unit 2]],-9,0)-TblMili[[#This Row],[Release Unit 2]]</f>
        <v>0</v>
      </c>
      <c r="G114" s="45">
        <f ca="1">OFFSET(TblMili[[#This Row],[Unit 3]],-1,0) + OFFSET(TblMili[[#This Row],[Train Unit 3]],-12,0)-TblMili[[#This Row],[Release Unit 3]]</f>
        <v>0</v>
      </c>
      <c r="H114" s="45">
        <f ca="1">OFFSET(TblMili[[#This Row],[Unit 4]],-1,0) + OFFSET(TblMili[[#This Row],[Train Unit 4]],-12,0)-TblMili[[#This Row],[Release Unit 4]]</f>
        <v>0</v>
      </c>
      <c r="I114" s="45">
        <f ca="1">OFFSET(TblMili[[#This Row],[Spies]],-1,0) + OFFSET(TblMili[[#This Row],[Train Spies]],-12,0) - TblMili[[#This Row],[Release Spies]]-TblMili[[#This Row],[Train AS]]</f>
        <v>0</v>
      </c>
      <c r="J114" s="45">
        <f ca="1">OFFSET(TblMili[[#This Row],[Archspies]],-1,0) + OFFSET(TblMili[[#This Row],[Train AS]],-12,0) - TblMili[[#This Row],[Release AS]]</f>
        <v>0</v>
      </c>
      <c r="K114" s="45">
        <f ca="1">OFFSET(TblMili[[#This Row],[Wizards]],-1,0) + OFFSET(TblMili[[#This Row],[Train Wiz]],-12,0) - TblMili[[#This Row],[Release Wizards]]-TblMili[[#This Row],[Train AM]] + IF(TblMagic[[#This Row],[Active Arc Infusion]]&gt;0,TblMili[[#This Row],[Train AM]])</f>
        <v>0</v>
      </c>
      <c r="L114" s="45">
        <f ca="1">OFFSET(TblMili[[#This Row],[Archmages]],-1,0) + OFFSET(TblMili[[#This Row],[Train AM]],-12,0) - TblMili[[#This Row],[Release AM]]</f>
        <v>0</v>
      </c>
      <c r="M114" s="142"/>
      <c r="N114" s="94">
        <f ca="1">TblProd[[#This Row],[Networth]]</f>
        <v>1250</v>
      </c>
      <c r="O114" s="142"/>
      <c r="P114"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1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4" s="247">
        <f ca="1">TblMili[[#This Row],[Raw]]*(1+TblMili[[#This Row],[Mods_Off]])</f>
        <v>0</v>
      </c>
      <c r="S114"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14" s="247">
        <f ca="1">TblMili[[#This Row],[Non Draft]]+TblMili[[#This Row],[Draftees]]</f>
        <v>616</v>
      </c>
      <c r="U114" s="248">
        <f ca="1">race_defense + TblImps[[#This Row],[Walls]] + ROUND( MIN(gt_bonus*TblConstr[[#This Row],[Tot GT]]/TblConstr[[#This Row],[Land]],gt_bonus_cap), 4) + IF(TblMagic[[#This Row],[Active Howling]]&gt;0,howling_dp_bonus,IF(TblMagic[[#This Row],[Active Ares Call]]&gt;0,ares_call_bonus))</f>
        <v>0</v>
      </c>
      <c r="V114" s="249">
        <f ca="1">TblMili[[#This Row],[Non Draft]] * (1 + TblMili[[#This Row],[Mods_Def]])</f>
        <v>0</v>
      </c>
      <c r="W114" s="247">
        <f ca="1">TblMili[[#This Row],[Draft]] * (1 + TblMili[[#This Row],[Mods_Def]])</f>
        <v>616</v>
      </c>
      <c r="X114" s="247">
        <f ca="1">TblConstr[[#This Row],[Land]]</f>
        <v>50</v>
      </c>
      <c r="Y114" s="250"/>
      <c r="Z114" s="255">
        <f ca="1">IF(TblMili[[#This Row],[Set]]&lt;&gt;"",TblMili[[#This Row],[Set]],OFFSET(TblMili[[#This Row],[Draftrate]],-1,0))</f>
        <v>0.9</v>
      </c>
      <c r="AA114"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616</v>
      </c>
      <c r="AB114" s="154"/>
      <c r="AC114" s="180">
        <f ca="1">(TblConstr[[#This Row],[Tot Smi]]+TblConstr[[#This Row],[Dest Smi]])/(TblConstr[[#This Row],[Land]]-TblExplore[[#This Row],[Land Bonus]]*20)</f>
        <v>0</v>
      </c>
      <c r="AD114" s="137"/>
      <c r="AE114" s="246">
        <f>TblMili[[#This Row],[Hour]]</f>
        <v>111</v>
      </c>
      <c r="AF114" s="138">
        <f ca="1">TblExplore[[#This Row],[Time]]</f>
        <v>46324.583333333067</v>
      </c>
      <c r="AG114" s="179"/>
      <c r="AH114" s="179"/>
      <c r="AI114" s="179"/>
      <c r="AJ114" s="179"/>
      <c r="AK114" s="179"/>
      <c r="AL114" s="179"/>
      <c r="AM114" s="179"/>
      <c r="AN114" s="179"/>
      <c r="AO114" s="420">
        <f ca="1">ROUND(IF(AND(TblMagic[[#This Row],[Active DnD]]&lt;12,TblMagic[[#This Row],[Active DnD]]&gt;5),OFFSET(TblPop[[#This Row],[Draft Growth]],-1,0)*0.375,0),0)</f>
        <v>0</v>
      </c>
      <c r="AP114" s="142"/>
      <c r="AQ114" s="94">
        <f ca="1">TblProd[[#This Row],[Platinum]]</f>
        <v>205000</v>
      </c>
      <c r="AR114" s="94">
        <f ca="1">INDEX(TblProd[[#Headers],[Lumber]]:TblProd[[#This Row],[Ore]],COUNTA(TblProd[[#Headers],[Lumber]]:TblProd[[#This Row],[Lumber]]),MATCH(Military!$AR$2,TblProd[[#Headers],[Lumber]:[Ore]],0))</f>
        <v>0</v>
      </c>
      <c r="AS11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14" s="94">
        <f ca="1">TblMili[[#This Row],[Train Unit 1]]*TblMili[[#This Row],[OP Ore]]+TblMili[[#This Row],[Train Unit 2]]*TblMili[[#This Row],[DP Ore]]+TblMili[[#This Row],[Train Unit 3]]*TblMili[[#This Row],[E1 Ore]]+TblMili[[#This Row],[Train Unit 4]]*TblMili[[#This Row],[E2 Ore]]</f>
        <v>0</v>
      </c>
      <c r="AU114" s="142">
        <f>TblMili[[#This Row],[Hour]]</f>
        <v>111</v>
      </c>
      <c r="AV114" s="152">
        <f ca="1">TblMili[[#This Row],[Time]]</f>
        <v>46324.583333333067</v>
      </c>
      <c r="AW114" s="94">
        <f ca="1">TblMili[[#This Row],[Draftees]]</f>
        <v>616</v>
      </c>
      <c r="AX114" s="179"/>
      <c r="AY114" s="179"/>
      <c r="AZ114" s="179"/>
      <c r="BA114" s="179"/>
      <c r="BB114" s="179"/>
      <c r="BC114" s="179"/>
      <c r="BD114" s="179"/>
      <c r="BE114" s="179"/>
      <c r="BF114" s="179"/>
      <c r="BG114" s="142"/>
      <c r="BH114" s="157">
        <f ca="1">TblConstr[[#This Row],[Tot WG]]/TblConstr[[#This Row],[Land]]</f>
        <v>0</v>
      </c>
      <c r="BI114" s="157">
        <f ca="1">TblConstr[[#This Row],[Tot Hav]]/TblConstr[[#This Row],[Land]]</f>
        <v>0</v>
      </c>
      <c r="BJ114" s="94">
        <f ca="1">ROUNDUP((1-MIN(TblMili[[#This Row],[Smithies]]*smithy_bonus,smithy_bonus_cap) + tech_3_5*TblTech[[#This Row],[3-5]] + tech_5_3*TblTech[[#This Row],[5-3]] + tech_5_5*TblTech[[#This Row],[5-5]])*spec_op_plat,0)</f>
        <v>315</v>
      </c>
      <c r="BK114" s="94">
        <f ca="1">ROUNDUP(IF(race="Gnome",1,(1-MIN(TblMili[[#This Row],[Smithies]]*smithy_bonus,smithy_bonus_cap) + tech_3_5*TblTech[[#This Row],[3-5]] + tech_5_3*TblTech[[#This Row],[5-3]] + tech_5_5*TblTech[[#This Row],[5-5]]))*spec_op_ore,0)</f>
        <v>25</v>
      </c>
      <c r="BL114" s="94">
        <f ca="1">ROUNDUP((1-MIN(TblMili[[#This Row],[Smithies]]*smithy_bonus,smithy_bonus_cap) + tech_3_5*TblTech[[#This Row],[3-5]] + tech_5_3*TblTech[[#This Row],[5-3]] + tech_5_5*TblTech[[#This Row],[5-5]])*spec_dp_plat,0)</f>
        <v>275</v>
      </c>
      <c r="BM114" s="94">
        <f ca="1">ROUNDUP(IF(race="Gnome",1,(1-MIN(TblMili[[#This Row],[Smithies]]*smithy_bonus,smithy_bonus_cap) + tech_3_5*TblTech[[#This Row],[3-5]] + tech_5_3*TblTech[[#This Row],[5-3]] + tech_5_5*TblTech[[#This Row],[5-5]]))*spec_dp_ore,0)</f>
        <v>15</v>
      </c>
      <c r="BN114" s="94">
        <f ca="1">ROUNDUP((1-MIN(TblMili[[#This Row],[Smithies]]*smithy_bonus,smithy_bonus_cap) + tech_3_5*TblTech[[#This Row],[3-5]] + tech_5_3*TblTech[[#This Row],[5-3]] + tech_5_5*TblTech[[#This Row],[5-5]])*elite1_plat,0)</f>
        <v>1040</v>
      </c>
      <c r="BO114" s="94">
        <f ca="1">ROUNDUP(IF(race="Gnome",1,(1-MIN(TblMili[[#This Row],[Smithies]]*smithy_bonus,smithy_bonus_cap) + tech_3_5*TblTech[[#This Row],[3-5]] + tech_5_3*TblTech[[#This Row],[5-3]] + tech_5_5*TblTech[[#This Row],[5-5]]))*elite1_ore,0)</f>
        <v>75</v>
      </c>
      <c r="BP114" s="94">
        <f ca="1">ROUNDUP((1-MIN(TblMili[[#This Row],[Smithies]]*smithy_bonus,smithy_bonus_cap) + tech_3_5*TblTech[[#This Row],[3-5]] + tech_5_3*TblTech[[#This Row],[5-3]] + tech_5_5*TblTech[[#This Row],[5-5]])*elite2_plat,0)</f>
        <v>1280</v>
      </c>
      <c r="BQ114" s="94">
        <f ca="1">ROUNDUP(IF(race="Gnome",1,(1-MIN(TblMili[[#This Row],[Smithies]]*smithy_bonus,smithy_bonus_cap) + tech_3_5*TblTech[[#This Row],[3-5]] + tech_5_3*TblTech[[#This Row],[5-3]] + tech_5_5*TblTech[[#This Row],[5-5]]))*elite2_ore,0)</f>
        <v>100</v>
      </c>
      <c r="BR114" s="94">
        <f ca="1">ROUNDUP((1-MIN(ROUND(fh_spy_cost_red*TblMili[[#This Row],[FH''s]],4),fh_spy_cost_cap)+ tech_1_9*TblTech[[#This Row],[1-9]] + tech_9_1*TblTech[[#This Row],[9-1]])*spy_plat,0)</f>
        <v>500</v>
      </c>
      <c r="BS114" s="94">
        <f ca="1">ROUNDUP((1-MIN(ROUND(fh_spy_cost_red*TblMili[[#This Row],[FH''s]],4),fh_spy_cost_cap)+ tech_1_9*TblTech[[#This Row],[1-9]] + tech_9_1*TblTech[[#This Row],[9-1]])*archspy_plat,0)</f>
        <v>1000</v>
      </c>
      <c r="BT114" s="94">
        <f ca="1">ROUNDUP((1-MIN(ROUND(wg_wiz_cost_bonus*TblMili[[#This Row],[WG''s]],4),wg_wiz_cost_cap) + tech_1_9_2*TblTech[[#This Row],[1-9]] + tech_9_1_2*TblTech[[#This Row],[9-1]])*wizard_plat,0)</f>
        <v>500</v>
      </c>
      <c r="BU114" s="94">
        <f ca="1">ROUNDUP((1-MIN(ROUND(wg_wiz_cost_bonus*TblMili[[#This Row],[WG''s]],4),wg_wiz_cost_cap) + tech_1_9_2*TblTech[[#This Row],[1-9]] + tech_9_1_2*TblTech[[#This Row],[9-1]])*(archmage_plat + IF(TblMagic[[#This Row],[Active Arc Infusion]]&gt;0,400,0)),0)</f>
        <v>1000</v>
      </c>
      <c r="BV114" s="142"/>
      <c r="BW114" s="157">
        <f ca="1">TblConstr[[#This Row],[Homeland]]/TblConstr[[#This Row],[Land]]</f>
        <v>0.6</v>
      </c>
      <c r="BX114" s="157">
        <f ca="1">TblMili[[#This Row],[WG''s]]</f>
        <v>0</v>
      </c>
      <c r="BY114" s="251">
        <f ca="1">IF(mystic_cap="none",TblMili[[#This Row],[Homeland%]]/mystic_bonus,MIN(mystic_cap,TblMili[[#This Row],[Homeland%]]/mystic_bonus))</f>
        <v>2</v>
      </c>
      <c r="BZ114" s="251">
        <f ca="1">IF(druid_op_cap="none",TblMili[[#This Row],[Homeland%]]/druid_op_bonus,MIN(druid_op_cap,TblMili[[#This Row],[Homeland%]]/druid_op_bonus))</f>
        <v>2</v>
      </c>
      <c r="CA114" s="251">
        <f ca="1">IF(druid_dp_cap="none",TblMili[[#This Row],[Homeland%]]/druid_dp_bonus,MIN(druid_dp_cap,TblMili[[#This Row],[Homeland%]]/druid_dp_bonus))</f>
        <v>2</v>
      </c>
      <c r="CB114" s="251">
        <f ca="1">MIN(dryad_cap,TblMili[[#This Row],[Homeland%]]/dryad_bonus)</f>
        <v>2.9999999999999996</v>
      </c>
      <c r="CC114" s="251">
        <f ca="1">MIN(rocka_cap,TblMili[[#This Row],[Homeland%]]/rocka_bonus)</f>
        <v>2</v>
      </c>
      <c r="CD114" s="251">
        <f ca="1">MIN(adept_op_cap,TblMili[[#This Row],[WG]]/adept_op_bonus)</f>
        <v>0</v>
      </c>
      <c r="CE114" s="251">
        <f ca="1">MIN(adept_dp_cap,TblMili[[#This Row],[WG]]/adept_dp_bonus)</f>
        <v>0</v>
      </c>
      <c r="CF114" s="94">
        <f ca="1">MIN(TblMili[[#This Row],[Unit 3]],TblMili[[#This Row],[Unit 2]])*2</f>
        <v>0</v>
      </c>
      <c r="CG114" s="94">
        <f ca="1">MIN(TblMili[[#This Row],[Unit 1]],TblMili[[#This Row],[Unit 4]])*2</f>
        <v>0</v>
      </c>
      <c r="CH114" s="251">
        <f ca="1">MIN(frost_mage_cap,TblMili[[#This Row],[Homeland%]]/frost_mage_bonus)</f>
        <v>2.9999999999999996</v>
      </c>
      <c r="CI114" s="45">
        <f ca="1">MIN(ice_elem_cap,TblMili[[#This Row],[Raw (2)]]*ice_elem_bonus)</f>
        <v>0</v>
      </c>
      <c r="CJ114" s="251">
        <f t="shared" si="4"/>
        <v>0.83333333333333337</v>
      </c>
      <c r="CK114" s="251">
        <f ca="1">MIN(nox_nightshade_cap,TblConstr[[#This Row],[Homeland]]/TblConstr[[#This Row],[Land]]/nox_nightshade_swamp_bonus)</f>
        <v>4</v>
      </c>
      <c r="CL114" s="251">
        <f ca="1">MIN(TblConstr[[#This Row],[Total Swamp]]/TblConstr[[#This Row],[Land]]/abyss_enforce_bonus,abyss_enforcer_cap)</f>
        <v>0</v>
      </c>
      <c r="CM114" s="251">
        <f ca="1">IF(TblMagic[[#This Row],[Active Infernal Command]]&gt;0,TblMili[[#This Row],[Unit 1]]*infernal_cmd_op,0)</f>
        <v>0</v>
      </c>
      <c r="CN114" s="252"/>
      <c r="CO114" s="252"/>
      <c r="CP114" s="252"/>
      <c r="CQ114" s="251">
        <f ca="1">TblMili[[#This Row],[Mystic]]*2</f>
        <v>4</v>
      </c>
      <c r="CR114" s="251">
        <f ca="1">TblMili[[#This Row],[Druid (op)]]*2</f>
        <v>4</v>
      </c>
      <c r="CS114" s="94">
        <f ca="1">TblMili[[#This Row],[Mystic bonus]]*TblMili[[#This Row],[Unit 3]]+TblMili[[#This Row],[Druid bonus]]*TblMili[[#This Row],[Unit 4]]</f>
        <v>0</v>
      </c>
      <c r="CT114" s="155">
        <f ca="1">TblMili[[#This Row],[Dryad]]*2</f>
        <v>5.9999999999999991</v>
      </c>
      <c r="CU114" s="94">
        <f ca="1">sylvan*(TblMili[[#This Row],[Mystic bonus]]*TblMili[[#This Row],[Unit 3]])</f>
        <v>0</v>
      </c>
      <c r="CV114" s="155">
        <f ca="1">TblMili[[#This Row],[Rockapult]]*2</f>
        <v>4</v>
      </c>
      <c r="CW114" s="94">
        <f ca="1">gnome*(TblMili[[#This Row],[Rockapult bonus]]*TblMili[[#This Row],[Unit 3]])</f>
        <v>0</v>
      </c>
      <c r="CX114" s="155">
        <f ca="1">TblMili[[#This Row],[Adept-DP]]*2</f>
        <v>0</v>
      </c>
      <c r="CY114" s="94">
        <f ca="1">dark_elf*(TblMili[[#This Row],[Adept bonus]]*TblMili[[#This Row],[Unit 3]])</f>
        <v>0</v>
      </c>
      <c r="CZ114" s="155">
        <f ca="1">TblMili[[#This Row],[Frost Mage]]*2</f>
        <v>5.9999999999999991</v>
      </c>
      <c r="DA114" s="155">
        <f ca="1">TblMili[[#This Row],[Ice Elemental]]*2</f>
        <v>0</v>
      </c>
      <c r="DB114" s="94">
        <f ca="1">TblMili[[#This Row],[Frost Mage bonus]]*TblMili[[#This Row],[Unit 3]]+TblMili[[#This Row],[Ice Elemental bonus]]*TblMili[[#This Row],[Unit 4]]</f>
        <v>0</v>
      </c>
      <c r="DC114" s="253"/>
      <c r="DD114" s="143">
        <f ca="1">MIN(SUM(TblConstr[[#This Row],[Plain]:[Water]])/TblMili[[#This Row],[Land]]/favorable_terrain_bonus/100,favorable_terrain_max)</f>
        <v>0</v>
      </c>
      <c r="DE114" s="253"/>
      <c r="DF11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4" s="142"/>
      <c r="DH114" s="254">
        <f ca="1">(TblMili[[#This Row],[Wizards]]+2*TblMili[[#This Row],[Archmages]])/TblConstr[[#This Row],[Land]]</f>
        <v>0</v>
      </c>
      <c r="DI114" s="254">
        <f ca="1">TblMili[[#This Row],[Raw (2)]]*(1+race_wizard_strength+IF(TblMili[[#This Row],[Hour]]&gt;72,tech_magical_weaponry_wiz*TblTech[[#This Row],[3-5]],0))</f>
        <v>0</v>
      </c>
    </row>
    <row r="115" spans="1:113" x14ac:dyDescent="0.2">
      <c r="A115" s="137">
        <f>TblRezone[[#This Row],[Hour]]</f>
        <v>112</v>
      </c>
      <c r="B115" s="246">
        <f ca="1">SUM(TblMili[[#This Row],[Unit 1]:[Archmages]])+SUM(OFFSET(TblMili[[#This Row],[Train Unit 1]],-8,0):TblMili[[#This Row],[Train Unit 2]]) + SUM(OFFSET(TblMili[[#This Row],[Train Unit 3]],-11,0):TblMili[[#This Row],[Train AM]]) + TblMili[[#This Row],[Draftees]]</f>
        <v>618</v>
      </c>
      <c r="C115" s="157">
        <f ca="1">TblPop[[#This Row],[Military%]]</f>
        <v>0.80364109232769831</v>
      </c>
      <c r="D115" s="142"/>
      <c r="E115" s="45">
        <f ca="1">OFFSET(TblMili[[#This Row],[Unit 1]],-1,0) + OFFSET(TblMili[[#This Row],[Train Unit 1]],-9,0) - TblMili[[#This Row],[Release Unit 1]] + OFFSET(TblMili[[#This Row],[DnD_Zombies]],-12,0)</f>
        <v>0</v>
      </c>
      <c r="F115" s="45">
        <f ca="1">OFFSET(TblMili[[#This Row],[Unit 2]],-1,0) + OFFSET(TblMili[[#This Row],[Train Unit 2]],-9,0)-TblMili[[#This Row],[Release Unit 2]]</f>
        <v>0</v>
      </c>
      <c r="G115" s="45">
        <f ca="1">OFFSET(TblMili[[#This Row],[Unit 3]],-1,0) + OFFSET(TblMili[[#This Row],[Train Unit 3]],-12,0)-TblMili[[#This Row],[Release Unit 3]]</f>
        <v>0</v>
      </c>
      <c r="H115" s="45">
        <f ca="1">OFFSET(TblMili[[#This Row],[Unit 4]],-1,0) + OFFSET(TblMili[[#This Row],[Train Unit 4]],-12,0)-TblMili[[#This Row],[Release Unit 4]]</f>
        <v>0</v>
      </c>
      <c r="I115" s="45">
        <f ca="1">OFFSET(TblMili[[#This Row],[Spies]],-1,0) + OFFSET(TblMili[[#This Row],[Train Spies]],-12,0) - TblMili[[#This Row],[Release Spies]]-TblMili[[#This Row],[Train AS]]</f>
        <v>0</v>
      </c>
      <c r="J115" s="45">
        <f ca="1">OFFSET(TblMili[[#This Row],[Archspies]],-1,0) + OFFSET(TblMili[[#This Row],[Train AS]],-12,0) - TblMili[[#This Row],[Release AS]]</f>
        <v>0</v>
      </c>
      <c r="K115" s="45">
        <f ca="1">OFFSET(TblMili[[#This Row],[Wizards]],-1,0) + OFFSET(TblMili[[#This Row],[Train Wiz]],-12,0) - TblMili[[#This Row],[Release Wizards]]-TblMili[[#This Row],[Train AM]] + IF(TblMagic[[#This Row],[Active Arc Infusion]]&gt;0,TblMili[[#This Row],[Train AM]])</f>
        <v>0</v>
      </c>
      <c r="L115" s="45">
        <f ca="1">OFFSET(TblMili[[#This Row],[Archmages]],-1,0) + OFFSET(TblMili[[#This Row],[Train AM]],-12,0) - TblMili[[#This Row],[Release AM]]</f>
        <v>0</v>
      </c>
      <c r="M115" s="142"/>
      <c r="N115" s="94">
        <f ca="1">TblProd[[#This Row],[Networth]]</f>
        <v>1250</v>
      </c>
      <c r="O115" s="142"/>
      <c r="P115"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1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5" s="247">
        <f ca="1">TblMili[[#This Row],[Raw]]*(1+TblMili[[#This Row],[Mods_Off]])</f>
        <v>0</v>
      </c>
      <c r="S115"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15" s="247">
        <f ca="1">TblMili[[#This Row],[Non Draft]]+TblMili[[#This Row],[Draftees]]</f>
        <v>618</v>
      </c>
      <c r="U115" s="248">
        <f ca="1">race_defense + TblImps[[#This Row],[Walls]] + ROUND( MIN(gt_bonus*TblConstr[[#This Row],[Tot GT]]/TblConstr[[#This Row],[Land]],gt_bonus_cap), 4) + IF(TblMagic[[#This Row],[Active Howling]]&gt;0,howling_dp_bonus,IF(TblMagic[[#This Row],[Active Ares Call]]&gt;0,ares_call_bonus))</f>
        <v>0</v>
      </c>
      <c r="V115" s="249">
        <f ca="1">TblMili[[#This Row],[Non Draft]] * (1 + TblMili[[#This Row],[Mods_Def]])</f>
        <v>0</v>
      </c>
      <c r="W115" s="247">
        <f ca="1">TblMili[[#This Row],[Draft]] * (1 + TblMili[[#This Row],[Mods_Def]])</f>
        <v>618</v>
      </c>
      <c r="X115" s="247">
        <f ca="1">TblConstr[[#This Row],[Land]]</f>
        <v>50</v>
      </c>
      <c r="Y115" s="250"/>
      <c r="Z115" s="255">
        <f ca="1">IF(TblMili[[#This Row],[Set]]&lt;&gt;"",TblMili[[#This Row],[Set]],OFFSET(TblMili[[#This Row],[Draftrate]],-1,0))</f>
        <v>0.9</v>
      </c>
      <c r="AA115"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618</v>
      </c>
      <c r="AB115" s="154"/>
      <c r="AC115" s="180">
        <f ca="1">(TblConstr[[#This Row],[Tot Smi]]+TblConstr[[#This Row],[Dest Smi]])/(TblConstr[[#This Row],[Land]]-TblExplore[[#This Row],[Land Bonus]]*20)</f>
        <v>0</v>
      </c>
      <c r="AD115" s="137"/>
      <c r="AE115" s="246">
        <f>TblMili[[#This Row],[Hour]]</f>
        <v>112</v>
      </c>
      <c r="AF115" s="138">
        <f ca="1">TblExplore[[#This Row],[Time]]</f>
        <v>46324.624999999731</v>
      </c>
      <c r="AG115" s="179"/>
      <c r="AH115" s="179"/>
      <c r="AI115" s="179"/>
      <c r="AJ115" s="179"/>
      <c r="AK115" s="179"/>
      <c r="AL115" s="179"/>
      <c r="AM115" s="179"/>
      <c r="AN115" s="179"/>
      <c r="AO115" s="420">
        <f ca="1">ROUND(IF(AND(TblMagic[[#This Row],[Active DnD]]&lt;12,TblMagic[[#This Row],[Active DnD]]&gt;5),OFFSET(TblPop[[#This Row],[Draft Growth]],-1,0)*0.375,0),0)</f>
        <v>0</v>
      </c>
      <c r="AP115" s="142"/>
      <c r="AQ115" s="94">
        <f ca="1">TblProd[[#This Row],[Platinum]]</f>
        <v>205413</v>
      </c>
      <c r="AR115" s="94">
        <f ca="1">INDEX(TblProd[[#Headers],[Lumber]]:TblProd[[#This Row],[Ore]],COUNTA(TblProd[[#Headers],[Lumber]]:TblProd[[#This Row],[Lumber]]),MATCH(Military!$AR$2,TblProd[[#Headers],[Lumber]:[Ore]],0))</f>
        <v>0</v>
      </c>
      <c r="AS11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15" s="94">
        <f ca="1">TblMili[[#This Row],[Train Unit 1]]*TblMili[[#This Row],[OP Ore]]+TblMili[[#This Row],[Train Unit 2]]*TblMili[[#This Row],[DP Ore]]+TblMili[[#This Row],[Train Unit 3]]*TblMili[[#This Row],[E1 Ore]]+TblMili[[#This Row],[Train Unit 4]]*TblMili[[#This Row],[E2 Ore]]</f>
        <v>0</v>
      </c>
      <c r="AU115" s="142">
        <f>TblMili[[#This Row],[Hour]]</f>
        <v>112</v>
      </c>
      <c r="AV115" s="152">
        <f ca="1">TblMili[[#This Row],[Time]]</f>
        <v>46324.624999999731</v>
      </c>
      <c r="AW115" s="94">
        <f ca="1">TblMili[[#This Row],[Draftees]]</f>
        <v>618</v>
      </c>
      <c r="AX115" s="179"/>
      <c r="AY115" s="179"/>
      <c r="AZ115" s="179"/>
      <c r="BA115" s="179"/>
      <c r="BB115" s="179"/>
      <c r="BC115" s="179"/>
      <c r="BD115" s="179"/>
      <c r="BE115" s="179"/>
      <c r="BF115" s="179"/>
      <c r="BG115" s="142"/>
      <c r="BH115" s="157">
        <f ca="1">TblConstr[[#This Row],[Tot WG]]/TblConstr[[#This Row],[Land]]</f>
        <v>0</v>
      </c>
      <c r="BI115" s="157">
        <f ca="1">TblConstr[[#This Row],[Tot Hav]]/TblConstr[[#This Row],[Land]]</f>
        <v>0</v>
      </c>
      <c r="BJ115" s="94">
        <f ca="1">ROUNDUP((1-MIN(TblMili[[#This Row],[Smithies]]*smithy_bonus,smithy_bonus_cap) + tech_3_5*TblTech[[#This Row],[3-5]] + tech_5_3*TblTech[[#This Row],[5-3]] + tech_5_5*TblTech[[#This Row],[5-5]])*spec_op_plat,0)</f>
        <v>315</v>
      </c>
      <c r="BK115" s="94">
        <f ca="1">ROUNDUP(IF(race="Gnome",1,(1-MIN(TblMili[[#This Row],[Smithies]]*smithy_bonus,smithy_bonus_cap) + tech_3_5*TblTech[[#This Row],[3-5]] + tech_5_3*TblTech[[#This Row],[5-3]] + tech_5_5*TblTech[[#This Row],[5-5]]))*spec_op_ore,0)</f>
        <v>25</v>
      </c>
      <c r="BL115" s="94">
        <f ca="1">ROUNDUP((1-MIN(TblMili[[#This Row],[Smithies]]*smithy_bonus,smithy_bonus_cap) + tech_3_5*TblTech[[#This Row],[3-5]] + tech_5_3*TblTech[[#This Row],[5-3]] + tech_5_5*TblTech[[#This Row],[5-5]])*spec_dp_plat,0)</f>
        <v>275</v>
      </c>
      <c r="BM115" s="94">
        <f ca="1">ROUNDUP(IF(race="Gnome",1,(1-MIN(TblMili[[#This Row],[Smithies]]*smithy_bonus,smithy_bonus_cap) + tech_3_5*TblTech[[#This Row],[3-5]] + tech_5_3*TblTech[[#This Row],[5-3]] + tech_5_5*TblTech[[#This Row],[5-5]]))*spec_dp_ore,0)</f>
        <v>15</v>
      </c>
      <c r="BN115" s="94">
        <f ca="1">ROUNDUP((1-MIN(TblMili[[#This Row],[Smithies]]*smithy_bonus,smithy_bonus_cap) + tech_3_5*TblTech[[#This Row],[3-5]] + tech_5_3*TblTech[[#This Row],[5-3]] + tech_5_5*TblTech[[#This Row],[5-5]])*elite1_plat,0)</f>
        <v>1040</v>
      </c>
      <c r="BO115" s="94">
        <f ca="1">ROUNDUP(IF(race="Gnome",1,(1-MIN(TblMili[[#This Row],[Smithies]]*smithy_bonus,smithy_bonus_cap) + tech_3_5*TblTech[[#This Row],[3-5]] + tech_5_3*TblTech[[#This Row],[5-3]] + tech_5_5*TblTech[[#This Row],[5-5]]))*elite1_ore,0)</f>
        <v>75</v>
      </c>
      <c r="BP115" s="94">
        <f ca="1">ROUNDUP((1-MIN(TblMili[[#This Row],[Smithies]]*smithy_bonus,smithy_bonus_cap) + tech_3_5*TblTech[[#This Row],[3-5]] + tech_5_3*TblTech[[#This Row],[5-3]] + tech_5_5*TblTech[[#This Row],[5-5]])*elite2_plat,0)</f>
        <v>1280</v>
      </c>
      <c r="BQ115" s="94">
        <f ca="1">ROUNDUP(IF(race="Gnome",1,(1-MIN(TblMili[[#This Row],[Smithies]]*smithy_bonus,smithy_bonus_cap) + tech_3_5*TblTech[[#This Row],[3-5]] + tech_5_3*TblTech[[#This Row],[5-3]] + tech_5_5*TblTech[[#This Row],[5-5]]))*elite2_ore,0)</f>
        <v>100</v>
      </c>
      <c r="BR115" s="94">
        <f ca="1">ROUNDUP((1-MIN(ROUND(fh_spy_cost_red*TblMili[[#This Row],[FH''s]],4),fh_spy_cost_cap)+ tech_1_9*TblTech[[#This Row],[1-9]] + tech_9_1*TblTech[[#This Row],[9-1]])*spy_plat,0)</f>
        <v>500</v>
      </c>
      <c r="BS115" s="94">
        <f ca="1">ROUNDUP((1-MIN(ROUND(fh_spy_cost_red*TblMili[[#This Row],[FH''s]],4),fh_spy_cost_cap)+ tech_1_9*TblTech[[#This Row],[1-9]] + tech_9_1*TblTech[[#This Row],[9-1]])*archspy_plat,0)</f>
        <v>1000</v>
      </c>
      <c r="BT115" s="94">
        <f ca="1">ROUNDUP((1-MIN(ROUND(wg_wiz_cost_bonus*TblMili[[#This Row],[WG''s]],4),wg_wiz_cost_cap) + tech_1_9_2*TblTech[[#This Row],[1-9]] + tech_9_1_2*TblTech[[#This Row],[9-1]])*wizard_plat,0)</f>
        <v>500</v>
      </c>
      <c r="BU115" s="94">
        <f ca="1">ROUNDUP((1-MIN(ROUND(wg_wiz_cost_bonus*TblMili[[#This Row],[WG''s]],4),wg_wiz_cost_cap) + tech_1_9_2*TblTech[[#This Row],[1-9]] + tech_9_1_2*TblTech[[#This Row],[9-1]])*(archmage_plat + IF(TblMagic[[#This Row],[Active Arc Infusion]]&gt;0,400,0)),0)</f>
        <v>1000</v>
      </c>
      <c r="BV115" s="142"/>
      <c r="BW115" s="157">
        <f ca="1">TblConstr[[#This Row],[Homeland]]/TblConstr[[#This Row],[Land]]</f>
        <v>0.6</v>
      </c>
      <c r="BX115" s="157">
        <f ca="1">TblMili[[#This Row],[WG''s]]</f>
        <v>0</v>
      </c>
      <c r="BY115" s="251">
        <f ca="1">IF(mystic_cap="none",TblMili[[#This Row],[Homeland%]]/mystic_bonus,MIN(mystic_cap,TblMili[[#This Row],[Homeland%]]/mystic_bonus))</f>
        <v>2</v>
      </c>
      <c r="BZ115" s="251">
        <f ca="1">IF(druid_op_cap="none",TblMili[[#This Row],[Homeland%]]/druid_op_bonus,MIN(druid_op_cap,TblMili[[#This Row],[Homeland%]]/druid_op_bonus))</f>
        <v>2</v>
      </c>
      <c r="CA115" s="251">
        <f ca="1">IF(druid_dp_cap="none",TblMili[[#This Row],[Homeland%]]/druid_dp_bonus,MIN(druid_dp_cap,TblMili[[#This Row],[Homeland%]]/druid_dp_bonus))</f>
        <v>2</v>
      </c>
      <c r="CB115" s="251">
        <f ca="1">MIN(dryad_cap,TblMili[[#This Row],[Homeland%]]/dryad_bonus)</f>
        <v>2.9999999999999996</v>
      </c>
      <c r="CC115" s="251">
        <f ca="1">MIN(rocka_cap,TblMili[[#This Row],[Homeland%]]/rocka_bonus)</f>
        <v>2</v>
      </c>
      <c r="CD115" s="251">
        <f ca="1">MIN(adept_op_cap,TblMili[[#This Row],[WG]]/adept_op_bonus)</f>
        <v>0</v>
      </c>
      <c r="CE115" s="251">
        <f ca="1">MIN(adept_dp_cap,TblMili[[#This Row],[WG]]/adept_dp_bonus)</f>
        <v>0</v>
      </c>
      <c r="CF115" s="94">
        <f ca="1">MIN(TblMili[[#This Row],[Unit 3]],TblMili[[#This Row],[Unit 2]])*2</f>
        <v>0</v>
      </c>
      <c r="CG115" s="94">
        <f ca="1">MIN(TblMili[[#This Row],[Unit 1]],TblMili[[#This Row],[Unit 4]])*2</f>
        <v>0</v>
      </c>
      <c r="CH115" s="251">
        <f ca="1">MIN(frost_mage_cap,TblMili[[#This Row],[Homeland%]]/frost_mage_bonus)</f>
        <v>2.9999999999999996</v>
      </c>
      <c r="CI115" s="45">
        <f ca="1">MIN(ice_elem_cap,TblMili[[#This Row],[Raw (2)]]*ice_elem_bonus)</f>
        <v>0</v>
      </c>
      <c r="CJ115" s="251">
        <f t="shared" si="4"/>
        <v>0.83333333333333337</v>
      </c>
      <c r="CK115" s="251">
        <f ca="1">MIN(nox_nightshade_cap,TblConstr[[#This Row],[Homeland]]/TblConstr[[#This Row],[Land]]/nox_nightshade_swamp_bonus)</f>
        <v>4</v>
      </c>
      <c r="CL115" s="251">
        <f ca="1">MIN(TblConstr[[#This Row],[Total Swamp]]/TblConstr[[#This Row],[Land]]/abyss_enforce_bonus,abyss_enforcer_cap)</f>
        <v>0</v>
      </c>
      <c r="CM115" s="251">
        <f ca="1">IF(TblMagic[[#This Row],[Active Infernal Command]]&gt;0,TblMili[[#This Row],[Unit 1]]*infernal_cmd_op,0)</f>
        <v>0</v>
      </c>
      <c r="CN115" s="252"/>
      <c r="CO115" s="252"/>
      <c r="CP115" s="252"/>
      <c r="CQ115" s="251">
        <f ca="1">TblMili[[#This Row],[Mystic]]*2</f>
        <v>4</v>
      </c>
      <c r="CR115" s="251">
        <f ca="1">TblMili[[#This Row],[Druid (op)]]*2</f>
        <v>4</v>
      </c>
      <c r="CS115" s="94">
        <f ca="1">TblMili[[#This Row],[Mystic bonus]]*TblMili[[#This Row],[Unit 3]]+TblMili[[#This Row],[Druid bonus]]*TblMili[[#This Row],[Unit 4]]</f>
        <v>0</v>
      </c>
      <c r="CT115" s="155">
        <f ca="1">TblMili[[#This Row],[Dryad]]*2</f>
        <v>5.9999999999999991</v>
      </c>
      <c r="CU115" s="94">
        <f ca="1">sylvan*(TblMili[[#This Row],[Mystic bonus]]*TblMili[[#This Row],[Unit 3]])</f>
        <v>0</v>
      </c>
      <c r="CV115" s="155">
        <f ca="1">TblMili[[#This Row],[Rockapult]]*2</f>
        <v>4</v>
      </c>
      <c r="CW115" s="94">
        <f ca="1">gnome*(TblMili[[#This Row],[Rockapult bonus]]*TblMili[[#This Row],[Unit 3]])</f>
        <v>0</v>
      </c>
      <c r="CX115" s="155">
        <f ca="1">TblMili[[#This Row],[Adept-DP]]*2</f>
        <v>0</v>
      </c>
      <c r="CY115" s="94">
        <f ca="1">dark_elf*(TblMili[[#This Row],[Adept bonus]]*TblMili[[#This Row],[Unit 3]])</f>
        <v>0</v>
      </c>
      <c r="CZ115" s="155">
        <f ca="1">TblMili[[#This Row],[Frost Mage]]*2</f>
        <v>5.9999999999999991</v>
      </c>
      <c r="DA115" s="155">
        <f ca="1">TblMili[[#This Row],[Ice Elemental]]*2</f>
        <v>0</v>
      </c>
      <c r="DB115" s="94">
        <f ca="1">TblMili[[#This Row],[Frost Mage bonus]]*TblMili[[#This Row],[Unit 3]]+TblMili[[#This Row],[Ice Elemental bonus]]*TblMili[[#This Row],[Unit 4]]</f>
        <v>0</v>
      </c>
      <c r="DC115" s="253"/>
      <c r="DD115" s="143">
        <f ca="1">MIN(SUM(TblConstr[[#This Row],[Plain]:[Water]])/TblMili[[#This Row],[Land]]/favorable_terrain_bonus/100,favorable_terrain_max)</f>
        <v>0</v>
      </c>
      <c r="DE115" s="253"/>
      <c r="DF11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5" s="142"/>
      <c r="DH115" s="254">
        <f ca="1">(TblMili[[#This Row],[Wizards]]+2*TblMili[[#This Row],[Archmages]])/TblConstr[[#This Row],[Land]]</f>
        <v>0</v>
      </c>
      <c r="DI115" s="254">
        <f ca="1">TblMili[[#This Row],[Raw (2)]]*(1+race_wizard_strength+IF(TblMili[[#This Row],[Hour]]&gt;72,tech_magical_weaponry_wiz*TblTech[[#This Row],[3-5]],0))</f>
        <v>0</v>
      </c>
    </row>
    <row r="116" spans="1:113" x14ac:dyDescent="0.2">
      <c r="A116" s="137">
        <f>TblRezone[[#This Row],[Hour]]</f>
        <v>113</v>
      </c>
      <c r="B116" s="246">
        <f ca="1">SUM(TblMili[[#This Row],[Unit 1]:[Archmages]])+SUM(OFFSET(TblMili[[#This Row],[Train Unit 1]],-8,0):TblMili[[#This Row],[Train Unit 2]]) + SUM(OFFSET(TblMili[[#This Row],[Train Unit 3]],-11,0):TblMili[[#This Row],[Train AM]]) + TblMili[[#This Row],[Draftees]]</f>
        <v>620</v>
      </c>
      <c r="C116" s="157">
        <f ca="1">TblPop[[#This Row],[Military%]]</f>
        <v>0.80624187256176849</v>
      </c>
      <c r="D116" s="142"/>
      <c r="E116" s="45">
        <f ca="1">OFFSET(TblMili[[#This Row],[Unit 1]],-1,0) + OFFSET(TblMili[[#This Row],[Train Unit 1]],-9,0) - TblMili[[#This Row],[Release Unit 1]] + OFFSET(TblMili[[#This Row],[DnD_Zombies]],-12,0)</f>
        <v>0</v>
      </c>
      <c r="F116" s="45">
        <f ca="1">OFFSET(TblMili[[#This Row],[Unit 2]],-1,0) + OFFSET(TblMili[[#This Row],[Train Unit 2]],-9,0)-TblMili[[#This Row],[Release Unit 2]]</f>
        <v>0</v>
      </c>
      <c r="G116" s="45">
        <f ca="1">OFFSET(TblMili[[#This Row],[Unit 3]],-1,0) + OFFSET(TblMili[[#This Row],[Train Unit 3]],-12,0)-TblMili[[#This Row],[Release Unit 3]]</f>
        <v>0</v>
      </c>
      <c r="H116" s="45">
        <f ca="1">OFFSET(TblMili[[#This Row],[Unit 4]],-1,0) + OFFSET(TblMili[[#This Row],[Train Unit 4]],-12,0)-TblMili[[#This Row],[Release Unit 4]]</f>
        <v>0</v>
      </c>
      <c r="I116" s="45">
        <f ca="1">OFFSET(TblMili[[#This Row],[Spies]],-1,0) + OFFSET(TblMili[[#This Row],[Train Spies]],-12,0) - TblMili[[#This Row],[Release Spies]]-TblMili[[#This Row],[Train AS]]</f>
        <v>0</v>
      </c>
      <c r="J116" s="45">
        <f ca="1">OFFSET(TblMili[[#This Row],[Archspies]],-1,0) + OFFSET(TblMili[[#This Row],[Train AS]],-12,0) - TblMili[[#This Row],[Release AS]]</f>
        <v>0</v>
      </c>
      <c r="K116" s="45">
        <f ca="1">OFFSET(TblMili[[#This Row],[Wizards]],-1,0) + OFFSET(TblMili[[#This Row],[Train Wiz]],-12,0) - TblMili[[#This Row],[Release Wizards]]-TblMili[[#This Row],[Train AM]] + IF(TblMagic[[#This Row],[Active Arc Infusion]]&gt;0,TblMili[[#This Row],[Train AM]])</f>
        <v>0</v>
      </c>
      <c r="L116" s="45">
        <f ca="1">OFFSET(TblMili[[#This Row],[Archmages]],-1,0) + OFFSET(TblMili[[#This Row],[Train AM]],-12,0) - TblMili[[#This Row],[Release AM]]</f>
        <v>0</v>
      </c>
      <c r="M116" s="142"/>
      <c r="N116" s="94">
        <f ca="1">TblProd[[#This Row],[Networth]]</f>
        <v>1250</v>
      </c>
      <c r="O116" s="142"/>
      <c r="P116"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1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6" s="247">
        <f ca="1">TblMili[[#This Row],[Raw]]*(1+TblMili[[#This Row],[Mods_Off]])</f>
        <v>0</v>
      </c>
      <c r="S116"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16" s="247">
        <f ca="1">TblMili[[#This Row],[Non Draft]]+TblMili[[#This Row],[Draftees]]</f>
        <v>620</v>
      </c>
      <c r="U116" s="248">
        <f ca="1">race_defense + TblImps[[#This Row],[Walls]] + ROUND( MIN(gt_bonus*TblConstr[[#This Row],[Tot GT]]/TblConstr[[#This Row],[Land]],gt_bonus_cap), 4) + IF(TblMagic[[#This Row],[Active Howling]]&gt;0,howling_dp_bonus,IF(TblMagic[[#This Row],[Active Ares Call]]&gt;0,ares_call_bonus))</f>
        <v>0</v>
      </c>
      <c r="V116" s="249">
        <f ca="1">TblMili[[#This Row],[Non Draft]] * (1 + TblMili[[#This Row],[Mods_Def]])</f>
        <v>0</v>
      </c>
      <c r="W116" s="247">
        <f ca="1">TblMili[[#This Row],[Draft]] * (1 + TblMili[[#This Row],[Mods_Def]])</f>
        <v>620</v>
      </c>
      <c r="X116" s="247">
        <f ca="1">TblConstr[[#This Row],[Land]]</f>
        <v>50</v>
      </c>
      <c r="Y116" s="250"/>
      <c r="Z116" s="255">
        <f ca="1">IF(TblMili[[#This Row],[Set]]&lt;&gt;"",TblMili[[#This Row],[Set]],OFFSET(TblMili[[#This Row],[Draftrate]],-1,0))</f>
        <v>0.9</v>
      </c>
      <c r="AA116"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620</v>
      </c>
      <c r="AB116" s="154"/>
      <c r="AC116" s="180">
        <f ca="1">(TblConstr[[#This Row],[Tot Smi]]+TblConstr[[#This Row],[Dest Smi]])/(TblConstr[[#This Row],[Land]]-TblExplore[[#This Row],[Land Bonus]]*20)</f>
        <v>0</v>
      </c>
      <c r="AD116" s="137"/>
      <c r="AE116" s="246">
        <f>TblMili[[#This Row],[Hour]]</f>
        <v>113</v>
      </c>
      <c r="AF116" s="138">
        <f ca="1">TblExplore[[#This Row],[Time]]</f>
        <v>46324.666666666395</v>
      </c>
      <c r="AG116" s="179"/>
      <c r="AH116" s="179"/>
      <c r="AI116" s="179"/>
      <c r="AJ116" s="179"/>
      <c r="AK116" s="179"/>
      <c r="AL116" s="179"/>
      <c r="AM116" s="179"/>
      <c r="AN116" s="179"/>
      <c r="AO116" s="420">
        <f ca="1">ROUND(IF(AND(TblMagic[[#This Row],[Active DnD]]&lt;12,TblMagic[[#This Row],[Active DnD]]&gt;5),OFFSET(TblPop[[#This Row],[Draft Growth]],-1,0)*0.375,0),0)</f>
        <v>0</v>
      </c>
      <c r="AP116" s="142"/>
      <c r="AQ116" s="94">
        <f ca="1">TblProd[[#This Row],[Platinum]]</f>
        <v>205820</v>
      </c>
      <c r="AR116" s="94">
        <f ca="1">INDEX(TblProd[[#Headers],[Lumber]]:TblProd[[#This Row],[Ore]],COUNTA(TblProd[[#Headers],[Lumber]]:TblProd[[#This Row],[Lumber]]),MATCH(Military!$AR$2,TblProd[[#Headers],[Lumber]:[Ore]],0))</f>
        <v>0</v>
      </c>
      <c r="AS11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16" s="94">
        <f ca="1">TblMili[[#This Row],[Train Unit 1]]*TblMili[[#This Row],[OP Ore]]+TblMili[[#This Row],[Train Unit 2]]*TblMili[[#This Row],[DP Ore]]+TblMili[[#This Row],[Train Unit 3]]*TblMili[[#This Row],[E1 Ore]]+TblMili[[#This Row],[Train Unit 4]]*TblMili[[#This Row],[E2 Ore]]</f>
        <v>0</v>
      </c>
      <c r="AU116" s="142">
        <f>TblMili[[#This Row],[Hour]]</f>
        <v>113</v>
      </c>
      <c r="AV116" s="152">
        <f ca="1">TblMili[[#This Row],[Time]]</f>
        <v>46324.666666666395</v>
      </c>
      <c r="AW116" s="94">
        <f ca="1">TblMili[[#This Row],[Draftees]]</f>
        <v>620</v>
      </c>
      <c r="AX116" s="179"/>
      <c r="AY116" s="179"/>
      <c r="AZ116" s="179"/>
      <c r="BA116" s="179"/>
      <c r="BB116" s="179"/>
      <c r="BC116" s="179"/>
      <c r="BD116" s="179"/>
      <c r="BE116" s="179"/>
      <c r="BF116" s="179"/>
      <c r="BG116" s="142"/>
      <c r="BH116" s="157">
        <f ca="1">TblConstr[[#This Row],[Tot WG]]/TblConstr[[#This Row],[Land]]</f>
        <v>0</v>
      </c>
      <c r="BI116" s="157">
        <f ca="1">TblConstr[[#This Row],[Tot Hav]]/TblConstr[[#This Row],[Land]]</f>
        <v>0</v>
      </c>
      <c r="BJ116" s="94">
        <f ca="1">ROUNDUP((1-MIN(TblMili[[#This Row],[Smithies]]*smithy_bonus,smithy_bonus_cap) + tech_3_5*TblTech[[#This Row],[3-5]] + tech_5_3*TblTech[[#This Row],[5-3]] + tech_5_5*TblTech[[#This Row],[5-5]])*spec_op_plat,0)</f>
        <v>315</v>
      </c>
      <c r="BK116" s="94">
        <f ca="1">ROUNDUP(IF(race="Gnome",1,(1-MIN(TblMili[[#This Row],[Smithies]]*smithy_bonus,smithy_bonus_cap) + tech_3_5*TblTech[[#This Row],[3-5]] + tech_5_3*TblTech[[#This Row],[5-3]] + tech_5_5*TblTech[[#This Row],[5-5]]))*spec_op_ore,0)</f>
        <v>25</v>
      </c>
      <c r="BL116" s="94">
        <f ca="1">ROUNDUP((1-MIN(TblMili[[#This Row],[Smithies]]*smithy_bonus,smithy_bonus_cap) + tech_3_5*TblTech[[#This Row],[3-5]] + tech_5_3*TblTech[[#This Row],[5-3]] + tech_5_5*TblTech[[#This Row],[5-5]])*spec_dp_plat,0)</f>
        <v>275</v>
      </c>
      <c r="BM116" s="94">
        <f ca="1">ROUNDUP(IF(race="Gnome",1,(1-MIN(TblMili[[#This Row],[Smithies]]*smithy_bonus,smithy_bonus_cap) + tech_3_5*TblTech[[#This Row],[3-5]] + tech_5_3*TblTech[[#This Row],[5-3]] + tech_5_5*TblTech[[#This Row],[5-5]]))*spec_dp_ore,0)</f>
        <v>15</v>
      </c>
      <c r="BN116" s="94">
        <f ca="1">ROUNDUP((1-MIN(TblMili[[#This Row],[Smithies]]*smithy_bonus,smithy_bonus_cap) + tech_3_5*TblTech[[#This Row],[3-5]] + tech_5_3*TblTech[[#This Row],[5-3]] + tech_5_5*TblTech[[#This Row],[5-5]])*elite1_plat,0)</f>
        <v>1040</v>
      </c>
      <c r="BO116" s="94">
        <f ca="1">ROUNDUP(IF(race="Gnome",1,(1-MIN(TblMili[[#This Row],[Smithies]]*smithy_bonus,smithy_bonus_cap) + tech_3_5*TblTech[[#This Row],[3-5]] + tech_5_3*TblTech[[#This Row],[5-3]] + tech_5_5*TblTech[[#This Row],[5-5]]))*elite1_ore,0)</f>
        <v>75</v>
      </c>
      <c r="BP116" s="94">
        <f ca="1">ROUNDUP((1-MIN(TblMili[[#This Row],[Smithies]]*smithy_bonus,smithy_bonus_cap) + tech_3_5*TblTech[[#This Row],[3-5]] + tech_5_3*TblTech[[#This Row],[5-3]] + tech_5_5*TblTech[[#This Row],[5-5]])*elite2_plat,0)</f>
        <v>1280</v>
      </c>
      <c r="BQ116" s="94">
        <f ca="1">ROUNDUP(IF(race="Gnome",1,(1-MIN(TblMili[[#This Row],[Smithies]]*smithy_bonus,smithy_bonus_cap) + tech_3_5*TblTech[[#This Row],[3-5]] + tech_5_3*TblTech[[#This Row],[5-3]] + tech_5_5*TblTech[[#This Row],[5-5]]))*elite2_ore,0)</f>
        <v>100</v>
      </c>
      <c r="BR116" s="94">
        <f ca="1">ROUNDUP((1-MIN(ROUND(fh_spy_cost_red*TblMili[[#This Row],[FH''s]],4),fh_spy_cost_cap)+ tech_1_9*TblTech[[#This Row],[1-9]] + tech_9_1*TblTech[[#This Row],[9-1]])*spy_plat,0)</f>
        <v>500</v>
      </c>
      <c r="BS116" s="94">
        <f ca="1">ROUNDUP((1-MIN(ROUND(fh_spy_cost_red*TblMili[[#This Row],[FH''s]],4),fh_spy_cost_cap)+ tech_1_9*TblTech[[#This Row],[1-9]] + tech_9_1*TblTech[[#This Row],[9-1]])*archspy_plat,0)</f>
        <v>1000</v>
      </c>
      <c r="BT116" s="94">
        <f ca="1">ROUNDUP((1-MIN(ROUND(wg_wiz_cost_bonus*TblMili[[#This Row],[WG''s]],4),wg_wiz_cost_cap) + tech_1_9_2*TblTech[[#This Row],[1-9]] + tech_9_1_2*TblTech[[#This Row],[9-1]])*wizard_plat,0)</f>
        <v>500</v>
      </c>
      <c r="BU116" s="94">
        <f ca="1">ROUNDUP((1-MIN(ROUND(wg_wiz_cost_bonus*TblMili[[#This Row],[WG''s]],4),wg_wiz_cost_cap) + tech_1_9_2*TblTech[[#This Row],[1-9]] + tech_9_1_2*TblTech[[#This Row],[9-1]])*(archmage_plat + IF(TblMagic[[#This Row],[Active Arc Infusion]]&gt;0,400,0)),0)</f>
        <v>1000</v>
      </c>
      <c r="BV116" s="142"/>
      <c r="BW116" s="157">
        <f ca="1">TblConstr[[#This Row],[Homeland]]/TblConstr[[#This Row],[Land]]</f>
        <v>0.6</v>
      </c>
      <c r="BX116" s="157">
        <f ca="1">TblMili[[#This Row],[WG''s]]</f>
        <v>0</v>
      </c>
      <c r="BY116" s="251">
        <f ca="1">IF(mystic_cap="none",TblMili[[#This Row],[Homeland%]]/mystic_bonus,MIN(mystic_cap,TblMili[[#This Row],[Homeland%]]/mystic_bonus))</f>
        <v>2</v>
      </c>
      <c r="BZ116" s="251">
        <f ca="1">IF(druid_op_cap="none",TblMili[[#This Row],[Homeland%]]/druid_op_bonus,MIN(druid_op_cap,TblMili[[#This Row],[Homeland%]]/druid_op_bonus))</f>
        <v>2</v>
      </c>
      <c r="CA116" s="251">
        <f ca="1">IF(druid_dp_cap="none",TblMili[[#This Row],[Homeland%]]/druid_dp_bonus,MIN(druid_dp_cap,TblMili[[#This Row],[Homeland%]]/druid_dp_bonus))</f>
        <v>2</v>
      </c>
      <c r="CB116" s="251">
        <f ca="1">MIN(dryad_cap,TblMili[[#This Row],[Homeland%]]/dryad_bonus)</f>
        <v>2.9999999999999996</v>
      </c>
      <c r="CC116" s="251">
        <f ca="1">MIN(rocka_cap,TblMili[[#This Row],[Homeland%]]/rocka_bonus)</f>
        <v>2</v>
      </c>
      <c r="CD116" s="251">
        <f ca="1">MIN(adept_op_cap,TblMili[[#This Row],[WG]]/adept_op_bonus)</f>
        <v>0</v>
      </c>
      <c r="CE116" s="251">
        <f ca="1">MIN(adept_dp_cap,TblMili[[#This Row],[WG]]/adept_dp_bonus)</f>
        <v>0</v>
      </c>
      <c r="CF116" s="94">
        <f ca="1">MIN(TblMili[[#This Row],[Unit 3]],TblMili[[#This Row],[Unit 2]])*2</f>
        <v>0</v>
      </c>
      <c r="CG116" s="94">
        <f ca="1">MIN(TblMili[[#This Row],[Unit 1]],TblMili[[#This Row],[Unit 4]])*2</f>
        <v>0</v>
      </c>
      <c r="CH116" s="251">
        <f ca="1">MIN(frost_mage_cap,TblMili[[#This Row],[Homeland%]]/frost_mage_bonus)</f>
        <v>2.9999999999999996</v>
      </c>
      <c r="CI116" s="45">
        <f ca="1">MIN(ice_elem_cap,TblMili[[#This Row],[Raw (2)]]*ice_elem_bonus)</f>
        <v>0</v>
      </c>
      <c r="CJ116" s="251">
        <f t="shared" si="4"/>
        <v>0.83333333333333337</v>
      </c>
      <c r="CK116" s="251">
        <f ca="1">MIN(nox_nightshade_cap,TblConstr[[#This Row],[Homeland]]/TblConstr[[#This Row],[Land]]/nox_nightshade_swamp_bonus)</f>
        <v>4</v>
      </c>
      <c r="CL116" s="251">
        <f ca="1">MIN(TblConstr[[#This Row],[Total Swamp]]/TblConstr[[#This Row],[Land]]/abyss_enforce_bonus,abyss_enforcer_cap)</f>
        <v>0</v>
      </c>
      <c r="CM116" s="251">
        <f ca="1">IF(TblMagic[[#This Row],[Active Infernal Command]]&gt;0,TblMili[[#This Row],[Unit 1]]*infernal_cmd_op,0)</f>
        <v>0</v>
      </c>
      <c r="CN116" s="252"/>
      <c r="CO116" s="252"/>
      <c r="CP116" s="252"/>
      <c r="CQ116" s="251">
        <f ca="1">TblMili[[#This Row],[Mystic]]*2</f>
        <v>4</v>
      </c>
      <c r="CR116" s="251">
        <f ca="1">TblMili[[#This Row],[Druid (op)]]*2</f>
        <v>4</v>
      </c>
      <c r="CS116" s="94">
        <f ca="1">TblMili[[#This Row],[Mystic bonus]]*TblMili[[#This Row],[Unit 3]]+TblMili[[#This Row],[Druid bonus]]*TblMili[[#This Row],[Unit 4]]</f>
        <v>0</v>
      </c>
      <c r="CT116" s="155">
        <f ca="1">TblMili[[#This Row],[Dryad]]*2</f>
        <v>5.9999999999999991</v>
      </c>
      <c r="CU116" s="94">
        <f ca="1">sylvan*(TblMili[[#This Row],[Mystic bonus]]*TblMili[[#This Row],[Unit 3]])</f>
        <v>0</v>
      </c>
      <c r="CV116" s="155">
        <f ca="1">TblMili[[#This Row],[Rockapult]]*2</f>
        <v>4</v>
      </c>
      <c r="CW116" s="94">
        <f ca="1">gnome*(TblMili[[#This Row],[Rockapult bonus]]*TblMili[[#This Row],[Unit 3]])</f>
        <v>0</v>
      </c>
      <c r="CX116" s="155">
        <f ca="1">TblMili[[#This Row],[Adept-DP]]*2</f>
        <v>0</v>
      </c>
      <c r="CY116" s="94">
        <f ca="1">dark_elf*(TblMili[[#This Row],[Adept bonus]]*TblMili[[#This Row],[Unit 3]])</f>
        <v>0</v>
      </c>
      <c r="CZ116" s="155">
        <f ca="1">TblMili[[#This Row],[Frost Mage]]*2</f>
        <v>5.9999999999999991</v>
      </c>
      <c r="DA116" s="155">
        <f ca="1">TblMili[[#This Row],[Ice Elemental]]*2</f>
        <v>0</v>
      </c>
      <c r="DB116" s="94">
        <f ca="1">TblMili[[#This Row],[Frost Mage bonus]]*TblMili[[#This Row],[Unit 3]]+TblMili[[#This Row],[Ice Elemental bonus]]*TblMili[[#This Row],[Unit 4]]</f>
        <v>0</v>
      </c>
      <c r="DC116" s="253"/>
      <c r="DD116" s="143">
        <f ca="1">MIN(SUM(TblConstr[[#This Row],[Plain]:[Water]])/TblMili[[#This Row],[Land]]/favorable_terrain_bonus/100,favorable_terrain_max)</f>
        <v>0</v>
      </c>
      <c r="DE116" s="253"/>
      <c r="DF11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6" s="142"/>
      <c r="DH116" s="254">
        <f ca="1">(TblMili[[#This Row],[Wizards]]+2*TblMili[[#This Row],[Archmages]])/TblConstr[[#This Row],[Land]]</f>
        <v>0</v>
      </c>
      <c r="DI116" s="254">
        <f ca="1">TblMili[[#This Row],[Raw (2)]]*(1+race_wizard_strength+IF(TblMili[[#This Row],[Hour]]&gt;72,tech_magical_weaponry_wiz*TblTech[[#This Row],[3-5]],0))</f>
        <v>0</v>
      </c>
    </row>
    <row r="117" spans="1:113" x14ac:dyDescent="0.2">
      <c r="A117" s="137">
        <f>TblRezone[[#This Row],[Hour]]</f>
        <v>114</v>
      </c>
      <c r="B117" s="246">
        <f ca="1">SUM(TblMili[[#This Row],[Unit 1]:[Archmages]])+SUM(OFFSET(TblMili[[#This Row],[Train Unit 1]],-8,0):TblMili[[#This Row],[Train Unit 2]]) + SUM(OFFSET(TblMili[[#This Row],[Train Unit 3]],-11,0):TblMili[[#This Row],[Train AM]]) + TblMili[[#This Row],[Draftees]]</f>
        <v>621</v>
      </c>
      <c r="C117" s="157">
        <f ca="1">TblPop[[#This Row],[Military%]]</f>
        <v>0.80754226267880369</v>
      </c>
      <c r="D117" s="142"/>
      <c r="E117" s="45">
        <f ca="1">OFFSET(TblMili[[#This Row],[Unit 1]],-1,0) + OFFSET(TblMili[[#This Row],[Train Unit 1]],-9,0) - TblMili[[#This Row],[Release Unit 1]] + OFFSET(TblMili[[#This Row],[DnD_Zombies]],-12,0)</f>
        <v>0</v>
      </c>
      <c r="F117" s="45">
        <f ca="1">OFFSET(TblMili[[#This Row],[Unit 2]],-1,0) + OFFSET(TblMili[[#This Row],[Train Unit 2]],-9,0)-TblMili[[#This Row],[Release Unit 2]]</f>
        <v>0</v>
      </c>
      <c r="G117" s="45">
        <f ca="1">OFFSET(TblMili[[#This Row],[Unit 3]],-1,0) + OFFSET(TblMili[[#This Row],[Train Unit 3]],-12,0)-TblMili[[#This Row],[Release Unit 3]]</f>
        <v>0</v>
      </c>
      <c r="H117" s="45">
        <f ca="1">OFFSET(TblMili[[#This Row],[Unit 4]],-1,0) + OFFSET(TblMili[[#This Row],[Train Unit 4]],-12,0)-TblMili[[#This Row],[Release Unit 4]]</f>
        <v>0</v>
      </c>
      <c r="I117" s="45">
        <f ca="1">OFFSET(TblMili[[#This Row],[Spies]],-1,0) + OFFSET(TblMili[[#This Row],[Train Spies]],-12,0) - TblMili[[#This Row],[Release Spies]]-TblMili[[#This Row],[Train AS]]</f>
        <v>0</v>
      </c>
      <c r="J117" s="45">
        <f ca="1">OFFSET(TblMili[[#This Row],[Archspies]],-1,0) + OFFSET(TblMili[[#This Row],[Train AS]],-12,0) - TblMili[[#This Row],[Release AS]]</f>
        <v>0</v>
      </c>
      <c r="K117" s="45">
        <f ca="1">OFFSET(TblMili[[#This Row],[Wizards]],-1,0) + OFFSET(TblMili[[#This Row],[Train Wiz]],-12,0) - TblMili[[#This Row],[Release Wizards]]-TblMili[[#This Row],[Train AM]] + IF(TblMagic[[#This Row],[Active Arc Infusion]]&gt;0,TblMili[[#This Row],[Train AM]])</f>
        <v>0</v>
      </c>
      <c r="L117" s="45">
        <f ca="1">OFFSET(TblMili[[#This Row],[Archmages]],-1,0) + OFFSET(TblMili[[#This Row],[Train AM]],-12,0) - TblMili[[#This Row],[Release AM]]</f>
        <v>0</v>
      </c>
      <c r="M117" s="142"/>
      <c r="N117" s="94">
        <f ca="1">TblProd[[#This Row],[Networth]]</f>
        <v>1250</v>
      </c>
      <c r="O117" s="142"/>
      <c r="P117"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1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7" s="247">
        <f ca="1">TblMili[[#This Row],[Raw]]*(1+TblMili[[#This Row],[Mods_Off]])</f>
        <v>0</v>
      </c>
      <c r="S117"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17" s="247">
        <f ca="1">TblMili[[#This Row],[Non Draft]]+TblMili[[#This Row],[Draftees]]</f>
        <v>621</v>
      </c>
      <c r="U117" s="248">
        <f ca="1">race_defense + TblImps[[#This Row],[Walls]] + ROUND( MIN(gt_bonus*TblConstr[[#This Row],[Tot GT]]/TblConstr[[#This Row],[Land]],gt_bonus_cap), 4) + IF(TblMagic[[#This Row],[Active Howling]]&gt;0,howling_dp_bonus,IF(TblMagic[[#This Row],[Active Ares Call]]&gt;0,ares_call_bonus))</f>
        <v>0</v>
      </c>
      <c r="V117" s="249">
        <f ca="1">TblMili[[#This Row],[Non Draft]] * (1 + TblMili[[#This Row],[Mods_Def]])</f>
        <v>0</v>
      </c>
      <c r="W117" s="247">
        <f ca="1">TblMili[[#This Row],[Draft]] * (1 + TblMili[[#This Row],[Mods_Def]])</f>
        <v>621</v>
      </c>
      <c r="X117" s="247">
        <f ca="1">TblConstr[[#This Row],[Land]]</f>
        <v>50</v>
      </c>
      <c r="Y117" s="250"/>
      <c r="Z117" s="255">
        <f ca="1">IF(TblMili[[#This Row],[Set]]&lt;&gt;"",TblMili[[#This Row],[Set]],OFFSET(TblMili[[#This Row],[Draftrate]],-1,0))</f>
        <v>0.9</v>
      </c>
      <c r="AA117"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621</v>
      </c>
      <c r="AB117" s="154"/>
      <c r="AC117" s="180">
        <f ca="1">(TblConstr[[#This Row],[Tot Smi]]+TblConstr[[#This Row],[Dest Smi]])/(TblConstr[[#This Row],[Land]]-TblExplore[[#This Row],[Land Bonus]]*20)</f>
        <v>0</v>
      </c>
      <c r="AD117" s="137"/>
      <c r="AE117" s="246">
        <f>TblMili[[#This Row],[Hour]]</f>
        <v>114</v>
      </c>
      <c r="AF117" s="138">
        <f ca="1">TblExplore[[#This Row],[Time]]</f>
        <v>46324.708333333059</v>
      </c>
      <c r="AG117" s="179"/>
      <c r="AH117" s="179"/>
      <c r="AI117" s="179"/>
      <c r="AJ117" s="179"/>
      <c r="AK117" s="179"/>
      <c r="AL117" s="179"/>
      <c r="AM117" s="179"/>
      <c r="AN117" s="179"/>
      <c r="AO117" s="420">
        <f ca="1">ROUND(IF(AND(TblMagic[[#This Row],[Active DnD]]&lt;12,TblMagic[[#This Row],[Active DnD]]&gt;5),OFFSET(TblPop[[#This Row],[Draft Growth]],-1,0)*0.375,0),0)</f>
        <v>0</v>
      </c>
      <c r="AP117" s="142"/>
      <c r="AQ117" s="94">
        <f ca="1">TblProd[[#This Row],[Platinum]]</f>
        <v>206222</v>
      </c>
      <c r="AR117" s="94">
        <f ca="1">INDEX(TblProd[[#Headers],[Lumber]]:TblProd[[#This Row],[Ore]],COUNTA(TblProd[[#Headers],[Lumber]]:TblProd[[#This Row],[Lumber]]),MATCH(Military!$AR$2,TblProd[[#Headers],[Lumber]:[Ore]],0))</f>
        <v>0</v>
      </c>
      <c r="AS11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17" s="94">
        <f ca="1">TblMili[[#This Row],[Train Unit 1]]*TblMili[[#This Row],[OP Ore]]+TblMili[[#This Row],[Train Unit 2]]*TblMili[[#This Row],[DP Ore]]+TblMili[[#This Row],[Train Unit 3]]*TblMili[[#This Row],[E1 Ore]]+TblMili[[#This Row],[Train Unit 4]]*TblMili[[#This Row],[E2 Ore]]</f>
        <v>0</v>
      </c>
      <c r="AU117" s="142">
        <f>TblMili[[#This Row],[Hour]]</f>
        <v>114</v>
      </c>
      <c r="AV117" s="152">
        <f ca="1">TblMili[[#This Row],[Time]]</f>
        <v>46324.708333333059</v>
      </c>
      <c r="AW117" s="94">
        <f ca="1">TblMili[[#This Row],[Draftees]]</f>
        <v>621</v>
      </c>
      <c r="AX117" s="179"/>
      <c r="AY117" s="179"/>
      <c r="AZ117" s="179"/>
      <c r="BA117" s="179"/>
      <c r="BB117" s="179"/>
      <c r="BC117" s="179"/>
      <c r="BD117" s="179"/>
      <c r="BE117" s="179"/>
      <c r="BF117" s="179"/>
      <c r="BG117" s="142"/>
      <c r="BH117" s="157">
        <f ca="1">TblConstr[[#This Row],[Tot WG]]/TblConstr[[#This Row],[Land]]</f>
        <v>0</v>
      </c>
      <c r="BI117" s="157">
        <f ca="1">TblConstr[[#This Row],[Tot Hav]]/TblConstr[[#This Row],[Land]]</f>
        <v>0</v>
      </c>
      <c r="BJ117" s="94">
        <f ca="1">ROUNDUP((1-MIN(TblMili[[#This Row],[Smithies]]*smithy_bonus,smithy_bonus_cap) + tech_3_5*TblTech[[#This Row],[3-5]] + tech_5_3*TblTech[[#This Row],[5-3]] + tech_5_5*TblTech[[#This Row],[5-5]])*spec_op_plat,0)</f>
        <v>315</v>
      </c>
      <c r="BK117" s="94">
        <f ca="1">ROUNDUP(IF(race="Gnome",1,(1-MIN(TblMili[[#This Row],[Smithies]]*smithy_bonus,smithy_bonus_cap) + tech_3_5*TblTech[[#This Row],[3-5]] + tech_5_3*TblTech[[#This Row],[5-3]] + tech_5_5*TblTech[[#This Row],[5-5]]))*spec_op_ore,0)</f>
        <v>25</v>
      </c>
      <c r="BL117" s="94">
        <f ca="1">ROUNDUP((1-MIN(TblMili[[#This Row],[Smithies]]*smithy_bonus,smithy_bonus_cap) + tech_3_5*TblTech[[#This Row],[3-5]] + tech_5_3*TblTech[[#This Row],[5-3]] + tech_5_5*TblTech[[#This Row],[5-5]])*spec_dp_plat,0)</f>
        <v>275</v>
      </c>
      <c r="BM117" s="94">
        <f ca="1">ROUNDUP(IF(race="Gnome",1,(1-MIN(TblMili[[#This Row],[Smithies]]*smithy_bonus,smithy_bonus_cap) + tech_3_5*TblTech[[#This Row],[3-5]] + tech_5_3*TblTech[[#This Row],[5-3]] + tech_5_5*TblTech[[#This Row],[5-5]]))*spec_dp_ore,0)</f>
        <v>15</v>
      </c>
      <c r="BN117" s="94">
        <f ca="1">ROUNDUP((1-MIN(TblMili[[#This Row],[Smithies]]*smithy_bonus,smithy_bonus_cap) + tech_3_5*TblTech[[#This Row],[3-5]] + tech_5_3*TblTech[[#This Row],[5-3]] + tech_5_5*TblTech[[#This Row],[5-5]])*elite1_plat,0)</f>
        <v>1040</v>
      </c>
      <c r="BO117" s="94">
        <f ca="1">ROUNDUP(IF(race="Gnome",1,(1-MIN(TblMili[[#This Row],[Smithies]]*smithy_bonus,smithy_bonus_cap) + tech_3_5*TblTech[[#This Row],[3-5]] + tech_5_3*TblTech[[#This Row],[5-3]] + tech_5_5*TblTech[[#This Row],[5-5]]))*elite1_ore,0)</f>
        <v>75</v>
      </c>
      <c r="BP117" s="94">
        <f ca="1">ROUNDUP((1-MIN(TblMili[[#This Row],[Smithies]]*smithy_bonus,smithy_bonus_cap) + tech_3_5*TblTech[[#This Row],[3-5]] + tech_5_3*TblTech[[#This Row],[5-3]] + tech_5_5*TblTech[[#This Row],[5-5]])*elite2_plat,0)</f>
        <v>1280</v>
      </c>
      <c r="BQ117" s="94">
        <f ca="1">ROUNDUP(IF(race="Gnome",1,(1-MIN(TblMili[[#This Row],[Smithies]]*smithy_bonus,smithy_bonus_cap) + tech_3_5*TblTech[[#This Row],[3-5]] + tech_5_3*TblTech[[#This Row],[5-3]] + tech_5_5*TblTech[[#This Row],[5-5]]))*elite2_ore,0)</f>
        <v>100</v>
      </c>
      <c r="BR117" s="94">
        <f ca="1">ROUNDUP((1-MIN(ROUND(fh_spy_cost_red*TblMili[[#This Row],[FH''s]],4),fh_spy_cost_cap)+ tech_1_9*TblTech[[#This Row],[1-9]] + tech_9_1*TblTech[[#This Row],[9-1]])*spy_plat,0)</f>
        <v>500</v>
      </c>
      <c r="BS117" s="94">
        <f ca="1">ROUNDUP((1-MIN(ROUND(fh_spy_cost_red*TblMili[[#This Row],[FH''s]],4),fh_spy_cost_cap)+ tech_1_9*TblTech[[#This Row],[1-9]] + tech_9_1*TblTech[[#This Row],[9-1]])*archspy_plat,0)</f>
        <v>1000</v>
      </c>
      <c r="BT117" s="94">
        <f ca="1">ROUNDUP((1-MIN(ROUND(wg_wiz_cost_bonus*TblMili[[#This Row],[WG''s]],4),wg_wiz_cost_cap) + tech_1_9_2*TblTech[[#This Row],[1-9]] + tech_9_1_2*TblTech[[#This Row],[9-1]])*wizard_plat,0)</f>
        <v>500</v>
      </c>
      <c r="BU117" s="94">
        <f ca="1">ROUNDUP((1-MIN(ROUND(wg_wiz_cost_bonus*TblMili[[#This Row],[WG''s]],4),wg_wiz_cost_cap) + tech_1_9_2*TblTech[[#This Row],[1-9]] + tech_9_1_2*TblTech[[#This Row],[9-1]])*(archmage_plat + IF(TblMagic[[#This Row],[Active Arc Infusion]]&gt;0,400,0)),0)</f>
        <v>1000</v>
      </c>
      <c r="BV117" s="142"/>
      <c r="BW117" s="157">
        <f ca="1">TblConstr[[#This Row],[Homeland]]/TblConstr[[#This Row],[Land]]</f>
        <v>0.6</v>
      </c>
      <c r="BX117" s="157">
        <f ca="1">TblMili[[#This Row],[WG''s]]</f>
        <v>0</v>
      </c>
      <c r="BY117" s="251">
        <f ca="1">IF(mystic_cap="none",TblMili[[#This Row],[Homeland%]]/mystic_bonus,MIN(mystic_cap,TblMili[[#This Row],[Homeland%]]/mystic_bonus))</f>
        <v>2</v>
      </c>
      <c r="BZ117" s="251">
        <f ca="1">IF(druid_op_cap="none",TblMili[[#This Row],[Homeland%]]/druid_op_bonus,MIN(druid_op_cap,TblMili[[#This Row],[Homeland%]]/druid_op_bonus))</f>
        <v>2</v>
      </c>
      <c r="CA117" s="251">
        <f ca="1">IF(druid_dp_cap="none",TblMili[[#This Row],[Homeland%]]/druid_dp_bonus,MIN(druid_dp_cap,TblMili[[#This Row],[Homeland%]]/druid_dp_bonus))</f>
        <v>2</v>
      </c>
      <c r="CB117" s="251">
        <f ca="1">MIN(dryad_cap,TblMili[[#This Row],[Homeland%]]/dryad_bonus)</f>
        <v>2.9999999999999996</v>
      </c>
      <c r="CC117" s="251">
        <f ca="1">MIN(rocka_cap,TblMili[[#This Row],[Homeland%]]/rocka_bonus)</f>
        <v>2</v>
      </c>
      <c r="CD117" s="251">
        <f ca="1">MIN(adept_op_cap,TblMili[[#This Row],[WG]]/adept_op_bonus)</f>
        <v>0</v>
      </c>
      <c r="CE117" s="251">
        <f ca="1">MIN(adept_dp_cap,TblMili[[#This Row],[WG]]/adept_dp_bonus)</f>
        <v>0</v>
      </c>
      <c r="CF117" s="94">
        <f ca="1">MIN(TblMili[[#This Row],[Unit 3]],TblMili[[#This Row],[Unit 2]])*2</f>
        <v>0</v>
      </c>
      <c r="CG117" s="94">
        <f ca="1">MIN(TblMili[[#This Row],[Unit 1]],TblMili[[#This Row],[Unit 4]])*2</f>
        <v>0</v>
      </c>
      <c r="CH117" s="251">
        <f ca="1">MIN(frost_mage_cap,TblMili[[#This Row],[Homeland%]]/frost_mage_bonus)</f>
        <v>2.9999999999999996</v>
      </c>
      <c r="CI117" s="45">
        <f ca="1">MIN(ice_elem_cap,TblMili[[#This Row],[Raw (2)]]*ice_elem_bonus)</f>
        <v>0</v>
      </c>
      <c r="CJ117" s="251">
        <f t="shared" si="4"/>
        <v>0.83333333333333337</v>
      </c>
      <c r="CK117" s="251">
        <f ca="1">MIN(nox_nightshade_cap,TblConstr[[#This Row],[Homeland]]/TblConstr[[#This Row],[Land]]/nox_nightshade_swamp_bonus)</f>
        <v>4</v>
      </c>
      <c r="CL117" s="251">
        <f ca="1">MIN(TblConstr[[#This Row],[Total Swamp]]/TblConstr[[#This Row],[Land]]/abyss_enforce_bonus,abyss_enforcer_cap)</f>
        <v>0</v>
      </c>
      <c r="CM117" s="251">
        <f ca="1">IF(TblMagic[[#This Row],[Active Infernal Command]]&gt;0,TblMili[[#This Row],[Unit 1]]*infernal_cmd_op,0)</f>
        <v>0</v>
      </c>
      <c r="CN117" s="252"/>
      <c r="CO117" s="252"/>
      <c r="CP117" s="252"/>
      <c r="CQ117" s="251">
        <f ca="1">TblMili[[#This Row],[Mystic]]*2</f>
        <v>4</v>
      </c>
      <c r="CR117" s="251">
        <f ca="1">TblMili[[#This Row],[Druid (op)]]*2</f>
        <v>4</v>
      </c>
      <c r="CS117" s="94">
        <f ca="1">TblMili[[#This Row],[Mystic bonus]]*TblMili[[#This Row],[Unit 3]]+TblMili[[#This Row],[Druid bonus]]*TblMili[[#This Row],[Unit 4]]</f>
        <v>0</v>
      </c>
      <c r="CT117" s="155">
        <f ca="1">TblMili[[#This Row],[Dryad]]*2</f>
        <v>5.9999999999999991</v>
      </c>
      <c r="CU117" s="94">
        <f ca="1">sylvan*(TblMili[[#This Row],[Mystic bonus]]*TblMili[[#This Row],[Unit 3]])</f>
        <v>0</v>
      </c>
      <c r="CV117" s="155">
        <f ca="1">TblMili[[#This Row],[Rockapult]]*2</f>
        <v>4</v>
      </c>
      <c r="CW117" s="94">
        <f ca="1">gnome*(TblMili[[#This Row],[Rockapult bonus]]*TblMili[[#This Row],[Unit 3]])</f>
        <v>0</v>
      </c>
      <c r="CX117" s="155">
        <f ca="1">TblMili[[#This Row],[Adept-DP]]*2</f>
        <v>0</v>
      </c>
      <c r="CY117" s="94">
        <f ca="1">dark_elf*(TblMili[[#This Row],[Adept bonus]]*TblMili[[#This Row],[Unit 3]])</f>
        <v>0</v>
      </c>
      <c r="CZ117" s="155">
        <f ca="1">TblMili[[#This Row],[Frost Mage]]*2</f>
        <v>5.9999999999999991</v>
      </c>
      <c r="DA117" s="155">
        <f ca="1">TblMili[[#This Row],[Ice Elemental]]*2</f>
        <v>0</v>
      </c>
      <c r="DB117" s="94">
        <f ca="1">TblMili[[#This Row],[Frost Mage bonus]]*TblMili[[#This Row],[Unit 3]]+TblMili[[#This Row],[Ice Elemental bonus]]*TblMili[[#This Row],[Unit 4]]</f>
        <v>0</v>
      </c>
      <c r="DC117" s="253"/>
      <c r="DD117" s="143">
        <f ca="1">MIN(SUM(TblConstr[[#This Row],[Plain]:[Water]])/TblMili[[#This Row],[Land]]/favorable_terrain_bonus/100,favorable_terrain_max)</f>
        <v>0</v>
      </c>
      <c r="DE117" s="253"/>
      <c r="DF11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7" s="142"/>
      <c r="DH117" s="254">
        <f ca="1">(TblMili[[#This Row],[Wizards]]+2*TblMili[[#This Row],[Archmages]])/TblConstr[[#This Row],[Land]]</f>
        <v>0</v>
      </c>
      <c r="DI117" s="254">
        <f ca="1">TblMili[[#This Row],[Raw (2)]]*(1+race_wizard_strength+IF(TblMili[[#This Row],[Hour]]&gt;72,tech_magical_weaponry_wiz*TblTech[[#This Row],[3-5]],0))</f>
        <v>0</v>
      </c>
    </row>
    <row r="118" spans="1:113" x14ac:dyDescent="0.2">
      <c r="A118" s="137">
        <f>TblRezone[[#This Row],[Hour]]</f>
        <v>115</v>
      </c>
      <c r="B118" s="246">
        <f ca="1">SUM(TblMili[[#This Row],[Unit 1]:[Archmages]])+SUM(OFFSET(TblMili[[#This Row],[Train Unit 1]],-8,0):TblMili[[#This Row],[Train Unit 2]]) + SUM(OFFSET(TblMili[[#This Row],[Train Unit 3]],-11,0):TblMili[[#This Row],[Train AM]]) + TblMili[[#This Row],[Draftees]]</f>
        <v>622</v>
      </c>
      <c r="C118" s="157">
        <f ca="1">TblPop[[#This Row],[Military%]]</f>
        <v>0.80884265279583878</v>
      </c>
      <c r="D118" s="142"/>
      <c r="E118" s="45">
        <f ca="1">OFFSET(TblMili[[#This Row],[Unit 1]],-1,0) + OFFSET(TblMili[[#This Row],[Train Unit 1]],-9,0) - TblMili[[#This Row],[Release Unit 1]] + OFFSET(TblMili[[#This Row],[DnD_Zombies]],-12,0)</f>
        <v>0</v>
      </c>
      <c r="F118" s="45">
        <f ca="1">OFFSET(TblMili[[#This Row],[Unit 2]],-1,0) + OFFSET(TblMili[[#This Row],[Train Unit 2]],-9,0)-TblMili[[#This Row],[Release Unit 2]]</f>
        <v>0</v>
      </c>
      <c r="G118" s="45">
        <f ca="1">OFFSET(TblMili[[#This Row],[Unit 3]],-1,0) + OFFSET(TblMili[[#This Row],[Train Unit 3]],-12,0)-TblMili[[#This Row],[Release Unit 3]]</f>
        <v>0</v>
      </c>
      <c r="H118" s="45">
        <f ca="1">OFFSET(TblMili[[#This Row],[Unit 4]],-1,0) + OFFSET(TblMili[[#This Row],[Train Unit 4]],-12,0)-TblMili[[#This Row],[Release Unit 4]]</f>
        <v>0</v>
      </c>
      <c r="I118" s="45">
        <f ca="1">OFFSET(TblMili[[#This Row],[Spies]],-1,0) + OFFSET(TblMili[[#This Row],[Train Spies]],-12,0) - TblMili[[#This Row],[Release Spies]]-TblMili[[#This Row],[Train AS]]</f>
        <v>0</v>
      </c>
      <c r="J118" s="45">
        <f ca="1">OFFSET(TblMili[[#This Row],[Archspies]],-1,0) + OFFSET(TblMili[[#This Row],[Train AS]],-12,0) - TblMili[[#This Row],[Release AS]]</f>
        <v>0</v>
      </c>
      <c r="K118" s="45">
        <f ca="1">OFFSET(TblMili[[#This Row],[Wizards]],-1,0) + OFFSET(TblMili[[#This Row],[Train Wiz]],-12,0) - TblMili[[#This Row],[Release Wizards]]-TblMili[[#This Row],[Train AM]] + IF(TblMagic[[#This Row],[Active Arc Infusion]]&gt;0,TblMili[[#This Row],[Train AM]])</f>
        <v>0</v>
      </c>
      <c r="L118" s="45">
        <f ca="1">OFFSET(TblMili[[#This Row],[Archmages]],-1,0) + OFFSET(TblMili[[#This Row],[Train AM]],-12,0) - TblMili[[#This Row],[Release AM]]</f>
        <v>0</v>
      </c>
      <c r="M118" s="142"/>
      <c r="N118" s="94">
        <f ca="1">TblProd[[#This Row],[Networth]]</f>
        <v>1250</v>
      </c>
      <c r="O118" s="142"/>
      <c r="P118"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1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8" s="247">
        <f ca="1">TblMili[[#This Row],[Raw]]*(1+TblMili[[#This Row],[Mods_Off]])</f>
        <v>0</v>
      </c>
      <c r="S118"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18" s="247">
        <f ca="1">TblMili[[#This Row],[Non Draft]]+TblMili[[#This Row],[Draftees]]</f>
        <v>622</v>
      </c>
      <c r="U118" s="248">
        <f ca="1">race_defense + TblImps[[#This Row],[Walls]] + ROUND( MIN(gt_bonus*TblConstr[[#This Row],[Tot GT]]/TblConstr[[#This Row],[Land]],gt_bonus_cap), 4) + IF(TblMagic[[#This Row],[Active Howling]]&gt;0,howling_dp_bonus,IF(TblMagic[[#This Row],[Active Ares Call]]&gt;0,ares_call_bonus))</f>
        <v>0</v>
      </c>
      <c r="V118" s="249">
        <f ca="1">TblMili[[#This Row],[Non Draft]] * (1 + TblMili[[#This Row],[Mods_Def]])</f>
        <v>0</v>
      </c>
      <c r="W118" s="247">
        <f ca="1">TblMili[[#This Row],[Draft]] * (1 + TblMili[[#This Row],[Mods_Def]])</f>
        <v>622</v>
      </c>
      <c r="X118" s="247">
        <f ca="1">TblConstr[[#This Row],[Land]]</f>
        <v>50</v>
      </c>
      <c r="Y118" s="250"/>
      <c r="Z118" s="255">
        <f ca="1">IF(TblMili[[#This Row],[Set]]&lt;&gt;"",TblMili[[#This Row],[Set]],OFFSET(TblMili[[#This Row],[Draftrate]],-1,0))</f>
        <v>0.9</v>
      </c>
      <c r="AA118"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622</v>
      </c>
      <c r="AB118" s="154"/>
      <c r="AC118" s="180">
        <f ca="1">(TblConstr[[#This Row],[Tot Smi]]+TblConstr[[#This Row],[Dest Smi]])/(TblConstr[[#This Row],[Land]]-TblExplore[[#This Row],[Land Bonus]]*20)</f>
        <v>0</v>
      </c>
      <c r="AD118" s="137"/>
      <c r="AE118" s="246">
        <f>TblMili[[#This Row],[Hour]]</f>
        <v>115</v>
      </c>
      <c r="AF118" s="138">
        <f ca="1">TblExplore[[#This Row],[Time]]</f>
        <v>46324.749999999724</v>
      </c>
      <c r="AG118" s="179"/>
      <c r="AH118" s="179"/>
      <c r="AI118" s="179"/>
      <c r="AJ118" s="179"/>
      <c r="AK118" s="179"/>
      <c r="AL118" s="179"/>
      <c r="AM118" s="179"/>
      <c r="AN118" s="179"/>
      <c r="AO118" s="420">
        <f ca="1">ROUND(IF(AND(TblMagic[[#This Row],[Active DnD]]&lt;12,TblMagic[[#This Row],[Active DnD]]&gt;5),OFFSET(TblPop[[#This Row],[Draft Growth]],-1,0)*0.375,0),0)</f>
        <v>0</v>
      </c>
      <c r="AP118" s="142"/>
      <c r="AQ118" s="94">
        <f ca="1">TblProd[[#This Row],[Platinum]]</f>
        <v>206621</v>
      </c>
      <c r="AR118" s="94">
        <f ca="1">INDEX(TblProd[[#Headers],[Lumber]]:TblProd[[#This Row],[Ore]],COUNTA(TblProd[[#Headers],[Lumber]]:TblProd[[#This Row],[Lumber]]),MATCH(Military!$AR$2,TblProd[[#Headers],[Lumber]:[Ore]],0))</f>
        <v>0</v>
      </c>
      <c r="AS11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18" s="94">
        <f ca="1">TblMili[[#This Row],[Train Unit 1]]*TblMili[[#This Row],[OP Ore]]+TblMili[[#This Row],[Train Unit 2]]*TblMili[[#This Row],[DP Ore]]+TblMili[[#This Row],[Train Unit 3]]*TblMili[[#This Row],[E1 Ore]]+TblMili[[#This Row],[Train Unit 4]]*TblMili[[#This Row],[E2 Ore]]</f>
        <v>0</v>
      </c>
      <c r="AU118" s="142">
        <f>TblMili[[#This Row],[Hour]]</f>
        <v>115</v>
      </c>
      <c r="AV118" s="152">
        <f ca="1">TblMili[[#This Row],[Time]]</f>
        <v>46324.749999999724</v>
      </c>
      <c r="AW118" s="94">
        <f ca="1">TblMili[[#This Row],[Draftees]]</f>
        <v>622</v>
      </c>
      <c r="AX118" s="179"/>
      <c r="AY118" s="179"/>
      <c r="AZ118" s="179"/>
      <c r="BA118" s="179"/>
      <c r="BB118" s="179"/>
      <c r="BC118" s="179"/>
      <c r="BD118" s="179"/>
      <c r="BE118" s="179"/>
      <c r="BF118" s="179"/>
      <c r="BG118" s="142"/>
      <c r="BH118" s="157">
        <f ca="1">TblConstr[[#This Row],[Tot WG]]/TblConstr[[#This Row],[Land]]</f>
        <v>0</v>
      </c>
      <c r="BI118" s="157">
        <f ca="1">TblConstr[[#This Row],[Tot Hav]]/TblConstr[[#This Row],[Land]]</f>
        <v>0</v>
      </c>
      <c r="BJ118" s="94">
        <f ca="1">ROUNDUP((1-MIN(TblMili[[#This Row],[Smithies]]*smithy_bonus,smithy_bonus_cap) + tech_3_5*TblTech[[#This Row],[3-5]] + tech_5_3*TblTech[[#This Row],[5-3]] + tech_5_5*TblTech[[#This Row],[5-5]])*spec_op_plat,0)</f>
        <v>315</v>
      </c>
      <c r="BK118" s="94">
        <f ca="1">ROUNDUP(IF(race="Gnome",1,(1-MIN(TblMili[[#This Row],[Smithies]]*smithy_bonus,smithy_bonus_cap) + tech_3_5*TblTech[[#This Row],[3-5]] + tech_5_3*TblTech[[#This Row],[5-3]] + tech_5_5*TblTech[[#This Row],[5-5]]))*spec_op_ore,0)</f>
        <v>25</v>
      </c>
      <c r="BL118" s="94">
        <f ca="1">ROUNDUP((1-MIN(TblMili[[#This Row],[Smithies]]*smithy_bonus,smithy_bonus_cap) + tech_3_5*TblTech[[#This Row],[3-5]] + tech_5_3*TblTech[[#This Row],[5-3]] + tech_5_5*TblTech[[#This Row],[5-5]])*spec_dp_plat,0)</f>
        <v>275</v>
      </c>
      <c r="BM118" s="94">
        <f ca="1">ROUNDUP(IF(race="Gnome",1,(1-MIN(TblMili[[#This Row],[Smithies]]*smithy_bonus,smithy_bonus_cap) + tech_3_5*TblTech[[#This Row],[3-5]] + tech_5_3*TblTech[[#This Row],[5-3]] + tech_5_5*TblTech[[#This Row],[5-5]]))*spec_dp_ore,0)</f>
        <v>15</v>
      </c>
      <c r="BN118" s="94">
        <f ca="1">ROUNDUP((1-MIN(TblMili[[#This Row],[Smithies]]*smithy_bonus,smithy_bonus_cap) + tech_3_5*TblTech[[#This Row],[3-5]] + tech_5_3*TblTech[[#This Row],[5-3]] + tech_5_5*TblTech[[#This Row],[5-5]])*elite1_plat,0)</f>
        <v>1040</v>
      </c>
      <c r="BO118" s="94">
        <f ca="1">ROUNDUP(IF(race="Gnome",1,(1-MIN(TblMili[[#This Row],[Smithies]]*smithy_bonus,smithy_bonus_cap) + tech_3_5*TblTech[[#This Row],[3-5]] + tech_5_3*TblTech[[#This Row],[5-3]] + tech_5_5*TblTech[[#This Row],[5-5]]))*elite1_ore,0)</f>
        <v>75</v>
      </c>
      <c r="BP118" s="94">
        <f ca="1">ROUNDUP((1-MIN(TblMili[[#This Row],[Smithies]]*smithy_bonus,smithy_bonus_cap) + tech_3_5*TblTech[[#This Row],[3-5]] + tech_5_3*TblTech[[#This Row],[5-3]] + tech_5_5*TblTech[[#This Row],[5-5]])*elite2_plat,0)</f>
        <v>1280</v>
      </c>
      <c r="BQ118" s="94">
        <f ca="1">ROUNDUP(IF(race="Gnome",1,(1-MIN(TblMili[[#This Row],[Smithies]]*smithy_bonus,smithy_bonus_cap) + tech_3_5*TblTech[[#This Row],[3-5]] + tech_5_3*TblTech[[#This Row],[5-3]] + tech_5_5*TblTech[[#This Row],[5-5]]))*elite2_ore,0)</f>
        <v>100</v>
      </c>
      <c r="BR118" s="94">
        <f ca="1">ROUNDUP((1-MIN(ROUND(fh_spy_cost_red*TblMili[[#This Row],[FH''s]],4),fh_spy_cost_cap)+ tech_1_9*TblTech[[#This Row],[1-9]] + tech_9_1*TblTech[[#This Row],[9-1]])*spy_plat,0)</f>
        <v>500</v>
      </c>
      <c r="BS118" s="94">
        <f ca="1">ROUNDUP((1-MIN(ROUND(fh_spy_cost_red*TblMili[[#This Row],[FH''s]],4),fh_spy_cost_cap)+ tech_1_9*TblTech[[#This Row],[1-9]] + tech_9_1*TblTech[[#This Row],[9-1]])*archspy_plat,0)</f>
        <v>1000</v>
      </c>
      <c r="BT118" s="94">
        <f ca="1">ROUNDUP((1-MIN(ROUND(wg_wiz_cost_bonus*TblMili[[#This Row],[WG''s]],4),wg_wiz_cost_cap) + tech_1_9_2*TblTech[[#This Row],[1-9]] + tech_9_1_2*TblTech[[#This Row],[9-1]])*wizard_plat,0)</f>
        <v>500</v>
      </c>
      <c r="BU118" s="94">
        <f ca="1">ROUNDUP((1-MIN(ROUND(wg_wiz_cost_bonus*TblMili[[#This Row],[WG''s]],4),wg_wiz_cost_cap) + tech_1_9_2*TblTech[[#This Row],[1-9]] + tech_9_1_2*TblTech[[#This Row],[9-1]])*(archmage_plat + IF(TblMagic[[#This Row],[Active Arc Infusion]]&gt;0,400,0)),0)</f>
        <v>1000</v>
      </c>
      <c r="BV118" s="142"/>
      <c r="BW118" s="157">
        <f ca="1">TblConstr[[#This Row],[Homeland]]/TblConstr[[#This Row],[Land]]</f>
        <v>0.6</v>
      </c>
      <c r="BX118" s="157">
        <f ca="1">TblMili[[#This Row],[WG''s]]</f>
        <v>0</v>
      </c>
      <c r="BY118" s="251">
        <f ca="1">IF(mystic_cap="none",TblMili[[#This Row],[Homeland%]]/mystic_bonus,MIN(mystic_cap,TblMili[[#This Row],[Homeland%]]/mystic_bonus))</f>
        <v>2</v>
      </c>
      <c r="BZ118" s="251">
        <f ca="1">IF(druid_op_cap="none",TblMili[[#This Row],[Homeland%]]/druid_op_bonus,MIN(druid_op_cap,TblMili[[#This Row],[Homeland%]]/druid_op_bonus))</f>
        <v>2</v>
      </c>
      <c r="CA118" s="251">
        <f ca="1">IF(druid_dp_cap="none",TblMili[[#This Row],[Homeland%]]/druid_dp_bonus,MIN(druid_dp_cap,TblMili[[#This Row],[Homeland%]]/druid_dp_bonus))</f>
        <v>2</v>
      </c>
      <c r="CB118" s="251">
        <f ca="1">MIN(dryad_cap,TblMili[[#This Row],[Homeland%]]/dryad_bonus)</f>
        <v>2.9999999999999996</v>
      </c>
      <c r="CC118" s="251">
        <f ca="1">MIN(rocka_cap,TblMili[[#This Row],[Homeland%]]/rocka_bonus)</f>
        <v>2</v>
      </c>
      <c r="CD118" s="251">
        <f ca="1">MIN(adept_op_cap,TblMili[[#This Row],[WG]]/adept_op_bonus)</f>
        <v>0</v>
      </c>
      <c r="CE118" s="251">
        <f ca="1">MIN(adept_dp_cap,TblMili[[#This Row],[WG]]/adept_dp_bonus)</f>
        <v>0</v>
      </c>
      <c r="CF118" s="94">
        <f ca="1">MIN(TblMili[[#This Row],[Unit 3]],TblMili[[#This Row],[Unit 2]])*2</f>
        <v>0</v>
      </c>
      <c r="CG118" s="94">
        <f ca="1">MIN(TblMili[[#This Row],[Unit 1]],TblMili[[#This Row],[Unit 4]])*2</f>
        <v>0</v>
      </c>
      <c r="CH118" s="251">
        <f ca="1">MIN(frost_mage_cap,TblMili[[#This Row],[Homeland%]]/frost_mage_bonus)</f>
        <v>2.9999999999999996</v>
      </c>
      <c r="CI118" s="45">
        <f ca="1">MIN(ice_elem_cap,TblMili[[#This Row],[Raw (2)]]*ice_elem_bonus)</f>
        <v>0</v>
      </c>
      <c r="CJ118" s="251">
        <f t="shared" si="4"/>
        <v>0.83333333333333337</v>
      </c>
      <c r="CK118" s="251">
        <f ca="1">MIN(nox_nightshade_cap,TblConstr[[#This Row],[Homeland]]/TblConstr[[#This Row],[Land]]/nox_nightshade_swamp_bonus)</f>
        <v>4</v>
      </c>
      <c r="CL118" s="251">
        <f ca="1">MIN(TblConstr[[#This Row],[Total Swamp]]/TblConstr[[#This Row],[Land]]/abyss_enforce_bonus,abyss_enforcer_cap)</f>
        <v>0</v>
      </c>
      <c r="CM118" s="251">
        <f ca="1">IF(TblMagic[[#This Row],[Active Infernal Command]]&gt;0,TblMili[[#This Row],[Unit 1]]*infernal_cmd_op,0)</f>
        <v>0</v>
      </c>
      <c r="CN118" s="252"/>
      <c r="CO118" s="252"/>
      <c r="CP118" s="252"/>
      <c r="CQ118" s="251">
        <f ca="1">TblMili[[#This Row],[Mystic]]*2</f>
        <v>4</v>
      </c>
      <c r="CR118" s="251">
        <f ca="1">TblMili[[#This Row],[Druid (op)]]*2</f>
        <v>4</v>
      </c>
      <c r="CS118" s="94">
        <f ca="1">TblMili[[#This Row],[Mystic bonus]]*TblMili[[#This Row],[Unit 3]]+TblMili[[#This Row],[Druid bonus]]*TblMili[[#This Row],[Unit 4]]</f>
        <v>0</v>
      </c>
      <c r="CT118" s="155">
        <f ca="1">TblMili[[#This Row],[Dryad]]*2</f>
        <v>5.9999999999999991</v>
      </c>
      <c r="CU118" s="94">
        <f ca="1">sylvan*(TblMili[[#This Row],[Mystic bonus]]*TblMili[[#This Row],[Unit 3]])</f>
        <v>0</v>
      </c>
      <c r="CV118" s="155">
        <f ca="1">TblMili[[#This Row],[Rockapult]]*2</f>
        <v>4</v>
      </c>
      <c r="CW118" s="94">
        <f ca="1">gnome*(TblMili[[#This Row],[Rockapult bonus]]*TblMili[[#This Row],[Unit 3]])</f>
        <v>0</v>
      </c>
      <c r="CX118" s="155">
        <f ca="1">TblMili[[#This Row],[Adept-DP]]*2</f>
        <v>0</v>
      </c>
      <c r="CY118" s="94">
        <f ca="1">dark_elf*(TblMili[[#This Row],[Adept bonus]]*TblMili[[#This Row],[Unit 3]])</f>
        <v>0</v>
      </c>
      <c r="CZ118" s="155">
        <f ca="1">TblMili[[#This Row],[Frost Mage]]*2</f>
        <v>5.9999999999999991</v>
      </c>
      <c r="DA118" s="155">
        <f ca="1">TblMili[[#This Row],[Ice Elemental]]*2</f>
        <v>0</v>
      </c>
      <c r="DB118" s="94">
        <f ca="1">TblMili[[#This Row],[Frost Mage bonus]]*TblMili[[#This Row],[Unit 3]]+TblMili[[#This Row],[Ice Elemental bonus]]*TblMili[[#This Row],[Unit 4]]</f>
        <v>0</v>
      </c>
      <c r="DC118" s="253"/>
      <c r="DD118" s="143">
        <f ca="1">MIN(SUM(TblConstr[[#This Row],[Plain]:[Water]])/TblMili[[#This Row],[Land]]/favorable_terrain_bonus/100,favorable_terrain_max)</f>
        <v>0</v>
      </c>
      <c r="DE118" s="253"/>
      <c r="DF11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8" s="142"/>
      <c r="DH118" s="254">
        <f ca="1">(TblMili[[#This Row],[Wizards]]+2*TblMili[[#This Row],[Archmages]])/TblConstr[[#This Row],[Land]]</f>
        <v>0</v>
      </c>
      <c r="DI118" s="254">
        <f ca="1">TblMili[[#This Row],[Raw (2)]]*(1+race_wizard_strength+IF(TblMili[[#This Row],[Hour]]&gt;72,tech_magical_weaponry_wiz*TblTech[[#This Row],[3-5]],0))</f>
        <v>0</v>
      </c>
    </row>
    <row r="119" spans="1:113" x14ac:dyDescent="0.2">
      <c r="A119" s="137">
        <f>TblRezone[[#This Row],[Hour]]</f>
        <v>116</v>
      </c>
      <c r="B119" s="246">
        <f ca="1">SUM(TblMili[[#This Row],[Unit 1]:[Archmages]])+SUM(OFFSET(TblMili[[#This Row],[Train Unit 1]],-8,0):TblMili[[#This Row],[Train Unit 2]]) + SUM(OFFSET(TblMili[[#This Row],[Train Unit 3]],-11,0):TblMili[[#This Row],[Train AM]]) + TblMili[[#This Row],[Draftees]]</f>
        <v>623</v>
      </c>
      <c r="C119" s="157">
        <f ca="1">TblPop[[#This Row],[Military%]]</f>
        <v>0.81014304291287387</v>
      </c>
      <c r="D119" s="142"/>
      <c r="E119" s="45">
        <f ca="1">OFFSET(TblMili[[#This Row],[Unit 1]],-1,0) + OFFSET(TblMili[[#This Row],[Train Unit 1]],-9,0) - TblMili[[#This Row],[Release Unit 1]] + OFFSET(TblMili[[#This Row],[DnD_Zombies]],-12,0)</f>
        <v>0</v>
      </c>
      <c r="F119" s="45">
        <f ca="1">OFFSET(TblMili[[#This Row],[Unit 2]],-1,0) + OFFSET(TblMili[[#This Row],[Train Unit 2]],-9,0)-TblMili[[#This Row],[Release Unit 2]]</f>
        <v>0</v>
      </c>
      <c r="G119" s="45">
        <f ca="1">OFFSET(TblMili[[#This Row],[Unit 3]],-1,0) + OFFSET(TblMili[[#This Row],[Train Unit 3]],-12,0)-TblMili[[#This Row],[Release Unit 3]]</f>
        <v>0</v>
      </c>
      <c r="H119" s="45">
        <f ca="1">OFFSET(TblMili[[#This Row],[Unit 4]],-1,0) + OFFSET(TblMili[[#This Row],[Train Unit 4]],-12,0)-TblMili[[#This Row],[Release Unit 4]]</f>
        <v>0</v>
      </c>
      <c r="I119" s="45">
        <f ca="1">OFFSET(TblMili[[#This Row],[Spies]],-1,0) + OFFSET(TblMili[[#This Row],[Train Spies]],-12,0) - TblMili[[#This Row],[Release Spies]]-TblMili[[#This Row],[Train AS]]</f>
        <v>0</v>
      </c>
      <c r="J119" s="45">
        <f ca="1">OFFSET(TblMili[[#This Row],[Archspies]],-1,0) + OFFSET(TblMili[[#This Row],[Train AS]],-12,0) - TblMili[[#This Row],[Release AS]]</f>
        <v>0</v>
      </c>
      <c r="K119" s="45">
        <f ca="1">OFFSET(TblMili[[#This Row],[Wizards]],-1,0) + OFFSET(TblMili[[#This Row],[Train Wiz]],-12,0) - TblMili[[#This Row],[Release Wizards]]-TblMili[[#This Row],[Train AM]] + IF(TblMagic[[#This Row],[Active Arc Infusion]]&gt;0,TblMili[[#This Row],[Train AM]])</f>
        <v>0</v>
      </c>
      <c r="L119" s="45">
        <f ca="1">OFFSET(TblMili[[#This Row],[Archmages]],-1,0) + OFFSET(TblMili[[#This Row],[Train AM]],-12,0) - TblMili[[#This Row],[Release AM]]</f>
        <v>0</v>
      </c>
      <c r="M119" s="142"/>
      <c r="N119" s="94">
        <f ca="1">TblProd[[#This Row],[Networth]]</f>
        <v>1250</v>
      </c>
      <c r="O119" s="142"/>
      <c r="P119"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1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9" s="247">
        <f ca="1">TblMili[[#This Row],[Raw]]*(1+TblMili[[#This Row],[Mods_Off]])</f>
        <v>0</v>
      </c>
      <c r="S119"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19" s="247">
        <f ca="1">TblMili[[#This Row],[Non Draft]]+TblMili[[#This Row],[Draftees]]</f>
        <v>623</v>
      </c>
      <c r="U119" s="248">
        <f ca="1">race_defense + TblImps[[#This Row],[Walls]] + ROUND( MIN(gt_bonus*TblConstr[[#This Row],[Tot GT]]/TblConstr[[#This Row],[Land]],gt_bonus_cap), 4) + IF(TblMagic[[#This Row],[Active Howling]]&gt;0,howling_dp_bonus,IF(TblMagic[[#This Row],[Active Ares Call]]&gt;0,ares_call_bonus))</f>
        <v>0</v>
      </c>
      <c r="V119" s="249">
        <f ca="1">TblMili[[#This Row],[Non Draft]] * (1 + TblMili[[#This Row],[Mods_Def]])</f>
        <v>0</v>
      </c>
      <c r="W119" s="247">
        <f ca="1">TblMili[[#This Row],[Draft]] * (1 + TblMili[[#This Row],[Mods_Def]])</f>
        <v>623</v>
      </c>
      <c r="X119" s="247">
        <f ca="1">TblConstr[[#This Row],[Land]]</f>
        <v>50</v>
      </c>
      <c r="Y119" s="250"/>
      <c r="Z119" s="255">
        <f ca="1">IF(TblMili[[#This Row],[Set]]&lt;&gt;"",TblMili[[#This Row],[Set]],OFFSET(TblMili[[#This Row],[Draftrate]],-1,0))</f>
        <v>0.9</v>
      </c>
      <c r="AA119"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623</v>
      </c>
      <c r="AB119" s="154"/>
      <c r="AC119" s="180">
        <f ca="1">(TblConstr[[#This Row],[Tot Smi]]+TblConstr[[#This Row],[Dest Smi]])/(TblConstr[[#This Row],[Land]]-TblExplore[[#This Row],[Land Bonus]]*20)</f>
        <v>0</v>
      </c>
      <c r="AD119" s="137"/>
      <c r="AE119" s="246">
        <f>TblMili[[#This Row],[Hour]]</f>
        <v>116</v>
      </c>
      <c r="AF119" s="138">
        <f ca="1">TblExplore[[#This Row],[Time]]</f>
        <v>46324.791666666388</v>
      </c>
      <c r="AG119" s="179"/>
      <c r="AH119" s="179"/>
      <c r="AI119" s="179"/>
      <c r="AJ119" s="179"/>
      <c r="AK119" s="179"/>
      <c r="AL119" s="179"/>
      <c r="AM119" s="179"/>
      <c r="AN119" s="179"/>
      <c r="AO119" s="420">
        <f ca="1">ROUND(IF(AND(TblMagic[[#This Row],[Active DnD]]&lt;12,TblMagic[[#This Row],[Active DnD]]&gt;5),OFFSET(TblPop[[#This Row],[Draft Growth]],-1,0)*0.375,0),0)</f>
        <v>0</v>
      </c>
      <c r="AP119" s="142"/>
      <c r="AQ119" s="94">
        <f ca="1">TblProd[[#This Row],[Platinum]]</f>
        <v>207017</v>
      </c>
      <c r="AR119" s="94">
        <f ca="1">INDEX(TblProd[[#Headers],[Lumber]]:TblProd[[#This Row],[Ore]],COUNTA(TblProd[[#Headers],[Lumber]]:TblProd[[#This Row],[Lumber]]),MATCH(Military!$AR$2,TblProd[[#Headers],[Lumber]:[Ore]],0))</f>
        <v>0</v>
      </c>
      <c r="AS11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19" s="94">
        <f ca="1">TblMili[[#This Row],[Train Unit 1]]*TblMili[[#This Row],[OP Ore]]+TblMili[[#This Row],[Train Unit 2]]*TblMili[[#This Row],[DP Ore]]+TblMili[[#This Row],[Train Unit 3]]*TblMili[[#This Row],[E1 Ore]]+TblMili[[#This Row],[Train Unit 4]]*TblMili[[#This Row],[E2 Ore]]</f>
        <v>0</v>
      </c>
      <c r="AU119" s="142">
        <f>TblMili[[#This Row],[Hour]]</f>
        <v>116</v>
      </c>
      <c r="AV119" s="152">
        <f ca="1">TblMili[[#This Row],[Time]]</f>
        <v>46324.791666666388</v>
      </c>
      <c r="AW119" s="94">
        <f ca="1">TblMili[[#This Row],[Draftees]]</f>
        <v>623</v>
      </c>
      <c r="AX119" s="179"/>
      <c r="AY119" s="179"/>
      <c r="AZ119" s="179"/>
      <c r="BA119" s="179"/>
      <c r="BB119" s="179"/>
      <c r="BC119" s="179"/>
      <c r="BD119" s="179"/>
      <c r="BE119" s="179"/>
      <c r="BF119" s="179"/>
      <c r="BG119" s="142"/>
      <c r="BH119" s="157">
        <f ca="1">TblConstr[[#This Row],[Tot WG]]/TblConstr[[#This Row],[Land]]</f>
        <v>0</v>
      </c>
      <c r="BI119" s="157">
        <f ca="1">TblConstr[[#This Row],[Tot Hav]]/TblConstr[[#This Row],[Land]]</f>
        <v>0</v>
      </c>
      <c r="BJ119" s="94">
        <f ca="1">ROUNDUP((1-MIN(TblMili[[#This Row],[Smithies]]*smithy_bonus,smithy_bonus_cap) + tech_3_5*TblTech[[#This Row],[3-5]] + tech_5_3*TblTech[[#This Row],[5-3]] + tech_5_5*TblTech[[#This Row],[5-5]])*spec_op_plat,0)</f>
        <v>315</v>
      </c>
      <c r="BK119" s="94">
        <f ca="1">ROUNDUP(IF(race="Gnome",1,(1-MIN(TblMili[[#This Row],[Smithies]]*smithy_bonus,smithy_bonus_cap) + tech_3_5*TblTech[[#This Row],[3-5]] + tech_5_3*TblTech[[#This Row],[5-3]] + tech_5_5*TblTech[[#This Row],[5-5]]))*spec_op_ore,0)</f>
        <v>25</v>
      </c>
      <c r="BL119" s="94">
        <f ca="1">ROUNDUP((1-MIN(TblMili[[#This Row],[Smithies]]*smithy_bonus,smithy_bonus_cap) + tech_3_5*TblTech[[#This Row],[3-5]] + tech_5_3*TblTech[[#This Row],[5-3]] + tech_5_5*TblTech[[#This Row],[5-5]])*spec_dp_plat,0)</f>
        <v>275</v>
      </c>
      <c r="BM119" s="94">
        <f ca="1">ROUNDUP(IF(race="Gnome",1,(1-MIN(TblMili[[#This Row],[Smithies]]*smithy_bonus,smithy_bonus_cap) + tech_3_5*TblTech[[#This Row],[3-5]] + tech_5_3*TblTech[[#This Row],[5-3]] + tech_5_5*TblTech[[#This Row],[5-5]]))*spec_dp_ore,0)</f>
        <v>15</v>
      </c>
      <c r="BN119" s="94">
        <f ca="1">ROUNDUP((1-MIN(TblMili[[#This Row],[Smithies]]*smithy_bonus,smithy_bonus_cap) + tech_3_5*TblTech[[#This Row],[3-5]] + tech_5_3*TblTech[[#This Row],[5-3]] + tech_5_5*TblTech[[#This Row],[5-5]])*elite1_plat,0)</f>
        <v>1040</v>
      </c>
      <c r="BO119" s="94">
        <f ca="1">ROUNDUP(IF(race="Gnome",1,(1-MIN(TblMili[[#This Row],[Smithies]]*smithy_bonus,smithy_bonus_cap) + tech_3_5*TblTech[[#This Row],[3-5]] + tech_5_3*TblTech[[#This Row],[5-3]] + tech_5_5*TblTech[[#This Row],[5-5]]))*elite1_ore,0)</f>
        <v>75</v>
      </c>
      <c r="BP119" s="94">
        <f ca="1">ROUNDUP((1-MIN(TblMili[[#This Row],[Smithies]]*smithy_bonus,smithy_bonus_cap) + tech_3_5*TblTech[[#This Row],[3-5]] + tech_5_3*TblTech[[#This Row],[5-3]] + tech_5_5*TblTech[[#This Row],[5-5]])*elite2_plat,0)</f>
        <v>1280</v>
      </c>
      <c r="BQ119" s="94">
        <f ca="1">ROUNDUP(IF(race="Gnome",1,(1-MIN(TblMili[[#This Row],[Smithies]]*smithy_bonus,smithy_bonus_cap) + tech_3_5*TblTech[[#This Row],[3-5]] + tech_5_3*TblTech[[#This Row],[5-3]] + tech_5_5*TblTech[[#This Row],[5-5]]))*elite2_ore,0)</f>
        <v>100</v>
      </c>
      <c r="BR119" s="94">
        <f ca="1">ROUNDUP((1-MIN(ROUND(fh_spy_cost_red*TblMili[[#This Row],[FH''s]],4),fh_spy_cost_cap)+ tech_1_9*TblTech[[#This Row],[1-9]] + tech_9_1*TblTech[[#This Row],[9-1]])*spy_plat,0)</f>
        <v>500</v>
      </c>
      <c r="BS119" s="94">
        <f ca="1">ROUNDUP((1-MIN(ROUND(fh_spy_cost_red*TblMili[[#This Row],[FH''s]],4),fh_spy_cost_cap)+ tech_1_9*TblTech[[#This Row],[1-9]] + tech_9_1*TblTech[[#This Row],[9-1]])*archspy_plat,0)</f>
        <v>1000</v>
      </c>
      <c r="BT119" s="94">
        <f ca="1">ROUNDUP((1-MIN(ROUND(wg_wiz_cost_bonus*TblMili[[#This Row],[WG''s]],4),wg_wiz_cost_cap) + tech_1_9_2*TblTech[[#This Row],[1-9]] + tech_9_1_2*TblTech[[#This Row],[9-1]])*wizard_plat,0)</f>
        <v>500</v>
      </c>
      <c r="BU119" s="94">
        <f ca="1">ROUNDUP((1-MIN(ROUND(wg_wiz_cost_bonus*TblMili[[#This Row],[WG''s]],4),wg_wiz_cost_cap) + tech_1_9_2*TblTech[[#This Row],[1-9]] + tech_9_1_2*TblTech[[#This Row],[9-1]])*(archmage_plat + IF(TblMagic[[#This Row],[Active Arc Infusion]]&gt;0,400,0)),0)</f>
        <v>1000</v>
      </c>
      <c r="BV119" s="142"/>
      <c r="BW119" s="157">
        <f ca="1">TblConstr[[#This Row],[Homeland]]/TblConstr[[#This Row],[Land]]</f>
        <v>0.6</v>
      </c>
      <c r="BX119" s="157">
        <f ca="1">TblMili[[#This Row],[WG''s]]</f>
        <v>0</v>
      </c>
      <c r="BY119" s="251">
        <f ca="1">IF(mystic_cap="none",TblMili[[#This Row],[Homeland%]]/mystic_bonus,MIN(mystic_cap,TblMili[[#This Row],[Homeland%]]/mystic_bonus))</f>
        <v>2</v>
      </c>
      <c r="BZ119" s="251">
        <f ca="1">IF(druid_op_cap="none",TblMili[[#This Row],[Homeland%]]/druid_op_bonus,MIN(druid_op_cap,TblMili[[#This Row],[Homeland%]]/druid_op_bonus))</f>
        <v>2</v>
      </c>
      <c r="CA119" s="251">
        <f ca="1">IF(druid_dp_cap="none",TblMili[[#This Row],[Homeland%]]/druid_dp_bonus,MIN(druid_dp_cap,TblMili[[#This Row],[Homeland%]]/druid_dp_bonus))</f>
        <v>2</v>
      </c>
      <c r="CB119" s="251">
        <f ca="1">MIN(dryad_cap,TblMili[[#This Row],[Homeland%]]/dryad_bonus)</f>
        <v>2.9999999999999996</v>
      </c>
      <c r="CC119" s="251">
        <f ca="1">MIN(rocka_cap,TblMili[[#This Row],[Homeland%]]/rocka_bonus)</f>
        <v>2</v>
      </c>
      <c r="CD119" s="251">
        <f ca="1">MIN(adept_op_cap,TblMili[[#This Row],[WG]]/adept_op_bonus)</f>
        <v>0</v>
      </c>
      <c r="CE119" s="251">
        <f ca="1">MIN(adept_dp_cap,TblMili[[#This Row],[WG]]/adept_dp_bonus)</f>
        <v>0</v>
      </c>
      <c r="CF119" s="94">
        <f ca="1">MIN(TblMili[[#This Row],[Unit 3]],TblMili[[#This Row],[Unit 2]])*2</f>
        <v>0</v>
      </c>
      <c r="CG119" s="94">
        <f ca="1">MIN(TblMili[[#This Row],[Unit 1]],TblMili[[#This Row],[Unit 4]])*2</f>
        <v>0</v>
      </c>
      <c r="CH119" s="251">
        <f ca="1">MIN(frost_mage_cap,TblMili[[#This Row],[Homeland%]]/frost_mage_bonus)</f>
        <v>2.9999999999999996</v>
      </c>
      <c r="CI119" s="45">
        <f ca="1">MIN(ice_elem_cap,TblMili[[#This Row],[Raw (2)]]*ice_elem_bonus)</f>
        <v>0</v>
      </c>
      <c r="CJ119" s="251">
        <f t="shared" si="4"/>
        <v>0.83333333333333337</v>
      </c>
      <c r="CK119" s="251">
        <f ca="1">MIN(nox_nightshade_cap,TblConstr[[#This Row],[Homeland]]/TblConstr[[#This Row],[Land]]/nox_nightshade_swamp_bonus)</f>
        <v>4</v>
      </c>
      <c r="CL119" s="251">
        <f ca="1">MIN(TblConstr[[#This Row],[Total Swamp]]/TblConstr[[#This Row],[Land]]/abyss_enforce_bonus,abyss_enforcer_cap)</f>
        <v>0</v>
      </c>
      <c r="CM119" s="251">
        <f ca="1">IF(TblMagic[[#This Row],[Active Infernal Command]]&gt;0,TblMili[[#This Row],[Unit 1]]*infernal_cmd_op,0)</f>
        <v>0</v>
      </c>
      <c r="CN119" s="252"/>
      <c r="CO119" s="252"/>
      <c r="CP119" s="252"/>
      <c r="CQ119" s="251">
        <f ca="1">TblMili[[#This Row],[Mystic]]*2</f>
        <v>4</v>
      </c>
      <c r="CR119" s="251">
        <f ca="1">TblMili[[#This Row],[Druid (op)]]*2</f>
        <v>4</v>
      </c>
      <c r="CS119" s="94">
        <f ca="1">TblMili[[#This Row],[Mystic bonus]]*TblMili[[#This Row],[Unit 3]]+TblMili[[#This Row],[Druid bonus]]*TblMili[[#This Row],[Unit 4]]</f>
        <v>0</v>
      </c>
      <c r="CT119" s="155">
        <f ca="1">TblMili[[#This Row],[Dryad]]*2</f>
        <v>5.9999999999999991</v>
      </c>
      <c r="CU119" s="94">
        <f ca="1">sylvan*(TblMili[[#This Row],[Mystic bonus]]*TblMili[[#This Row],[Unit 3]])</f>
        <v>0</v>
      </c>
      <c r="CV119" s="155">
        <f ca="1">TblMili[[#This Row],[Rockapult]]*2</f>
        <v>4</v>
      </c>
      <c r="CW119" s="94">
        <f ca="1">gnome*(TblMili[[#This Row],[Rockapult bonus]]*TblMili[[#This Row],[Unit 3]])</f>
        <v>0</v>
      </c>
      <c r="CX119" s="155">
        <f ca="1">TblMili[[#This Row],[Adept-DP]]*2</f>
        <v>0</v>
      </c>
      <c r="CY119" s="94">
        <f ca="1">dark_elf*(TblMili[[#This Row],[Adept bonus]]*TblMili[[#This Row],[Unit 3]])</f>
        <v>0</v>
      </c>
      <c r="CZ119" s="155">
        <f ca="1">TblMili[[#This Row],[Frost Mage]]*2</f>
        <v>5.9999999999999991</v>
      </c>
      <c r="DA119" s="155">
        <f ca="1">TblMili[[#This Row],[Ice Elemental]]*2</f>
        <v>0</v>
      </c>
      <c r="DB119" s="94">
        <f ca="1">TblMili[[#This Row],[Frost Mage bonus]]*TblMili[[#This Row],[Unit 3]]+TblMili[[#This Row],[Ice Elemental bonus]]*TblMili[[#This Row],[Unit 4]]</f>
        <v>0</v>
      </c>
      <c r="DC119" s="253"/>
      <c r="DD119" s="143">
        <f ca="1">MIN(SUM(TblConstr[[#This Row],[Plain]:[Water]])/TblMili[[#This Row],[Land]]/favorable_terrain_bonus/100,favorable_terrain_max)</f>
        <v>0</v>
      </c>
      <c r="DE119" s="253"/>
      <c r="DF11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9" s="142"/>
      <c r="DH119" s="254">
        <f ca="1">(TblMili[[#This Row],[Wizards]]+2*TblMili[[#This Row],[Archmages]])/TblConstr[[#This Row],[Land]]</f>
        <v>0</v>
      </c>
      <c r="DI119" s="254">
        <f ca="1">TblMili[[#This Row],[Raw (2)]]*(1+race_wizard_strength+IF(TblMili[[#This Row],[Hour]]&gt;72,tech_magical_weaponry_wiz*TblTech[[#This Row],[3-5]],0))</f>
        <v>0</v>
      </c>
    </row>
    <row r="120" spans="1:113" x14ac:dyDescent="0.2">
      <c r="A120" s="137">
        <f>TblRezone[[#This Row],[Hour]]</f>
        <v>117</v>
      </c>
      <c r="B120" s="246">
        <f ca="1">SUM(TblMili[[#This Row],[Unit 1]:[Archmages]])+SUM(OFFSET(TblMili[[#This Row],[Train Unit 1]],-8,0):TblMili[[#This Row],[Train Unit 2]]) + SUM(OFFSET(TblMili[[#This Row],[Train Unit 3]],-11,0):TblMili[[#This Row],[Train AM]]) + TblMili[[#This Row],[Draftees]]</f>
        <v>624</v>
      </c>
      <c r="C120" s="157">
        <f ca="1">TblPop[[#This Row],[Military%]]</f>
        <v>0.81144343302990896</v>
      </c>
      <c r="D120" s="142"/>
      <c r="E120" s="45">
        <f ca="1">OFFSET(TblMili[[#This Row],[Unit 1]],-1,0) + OFFSET(TblMili[[#This Row],[Train Unit 1]],-9,0) - TblMili[[#This Row],[Release Unit 1]] + OFFSET(TblMili[[#This Row],[DnD_Zombies]],-12,0)</f>
        <v>0</v>
      </c>
      <c r="F120" s="45">
        <f ca="1">OFFSET(TblMili[[#This Row],[Unit 2]],-1,0) + OFFSET(TblMili[[#This Row],[Train Unit 2]],-9,0)-TblMili[[#This Row],[Release Unit 2]]</f>
        <v>0</v>
      </c>
      <c r="G120" s="45">
        <f ca="1">OFFSET(TblMili[[#This Row],[Unit 3]],-1,0) + OFFSET(TblMili[[#This Row],[Train Unit 3]],-12,0)-TblMili[[#This Row],[Release Unit 3]]</f>
        <v>0</v>
      </c>
      <c r="H120" s="45">
        <f ca="1">OFFSET(TblMili[[#This Row],[Unit 4]],-1,0) + OFFSET(TblMili[[#This Row],[Train Unit 4]],-12,0)-TblMili[[#This Row],[Release Unit 4]]</f>
        <v>0</v>
      </c>
      <c r="I120" s="45">
        <f ca="1">OFFSET(TblMili[[#This Row],[Spies]],-1,0) + OFFSET(TblMili[[#This Row],[Train Spies]],-12,0) - TblMili[[#This Row],[Release Spies]]-TblMili[[#This Row],[Train AS]]</f>
        <v>0</v>
      </c>
      <c r="J120" s="45">
        <f ca="1">OFFSET(TblMili[[#This Row],[Archspies]],-1,0) + OFFSET(TblMili[[#This Row],[Train AS]],-12,0) - TblMili[[#This Row],[Release AS]]</f>
        <v>0</v>
      </c>
      <c r="K120" s="45">
        <f ca="1">OFFSET(TblMili[[#This Row],[Wizards]],-1,0) + OFFSET(TblMili[[#This Row],[Train Wiz]],-12,0) - TblMili[[#This Row],[Release Wizards]]-TblMili[[#This Row],[Train AM]] + IF(TblMagic[[#This Row],[Active Arc Infusion]]&gt;0,TblMili[[#This Row],[Train AM]])</f>
        <v>0</v>
      </c>
      <c r="L120" s="45">
        <f ca="1">OFFSET(TblMili[[#This Row],[Archmages]],-1,0) + OFFSET(TblMili[[#This Row],[Train AM]],-12,0) - TblMili[[#This Row],[Release AM]]</f>
        <v>0</v>
      </c>
      <c r="M120" s="142"/>
      <c r="N120" s="94">
        <f ca="1">TblProd[[#This Row],[Networth]]</f>
        <v>1250</v>
      </c>
      <c r="O120" s="142"/>
      <c r="P120"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2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0" s="247">
        <f ca="1">TblMili[[#This Row],[Raw]]*(1+TblMili[[#This Row],[Mods_Off]])</f>
        <v>0</v>
      </c>
      <c r="S120"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20" s="247">
        <f ca="1">TblMili[[#This Row],[Non Draft]]+TblMili[[#This Row],[Draftees]]</f>
        <v>624</v>
      </c>
      <c r="U120" s="248">
        <f ca="1">race_defense + TblImps[[#This Row],[Walls]] + ROUND( MIN(gt_bonus*TblConstr[[#This Row],[Tot GT]]/TblConstr[[#This Row],[Land]],gt_bonus_cap), 4) + IF(TblMagic[[#This Row],[Active Howling]]&gt;0,howling_dp_bonus,IF(TblMagic[[#This Row],[Active Ares Call]]&gt;0,ares_call_bonus))</f>
        <v>0</v>
      </c>
      <c r="V120" s="249">
        <f ca="1">TblMili[[#This Row],[Non Draft]] * (1 + TblMili[[#This Row],[Mods_Def]])</f>
        <v>0</v>
      </c>
      <c r="W120" s="247">
        <f ca="1">TblMili[[#This Row],[Draft]] * (1 + TblMili[[#This Row],[Mods_Def]])</f>
        <v>624</v>
      </c>
      <c r="X120" s="247">
        <f ca="1">TblConstr[[#This Row],[Land]]</f>
        <v>50</v>
      </c>
      <c r="Y120" s="250"/>
      <c r="Z120" s="255">
        <f ca="1">IF(TblMili[[#This Row],[Set]]&lt;&gt;"",TblMili[[#This Row],[Set]],OFFSET(TblMili[[#This Row],[Draftrate]],-1,0))</f>
        <v>0.9</v>
      </c>
      <c r="AA120"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624</v>
      </c>
      <c r="AB120" s="154"/>
      <c r="AC120" s="180">
        <f ca="1">(TblConstr[[#This Row],[Tot Smi]]+TblConstr[[#This Row],[Dest Smi]])/(TblConstr[[#This Row],[Land]]-TblExplore[[#This Row],[Land Bonus]]*20)</f>
        <v>0</v>
      </c>
      <c r="AD120" s="137"/>
      <c r="AE120" s="246">
        <f>TblMili[[#This Row],[Hour]]</f>
        <v>117</v>
      </c>
      <c r="AF120" s="138">
        <f ca="1">TblExplore[[#This Row],[Time]]</f>
        <v>46324.833333333052</v>
      </c>
      <c r="AG120" s="179"/>
      <c r="AH120" s="179"/>
      <c r="AI120" s="179"/>
      <c r="AJ120" s="179"/>
      <c r="AK120" s="179"/>
      <c r="AL120" s="179"/>
      <c r="AM120" s="179"/>
      <c r="AN120" s="179"/>
      <c r="AO120" s="420">
        <f ca="1">ROUND(IF(AND(TblMagic[[#This Row],[Active DnD]]&lt;12,TblMagic[[#This Row],[Active DnD]]&gt;5),OFFSET(TblPop[[#This Row],[Draft Growth]],-1,0)*0.375,0),0)</f>
        <v>0</v>
      </c>
      <c r="AP120" s="142"/>
      <c r="AQ120" s="94">
        <f ca="1">TblProd[[#This Row],[Platinum]]</f>
        <v>207411</v>
      </c>
      <c r="AR120" s="94">
        <f ca="1">INDEX(TblProd[[#Headers],[Lumber]]:TblProd[[#This Row],[Ore]],COUNTA(TblProd[[#Headers],[Lumber]]:TblProd[[#This Row],[Lumber]]),MATCH(Military!$AR$2,TblProd[[#Headers],[Lumber]:[Ore]],0))</f>
        <v>0</v>
      </c>
      <c r="AS12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20" s="94">
        <f ca="1">TblMili[[#This Row],[Train Unit 1]]*TblMili[[#This Row],[OP Ore]]+TblMili[[#This Row],[Train Unit 2]]*TblMili[[#This Row],[DP Ore]]+TblMili[[#This Row],[Train Unit 3]]*TblMili[[#This Row],[E1 Ore]]+TblMili[[#This Row],[Train Unit 4]]*TblMili[[#This Row],[E2 Ore]]</f>
        <v>0</v>
      </c>
      <c r="AU120" s="142">
        <f>TblMili[[#This Row],[Hour]]</f>
        <v>117</v>
      </c>
      <c r="AV120" s="152">
        <f ca="1">TblMili[[#This Row],[Time]]</f>
        <v>46324.833333333052</v>
      </c>
      <c r="AW120" s="94">
        <f ca="1">TblMili[[#This Row],[Draftees]]</f>
        <v>624</v>
      </c>
      <c r="AX120" s="179"/>
      <c r="AY120" s="179"/>
      <c r="AZ120" s="179"/>
      <c r="BA120" s="179"/>
      <c r="BB120" s="179"/>
      <c r="BC120" s="179"/>
      <c r="BD120" s="179"/>
      <c r="BE120" s="179"/>
      <c r="BF120" s="179"/>
      <c r="BG120" s="142"/>
      <c r="BH120" s="157">
        <f ca="1">TblConstr[[#This Row],[Tot WG]]/TblConstr[[#This Row],[Land]]</f>
        <v>0</v>
      </c>
      <c r="BI120" s="157">
        <f ca="1">TblConstr[[#This Row],[Tot Hav]]/TblConstr[[#This Row],[Land]]</f>
        <v>0</v>
      </c>
      <c r="BJ120" s="94">
        <f ca="1">ROUNDUP((1-MIN(TblMili[[#This Row],[Smithies]]*smithy_bonus,smithy_bonus_cap) + tech_3_5*TblTech[[#This Row],[3-5]] + tech_5_3*TblTech[[#This Row],[5-3]] + tech_5_5*TblTech[[#This Row],[5-5]])*spec_op_plat,0)</f>
        <v>315</v>
      </c>
      <c r="BK120" s="94">
        <f ca="1">ROUNDUP(IF(race="Gnome",1,(1-MIN(TblMili[[#This Row],[Smithies]]*smithy_bonus,smithy_bonus_cap) + tech_3_5*TblTech[[#This Row],[3-5]] + tech_5_3*TblTech[[#This Row],[5-3]] + tech_5_5*TblTech[[#This Row],[5-5]]))*spec_op_ore,0)</f>
        <v>25</v>
      </c>
      <c r="BL120" s="94">
        <f ca="1">ROUNDUP((1-MIN(TblMili[[#This Row],[Smithies]]*smithy_bonus,smithy_bonus_cap) + tech_3_5*TblTech[[#This Row],[3-5]] + tech_5_3*TblTech[[#This Row],[5-3]] + tech_5_5*TblTech[[#This Row],[5-5]])*spec_dp_plat,0)</f>
        <v>275</v>
      </c>
      <c r="BM120" s="94">
        <f ca="1">ROUNDUP(IF(race="Gnome",1,(1-MIN(TblMili[[#This Row],[Smithies]]*smithy_bonus,smithy_bonus_cap) + tech_3_5*TblTech[[#This Row],[3-5]] + tech_5_3*TblTech[[#This Row],[5-3]] + tech_5_5*TblTech[[#This Row],[5-5]]))*spec_dp_ore,0)</f>
        <v>15</v>
      </c>
      <c r="BN120" s="94">
        <f ca="1">ROUNDUP((1-MIN(TblMili[[#This Row],[Smithies]]*smithy_bonus,smithy_bonus_cap) + tech_3_5*TblTech[[#This Row],[3-5]] + tech_5_3*TblTech[[#This Row],[5-3]] + tech_5_5*TblTech[[#This Row],[5-5]])*elite1_plat,0)</f>
        <v>1040</v>
      </c>
      <c r="BO120" s="94">
        <f ca="1">ROUNDUP(IF(race="Gnome",1,(1-MIN(TblMili[[#This Row],[Smithies]]*smithy_bonus,smithy_bonus_cap) + tech_3_5*TblTech[[#This Row],[3-5]] + tech_5_3*TblTech[[#This Row],[5-3]] + tech_5_5*TblTech[[#This Row],[5-5]]))*elite1_ore,0)</f>
        <v>75</v>
      </c>
      <c r="BP120" s="94">
        <f ca="1">ROUNDUP((1-MIN(TblMili[[#This Row],[Smithies]]*smithy_bonus,smithy_bonus_cap) + tech_3_5*TblTech[[#This Row],[3-5]] + tech_5_3*TblTech[[#This Row],[5-3]] + tech_5_5*TblTech[[#This Row],[5-5]])*elite2_plat,0)</f>
        <v>1280</v>
      </c>
      <c r="BQ120" s="94">
        <f ca="1">ROUNDUP(IF(race="Gnome",1,(1-MIN(TblMili[[#This Row],[Smithies]]*smithy_bonus,smithy_bonus_cap) + tech_3_5*TblTech[[#This Row],[3-5]] + tech_5_3*TblTech[[#This Row],[5-3]] + tech_5_5*TblTech[[#This Row],[5-5]]))*elite2_ore,0)</f>
        <v>100</v>
      </c>
      <c r="BR120" s="94">
        <f ca="1">ROUNDUP((1-MIN(ROUND(fh_spy_cost_red*TblMili[[#This Row],[FH''s]],4),fh_spy_cost_cap)+ tech_1_9*TblTech[[#This Row],[1-9]] + tech_9_1*TblTech[[#This Row],[9-1]])*spy_plat,0)</f>
        <v>500</v>
      </c>
      <c r="BS120" s="94">
        <f ca="1">ROUNDUP((1-MIN(ROUND(fh_spy_cost_red*TblMili[[#This Row],[FH''s]],4),fh_spy_cost_cap)+ tech_1_9*TblTech[[#This Row],[1-9]] + tech_9_1*TblTech[[#This Row],[9-1]])*archspy_plat,0)</f>
        <v>1000</v>
      </c>
      <c r="BT120" s="94">
        <f ca="1">ROUNDUP((1-MIN(ROUND(wg_wiz_cost_bonus*TblMili[[#This Row],[WG''s]],4),wg_wiz_cost_cap) + tech_1_9_2*TblTech[[#This Row],[1-9]] + tech_9_1_2*TblTech[[#This Row],[9-1]])*wizard_plat,0)</f>
        <v>500</v>
      </c>
      <c r="BU120" s="94">
        <f ca="1">ROUNDUP((1-MIN(ROUND(wg_wiz_cost_bonus*TblMili[[#This Row],[WG''s]],4),wg_wiz_cost_cap) + tech_1_9_2*TblTech[[#This Row],[1-9]] + tech_9_1_2*TblTech[[#This Row],[9-1]])*(archmage_plat + IF(TblMagic[[#This Row],[Active Arc Infusion]]&gt;0,400,0)),0)</f>
        <v>1000</v>
      </c>
      <c r="BV120" s="142"/>
      <c r="BW120" s="157">
        <f ca="1">TblConstr[[#This Row],[Homeland]]/TblConstr[[#This Row],[Land]]</f>
        <v>0.6</v>
      </c>
      <c r="BX120" s="157">
        <f ca="1">TblMili[[#This Row],[WG''s]]</f>
        <v>0</v>
      </c>
      <c r="BY120" s="251">
        <f ca="1">IF(mystic_cap="none",TblMili[[#This Row],[Homeland%]]/mystic_bonus,MIN(mystic_cap,TblMili[[#This Row],[Homeland%]]/mystic_bonus))</f>
        <v>2</v>
      </c>
      <c r="BZ120" s="251">
        <f ca="1">IF(druid_op_cap="none",TblMili[[#This Row],[Homeland%]]/druid_op_bonus,MIN(druid_op_cap,TblMili[[#This Row],[Homeland%]]/druid_op_bonus))</f>
        <v>2</v>
      </c>
      <c r="CA120" s="251">
        <f ca="1">IF(druid_dp_cap="none",TblMili[[#This Row],[Homeland%]]/druid_dp_bonus,MIN(druid_dp_cap,TblMili[[#This Row],[Homeland%]]/druid_dp_bonus))</f>
        <v>2</v>
      </c>
      <c r="CB120" s="251">
        <f ca="1">MIN(dryad_cap,TblMili[[#This Row],[Homeland%]]/dryad_bonus)</f>
        <v>2.9999999999999996</v>
      </c>
      <c r="CC120" s="251">
        <f ca="1">MIN(rocka_cap,TblMili[[#This Row],[Homeland%]]/rocka_bonus)</f>
        <v>2</v>
      </c>
      <c r="CD120" s="251">
        <f ca="1">MIN(adept_op_cap,TblMili[[#This Row],[WG]]/adept_op_bonus)</f>
        <v>0</v>
      </c>
      <c r="CE120" s="251">
        <f ca="1">MIN(adept_dp_cap,TblMili[[#This Row],[WG]]/adept_dp_bonus)</f>
        <v>0</v>
      </c>
      <c r="CF120" s="94">
        <f ca="1">MIN(TblMili[[#This Row],[Unit 3]],TblMili[[#This Row],[Unit 2]])*2</f>
        <v>0</v>
      </c>
      <c r="CG120" s="94">
        <f ca="1">MIN(TblMili[[#This Row],[Unit 1]],TblMili[[#This Row],[Unit 4]])*2</f>
        <v>0</v>
      </c>
      <c r="CH120" s="251">
        <f ca="1">MIN(frost_mage_cap,TblMili[[#This Row],[Homeland%]]/frost_mage_bonus)</f>
        <v>2.9999999999999996</v>
      </c>
      <c r="CI120" s="45">
        <f ca="1">MIN(ice_elem_cap,TblMili[[#This Row],[Raw (2)]]*ice_elem_bonus)</f>
        <v>0</v>
      </c>
      <c r="CJ120" s="251">
        <f t="shared" si="4"/>
        <v>0.83333333333333337</v>
      </c>
      <c r="CK120" s="251">
        <f ca="1">MIN(nox_nightshade_cap,TblConstr[[#This Row],[Homeland]]/TblConstr[[#This Row],[Land]]/nox_nightshade_swamp_bonus)</f>
        <v>4</v>
      </c>
      <c r="CL120" s="251">
        <f ca="1">MIN(TblConstr[[#This Row],[Total Swamp]]/TblConstr[[#This Row],[Land]]/abyss_enforce_bonus,abyss_enforcer_cap)</f>
        <v>0</v>
      </c>
      <c r="CM120" s="251">
        <f ca="1">IF(TblMagic[[#This Row],[Active Infernal Command]]&gt;0,TblMili[[#This Row],[Unit 1]]*infernal_cmd_op,0)</f>
        <v>0</v>
      </c>
      <c r="CN120" s="252"/>
      <c r="CO120" s="252"/>
      <c r="CP120" s="252"/>
      <c r="CQ120" s="251">
        <f ca="1">TblMili[[#This Row],[Mystic]]*2</f>
        <v>4</v>
      </c>
      <c r="CR120" s="251">
        <f ca="1">TblMili[[#This Row],[Druid (op)]]*2</f>
        <v>4</v>
      </c>
      <c r="CS120" s="94">
        <f ca="1">TblMili[[#This Row],[Mystic bonus]]*TblMili[[#This Row],[Unit 3]]+TblMili[[#This Row],[Druid bonus]]*TblMili[[#This Row],[Unit 4]]</f>
        <v>0</v>
      </c>
      <c r="CT120" s="155">
        <f ca="1">TblMili[[#This Row],[Dryad]]*2</f>
        <v>5.9999999999999991</v>
      </c>
      <c r="CU120" s="94">
        <f ca="1">sylvan*(TblMili[[#This Row],[Mystic bonus]]*TblMili[[#This Row],[Unit 3]])</f>
        <v>0</v>
      </c>
      <c r="CV120" s="155">
        <f ca="1">TblMili[[#This Row],[Rockapult]]*2</f>
        <v>4</v>
      </c>
      <c r="CW120" s="94">
        <f ca="1">gnome*(TblMili[[#This Row],[Rockapult bonus]]*TblMili[[#This Row],[Unit 3]])</f>
        <v>0</v>
      </c>
      <c r="CX120" s="155">
        <f ca="1">TblMili[[#This Row],[Adept-DP]]*2</f>
        <v>0</v>
      </c>
      <c r="CY120" s="94">
        <f ca="1">dark_elf*(TblMili[[#This Row],[Adept bonus]]*TblMili[[#This Row],[Unit 3]])</f>
        <v>0</v>
      </c>
      <c r="CZ120" s="155">
        <f ca="1">TblMili[[#This Row],[Frost Mage]]*2</f>
        <v>5.9999999999999991</v>
      </c>
      <c r="DA120" s="155">
        <f ca="1">TblMili[[#This Row],[Ice Elemental]]*2</f>
        <v>0</v>
      </c>
      <c r="DB120" s="94">
        <f ca="1">TblMili[[#This Row],[Frost Mage bonus]]*TblMili[[#This Row],[Unit 3]]+TblMili[[#This Row],[Ice Elemental bonus]]*TblMili[[#This Row],[Unit 4]]</f>
        <v>0</v>
      </c>
      <c r="DC120" s="253"/>
      <c r="DD120" s="143">
        <f ca="1">MIN(SUM(TblConstr[[#This Row],[Plain]:[Water]])/TblMili[[#This Row],[Land]]/favorable_terrain_bonus/100,favorable_terrain_max)</f>
        <v>0</v>
      </c>
      <c r="DE120" s="253"/>
      <c r="DF12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0" s="142"/>
      <c r="DH120" s="254">
        <f ca="1">(TblMili[[#This Row],[Wizards]]+2*TblMili[[#This Row],[Archmages]])/TblConstr[[#This Row],[Land]]</f>
        <v>0</v>
      </c>
      <c r="DI120" s="254">
        <f ca="1">TblMili[[#This Row],[Raw (2)]]*(1+race_wizard_strength+IF(TblMili[[#This Row],[Hour]]&gt;72,tech_magical_weaponry_wiz*TblTech[[#This Row],[3-5]],0))</f>
        <v>0</v>
      </c>
    </row>
    <row r="121" spans="1:113" x14ac:dyDescent="0.2">
      <c r="A121" s="137">
        <f>TblRezone[[#This Row],[Hour]]</f>
        <v>118</v>
      </c>
      <c r="B121" s="246">
        <f ca="1">SUM(TblMili[[#This Row],[Unit 1]:[Archmages]])+SUM(OFFSET(TblMili[[#This Row],[Train Unit 1]],-8,0):TblMili[[#This Row],[Train Unit 2]]) + SUM(OFFSET(TblMili[[#This Row],[Train Unit 3]],-11,0):TblMili[[#This Row],[Train AM]]) + TblMili[[#This Row],[Draftees]]</f>
        <v>625</v>
      </c>
      <c r="C121" s="157">
        <f ca="1">TblPop[[#This Row],[Military%]]</f>
        <v>0.81274382314694404</v>
      </c>
      <c r="D121" s="142"/>
      <c r="E121" s="45">
        <f ca="1">OFFSET(TblMili[[#This Row],[Unit 1]],-1,0) + OFFSET(TblMili[[#This Row],[Train Unit 1]],-9,0) - TblMili[[#This Row],[Release Unit 1]] + OFFSET(TblMili[[#This Row],[DnD_Zombies]],-12,0)</f>
        <v>0</v>
      </c>
      <c r="F121" s="45">
        <f ca="1">OFFSET(TblMili[[#This Row],[Unit 2]],-1,0) + OFFSET(TblMili[[#This Row],[Train Unit 2]],-9,0)-TblMili[[#This Row],[Release Unit 2]]</f>
        <v>0</v>
      </c>
      <c r="G121" s="45">
        <f ca="1">OFFSET(TblMili[[#This Row],[Unit 3]],-1,0) + OFFSET(TblMili[[#This Row],[Train Unit 3]],-12,0)-TblMili[[#This Row],[Release Unit 3]]</f>
        <v>0</v>
      </c>
      <c r="H121" s="45">
        <f ca="1">OFFSET(TblMili[[#This Row],[Unit 4]],-1,0) + OFFSET(TblMili[[#This Row],[Train Unit 4]],-12,0)-TblMili[[#This Row],[Release Unit 4]]</f>
        <v>0</v>
      </c>
      <c r="I121" s="45">
        <f ca="1">OFFSET(TblMili[[#This Row],[Spies]],-1,0) + OFFSET(TblMili[[#This Row],[Train Spies]],-12,0) - TblMili[[#This Row],[Release Spies]]-TblMili[[#This Row],[Train AS]]</f>
        <v>0</v>
      </c>
      <c r="J121" s="45">
        <f ca="1">OFFSET(TblMili[[#This Row],[Archspies]],-1,0) + OFFSET(TblMili[[#This Row],[Train AS]],-12,0) - TblMili[[#This Row],[Release AS]]</f>
        <v>0</v>
      </c>
      <c r="K121" s="45">
        <f ca="1">OFFSET(TblMili[[#This Row],[Wizards]],-1,0) + OFFSET(TblMili[[#This Row],[Train Wiz]],-12,0) - TblMili[[#This Row],[Release Wizards]]-TblMili[[#This Row],[Train AM]] + IF(TblMagic[[#This Row],[Active Arc Infusion]]&gt;0,TblMili[[#This Row],[Train AM]])</f>
        <v>0</v>
      </c>
      <c r="L121" s="45">
        <f ca="1">OFFSET(TblMili[[#This Row],[Archmages]],-1,0) + OFFSET(TblMili[[#This Row],[Train AM]],-12,0) - TblMili[[#This Row],[Release AM]]</f>
        <v>0</v>
      </c>
      <c r="M121" s="142"/>
      <c r="N121" s="94">
        <f ca="1">TblProd[[#This Row],[Networth]]</f>
        <v>1250</v>
      </c>
      <c r="O121" s="142"/>
      <c r="P121"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2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1" s="247">
        <f ca="1">TblMili[[#This Row],[Raw]]*(1+TblMili[[#This Row],[Mods_Off]])</f>
        <v>0</v>
      </c>
      <c r="S121"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21" s="247">
        <f ca="1">TblMili[[#This Row],[Non Draft]]+TblMili[[#This Row],[Draftees]]</f>
        <v>625</v>
      </c>
      <c r="U121" s="248">
        <f ca="1">race_defense + TblImps[[#This Row],[Walls]] + ROUND( MIN(gt_bonus*TblConstr[[#This Row],[Tot GT]]/TblConstr[[#This Row],[Land]],gt_bonus_cap), 4) + IF(TblMagic[[#This Row],[Active Howling]]&gt;0,howling_dp_bonus,IF(TblMagic[[#This Row],[Active Ares Call]]&gt;0,ares_call_bonus))</f>
        <v>0</v>
      </c>
      <c r="V121" s="249">
        <f ca="1">TblMili[[#This Row],[Non Draft]] * (1 + TblMili[[#This Row],[Mods_Def]])</f>
        <v>0</v>
      </c>
      <c r="W121" s="247">
        <f ca="1">TblMili[[#This Row],[Draft]] * (1 + TblMili[[#This Row],[Mods_Def]])</f>
        <v>625</v>
      </c>
      <c r="X121" s="247">
        <f ca="1">TblConstr[[#This Row],[Land]]</f>
        <v>50</v>
      </c>
      <c r="Y121" s="250"/>
      <c r="Z121" s="255">
        <f ca="1">IF(TblMili[[#This Row],[Set]]&lt;&gt;"",TblMili[[#This Row],[Set]],OFFSET(TblMili[[#This Row],[Draftrate]],-1,0))</f>
        <v>0.9</v>
      </c>
      <c r="AA121"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625</v>
      </c>
      <c r="AB121" s="154"/>
      <c r="AC121" s="180">
        <f ca="1">(TblConstr[[#This Row],[Tot Smi]]+TblConstr[[#This Row],[Dest Smi]])/(TblConstr[[#This Row],[Land]]-TblExplore[[#This Row],[Land Bonus]]*20)</f>
        <v>0</v>
      </c>
      <c r="AD121" s="137"/>
      <c r="AE121" s="246">
        <f>TblMili[[#This Row],[Hour]]</f>
        <v>118</v>
      </c>
      <c r="AF121" s="138">
        <f ca="1">TblExplore[[#This Row],[Time]]</f>
        <v>46324.874999999716</v>
      </c>
      <c r="AG121" s="179"/>
      <c r="AH121" s="179"/>
      <c r="AI121" s="179"/>
      <c r="AJ121" s="179"/>
      <c r="AK121" s="179"/>
      <c r="AL121" s="179"/>
      <c r="AM121" s="179"/>
      <c r="AN121" s="179"/>
      <c r="AO121" s="420">
        <f ca="1">ROUND(IF(AND(TblMagic[[#This Row],[Active DnD]]&lt;12,TblMagic[[#This Row],[Active DnD]]&gt;5),OFFSET(TblPop[[#This Row],[Draft Growth]],-1,0)*0.375,0),0)</f>
        <v>0</v>
      </c>
      <c r="AP121" s="142"/>
      <c r="AQ121" s="94">
        <f ca="1">TblProd[[#This Row],[Platinum]]</f>
        <v>207802</v>
      </c>
      <c r="AR121" s="94">
        <f ca="1">INDEX(TblProd[[#Headers],[Lumber]]:TblProd[[#This Row],[Ore]],COUNTA(TblProd[[#Headers],[Lumber]]:TblProd[[#This Row],[Lumber]]),MATCH(Military!$AR$2,TblProd[[#Headers],[Lumber]:[Ore]],0))</f>
        <v>0</v>
      </c>
      <c r="AS12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21" s="94">
        <f ca="1">TblMili[[#This Row],[Train Unit 1]]*TblMili[[#This Row],[OP Ore]]+TblMili[[#This Row],[Train Unit 2]]*TblMili[[#This Row],[DP Ore]]+TblMili[[#This Row],[Train Unit 3]]*TblMili[[#This Row],[E1 Ore]]+TblMili[[#This Row],[Train Unit 4]]*TblMili[[#This Row],[E2 Ore]]</f>
        <v>0</v>
      </c>
      <c r="AU121" s="142">
        <f>TblMili[[#This Row],[Hour]]</f>
        <v>118</v>
      </c>
      <c r="AV121" s="152">
        <f ca="1">TblMili[[#This Row],[Time]]</f>
        <v>46324.874999999716</v>
      </c>
      <c r="AW121" s="94">
        <f ca="1">TblMili[[#This Row],[Draftees]]</f>
        <v>625</v>
      </c>
      <c r="AX121" s="179"/>
      <c r="AY121" s="179"/>
      <c r="AZ121" s="179"/>
      <c r="BA121" s="179"/>
      <c r="BB121" s="179"/>
      <c r="BC121" s="179"/>
      <c r="BD121" s="179"/>
      <c r="BE121" s="179"/>
      <c r="BF121" s="179"/>
      <c r="BG121" s="142"/>
      <c r="BH121" s="157">
        <f ca="1">TblConstr[[#This Row],[Tot WG]]/TblConstr[[#This Row],[Land]]</f>
        <v>0</v>
      </c>
      <c r="BI121" s="157">
        <f ca="1">TblConstr[[#This Row],[Tot Hav]]/TblConstr[[#This Row],[Land]]</f>
        <v>0</v>
      </c>
      <c r="BJ121" s="94">
        <f ca="1">ROUNDUP((1-MIN(TblMili[[#This Row],[Smithies]]*smithy_bonus,smithy_bonus_cap) + tech_3_5*TblTech[[#This Row],[3-5]] + tech_5_3*TblTech[[#This Row],[5-3]] + tech_5_5*TblTech[[#This Row],[5-5]])*spec_op_plat,0)</f>
        <v>315</v>
      </c>
      <c r="BK121" s="94">
        <f ca="1">ROUNDUP(IF(race="Gnome",1,(1-MIN(TblMili[[#This Row],[Smithies]]*smithy_bonus,smithy_bonus_cap) + tech_3_5*TblTech[[#This Row],[3-5]] + tech_5_3*TblTech[[#This Row],[5-3]] + tech_5_5*TblTech[[#This Row],[5-5]]))*spec_op_ore,0)</f>
        <v>25</v>
      </c>
      <c r="BL121" s="94">
        <f ca="1">ROUNDUP((1-MIN(TblMili[[#This Row],[Smithies]]*smithy_bonus,smithy_bonus_cap) + tech_3_5*TblTech[[#This Row],[3-5]] + tech_5_3*TblTech[[#This Row],[5-3]] + tech_5_5*TblTech[[#This Row],[5-5]])*spec_dp_plat,0)</f>
        <v>275</v>
      </c>
      <c r="BM121" s="94">
        <f ca="1">ROUNDUP(IF(race="Gnome",1,(1-MIN(TblMili[[#This Row],[Smithies]]*smithy_bonus,smithy_bonus_cap) + tech_3_5*TblTech[[#This Row],[3-5]] + tech_5_3*TblTech[[#This Row],[5-3]] + tech_5_5*TblTech[[#This Row],[5-5]]))*spec_dp_ore,0)</f>
        <v>15</v>
      </c>
      <c r="BN121" s="94">
        <f ca="1">ROUNDUP((1-MIN(TblMili[[#This Row],[Smithies]]*smithy_bonus,smithy_bonus_cap) + tech_3_5*TblTech[[#This Row],[3-5]] + tech_5_3*TblTech[[#This Row],[5-3]] + tech_5_5*TblTech[[#This Row],[5-5]])*elite1_plat,0)</f>
        <v>1040</v>
      </c>
      <c r="BO121" s="94">
        <f ca="1">ROUNDUP(IF(race="Gnome",1,(1-MIN(TblMili[[#This Row],[Smithies]]*smithy_bonus,smithy_bonus_cap) + tech_3_5*TblTech[[#This Row],[3-5]] + tech_5_3*TblTech[[#This Row],[5-3]] + tech_5_5*TblTech[[#This Row],[5-5]]))*elite1_ore,0)</f>
        <v>75</v>
      </c>
      <c r="BP121" s="94">
        <f ca="1">ROUNDUP((1-MIN(TblMili[[#This Row],[Smithies]]*smithy_bonus,smithy_bonus_cap) + tech_3_5*TblTech[[#This Row],[3-5]] + tech_5_3*TblTech[[#This Row],[5-3]] + tech_5_5*TblTech[[#This Row],[5-5]])*elite2_plat,0)</f>
        <v>1280</v>
      </c>
      <c r="BQ121" s="94">
        <f ca="1">ROUNDUP(IF(race="Gnome",1,(1-MIN(TblMili[[#This Row],[Smithies]]*smithy_bonus,smithy_bonus_cap) + tech_3_5*TblTech[[#This Row],[3-5]] + tech_5_3*TblTech[[#This Row],[5-3]] + tech_5_5*TblTech[[#This Row],[5-5]]))*elite2_ore,0)</f>
        <v>100</v>
      </c>
      <c r="BR121" s="94">
        <f ca="1">ROUNDUP((1-MIN(ROUND(fh_spy_cost_red*TblMili[[#This Row],[FH''s]],4),fh_spy_cost_cap)+ tech_1_9*TblTech[[#This Row],[1-9]] + tech_9_1*TblTech[[#This Row],[9-1]])*spy_plat,0)</f>
        <v>500</v>
      </c>
      <c r="BS121" s="94">
        <f ca="1">ROUNDUP((1-MIN(ROUND(fh_spy_cost_red*TblMili[[#This Row],[FH''s]],4),fh_spy_cost_cap)+ tech_1_9*TblTech[[#This Row],[1-9]] + tech_9_1*TblTech[[#This Row],[9-1]])*archspy_plat,0)</f>
        <v>1000</v>
      </c>
      <c r="BT121" s="94">
        <f ca="1">ROUNDUP((1-MIN(ROUND(wg_wiz_cost_bonus*TblMili[[#This Row],[WG''s]],4),wg_wiz_cost_cap) + tech_1_9_2*TblTech[[#This Row],[1-9]] + tech_9_1_2*TblTech[[#This Row],[9-1]])*wizard_plat,0)</f>
        <v>500</v>
      </c>
      <c r="BU121" s="94">
        <f ca="1">ROUNDUP((1-MIN(ROUND(wg_wiz_cost_bonus*TblMili[[#This Row],[WG''s]],4),wg_wiz_cost_cap) + tech_1_9_2*TblTech[[#This Row],[1-9]] + tech_9_1_2*TblTech[[#This Row],[9-1]])*(archmage_plat + IF(TblMagic[[#This Row],[Active Arc Infusion]]&gt;0,400,0)),0)</f>
        <v>1000</v>
      </c>
      <c r="BV121" s="142"/>
      <c r="BW121" s="157">
        <f ca="1">TblConstr[[#This Row],[Homeland]]/TblConstr[[#This Row],[Land]]</f>
        <v>0.6</v>
      </c>
      <c r="BX121" s="157">
        <f ca="1">TblMili[[#This Row],[WG''s]]</f>
        <v>0</v>
      </c>
      <c r="BY121" s="251">
        <f ca="1">IF(mystic_cap="none",TblMili[[#This Row],[Homeland%]]/mystic_bonus,MIN(mystic_cap,TblMili[[#This Row],[Homeland%]]/mystic_bonus))</f>
        <v>2</v>
      </c>
      <c r="BZ121" s="251">
        <f ca="1">IF(druid_op_cap="none",TblMili[[#This Row],[Homeland%]]/druid_op_bonus,MIN(druid_op_cap,TblMili[[#This Row],[Homeland%]]/druid_op_bonus))</f>
        <v>2</v>
      </c>
      <c r="CA121" s="251">
        <f ca="1">IF(druid_dp_cap="none",TblMili[[#This Row],[Homeland%]]/druid_dp_bonus,MIN(druid_dp_cap,TblMili[[#This Row],[Homeland%]]/druid_dp_bonus))</f>
        <v>2</v>
      </c>
      <c r="CB121" s="251">
        <f ca="1">MIN(dryad_cap,TblMili[[#This Row],[Homeland%]]/dryad_bonus)</f>
        <v>2.9999999999999996</v>
      </c>
      <c r="CC121" s="251">
        <f ca="1">MIN(rocka_cap,TblMili[[#This Row],[Homeland%]]/rocka_bonus)</f>
        <v>2</v>
      </c>
      <c r="CD121" s="251">
        <f ca="1">MIN(adept_op_cap,TblMili[[#This Row],[WG]]/adept_op_bonus)</f>
        <v>0</v>
      </c>
      <c r="CE121" s="251">
        <f ca="1">MIN(adept_dp_cap,TblMili[[#This Row],[WG]]/adept_dp_bonus)</f>
        <v>0</v>
      </c>
      <c r="CF121" s="94">
        <f ca="1">MIN(TblMili[[#This Row],[Unit 3]],TblMili[[#This Row],[Unit 2]])*2</f>
        <v>0</v>
      </c>
      <c r="CG121" s="94">
        <f ca="1">MIN(TblMili[[#This Row],[Unit 1]],TblMili[[#This Row],[Unit 4]])*2</f>
        <v>0</v>
      </c>
      <c r="CH121" s="251">
        <f ca="1">MIN(frost_mage_cap,TblMili[[#This Row],[Homeland%]]/frost_mage_bonus)</f>
        <v>2.9999999999999996</v>
      </c>
      <c r="CI121" s="45">
        <f ca="1">MIN(ice_elem_cap,TblMili[[#This Row],[Raw (2)]]*ice_elem_bonus)</f>
        <v>0</v>
      </c>
      <c r="CJ121" s="251">
        <f t="shared" si="4"/>
        <v>0.83333333333333337</v>
      </c>
      <c r="CK121" s="251">
        <f ca="1">MIN(nox_nightshade_cap,TblConstr[[#This Row],[Homeland]]/TblConstr[[#This Row],[Land]]/nox_nightshade_swamp_bonus)</f>
        <v>4</v>
      </c>
      <c r="CL121" s="251">
        <f ca="1">MIN(TblConstr[[#This Row],[Total Swamp]]/TblConstr[[#This Row],[Land]]/abyss_enforce_bonus,abyss_enforcer_cap)</f>
        <v>0</v>
      </c>
      <c r="CM121" s="251">
        <f ca="1">IF(TblMagic[[#This Row],[Active Infernal Command]]&gt;0,TblMili[[#This Row],[Unit 1]]*infernal_cmd_op,0)</f>
        <v>0</v>
      </c>
      <c r="CN121" s="252"/>
      <c r="CO121" s="252"/>
      <c r="CP121" s="252"/>
      <c r="CQ121" s="251">
        <f ca="1">TblMili[[#This Row],[Mystic]]*2</f>
        <v>4</v>
      </c>
      <c r="CR121" s="251">
        <f ca="1">TblMili[[#This Row],[Druid (op)]]*2</f>
        <v>4</v>
      </c>
      <c r="CS121" s="94">
        <f ca="1">TblMili[[#This Row],[Mystic bonus]]*TblMili[[#This Row],[Unit 3]]+TblMili[[#This Row],[Druid bonus]]*TblMili[[#This Row],[Unit 4]]</f>
        <v>0</v>
      </c>
      <c r="CT121" s="155">
        <f ca="1">TblMili[[#This Row],[Dryad]]*2</f>
        <v>5.9999999999999991</v>
      </c>
      <c r="CU121" s="94">
        <f ca="1">sylvan*(TblMili[[#This Row],[Mystic bonus]]*TblMili[[#This Row],[Unit 3]])</f>
        <v>0</v>
      </c>
      <c r="CV121" s="155">
        <f ca="1">TblMili[[#This Row],[Rockapult]]*2</f>
        <v>4</v>
      </c>
      <c r="CW121" s="94">
        <f ca="1">gnome*(TblMili[[#This Row],[Rockapult bonus]]*TblMili[[#This Row],[Unit 3]])</f>
        <v>0</v>
      </c>
      <c r="CX121" s="155">
        <f ca="1">TblMili[[#This Row],[Adept-DP]]*2</f>
        <v>0</v>
      </c>
      <c r="CY121" s="94">
        <f ca="1">dark_elf*(TblMili[[#This Row],[Adept bonus]]*TblMili[[#This Row],[Unit 3]])</f>
        <v>0</v>
      </c>
      <c r="CZ121" s="155">
        <f ca="1">TblMili[[#This Row],[Frost Mage]]*2</f>
        <v>5.9999999999999991</v>
      </c>
      <c r="DA121" s="155">
        <f ca="1">TblMili[[#This Row],[Ice Elemental]]*2</f>
        <v>0</v>
      </c>
      <c r="DB121" s="94">
        <f ca="1">TblMili[[#This Row],[Frost Mage bonus]]*TblMili[[#This Row],[Unit 3]]+TblMili[[#This Row],[Ice Elemental bonus]]*TblMili[[#This Row],[Unit 4]]</f>
        <v>0</v>
      </c>
      <c r="DC121" s="253"/>
      <c r="DD121" s="143">
        <f ca="1">MIN(SUM(TblConstr[[#This Row],[Plain]:[Water]])/TblMili[[#This Row],[Land]]/favorable_terrain_bonus/100,favorable_terrain_max)</f>
        <v>0</v>
      </c>
      <c r="DE121" s="253"/>
      <c r="DF12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1" s="142"/>
      <c r="DH121" s="254">
        <f ca="1">(TblMili[[#This Row],[Wizards]]+2*TblMili[[#This Row],[Archmages]])/TblConstr[[#This Row],[Land]]</f>
        <v>0</v>
      </c>
      <c r="DI121" s="254">
        <f ca="1">TblMili[[#This Row],[Raw (2)]]*(1+race_wizard_strength+IF(TblMili[[#This Row],[Hour]]&gt;72,tech_magical_weaponry_wiz*TblTech[[#This Row],[3-5]],0))</f>
        <v>0</v>
      </c>
    </row>
    <row r="122" spans="1:113" x14ac:dyDescent="0.2">
      <c r="A122" s="137">
        <f>TblRezone[[#This Row],[Hour]]</f>
        <v>119</v>
      </c>
      <c r="B122" s="246">
        <f ca="1">SUM(TblMili[[#This Row],[Unit 1]:[Archmages]])+SUM(OFFSET(TblMili[[#This Row],[Train Unit 1]],-8,0):TblMili[[#This Row],[Train Unit 2]]) + SUM(OFFSET(TblMili[[#This Row],[Train Unit 3]],-11,0):TblMili[[#This Row],[Train AM]]) + TblMili[[#This Row],[Draftees]]</f>
        <v>626</v>
      </c>
      <c r="C122" s="157">
        <f ca="1">TblPop[[#This Row],[Military%]]</f>
        <v>0.81404421326397924</v>
      </c>
      <c r="D122" s="142"/>
      <c r="E122" s="45">
        <f ca="1">OFFSET(TblMili[[#This Row],[Unit 1]],-1,0) + OFFSET(TblMili[[#This Row],[Train Unit 1]],-9,0) - TblMili[[#This Row],[Release Unit 1]] + OFFSET(TblMili[[#This Row],[DnD_Zombies]],-12,0)</f>
        <v>0</v>
      </c>
      <c r="F122" s="45">
        <f ca="1">OFFSET(TblMili[[#This Row],[Unit 2]],-1,0) + OFFSET(TblMili[[#This Row],[Train Unit 2]],-9,0)-TblMili[[#This Row],[Release Unit 2]]</f>
        <v>0</v>
      </c>
      <c r="G122" s="45">
        <f ca="1">OFFSET(TblMili[[#This Row],[Unit 3]],-1,0) + OFFSET(TblMili[[#This Row],[Train Unit 3]],-12,0)-TblMili[[#This Row],[Release Unit 3]]</f>
        <v>0</v>
      </c>
      <c r="H122" s="45">
        <f ca="1">OFFSET(TblMili[[#This Row],[Unit 4]],-1,0) + OFFSET(TblMili[[#This Row],[Train Unit 4]],-12,0)-TblMili[[#This Row],[Release Unit 4]]</f>
        <v>0</v>
      </c>
      <c r="I122" s="45">
        <f ca="1">OFFSET(TblMili[[#This Row],[Spies]],-1,0) + OFFSET(TblMili[[#This Row],[Train Spies]],-12,0) - TblMili[[#This Row],[Release Spies]]-TblMili[[#This Row],[Train AS]]</f>
        <v>0</v>
      </c>
      <c r="J122" s="45">
        <f ca="1">OFFSET(TblMili[[#This Row],[Archspies]],-1,0) + OFFSET(TblMili[[#This Row],[Train AS]],-12,0) - TblMili[[#This Row],[Release AS]]</f>
        <v>0</v>
      </c>
      <c r="K122" s="45">
        <f ca="1">OFFSET(TblMili[[#This Row],[Wizards]],-1,0) + OFFSET(TblMili[[#This Row],[Train Wiz]],-12,0) - TblMili[[#This Row],[Release Wizards]]-TblMili[[#This Row],[Train AM]] + IF(TblMagic[[#This Row],[Active Arc Infusion]]&gt;0,TblMili[[#This Row],[Train AM]])</f>
        <v>0</v>
      </c>
      <c r="L122" s="45">
        <f ca="1">OFFSET(TblMili[[#This Row],[Archmages]],-1,0) + OFFSET(TblMili[[#This Row],[Train AM]],-12,0) - TblMili[[#This Row],[Release AM]]</f>
        <v>0</v>
      </c>
      <c r="M122" s="142"/>
      <c r="N122" s="94">
        <f ca="1">TblProd[[#This Row],[Networth]]</f>
        <v>1250</v>
      </c>
      <c r="O122" s="142"/>
      <c r="P122"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2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2" s="247">
        <f ca="1">TblMili[[#This Row],[Raw]]*(1+TblMili[[#This Row],[Mods_Off]])</f>
        <v>0</v>
      </c>
      <c r="S122"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22" s="247">
        <f ca="1">TblMili[[#This Row],[Non Draft]]+TblMili[[#This Row],[Draftees]]</f>
        <v>626</v>
      </c>
      <c r="U122" s="248">
        <f ca="1">race_defense + TblImps[[#This Row],[Walls]] + ROUND( MIN(gt_bonus*TblConstr[[#This Row],[Tot GT]]/TblConstr[[#This Row],[Land]],gt_bonus_cap), 4) + IF(TblMagic[[#This Row],[Active Howling]]&gt;0,howling_dp_bonus,IF(TblMagic[[#This Row],[Active Ares Call]]&gt;0,ares_call_bonus))</f>
        <v>0</v>
      </c>
      <c r="V122" s="249">
        <f ca="1">TblMili[[#This Row],[Non Draft]] * (1 + TblMili[[#This Row],[Mods_Def]])</f>
        <v>0</v>
      </c>
      <c r="W122" s="247">
        <f ca="1">TblMili[[#This Row],[Draft]] * (1 + TblMili[[#This Row],[Mods_Def]])</f>
        <v>626</v>
      </c>
      <c r="X122" s="247">
        <f ca="1">TblConstr[[#This Row],[Land]]</f>
        <v>50</v>
      </c>
      <c r="Y122" s="250"/>
      <c r="Z122" s="255">
        <f ca="1">IF(TblMili[[#This Row],[Set]]&lt;&gt;"",TblMili[[#This Row],[Set]],OFFSET(TblMili[[#This Row],[Draftrate]],-1,0))</f>
        <v>0.9</v>
      </c>
      <c r="AA122"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626</v>
      </c>
      <c r="AB122" s="154"/>
      <c r="AC122" s="180">
        <f ca="1">(TblConstr[[#This Row],[Tot Smi]]+TblConstr[[#This Row],[Dest Smi]])/(TblConstr[[#This Row],[Land]]-TblExplore[[#This Row],[Land Bonus]]*20)</f>
        <v>0</v>
      </c>
      <c r="AD122" s="137"/>
      <c r="AE122" s="246">
        <f>TblMili[[#This Row],[Hour]]</f>
        <v>119</v>
      </c>
      <c r="AF122" s="138">
        <f ca="1">TblExplore[[#This Row],[Time]]</f>
        <v>46324.91666666638</v>
      </c>
      <c r="AG122" s="179"/>
      <c r="AH122" s="179"/>
      <c r="AI122" s="179"/>
      <c r="AJ122" s="179"/>
      <c r="AK122" s="179"/>
      <c r="AL122" s="179"/>
      <c r="AM122" s="179"/>
      <c r="AN122" s="179"/>
      <c r="AO122" s="420">
        <f ca="1">ROUND(IF(AND(TblMagic[[#This Row],[Active DnD]]&lt;12,TblMagic[[#This Row],[Active DnD]]&gt;5),OFFSET(TblPop[[#This Row],[Draft Growth]],-1,0)*0.375,0),0)</f>
        <v>0</v>
      </c>
      <c r="AP122" s="142"/>
      <c r="AQ122" s="94">
        <f ca="1">TblProd[[#This Row],[Platinum]]</f>
        <v>208190</v>
      </c>
      <c r="AR122" s="94">
        <f ca="1">INDEX(TblProd[[#Headers],[Lumber]]:TblProd[[#This Row],[Ore]],COUNTA(TblProd[[#Headers],[Lumber]]:TblProd[[#This Row],[Lumber]]),MATCH(Military!$AR$2,TblProd[[#Headers],[Lumber]:[Ore]],0))</f>
        <v>0</v>
      </c>
      <c r="AS122"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22" s="94">
        <f ca="1">TblMili[[#This Row],[Train Unit 1]]*TblMili[[#This Row],[OP Ore]]+TblMili[[#This Row],[Train Unit 2]]*TblMili[[#This Row],[DP Ore]]+TblMili[[#This Row],[Train Unit 3]]*TblMili[[#This Row],[E1 Ore]]+TblMili[[#This Row],[Train Unit 4]]*TblMili[[#This Row],[E2 Ore]]</f>
        <v>0</v>
      </c>
      <c r="AU122" s="142">
        <f>TblMili[[#This Row],[Hour]]</f>
        <v>119</v>
      </c>
      <c r="AV122" s="152">
        <f ca="1">TblMili[[#This Row],[Time]]</f>
        <v>46324.91666666638</v>
      </c>
      <c r="AW122" s="94">
        <f ca="1">TblMili[[#This Row],[Draftees]]</f>
        <v>626</v>
      </c>
      <c r="AX122" s="179"/>
      <c r="AY122" s="179"/>
      <c r="AZ122" s="179"/>
      <c r="BA122" s="179"/>
      <c r="BB122" s="179"/>
      <c r="BC122" s="179"/>
      <c r="BD122" s="179"/>
      <c r="BE122" s="179"/>
      <c r="BF122" s="179"/>
      <c r="BG122" s="142"/>
      <c r="BH122" s="157">
        <f ca="1">TblConstr[[#This Row],[Tot WG]]/TblConstr[[#This Row],[Land]]</f>
        <v>0</v>
      </c>
      <c r="BI122" s="157">
        <f ca="1">TblConstr[[#This Row],[Tot Hav]]/TblConstr[[#This Row],[Land]]</f>
        <v>0</v>
      </c>
      <c r="BJ122" s="94">
        <f ca="1">ROUNDUP((1-MIN(TblMili[[#This Row],[Smithies]]*smithy_bonus,smithy_bonus_cap) + tech_3_5*TblTech[[#This Row],[3-5]] + tech_5_3*TblTech[[#This Row],[5-3]] + tech_5_5*TblTech[[#This Row],[5-5]])*spec_op_plat,0)</f>
        <v>315</v>
      </c>
      <c r="BK122" s="94">
        <f ca="1">ROUNDUP(IF(race="Gnome",1,(1-MIN(TblMili[[#This Row],[Smithies]]*smithy_bonus,smithy_bonus_cap) + tech_3_5*TblTech[[#This Row],[3-5]] + tech_5_3*TblTech[[#This Row],[5-3]] + tech_5_5*TblTech[[#This Row],[5-5]]))*spec_op_ore,0)</f>
        <v>25</v>
      </c>
      <c r="BL122" s="94">
        <f ca="1">ROUNDUP((1-MIN(TblMili[[#This Row],[Smithies]]*smithy_bonus,smithy_bonus_cap) + tech_3_5*TblTech[[#This Row],[3-5]] + tech_5_3*TblTech[[#This Row],[5-3]] + tech_5_5*TblTech[[#This Row],[5-5]])*spec_dp_plat,0)</f>
        <v>275</v>
      </c>
      <c r="BM122" s="94">
        <f ca="1">ROUNDUP(IF(race="Gnome",1,(1-MIN(TblMili[[#This Row],[Smithies]]*smithy_bonus,smithy_bonus_cap) + tech_3_5*TblTech[[#This Row],[3-5]] + tech_5_3*TblTech[[#This Row],[5-3]] + tech_5_5*TblTech[[#This Row],[5-5]]))*spec_dp_ore,0)</f>
        <v>15</v>
      </c>
      <c r="BN122" s="94">
        <f ca="1">ROUNDUP((1-MIN(TblMili[[#This Row],[Smithies]]*smithy_bonus,smithy_bonus_cap) + tech_3_5*TblTech[[#This Row],[3-5]] + tech_5_3*TblTech[[#This Row],[5-3]] + tech_5_5*TblTech[[#This Row],[5-5]])*elite1_plat,0)</f>
        <v>1040</v>
      </c>
      <c r="BO122" s="94">
        <f ca="1">ROUNDUP(IF(race="Gnome",1,(1-MIN(TblMili[[#This Row],[Smithies]]*smithy_bonus,smithy_bonus_cap) + tech_3_5*TblTech[[#This Row],[3-5]] + tech_5_3*TblTech[[#This Row],[5-3]] + tech_5_5*TblTech[[#This Row],[5-5]]))*elite1_ore,0)</f>
        <v>75</v>
      </c>
      <c r="BP122" s="94">
        <f ca="1">ROUNDUP((1-MIN(TblMili[[#This Row],[Smithies]]*smithy_bonus,smithy_bonus_cap) + tech_3_5*TblTech[[#This Row],[3-5]] + tech_5_3*TblTech[[#This Row],[5-3]] + tech_5_5*TblTech[[#This Row],[5-5]])*elite2_plat,0)</f>
        <v>1280</v>
      </c>
      <c r="BQ122" s="94">
        <f ca="1">ROUNDUP(IF(race="Gnome",1,(1-MIN(TblMili[[#This Row],[Smithies]]*smithy_bonus,smithy_bonus_cap) + tech_3_5*TblTech[[#This Row],[3-5]] + tech_5_3*TblTech[[#This Row],[5-3]] + tech_5_5*TblTech[[#This Row],[5-5]]))*elite2_ore,0)</f>
        <v>100</v>
      </c>
      <c r="BR122" s="94">
        <f ca="1">ROUNDUP((1-MIN(ROUND(fh_spy_cost_red*TblMili[[#This Row],[FH''s]],4),fh_spy_cost_cap)+ tech_1_9*TblTech[[#This Row],[1-9]] + tech_9_1*TblTech[[#This Row],[9-1]])*spy_plat,0)</f>
        <v>500</v>
      </c>
      <c r="BS122" s="94">
        <f ca="1">ROUNDUP((1-MIN(ROUND(fh_spy_cost_red*TblMili[[#This Row],[FH''s]],4),fh_spy_cost_cap)+ tech_1_9*TblTech[[#This Row],[1-9]] + tech_9_1*TblTech[[#This Row],[9-1]])*archspy_plat,0)</f>
        <v>1000</v>
      </c>
      <c r="BT122" s="94">
        <f ca="1">ROUNDUP((1-MIN(ROUND(wg_wiz_cost_bonus*TblMili[[#This Row],[WG''s]],4),wg_wiz_cost_cap) + tech_1_9_2*TblTech[[#This Row],[1-9]] + tech_9_1_2*TblTech[[#This Row],[9-1]])*wizard_plat,0)</f>
        <v>500</v>
      </c>
      <c r="BU122" s="94">
        <f ca="1">ROUNDUP((1-MIN(ROUND(wg_wiz_cost_bonus*TblMili[[#This Row],[WG''s]],4),wg_wiz_cost_cap) + tech_1_9_2*TblTech[[#This Row],[1-9]] + tech_9_1_2*TblTech[[#This Row],[9-1]])*(archmage_plat + IF(TblMagic[[#This Row],[Active Arc Infusion]]&gt;0,400,0)),0)</f>
        <v>1000</v>
      </c>
      <c r="BV122" s="142"/>
      <c r="BW122" s="157">
        <f ca="1">TblConstr[[#This Row],[Homeland]]/TblConstr[[#This Row],[Land]]</f>
        <v>0.6</v>
      </c>
      <c r="BX122" s="157">
        <f ca="1">TblMili[[#This Row],[WG''s]]</f>
        <v>0</v>
      </c>
      <c r="BY122" s="251">
        <f ca="1">IF(mystic_cap="none",TblMili[[#This Row],[Homeland%]]/mystic_bonus,MIN(mystic_cap,TblMili[[#This Row],[Homeland%]]/mystic_bonus))</f>
        <v>2</v>
      </c>
      <c r="BZ122" s="251">
        <f ca="1">IF(druid_op_cap="none",TblMili[[#This Row],[Homeland%]]/druid_op_bonus,MIN(druid_op_cap,TblMili[[#This Row],[Homeland%]]/druid_op_bonus))</f>
        <v>2</v>
      </c>
      <c r="CA122" s="251">
        <f ca="1">IF(druid_dp_cap="none",TblMili[[#This Row],[Homeland%]]/druid_dp_bonus,MIN(druid_dp_cap,TblMili[[#This Row],[Homeland%]]/druid_dp_bonus))</f>
        <v>2</v>
      </c>
      <c r="CB122" s="251">
        <f ca="1">MIN(dryad_cap,TblMili[[#This Row],[Homeland%]]/dryad_bonus)</f>
        <v>2.9999999999999996</v>
      </c>
      <c r="CC122" s="251">
        <f ca="1">MIN(rocka_cap,TblMili[[#This Row],[Homeland%]]/rocka_bonus)</f>
        <v>2</v>
      </c>
      <c r="CD122" s="251">
        <f ca="1">MIN(adept_op_cap,TblMili[[#This Row],[WG]]/adept_op_bonus)</f>
        <v>0</v>
      </c>
      <c r="CE122" s="251">
        <f ca="1">MIN(adept_dp_cap,TblMili[[#This Row],[WG]]/adept_dp_bonus)</f>
        <v>0</v>
      </c>
      <c r="CF122" s="94">
        <f ca="1">MIN(TblMili[[#This Row],[Unit 3]],TblMili[[#This Row],[Unit 2]])*2</f>
        <v>0</v>
      </c>
      <c r="CG122" s="94">
        <f ca="1">MIN(TblMili[[#This Row],[Unit 1]],TblMili[[#This Row],[Unit 4]])*2</f>
        <v>0</v>
      </c>
      <c r="CH122" s="251">
        <f ca="1">MIN(frost_mage_cap,TblMili[[#This Row],[Homeland%]]/frost_mage_bonus)</f>
        <v>2.9999999999999996</v>
      </c>
      <c r="CI122" s="45">
        <f ca="1">MIN(ice_elem_cap,TblMili[[#This Row],[Raw (2)]]*ice_elem_bonus)</f>
        <v>0</v>
      </c>
      <c r="CJ122" s="251">
        <f t="shared" si="4"/>
        <v>0.83333333333333337</v>
      </c>
      <c r="CK122" s="251">
        <f ca="1">MIN(nox_nightshade_cap,TblConstr[[#This Row],[Homeland]]/TblConstr[[#This Row],[Land]]/nox_nightshade_swamp_bonus)</f>
        <v>4</v>
      </c>
      <c r="CL122" s="251">
        <f ca="1">MIN(TblConstr[[#This Row],[Total Swamp]]/TblConstr[[#This Row],[Land]]/abyss_enforce_bonus,abyss_enforcer_cap)</f>
        <v>0</v>
      </c>
      <c r="CM122" s="251">
        <f ca="1">IF(TblMagic[[#This Row],[Active Infernal Command]]&gt;0,TblMili[[#This Row],[Unit 1]]*infernal_cmd_op,0)</f>
        <v>0</v>
      </c>
      <c r="CN122" s="252"/>
      <c r="CO122" s="252"/>
      <c r="CP122" s="252"/>
      <c r="CQ122" s="251">
        <f ca="1">TblMili[[#This Row],[Mystic]]*2</f>
        <v>4</v>
      </c>
      <c r="CR122" s="251">
        <f ca="1">TblMili[[#This Row],[Druid (op)]]*2</f>
        <v>4</v>
      </c>
      <c r="CS122" s="94">
        <f ca="1">TblMili[[#This Row],[Mystic bonus]]*TblMili[[#This Row],[Unit 3]]+TblMili[[#This Row],[Druid bonus]]*TblMili[[#This Row],[Unit 4]]</f>
        <v>0</v>
      </c>
      <c r="CT122" s="155">
        <f ca="1">TblMili[[#This Row],[Dryad]]*2</f>
        <v>5.9999999999999991</v>
      </c>
      <c r="CU122" s="94">
        <f ca="1">sylvan*(TblMili[[#This Row],[Mystic bonus]]*TblMili[[#This Row],[Unit 3]])</f>
        <v>0</v>
      </c>
      <c r="CV122" s="155">
        <f ca="1">TblMili[[#This Row],[Rockapult]]*2</f>
        <v>4</v>
      </c>
      <c r="CW122" s="94">
        <f ca="1">gnome*(TblMili[[#This Row],[Rockapult bonus]]*TblMili[[#This Row],[Unit 3]])</f>
        <v>0</v>
      </c>
      <c r="CX122" s="155">
        <f ca="1">TblMili[[#This Row],[Adept-DP]]*2</f>
        <v>0</v>
      </c>
      <c r="CY122" s="94">
        <f ca="1">dark_elf*(TblMili[[#This Row],[Adept bonus]]*TblMili[[#This Row],[Unit 3]])</f>
        <v>0</v>
      </c>
      <c r="CZ122" s="155">
        <f ca="1">TblMili[[#This Row],[Frost Mage]]*2</f>
        <v>5.9999999999999991</v>
      </c>
      <c r="DA122" s="155">
        <f ca="1">TblMili[[#This Row],[Ice Elemental]]*2</f>
        <v>0</v>
      </c>
      <c r="DB122" s="94">
        <f ca="1">TblMili[[#This Row],[Frost Mage bonus]]*TblMili[[#This Row],[Unit 3]]+TblMili[[#This Row],[Ice Elemental bonus]]*TblMili[[#This Row],[Unit 4]]</f>
        <v>0</v>
      </c>
      <c r="DC122" s="253"/>
      <c r="DD122" s="143">
        <f ca="1">MIN(SUM(TblConstr[[#This Row],[Plain]:[Water]])/TblMili[[#This Row],[Land]]/favorable_terrain_bonus/100,favorable_terrain_max)</f>
        <v>0</v>
      </c>
      <c r="DE122" s="253"/>
      <c r="DF12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2" s="142"/>
      <c r="DH122" s="254">
        <f ca="1">(TblMili[[#This Row],[Wizards]]+2*TblMili[[#This Row],[Archmages]])/TblConstr[[#This Row],[Land]]</f>
        <v>0</v>
      </c>
      <c r="DI122" s="254">
        <f ca="1">TblMili[[#This Row],[Raw (2)]]*(1+race_wizard_strength+IF(TblMili[[#This Row],[Hour]]&gt;72,tech_magical_weaponry_wiz*TblTech[[#This Row],[3-5]],0))</f>
        <v>0</v>
      </c>
    </row>
    <row r="123" spans="1:113" x14ac:dyDescent="0.2">
      <c r="A123" s="137">
        <f>TblRezone[[#This Row],[Hour]]</f>
        <v>120</v>
      </c>
      <c r="B123" s="246">
        <f ca="1">SUM(TblMili[[#This Row],[Unit 1]:[Archmages]])+SUM(OFFSET(TblMili[[#This Row],[Train Unit 1]],-8,0):TblMili[[#This Row],[Train Unit 2]]) + SUM(OFFSET(TblMili[[#This Row],[Train Unit 3]],-11,0):TblMili[[#This Row],[Train AM]]) + TblMili[[#This Row],[Draftees]]</f>
        <v>627</v>
      </c>
      <c r="C123" s="157">
        <f ca="1">TblPop[[#This Row],[Military%]]</f>
        <v>0.81534460338101433</v>
      </c>
      <c r="D123" s="142"/>
      <c r="E123" s="45">
        <f ca="1">OFFSET(TblMili[[#This Row],[Unit 1]],-1,0) + OFFSET(TblMili[[#This Row],[Train Unit 1]],-9,0) - TblMili[[#This Row],[Release Unit 1]] + OFFSET(TblMili[[#This Row],[DnD_Zombies]],-12,0)</f>
        <v>0</v>
      </c>
      <c r="F123" s="45">
        <f ca="1">OFFSET(TblMili[[#This Row],[Unit 2]],-1,0) + OFFSET(TblMili[[#This Row],[Train Unit 2]],-9,0)-TblMili[[#This Row],[Release Unit 2]]</f>
        <v>0</v>
      </c>
      <c r="G123" s="45">
        <f ca="1">OFFSET(TblMili[[#This Row],[Unit 3]],-1,0) + OFFSET(TblMili[[#This Row],[Train Unit 3]],-12,0)-TblMili[[#This Row],[Release Unit 3]]</f>
        <v>0</v>
      </c>
      <c r="H123" s="45">
        <f ca="1">OFFSET(TblMili[[#This Row],[Unit 4]],-1,0) + OFFSET(TblMili[[#This Row],[Train Unit 4]],-12,0)-TblMili[[#This Row],[Release Unit 4]]</f>
        <v>0</v>
      </c>
      <c r="I123" s="45">
        <f ca="1">OFFSET(TblMili[[#This Row],[Spies]],-1,0) + OFFSET(TblMili[[#This Row],[Train Spies]],-12,0) - TblMili[[#This Row],[Release Spies]]-TblMili[[#This Row],[Train AS]]</f>
        <v>0</v>
      </c>
      <c r="J123" s="45">
        <f ca="1">OFFSET(TblMili[[#This Row],[Archspies]],-1,0) + OFFSET(TblMili[[#This Row],[Train AS]],-12,0) - TblMili[[#This Row],[Release AS]]</f>
        <v>0</v>
      </c>
      <c r="K123" s="45">
        <f ca="1">OFFSET(TblMili[[#This Row],[Wizards]],-1,0) + OFFSET(TblMili[[#This Row],[Train Wiz]],-12,0) - TblMili[[#This Row],[Release Wizards]]-TblMili[[#This Row],[Train AM]] + IF(TblMagic[[#This Row],[Active Arc Infusion]]&gt;0,TblMili[[#This Row],[Train AM]])</f>
        <v>0</v>
      </c>
      <c r="L123" s="45">
        <f ca="1">OFFSET(TblMili[[#This Row],[Archmages]],-1,0) + OFFSET(TblMili[[#This Row],[Train AM]],-12,0) - TblMili[[#This Row],[Release AM]]</f>
        <v>0</v>
      </c>
      <c r="M123" s="142"/>
      <c r="N123" s="94">
        <f ca="1">TblProd[[#This Row],[Networth]]</f>
        <v>1250</v>
      </c>
      <c r="O123" s="142"/>
      <c r="P123"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2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3" s="247">
        <f ca="1">TblMili[[#This Row],[Raw]]*(1+TblMili[[#This Row],[Mods_Off]])</f>
        <v>0</v>
      </c>
      <c r="S123"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23" s="247">
        <f ca="1">TblMili[[#This Row],[Non Draft]]+TblMili[[#This Row],[Draftees]]</f>
        <v>627</v>
      </c>
      <c r="U123" s="248">
        <f ca="1">race_defense + TblImps[[#This Row],[Walls]] + ROUND( MIN(gt_bonus*TblConstr[[#This Row],[Tot GT]]/TblConstr[[#This Row],[Land]],gt_bonus_cap), 4) + IF(TblMagic[[#This Row],[Active Howling]]&gt;0,howling_dp_bonus,IF(TblMagic[[#This Row],[Active Ares Call]]&gt;0,ares_call_bonus))</f>
        <v>0</v>
      </c>
      <c r="V123" s="249">
        <f ca="1">TblMili[[#This Row],[Non Draft]] * (1 + TblMili[[#This Row],[Mods_Def]])</f>
        <v>0</v>
      </c>
      <c r="W123" s="247">
        <f ca="1">TblMili[[#This Row],[Draft]] * (1 + TblMili[[#This Row],[Mods_Def]])</f>
        <v>627</v>
      </c>
      <c r="X123" s="247">
        <f ca="1">TblConstr[[#This Row],[Land]]</f>
        <v>50</v>
      </c>
      <c r="Y123" s="250"/>
      <c r="Z123" s="255">
        <f ca="1">IF(TblMili[[#This Row],[Set]]&lt;&gt;"",TblMili[[#This Row],[Set]],OFFSET(TblMili[[#This Row],[Draftrate]],-1,0))</f>
        <v>0.9</v>
      </c>
      <c r="AA123"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627</v>
      </c>
      <c r="AB123" s="154"/>
      <c r="AC123" s="180">
        <f ca="1">(TblConstr[[#This Row],[Tot Smi]]+TblConstr[[#This Row],[Dest Smi]])/(TblConstr[[#This Row],[Land]]-TblExplore[[#This Row],[Land Bonus]]*20)</f>
        <v>0</v>
      </c>
      <c r="AD123" s="137"/>
      <c r="AE123" s="246">
        <f>TblMili[[#This Row],[Hour]]</f>
        <v>120</v>
      </c>
      <c r="AF123" s="138">
        <f ca="1">TblExplore[[#This Row],[Time]]</f>
        <v>46324.958333333045</v>
      </c>
      <c r="AG123" s="179"/>
      <c r="AH123" s="179"/>
      <c r="AI123" s="179"/>
      <c r="AJ123" s="179"/>
      <c r="AK123" s="179"/>
      <c r="AL123" s="179"/>
      <c r="AM123" s="179"/>
      <c r="AN123" s="179"/>
      <c r="AO123" s="420">
        <f ca="1">ROUND(IF(AND(TblMagic[[#This Row],[Active DnD]]&lt;12,TblMagic[[#This Row],[Active DnD]]&gt;5),OFFSET(TblPop[[#This Row],[Draft Growth]],-1,0)*0.375,0),0)</f>
        <v>0</v>
      </c>
      <c r="AP123" s="142"/>
      <c r="AQ123" s="94">
        <f ca="1">TblProd[[#This Row],[Platinum]]</f>
        <v>208576</v>
      </c>
      <c r="AR123" s="94">
        <f ca="1">INDEX(TblProd[[#Headers],[Lumber]]:TblProd[[#This Row],[Ore]],COUNTA(TblProd[[#Headers],[Lumber]]:TblProd[[#This Row],[Lumber]]),MATCH(Military!$AR$2,TblProd[[#Headers],[Lumber]:[Ore]],0))</f>
        <v>0</v>
      </c>
      <c r="AS12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23" s="94">
        <f ca="1">TblMili[[#This Row],[Train Unit 1]]*TblMili[[#This Row],[OP Ore]]+TblMili[[#This Row],[Train Unit 2]]*TblMili[[#This Row],[DP Ore]]+TblMili[[#This Row],[Train Unit 3]]*TblMili[[#This Row],[E1 Ore]]+TblMili[[#This Row],[Train Unit 4]]*TblMili[[#This Row],[E2 Ore]]</f>
        <v>0</v>
      </c>
      <c r="AU123" s="142">
        <f>TblMili[[#This Row],[Hour]]</f>
        <v>120</v>
      </c>
      <c r="AV123" s="152">
        <f ca="1">TblMili[[#This Row],[Time]]</f>
        <v>46324.958333333045</v>
      </c>
      <c r="AW123" s="94">
        <f ca="1">TblMili[[#This Row],[Draftees]]</f>
        <v>627</v>
      </c>
      <c r="AX123" s="179"/>
      <c r="AY123" s="179"/>
      <c r="AZ123" s="179"/>
      <c r="BA123" s="179"/>
      <c r="BB123" s="179"/>
      <c r="BC123" s="179"/>
      <c r="BD123" s="179"/>
      <c r="BE123" s="179"/>
      <c r="BF123" s="179"/>
      <c r="BG123" s="142"/>
      <c r="BH123" s="157">
        <f ca="1">TblConstr[[#This Row],[Tot WG]]/TblConstr[[#This Row],[Land]]</f>
        <v>0</v>
      </c>
      <c r="BI123" s="157">
        <f ca="1">TblConstr[[#This Row],[Tot Hav]]/TblConstr[[#This Row],[Land]]</f>
        <v>0</v>
      </c>
      <c r="BJ123" s="94">
        <f ca="1">ROUNDUP((1-MIN(TblMili[[#This Row],[Smithies]]*smithy_bonus,smithy_bonus_cap) + tech_3_5*TblTech[[#This Row],[3-5]] + tech_5_3*TblTech[[#This Row],[5-3]] + tech_5_5*TblTech[[#This Row],[5-5]])*spec_op_plat,0)</f>
        <v>315</v>
      </c>
      <c r="BK123" s="94">
        <f ca="1">ROUNDUP(IF(race="Gnome",1,(1-MIN(TblMili[[#This Row],[Smithies]]*smithy_bonus,smithy_bonus_cap) + tech_3_5*TblTech[[#This Row],[3-5]] + tech_5_3*TblTech[[#This Row],[5-3]] + tech_5_5*TblTech[[#This Row],[5-5]]))*spec_op_ore,0)</f>
        <v>25</v>
      </c>
      <c r="BL123" s="94">
        <f ca="1">ROUNDUP((1-MIN(TblMili[[#This Row],[Smithies]]*smithy_bonus,smithy_bonus_cap) + tech_3_5*TblTech[[#This Row],[3-5]] + tech_5_3*TblTech[[#This Row],[5-3]] + tech_5_5*TblTech[[#This Row],[5-5]])*spec_dp_plat,0)</f>
        <v>275</v>
      </c>
      <c r="BM123" s="94">
        <f ca="1">ROUNDUP(IF(race="Gnome",1,(1-MIN(TblMili[[#This Row],[Smithies]]*smithy_bonus,smithy_bonus_cap) + tech_3_5*TblTech[[#This Row],[3-5]] + tech_5_3*TblTech[[#This Row],[5-3]] + tech_5_5*TblTech[[#This Row],[5-5]]))*spec_dp_ore,0)</f>
        <v>15</v>
      </c>
      <c r="BN123" s="94">
        <f ca="1">ROUNDUP((1-MIN(TblMili[[#This Row],[Smithies]]*smithy_bonus,smithy_bonus_cap) + tech_3_5*TblTech[[#This Row],[3-5]] + tech_5_3*TblTech[[#This Row],[5-3]] + tech_5_5*TblTech[[#This Row],[5-5]])*elite1_plat,0)</f>
        <v>1040</v>
      </c>
      <c r="BO123" s="94">
        <f ca="1">ROUNDUP(IF(race="Gnome",1,(1-MIN(TblMili[[#This Row],[Smithies]]*smithy_bonus,smithy_bonus_cap) + tech_3_5*TblTech[[#This Row],[3-5]] + tech_5_3*TblTech[[#This Row],[5-3]] + tech_5_5*TblTech[[#This Row],[5-5]]))*elite1_ore,0)</f>
        <v>75</v>
      </c>
      <c r="BP123" s="94">
        <f ca="1">ROUNDUP((1-MIN(TblMili[[#This Row],[Smithies]]*smithy_bonus,smithy_bonus_cap) + tech_3_5*TblTech[[#This Row],[3-5]] + tech_5_3*TblTech[[#This Row],[5-3]] + tech_5_5*TblTech[[#This Row],[5-5]])*elite2_plat,0)</f>
        <v>1280</v>
      </c>
      <c r="BQ123" s="94">
        <f ca="1">ROUNDUP(IF(race="Gnome",1,(1-MIN(TblMili[[#This Row],[Smithies]]*smithy_bonus,smithy_bonus_cap) + tech_3_5*TblTech[[#This Row],[3-5]] + tech_5_3*TblTech[[#This Row],[5-3]] + tech_5_5*TblTech[[#This Row],[5-5]]))*elite2_ore,0)</f>
        <v>100</v>
      </c>
      <c r="BR123" s="94">
        <f ca="1">ROUNDUP((1-MIN(ROUND(fh_spy_cost_red*TblMili[[#This Row],[FH''s]],4),fh_spy_cost_cap)+ tech_1_9*TblTech[[#This Row],[1-9]] + tech_9_1*TblTech[[#This Row],[9-1]])*spy_plat,0)</f>
        <v>500</v>
      </c>
      <c r="BS123" s="94">
        <f ca="1">ROUNDUP((1-MIN(ROUND(fh_spy_cost_red*TblMili[[#This Row],[FH''s]],4),fh_spy_cost_cap)+ tech_1_9*TblTech[[#This Row],[1-9]] + tech_9_1*TblTech[[#This Row],[9-1]])*archspy_plat,0)</f>
        <v>1000</v>
      </c>
      <c r="BT123" s="94">
        <f ca="1">ROUNDUP((1-MIN(ROUND(wg_wiz_cost_bonus*TblMili[[#This Row],[WG''s]],4),wg_wiz_cost_cap) + tech_1_9_2*TblTech[[#This Row],[1-9]] + tech_9_1_2*TblTech[[#This Row],[9-1]])*wizard_plat,0)</f>
        <v>500</v>
      </c>
      <c r="BU123" s="94">
        <f ca="1">ROUNDUP((1-MIN(ROUND(wg_wiz_cost_bonus*TblMili[[#This Row],[WG''s]],4),wg_wiz_cost_cap) + tech_1_9_2*TblTech[[#This Row],[1-9]] + tech_9_1_2*TblTech[[#This Row],[9-1]])*(archmage_plat + IF(TblMagic[[#This Row],[Active Arc Infusion]]&gt;0,400,0)),0)</f>
        <v>1000</v>
      </c>
      <c r="BV123" s="142"/>
      <c r="BW123" s="157">
        <f ca="1">TblConstr[[#This Row],[Homeland]]/TblConstr[[#This Row],[Land]]</f>
        <v>0.6</v>
      </c>
      <c r="BX123" s="157">
        <f ca="1">TblMili[[#This Row],[WG''s]]</f>
        <v>0</v>
      </c>
      <c r="BY123" s="251">
        <f ca="1">IF(mystic_cap="none",TblMili[[#This Row],[Homeland%]]/mystic_bonus,MIN(mystic_cap,TblMili[[#This Row],[Homeland%]]/mystic_bonus))</f>
        <v>2</v>
      </c>
      <c r="BZ123" s="251">
        <f ca="1">IF(druid_op_cap="none",TblMili[[#This Row],[Homeland%]]/druid_op_bonus,MIN(druid_op_cap,TblMili[[#This Row],[Homeland%]]/druid_op_bonus))</f>
        <v>2</v>
      </c>
      <c r="CA123" s="251">
        <f ca="1">IF(druid_dp_cap="none",TblMili[[#This Row],[Homeland%]]/druid_dp_bonus,MIN(druid_dp_cap,TblMili[[#This Row],[Homeland%]]/druid_dp_bonus))</f>
        <v>2</v>
      </c>
      <c r="CB123" s="251">
        <f ca="1">MIN(dryad_cap,TblMili[[#This Row],[Homeland%]]/dryad_bonus)</f>
        <v>2.9999999999999996</v>
      </c>
      <c r="CC123" s="251">
        <f ca="1">MIN(rocka_cap,TblMili[[#This Row],[Homeland%]]/rocka_bonus)</f>
        <v>2</v>
      </c>
      <c r="CD123" s="251">
        <f ca="1">MIN(adept_op_cap,TblMili[[#This Row],[WG]]/adept_op_bonus)</f>
        <v>0</v>
      </c>
      <c r="CE123" s="251">
        <f ca="1">MIN(adept_dp_cap,TblMili[[#This Row],[WG]]/adept_dp_bonus)</f>
        <v>0</v>
      </c>
      <c r="CF123" s="94">
        <f ca="1">MIN(TblMili[[#This Row],[Unit 3]],TblMili[[#This Row],[Unit 2]])*2</f>
        <v>0</v>
      </c>
      <c r="CG123" s="94">
        <f ca="1">MIN(TblMili[[#This Row],[Unit 1]],TblMili[[#This Row],[Unit 4]])*2</f>
        <v>0</v>
      </c>
      <c r="CH123" s="251">
        <f ca="1">MIN(frost_mage_cap,TblMili[[#This Row],[Homeland%]]/frost_mage_bonus)</f>
        <v>2.9999999999999996</v>
      </c>
      <c r="CI123" s="45">
        <f ca="1">MIN(ice_elem_cap,TblMili[[#This Row],[Raw (2)]]*ice_elem_bonus)</f>
        <v>0</v>
      </c>
      <c r="CJ123" s="251">
        <f t="shared" si="4"/>
        <v>0.83333333333333337</v>
      </c>
      <c r="CK123" s="251">
        <f ca="1">MIN(nox_nightshade_cap,TblConstr[[#This Row],[Homeland]]/TblConstr[[#This Row],[Land]]/nox_nightshade_swamp_bonus)</f>
        <v>4</v>
      </c>
      <c r="CL123" s="251">
        <f ca="1">MIN(TblConstr[[#This Row],[Total Swamp]]/TblConstr[[#This Row],[Land]]/abyss_enforce_bonus,abyss_enforcer_cap)</f>
        <v>0</v>
      </c>
      <c r="CM123" s="251">
        <f ca="1">IF(TblMagic[[#This Row],[Active Infernal Command]]&gt;0,TblMili[[#This Row],[Unit 1]]*infernal_cmd_op,0)</f>
        <v>0</v>
      </c>
      <c r="CN123" s="252"/>
      <c r="CO123" s="252"/>
      <c r="CP123" s="252"/>
      <c r="CQ123" s="251">
        <f ca="1">TblMili[[#This Row],[Mystic]]*2</f>
        <v>4</v>
      </c>
      <c r="CR123" s="251">
        <f ca="1">TblMili[[#This Row],[Druid (op)]]*2</f>
        <v>4</v>
      </c>
      <c r="CS123" s="94">
        <f ca="1">TblMili[[#This Row],[Mystic bonus]]*TblMili[[#This Row],[Unit 3]]+TblMili[[#This Row],[Druid bonus]]*TblMili[[#This Row],[Unit 4]]</f>
        <v>0</v>
      </c>
      <c r="CT123" s="155">
        <f ca="1">TblMili[[#This Row],[Dryad]]*2</f>
        <v>5.9999999999999991</v>
      </c>
      <c r="CU123" s="94">
        <f ca="1">sylvan*(TblMili[[#This Row],[Mystic bonus]]*TblMili[[#This Row],[Unit 3]])</f>
        <v>0</v>
      </c>
      <c r="CV123" s="155">
        <f ca="1">TblMili[[#This Row],[Rockapult]]*2</f>
        <v>4</v>
      </c>
      <c r="CW123" s="94">
        <f ca="1">gnome*(TblMili[[#This Row],[Rockapult bonus]]*TblMili[[#This Row],[Unit 3]])</f>
        <v>0</v>
      </c>
      <c r="CX123" s="155">
        <f ca="1">TblMili[[#This Row],[Adept-DP]]*2</f>
        <v>0</v>
      </c>
      <c r="CY123" s="94">
        <f ca="1">dark_elf*(TblMili[[#This Row],[Adept bonus]]*TblMili[[#This Row],[Unit 3]])</f>
        <v>0</v>
      </c>
      <c r="CZ123" s="155">
        <f ca="1">TblMili[[#This Row],[Frost Mage]]*2</f>
        <v>5.9999999999999991</v>
      </c>
      <c r="DA123" s="155">
        <f ca="1">TblMili[[#This Row],[Ice Elemental]]*2</f>
        <v>0</v>
      </c>
      <c r="DB123" s="94">
        <f ca="1">TblMili[[#This Row],[Frost Mage bonus]]*TblMili[[#This Row],[Unit 3]]+TblMili[[#This Row],[Ice Elemental bonus]]*TblMili[[#This Row],[Unit 4]]</f>
        <v>0</v>
      </c>
      <c r="DC123" s="253"/>
      <c r="DD123" s="143">
        <f ca="1">MIN(SUM(TblConstr[[#This Row],[Plain]:[Water]])/TblMili[[#This Row],[Land]]/favorable_terrain_bonus/100,favorable_terrain_max)</f>
        <v>0</v>
      </c>
      <c r="DE123" s="253"/>
      <c r="DF12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3" s="142"/>
      <c r="DH123" s="254">
        <f ca="1">(TblMili[[#This Row],[Wizards]]+2*TblMili[[#This Row],[Archmages]])/TblConstr[[#This Row],[Land]]</f>
        <v>0</v>
      </c>
      <c r="DI123" s="254">
        <f ca="1">TblMili[[#This Row],[Raw (2)]]*(1+race_wizard_strength+IF(TblMili[[#This Row],[Hour]]&gt;72,tech_magical_weaponry_wiz*TblTech[[#This Row],[3-5]],0))</f>
        <v>0</v>
      </c>
    </row>
    <row r="124" spans="1:113" x14ac:dyDescent="0.2">
      <c r="A124" s="137">
        <f>TblRezone[[#This Row],[Hour]]</f>
        <v>121</v>
      </c>
      <c r="B124" s="246">
        <f ca="1">SUM(TblMili[[#This Row],[Unit 1]:[Archmages]])+SUM(OFFSET(TblMili[[#This Row],[Train Unit 1]],-8,0):TblMili[[#This Row],[Train Unit 2]]) + SUM(OFFSET(TblMili[[#This Row],[Train Unit 3]],-11,0):TblMili[[#This Row],[Train AM]]) + TblMili[[#This Row],[Draftees]]</f>
        <v>628</v>
      </c>
      <c r="C124" s="157">
        <f ca="1">TblPop[[#This Row],[Military%]]</f>
        <v>0.81664499349804942</v>
      </c>
      <c r="D124" s="142"/>
      <c r="E124" s="45">
        <f ca="1">OFFSET(TblMili[[#This Row],[Unit 1]],-1,0) + OFFSET(TblMili[[#This Row],[Train Unit 1]],-9,0) - TblMili[[#This Row],[Release Unit 1]] + OFFSET(TblMili[[#This Row],[DnD_Zombies]],-12,0)</f>
        <v>0</v>
      </c>
      <c r="F124" s="45">
        <f ca="1">OFFSET(TblMili[[#This Row],[Unit 2]],-1,0) + OFFSET(TblMili[[#This Row],[Train Unit 2]],-9,0)-TblMili[[#This Row],[Release Unit 2]]</f>
        <v>0</v>
      </c>
      <c r="G124" s="45">
        <f ca="1">OFFSET(TblMili[[#This Row],[Unit 3]],-1,0) + OFFSET(TblMili[[#This Row],[Train Unit 3]],-12,0)-TblMili[[#This Row],[Release Unit 3]]</f>
        <v>0</v>
      </c>
      <c r="H124" s="45">
        <f ca="1">OFFSET(TblMili[[#This Row],[Unit 4]],-1,0) + OFFSET(TblMili[[#This Row],[Train Unit 4]],-12,0)-TblMili[[#This Row],[Release Unit 4]]</f>
        <v>0</v>
      </c>
      <c r="I124" s="45">
        <f ca="1">OFFSET(TblMili[[#This Row],[Spies]],-1,0) + OFFSET(TblMili[[#This Row],[Train Spies]],-12,0) - TblMili[[#This Row],[Release Spies]]-TblMili[[#This Row],[Train AS]]</f>
        <v>0</v>
      </c>
      <c r="J124" s="45">
        <f ca="1">OFFSET(TblMili[[#This Row],[Archspies]],-1,0) + OFFSET(TblMili[[#This Row],[Train AS]],-12,0) - TblMili[[#This Row],[Release AS]]</f>
        <v>0</v>
      </c>
      <c r="K124" s="45">
        <f ca="1">OFFSET(TblMili[[#This Row],[Wizards]],-1,0) + OFFSET(TblMili[[#This Row],[Train Wiz]],-12,0) - TblMili[[#This Row],[Release Wizards]]-TblMili[[#This Row],[Train AM]] + IF(TblMagic[[#This Row],[Active Arc Infusion]]&gt;0,TblMili[[#This Row],[Train AM]])</f>
        <v>0</v>
      </c>
      <c r="L124" s="45">
        <f ca="1">OFFSET(TblMili[[#This Row],[Archmages]],-1,0) + OFFSET(TblMili[[#This Row],[Train AM]],-12,0) - TblMili[[#This Row],[Release AM]]</f>
        <v>0</v>
      </c>
      <c r="M124" s="142"/>
      <c r="N124" s="94">
        <f ca="1">TblProd[[#This Row],[Networth]]</f>
        <v>1250</v>
      </c>
      <c r="O124" s="142"/>
      <c r="P124"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2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4" s="247">
        <f ca="1">TblMili[[#This Row],[Raw]]*(1+TblMili[[#This Row],[Mods_Off]])</f>
        <v>0</v>
      </c>
      <c r="S124"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24" s="247">
        <f ca="1">TblMili[[#This Row],[Non Draft]]+TblMili[[#This Row],[Draftees]]</f>
        <v>628</v>
      </c>
      <c r="U124" s="248">
        <f ca="1">race_defense + TblImps[[#This Row],[Walls]] + ROUND( MIN(gt_bonus*TblConstr[[#This Row],[Tot GT]]/TblConstr[[#This Row],[Land]],gt_bonus_cap), 4) + IF(TblMagic[[#This Row],[Active Howling]]&gt;0,howling_dp_bonus,IF(TblMagic[[#This Row],[Active Ares Call]]&gt;0,ares_call_bonus))</f>
        <v>0</v>
      </c>
      <c r="V124" s="249">
        <f ca="1">TblMili[[#This Row],[Non Draft]] * (1 + TblMili[[#This Row],[Mods_Def]])</f>
        <v>0</v>
      </c>
      <c r="W124" s="247">
        <f ca="1">TblMili[[#This Row],[Draft]] * (1 + TblMili[[#This Row],[Mods_Def]])</f>
        <v>628</v>
      </c>
      <c r="X124" s="247">
        <f ca="1">TblConstr[[#This Row],[Land]]</f>
        <v>50</v>
      </c>
      <c r="Y124" s="250"/>
      <c r="Z124" s="255">
        <f ca="1">IF(TblMili[[#This Row],[Set]]&lt;&gt;"",TblMili[[#This Row],[Set]],OFFSET(TblMili[[#This Row],[Draftrate]],-1,0))</f>
        <v>0.9</v>
      </c>
      <c r="AA124"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628</v>
      </c>
      <c r="AB124" s="154"/>
      <c r="AC124" s="180">
        <f ca="1">(TblConstr[[#This Row],[Tot Smi]]+TblConstr[[#This Row],[Dest Smi]])/(TblConstr[[#This Row],[Land]]-TblExplore[[#This Row],[Land Bonus]]*20)</f>
        <v>0</v>
      </c>
      <c r="AD124" s="256"/>
      <c r="AE124" s="257">
        <f>TblMili[[#This Row],[Hour]]</f>
        <v>121</v>
      </c>
      <c r="AF124" s="138">
        <f ca="1">TblExplore[[#This Row],[Time]]</f>
        <v>46324.999999999709</v>
      </c>
      <c r="AG124" s="179"/>
      <c r="AH124" s="179"/>
      <c r="AI124" s="179"/>
      <c r="AJ124" s="179"/>
      <c r="AK124" s="179"/>
      <c r="AL124" s="179"/>
      <c r="AM124" s="179"/>
      <c r="AN124" s="179"/>
      <c r="AO124" s="420">
        <f ca="1">ROUND(IF(AND(TblMagic[[#This Row],[Active DnD]]&lt;12,TblMagic[[#This Row],[Active DnD]]&gt;5),OFFSET(TblPop[[#This Row],[Draft Growth]],-1,0)*0.375,0),0)</f>
        <v>0</v>
      </c>
      <c r="AP124" s="142"/>
      <c r="AQ124" s="94">
        <f ca="1">TblProd[[#This Row],[Platinum]]</f>
        <v>208959</v>
      </c>
      <c r="AR124" s="94">
        <f ca="1">INDEX(TblProd[[#Headers],[Lumber]]:TblProd[[#This Row],[Ore]],COUNTA(TblProd[[#Headers],[Lumber]]:TblProd[[#This Row],[Lumber]]),MATCH(Military!$AR$2,TblProd[[#Headers],[Lumber]:[Ore]],0))</f>
        <v>0</v>
      </c>
      <c r="AS12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24" s="94">
        <f ca="1">TblMili[[#This Row],[Train Unit 1]]*TblMili[[#This Row],[OP Ore]]+TblMili[[#This Row],[Train Unit 2]]*TblMili[[#This Row],[DP Ore]]+TblMili[[#This Row],[Train Unit 3]]*TblMili[[#This Row],[E1 Ore]]+TblMili[[#This Row],[Train Unit 4]]*TblMili[[#This Row],[E2 Ore]]</f>
        <v>0</v>
      </c>
      <c r="AU124" s="142">
        <f>TblMili[[#This Row],[Hour]]</f>
        <v>121</v>
      </c>
      <c r="AV124" s="152">
        <f ca="1">TblMili[[#This Row],[Time]]</f>
        <v>46324.999999999709</v>
      </c>
      <c r="AW124" s="94">
        <f ca="1">TblMili[[#This Row],[Draftees]]</f>
        <v>628</v>
      </c>
      <c r="AX124" s="179"/>
      <c r="AY124" s="179"/>
      <c r="AZ124" s="179"/>
      <c r="BA124" s="179"/>
      <c r="BB124" s="179"/>
      <c r="BC124" s="179"/>
      <c r="BD124" s="179"/>
      <c r="BE124" s="179"/>
      <c r="BF124" s="179"/>
      <c r="BG124" s="142"/>
      <c r="BH124" s="157">
        <f ca="1">TblConstr[[#This Row],[Tot WG]]/TblConstr[[#This Row],[Land]]</f>
        <v>0</v>
      </c>
      <c r="BI124" s="157">
        <f ca="1">TblConstr[[#This Row],[Tot Hav]]/TblConstr[[#This Row],[Land]]</f>
        <v>0</v>
      </c>
      <c r="BJ124" s="94">
        <f ca="1">ROUNDUP((1-MIN(TblMili[[#This Row],[Smithies]]*smithy_bonus,smithy_bonus_cap) + tech_3_5*TblTech[[#This Row],[3-5]] + tech_5_3*TblTech[[#This Row],[5-3]] + tech_5_5*TblTech[[#This Row],[5-5]])*spec_op_plat,0)</f>
        <v>315</v>
      </c>
      <c r="BK124" s="94">
        <f ca="1">ROUNDUP(IF(race="Gnome",1,(1-MIN(TblMili[[#This Row],[Smithies]]*smithy_bonus,smithy_bonus_cap) + tech_3_5*TblTech[[#This Row],[3-5]] + tech_5_3*TblTech[[#This Row],[5-3]] + tech_5_5*TblTech[[#This Row],[5-5]]))*spec_op_ore,0)</f>
        <v>25</v>
      </c>
      <c r="BL124" s="94">
        <f ca="1">ROUNDUP((1-MIN(TblMili[[#This Row],[Smithies]]*smithy_bonus,smithy_bonus_cap) + tech_3_5*TblTech[[#This Row],[3-5]] + tech_5_3*TblTech[[#This Row],[5-3]] + tech_5_5*TblTech[[#This Row],[5-5]])*spec_dp_plat,0)</f>
        <v>275</v>
      </c>
      <c r="BM124" s="94">
        <f ca="1">ROUNDUP(IF(race="Gnome",1,(1-MIN(TblMili[[#This Row],[Smithies]]*smithy_bonus,smithy_bonus_cap) + tech_3_5*TblTech[[#This Row],[3-5]] + tech_5_3*TblTech[[#This Row],[5-3]] + tech_5_5*TblTech[[#This Row],[5-5]]))*spec_dp_ore,0)</f>
        <v>15</v>
      </c>
      <c r="BN124" s="94">
        <f ca="1">ROUNDUP((1-MIN(TblMili[[#This Row],[Smithies]]*smithy_bonus,smithy_bonus_cap) + tech_3_5*TblTech[[#This Row],[3-5]] + tech_5_3*TblTech[[#This Row],[5-3]] + tech_5_5*TblTech[[#This Row],[5-5]])*elite1_plat,0)</f>
        <v>1040</v>
      </c>
      <c r="BO124" s="94">
        <f ca="1">ROUNDUP(IF(race="Gnome",1,(1-MIN(TblMili[[#This Row],[Smithies]]*smithy_bonus,smithy_bonus_cap) + tech_3_5*TblTech[[#This Row],[3-5]] + tech_5_3*TblTech[[#This Row],[5-3]] + tech_5_5*TblTech[[#This Row],[5-5]]))*elite1_ore,0)</f>
        <v>75</v>
      </c>
      <c r="BP124" s="94">
        <f ca="1">ROUNDUP((1-MIN(TblMili[[#This Row],[Smithies]]*smithy_bonus,smithy_bonus_cap) + tech_3_5*TblTech[[#This Row],[3-5]] + tech_5_3*TblTech[[#This Row],[5-3]] + tech_5_5*TblTech[[#This Row],[5-5]])*elite2_plat,0)</f>
        <v>1280</v>
      </c>
      <c r="BQ124" s="94">
        <f ca="1">ROUNDUP(IF(race="Gnome",1,(1-MIN(TblMili[[#This Row],[Smithies]]*smithy_bonus,smithy_bonus_cap) + tech_3_5*TblTech[[#This Row],[3-5]] + tech_5_3*TblTech[[#This Row],[5-3]] + tech_5_5*TblTech[[#This Row],[5-5]]))*elite2_ore,0)</f>
        <v>100</v>
      </c>
      <c r="BR124" s="94">
        <f ca="1">ROUNDUP((1-MIN(ROUND(fh_spy_cost_red*TblMili[[#This Row],[FH''s]],4),fh_spy_cost_cap)+ tech_1_9*TblTech[[#This Row],[1-9]] + tech_9_1*TblTech[[#This Row],[9-1]])*spy_plat,0)</f>
        <v>500</v>
      </c>
      <c r="BS124" s="94">
        <f ca="1">ROUNDUP((1-MIN(ROUND(fh_spy_cost_red*TblMili[[#This Row],[FH''s]],4),fh_spy_cost_cap)+ tech_1_9*TblTech[[#This Row],[1-9]] + tech_9_1*TblTech[[#This Row],[9-1]])*archspy_plat,0)</f>
        <v>1000</v>
      </c>
      <c r="BT124" s="94">
        <f ca="1">ROUNDUP((1-MIN(ROUND(wg_wiz_cost_bonus*TblMili[[#This Row],[WG''s]],4),wg_wiz_cost_cap) + tech_1_9_2*TblTech[[#This Row],[1-9]] + tech_9_1_2*TblTech[[#This Row],[9-1]])*wizard_plat,0)</f>
        <v>500</v>
      </c>
      <c r="BU124" s="94">
        <f ca="1">ROUNDUP((1-MIN(ROUND(wg_wiz_cost_bonus*TblMili[[#This Row],[WG''s]],4),wg_wiz_cost_cap) + tech_1_9_2*TblTech[[#This Row],[1-9]] + tech_9_1_2*TblTech[[#This Row],[9-1]])*(archmage_plat + IF(TblMagic[[#This Row],[Active Arc Infusion]]&gt;0,400,0)),0)</f>
        <v>1000</v>
      </c>
      <c r="BV124" s="142"/>
      <c r="BW124" s="157">
        <f ca="1">TblConstr[[#This Row],[Homeland]]/TblConstr[[#This Row],[Land]]</f>
        <v>0.6</v>
      </c>
      <c r="BX124" s="157">
        <f ca="1">TblMili[[#This Row],[WG''s]]</f>
        <v>0</v>
      </c>
      <c r="BY124" s="251">
        <f ca="1">IF(mystic_cap="none",TblMili[[#This Row],[Homeland%]]/mystic_bonus,MIN(mystic_cap,TblMili[[#This Row],[Homeland%]]/mystic_bonus))</f>
        <v>2</v>
      </c>
      <c r="BZ124" s="251">
        <f ca="1">IF(druid_op_cap="none",TblMili[[#This Row],[Homeland%]]/druid_op_bonus,MIN(druid_op_cap,TblMili[[#This Row],[Homeland%]]/druid_op_bonus))</f>
        <v>2</v>
      </c>
      <c r="CA124" s="251">
        <f ca="1">IF(druid_dp_cap="none",TblMili[[#This Row],[Homeland%]]/druid_dp_bonus,MIN(druid_dp_cap,TblMili[[#This Row],[Homeland%]]/druid_dp_bonus))</f>
        <v>2</v>
      </c>
      <c r="CB124" s="251">
        <f ca="1">MIN(dryad_cap,TblMili[[#This Row],[Homeland%]]/dryad_bonus)</f>
        <v>2.9999999999999996</v>
      </c>
      <c r="CC124" s="251">
        <f ca="1">MIN(rocka_cap,TblMili[[#This Row],[Homeland%]]/rocka_bonus)</f>
        <v>2</v>
      </c>
      <c r="CD124" s="251">
        <f ca="1">MIN(adept_op_cap,TblMili[[#This Row],[WG]]/adept_op_bonus)</f>
        <v>0</v>
      </c>
      <c r="CE124" s="251">
        <f ca="1">MIN(adept_dp_cap,TblMili[[#This Row],[WG]]/adept_dp_bonus)</f>
        <v>0</v>
      </c>
      <c r="CF124" s="94">
        <f ca="1">MIN(TblMili[[#This Row],[Unit 3]],TblMili[[#This Row],[Unit 2]])*2</f>
        <v>0</v>
      </c>
      <c r="CG124" s="94">
        <f ca="1">MIN(TblMili[[#This Row],[Unit 1]],TblMili[[#This Row],[Unit 4]])*2</f>
        <v>0</v>
      </c>
      <c r="CH124" s="251">
        <f ca="1">MIN(frost_mage_cap,TblMili[[#This Row],[Homeland%]]/frost_mage_bonus)</f>
        <v>2.9999999999999996</v>
      </c>
      <c r="CI124" s="45">
        <f ca="1">MIN(ice_elem_cap,TblMili[[#This Row],[Raw (2)]]*ice_elem_bonus)</f>
        <v>0</v>
      </c>
      <c r="CJ124" s="251">
        <f t="shared" si="4"/>
        <v>0.83333333333333337</v>
      </c>
      <c r="CK124" s="251">
        <f ca="1">MIN(nox_nightshade_cap,TblConstr[[#This Row],[Homeland]]/TblConstr[[#This Row],[Land]]/nox_nightshade_swamp_bonus)</f>
        <v>4</v>
      </c>
      <c r="CL124" s="251">
        <f ca="1">MIN(TblConstr[[#This Row],[Total Swamp]]/TblConstr[[#This Row],[Land]]/abyss_enforce_bonus,abyss_enforcer_cap)</f>
        <v>0</v>
      </c>
      <c r="CM124" s="251">
        <f ca="1">IF(TblMagic[[#This Row],[Active Infernal Command]]&gt;0,TblMili[[#This Row],[Unit 1]]*infernal_cmd_op,0)</f>
        <v>0</v>
      </c>
      <c r="CN124" s="252"/>
      <c r="CO124" s="252"/>
      <c r="CP124" s="252"/>
      <c r="CQ124" s="251">
        <f ca="1">TblMili[[#This Row],[Mystic]]*2</f>
        <v>4</v>
      </c>
      <c r="CR124" s="251">
        <f ca="1">TblMili[[#This Row],[Druid (op)]]*2</f>
        <v>4</v>
      </c>
      <c r="CS124" s="94">
        <f ca="1">TblMili[[#This Row],[Mystic bonus]]*TblMili[[#This Row],[Unit 3]]+TblMili[[#This Row],[Druid bonus]]*TblMili[[#This Row],[Unit 4]]</f>
        <v>0</v>
      </c>
      <c r="CT124" s="155">
        <f ca="1">TblMili[[#This Row],[Dryad]]*2</f>
        <v>5.9999999999999991</v>
      </c>
      <c r="CU124" s="94">
        <f ca="1">sylvan*(TblMili[[#This Row],[Mystic bonus]]*TblMili[[#This Row],[Unit 3]])</f>
        <v>0</v>
      </c>
      <c r="CV124" s="155">
        <f ca="1">TblMili[[#This Row],[Rockapult]]*2</f>
        <v>4</v>
      </c>
      <c r="CW124" s="94">
        <f ca="1">gnome*(TblMili[[#This Row],[Rockapult bonus]]*TblMili[[#This Row],[Unit 3]])</f>
        <v>0</v>
      </c>
      <c r="CX124" s="155">
        <f ca="1">TblMili[[#This Row],[Adept-DP]]*2</f>
        <v>0</v>
      </c>
      <c r="CY124" s="94">
        <f ca="1">dark_elf*(TblMili[[#This Row],[Adept bonus]]*TblMili[[#This Row],[Unit 3]])</f>
        <v>0</v>
      </c>
      <c r="CZ124" s="155">
        <f ca="1">TblMili[[#This Row],[Frost Mage]]*2</f>
        <v>5.9999999999999991</v>
      </c>
      <c r="DA124" s="155">
        <f ca="1">TblMili[[#This Row],[Ice Elemental]]*2</f>
        <v>0</v>
      </c>
      <c r="DB124" s="94">
        <f ca="1">TblMili[[#This Row],[Frost Mage bonus]]*TblMili[[#This Row],[Unit 3]]+TblMili[[#This Row],[Ice Elemental bonus]]*TblMili[[#This Row],[Unit 4]]</f>
        <v>0</v>
      </c>
      <c r="DC124" s="253"/>
      <c r="DD124" s="143">
        <f ca="1">MIN(SUM(TblConstr[[#This Row],[Plain]:[Water]])/TblMili[[#This Row],[Land]]/favorable_terrain_bonus/100,favorable_terrain_max)</f>
        <v>0</v>
      </c>
      <c r="DE124" s="253"/>
      <c r="DF12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4" s="142"/>
      <c r="DH124" s="254">
        <f ca="1">(TblMili[[#This Row],[Wizards]]+2*TblMili[[#This Row],[Archmages]])/TblConstr[[#This Row],[Land]]</f>
        <v>0</v>
      </c>
      <c r="DI124" s="254">
        <f ca="1">TblMili[[#This Row],[Raw (2)]]*(1+race_wizard_strength+IF(TblMili[[#This Row],[Hour]]&gt;72,tech_magical_weaponry_wiz*TblTech[[#This Row],[3-5]],0))</f>
        <v>0</v>
      </c>
    </row>
    <row r="125" spans="1:113" x14ac:dyDescent="0.2">
      <c r="A125" s="137">
        <f>TblRezone[[#This Row],[Hour]]</f>
        <v>122</v>
      </c>
      <c r="B125" s="246">
        <f ca="1">SUM(TblMili[[#This Row],[Unit 1]:[Archmages]])+SUM(OFFSET(TblMili[[#This Row],[Train Unit 1]],-8,0):TblMili[[#This Row],[Train Unit 2]]) + SUM(OFFSET(TblMili[[#This Row],[Train Unit 3]],-11,0):TblMili[[#This Row],[Train AM]]) + TblMili[[#This Row],[Draftees]]</f>
        <v>629</v>
      </c>
      <c r="C125" s="157">
        <f ca="1">TblPop[[#This Row],[Military%]]</f>
        <v>0.81794538361508451</v>
      </c>
      <c r="D125" s="142"/>
      <c r="E125" s="45">
        <f ca="1">OFFSET(TblMili[[#This Row],[Unit 1]],-1,0) + OFFSET(TblMili[[#This Row],[Train Unit 1]],-9,0) - TblMili[[#This Row],[Release Unit 1]] + OFFSET(TblMili[[#This Row],[DnD_Zombies]],-12,0)</f>
        <v>0</v>
      </c>
      <c r="F125" s="45">
        <f ca="1">OFFSET(TblMili[[#This Row],[Unit 2]],-1,0) + OFFSET(TblMili[[#This Row],[Train Unit 2]],-9,0)-TblMili[[#This Row],[Release Unit 2]]</f>
        <v>0</v>
      </c>
      <c r="G125" s="45">
        <f ca="1">OFFSET(TblMili[[#This Row],[Unit 3]],-1,0) + OFFSET(TblMili[[#This Row],[Train Unit 3]],-12,0)-TblMili[[#This Row],[Release Unit 3]]</f>
        <v>0</v>
      </c>
      <c r="H125" s="45">
        <f ca="1">OFFSET(TblMili[[#This Row],[Unit 4]],-1,0) + OFFSET(TblMili[[#This Row],[Train Unit 4]],-12,0)-TblMili[[#This Row],[Release Unit 4]]</f>
        <v>0</v>
      </c>
      <c r="I125" s="45">
        <f ca="1">OFFSET(TblMili[[#This Row],[Spies]],-1,0) + OFFSET(TblMili[[#This Row],[Train Spies]],-12,0) - TblMili[[#This Row],[Release Spies]]-TblMili[[#This Row],[Train AS]]</f>
        <v>0</v>
      </c>
      <c r="J125" s="45">
        <f ca="1">OFFSET(TblMili[[#This Row],[Archspies]],-1,0) + OFFSET(TblMili[[#This Row],[Train AS]],-12,0) - TblMili[[#This Row],[Release AS]]</f>
        <v>0</v>
      </c>
      <c r="K125" s="45">
        <f ca="1">OFFSET(TblMili[[#This Row],[Wizards]],-1,0) + OFFSET(TblMili[[#This Row],[Train Wiz]],-12,0) - TblMili[[#This Row],[Release Wizards]]-TblMili[[#This Row],[Train AM]] + IF(TblMagic[[#This Row],[Active Arc Infusion]]&gt;0,TblMili[[#This Row],[Train AM]])</f>
        <v>0</v>
      </c>
      <c r="L125" s="45">
        <f ca="1">OFFSET(TblMili[[#This Row],[Archmages]],-1,0) + OFFSET(TblMili[[#This Row],[Train AM]],-12,0) - TblMili[[#This Row],[Release AM]]</f>
        <v>0</v>
      </c>
      <c r="M125" s="142"/>
      <c r="N125" s="94">
        <f ca="1">TblProd[[#This Row],[Networth]]</f>
        <v>1250</v>
      </c>
      <c r="O125" s="142"/>
      <c r="P125"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2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5" s="247">
        <f ca="1">TblMili[[#This Row],[Raw]]*(1+TblMili[[#This Row],[Mods_Off]])</f>
        <v>0</v>
      </c>
      <c r="S125"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25" s="247">
        <f ca="1">TblMili[[#This Row],[Non Draft]]+TblMili[[#This Row],[Draftees]]</f>
        <v>629</v>
      </c>
      <c r="U125" s="248">
        <f ca="1">race_defense + TblImps[[#This Row],[Walls]] + ROUND( MIN(gt_bonus*TblConstr[[#This Row],[Tot GT]]/TblConstr[[#This Row],[Land]],gt_bonus_cap), 4) + IF(TblMagic[[#This Row],[Active Howling]]&gt;0,howling_dp_bonus,IF(TblMagic[[#This Row],[Active Ares Call]]&gt;0,ares_call_bonus))</f>
        <v>0</v>
      </c>
      <c r="V125" s="249">
        <f ca="1">TblMili[[#This Row],[Non Draft]] * (1 + TblMili[[#This Row],[Mods_Def]])</f>
        <v>0</v>
      </c>
      <c r="W125" s="247">
        <f ca="1">TblMili[[#This Row],[Draft]] * (1 + TblMili[[#This Row],[Mods_Def]])</f>
        <v>629</v>
      </c>
      <c r="X125" s="247">
        <f ca="1">TblConstr[[#This Row],[Land]]</f>
        <v>50</v>
      </c>
      <c r="Y125" s="250"/>
      <c r="Z125" s="255">
        <f ca="1">IF(TblMili[[#This Row],[Set]]&lt;&gt;"",TblMili[[#This Row],[Set]],OFFSET(TblMili[[#This Row],[Draftrate]],-1,0))</f>
        <v>0.9</v>
      </c>
      <c r="AA125"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629</v>
      </c>
      <c r="AB125" s="154"/>
      <c r="AC125" s="180">
        <f ca="1">(TblConstr[[#This Row],[Tot Smi]]+TblConstr[[#This Row],[Dest Smi]])/(TblConstr[[#This Row],[Land]]-TblExplore[[#This Row],[Land Bonus]]*20)</f>
        <v>0</v>
      </c>
      <c r="AD125" s="137"/>
      <c r="AE125" s="246">
        <f>TblMili[[#This Row],[Hour]]</f>
        <v>122</v>
      </c>
      <c r="AF125" s="138">
        <f ca="1">TblExplore[[#This Row],[Time]]</f>
        <v>46325.041666666373</v>
      </c>
      <c r="AG125" s="158"/>
      <c r="AH125" s="179"/>
      <c r="AI125" s="158"/>
      <c r="AJ125" s="179"/>
      <c r="AK125" s="179"/>
      <c r="AL125" s="179"/>
      <c r="AM125" s="179"/>
      <c r="AN125" s="179"/>
      <c r="AO125" s="420">
        <f ca="1">ROUND(IF(AND(TblMagic[[#This Row],[Active DnD]]&lt;12,TblMagic[[#This Row],[Active DnD]]&gt;5),OFFSET(TblPop[[#This Row],[Draft Growth]],-1,0)*0.375,0),0)</f>
        <v>0</v>
      </c>
      <c r="AP125" s="142"/>
      <c r="AQ125" s="94">
        <f ca="1">TblProd[[#This Row],[Platinum]]</f>
        <v>209339</v>
      </c>
      <c r="AR125" s="94">
        <f ca="1">INDEX(TblProd[[#Headers],[Lumber]]:TblProd[[#This Row],[Ore]],COUNTA(TblProd[[#Headers],[Lumber]]:TblProd[[#This Row],[Lumber]]),MATCH(Military!$AR$2,TblProd[[#Headers],[Lumber]:[Ore]],0))</f>
        <v>0</v>
      </c>
      <c r="AS12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25" s="94">
        <f ca="1">TblMili[[#This Row],[Train Unit 1]]*TblMili[[#This Row],[OP Ore]]+TblMili[[#This Row],[Train Unit 2]]*TblMili[[#This Row],[DP Ore]]+TblMili[[#This Row],[Train Unit 3]]*TblMili[[#This Row],[E1 Ore]]+TblMili[[#This Row],[Train Unit 4]]*TblMili[[#This Row],[E2 Ore]]</f>
        <v>0</v>
      </c>
      <c r="AU125" s="142">
        <f>TblMili[[#This Row],[Hour]]</f>
        <v>122</v>
      </c>
      <c r="AV125" s="152">
        <f ca="1">TblMili[[#This Row],[Time]]</f>
        <v>46325.041666666373</v>
      </c>
      <c r="AW125" s="94">
        <f ca="1">TblMili[[#This Row],[Draftees]]</f>
        <v>629</v>
      </c>
      <c r="AX125" s="179"/>
      <c r="AY125" s="179"/>
      <c r="AZ125" s="179"/>
      <c r="BA125" s="179"/>
      <c r="BB125" s="179"/>
      <c r="BC125" s="179"/>
      <c r="BD125" s="179"/>
      <c r="BE125" s="179"/>
      <c r="BF125" s="179"/>
      <c r="BG125" s="142"/>
      <c r="BH125" s="157">
        <f ca="1">TblConstr[[#This Row],[Tot WG]]/TblConstr[[#This Row],[Land]]</f>
        <v>0</v>
      </c>
      <c r="BI125" s="157">
        <f ca="1">TblConstr[[#This Row],[Tot Hav]]/TblConstr[[#This Row],[Land]]</f>
        <v>0</v>
      </c>
      <c r="BJ125" s="94">
        <f ca="1">ROUNDUP((1-MIN(TblMili[[#This Row],[Smithies]]*smithy_bonus,smithy_bonus_cap) + tech_3_5*TblTech[[#This Row],[3-5]] + tech_5_3*TblTech[[#This Row],[5-3]] + tech_5_5*TblTech[[#This Row],[5-5]])*spec_op_plat,0)</f>
        <v>315</v>
      </c>
      <c r="BK125" s="94">
        <f ca="1">ROUNDUP(IF(race="Gnome",1,(1-MIN(TblMili[[#This Row],[Smithies]]*smithy_bonus,smithy_bonus_cap) + tech_3_5*TblTech[[#This Row],[3-5]] + tech_5_3*TblTech[[#This Row],[5-3]] + tech_5_5*TblTech[[#This Row],[5-5]]))*spec_op_ore,0)</f>
        <v>25</v>
      </c>
      <c r="BL125" s="94">
        <f ca="1">ROUNDUP((1-MIN(TblMili[[#This Row],[Smithies]]*smithy_bonus,smithy_bonus_cap) + tech_3_5*TblTech[[#This Row],[3-5]] + tech_5_3*TblTech[[#This Row],[5-3]] + tech_5_5*TblTech[[#This Row],[5-5]])*spec_dp_plat,0)</f>
        <v>275</v>
      </c>
      <c r="BM125" s="94">
        <f ca="1">ROUNDUP(IF(race="Gnome",1,(1-MIN(TblMili[[#This Row],[Smithies]]*smithy_bonus,smithy_bonus_cap) + tech_3_5*TblTech[[#This Row],[3-5]] + tech_5_3*TblTech[[#This Row],[5-3]] + tech_5_5*TblTech[[#This Row],[5-5]]))*spec_dp_ore,0)</f>
        <v>15</v>
      </c>
      <c r="BN125" s="94">
        <f ca="1">ROUNDUP((1-MIN(TblMili[[#This Row],[Smithies]]*smithy_bonus,smithy_bonus_cap) + tech_3_5*TblTech[[#This Row],[3-5]] + tech_5_3*TblTech[[#This Row],[5-3]] + tech_5_5*TblTech[[#This Row],[5-5]])*elite1_plat,0)</f>
        <v>1040</v>
      </c>
      <c r="BO125" s="94">
        <f ca="1">ROUNDUP(IF(race="Gnome",1,(1-MIN(TblMili[[#This Row],[Smithies]]*smithy_bonus,smithy_bonus_cap) + tech_3_5*TblTech[[#This Row],[3-5]] + tech_5_3*TblTech[[#This Row],[5-3]] + tech_5_5*TblTech[[#This Row],[5-5]]))*elite1_ore,0)</f>
        <v>75</v>
      </c>
      <c r="BP125" s="94">
        <f ca="1">ROUNDUP((1-MIN(TblMili[[#This Row],[Smithies]]*smithy_bonus,smithy_bonus_cap) + tech_3_5*TblTech[[#This Row],[3-5]] + tech_5_3*TblTech[[#This Row],[5-3]] + tech_5_5*TblTech[[#This Row],[5-5]])*elite2_plat,0)</f>
        <v>1280</v>
      </c>
      <c r="BQ125" s="94">
        <f ca="1">ROUNDUP(IF(race="Gnome",1,(1-MIN(TblMili[[#This Row],[Smithies]]*smithy_bonus,smithy_bonus_cap) + tech_3_5*TblTech[[#This Row],[3-5]] + tech_5_3*TblTech[[#This Row],[5-3]] + tech_5_5*TblTech[[#This Row],[5-5]]))*elite2_ore,0)</f>
        <v>100</v>
      </c>
      <c r="BR125" s="94">
        <f ca="1">ROUNDUP((1-MIN(ROUND(fh_spy_cost_red*TblMili[[#This Row],[FH''s]],4),fh_spy_cost_cap)+ tech_1_9*TblTech[[#This Row],[1-9]] + tech_9_1*TblTech[[#This Row],[9-1]])*spy_plat,0)</f>
        <v>500</v>
      </c>
      <c r="BS125" s="94">
        <f ca="1">ROUNDUP((1-MIN(ROUND(fh_spy_cost_red*TblMili[[#This Row],[FH''s]],4),fh_spy_cost_cap)+ tech_1_9*TblTech[[#This Row],[1-9]] + tech_9_1*TblTech[[#This Row],[9-1]])*archspy_plat,0)</f>
        <v>1000</v>
      </c>
      <c r="BT125" s="94">
        <f ca="1">ROUNDUP((1-MIN(ROUND(wg_wiz_cost_bonus*TblMili[[#This Row],[WG''s]],4),wg_wiz_cost_cap) + tech_1_9_2*TblTech[[#This Row],[1-9]] + tech_9_1_2*TblTech[[#This Row],[9-1]])*wizard_plat,0)</f>
        <v>500</v>
      </c>
      <c r="BU125" s="94">
        <f ca="1">ROUNDUP((1-MIN(ROUND(wg_wiz_cost_bonus*TblMili[[#This Row],[WG''s]],4),wg_wiz_cost_cap) + tech_1_9_2*TblTech[[#This Row],[1-9]] + tech_9_1_2*TblTech[[#This Row],[9-1]])*(archmage_plat + IF(TblMagic[[#This Row],[Active Arc Infusion]]&gt;0,400,0)),0)</f>
        <v>1000</v>
      </c>
      <c r="BV125" s="142"/>
      <c r="BW125" s="157">
        <f ca="1">TblConstr[[#This Row],[Homeland]]/TblConstr[[#This Row],[Land]]</f>
        <v>0.6</v>
      </c>
      <c r="BX125" s="157">
        <f ca="1">TblMili[[#This Row],[WG''s]]</f>
        <v>0</v>
      </c>
      <c r="BY125" s="251">
        <f ca="1">IF(mystic_cap="none",TblMili[[#This Row],[Homeland%]]/mystic_bonus,MIN(mystic_cap,TblMili[[#This Row],[Homeland%]]/mystic_bonus))</f>
        <v>2</v>
      </c>
      <c r="BZ125" s="251">
        <f ca="1">IF(druid_op_cap="none",TblMili[[#This Row],[Homeland%]]/druid_op_bonus,MIN(druid_op_cap,TblMili[[#This Row],[Homeland%]]/druid_op_bonus))</f>
        <v>2</v>
      </c>
      <c r="CA125" s="251">
        <f ca="1">IF(druid_dp_cap="none",TblMili[[#This Row],[Homeland%]]/druid_dp_bonus,MIN(druid_dp_cap,TblMili[[#This Row],[Homeland%]]/druid_dp_bonus))</f>
        <v>2</v>
      </c>
      <c r="CB125" s="251">
        <f ca="1">MIN(dryad_cap,TblMili[[#This Row],[Homeland%]]/dryad_bonus)</f>
        <v>2.9999999999999996</v>
      </c>
      <c r="CC125" s="251">
        <f ca="1">MIN(rocka_cap,TblMili[[#This Row],[Homeland%]]/rocka_bonus)</f>
        <v>2</v>
      </c>
      <c r="CD125" s="251">
        <f ca="1">MIN(adept_op_cap,TblMili[[#This Row],[WG]]/adept_op_bonus)</f>
        <v>0</v>
      </c>
      <c r="CE125" s="251">
        <f ca="1">MIN(adept_dp_cap,TblMili[[#This Row],[WG]]/adept_dp_bonus)</f>
        <v>0</v>
      </c>
      <c r="CF125" s="94">
        <f ca="1">MIN(TblMili[[#This Row],[Unit 3]],TblMili[[#This Row],[Unit 2]])*2</f>
        <v>0</v>
      </c>
      <c r="CG125" s="94">
        <f ca="1">MIN(TblMili[[#This Row],[Unit 1]],TblMili[[#This Row],[Unit 4]])*2</f>
        <v>0</v>
      </c>
      <c r="CH125" s="251">
        <f ca="1">MIN(frost_mage_cap,TblMili[[#This Row],[Homeland%]]/frost_mage_bonus)</f>
        <v>2.9999999999999996</v>
      </c>
      <c r="CI125" s="45">
        <f ca="1">MIN(ice_elem_cap,TblMili[[#This Row],[Raw (2)]]*ice_elem_bonus)</f>
        <v>0</v>
      </c>
      <c r="CJ125" s="251">
        <f t="shared" si="4"/>
        <v>0.83333333333333337</v>
      </c>
      <c r="CK125" s="251">
        <f ca="1">MIN(nox_nightshade_cap,TblConstr[[#This Row],[Homeland]]/TblConstr[[#This Row],[Land]]/nox_nightshade_swamp_bonus)</f>
        <v>4</v>
      </c>
      <c r="CL125" s="251">
        <f ca="1">MIN(TblConstr[[#This Row],[Total Swamp]]/TblConstr[[#This Row],[Land]]/abyss_enforce_bonus,abyss_enforcer_cap)</f>
        <v>0</v>
      </c>
      <c r="CM125" s="251">
        <f ca="1">IF(TblMagic[[#This Row],[Active Infernal Command]]&gt;0,TblMili[[#This Row],[Unit 1]]*infernal_cmd_op,0)</f>
        <v>0</v>
      </c>
      <c r="CN125" s="252"/>
      <c r="CO125" s="252"/>
      <c r="CP125" s="252"/>
      <c r="CQ125" s="251">
        <f ca="1">TblMili[[#This Row],[Mystic]]*2</f>
        <v>4</v>
      </c>
      <c r="CR125" s="251">
        <f ca="1">TblMili[[#This Row],[Druid (op)]]*2</f>
        <v>4</v>
      </c>
      <c r="CS125" s="94">
        <f ca="1">TblMili[[#This Row],[Mystic bonus]]*TblMili[[#This Row],[Unit 3]]+TblMili[[#This Row],[Druid bonus]]*TblMili[[#This Row],[Unit 4]]</f>
        <v>0</v>
      </c>
      <c r="CT125" s="155">
        <f ca="1">TblMili[[#This Row],[Dryad]]*2</f>
        <v>5.9999999999999991</v>
      </c>
      <c r="CU125" s="94">
        <f ca="1">sylvan*(TblMili[[#This Row],[Mystic bonus]]*TblMili[[#This Row],[Unit 3]])</f>
        <v>0</v>
      </c>
      <c r="CV125" s="155">
        <f ca="1">TblMili[[#This Row],[Rockapult]]*2</f>
        <v>4</v>
      </c>
      <c r="CW125" s="94">
        <f ca="1">gnome*(TblMili[[#This Row],[Rockapult bonus]]*TblMili[[#This Row],[Unit 3]])</f>
        <v>0</v>
      </c>
      <c r="CX125" s="155">
        <f ca="1">TblMili[[#This Row],[Adept-DP]]*2</f>
        <v>0</v>
      </c>
      <c r="CY125" s="94">
        <f ca="1">dark_elf*(TblMili[[#This Row],[Adept bonus]]*TblMili[[#This Row],[Unit 3]])</f>
        <v>0</v>
      </c>
      <c r="CZ125" s="155">
        <f ca="1">TblMili[[#This Row],[Frost Mage]]*2</f>
        <v>5.9999999999999991</v>
      </c>
      <c r="DA125" s="155">
        <f ca="1">TblMili[[#This Row],[Ice Elemental]]*2</f>
        <v>0</v>
      </c>
      <c r="DB125" s="94">
        <f ca="1">TblMili[[#This Row],[Frost Mage bonus]]*TblMili[[#This Row],[Unit 3]]+TblMili[[#This Row],[Ice Elemental bonus]]*TblMili[[#This Row],[Unit 4]]</f>
        <v>0</v>
      </c>
      <c r="DC125" s="253"/>
      <c r="DD125" s="143">
        <f ca="1">MIN(SUM(TblConstr[[#This Row],[Plain]:[Water]])/TblMili[[#This Row],[Land]]/favorable_terrain_bonus/100,favorable_terrain_max)</f>
        <v>0</v>
      </c>
      <c r="DE125" s="253"/>
      <c r="DF12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5" s="142"/>
      <c r="DH125" s="254">
        <f ca="1">(TblMili[[#This Row],[Wizards]]+2*TblMili[[#This Row],[Archmages]])/TblConstr[[#This Row],[Land]]</f>
        <v>0</v>
      </c>
      <c r="DI125" s="254">
        <f ca="1">TblMili[[#This Row],[Raw (2)]]*(1+race_wizard_strength+IF(TblMili[[#This Row],[Hour]]&gt;72,tech_magical_weaponry_wiz*TblTech[[#This Row],[3-5]],0))</f>
        <v>0</v>
      </c>
    </row>
    <row r="126" spans="1:113" x14ac:dyDescent="0.2">
      <c r="A126" s="137">
        <f>TblRezone[[#This Row],[Hour]]</f>
        <v>123</v>
      </c>
      <c r="B126" s="246">
        <f ca="1">SUM(TblMili[[#This Row],[Unit 1]:[Archmages]])+SUM(OFFSET(TblMili[[#This Row],[Train Unit 1]],-8,0):TblMili[[#This Row],[Train Unit 2]]) + SUM(OFFSET(TblMili[[#This Row],[Train Unit 3]],-11,0):TblMili[[#This Row],[Train AM]]) + TblMili[[#This Row],[Draftees]]</f>
        <v>630</v>
      </c>
      <c r="C126" s="157">
        <f ca="1">TblPop[[#This Row],[Military%]]</f>
        <v>0.8192457737321196</v>
      </c>
      <c r="D126" s="142"/>
      <c r="E126" s="45">
        <f ca="1">OFFSET(TblMili[[#This Row],[Unit 1]],-1,0) + OFFSET(TblMili[[#This Row],[Train Unit 1]],-9,0) - TblMili[[#This Row],[Release Unit 1]] + OFFSET(TblMili[[#This Row],[DnD_Zombies]],-12,0)</f>
        <v>0</v>
      </c>
      <c r="F126" s="45">
        <f ca="1">OFFSET(TblMili[[#This Row],[Unit 2]],-1,0) + OFFSET(TblMili[[#This Row],[Train Unit 2]],-9,0)-TblMili[[#This Row],[Release Unit 2]]</f>
        <v>0</v>
      </c>
      <c r="G126" s="45">
        <f ca="1">OFFSET(TblMili[[#This Row],[Unit 3]],-1,0) + OFFSET(TblMili[[#This Row],[Train Unit 3]],-12,0)-TblMili[[#This Row],[Release Unit 3]]</f>
        <v>0</v>
      </c>
      <c r="H126" s="45">
        <f ca="1">OFFSET(TblMili[[#This Row],[Unit 4]],-1,0) + OFFSET(TblMili[[#This Row],[Train Unit 4]],-12,0)-TblMili[[#This Row],[Release Unit 4]]</f>
        <v>0</v>
      </c>
      <c r="I126" s="45">
        <f ca="1">OFFSET(TblMili[[#This Row],[Spies]],-1,0) + OFFSET(TblMili[[#This Row],[Train Spies]],-12,0) - TblMili[[#This Row],[Release Spies]]-TblMili[[#This Row],[Train AS]]</f>
        <v>0</v>
      </c>
      <c r="J126" s="45">
        <f ca="1">OFFSET(TblMili[[#This Row],[Archspies]],-1,0) + OFFSET(TblMili[[#This Row],[Train AS]],-12,0) - TblMili[[#This Row],[Release AS]]</f>
        <v>0</v>
      </c>
      <c r="K126" s="45">
        <f ca="1">OFFSET(TblMili[[#This Row],[Wizards]],-1,0) + OFFSET(TblMili[[#This Row],[Train Wiz]],-12,0) - TblMili[[#This Row],[Release Wizards]]-TblMili[[#This Row],[Train AM]] + IF(TblMagic[[#This Row],[Active Arc Infusion]]&gt;0,TblMili[[#This Row],[Train AM]])</f>
        <v>0</v>
      </c>
      <c r="L126" s="45">
        <f ca="1">OFFSET(TblMili[[#This Row],[Archmages]],-1,0) + OFFSET(TblMili[[#This Row],[Train AM]],-12,0) - TblMili[[#This Row],[Release AM]]</f>
        <v>0</v>
      </c>
      <c r="M126" s="142"/>
      <c r="N126" s="94">
        <f ca="1">TblProd[[#This Row],[Networth]]</f>
        <v>1250</v>
      </c>
      <c r="O126" s="142"/>
      <c r="P126"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2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6" s="247">
        <f ca="1">TblMili[[#This Row],[Raw]]*(1+TblMili[[#This Row],[Mods_Off]])</f>
        <v>0</v>
      </c>
      <c r="S126"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26" s="247">
        <f ca="1">TblMili[[#This Row],[Non Draft]]+TblMili[[#This Row],[Draftees]]</f>
        <v>630</v>
      </c>
      <c r="U126" s="248">
        <f ca="1">race_defense + TblImps[[#This Row],[Walls]] + ROUND( MIN(gt_bonus*TblConstr[[#This Row],[Tot GT]]/TblConstr[[#This Row],[Land]],gt_bonus_cap), 4) + IF(TblMagic[[#This Row],[Active Howling]]&gt;0,howling_dp_bonus,IF(TblMagic[[#This Row],[Active Ares Call]]&gt;0,ares_call_bonus))</f>
        <v>0</v>
      </c>
      <c r="V126" s="249">
        <f ca="1">TblMili[[#This Row],[Non Draft]] * (1 + TblMili[[#This Row],[Mods_Def]])</f>
        <v>0</v>
      </c>
      <c r="W126" s="247">
        <f ca="1">TblMili[[#This Row],[Draft]] * (1 + TblMili[[#This Row],[Mods_Def]])</f>
        <v>630</v>
      </c>
      <c r="X126" s="247">
        <f ca="1">TblConstr[[#This Row],[Land]]</f>
        <v>50</v>
      </c>
      <c r="Y126" s="250"/>
      <c r="Z126" s="255">
        <f ca="1">IF(TblMili[[#This Row],[Set]]&lt;&gt;"",TblMili[[#This Row],[Set]],OFFSET(TblMili[[#This Row],[Draftrate]],-1,0))</f>
        <v>0.9</v>
      </c>
      <c r="AA126"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630</v>
      </c>
      <c r="AB126" s="154"/>
      <c r="AC126" s="180">
        <f ca="1">(TblConstr[[#This Row],[Tot Smi]]+TblConstr[[#This Row],[Dest Smi]])/(TblConstr[[#This Row],[Land]]-TblExplore[[#This Row],[Land Bonus]]*20)</f>
        <v>0</v>
      </c>
      <c r="AD126" s="137"/>
      <c r="AE126" s="246">
        <f>TblMili[[#This Row],[Hour]]</f>
        <v>123</v>
      </c>
      <c r="AF126" s="138">
        <f ca="1">TblExplore[[#This Row],[Time]]</f>
        <v>46325.083333333037</v>
      </c>
      <c r="AG126" s="179"/>
      <c r="AH126" s="179"/>
      <c r="AI126" s="179"/>
      <c r="AJ126" s="179"/>
      <c r="AK126" s="179"/>
      <c r="AL126" s="179"/>
      <c r="AM126" s="179"/>
      <c r="AN126" s="179"/>
      <c r="AO126" s="420">
        <f ca="1">ROUND(IF(AND(TblMagic[[#This Row],[Active DnD]]&lt;12,TblMagic[[#This Row],[Active DnD]]&gt;5),OFFSET(TblPop[[#This Row],[Draft Growth]],-1,0)*0.375,0),0)</f>
        <v>0</v>
      </c>
      <c r="AP126" s="142"/>
      <c r="AQ126" s="94">
        <f ca="1">TblProd[[#This Row],[Platinum]]</f>
        <v>209717</v>
      </c>
      <c r="AR126" s="94">
        <f ca="1">INDEX(TblProd[[#Headers],[Lumber]]:TblProd[[#This Row],[Ore]],COUNTA(TblProd[[#Headers],[Lumber]]:TblProd[[#This Row],[Lumber]]),MATCH(Military!$AR$2,TblProd[[#Headers],[Lumber]:[Ore]],0))</f>
        <v>0</v>
      </c>
      <c r="AS12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26" s="94">
        <f ca="1">TblMili[[#This Row],[Train Unit 1]]*TblMili[[#This Row],[OP Ore]]+TblMili[[#This Row],[Train Unit 2]]*TblMili[[#This Row],[DP Ore]]+TblMili[[#This Row],[Train Unit 3]]*TblMili[[#This Row],[E1 Ore]]+TblMili[[#This Row],[Train Unit 4]]*TblMili[[#This Row],[E2 Ore]]</f>
        <v>0</v>
      </c>
      <c r="AU126" s="142">
        <f>TblMili[[#This Row],[Hour]]</f>
        <v>123</v>
      </c>
      <c r="AV126" s="152">
        <f ca="1">TblMili[[#This Row],[Time]]</f>
        <v>46325.083333333037</v>
      </c>
      <c r="AW126" s="94">
        <f ca="1">TblMili[[#This Row],[Draftees]]</f>
        <v>630</v>
      </c>
      <c r="AX126" s="179"/>
      <c r="AY126" s="179"/>
      <c r="AZ126" s="179"/>
      <c r="BA126" s="179"/>
      <c r="BB126" s="179"/>
      <c r="BC126" s="179"/>
      <c r="BD126" s="179"/>
      <c r="BE126" s="179"/>
      <c r="BF126" s="179"/>
      <c r="BG126" s="142"/>
      <c r="BH126" s="157">
        <f ca="1">TblConstr[[#This Row],[Tot WG]]/TblConstr[[#This Row],[Land]]</f>
        <v>0</v>
      </c>
      <c r="BI126" s="157">
        <f ca="1">TblConstr[[#This Row],[Tot Hav]]/TblConstr[[#This Row],[Land]]</f>
        <v>0</v>
      </c>
      <c r="BJ126" s="94">
        <f ca="1">ROUNDUP((1-MIN(TblMili[[#This Row],[Smithies]]*smithy_bonus,smithy_bonus_cap) + tech_3_5*TblTech[[#This Row],[3-5]] + tech_5_3*TblTech[[#This Row],[5-3]] + tech_5_5*TblTech[[#This Row],[5-5]])*spec_op_plat,0)</f>
        <v>315</v>
      </c>
      <c r="BK126" s="94">
        <f ca="1">ROUNDUP(IF(race="Gnome",1,(1-MIN(TblMili[[#This Row],[Smithies]]*smithy_bonus,smithy_bonus_cap) + tech_3_5*TblTech[[#This Row],[3-5]] + tech_5_3*TblTech[[#This Row],[5-3]] + tech_5_5*TblTech[[#This Row],[5-5]]))*spec_op_ore,0)</f>
        <v>25</v>
      </c>
      <c r="BL126" s="94">
        <f ca="1">ROUNDUP((1-MIN(TblMili[[#This Row],[Smithies]]*smithy_bonus,smithy_bonus_cap) + tech_3_5*TblTech[[#This Row],[3-5]] + tech_5_3*TblTech[[#This Row],[5-3]] + tech_5_5*TblTech[[#This Row],[5-5]])*spec_dp_plat,0)</f>
        <v>275</v>
      </c>
      <c r="BM126" s="94">
        <f ca="1">ROUNDUP(IF(race="Gnome",1,(1-MIN(TblMili[[#This Row],[Smithies]]*smithy_bonus,smithy_bonus_cap) + tech_3_5*TblTech[[#This Row],[3-5]] + tech_5_3*TblTech[[#This Row],[5-3]] + tech_5_5*TblTech[[#This Row],[5-5]]))*spec_dp_ore,0)</f>
        <v>15</v>
      </c>
      <c r="BN126" s="94">
        <f ca="1">ROUNDUP((1-MIN(TblMili[[#This Row],[Smithies]]*smithy_bonus,smithy_bonus_cap) + tech_3_5*TblTech[[#This Row],[3-5]] + tech_5_3*TblTech[[#This Row],[5-3]] + tech_5_5*TblTech[[#This Row],[5-5]])*elite1_plat,0)</f>
        <v>1040</v>
      </c>
      <c r="BO126" s="94">
        <f ca="1">ROUNDUP(IF(race="Gnome",1,(1-MIN(TblMili[[#This Row],[Smithies]]*smithy_bonus,smithy_bonus_cap) + tech_3_5*TblTech[[#This Row],[3-5]] + tech_5_3*TblTech[[#This Row],[5-3]] + tech_5_5*TblTech[[#This Row],[5-5]]))*elite1_ore,0)</f>
        <v>75</v>
      </c>
      <c r="BP126" s="94">
        <f ca="1">ROUNDUP((1-MIN(TblMili[[#This Row],[Smithies]]*smithy_bonus,smithy_bonus_cap) + tech_3_5*TblTech[[#This Row],[3-5]] + tech_5_3*TblTech[[#This Row],[5-3]] + tech_5_5*TblTech[[#This Row],[5-5]])*elite2_plat,0)</f>
        <v>1280</v>
      </c>
      <c r="BQ126" s="94">
        <f ca="1">ROUNDUP(IF(race="Gnome",1,(1-MIN(TblMili[[#This Row],[Smithies]]*smithy_bonus,smithy_bonus_cap) + tech_3_5*TblTech[[#This Row],[3-5]] + tech_5_3*TblTech[[#This Row],[5-3]] + tech_5_5*TblTech[[#This Row],[5-5]]))*elite2_ore,0)</f>
        <v>100</v>
      </c>
      <c r="BR126" s="94">
        <f ca="1">ROUNDUP((1-MIN(ROUND(fh_spy_cost_red*TblMili[[#This Row],[FH''s]],4),fh_spy_cost_cap)+ tech_1_9*TblTech[[#This Row],[1-9]] + tech_9_1*TblTech[[#This Row],[9-1]])*spy_plat,0)</f>
        <v>500</v>
      </c>
      <c r="BS126" s="94">
        <f ca="1">ROUNDUP((1-MIN(ROUND(fh_spy_cost_red*TblMili[[#This Row],[FH''s]],4),fh_spy_cost_cap)+ tech_1_9*TblTech[[#This Row],[1-9]] + tech_9_1*TblTech[[#This Row],[9-1]])*archspy_plat,0)</f>
        <v>1000</v>
      </c>
      <c r="BT126" s="94">
        <f ca="1">ROUNDUP((1-MIN(ROUND(wg_wiz_cost_bonus*TblMili[[#This Row],[WG''s]],4),wg_wiz_cost_cap) + tech_1_9_2*TblTech[[#This Row],[1-9]] + tech_9_1_2*TblTech[[#This Row],[9-1]])*wizard_plat,0)</f>
        <v>500</v>
      </c>
      <c r="BU126" s="94">
        <f ca="1">ROUNDUP((1-MIN(ROUND(wg_wiz_cost_bonus*TblMili[[#This Row],[WG''s]],4),wg_wiz_cost_cap) + tech_1_9_2*TblTech[[#This Row],[1-9]] + tech_9_1_2*TblTech[[#This Row],[9-1]])*(archmage_plat + IF(TblMagic[[#This Row],[Active Arc Infusion]]&gt;0,400,0)),0)</f>
        <v>1000</v>
      </c>
      <c r="BV126" s="142"/>
      <c r="BW126" s="157">
        <f ca="1">TblConstr[[#This Row],[Homeland]]/TblConstr[[#This Row],[Land]]</f>
        <v>0.6</v>
      </c>
      <c r="BX126" s="157">
        <f ca="1">TblMili[[#This Row],[WG''s]]</f>
        <v>0</v>
      </c>
      <c r="BY126" s="251">
        <f ca="1">IF(mystic_cap="none",TblMili[[#This Row],[Homeland%]]/mystic_bonus,MIN(mystic_cap,TblMili[[#This Row],[Homeland%]]/mystic_bonus))</f>
        <v>2</v>
      </c>
      <c r="BZ126" s="251">
        <f ca="1">IF(druid_op_cap="none",TblMili[[#This Row],[Homeland%]]/druid_op_bonus,MIN(druid_op_cap,TblMili[[#This Row],[Homeland%]]/druid_op_bonus))</f>
        <v>2</v>
      </c>
      <c r="CA126" s="251">
        <f ca="1">IF(druid_dp_cap="none",TblMili[[#This Row],[Homeland%]]/druid_dp_bonus,MIN(druid_dp_cap,TblMili[[#This Row],[Homeland%]]/druid_dp_bonus))</f>
        <v>2</v>
      </c>
      <c r="CB126" s="251">
        <f ca="1">MIN(dryad_cap,TblMili[[#This Row],[Homeland%]]/dryad_bonus)</f>
        <v>2.9999999999999996</v>
      </c>
      <c r="CC126" s="251">
        <f ca="1">MIN(rocka_cap,TblMili[[#This Row],[Homeland%]]/rocka_bonus)</f>
        <v>2</v>
      </c>
      <c r="CD126" s="251">
        <f ca="1">MIN(adept_op_cap,TblMili[[#This Row],[WG]]/adept_op_bonus)</f>
        <v>0</v>
      </c>
      <c r="CE126" s="251">
        <f ca="1">MIN(adept_dp_cap,TblMili[[#This Row],[WG]]/adept_dp_bonus)</f>
        <v>0</v>
      </c>
      <c r="CF126" s="94">
        <f ca="1">MIN(TblMili[[#This Row],[Unit 3]],TblMili[[#This Row],[Unit 2]])*2</f>
        <v>0</v>
      </c>
      <c r="CG126" s="94">
        <f ca="1">MIN(TblMili[[#This Row],[Unit 1]],TblMili[[#This Row],[Unit 4]])*2</f>
        <v>0</v>
      </c>
      <c r="CH126" s="251">
        <f ca="1">MIN(frost_mage_cap,TblMili[[#This Row],[Homeland%]]/frost_mage_bonus)</f>
        <v>2.9999999999999996</v>
      </c>
      <c r="CI126" s="45">
        <f ca="1">MIN(ice_elem_cap,TblMili[[#This Row],[Raw (2)]]*ice_elem_bonus)</f>
        <v>0</v>
      </c>
      <c r="CJ126" s="251">
        <f t="shared" si="4"/>
        <v>0.83333333333333337</v>
      </c>
      <c r="CK126" s="251">
        <f ca="1">MIN(nox_nightshade_cap,TblConstr[[#This Row],[Homeland]]/TblConstr[[#This Row],[Land]]/nox_nightshade_swamp_bonus)</f>
        <v>4</v>
      </c>
      <c r="CL126" s="251">
        <f ca="1">MIN(TblConstr[[#This Row],[Total Swamp]]/TblConstr[[#This Row],[Land]]/abyss_enforce_bonus,abyss_enforcer_cap)</f>
        <v>0</v>
      </c>
      <c r="CM126" s="251">
        <f ca="1">IF(TblMagic[[#This Row],[Active Infernal Command]]&gt;0,TblMili[[#This Row],[Unit 1]]*infernal_cmd_op,0)</f>
        <v>0</v>
      </c>
      <c r="CN126" s="252"/>
      <c r="CO126" s="252"/>
      <c r="CP126" s="252"/>
      <c r="CQ126" s="251">
        <f ca="1">TblMili[[#This Row],[Mystic]]*2</f>
        <v>4</v>
      </c>
      <c r="CR126" s="251">
        <f ca="1">TblMili[[#This Row],[Druid (op)]]*2</f>
        <v>4</v>
      </c>
      <c r="CS126" s="94">
        <f ca="1">TblMili[[#This Row],[Mystic bonus]]*TblMili[[#This Row],[Unit 3]]+TblMili[[#This Row],[Druid bonus]]*TblMili[[#This Row],[Unit 4]]</f>
        <v>0</v>
      </c>
      <c r="CT126" s="155">
        <f ca="1">TblMili[[#This Row],[Dryad]]*2</f>
        <v>5.9999999999999991</v>
      </c>
      <c r="CU126" s="94">
        <f ca="1">sylvan*(TblMili[[#This Row],[Mystic bonus]]*TblMili[[#This Row],[Unit 3]])</f>
        <v>0</v>
      </c>
      <c r="CV126" s="155">
        <f ca="1">TblMili[[#This Row],[Rockapult]]*2</f>
        <v>4</v>
      </c>
      <c r="CW126" s="94">
        <f ca="1">gnome*(TblMili[[#This Row],[Rockapult bonus]]*TblMili[[#This Row],[Unit 3]])</f>
        <v>0</v>
      </c>
      <c r="CX126" s="155">
        <f ca="1">TblMili[[#This Row],[Adept-DP]]*2</f>
        <v>0</v>
      </c>
      <c r="CY126" s="94">
        <f ca="1">dark_elf*(TblMili[[#This Row],[Adept bonus]]*TblMili[[#This Row],[Unit 3]])</f>
        <v>0</v>
      </c>
      <c r="CZ126" s="155">
        <f ca="1">TblMili[[#This Row],[Frost Mage]]*2</f>
        <v>5.9999999999999991</v>
      </c>
      <c r="DA126" s="155">
        <f ca="1">TblMili[[#This Row],[Ice Elemental]]*2</f>
        <v>0</v>
      </c>
      <c r="DB126" s="94">
        <f ca="1">TblMili[[#This Row],[Frost Mage bonus]]*TblMili[[#This Row],[Unit 3]]+TblMili[[#This Row],[Ice Elemental bonus]]*TblMili[[#This Row],[Unit 4]]</f>
        <v>0</v>
      </c>
      <c r="DC126" s="253"/>
      <c r="DD126" s="143">
        <f ca="1">MIN(SUM(TblConstr[[#This Row],[Plain]:[Water]])/TblMili[[#This Row],[Land]]/favorable_terrain_bonus/100,favorable_terrain_max)</f>
        <v>0</v>
      </c>
      <c r="DE126" s="253"/>
      <c r="DF12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6" s="142"/>
      <c r="DH126" s="254">
        <f ca="1">(TblMili[[#This Row],[Wizards]]+2*TblMili[[#This Row],[Archmages]])/TblConstr[[#This Row],[Land]]</f>
        <v>0</v>
      </c>
      <c r="DI126" s="254">
        <f ca="1">TblMili[[#This Row],[Raw (2)]]*(1+race_wizard_strength+IF(TblMili[[#This Row],[Hour]]&gt;72,tech_magical_weaponry_wiz*TblTech[[#This Row],[3-5]],0))</f>
        <v>0</v>
      </c>
    </row>
    <row r="127" spans="1:113" x14ac:dyDescent="0.2">
      <c r="A127" s="137">
        <f>TblRezone[[#This Row],[Hour]]</f>
        <v>124</v>
      </c>
      <c r="B127" s="246">
        <f ca="1">SUM(TblMili[[#This Row],[Unit 1]:[Archmages]])+SUM(OFFSET(TblMili[[#This Row],[Train Unit 1]],-8,0):TblMili[[#This Row],[Train Unit 2]]) + SUM(OFFSET(TblMili[[#This Row],[Train Unit 3]],-11,0):TblMili[[#This Row],[Train AM]]) + TblMili[[#This Row],[Draftees]]</f>
        <v>631</v>
      </c>
      <c r="C127" s="157">
        <f ca="1">TblPop[[#This Row],[Military%]]</f>
        <v>0.8205461638491548</v>
      </c>
      <c r="D127" s="142"/>
      <c r="E127" s="45">
        <f ca="1">OFFSET(TblMili[[#This Row],[Unit 1]],-1,0) + OFFSET(TblMili[[#This Row],[Train Unit 1]],-9,0) - TblMili[[#This Row],[Release Unit 1]] + OFFSET(TblMili[[#This Row],[DnD_Zombies]],-12,0)</f>
        <v>0</v>
      </c>
      <c r="F127" s="45">
        <f ca="1">OFFSET(TblMili[[#This Row],[Unit 2]],-1,0) + OFFSET(TblMili[[#This Row],[Train Unit 2]],-9,0)-TblMili[[#This Row],[Release Unit 2]]</f>
        <v>0</v>
      </c>
      <c r="G127" s="45">
        <f ca="1">OFFSET(TblMili[[#This Row],[Unit 3]],-1,0) + OFFSET(TblMili[[#This Row],[Train Unit 3]],-12,0)-TblMili[[#This Row],[Release Unit 3]]</f>
        <v>0</v>
      </c>
      <c r="H127" s="45">
        <f ca="1">OFFSET(TblMili[[#This Row],[Unit 4]],-1,0) + OFFSET(TblMili[[#This Row],[Train Unit 4]],-12,0)-TblMili[[#This Row],[Release Unit 4]]</f>
        <v>0</v>
      </c>
      <c r="I127" s="45">
        <f ca="1">OFFSET(TblMili[[#This Row],[Spies]],-1,0) + OFFSET(TblMili[[#This Row],[Train Spies]],-12,0) - TblMili[[#This Row],[Release Spies]]-TblMili[[#This Row],[Train AS]]</f>
        <v>0</v>
      </c>
      <c r="J127" s="45">
        <f ca="1">OFFSET(TblMili[[#This Row],[Archspies]],-1,0) + OFFSET(TblMili[[#This Row],[Train AS]],-12,0) - TblMili[[#This Row],[Release AS]]</f>
        <v>0</v>
      </c>
      <c r="K127" s="45">
        <f ca="1">OFFSET(TblMili[[#This Row],[Wizards]],-1,0) + OFFSET(TblMili[[#This Row],[Train Wiz]],-12,0) - TblMili[[#This Row],[Release Wizards]]-TblMili[[#This Row],[Train AM]] + IF(TblMagic[[#This Row],[Active Arc Infusion]]&gt;0,TblMili[[#This Row],[Train AM]])</f>
        <v>0</v>
      </c>
      <c r="L127" s="45">
        <f ca="1">OFFSET(TblMili[[#This Row],[Archmages]],-1,0) + OFFSET(TblMili[[#This Row],[Train AM]],-12,0) - TblMili[[#This Row],[Release AM]]</f>
        <v>0</v>
      </c>
      <c r="M127" s="142"/>
      <c r="N127" s="94">
        <f ca="1">TblProd[[#This Row],[Networth]]</f>
        <v>1250</v>
      </c>
      <c r="O127" s="142"/>
      <c r="P127"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2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7" s="247">
        <f ca="1">TblMili[[#This Row],[Raw]]*(1+TblMili[[#This Row],[Mods_Off]])</f>
        <v>0</v>
      </c>
      <c r="S127"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27" s="247">
        <f ca="1">TblMili[[#This Row],[Non Draft]]+TblMili[[#This Row],[Draftees]]</f>
        <v>631</v>
      </c>
      <c r="U127" s="248">
        <f ca="1">race_defense + TblImps[[#This Row],[Walls]] + ROUND( MIN(gt_bonus*TblConstr[[#This Row],[Tot GT]]/TblConstr[[#This Row],[Land]],gt_bonus_cap), 4) + IF(TblMagic[[#This Row],[Active Howling]]&gt;0,howling_dp_bonus,IF(TblMagic[[#This Row],[Active Ares Call]]&gt;0,ares_call_bonus))</f>
        <v>0</v>
      </c>
      <c r="V127" s="249">
        <f ca="1">TblMili[[#This Row],[Non Draft]] * (1 + TblMili[[#This Row],[Mods_Def]])</f>
        <v>0</v>
      </c>
      <c r="W127" s="247">
        <f ca="1">TblMili[[#This Row],[Draft]] * (1 + TblMili[[#This Row],[Mods_Def]])</f>
        <v>631</v>
      </c>
      <c r="X127" s="247">
        <f ca="1">TblConstr[[#This Row],[Land]]</f>
        <v>50</v>
      </c>
      <c r="Y127" s="250"/>
      <c r="Z127" s="255">
        <f ca="1">IF(TblMili[[#This Row],[Set]]&lt;&gt;"",TblMili[[#This Row],[Set]],OFFSET(TblMili[[#This Row],[Draftrate]],-1,0))</f>
        <v>0.9</v>
      </c>
      <c r="AA127"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631</v>
      </c>
      <c r="AB127" s="154"/>
      <c r="AC127" s="180">
        <f ca="1">(TblConstr[[#This Row],[Tot Smi]]+TblConstr[[#This Row],[Dest Smi]])/(TblConstr[[#This Row],[Land]]-TblExplore[[#This Row],[Land Bonus]]*20)</f>
        <v>0</v>
      </c>
      <c r="AD127" s="137"/>
      <c r="AE127" s="246">
        <f>TblMili[[#This Row],[Hour]]</f>
        <v>124</v>
      </c>
      <c r="AF127" s="138">
        <f ca="1">TblExplore[[#This Row],[Time]]</f>
        <v>46325.124999999702</v>
      </c>
      <c r="AG127" s="179"/>
      <c r="AH127" s="179"/>
      <c r="AI127" s="179"/>
      <c r="AJ127" s="179"/>
      <c r="AK127" s="179"/>
      <c r="AL127" s="179"/>
      <c r="AM127" s="179"/>
      <c r="AN127" s="179"/>
      <c r="AO127" s="420">
        <f ca="1">ROUND(IF(AND(TblMagic[[#This Row],[Active DnD]]&lt;12,TblMagic[[#This Row],[Active DnD]]&gt;5),OFFSET(TblPop[[#This Row],[Draft Growth]],-1,0)*0.375,0),0)</f>
        <v>0</v>
      </c>
      <c r="AP127" s="142"/>
      <c r="AQ127" s="94">
        <f ca="1">TblProd[[#This Row],[Platinum]]</f>
        <v>210092</v>
      </c>
      <c r="AR127" s="94">
        <f ca="1">INDEX(TblProd[[#Headers],[Lumber]]:TblProd[[#This Row],[Ore]],COUNTA(TblProd[[#Headers],[Lumber]]:TblProd[[#This Row],[Lumber]]),MATCH(Military!$AR$2,TblProd[[#Headers],[Lumber]:[Ore]],0))</f>
        <v>0</v>
      </c>
      <c r="AS12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27" s="94">
        <f ca="1">TblMili[[#This Row],[Train Unit 1]]*TblMili[[#This Row],[OP Ore]]+TblMili[[#This Row],[Train Unit 2]]*TblMili[[#This Row],[DP Ore]]+TblMili[[#This Row],[Train Unit 3]]*TblMili[[#This Row],[E1 Ore]]+TblMili[[#This Row],[Train Unit 4]]*TblMili[[#This Row],[E2 Ore]]</f>
        <v>0</v>
      </c>
      <c r="AU127" s="142">
        <f>TblMili[[#This Row],[Hour]]</f>
        <v>124</v>
      </c>
      <c r="AV127" s="152">
        <f ca="1">TblMili[[#This Row],[Time]]</f>
        <v>46325.124999999702</v>
      </c>
      <c r="AW127" s="94">
        <f ca="1">TblMili[[#This Row],[Draftees]]</f>
        <v>631</v>
      </c>
      <c r="AX127" s="179"/>
      <c r="AY127" s="179"/>
      <c r="AZ127" s="179"/>
      <c r="BA127" s="179"/>
      <c r="BB127" s="179"/>
      <c r="BC127" s="179"/>
      <c r="BD127" s="179"/>
      <c r="BE127" s="179"/>
      <c r="BF127" s="179"/>
      <c r="BG127" s="142"/>
      <c r="BH127" s="157">
        <f ca="1">TblConstr[[#This Row],[Tot WG]]/TblConstr[[#This Row],[Land]]</f>
        <v>0</v>
      </c>
      <c r="BI127" s="157">
        <f ca="1">TblConstr[[#This Row],[Tot Hav]]/TblConstr[[#This Row],[Land]]</f>
        <v>0</v>
      </c>
      <c r="BJ127" s="94">
        <f ca="1">ROUNDUP((1-MIN(TblMili[[#This Row],[Smithies]]*smithy_bonus,smithy_bonus_cap) + tech_3_5*TblTech[[#This Row],[3-5]] + tech_5_3*TblTech[[#This Row],[5-3]] + tech_5_5*TblTech[[#This Row],[5-5]])*spec_op_plat,0)</f>
        <v>315</v>
      </c>
      <c r="BK127" s="94">
        <f ca="1">ROUNDUP(IF(race="Gnome",1,(1-MIN(TblMili[[#This Row],[Smithies]]*smithy_bonus,smithy_bonus_cap) + tech_3_5*TblTech[[#This Row],[3-5]] + tech_5_3*TblTech[[#This Row],[5-3]] + tech_5_5*TblTech[[#This Row],[5-5]]))*spec_op_ore,0)</f>
        <v>25</v>
      </c>
      <c r="BL127" s="94">
        <f ca="1">ROUNDUP((1-MIN(TblMili[[#This Row],[Smithies]]*smithy_bonus,smithy_bonus_cap) + tech_3_5*TblTech[[#This Row],[3-5]] + tech_5_3*TblTech[[#This Row],[5-3]] + tech_5_5*TblTech[[#This Row],[5-5]])*spec_dp_plat,0)</f>
        <v>275</v>
      </c>
      <c r="BM127" s="94">
        <f ca="1">ROUNDUP(IF(race="Gnome",1,(1-MIN(TblMili[[#This Row],[Smithies]]*smithy_bonus,smithy_bonus_cap) + tech_3_5*TblTech[[#This Row],[3-5]] + tech_5_3*TblTech[[#This Row],[5-3]] + tech_5_5*TblTech[[#This Row],[5-5]]))*spec_dp_ore,0)</f>
        <v>15</v>
      </c>
      <c r="BN127" s="94">
        <f ca="1">ROUNDUP((1-MIN(TblMili[[#This Row],[Smithies]]*smithy_bonus,smithy_bonus_cap) + tech_3_5*TblTech[[#This Row],[3-5]] + tech_5_3*TblTech[[#This Row],[5-3]] + tech_5_5*TblTech[[#This Row],[5-5]])*elite1_plat,0)</f>
        <v>1040</v>
      </c>
      <c r="BO127" s="94">
        <f ca="1">ROUNDUP(IF(race="Gnome",1,(1-MIN(TblMili[[#This Row],[Smithies]]*smithy_bonus,smithy_bonus_cap) + tech_3_5*TblTech[[#This Row],[3-5]] + tech_5_3*TblTech[[#This Row],[5-3]] + tech_5_5*TblTech[[#This Row],[5-5]]))*elite1_ore,0)</f>
        <v>75</v>
      </c>
      <c r="BP127" s="94">
        <f ca="1">ROUNDUP((1-MIN(TblMili[[#This Row],[Smithies]]*smithy_bonus,smithy_bonus_cap) + tech_3_5*TblTech[[#This Row],[3-5]] + tech_5_3*TblTech[[#This Row],[5-3]] + tech_5_5*TblTech[[#This Row],[5-5]])*elite2_plat,0)</f>
        <v>1280</v>
      </c>
      <c r="BQ127" s="94">
        <f ca="1">ROUNDUP(IF(race="Gnome",1,(1-MIN(TblMili[[#This Row],[Smithies]]*smithy_bonus,smithy_bonus_cap) + tech_3_5*TblTech[[#This Row],[3-5]] + tech_5_3*TblTech[[#This Row],[5-3]] + tech_5_5*TblTech[[#This Row],[5-5]]))*elite2_ore,0)</f>
        <v>100</v>
      </c>
      <c r="BR127" s="94">
        <f ca="1">ROUNDUP((1-MIN(ROUND(fh_spy_cost_red*TblMili[[#This Row],[FH''s]],4),fh_spy_cost_cap)+ tech_1_9*TblTech[[#This Row],[1-9]] + tech_9_1*TblTech[[#This Row],[9-1]])*spy_plat,0)</f>
        <v>500</v>
      </c>
      <c r="BS127" s="94">
        <f ca="1">ROUNDUP((1-MIN(ROUND(fh_spy_cost_red*TblMili[[#This Row],[FH''s]],4),fh_spy_cost_cap)+ tech_1_9*TblTech[[#This Row],[1-9]] + tech_9_1*TblTech[[#This Row],[9-1]])*archspy_plat,0)</f>
        <v>1000</v>
      </c>
      <c r="BT127" s="94">
        <f ca="1">ROUNDUP((1-MIN(ROUND(wg_wiz_cost_bonus*TblMili[[#This Row],[WG''s]],4),wg_wiz_cost_cap) + tech_1_9_2*TblTech[[#This Row],[1-9]] + tech_9_1_2*TblTech[[#This Row],[9-1]])*wizard_plat,0)</f>
        <v>500</v>
      </c>
      <c r="BU127" s="94">
        <f ca="1">ROUNDUP((1-MIN(ROUND(wg_wiz_cost_bonus*TblMili[[#This Row],[WG''s]],4),wg_wiz_cost_cap) + tech_1_9_2*TblTech[[#This Row],[1-9]] + tech_9_1_2*TblTech[[#This Row],[9-1]])*(archmage_plat + IF(TblMagic[[#This Row],[Active Arc Infusion]]&gt;0,400,0)),0)</f>
        <v>1000</v>
      </c>
      <c r="BV127" s="142"/>
      <c r="BW127" s="157">
        <f ca="1">TblConstr[[#This Row],[Homeland]]/TblConstr[[#This Row],[Land]]</f>
        <v>0.6</v>
      </c>
      <c r="BX127" s="157">
        <f ca="1">TblMili[[#This Row],[WG''s]]</f>
        <v>0</v>
      </c>
      <c r="BY127" s="251">
        <f ca="1">IF(mystic_cap="none",TblMili[[#This Row],[Homeland%]]/mystic_bonus,MIN(mystic_cap,TblMili[[#This Row],[Homeland%]]/mystic_bonus))</f>
        <v>2</v>
      </c>
      <c r="BZ127" s="251">
        <f ca="1">IF(druid_op_cap="none",TblMili[[#This Row],[Homeland%]]/druid_op_bonus,MIN(druid_op_cap,TblMili[[#This Row],[Homeland%]]/druid_op_bonus))</f>
        <v>2</v>
      </c>
      <c r="CA127" s="251">
        <f ca="1">IF(druid_dp_cap="none",TblMili[[#This Row],[Homeland%]]/druid_dp_bonus,MIN(druid_dp_cap,TblMili[[#This Row],[Homeland%]]/druid_dp_bonus))</f>
        <v>2</v>
      </c>
      <c r="CB127" s="251">
        <f ca="1">MIN(dryad_cap,TblMili[[#This Row],[Homeland%]]/dryad_bonus)</f>
        <v>2.9999999999999996</v>
      </c>
      <c r="CC127" s="251">
        <f ca="1">MIN(rocka_cap,TblMili[[#This Row],[Homeland%]]/rocka_bonus)</f>
        <v>2</v>
      </c>
      <c r="CD127" s="251">
        <f ca="1">MIN(adept_op_cap,TblMili[[#This Row],[WG]]/adept_op_bonus)</f>
        <v>0</v>
      </c>
      <c r="CE127" s="251">
        <f ca="1">MIN(adept_dp_cap,TblMili[[#This Row],[WG]]/adept_dp_bonus)</f>
        <v>0</v>
      </c>
      <c r="CF127" s="94">
        <f ca="1">MIN(TblMili[[#This Row],[Unit 3]],TblMili[[#This Row],[Unit 2]])*2</f>
        <v>0</v>
      </c>
      <c r="CG127" s="94">
        <f ca="1">MIN(TblMili[[#This Row],[Unit 1]],TblMili[[#This Row],[Unit 4]])*2</f>
        <v>0</v>
      </c>
      <c r="CH127" s="251">
        <f ca="1">MIN(frost_mage_cap,TblMili[[#This Row],[Homeland%]]/frost_mage_bonus)</f>
        <v>2.9999999999999996</v>
      </c>
      <c r="CI127" s="45">
        <f ca="1">MIN(ice_elem_cap,TblMili[[#This Row],[Raw (2)]]*ice_elem_bonus)</f>
        <v>0</v>
      </c>
      <c r="CJ127" s="251">
        <f t="shared" si="4"/>
        <v>0.83333333333333337</v>
      </c>
      <c r="CK127" s="251">
        <f ca="1">MIN(nox_nightshade_cap,TblConstr[[#This Row],[Homeland]]/TblConstr[[#This Row],[Land]]/nox_nightshade_swamp_bonus)</f>
        <v>4</v>
      </c>
      <c r="CL127" s="251">
        <f ca="1">MIN(TblConstr[[#This Row],[Total Swamp]]/TblConstr[[#This Row],[Land]]/abyss_enforce_bonus,abyss_enforcer_cap)</f>
        <v>0</v>
      </c>
      <c r="CM127" s="251">
        <f ca="1">IF(TblMagic[[#This Row],[Active Infernal Command]]&gt;0,TblMili[[#This Row],[Unit 1]]*infernal_cmd_op,0)</f>
        <v>0</v>
      </c>
      <c r="CN127" s="252"/>
      <c r="CO127" s="252"/>
      <c r="CP127" s="252"/>
      <c r="CQ127" s="251">
        <f ca="1">TblMili[[#This Row],[Mystic]]*2</f>
        <v>4</v>
      </c>
      <c r="CR127" s="251">
        <f ca="1">TblMili[[#This Row],[Druid (op)]]*2</f>
        <v>4</v>
      </c>
      <c r="CS127" s="94">
        <f ca="1">TblMili[[#This Row],[Mystic bonus]]*TblMili[[#This Row],[Unit 3]]+TblMili[[#This Row],[Druid bonus]]*TblMili[[#This Row],[Unit 4]]</f>
        <v>0</v>
      </c>
      <c r="CT127" s="155">
        <f ca="1">TblMili[[#This Row],[Dryad]]*2</f>
        <v>5.9999999999999991</v>
      </c>
      <c r="CU127" s="94">
        <f ca="1">sylvan*(TblMili[[#This Row],[Mystic bonus]]*TblMili[[#This Row],[Unit 3]])</f>
        <v>0</v>
      </c>
      <c r="CV127" s="155">
        <f ca="1">TblMili[[#This Row],[Rockapult]]*2</f>
        <v>4</v>
      </c>
      <c r="CW127" s="94">
        <f ca="1">gnome*(TblMili[[#This Row],[Rockapult bonus]]*TblMili[[#This Row],[Unit 3]])</f>
        <v>0</v>
      </c>
      <c r="CX127" s="155">
        <f ca="1">TblMili[[#This Row],[Adept-DP]]*2</f>
        <v>0</v>
      </c>
      <c r="CY127" s="94">
        <f ca="1">dark_elf*(TblMili[[#This Row],[Adept bonus]]*TblMili[[#This Row],[Unit 3]])</f>
        <v>0</v>
      </c>
      <c r="CZ127" s="155">
        <f ca="1">TblMili[[#This Row],[Frost Mage]]*2</f>
        <v>5.9999999999999991</v>
      </c>
      <c r="DA127" s="155">
        <f ca="1">TblMili[[#This Row],[Ice Elemental]]*2</f>
        <v>0</v>
      </c>
      <c r="DB127" s="94">
        <f ca="1">TblMili[[#This Row],[Frost Mage bonus]]*TblMili[[#This Row],[Unit 3]]+TblMili[[#This Row],[Ice Elemental bonus]]*TblMili[[#This Row],[Unit 4]]</f>
        <v>0</v>
      </c>
      <c r="DC127" s="253"/>
      <c r="DD127" s="143">
        <f ca="1">MIN(SUM(TblConstr[[#This Row],[Plain]:[Water]])/TblMili[[#This Row],[Land]]/favorable_terrain_bonus/100,favorable_terrain_max)</f>
        <v>0</v>
      </c>
      <c r="DE127" s="253"/>
      <c r="DF12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7" s="142"/>
      <c r="DH127" s="254">
        <f ca="1">(TblMili[[#This Row],[Wizards]]+2*TblMili[[#This Row],[Archmages]])/TblConstr[[#This Row],[Land]]</f>
        <v>0</v>
      </c>
      <c r="DI127" s="254">
        <f ca="1">TblMili[[#This Row],[Raw (2)]]*(1+race_wizard_strength+IF(TblMili[[#This Row],[Hour]]&gt;72,tech_magical_weaponry_wiz*TblTech[[#This Row],[3-5]],0))</f>
        <v>0</v>
      </c>
    </row>
    <row r="128" spans="1:113" x14ac:dyDescent="0.2">
      <c r="A128" s="137">
        <f>TblRezone[[#This Row],[Hour]]</f>
        <v>125</v>
      </c>
      <c r="B128" s="246">
        <f ca="1">SUM(TblMili[[#This Row],[Unit 1]:[Archmages]])+SUM(OFFSET(TblMili[[#This Row],[Train Unit 1]],-8,0):TblMili[[#This Row],[Train Unit 2]]) + SUM(OFFSET(TblMili[[#This Row],[Train Unit 3]],-11,0):TblMili[[#This Row],[Train AM]]) + TblMili[[#This Row],[Draftees]]</f>
        <v>632</v>
      </c>
      <c r="C128" s="157">
        <f ca="1">TblPop[[#This Row],[Military%]]</f>
        <v>0.82184655396618989</v>
      </c>
      <c r="D128" s="142"/>
      <c r="E128" s="45">
        <f ca="1">OFFSET(TblMili[[#This Row],[Unit 1]],-1,0) + OFFSET(TblMili[[#This Row],[Train Unit 1]],-9,0) - TblMili[[#This Row],[Release Unit 1]] + OFFSET(TblMili[[#This Row],[DnD_Zombies]],-12,0)</f>
        <v>0</v>
      </c>
      <c r="F128" s="45">
        <f ca="1">OFFSET(TblMili[[#This Row],[Unit 2]],-1,0) + OFFSET(TblMili[[#This Row],[Train Unit 2]],-9,0)-TblMili[[#This Row],[Release Unit 2]]</f>
        <v>0</v>
      </c>
      <c r="G128" s="45">
        <f ca="1">OFFSET(TblMili[[#This Row],[Unit 3]],-1,0) + OFFSET(TblMili[[#This Row],[Train Unit 3]],-12,0)-TblMili[[#This Row],[Release Unit 3]]</f>
        <v>0</v>
      </c>
      <c r="H128" s="45">
        <f ca="1">OFFSET(TblMili[[#This Row],[Unit 4]],-1,0) + OFFSET(TblMili[[#This Row],[Train Unit 4]],-12,0)-TblMili[[#This Row],[Release Unit 4]]</f>
        <v>0</v>
      </c>
      <c r="I128" s="45">
        <f ca="1">OFFSET(TblMili[[#This Row],[Spies]],-1,0) + OFFSET(TblMili[[#This Row],[Train Spies]],-12,0) - TblMili[[#This Row],[Release Spies]]-TblMili[[#This Row],[Train AS]]</f>
        <v>0</v>
      </c>
      <c r="J128" s="45">
        <f ca="1">OFFSET(TblMili[[#This Row],[Archspies]],-1,0) + OFFSET(TblMili[[#This Row],[Train AS]],-12,0) - TblMili[[#This Row],[Release AS]]</f>
        <v>0</v>
      </c>
      <c r="K128" s="45">
        <f ca="1">OFFSET(TblMili[[#This Row],[Wizards]],-1,0) + OFFSET(TblMili[[#This Row],[Train Wiz]],-12,0) - TblMili[[#This Row],[Release Wizards]]-TblMili[[#This Row],[Train AM]] + IF(TblMagic[[#This Row],[Active Arc Infusion]]&gt;0,TblMili[[#This Row],[Train AM]])</f>
        <v>0</v>
      </c>
      <c r="L128" s="45">
        <f ca="1">OFFSET(TblMili[[#This Row],[Archmages]],-1,0) + OFFSET(TblMili[[#This Row],[Train AM]],-12,0) - TblMili[[#This Row],[Release AM]]</f>
        <v>0</v>
      </c>
      <c r="M128" s="142"/>
      <c r="N128" s="94">
        <f ca="1">TblProd[[#This Row],[Networth]]</f>
        <v>1250</v>
      </c>
      <c r="O128" s="142"/>
      <c r="P128"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2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8" s="247">
        <f ca="1">TblMili[[#This Row],[Raw]]*(1+TblMili[[#This Row],[Mods_Off]])</f>
        <v>0</v>
      </c>
      <c r="S128"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28" s="247">
        <f ca="1">TblMili[[#This Row],[Non Draft]]+TblMili[[#This Row],[Draftees]]</f>
        <v>632</v>
      </c>
      <c r="U128" s="248">
        <f ca="1">race_defense + TblImps[[#This Row],[Walls]] + ROUND( MIN(gt_bonus*TblConstr[[#This Row],[Tot GT]]/TblConstr[[#This Row],[Land]],gt_bonus_cap), 4) + IF(TblMagic[[#This Row],[Active Howling]]&gt;0,howling_dp_bonus,IF(TblMagic[[#This Row],[Active Ares Call]]&gt;0,ares_call_bonus))</f>
        <v>0</v>
      </c>
      <c r="V128" s="249">
        <f ca="1">TblMili[[#This Row],[Non Draft]] * (1 + TblMili[[#This Row],[Mods_Def]])</f>
        <v>0</v>
      </c>
      <c r="W128" s="247">
        <f ca="1">TblMili[[#This Row],[Draft]] * (1 + TblMili[[#This Row],[Mods_Def]])</f>
        <v>632</v>
      </c>
      <c r="X128" s="247">
        <f ca="1">TblConstr[[#This Row],[Land]]</f>
        <v>50</v>
      </c>
      <c r="Y128" s="250"/>
      <c r="Z128" s="255">
        <f ca="1">IF(TblMili[[#This Row],[Set]]&lt;&gt;"",TblMili[[#This Row],[Set]],OFFSET(TblMili[[#This Row],[Draftrate]],-1,0))</f>
        <v>0.9</v>
      </c>
      <c r="AA128"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632</v>
      </c>
      <c r="AB128" s="154"/>
      <c r="AC128" s="180">
        <f ca="1">(TblConstr[[#This Row],[Tot Smi]]+TblConstr[[#This Row],[Dest Smi]])/(TblConstr[[#This Row],[Land]]-TblExplore[[#This Row],[Land Bonus]]*20)</f>
        <v>0</v>
      </c>
      <c r="AD128" s="137"/>
      <c r="AE128" s="246">
        <f>TblMili[[#This Row],[Hour]]</f>
        <v>125</v>
      </c>
      <c r="AF128" s="138">
        <f ca="1">TblExplore[[#This Row],[Time]]</f>
        <v>46325.166666666366</v>
      </c>
      <c r="AG128" s="179"/>
      <c r="AH128" s="179"/>
      <c r="AI128" s="179"/>
      <c r="AJ128" s="179"/>
      <c r="AK128" s="179"/>
      <c r="AL128" s="179"/>
      <c r="AM128" s="179"/>
      <c r="AN128" s="179"/>
      <c r="AO128" s="420">
        <f ca="1">ROUND(IF(AND(TblMagic[[#This Row],[Active DnD]]&lt;12,TblMagic[[#This Row],[Active DnD]]&gt;5),OFFSET(TblPop[[#This Row],[Draft Growth]],-1,0)*0.375,0),0)</f>
        <v>0</v>
      </c>
      <c r="AP128" s="142"/>
      <c r="AQ128" s="94">
        <f ca="1">TblProd[[#This Row],[Platinum]]</f>
        <v>210464</v>
      </c>
      <c r="AR128" s="94">
        <f ca="1">INDEX(TblProd[[#Headers],[Lumber]]:TblProd[[#This Row],[Ore]],COUNTA(TblProd[[#Headers],[Lumber]]:TblProd[[#This Row],[Lumber]]),MATCH(Military!$AR$2,TblProd[[#Headers],[Lumber]:[Ore]],0))</f>
        <v>0</v>
      </c>
      <c r="AS12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28" s="94">
        <f ca="1">TblMili[[#This Row],[Train Unit 1]]*TblMili[[#This Row],[OP Ore]]+TblMili[[#This Row],[Train Unit 2]]*TblMili[[#This Row],[DP Ore]]+TblMili[[#This Row],[Train Unit 3]]*TblMili[[#This Row],[E1 Ore]]+TblMili[[#This Row],[Train Unit 4]]*TblMili[[#This Row],[E2 Ore]]</f>
        <v>0</v>
      </c>
      <c r="AU128" s="142">
        <f>TblMili[[#This Row],[Hour]]</f>
        <v>125</v>
      </c>
      <c r="AV128" s="152">
        <f ca="1">TblMili[[#This Row],[Time]]</f>
        <v>46325.166666666366</v>
      </c>
      <c r="AW128" s="94">
        <f ca="1">TblMili[[#This Row],[Draftees]]</f>
        <v>632</v>
      </c>
      <c r="AX128" s="179"/>
      <c r="AY128" s="179"/>
      <c r="AZ128" s="179"/>
      <c r="BA128" s="179"/>
      <c r="BB128" s="179"/>
      <c r="BC128" s="179"/>
      <c r="BD128" s="179"/>
      <c r="BE128" s="179"/>
      <c r="BF128" s="179"/>
      <c r="BG128" s="142"/>
      <c r="BH128" s="157">
        <f ca="1">TblConstr[[#This Row],[Tot WG]]/TblConstr[[#This Row],[Land]]</f>
        <v>0</v>
      </c>
      <c r="BI128" s="157">
        <f ca="1">TblConstr[[#This Row],[Tot Hav]]/TblConstr[[#This Row],[Land]]</f>
        <v>0</v>
      </c>
      <c r="BJ128" s="94">
        <f ca="1">ROUNDUP((1-MIN(TblMili[[#This Row],[Smithies]]*smithy_bonus,smithy_bonus_cap) + tech_3_5*TblTech[[#This Row],[3-5]] + tech_5_3*TblTech[[#This Row],[5-3]] + tech_5_5*TblTech[[#This Row],[5-5]])*spec_op_plat,0)</f>
        <v>315</v>
      </c>
      <c r="BK128" s="94">
        <f ca="1">ROUNDUP(IF(race="Gnome",1,(1-MIN(TblMili[[#This Row],[Smithies]]*smithy_bonus,smithy_bonus_cap) + tech_3_5*TblTech[[#This Row],[3-5]] + tech_5_3*TblTech[[#This Row],[5-3]] + tech_5_5*TblTech[[#This Row],[5-5]]))*spec_op_ore,0)</f>
        <v>25</v>
      </c>
      <c r="BL128" s="94">
        <f ca="1">ROUNDUP((1-MIN(TblMili[[#This Row],[Smithies]]*smithy_bonus,smithy_bonus_cap) + tech_3_5*TblTech[[#This Row],[3-5]] + tech_5_3*TblTech[[#This Row],[5-3]] + tech_5_5*TblTech[[#This Row],[5-5]])*spec_dp_plat,0)</f>
        <v>275</v>
      </c>
      <c r="BM128" s="94">
        <f ca="1">ROUNDUP(IF(race="Gnome",1,(1-MIN(TblMili[[#This Row],[Smithies]]*smithy_bonus,smithy_bonus_cap) + tech_3_5*TblTech[[#This Row],[3-5]] + tech_5_3*TblTech[[#This Row],[5-3]] + tech_5_5*TblTech[[#This Row],[5-5]]))*spec_dp_ore,0)</f>
        <v>15</v>
      </c>
      <c r="BN128" s="94">
        <f ca="1">ROUNDUP((1-MIN(TblMili[[#This Row],[Smithies]]*smithy_bonus,smithy_bonus_cap) + tech_3_5*TblTech[[#This Row],[3-5]] + tech_5_3*TblTech[[#This Row],[5-3]] + tech_5_5*TblTech[[#This Row],[5-5]])*elite1_plat,0)</f>
        <v>1040</v>
      </c>
      <c r="BO128" s="94">
        <f ca="1">ROUNDUP(IF(race="Gnome",1,(1-MIN(TblMili[[#This Row],[Smithies]]*smithy_bonus,smithy_bonus_cap) + tech_3_5*TblTech[[#This Row],[3-5]] + tech_5_3*TblTech[[#This Row],[5-3]] + tech_5_5*TblTech[[#This Row],[5-5]]))*elite1_ore,0)</f>
        <v>75</v>
      </c>
      <c r="BP128" s="94">
        <f ca="1">ROUNDUP((1-MIN(TblMili[[#This Row],[Smithies]]*smithy_bonus,smithy_bonus_cap) + tech_3_5*TblTech[[#This Row],[3-5]] + tech_5_3*TblTech[[#This Row],[5-3]] + tech_5_5*TblTech[[#This Row],[5-5]])*elite2_plat,0)</f>
        <v>1280</v>
      </c>
      <c r="BQ128" s="94">
        <f ca="1">ROUNDUP(IF(race="Gnome",1,(1-MIN(TblMili[[#This Row],[Smithies]]*smithy_bonus,smithy_bonus_cap) + tech_3_5*TblTech[[#This Row],[3-5]] + tech_5_3*TblTech[[#This Row],[5-3]] + tech_5_5*TblTech[[#This Row],[5-5]]))*elite2_ore,0)</f>
        <v>100</v>
      </c>
      <c r="BR128" s="94">
        <f ca="1">ROUNDUP((1-MIN(ROUND(fh_spy_cost_red*TblMili[[#This Row],[FH''s]],4),fh_spy_cost_cap)+ tech_1_9*TblTech[[#This Row],[1-9]] + tech_9_1*TblTech[[#This Row],[9-1]])*spy_plat,0)</f>
        <v>500</v>
      </c>
      <c r="BS128" s="94">
        <f ca="1">ROUNDUP((1-MIN(ROUND(fh_spy_cost_red*TblMili[[#This Row],[FH''s]],4),fh_spy_cost_cap)+ tech_1_9*TblTech[[#This Row],[1-9]] + tech_9_1*TblTech[[#This Row],[9-1]])*archspy_plat,0)</f>
        <v>1000</v>
      </c>
      <c r="BT128" s="94">
        <f ca="1">ROUNDUP((1-MIN(ROUND(wg_wiz_cost_bonus*TblMili[[#This Row],[WG''s]],4),wg_wiz_cost_cap) + tech_1_9_2*TblTech[[#This Row],[1-9]] + tech_9_1_2*TblTech[[#This Row],[9-1]])*wizard_plat,0)</f>
        <v>500</v>
      </c>
      <c r="BU128" s="94">
        <f ca="1">ROUNDUP((1-MIN(ROUND(wg_wiz_cost_bonus*TblMili[[#This Row],[WG''s]],4),wg_wiz_cost_cap) + tech_1_9_2*TblTech[[#This Row],[1-9]] + tech_9_1_2*TblTech[[#This Row],[9-1]])*(archmage_plat + IF(TblMagic[[#This Row],[Active Arc Infusion]]&gt;0,400,0)),0)</f>
        <v>1000</v>
      </c>
      <c r="BV128" s="142"/>
      <c r="BW128" s="157">
        <f ca="1">TblConstr[[#This Row],[Homeland]]/TblConstr[[#This Row],[Land]]</f>
        <v>0.6</v>
      </c>
      <c r="BX128" s="157">
        <f ca="1">TblMili[[#This Row],[WG''s]]</f>
        <v>0</v>
      </c>
      <c r="BY128" s="251">
        <f ca="1">IF(mystic_cap="none",TblMili[[#This Row],[Homeland%]]/mystic_bonus,MIN(mystic_cap,TblMili[[#This Row],[Homeland%]]/mystic_bonus))</f>
        <v>2</v>
      </c>
      <c r="BZ128" s="251">
        <f ca="1">IF(druid_op_cap="none",TblMili[[#This Row],[Homeland%]]/druid_op_bonus,MIN(druid_op_cap,TblMili[[#This Row],[Homeland%]]/druid_op_bonus))</f>
        <v>2</v>
      </c>
      <c r="CA128" s="251">
        <f ca="1">IF(druid_dp_cap="none",TblMili[[#This Row],[Homeland%]]/druid_dp_bonus,MIN(druid_dp_cap,TblMili[[#This Row],[Homeland%]]/druid_dp_bonus))</f>
        <v>2</v>
      </c>
      <c r="CB128" s="251">
        <f ca="1">MIN(dryad_cap,TblMili[[#This Row],[Homeland%]]/dryad_bonus)</f>
        <v>2.9999999999999996</v>
      </c>
      <c r="CC128" s="251">
        <f ca="1">MIN(rocka_cap,TblMili[[#This Row],[Homeland%]]/rocka_bonus)</f>
        <v>2</v>
      </c>
      <c r="CD128" s="251">
        <f ca="1">MIN(adept_op_cap,TblMili[[#This Row],[WG]]/adept_op_bonus)</f>
        <v>0</v>
      </c>
      <c r="CE128" s="251">
        <f ca="1">MIN(adept_dp_cap,TblMili[[#This Row],[WG]]/adept_dp_bonus)</f>
        <v>0</v>
      </c>
      <c r="CF128" s="94">
        <f ca="1">MIN(TblMili[[#This Row],[Unit 3]],TblMili[[#This Row],[Unit 2]])*2</f>
        <v>0</v>
      </c>
      <c r="CG128" s="94">
        <f ca="1">MIN(TblMili[[#This Row],[Unit 1]],TblMili[[#This Row],[Unit 4]])*2</f>
        <v>0</v>
      </c>
      <c r="CH128" s="251">
        <f ca="1">MIN(frost_mage_cap,TblMili[[#This Row],[Homeland%]]/frost_mage_bonus)</f>
        <v>2.9999999999999996</v>
      </c>
      <c r="CI128" s="45">
        <f ca="1">MIN(ice_elem_cap,TblMili[[#This Row],[Raw (2)]]*ice_elem_bonus)</f>
        <v>0</v>
      </c>
      <c r="CJ128" s="251">
        <f t="shared" si="4"/>
        <v>0.83333333333333337</v>
      </c>
      <c r="CK128" s="251">
        <f ca="1">MIN(nox_nightshade_cap,TblConstr[[#This Row],[Homeland]]/TblConstr[[#This Row],[Land]]/nox_nightshade_swamp_bonus)</f>
        <v>4</v>
      </c>
      <c r="CL128" s="251">
        <f ca="1">MIN(TblConstr[[#This Row],[Total Swamp]]/TblConstr[[#This Row],[Land]]/abyss_enforce_bonus,abyss_enforcer_cap)</f>
        <v>0</v>
      </c>
      <c r="CM128" s="251">
        <f ca="1">IF(TblMagic[[#This Row],[Active Infernal Command]]&gt;0,TblMili[[#This Row],[Unit 1]]*infernal_cmd_op,0)</f>
        <v>0</v>
      </c>
      <c r="CN128" s="252"/>
      <c r="CO128" s="252"/>
      <c r="CP128" s="252"/>
      <c r="CQ128" s="251">
        <f ca="1">TblMili[[#This Row],[Mystic]]*2</f>
        <v>4</v>
      </c>
      <c r="CR128" s="251">
        <f ca="1">TblMili[[#This Row],[Druid (op)]]*2</f>
        <v>4</v>
      </c>
      <c r="CS128" s="94">
        <f ca="1">TblMili[[#This Row],[Mystic bonus]]*TblMili[[#This Row],[Unit 3]]+TblMili[[#This Row],[Druid bonus]]*TblMili[[#This Row],[Unit 4]]</f>
        <v>0</v>
      </c>
      <c r="CT128" s="155">
        <f ca="1">TblMili[[#This Row],[Dryad]]*2</f>
        <v>5.9999999999999991</v>
      </c>
      <c r="CU128" s="94">
        <f ca="1">sylvan*(TblMili[[#This Row],[Mystic bonus]]*TblMili[[#This Row],[Unit 3]])</f>
        <v>0</v>
      </c>
      <c r="CV128" s="155">
        <f ca="1">TblMili[[#This Row],[Rockapult]]*2</f>
        <v>4</v>
      </c>
      <c r="CW128" s="94">
        <f ca="1">gnome*(TblMili[[#This Row],[Rockapult bonus]]*TblMili[[#This Row],[Unit 3]])</f>
        <v>0</v>
      </c>
      <c r="CX128" s="155">
        <f ca="1">TblMili[[#This Row],[Adept-DP]]*2</f>
        <v>0</v>
      </c>
      <c r="CY128" s="94">
        <f ca="1">dark_elf*(TblMili[[#This Row],[Adept bonus]]*TblMili[[#This Row],[Unit 3]])</f>
        <v>0</v>
      </c>
      <c r="CZ128" s="155">
        <f ca="1">TblMili[[#This Row],[Frost Mage]]*2</f>
        <v>5.9999999999999991</v>
      </c>
      <c r="DA128" s="155">
        <f ca="1">TblMili[[#This Row],[Ice Elemental]]*2</f>
        <v>0</v>
      </c>
      <c r="DB128" s="94">
        <f ca="1">TblMili[[#This Row],[Frost Mage bonus]]*TblMili[[#This Row],[Unit 3]]+TblMili[[#This Row],[Ice Elemental bonus]]*TblMili[[#This Row],[Unit 4]]</f>
        <v>0</v>
      </c>
      <c r="DC128" s="253"/>
      <c r="DD128" s="143">
        <f ca="1">MIN(SUM(TblConstr[[#This Row],[Plain]:[Water]])/TblMili[[#This Row],[Land]]/favorable_terrain_bonus/100,favorable_terrain_max)</f>
        <v>0</v>
      </c>
      <c r="DE128" s="253"/>
      <c r="DF12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8" s="142"/>
      <c r="DH128" s="254">
        <f ca="1">(TblMili[[#This Row],[Wizards]]+2*TblMili[[#This Row],[Archmages]])/TblConstr[[#This Row],[Land]]</f>
        <v>0</v>
      </c>
      <c r="DI128" s="254">
        <f ca="1">TblMili[[#This Row],[Raw (2)]]*(1+race_wizard_strength+IF(TblMili[[#This Row],[Hour]]&gt;72,tech_magical_weaponry_wiz*TblTech[[#This Row],[3-5]],0))</f>
        <v>0</v>
      </c>
    </row>
    <row r="129" spans="1:113" x14ac:dyDescent="0.2">
      <c r="A129" s="137">
        <f>TblRezone[[#This Row],[Hour]]</f>
        <v>126</v>
      </c>
      <c r="B129" s="246">
        <f ca="1">SUM(TblMili[[#This Row],[Unit 1]:[Archmages]])+SUM(OFFSET(TblMili[[#This Row],[Train Unit 1]],-8,0):TblMili[[#This Row],[Train Unit 2]]) + SUM(OFFSET(TblMili[[#This Row],[Train Unit 3]],-11,0):TblMili[[#This Row],[Train AM]]) + TblMili[[#This Row],[Draftees]]</f>
        <v>633</v>
      </c>
      <c r="C129" s="157">
        <f ca="1">TblPop[[#This Row],[Military%]]</f>
        <v>0.82314694408322497</v>
      </c>
      <c r="D129" s="142"/>
      <c r="E129" s="45">
        <f ca="1">OFFSET(TblMili[[#This Row],[Unit 1]],-1,0) + OFFSET(TblMili[[#This Row],[Train Unit 1]],-9,0) - TblMili[[#This Row],[Release Unit 1]] + OFFSET(TblMili[[#This Row],[DnD_Zombies]],-12,0)</f>
        <v>0</v>
      </c>
      <c r="F129" s="45">
        <f ca="1">OFFSET(TblMili[[#This Row],[Unit 2]],-1,0) + OFFSET(TblMili[[#This Row],[Train Unit 2]],-9,0)-TblMili[[#This Row],[Release Unit 2]]</f>
        <v>0</v>
      </c>
      <c r="G129" s="45">
        <f ca="1">OFFSET(TblMili[[#This Row],[Unit 3]],-1,0) + OFFSET(TblMili[[#This Row],[Train Unit 3]],-12,0)-TblMili[[#This Row],[Release Unit 3]]</f>
        <v>0</v>
      </c>
      <c r="H129" s="45">
        <f ca="1">OFFSET(TblMili[[#This Row],[Unit 4]],-1,0) + OFFSET(TblMili[[#This Row],[Train Unit 4]],-12,0)-TblMili[[#This Row],[Release Unit 4]]</f>
        <v>0</v>
      </c>
      <c r="I129" s="45">
        <f ca="1">OFFSET(TblMili[[#This Row],[Spies]],-1,0) + OFFSET(TblMili[[#This Row],[Train Spies]],-12,0) - TblMili[[#This Row],[Release Spies]]-TblMili[[#This Row],[Train AS]]</f>
        <v>0</v>
      </c>
      <c r="J129" s="45">
        <f ca="1">OFFSET(TblMili[[#This Row],[Archspies]],-1,0) + OFFSET(TblMili[[#This Row],[Train AS]],-12,0) - TblMili[[#This Row],[Release AS]]</f>
        <v>0</v>
      </c>
      <c r="K129" s="45">
        <f ca="1">OFFSET(TblMili[[#This Row],[Wizards]],-1,0) + OFFSET(TblMili[[#This Row],[Train Wiz]],-12,0) - TblMili[[#This Row],[Release Wizards]]-TblMili[[#This Row],[Train AM]] + IF(TblMagic[[#This Row],[Active Arc Infusion]]&gt;0,TblMili[[#This Row],[Train AM]])</f>
        <v>0</v>
      </c>
      <c r="L129" s="45">
        <f ca="1">OFFSET(TblMili[[#This Row],[Archmages]],-1,0) + OFFSET(TblMili[[#This Row],[Train AM]],-12,0) - TblMili[[#This Row],[Release AM]]</f>
        <v>0</v>
      </c>
      <c r="M129" s="142"/>
      <c r="N129" s="94">
        <f ca="1">TblProd[[#This Row],[Networth]]</f>
        <v>1250</v>
      </c>
      <c r="O129" s="142"/>
      <c r="P129"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2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9" s="247">
        <f ca="1">TblMili[[#This Row],[Raw]]*(1+TblMili[[#This Row],[Mods_Off]])</f>
        <v>0</v>
      </c>
      <c r="S129"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29" s="247">
        <f ca="1">TblMili[[#This Row],[Non Draft]]+TblMili[[#This Row],[Draftees]]</f>
        <v>633</v>
      </c>
      <c r="U129" s="248">
        <f ca="1">race_defense + TblImps[[#This Row],[Walls]] + ROUND( MIN(gt_bonus*TblConstr[[#This Row],[Tot GT]]/TblConstr[[#This Row],[Land]],gt_bonus_cap), 4) + IF(TblMagic[[#This Row],[Active Howling]]&gt;0,howling_dp_bonus,IF(TblMagic[[#This Row],[Active Ares Call]]&gt;0,ares_call_bonus))</f>
        <v>0</v>
      </c>
      <c r="V129" s="249">
        <f ca="1">TblMili[[#This Row],[Non Draft]] * (1 + TblMili[[#This Row],[Mods_Def]])</f>
        <v>0</v>
      </c>
      <c r="W129" s="247">
        <f ca="1">TblMili[[#This Row],[Draft]] * (1 + TblMili[[#This Row],[Mods_Def]])</f>
        <v>633</v>
      </c>
      <c r="X129" s="247">
        <f ca="1">TblConstr[[#This Row],[Land]]</f>
        <v>50</v>
      </c>
      <c r="Y129" s="250"/>
      <c r="Z129" s="255">
        <f ca="1">IF(TblMili[[#This Row],[Set]]&lt;&gt;"",TblMili[[#This Row],[Set]],OFFSET(TblMili[[#This Row],[Draftrate]],-1,0))</f>
        <v>0.9</v>
      </c>
      <c r="AA129"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633</v>
      </c>
      <c r="AB129" s="154"/>
      <c r="AC129" s="180">
        <f ca="1">(TblConstr[[#This Row],[Tot Smi]]+TblConstr[[#This Row],[Dest Smi]])/(TblConstr[[#This Row],[Land]]-TblExplore[[#This Row],[Land Bonus]]*20)</f>
        <v>0</v>
      </c>
      <c r="AD129" s="137"/>
      <c r="AE129" s="246">
        <f>TblMili[[#This Row],[Hour]]</f>
        <v>126</v>
      </c>
      <c r="AF129" s="138">
        <f ca="1">TblExplore[[#This Row],[Time]]</f>
        <v>46325.20833333303</v>
      </c>
      <c r="AG129" s="179"/>
      <c r="AH129" s="179"/>
      <c r="AI129" s="179"/>
      <c r="AJ129" s="179"/>
      <c r="AK129" s="179"/>
      <c r="AL129" s="179"/>
      <c r="AM129" s="179"/>
      <c r="AN129" s="179"/>
      <c r="AO129" s="420">
        <f ca="1">ROUND(IF(AND(TblMagic[[#This Row],[Active DnD]]&lt;12,TblMagic[[#This Row],[Active DnD]]&gt;5),OFFSET(TblPop[[#This Row],[Draft Growth]],-1,0)*0.375,0),0)</f>
        <v>0</v>
      </c>
      <c r="AP129" s="142"/>
      <c r="AQ129" s="94">
        <f ca="1">TblProd[[#This Row],[Platinum]]</f>
        <v>210833</v>
      </c>
      <c r="AR129" s="94">
        <f ca="1">INDEX(TblProd[[#Headers],[Lumber]]:TblProd[[#This Row],[Ore]],COUNTA(TblProd[[#Headers],[Lumber]]:TblProd[[#This Row],[Lumber]]),MATCH(Military!$AR$2,TblProd[[#Headers],[Lumber]:[Ore]],0))</f>
        <v>0</v>
      </c>
      <c r="AS12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29" s="94">
        <f ca="1">TblMili[[#This Row],[Train Unit 1]]*TblMili[[#This Row],[OP Ore]]+TblMili[[#This Row],[Train Unit 2]]*TblMili[[#This Row],[DP Ore]]+TblMili[[#This Row],[Train Unit 3]]*TblMili[[#This Row],[E1 Ore]]+TblMili[[#This Row],[Train Unit 4]]*TblMili[[#This Row],[E2 Ore]]</f>
        <v>0</v>
      </c>
      <c r="AU129" s="142">
        <f>TblMili[[#This Row],[Hour]]</f>
        <v>126</v>
      </c>
      <c r="AV129" s="152">
        <f ca="1">TblMili[[#This Row],[Time]]</f>
        <v>46325.20833333303</v>
      </c>
      <c r="AW129" s="94">
        <f ca="1">TblMili[[#This Row],[Draftees]]</f>
        <v>633</v>
      </c>
      <c r="AX129" s="179"/>
      <c r="AY129" s="179"/>
      <c r="AZ129" s="179"/>
      <c r="BA129" s="179"/>
      <c r="BB129" s="179"/>
      <c r="BC129" s="179"/>
      <c r="BD129" s="179"/>
      <c r="BE129" s="179"/>
      <c r="BF129" s="179"/>
      <c r="BG129" s="142"/>
      <c r="BH129" s="157">
        <f ca="1">TblConstr[[#This Row],[Tot WG]]/TblConstr[[#This Row],[Land]]</f>
        <v>0</v>
      </c>
      <c r="BI129" s="157">
        <f ca="1">TblConstr[[#This Row],[Tot Hav]]/TblConstr[[#This Row],[Land]]</f>
        <v>0</v>
      </c>
      <c r="BJ129" s="94">
        <f ca="1">ROUNDUP((1-MIN(TblMili[[#This Row],[Smithies]]*smithy_bonus,smithy_bonus_cap) + tech_3_5*TblTech[[#This Row],[3-5]] + tech_5_3*TblTech[[#This Row],[5-3]] + tech_5_5*TblTech[[#This Row],[5-5]])*spec_op_plat,0)</f>
        <v>315</v>
      </c>
      <c r="BK129" s="94">
        <f ca="1">ROUNDUP(IF(race="Gnome",1,(1-MIN(TblMili[[#This Row],[Smithies]]*smithy_bonus,smithy_bonus_cap) + tech_3_5*TblTech[[#This Row],[3-5]] + tech_5_3*TblTech[[#This Row],[5-3]] + tech_5_5*TblTech[[#This Row],[5-5]]))*spec_op_ore,0)</f>
        <v>25</v>
      </c>
      <c r="BL129" s="94">
        <f ca="1">ROUNDUP((1-MIN(TblMili[[#This Row],[Smithies]]*smithy_bonus,smithy_bonus_cap) + tech_3_5*TblTech[[#This Row],[3-5]] + tech_5_3*TblTech[[#This Row],[5-3]] + tech_5_5*TblTech[[#This Row],[5-5]])*spec_dp_plat,0)</f>
        <v>275</v>
      </c>
      <c r="BM129" s="94">
        <f ca="1">ROUNDUP(IF(race="Gnome",1,(1-MIN(TblMili[[#This Row],[Smithies]]*smithy_bonus,smithy_bonus_cap) + tech_3_5*TblTech[[#This Row],[3-5]] + tech_5_3*TblTech[[#This Row],[5-3]] + tech_5_5*TblTech[[#This Row],[5-5]]))*spec_dp_ore,0)</f>
        <v>15</v>
      </c>
      <c r="BN129" s="94">
        <f ca="1">ROUNDUP((1-MIN(TblMili[[#This Row],[Smithies]]*smithy_bonus,smithy_bonus_cap) + tech_3_5*TblTech[[#This Row],[3-5]] + tech_5_3*TblTech[[#This Row],[5-3]] + tech_5_5*TblTech[[#This Row],[5-5]])*elite1_plat,0)</f>
        <v>1040</v>
      </c>
      <c r="BO129" s="94">
        <f ca="1">ROUNDUP(IF(race="Gnome",1,(1-MIN(TblMili[[#This Row],[Smithies]]*smithy_bonus,smithy_bonus_cap) + tech_3_5*TblTech[[#This Row],[3-5]] + tech_5_3*TblTech[[#This Row],[5-3]] + tech_5_5*TblTech[[#This Row],[5-5]]))*elite1_ore,0)</f>
        <v>75</v>
      </c>
      <c r="BP129" s="94">
        <f ca="1">ROUNDUP((1-MIN(TblMili[[#This Row],[Smithies]]*smithy_bonus,smithy_bonus_cap) + tech_3_5*TblTech[[#This Row],[3-5]] + tech_5_3*TblTech[[#This Row],[5-3]] + tech_5_5*TblTech[[#This Row],[5-5]])*elite2_plat,0)</f>
        <v>1280</v>
      </c>
      <c r="BQ129" s="94">
        <f ca="1">ROUNDUP(IF(race="Gnome",1,(1-MIN(TblMili[[#This Row],[Smithies]]*smithy_bonus,smithy_bonus_cap) + tech_3_5*TblTech[[#This Row],[3-5]] + tech_5_3*TblTech[[#This Row],[5-3]] + tech_5_5*TblTech[[#This Row],[5-5]]))*elite2_ore,0)</f>
        <v>100</v>
      </c>
      <c r="BR129" s="94">
        <f ca="1">ROUNDUP((1-MIN(ROUND(fh_spy_cost_red*TblMili[[#This Row],[FH''s]],4),fh_spy_cost_cap)+ tech_1_9*TblTech[[#This Row],[1-9]] + tech_9_1*TblTech[[#This Row],[9-1]])*spy_plat,0)</f>
        <v>500</v>
      </c>
      <c r="BS129" s="94">
        <f ca="1">ROUNDUP((1-MIN(ROUND(fh_spy_cost_red*TblMili[[#This Row],[FH''s]],4),fh_spy_cost_cap)+ tech_1_9*TblTech[[#This Row],[1-9]] + tech_9_1*TblTech[[#This Row],[9-1]])*archspy_plat,0)</f>
        <v>1000</v>
      </c>
      <c r="BT129" s="94">
        <f ca="1">ROUNDUP((1-MIN(ROUND(wg_wiz_cost_bonus*TblMili[[#This Row],[WG''s]],4),wg_wiz_cost_cap) + tech_1_9_2*TblTech[[#This Row],[1-9]] + tech_9_1_2*TblTech[[#This Row],[9-1]])*wizard_plat,0)</f>
        <v>500</v>
      </c>
      <c r="BU129" s="94">
        <f ca="1">ROUNDUP((1-MIN(ROUND(wg_wiz_cost_bonus*TblMili[[#This Row],[WG''s]],4),wg_wiz_cost_cap) + tech_1_9_2*TblTech[[#This Row],[1-9]] + tech_9_1_2*TblTech[[#This Row],[9-1]])*(archmage_plat + IF(TblMagic[[#This Row],[Active Arc Infusion]]&gt;0,400,0)),0)</f>
        <v>1000</v>
      </c>
      <c r="BV129" s="142"/>
      <c r="BW129" s="157">
        <f ca="1">TblConstr[[#This Row],[Homeland]]/TblConstr[[#This Row],[Land]]</f>
        <v>0.6</v>
      </c>
      <c r="BX129" s="157">
        <f ca="1">TblMili[[#This Row],[WG''s]]</f>
        <v>0</v>
      </c>
      <c r="BY129" s="251">
        <f ca="1">IF(mystic_cap="none",TblMili[[#This Row],[Homeland%]]/mystic_bonus,MIN(mystic_cap,TblMili[[#This Row],[Homeland%]]/mystic_bonus))</f>
        <v>2</v>
      </c>
      <c r="BZ129" s="251">
        <f ca="1">IF(druid_op_cap="none",TblMili[[#This Row],[Homeland%]]/druid_op_bonus,MIN(druid_op_cap,TblMili[[#This Row],[Homeland%]]/druid_op_bonus))</f>
        <v>2</v>
      </c>
      <c r="CA129" s="251">
        <f ca="1">IF(druid_dp_cap="none",TblMili[[#This Row],[Homeland%]]/druid_dp_bonus,MIN(druid_dp_cap,TblMili[[#This Row],[Homeland%]]/druid_dp_bonus))</f>
        <v>2</v>
      </c>
      <c r="CB129" s="251">
        <f ca="1">MIN(dryad_cap,TblMili[[#This Row],[Homeland%]]/dryad_bonus)</f>
        <v>2.9999999999999996</v>
      </c>
      <c r="CC129" s="251">
        <f ca="1">MIN(rocka_cap,TblMili[[#This Row],[Homeland%]]/rocka_bonus)</f>
        <v>2</v>
      </c>
      <c r="CD129" s="251">
        <f ca="1">MIN(adept_op_cap,TblMili[[#This Row],[WG]]/adept_op_bonus)</f>
        <v>0</v>
      </c>
      <c r="CE129" s="251">
        <f ca="1">MIN(adept_dp_cap,TblMili[[#This Row],[WG]]/adept_dp_bonus)</f>
        <v>0</v>
      </c>
      <c r="CF129" s="94">
        <f ca="1">MIN(TblMili[[#This Row],[Unit 3]],TblMili[[#This Row],[Unit 2]])*2</f>
        <v>0</v>
      </c>
      <c r="CG129" s="94">
        <f ca="1">MIN(TblMili[[#This Row],[Unit 1]],TblMili[[#This Row],[Unit 4]])*2</f>
        <v>0</v>
      </c>
      <c r="CH129" s="251">
        <f ca="1">MIN(frost_mage_cap,TblMili[[#This Row],[Homeland%]]/frost_mage_bonus)</f>
        <v>2.9999999999999996</v>
      </c>
      <c r="CI129" s="45">
        <f ca="1">MIN(ice_elem_cap,TblMili[[#This Row],[Raw (2)]]*ice_elem_bonus)</f>
        <v>0</v>
      </c>
      <c r="CJ129" s="251">
        <f t="shared" si="4"/>
        <v>0.83333333333333337</v>
      </c>
      <c r="CK129" s="251">
        <f ca="1">MIN(nox_nightshade_cap,TblConstr[[#This Row],[Homeland]]/TblConstr[[#This Row],[Land]]/nox_nightshade_swamp_bonus)</f>
        <v>4</v>
      </c>
      <c r="CL129" s="251">
        <f ca="1">MIN(TblConstr[[#This Row],[Total Swamp]]/TblConstr[[#This Row],[Land]]/abyss_enforce_bonus,abyss_enforcer_cap)</f>
        <v>0</v>
      </c>
      <c r="CM129" s="251">
        <f ca="1">IF(TblMagic[[#This Row],[Active Infernal Command]]&gt;0,TblMili[[#This Row],[Unit 1]]*infernal_cmd_op,0)</f>
        <v>0</v>
      </c>
      <c r="CN129" s="252"/>
      <c r="CO129" s="252"/>
      <c r="CP129" s="252"/>
      <c r="CQ129" s="251">
        <f ca="1">TblMili[[#This Row],[Mystic]]*2</f>
        <v>4</v>
      </c>
      <c r="CR129" s="251">
        <f ca="1">TblMili[[#This Row],[Druid (op)]]*2</f>
        <v>4</v>
      </c>
      <c r="CS129" s="94">
        <f ca="1">TblMili[[#This Row],[Mystic bonus]]*TblMili[[#This Row],[Unit 3]]+TblMili[[#This Row],[Druid bonus]]*TblMili[[#This Row],[Unit 4]]</f>
        <v>0</v>
      </c>
      <c r="CT129" s="155">
        <f ca="1">TblMili[[#This Row],[Dryad]]*2</f>
        <v>5.9999999999999991</v>
      </c>
      <c r="CU129" s="94">
        <f ca="1">sylvan*(TblMili[[#This Row],[Mystic bonus]]*TblMili[[#This Row],[Unit 3]])</f>
        <v>0</v>
      </c>
      <c r="CV129" s="155">
        <f ca="1">TblMili[[#This Row],[Rockapult]]*2</f>
        <v>4</v>
      </c>
      <c r="CW129" s="94">
        <f ca="1">gnome*(TblMili[[#This Row],[Rockapult bonus]]*TblMili[[#This Row],[Unit 3]])</f>
        <v>0</v>
      </c>
      <c r="CX129" s="155">
        <f ca="1">TblMili[[#This Row],[Adept-DP]]*2</f>
        <v>0</v>
      </c>
      <c r="CY129" s="94">
        <f ca="1">dark_elf*(TblMili[[#This Row],[Adept bonus]]*TblMili[[#This Row],[Unit 3]])</f>
        <v>0</v>
      </c>
      <c r="CZ129" s="155">
        <f ca="1">TblMili[[#This Row],[Frost Mage]]*2</f>
        <v>5.9999999999999991</v>
      </c>
      <c r="DA129" s="155">
        <f ca="1">TblMili[[#This Row],[Ice Elemental]]*2</f>
        <v>0</v>
      </c>
      <c r="DB129" s="94">
        <f ca="1">TblMili[[#This Row],[Frost Mage bonus]]*TblMili[[#This Row],[Unit 3]]+TblMili[[#This Row],[Ice Elemental bonus]]*TblMili[[#This Row],[Unit 4]]</f>
        <v>0</v>
      </c>
      <c r="DC129" s="253"/>
      <c r="DD129" s="143">
        <f ca="1">MIN(SUM(TblConstr[[#This Row],[Plain]:[Water]])/TblMili[[#This Row],[Land]]/favorable_terrain_bonus/100,favorable_terrain_max)</f>
        <v>0</v>
      </c>
      <c r="DE129" s="253"/>
      <c r="DF12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9" s="142"/>
      <c r="DH129" s="254">
        <f ca="1">(TblMili[[#This Row],[Wizards]]+2*TblMili[[#This Row],[Archmages]])/TblConstr[[#This Row],[Land]]</f>
        <v>0</v>
      </c>
      <c r="DI129" s="254">
        <f ca="1">TblMili[[#This Row],[Raw (2)]]*(1+race_wizard_strength+IF(TblMili[[#This Row],[Hour]]&gt;72,tech_magical_weaponry_wiz*TblTech[[#This Row],[3-5]],0))</f>
        <v>0</v>
      </c>
    </row>
    <row r="130" spans="1:113" x14ac:dyDescent="0.2">
      <c r="A130" s="137">
        <f>TblRezone[[#This Row],[Hour]]</f>
        <v>127</v>
      </c>
      <c r="B130" s="246">
        <f ca="1">SUM(TblMili[[#This Row],[Unit 1]:[Archmages]])+SUM(OFFSET(TblMili[[#This Row],[Train Unit 1]],-8,0):TblMili[[#This Row],[Train Unit 2]]) + SUM(OFFSET(TblMili[[#This Row],[Train Unit 3]],-11,0):TblMili[[#This Row],[Train AM]]) + TblMili[[#This Row],[Draftees]]</f>
        <v>634</v>
      </c>
      <c r="C130" s="157">
        <f ca="1">TblPop[[#This Row],[Military%]]</f>
        <v>0.82444733420026006</v>
      </c>
      <c r="D130" s="142"/>
      <c r="E130" s="45">
        <f ca="1">OFFSET(TblMili[[#This Row],[Unit 1]],-1,0) + OFFSET(TblMili[[#This Row],[Train Unit 1]],-9,0) - TblMili[[#This Row],[Release Unit 1]] + OFFSET(TblMili[[#This Row],[DnD_Zombies]],-12,0)</f>
        <v>0</v>
      </c>
      <c r="F130" s="45">
        <f ca="1">OFFSET(TblMili[[#This Row],[Unit 2]],-1,0) + OFFSET(TblMili[[#This Row],[Train Unit 2]],-9,0)-TblMili[[#This Row],[Release Unit 2]]</f>
        <v>0</v>
      </c>
      <c r="G130" s="45">
        <f ca="1">OFFSET(TblMili[[#This Row],[Unit 3]],-1,0) + OFFSET(TblMili[[#This Row],[Train Unit 3]],-12,0)-TblMili[[#This Row],[Release Unit 3]]</f>
        <v>0</v>
      </c>
      <c r="H130" s="45">
        <f ca="1">OFFSET(TblMili[[#This Row],[Unit 4]],-1,0) + OFFSET(TblMili[[#This Row],[Train Unit 4]],-12,0)-TblMili[[#This Row],[Release Unit 4]]</f>
        <v>0</v>
      </c>
      <c r="I130" s="45">
        <f ca="1">OFFSET(TblMili[[#This Row],[Spies]],-1,0) + OFFSET(TblMili[[#This Row],[Train Spies]],-12,0) - TblMili[[#This Row],[Release Spies]]-TblMili[[#This Row],[Train AS]]</f>
        <v>0</v>
      </c>
      <c r="J130" s="45">
        <f ca="1">OFFSET(TblMili[[#This Row],[Archspies]],-1,0) + OFFSET(TblMili[[#This Row],[Train AS]],-12,0) - TblMili[[#This Row],[Release AS]]</f>
        <v>0</v>
      </c>
      <c r="K130" s="45">
        <f ca="1">OFFSET(TblMili[[#This Row],[Wizards]],-1,0) + OFFSET(TblMili[[#This Row],[Train Wiz]],-12,0) - TblMili[[#This Row],[Release Wizards]]-TblMili[[#This Row],[Train AM]] + IF(TblMagic[[#This Row],[Active Arc Infusion]]&gt;0,TblMili[[#This Row],[Train AM]])</f>
        <v>0</v>
      </c>
      <c r="L130" s="45">
        <f ca="1">OFFSET(TblMili[[#This Row],[Archmages]],-1,0) + OFFSET(TblMili[[#This Row],[Train AM]],-12,0) - TblMili[[#This Row],[Release AM]]</f>
        <v>0</v>
      </c>
      <c r="M130" s="142"/>
      <c r="N130" s="94">
        <f ca="1">TblProd[[#This Row],[Networth]]</f>
        <v>1250</v>
      </c>
      <c r="O130" s="142"/>
      <c r="P130"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3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0" s="247">
        <f ca="1">TblMili[[#This Row],[Raw]]*(1+TblMili[[#This Row],[Mods_Off]])</f>
        <v>0</v>
      </c>
      <c r="S130"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30" s="247">
        <f ca="1">TblMili[[#This Row],[Non Draft]]+TblMili[[#This Row],[Draftees]]</f>
        <v>634</v>
      </c>
      <c r="U130" s="248">
        <f ca="1">race_defense + TblImps[[#This Row],[Walls]] + ROUND( MIN(gt_bonus*TblConstr[[#This Row],[Tot GT]]/TblConstr[[#This Row],[Land]],gt_bonus_cap), 4) + IF(TblMagic[[#This Row],[Active Howling]]&gt;0,howling_dp_bonus,IF(TblMagic[[#This Row],[Active Ares Call]]&gt;0,ares_call_bonus))</f>
        <v>0</v>
      </c>
      <c r="V130" s="249">
        <f ca="1">TblMili[[#This Row],[Non Draft]] * (1 + TblMili[[#This Row],[Mods_Def]])</f>
        <v>0</v>
      </c>
      <c r="W130" s="247">
        <f ca="1">TblMili[[#This Row],[Draft]] * (1 + TblMili[[#This Row],[Mods_Def]])</f>
        <v>634</v>
      </c>
      <c r="X130" s="247">
        <f ca="1">TblConstr[[#This Row],[Land]]</f>
        <v>50</v>
      </c>
      <c r="Y130" s="250"/>
      <c r="Z130" s="255">
        <f ca="1">IF(TblMili[[#This Row],[Set]]&lt;&gt;"",TblMili[[#This Row],[Set]],OFFSET(TblMili[[#This Row],[Draftrate]],-1,0))</f>
        <v>0.9</v>
      </c>
      <c r="AA130"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634</v>
      </c>
      <c r="AB130" s="154"/>
      <c r="AC130" s="180">
        <f ca="1">(TblConstr[[#This Row],[Tot Smi]]+TblConstr[[#This Row],[Dest Smi]])/(TblConstr[[#This Row],[Land]]-TblExplore[[#This Row],[Land Bonus]]*20)</f>
        <v>0</v>
      </c>
      <c r="AD130" s="137"/>
      <c r="AE130" s="246">
        <f>TblMili[[#This Row],[Hour]]</f>
        <v>127</v>
      </c>
      <c r="AF130" s="138">
        <f ca="1">TblExplore[[#This Row],[Time]]</f>
        <v>46325.249999999694</v>
      </c>
      <c r="AG130" s="179"/>
      <c r="AH130" s="179"/>
      <c r="AI130" s="179"/>
      <c r="AJ130" s="179"/>
      <c r="AK130" s="179"/>
      <c r="AL130" s="179"/>
      <c r="AM130" s="179"/>
      <c r="AN130" s="179"/>
      <c r="AO130" s="420">
        <f ca="1">ROUND(IF(AND(TblMagic[[#This Row],[Active DnD]]&lt;12,TblMagic[[#This Row],[Active DnD]]&gt;5),OFFSET(TblPop[[#This Row],[Draft Growth]],-1,0)*0.375,0),0)</f>
        <v>0</v>
      </c>
      <c r="AP130" s="142"/>
      <c r="AQ130" s="94">
        <f ca="1">TblProd[[#This Row],[Platinum]]</f>
        <v>211200</v>
      </c>
      <c r="AR130" s="94">
        <f ca="1">INDEX(TblProd[[#Headers],[Lumber]]:TblProd[[#This Row],[Ore]],COUNTA(TblProd[[#Headers],[Lumber]]:TblProd[[#This Row],[Lumber]]),MATCH(Military!$AR$2,TblProd[[#Headers],[Lumber]:[Ore]],0))</f>
        <v>0</v>
      </c>
      <c r="AS13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30" s="94">
        <f ca="1">TblMili[[#This Row],[Train Unit 1]]*TblMili[[#This Row],[OP Ore]]+TblMili[[#This Row],[Train Unit 2]]*TblMili[[#This Row],[DP Ore]]+TblMili[[#This Row],[Train Unit 3]]*TblMili[[#This Row],[E1 Ore]]+TblMili[[#This Row],[Train Unit 4]]*TblMili[[#This Row],[E2 Ore]]</f>
        <v>0</v>
      </c>
      <c r="AU130" s="142">
        <f>TblMili[[#This Row],[Hour]]</f>
        <v>127</v>
      </c>
      <c r="AV130" s="152">
        <f ca="1">TblMili[[#This Row],[Time]]</f>
        <v>46325.249999999694</v>
      </c>
      <c r="AW130" s="94">
        <f ca="1">TblMili[[#This Row],[Draftees]]</f>
        <v>634</v>
      </c>
      <c r="AX130" s="179"/>
      <c r="AY130" s="179"/>
      <c r="AZ130" s="179"/>
      <c r="BA130" s="179"/>
      <c r="BB130" s="179"/>
      <c r="BC130" s="179"/>
      <c r="BD130" s="179"/>
      <c r="BE130" s="179"/>
      <c r="BF130" s="179"/>
      <c r="BG130" s="142"/>
      <c r="BH130" s="157">
        <f ca="1">TblConstr[[#This Row],[Tot WG]]/TblConstr[[#This Row],[Land]]</f>
        <v>0</v>
      </c>
      <c r="BI130" s="157">
        <f ca="1">TblConstr[[#This Row],[Tot Hav]]/TblConstr[[#This Row],[Land]]</f>
        <v>0</v>
      </c>
      <c r="BJ130" s="94">
        <f ca="1">ROUNDUP((1-MIN(TblMili[[#This Row],[Smithies]]*smithy_bonus,smithy_bonus_cap) + tech_3_5*TblTech[[#This Row],[3-5]] + tech_5_3*TblTech[[#This Row],[5-3]] + tech_5_5*TblTech[[#This Row],[5-5]])*spec_op_plat,0)</f>
        <v>315</v>
      </c>
      <c r="BK130" s="94">
        <f ca="1">ROUNDUP(IF(race="Gnome",1,(1-MIN(TblMili[[#This Row],[Smithies]]*smithy_bonus,smithy_bonus_cap) + tech_3_5*TblTech[[#This Row],[3-5]] + tech_5_3*TblTech[[#This Row],[5-3]] + tech_5_5*TblTech[[#This Row],[5-5]]))*spec_op_ore,0)</f>
        <v>25</v>
      </c>
      <c r="BL130" s="94">
        <f ca="1">ROUNDUP((1-MIN(TblMili[[#This Row],[Smithies]]*smithy_bonus,smithy_bonus_cap) + tech_3_5*TblTech[[#This Row],[3-5]] + tech_5_3*TblTech[[#This Row],[5-3]] + tech_5_5*TblTech[[#This Row],[5-5]])*spec_dp_plat,0)</f>
        <v>275</v>
      </c>
      <c r="BM130" s="94">
        <f ca="1">ROUNDUP(IF(race="Gnome",1,(1-MIN(TblMili[[#This Row],[Smithies]]*smithy_bonus,smithy_bonus_cap) + tech_3_5*TblTech[[#This Row],[3-5]] + tech_5_3*TblTech[[#This Row],[5-3]] + tech_5_5*TblTech[[#This Row],[5-5]]))*spec_dp_ore,0)</f>
        <v>15</v>
      </c>
      <c r="BN130" s="94">
        <f ca="1">ROUNDUP((1-MIN(TblMili[[#This Row],[Smithies]]*smithy_bonus,smithy_bonus_cap) + tech_3_5*TblTech[[#This Row],[3-5]] + tech_5_3*TblTech[[#This Row],[5-3]] + tech_5_5*TblTech[[#This Row],[5-5]])*elite1_plat,0)</f>
        <v>1040</v>
      </c>
      <c r="BO130" s="94">
        <f ca="1">ROUNDUP(IF(race="Gnome",1,(1-MIN(TblMili[[#This Row],[Smithies]]*smithy_bonus,smithy_bonus_cap) + tech_3_5*TblTech[[#This Row],[3-5]] + tech_5_3*TblTech[[#This Row],[5-3]] + tech_5_5*TblTech[[#This Row],[5-5]]))*elite1_ore,0)</f>
        <v>75</v>
      </c>
      <c r="BP130" s="94">
        <f ca="1">ROUNDUP((1-MIN(TblMili[[#This Row],[Smithies]]*smithy_bonus,smithy_bonus_cap) + tech_3_5*TblTech[[#This Row],[3-5]] + tech_5_3*TblTech[[#This Row],[5-3]] + tech_5_5*TblTech[[#This Row],[5-5]])*elite2_plat,0)</f>
        <v>1280</v>
      </c>
      <c r="BQ130" s="94">
        <f ca="1">ROUNDUP(IF(race="Gnome",1,(1-MIN(TblMili[[#This Row],[Smithies]]*smithy_bonus,smithy_bonus_cap) + tech_3_5*TblTech[[#This Row],[3-5]] + tech_5_3*TblTech[[#This Row],[5-3]] + tech_5_5*TblTech[[#This Row],[5-5]]))*elite2_ore,0)</f>
        <v>100</v>
      </c>
      <c r="BR130" s="94">
        <f ca="1">ROUNDUP((1-MIN(ROUND(fh_spy_cost_red*TblMili[[#This Row],[FH''s]],4),fh_spy_cost_cap)+ tech_1_9*TblTech[[#This Row],[1-9]] + tech_9_1*TblTech[[#This Row],[9-1]])*spy_plat,0)</f>
        <v>500</v>
      </c>
      <c r="BS130" s="94">
        <f ca="1">ROUNDUP((1-MIN(ROUND(fh_spy_cost_red*TblMili[[#This Row],[FH''s]],4),fh_spy_cost_cap)+ tech_1_9*TblTech[[#This Row],[1-9]] + tech_9_1*TblTech[[#This Row],[9-1]])*archspy_plat,0)</f>
        <v>1000</v>
      </c>
      <c r="BT130" s="94">
        <f ca="1">ROUNDUP((1-MIN(ROUND(wg_wiz_cost_bonus*TblMili[[#This Row],[WG''s]],4),wg_wiz_cost_cap) + tech_1_9_2*TblTech[[#This Row],[1-9]] + tech_9_1_2*TblTech[[#This Row],[9-1]])*wizard_plat,0)</f>
        <v>500</v>
      </c>
      <c r="BU130" s="94">
        <f ca="1">ROUNDUP((1-MIN(ROUND(wg_wiz_cost_bonus*TblMili[[#This Row],[WG''s]],4),wg_wiz_cost_cap) + tech_1_9_2*TblTech[[#This Row],[1-9]] + tech_9_1_2*TblTech[[#This Row],[9-1]])*(archmage_plat + IF(TblMagic[[#This Row],[Active Arc Infusion]]&gt;0,400,0)),0)</f>
        <v>1000</v>
      </c>
      <c r="BV130" s="142"/>
      <c r="BW130" s="157">
        <f ca="1">TblConstr[[#This Row],[Homeland]]/TblConstr[[#This Row],[Land]]</f>
        <v>0.6</v>
      </c>
      <c r="BX130" s="157">
        <f ca="1">TblMili[[#This Row],[WG''s]]</f>
        <v>0</v>
      </c>
      <c r="BY130" s="251">
        <f ca="1">IF(mystic_cap="none",TblMili[[#This Row],[Homeland%]]/mystic_bonus,MIN(mystic_cap,TblMili[[#This Row],[Homeland%]]/mystic_bonus))</f>
        <v>2</v>
      </c>
      <c r="BZ130" s="251">
        <f ca="1">IF(druid_op_cap="none",TblMili[[#This Row],[Homeland%]]/druid_op_bonus,MIN(druid_op_cap,TblMili[[#This Row],[Homeland%]]/druid_op_bonus))</f>
        <v>2</v>
      </c>
      <c r="CA130" s="251">
        <f ca="1">IF(druid_dp_cap="none",TblMili[[#This Row],[Homeland%]]/druid_dp_bonus,MIN(druid_dp_cap,TblMili[[#This Row],[Homeland%]]/druid_dp_bonus))</f>
        <v>2</v>
      </c>
      <c r="CB130" s="251">
        <f ca="1">MIN(dryad_cap,TblMili[[#This Row],[Homeland%]]/dryad_bonus)</f>
        <v>2.9999999999999996</v>
      </c>
      <c r="CC130" s="251">
        <f ca="1">MIN(rocka_cap,TblMili[[#This Row],[Homeland%]]/rocka_bonus)</f>
        <v>2</v>
      </c>
      <c r="CD130" s="251">
        <f ca="1">MIN(adept_op_cap,TblMili[[#This Row],[WG]]/adept_op_bonus)</f>
        <v>0</v>
      </c>
      <c r="CE130" s="251">
        <f ca="1">MIN(adept_dp_cap,TblMili[[#This Row],[WG]]/adept_dp_bonus)</f>
        <v>0</v>
      </c>
      <c r="CF130" s="94">
        <f ca="1">MIN(TblMili[[#This Row],[Unit 3]],TblMili[[#This Row],[Unit 2]])*2</f>
        <v>0</v>
      </c>
      <c r="CG130" s="94">
        <f ca="1">MIN(TblMili[[#This Row],[Unit 1]],TblMili[[#This Row],[Unit 4]])*2</f>
        <v>0</v>
      </c>
      <c r="CH130" s="251">
        <f ca="1">MIN(frost_mage_cap,TblMili[[#This Row],[Homeland%]]/frost_mage_bonus)</f>
        <v>2.9999999999999996</v>
      </c>
      <c r="CI130" s="45">
        <f ca="1">MIN(ice_elem_cap,TblMili[[#This Row],[Raw (2)]]*ice_elem_bonus)</f>
        <v>0</v>
      </c>
      <c r="CJ130" s="251">
        <f t="shared" si="4"/>
        <v>0.83333333333333337</v>
      </c>
      <c r="CK130" s="251">
        <f ca="1">MIN(nox_nightshade_cap,TblConstr[[#This Row],[Homeland]]/TblConstr[[#This Row],[Land]]/nox_nightshade_swamp_bonus)</f>
        <v>4</v>
      </c>
      <c r="CL130" s="251">
        <f ca="1">MIN(TblConstr[[#This Row],[Total Swamp]]/TblConstr[[#This Row],[Land]]/abyss_enforce_bonus,abyss_enforcer_cap)</f>
        <v>0</v>
      </c>
      <c r="CM130" s="251">
        <f ca="1">IF(TblMagic[[#This Row],[Active Infernal Command]]&gt;0,TblMili[[#This Row],[Unit 1]]*infernal_cmd_op,0)</f>
        <v>0</v>
      </c>
      <c r="CN130" s="252"/>
      <c r="CO130" s="252"/>
      <c r="CP130" s="252"/>
      <c r="CQ130" s="251">
        <f ca="1">TblMili[[#This Row],[Mystic]]*2</f>
        <v>4</v>
      </c>
      <c r="CR130" s="251">
        <f ca="1">TblMili[[#This Row],[Druid (op)]]*2</f>
        <v>4</v>
      </c>
      <c r="CS130" s="94">
        <f ca="1">TblMili[[#This Row],[Mystic bonus]]*TblMili[[#This Row],[Unit 3]]+TblMili[[#This Row],[Druid bonus]]*TblMili[[#This Row],[Unit 4]]</f>
        <v>0</v>
      </c>
      <c r="CT130" s="155">
        <f ca="1">TblMili[[#This Row],[Dryad]]*2</f>
        <v>5.9999999999999991</v>
      </c>
      <c r="CU130" s="94">
        <f ca="1">sylvan*(TblMili[[#This Row],[Mystic bonus]]*TblMili[[#This Row],[Unit 3]])</f>
        <v>0</v>
      </c>
      <c r="CV130" s="155">
        <f ca="1">TblMili[[#This Row],[Rockapult]]*2</f>
        <v>4</v>
      </c>
      <c r="CW130" s="94">
        <f ca="1">gnome*(TblMili[[#This Row],[Rockapult bonus]]*TblMili[[#This Row],[Unit 3]])</f>
        <v>0</v>
      </c>
      <c r="CX130" s="155">
        <f ca="1">TblMili[[#This Row],[Adept-DP]]*2</f>
        <v>0</v>
      </c>
      <c r="CY130" s="94">
        <f ca="1">dark_elf*(TblMili[[#This Row],[Adept bonus]]*TblMili[[#This Row],[Unit 3]])</f>
        <v>0</v>
      </c>
      <c r="CZ130" s="155">
        <f ca="1">TblMili[[#This Row],[Frost Mage]]*2</f>
        <v>5.9999999999999991</v>
      </c>
      <c r="DA130" s="155">
        <f ca="1">TblMili[[#This Row],[Ice Elemental]]*2</f>
        <v>0</v>
      </c>
      <c r="DB130" s="94">
        <f ca="1">TblMili[[#This Row],[Frost Mage bonus]]*TblMili[[#This Row],[Unit 3]]+TblMili[[#This Row],[Ice Elemental bonus]]*TblMili[[#This Row],[Unit 4]]</f>
        <v>0</v>
      </c>
      <c r="DC130" s="253"/>
      <c r="DD130" s="143">
        <f ca="1">MIN(SUM(TblConstr[[#This Row],[Plain]:[Water]])/TblMili[[#This Row],[Land]]/favorable_terrain_bonus/100,favorable_terrain_max)</f>
        <v>0</v>
      </c>
      <c r="DE130" s="253"/>
      <c r="DF13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0" s="142"/>
      <c r="DH130" s="254">
        <f ca="1">(TblMili[[#This Row],[Wizards]]+2*TblMili[[#This Row],[Archmages]])/TblConstr[[#This Row],[Land]]</f>
        <v>0</v>
      </c>
      <c r="DI130" s="254">
        <f ca="1">TblMili[[#This Row],[Raw (2)]]*(1+race_wizard_strength+IF(TblMili[[#This Row],[Hour]]&gt;72,tech_magical_weaponry_wiz*TblTech[[#This Row],[3-5]],0))</f>
        <v>0</v>
      </c>
    </row>
    <row r="131" spans="1:113" x14ac:dyDescent="0.2">
      <c r="A131" s="137">
        <f>TblRezone[[#This Row],[Hour]]</f>
        <v>128</v>
      </c>
      <c r="B131" s="246">
        <f ca="1">SUM(TblMili[[#This Row],[Unit 1]:[Archmages]])+SUM(OFFSET(TblMili[[#This Row],[Train Unit 1]],-8,0):TblMili[[#This Row],[Train Unit 2]]) + SUM(OFFSET(TblMili[[#This Row],[Train Unit 3]],-11,0):TblMili[[#This Row],[Train AM]]) + TblMili[[#This Row],[Draftees]]</f>
        <v>635</v>
      </c>
      <c r="C131" s="157">
        <f ca="1">TblPop[[#This Row],[Military%]]</f>
        <v>0.82574772431729515</v>
      </c>
      <c r="D131" s="142"/>
      <c r="E131" s="45">
        <f ca="1">OFFSET(TblMili[[#This Row],[Unit 1]],-1,0) + OFFSET(TblMili[[#This Row],[Train Unit 1]],-9,0) - TblMili[[#This Row],[Release Unit 1]] + OFFSET(TblMili[[#This Row],[DnD_Zombies]],-12,0)</f>
        <v>0</v>
      </c>
      <c r="F131" s="45">
        <f ca="1">OFFSET(TblMili[[#This Row],[Unit 2]],-1,0) + OFFSET(TblMili[[#This Row],[Train Unit 2]],-9,0)-TblMili[[#This Row],[Release Unit 2]]</f>
        <v>0</v>
      </c>
      <c r="G131" s="45">
        <f ca="1">OFFSET(TblMili[[#This Row],[Unit 3]],-1,0) + OFFSET(TblMili[[#This Row],[Train Unit 3]],-12,0)-TblMili[[#This Row],[Release Unit 3]]</f>
        <v>0</v>
      </c>
      <c r="H131" s="45">
        <f ca="1">OFFSET(TblMili[[#This Row],[Unit 4]],-1,0) + OFFSET(TblMili[[#This Row],[Train Unit 4]],-12,0)-TblMili[[#This Row],[Release Unit 4]]</f>
        <v>0</v>
      </c>
      <c r="I131" s="45">
        <f ca="1">OFFSET(TblMili[[#This Row],[Spies]],-1,0) + OFFSET(TblMili[[#This Row],[Train Spies]],-12,0) - TblMili[[#This Row],[Release Spies]]-TblMili[[#This Row],[Train AS]]</f>
        <v>0</v>
      </c>
      <c r="J131" s="45">
        <f ca="1">OFFSET(TblMili[[#This Row],[Archspies]],-1,0) + OFFSET(TblMili[[#This Row],[Train AS]],-12,0) - TblMili[[#This Row],[Release AS]]</f>
        <v>0</v>
      </c>
      <c r="K131" s="45">
        <f ca="1">OFFSET(TblMili[[#This Row],[Wizards]],-1,0) + OFFSET(TblMili[[#This Row],[Train Wiz]],-12,0) - TblMili[[#This Row],[Release Wizards]]-TblMili[[#This Row],[Train AM]] + IF(TblMagic[[#This Row],[Active Arc Infusion]]&gt;0,TblMili[[#This Row],[Train AM]])</f>
        <v>0</v>
      </c>
      <c r="L131" s="45">
        <f ca="1">OFFSET(TblMili[[#This Row],[Archmages]],-1,0) + OFFSET(TblMili[[#This Row],[Train AM]],-12,0) - TblMili[[#This Row],[Release AM]]</f>
        <v>0</v>
      </c>
      <c r="M131" s="142"/>
      <c r="N131" s="94">
        <f ca="1">TblProd[[#This Row],[Networth]]</f>
        <v>1250</v>
      </c>
      <c r="O131" s="142"/>
      <c r="P131"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3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1" s="247">
        <f ca="1">TblMili[[#This Row],[Raw]]*(1+TblMili[[#This Row],[Mods_Off]])</f>
        <v>0</v>
      </c>
      <c r="S131"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31" s="247">
        <f ca="1">TblMili[[#This Row],[Non Draft]]+TblMili[[#This Row],[Draftees]]</f>
        <v>635</v>
      </c>
      <c r="U131" s="248">
        <f ca="1">race_defense + TblImps[[#This Row],[Walls]] + ROUND( MIN(gt_bonus*TblConstr[[#This Row],[Tot GT]]/TblConstr[[#This Row],[Land]],gt_bonus_cap), 4) + IF(TblMagic[[#This Row],[Active Howling]]&gt;0,howling_dp_bonus,IF(TblMagic[[#This Row],[Active Ares Call]]&gt;0,ares_call_bonus))</f>
        <v>0</v>
      </c>
      <c r="V131" s="249">
        <f ca="1">TblMili[[#This Row],[Non Draft]] * (1 + TblMili[[#This Row],[Mods_Def]])</f>
        <v>0</v>
      </c>
      <c r="W131" s="247">
        <f ca="1">TblMili[[#This Row],[Draft]] * (1 + TblMili[[#This Row],[Mods_Def]])</f>
        <v>635</v>
      </c>
      <c r="X131" s="247">
        <f ca="1">TblConstr[[#This Row],[Land]]</f>
        <v>50</v>
      </c>
      <c r="Y131" s="250"/>
      <c r="Z131" s="255">
        <f ca="1">IF(TblMili[[#This Row],[Set]]&lt;&gt;"",TblMili[[#This Row],[Set]],OFFSET(TblMili[[#This Row],[Draftrate]],-1,0))</f>
        <v>0.9</v>
      </c>
      <c r="AA131"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635</v>
      </c>
      <c r="AB131" s="154"/>
      <c r="AC131" s="180">
        <f ca="1">(TblConstr[[#This Row],[Tot Smi]]+TblConstr[[#This Row],[Dest Smi]])/(TblConstr[[#This Row],[Land]]-TblExplore[[#This Row],[Land Bonus]]*20)</f>
        <v>0</v>
      </c>
      <c r="AD131" s="137"/>
      <c r="AE131" s="246">
        <f>TblMili[[#This Row],[Hour]]</f>
        <v>128</v>
      </c>
      <c r="AF131" s="138">
        <f ca="1">TblExplore[[#This Row],[Time]]</f>
        <v>46325.291666666359</v>
      </c>
      <c r="AG131" s="179"/>
      <c r="AH131" s="179"/>
      <c r="AI131" s="179"/>
      <c r="AJ131" s="179"/>
      <c r="AK131" s="179"/>
      <c r="AL131" s="179"/>
      <c r="AM131" s="179"/>
      <c r="AN131" s="179"/>
      <c r="AO131" s="420">
        <f ca="1">ROUND(IF(AND(TblMagic[[#This Row],[Active DnD]]&lt;12,TblMagic[[#This Row],[Active DnD]]&gt;5),OFFSET(TblPop[[#This Row],[Draft Growth]],-1,0)*0.375,0),0)</f>
        <v>0</v>
      </c>
      <c r="AP131" s="142"/>
      <c r="AQ131" s="94">
        <f ca="1">TblProd[[#This Row],[Platinum]]</f>
        <v>211564</v>
      </c>
      <c r="AR131" s="94">
        <f ca="1">INDEX(TblProd[[#Headers],[Lumber]]:TblProd[[#This Row],[Ore]],COUNTA(TblProd[[#Headers],[Lumber]]:TblProd[[#This Row],[Lumber]]),MATCH(Military!$AR$2,TblProd[[#Headers],[Lumber]:[Ore]],0))</f>
        <v>0</v>
      </c>
      <c r="AS13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31" s="94">
        <f ca="1">TblMili[[#This Row],[Train Unit 1]]*TblMili[[#This Row],[OP Ore]]+TblMili[[#This Row],[Train Unit 2]]*TblMili[[#This Row],[DP Ore]]+TblMili[[#This Row],[Train Unit 3]]*TblMili[[#This Row],[E1 Ore]]+TblMili[[#This Row],[Train Unit 4]]*TblMili[[#This Row],[E2 Ore]]</f>
        <v>0</v>
      </c>
      <c r="AU131" s="142">
        <f>TblMili[[#This Row],[Hour]]</f>
        <v>128</v>
      </c>
      <c r="AV131" s="152">
        <f ca="1">TblMili[[#This Row],[Time]]</f>
        <v>46325.291666666359</v>
      </c>
      <c r="AW131" s="94">
        <f ca="1">TblMili[[#This Row],[Draftees]]</f>
        <v>635</v>
      </c>
      <c r="AX131" s="179"/>
      <c r="AY131" s="179"/>
      <c r="AZ131" s="179"/>
      <c r="BA131" s="179"/>
      <c r="BB131" s="179"/>
      <c r="BC131" s="179"/>
      <c r="BD131" s="179"/>
      <c r="BE131" s="179"/>
      <c r="BF131" s="179"/>
      <c r="BG131" s="142"/>
      <c r="BH131" s="157">
        <f ca="1">TblConstr[[#This Row],[Tot WG]]/TblConstr[[#This Row],[Land]]</f>
        <v>0</v>
      </c>
      <c r="BI131" s="157">
        <f ca="1">TblConstr[[#This Row],[Tot Hav]]/TblConstr[[#This Row],[Land]]</f>
        <v>0</v>
      </c>
      <c r="BJ131" s="94">
        <f ca="1">ROUNDUP((1-MIN(TblMili[[#This Row],[Smithies]]*smithy_bonus,smithy_bonus_cap) + tech_3_5*TblTech[[#This Row],[3-5]] + tech_5_3*TblTech[[#This Row],[5-3]] + tech_5_5*TblTech[[#This Row],[5-5]])*spec_op_plat,0)</f>
        <v>315</v>
      </c>
      <c r="BK131" s="94">
        <f ca="1">ROUNDUP(IF(race="Gnome",1,(1-MIN(TblMili[[#This Row],[Smithies]]*smithy_bonus,smithy_bonus_cap) + tech_3_5*TblTech[[#This Row],[3-5]] + tech_5_3*TblTech[[#This Row],[5-3]] + tech_5_5*TblTech[[#This Row],[5-5]]))*spec_op_ore,0)</f>
        <v>25</v>
      </c>
      <c r="BL131" s="94">
        <f ca="1">ROUNDUP((1-MIN(TblMili[[#This Row],[Smithies]]*smithy_bonus,smithy_bonus_cap) + tech_3_5*TblTech[[#This Row],[3-5]] + tech_5_3*TblTech[[#This Row],[5-3]] + tech_5_5*TblTech[[#This Row],[5-5]])*spec_dp_plat,0)</f>
        <v>275</v>
      </c>
      <c r="BM131" s="94">
        <f ca="1">ROUNDUP(IF(race="Gnome",1,(1-MIN(TblMili[[#This Row],[Smithies]]*smithy_bonus,smithy_bonus_cap) + tech_3_5*TblTech[[#This Row],[3-5]] + tech_5_3*TblTech[[#This Row],[5-3]] + tech_5_5*TblTech[[#This Row],[5-5]]))*spec_dp_ore,0)</f>
        <v>15</v>
      </c>
      <c r="BN131" s="94">
        <f ca="1">ROUNDUP((1-MIN(TblMili[[#This Row],[Smithies]]*smithy_bonus,smithy_bonus_cap) + tech_3_5*TblTech[[#This Row],[3-5]] + tech_5_3*TblTech[[#This Row],[5-3]] + tech_5_5*TblTech[[#This Row],[5-5]])*elite1_plat,0)</f>
        <v>1040</v>
      </c>
      <c r="BO131" s="94">
        <f ca="1">ROUNDUP(IF(race="Gnome",1,(1-MIN(TblMili[[#This Row],[Smithies]]*smithy_bonus,smithy_bonus_cap) + tech_3_5*TblTech[[#This Row],[3-5]] + tech_5_3*TblTech[[#This Row],[5-3]] + tech_5_5*TblTech[[#This Row],[5-5]]))*elite1_ore,0)</f>
        <v>75</v>
      </c>
      <c r="BP131" s="94">
        <f ca="1">ROUNDUP((1-MIN(TblMili[[#This Row],[Smithies]]*smithy_bonus,smithy_bonus_cap) + tech_3_5*TblTech[[#This Row],[3-5]] + tech_5_3*TblTech[[#This Row],[5-3]] + tech_5_5*TblTech[[#This Row],[5-5]])*elite2_plat,0)</f>
        <v>1280</v>
      </c>
      <c r="BQ131" s="94">
        <f ca="1">ROUNDUP(IF(race="Gnome",1,(1-MIN(TblMili[[#This Row],[Smithies]]*smithy_bonus,smithy_bonus_cap) + tech_3_5*TblTech[[#This Row],[3-5]] + tech_5_3*TblTech[[#This Row],[5-3]] + tech_5_5*TblTech[[#This Row],[5-5]]))*elite2_ore,0)</f>
        <v>100</v>
      </c>
      <c r="BR131" s="94">
        <f ca="1">ROUNDUP((1-MIN(ROUND(fh_spy_cost_red*TblMili[[#This Row],[FH''s]],4),fh_spy_cost_cap)+ tech_1_9*TblTech[[#This Row],[1-9]] + tech_9_1*TblTech[[#This Row],[9-1]])*spy_plat,0)</f>
        <v>500</v>
      </c>
      <c r="BS131" s="94">
        <f ca="1">ROUNDUP((1-MIN(ROUND(fh_spy_cost_red*TblMili[[#This Row],[FH''s]],4),fh_spy_cost_cap)+ tech_1_9*TblTech[[#This Row],[1-9]] + tech_9_1*TblTech[[#This Row],[9-1]])*archspy_plat,0)</f>
        <v>1000</v>
      </c>
      <c r="BT131" s="94">
        <f ca="1">ROUNDUP((1-MIN(ROUND(wg_wiz_cost_bonus*TblMili[[#This Row],[WG''s]],4),wg_wiz_cost_cap) + tech_1_9_2*TblTech[[#This Row],[1-9]] + tech_9_1_2*TblTech[[#This Row],[9-1]])*wizard_plat,0)</f>
        <v>500</v>
      </c>
      <c r="BU131" s="94">
        <f ca="1">ROUNDUP((1-MIN(ROUND(wg_wiz_cost_bonus*TblMili[[#This Row],[WG''s]],4),wg_wiz_cost_cap) + tech_1_9_2*TblTech[[#This Row],[1-9]] + tech_9_1_2*TblTech[[#This Row],[9-1]])*(archmage_plat + IF(TblMagic[[#This Row],[Active Arc Infusion]]&gt;0,400,0)),0)</f>
        <v>1000</v>
      </c>
      <c r="BV131" s="142"/>
      <c r="BW131" s="157">
        <f ca="1">TblConstr[[#This Row],[Homeland]]/TblConstr[[#This Row],[Land]]</f>
        <v>0.6</v>
      </c>
      <c r="BX131" s="157">
        <f ca="1">TblMili[[#This Row],[WG''s]]</f>
        <v>0</v>
      </c>
      <c r="BY131" s="251">
        <f ca="1">IF(mystic_cap="none",TblMili[[#This Row],[Homeland%]]/mystic_bonus,MIN(mystic_cap,TblMili[[#This Row],[Homeland%]]/mystic_bonus))</f>
        <v>2</v>
      </c>
      <c r="BZ131" s="251">
        <f ca="1">IF(druid_op_cap="none",TblMili[[#This Row],[Homeland%]]/druid_op_bonus,MIN(druid_op_cap,TblMili[[#This Row],[Homeland%]]/druid_op_bonus))</f>
        <v>2</v>
      </c>
      <c r="CA131" s="251">
        <f ca="1">IF(druid_dp_cap="none",TblMili[[#This Row],[Homeland%]]/druid_dp_bonus,MIN(druid_dp_cap,TblMili[[#This Row],[Homeland%]]/druid_dp_bonus))</f>
        <v>2</v>
      </c>
      <c r="CB131" s="251">
        <f ca="1">MIN(dryad_cap,TblMili[[#This Row],[Homeland%]]/dryad_bonus)</f>
        <v>2.9999999999999996</v>
      </c>
      <c r="CC131" s="251">
        <f ca="1">MIN(rocka_cap,TblMili[[#This Row],[Homeland%]]/rocka_bonus)</f>
        <v>2</v>
      </c>
      <c r="CD131" s="251">
        <f ca="1">MIN(adept_op_cap,TblMili[[#This Row],[WG]]/adept_op_bonus)</f>
        <v>0</v>
      </c>
      <c r="CE131" s="251">
        <f ca="1">MIN(adept_dp_cap,TblMili[[#This Row],[WG]]/adept_dp_bonus)</f>
        <v>0</v>
      </c>
      <c r="CF131" s="94">
        <f ca="1">MIN(TblMili[[#This Row],[Unit 3]],TblMili[[#This Row],[Unit 2]])*2</f>
        <v>0</v>
      </c>
      <c r="CG131" s="94">
        <f ca="1">MIN(TblMili[[#This Row],[Unit 1]],TblMili[[#This Row],[Unit 4]])*2</f>
        <v>0</v>
      </c>
      <c r="CH131" s="251">
        <f ca="1">MIN(frost_mage_cap,TblMili[[#This Row],[Homeland%]]/frost_mage_bonus)</f>
        <v>2.9999999999999996</v>
      </c>
      <c r="CI131" s="45">
        <f ca="1">MIN(ice_elem_cap,TblMili[[#This Row],[Raw (2)]]*ice_elem_bonus)</f>
        <v>0</v>
      </c>
      <c r="CJ131" s="251">
        <f t="shared" si="4"/>
        <v>0.83333333333333337</v>
      </c>
      <c r="CK131" s="251">
        <f ca="1">MIN(nox_nightshade_cap,TblConstr[[#This Row],[Homeland]]/TblConstr[[#This Row],[Land]]/nox_nightshade_swamp_bonus)</f>
        <v>4</v>
      </c>
      <c r="CL131" s="251">
        <f ca="1">MIN(TblConstr[[#This Row],[Total Swamp]]/TblConstr[[#This Row],[Land]]/abyss_enforce_bonus,abyss_enforcer_cap)</f>
        <v>0</v>
      </c>
      <c r="CM131" s="251">
        <f ca="1">IF(TblMagic[[#This Row],[Active Infernal Command]]&gt;0,TblMili[[#This Row],[Unit 1]]*infernal_cmd_op,0)</f>
        <v>0</v>
      </c>
      <c r="CN131" s="252"/>
      <c r="CO131" s="252"/>
      <c r="CP131" s="252"/>
      <c r="CQ131" s="251">
        <f ca="1">TblMili[[#This Row],[Mystic]]*2</f>
        <v>4</v>
      </c>
      <c r="CR131" s="251">
        <f ca="1">TblMili[[#This Row],[Druid (op)]]*2</f>
        <v>4</v>
      </c>
      <c r="CS131" s="94">
        <f ca="1">TblMili[[#This Row],[Mystic bonus]]*TblMili[[#This Row],[Unit 3]]+TblMili[[#This Row],[Druid bonus]]*TblMili[[#This Row],[Unit 4]]</f>
        <v>0</v>
      </c>
      <c r="CT131" s="155">
        <f ca="1">TblMili[[#This Row],[Dryad]]*2</f>
        <v>5.9999999999999991</v>
      </c>
      <c r="CU131" s="94">
        <f ca="1">sylvan*(TblMili[[#This Row],[Mystic bonus]]*TblMili[[#This Row],[Unit 3]])</f>
        <v>0</v>
      </c>
      <c r="CV131" s="155">
        <f ca="1">TblMili[[#This Row],[Rockapult]]*2</f>
        <v>4</v>
      </c>
      <c r="CW131" s="94">
        <f ca="1">gnome*(TblMili[[#This Row],[Rockapult bonus]]*TblMili[[#This Row],[Unit 3]])</f>
        <v>0</v>
      </c>
      <c r="CX131" s="155">
        <f ca="1">TblMili[[#This Row],[Adept-DP]]*2</f>
        <v>0</v>
      </c>
      <c r="CY131" s="94">
        <f ca="1">dark_elf*(TblMili[[#This Row],[Adept bonus]]*TblMili[[#This Row],[Unit 3]])</f>
        <v>0</v>
      </c>
      <c r="CZ131" s="155">
        <f ca="1">TblMili[[#This Row],[Frost Mage]]*2</f>
        <v>5.9999999999999991</v>
      </c>
      <c r="DA131" s="155">
        <f ca="1">TblMili[[#This Row],[Ice Elemental]]*2</f>
        <v>0</v>
      </c>
      <c r="DB131" s="94">
        <f ca="1">TblMili[[#This Row],[Frost Mage bonus]]*TblMili[[#This Row],[Unit 3]]+TblMili[[#This Row],[Ice Elemental bonus]]*TblMili[[#This Row],[Unit 4]]</f>
        <v>0</v>
      </c>
      <c r="DC131" s="253"/>
      <c r="DD131" s="143">
        <f ca="1">MIN(SUM(TblConstr[[#This Row],[Plain]:[Water]])/TblMili[[#This Row],[Land]]/favorable_terrain_bonus/100,favorable_terrain_max)</f>
        <v>0</v>
      </c>
      <c r="DE131" s="253"/>
      <c r="DF13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1" s="142"/>
      <c r="DH131" s="254">
        <f ca="1">(TblMili[[#This Row],[Wizards]]+2*TblMili[[#This Row],[Archmages]])/TblConstr[[#This Row],[Land]]</f>
        <v>0</v>
      </c>
      <c r="DI131" s="254">
        <f ca="1">TblMili[[#This Row],[Raw (2)]]*(1+race_wizard_strength+IF(TblMili[[#This Row],[Hour]]&gt;72,tech_magical_weaponry_wiz*TblTech[[#This Row],[3-5]],0))</f>
        <v>0</v>
      </c>
    </row>
    <row r="132" spans="1:113" x14ac:dyDescent="0.2">
      <c r="A132" s="137">
        <f>TblRezone[[#This Row],[Hour]]</f>
        <v>129</v>
      </c>
      <c r="B132" s="246">
        <f ca="1">SUM(TblMili[[#This Row],[Unit 1]:[Archmages]])+SUM(OFFSET(TblMili[[#This Row],[Train Unit 1]],-8,0):TblMili[[#This Row],[Train Unit 2]]) + SUM(OFFSET(TblMili[[#This Row],[Train Unit 3]],-11,0):TblMili[[#This Row],[Train AM]]) + TblMili[[#This Row],[Draftees]]</f>
        <v>636</v>
      </c>
      <c r="C132" s="157">
        <f ca="1">TblPop[[#This Row],[Military%]]</f>
        <v>0.82704811443433035</v>
      </c>
      <c r="D132" s="142"/>
      <c r="E132" s="45">
        <f ca="1">OFFSET(TblMili[[#This Row],[Unit 1]],-1,0) + OFFSET(TblMili[[#This Row],[Train Unit 1]],-9,0) - TblMili[[#This Row],[Release Unit 1]] + OFFSET(TblMili[[#This Row],[DnD_Zombies]],-12,0)</f>
        <v>0</v>
      </c>
      <c r="F132" s="45">
        <f ca="1">OFFSET(TblMili[[#This Row],[Unit 2]],-1,0) + OFFSET(TblMili[[#This Row],[Train Unit 2]],-9,0)-TblMili[[#This Row],[Release Unit 2]]</f>
        <v>0</v>
      </c>
      <c r="G132" s="45">
        <f ca="1">OFFSET(TblMili[[#This Row],[Unit 3]],-1,0) + OFFSET(TblMili[[#This Row],[Train Unit 3]],-12,0)-TblMili[[#This Row],[Release Unit 3]]</f>
        <v>0</v>
      </c>
      <c r="H132" s="45">
        <f ca="1">OFFSET(TblMili[[#This Row],[Unit 4]],-1,0) + OFFSET(TblMili[[#This Row],[Train Unit 4]],-12,0)-TblMili[[#This Row],[Release Unit 4]]</f>
        <v>0</v>
      </c>
      <c r="I132" s="45">
        <f ca="1">OFFSET(TblMili[[#This Row],[Spies]],-1,0) + OFFSET(TblMili[[#This Row],[Train Spies]],-12,0) - TblMili[[#This Row],[Release Spies]]-TblMili[[#This Row],[Train AS]]</f>
        <v>0</v>
      </c>
      <c r="J132" s="45">
        <f ca="1">OFFSET(TblMili[[#This Row],[Archspies]],-1,0) + OFFSET(TblMili[[#This Row],[Train AS]],-12,0) - TblMili[[#This Row],[Release AS]]</f>
        <v>0</v>
      </c>
      <c r="K132" s="45">
        <f ca="1">OFFSET(TblMili[[#This Row],[Wizards]],-1,0) + OFFSET(TblMili[[#This Row],[Train Wiz]],-12,0) - TblMili[[#This Row],[Release Wizards]]-TblMili[[#This Row],[Train AM]] + IF(TblMagic[[#This Row],[Active Arc Infusion]]&gt;0,TblMili[[#This Row],[Train AM]])</f>
        <v>0</v>
      </c>
      <c r="L132" s="45">
        <f ca="1">OFFSET(TblMili[[#This Row],[Archmages]],-1,0) + OFFSET(TblMili[[#This Row],[Train AM]],-12,0) - TblMili[[#This Row],[Release AM]]</f>
        <v>0</v>
      </c>
      <c r="M132" s="142"/>
      <c r="N132" s="94">
        <f ca="1">TblProd[[#This Row],[Networth]]</f>
        <v>1250</v>
      </c>
      <c r="O132" s="142"/>
      <c r="P132"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3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2" s="247">
        <f ca="1">TblMili[[#This Row],[Raw]]*(1+TblMili[[#This Row],[Mods_Off]])</f>
        <v>0</v>
      </c>
      <c r="S132"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32" s="247">
        <f ca="1">TblMili[[#This Row],[Non Draft]]+TblMili[[#This Row],[Draftees]]</f>
        <v>636</v>
      </c>
      <c r="U132" s="248">
        <f ca="1">race_defense + TblImps[[#This Row],[Walls]] + ROUND( MIN(gt_bonus*TblConstr[[#This Row],[Tot GT]]/TblConstr[[#This Row],[Land]],gt_bonus_cap), 4) + IF(TblMagic[[#This Row],[Active Howling]]&gt;0,howling_dp_bonus,IF(TblMagic[[#This Row],[Active Ares Call]]&gt;0,ares_call_bonus))</f>
        <v>0</v>
      </c>
      <c r="V132" s="249">
        <f ca="1">TblMili[[#This Row],[Non Draft]] * (1 + TblMili[[#This Row],[Mods_Def]])</f>
        <v>0</v>
      </c>
      <c r="W132" s="247">
        <f ca="1">TblMili[[#This Row],[Draft]] * (1 + TblMili[[#This Row],[Mods_Def]])</f>
        <v>636</v>
      </c>
      <c r="X132" s="247">
        <f ca="1">TblConstr[[#This Row],[Land]]</f>
        <v>50</v>
      </c>
      <c r="Y132" s="250"/>
      <c r="Z132" s="255">
        <f ca="1">IF(TblMili[[#This Row],[Set]]&lt;&gt;"",TblMili[[#This Row],[Set]],OFFSET(TblMili[[#This Row],[Draftrate]],-1,0))</f>
        <v>0.9</v>
      </c>
      <c r="AA132"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636</v>
      </c>
      <c r="AB132" s="154"/>
      <c r="AC132" s="180">
        <f ca="1">(TblConstr[[#This Row],[Tot Smi]]+TblConstr[[#This Row],[Dest Smi]])/(TblConstr[[#This Row],[Land]]-TblExplore[[#This Row],[Land Bonus]]*20)</f>
        <v>0</v>
      </c>
      <c r="AD132" s="137"/>
      <c r="AE132" s="246">
        <f>TblMili[[#This Row],[Hour]]</f>
        <v>129</v>
      </c>
      <c r="AF132" s="138">
        <f ca="1">TblExplore[[#This Row],[Time]]</f>
        <v>46325.333333333023</v>
      </c>
      <c r="AG132" s="179"/>
      <c r="AH132" s="179"/>
      <c r="AI132" s="179"/>
      <c r="AJ132" s="179"/>
      <c r="AK132" s="179"/>
      <c r="AL132" s="179"/>
      <c r="AM132" s="179"/>
      <c r="AN132" s="179"/>
      <c r="AO132" s="420">
        <f ca="1">ROUND(IF(AND(TblMagic[[#This Row],[Active DnD]]&lt;12,TblMagic[[#This Row],[Active DnD]]&gt;5),OFFSET(TblPop[[#This Row],[Draft Growth]],-1,0)*0.375,0),0)</f>
        <v>0</v>
      </c>
      <c r="AP132" s="142"/>
      <c r="AQ132" s="94">
        <f ca="1">TblProd[[#This Row],[Platinum]]</f>
        <v>211925</v>
      </c>
      <c r="AR132" s="94">
        <f ca="1">INDEX(TblProd[[#Headers],[Lumber]]:TblProd[[#This Row],[Ore]],COUNTA(TblProd[[#Headers],[Lumber]]:TblProd[[#This Row],[Lumber]]),MATCH(Military!$AR$2,TblProd[[#Headers],[Lumber]:[Ore]],0))</f>
        <v>0</v>
      </c>
      <c r="AS132"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32" s="94">
        <f ca="1">TblMili[[#This Row],[Train Unit 1]]*TblMili[[#This Row],[OP Ore]]+TblMili[[#This Row],[Train Unit 2]]*TblMili[[#This Row],[DP Ore]]+TblMili[[#This Row],[Train Unit 3]]*TblMili[[#This Row],[E1 Ore]]+TblMili[[#This Row],[Train Unit 4]]*TblMili[[#This Row],[E2 Ore]]</f>
        <v>0</v>
      </c>
      <c r="AU132" s="142">
        <f>TblMili[[#This Row],[Hour]]</f>
        <v>129</v>
      </c>
      <c r="AV132" s="152">
        <f ca="1">TblMili[[#This Row],[Time]]</f>
        <v>46325.333333333023</v>
      </c>
      <c r="AW132" s="94">
        <f ca="1">TblMili[[#This Row],[Draftees]]</f>
        <v>636</v>
      </c>
      <c r="AX132" s="179"/>
      <c r="AY132" s="179"/>
      <c r="AZ132" s="179"/>
      <c r="BA132" s="179"/>
      <c r="BB132" s="179"/>
      <c r="BC132" s="179"/>
      <c r="BD132" s="179"/>
      <c r="BE132" s="179"/>
      <c r="BF132" s="179"/>
      <c r="BG132" s="142"/>
      <c r="BH132" s="157">
        <f ca="1">TblConstr[[#This Row],[Tot WG]]/TblConstr[[#This Row],[Land]]</f>
        <v>0</v>
      </c>
      <c r="BI132" s="157">
        <f ca="1">TblConstr[[#This Row],[Tot Hav]]/TblConstr[[#This Row],[Land]]</f>
        <v>0</v>
      </c>
      <c r="BJ132" s="94">
        <f ca="1">ROUNDUP((1-MIN(TblMili[[#This Row],[Smithies]]*smithy_bonus,smithy_bonus_cap) + tech_3_5*TblTech[[#This Row],[3-5]] + tech_5_3*TblTech[[#This Row],[5-3]] + tech_5_5*TblTech[[#This Row],[5-5]])*spec_op_plat,0)</f>
        <v>315</v>
      </c>
      <c r="BK132" s="94">
        <f ca="1">ROUNDUP(IF(race="Gnome",1,(1-MIN(TblMili[[#This Row],[Smithies]]*smithy_bonus,smithy_bonus_cap) + tech_3_5*TblTech[[#This Row],[3-5]] + tech_5_3*TblTech[[#This Row],[5-3]] + tech_5_5*TblTech[[#This Row],[5-5]]))*spec_op_ore,0)</f>
        <v>25</v>
      </c>
      <c r="BL132" s="94">
        <f ca="1">ROUNDUP((1-MIN(TblMili[[#This Row],[Smithies]]*smithy_bonus,smithy_bonus_cap) + tech_3_5*TblTech[[#This Row],[3-5]] + tech_5_3*TblTech[[#This Row],[5-3]] + tech_5_5*TblTech[[#This Row],[5-5]])*spec_dp_plat,0)</f>
        <v>275</v>
      </c>
      <c r="BM132" s="94">
        <f ca="1">ROUNDUP(IF(race="Gnome",1,(1-MIN(TblMili[[#This Row],[Smithies]]*smithy_bonus,smithy_bonus_cap) + tech_3_5*TblTech[[#This Row],[3-5]] + tech_5_3*TblTech[[#This Row],[5-3]] + tech_5_5*TblTech[[#This Row],[5-5]]))*spec_dp_ore,0)</f>
        <v>15</v>
      </c>
      <c r="BN132" s="94">
        <f ca="1">ROUNDUP((1-MIN(TblMili[[#This Row],[Smithies]]*smithy_bonus,smithy_bonus_cap) + tech_3_5*TblTech[[#This Row],[3-5]] + tech_5_3*TblTech[[#This Row],[5-3]] + tech_5_5*TblTech[[#This Row],[5-5]])*elite1_plat,0)</f>
        <v>1040</v>
      </c>
      <c r="BO132" s="94">
        <f ca="1">ROUNDUP(IF(race="Gnome",1,(1-MIN(TblMili[[#This Row],[Smithies]]*smithy_bonus,smithy_bonus_cap) + tech_3_5*TblTech[[#This Row],[3-5]] + tech_5_3*TblTech[[#This Row],[5-3]] + tech_5_5*TblTech[[#This Row],[5-5]]))*elite1_ore,0)</f>
        <v>75</v>
      </c>
      <c r="BP132" s="94">
        <f ca="1">ROUNDUP((1-MIN(TblMili[[#This Row],[Smithies]]*smithy_bonus,smithy_bonus_cap) + tech_3_5*TblTech[[#This Row],[3-5]] + tech_5_3*TblTech[[#This Row],[5-3]] + tech_5_5*TblTech[[#This Row],[5-5]])*elite2_plat,0)</f>
        <v>1280</v>
      </c>
      <c r="BQ132" s="94">
        <f ca="1">ROUNDUP(IF(race="Gnome",1,(1-MIN(TblMili[[#This Row],[Smithies]]*smithy_bonus,smithy_bonus_cap) + tech_3_5*TblTech[[#This Row],[3-5]] + tech_5_3*TblTech[[#This Row],[5-3]] + tech_5_5*TblTech[[#This Row],[5-5]]))*elite2_ore,0)</f>
        <v>100</v>
      </c>
      <c r="BR132" s="94">
        <f ca="1">ROUNDUP((1-MIN(ROUND(fh_spy_cost_red*TblMili[[#This Row],[FH''s]],4),fh_spy_cost_cap)+ tech_1_9*TblTech[[#This Row],[1-9]] + tech_9_1*TblTech[[#This Row],[9-1]])*spy_plat,0)</f>
        <v>500</v>
      </c>
      <c r="BS132" s="94">
        <f ca="1">ROUNDUP((1-MIN(ROUND(fh_spy_cost_red*TblMili[[#This Row],[FH''s]],4),fh_spy_cost_cap)+ tech_1_9*TblTech[[#This Row],[1-9]] + tech_9_1*TblTech[[#This Row],[9-1]])*archspy_plat,0)</f>
        <v>1000</v>
      </c>
      <c r="BT132" s="94">
        <f ca="1">ROUNDUP((1-MIN(ROUND(wg_wiz_cost_bonus*TblMili[[#This Row],[WG''s]],4),wg_wiz_cost_cap) + tech_1_9_2*TblTech[[#This Row],[1-9]] + tech_9_1_2*TblTech[[#This Row],[9-1]])*wizard_plat,0)</f>
        <v>500</v>
      </c>
      <c r="BU132" s="94">
        <f ca="1">ROUNDUP((1-MIN(ROUND(wg_wiz_cost_bonus*TblMili[[#This Row],[WG''s]],4),wg_wiz_cost_cap) + tech_1_9_2*TblTech[[#This Row],[1-9]] + tech_9_1_2*TblTech[[#This Row],[9-1]])*(archmage_plat + IF(TblMagic[[#This Row],[Active Arc Infusion]]&gt;0,400,0)),0)</f>
        <v>1000</v>
      </c>
      <c r="BV132" s="142"/>
      <c r="BW132" s="157">
        <f ca="1">TblConstr[[#This Row],[Homeland]]/TblConstr[[#This Row],[Land]]</f>
        <v>0.6</v>
      </c>
      <c r="BX132" s="157">
        <f ca="1">TblMili[[#This Row],[WG''s]]</f>
        <v>0</v>
      </c>
      <c r="BY132" s="251">
        <f ca="1">IF(mystic_cap="none",TblMili[[#This Row],[Homeland%]]/mystic_bonus,MIN(mystic_cap,TblMili[[#This Row],[Homeland%]]/mystic_bonus))</f>
        <v>2</v>
      </c>
      <c r="BZ132" s="251">
        <f ca="1">IF(druid_op_cap="none",TblMili[[#This Row],[Homeland%]]/druid_op_bonus,MIN(druid_op_cap,TblMili[[#This Row],[Homeland%]]/druid_op_bonus))</f>
        <v>2</v>
      </c>
      <c r="CA132" s="251">
        <f ca="1">IF(druid_dp_cap="none",TblMili[[#This Row],[Homeland%]]/druid_dp_bonus,MIN(druid_dp_cap,TblMili[[#This Row],[Homeland%]]/druid_dp_bonus))</f>
        <v>2</v>
      </c>
      <c r="CB132" s="251">
        <f ca="1">MIN(dryad_cap,TblMili[[#This Row],[Homeland%]]/dryad_bonus)</f>
        <v>2.9999999999999996</v>
      </c>
      <c r="CC132" s="251">
        <f ca="1">MIN(rocka_cap,TblMili[[#This Row],[Homeland%]]/rocka_bonus)</f>
        <v>2</v>
      </c>
      <c r="CD132" s="251">
        <f ca="1">MIN(adept_op_cap,TblMili[[#This Row],[WG]]/adept_op_bonus)</f>
        <v>0</v>
      </c>
      <c r="CE132" s="251">
        <f ca="1">MIN(adept_dp_cap,TblMili[[#This Row],[WG]]/adept_dp_bonus)</f>
        <v>0</v>
      </c>
      <c r="CF132" s="94">
        <f ca="1">MIN(TblMili[[#This Row],[Unit 3]],TblMili[[#This Row],[Unit 2]])*2</f>
        <v>0</v>
      </c>
      <c r="CG132" s="94">
        <f ca="1">MIN(TblMili[[#This Row],[Unit 1]],TblMili[[#This Row],[Unit 4]])*2</f>
        <v>0</v>
      </c>
      <c r="CH132" s="251">
        <f ca="1">MIN(frost_mage_cap,TblMili[[#This Row],[Homeland%]]/frost_mage_bonus)</f>
        <v>2.9999999999999996</v>
      </c>
      <c r="CI132" s="45">
        <f ca="1">MIN(ice_elem_cap,TblMili[[#This Row],[Raw (2)]]*ice_elem_bonus)</f>
        <v>0</v>
      </c>
      <c r="CJ132" s="251">
        <f t="shared" si="4"/>
        <v>0.83333333333333337</v>
      </c>
      <c r="CK132" s="251">
        <f ca="1">MIN(nox_nightshade_cap,TblConstr[[#This Row],[Homeland]]/TblConstr[[#This Row],[Land]]/nox_nightshade_swamp_bonus)</f>
        <v>4</v>
      </c>
      <c r="CL132" s="251">
        <f ca="1">MIN(TblConstr[[#This Row],[Total Swamp]]/TblConstr[[#This Row],[Land]]/abyss_enforce_bonus,abyss_enforcer_cap)</f>
        <v>0</v>
      </c>
      <c r="CM132" s="251">
        <f ca="1">IF(TblMagic[[#This Row],[Active Infernal Command]]&gt;0,TblMili[[#This Row],[Unit 1]]*infernal_cmd_op,0)</f>
        <v>0</v>
      </c>
      <c r="CN132" s="252"/>
      <c r="CO132" s="252"/>
      <c r="CP132" s="252"/>
      <c r="CQ132" s="251">
        <f ca="1">TblMili[[#This Row],[Mystic]]*2</f>
        <v>4</v>
      </c>
      <c r="CR132" s="251">
        <f ca="1">TblMili[[#This Row],[Druid (op)]]*2</f>
        <v>4</v>
      </c>
      <c r="CS132" s="94">
        <f ca="1">TblMili[[#This Row],[Mystic bonus]]*TblMili[[#This Row],[Unit 3]]+TblMili[[#This Row],[Druid bonus]]*TblMili[[#This Row],[Unit 4]]</f>
        <v>0</v>
      </c>
      <c r="CT132" s="155">
        <f ca="1">TblMili[[#This Row],[Dryad]]*2</f>
        <v>5.9999999999999991</v>
      </c>
      <c r="CU132" s="94">
        <f ca="1">sylvan*(TblMili[[#This Row],[Mystic bonus]]*TblMili[[#This Row],[Unit 3]])</f>
        <v>0</v>
      </c>
      <c r="CV132" s="155">
        <f ca="1">TblMili[[#This Row],[Rockapult]]*2</f>
        <v>4</v>
      </c>
      <c r="CW132" s="94">
        <f ca="1">gnome*(TblMili[[#This Row],[Rockapult bonus]]*TblMili[[#This Row],[Unit 3]])</f>
        <v>0</v>
      </c>
      <c r="CX132" s="155">
        <f ca="1">TblMili[[#This Row],[Adept-DP]]*2</f>
        <v>0</v>
      </c>
      <c r="CY132" s="94">
        <f ca="1">dark_elf*(TblMili[[#This Row],[Adept bonus]]*TblMili[[#This Row],[Unit 3]])</f>
        <v>0</v>
      </c>
      <c r="CZ132" s="155">
        <f ca="1">TblMili[[#This Row],[Frost Mage]]*2</f>
        <v>5.9999999999999991</v>
      </c>
      <c r="DA132" s="155">
        <f ca="1">TblMili[[#This Row],[Ice Elemental]]*2</f>
        <v>0</v>
      </c>
      <c r="DB132" s="94">
        <f ca="1">TblMili[[#This Row],[Frost Mage bonus]]*TblMili[[#This Row],[Unit 3]]+TblMili[[#This Row],[Ice Elemental bonus]]*TblMili[[#This Row],[Unit 4]]</f>
        <v>0</v>
      </c>
      <c r="DC132" s="253"/>
      <c r="DD132" s="143">
        <f ca="1">MIN(SUM(TblConstr[[#This Row],[Plain]:[Water]])/TblMili[[#This Row],[Land]]/favorable_terrain_bonus/100,favorable_terrain_max)</f>
        <v>0</v>
      </c>
      <c r="DE132" s="253"/>
      <c r="DF13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2" s="142"/>
      <c r="DH132" s="254">
        <f ca="1">(TblMili[[#This Row],[Wizards]]+2*TblMili[[#This Row],[Archmages]])/TblConstr[[#This Row],[Land]]</f>
        <v>0</v>
      </c>
      <c r="DI132" s="254">
        <f ca="1">TblMili[[#This Row],[Raw (2)]]*(1+race_wizard_strength+IF(TblMili[[#This Row],[Hour]]&gt;72,tech_magical_weaponry_wiz*TblTech[[#This Row],[3-5]],0))</f>
        <v>0</v>
      </c>
    </row>
    <row r="133" spans="1:113" x14ac:dyDescent="0.2">
      <c r="A133" s="137">
        <f>TblRezone[[#This Row],[Hour]]</f>
        <v>130</v>
      </c>
      <c r="B133" s="246">
        <f ca="1">SUM(TblMili[[#This Row],[Unit 1]:[Archmages]])+SUM(OFFSET(TblMili[[#This Row],[Train Unit 1]],-8,0):TblMili[[#This Row],[Train Unit 2]]) + SUM(OFFSET(TblMili[[#This Row],[Train Unit 3]],-11,0):TblMili[[#This Row],[Train AM]]) + TblMili[[#This Row],[Draftees]]</f>
        <v>637</v>
      </c>
      <c r="C133" s="157">
        <f ca="1">TblPop[[#This Row],[Military%]]</f>
        <v>0.82834850455136544</v>
      </c>
      <c r="D133" s="142"/>
      <c r="E133" s="45">
        <f ca="1">OFFSET(TblMili[[#This Row],[Unit 1]],-1,0) + OFFSET(TblMili[[#This Row],[Train Unit 1]],-9,0) - TblMili[[#This Row],[Release Unit 1]] + OFFSET(TblMili[[#This Row],[DnD_Zombies]],-12,0)</f>
        <v>0</v>
      </c>
      <c r="F133" s="45">
        <f ca="1">OFFSET(TblMili[[#This Row],[Unit 2]],-1,0) + OFFSET(TblMili[[#This Row],[Train Unit 2]],-9,0)-TblMili[[#This Row],[Release Unit 2]]</f>
        <v>0</v>
      </c>
      <c r="G133" s="45">
        <f ca="1">OFFSET(TblMili[[#This Row],[Unit 3]],-1,0) + OFFSET(TblMili[[#This Row],[Train Unit 3]],-12,0)-TblMili[[#This Row],[Release Unit 3]]</f>
        <v>0</v>
      </c>
      <c r="H133" s="45">
        <f ca="1">OFFSET(TblMili[[#This Row],[Unit 4]],-1,0) + OFFSET(TblMili[[#This Row],[Train Unit 4]],-12,0)-TblMili[[#This Row],[Release Unit 4]]</f>
        <v>0</v>
      </c>
      <c r="I133" s="45">
        <f ca="1">OFFSET(TblMili[[#This Row],[Spies]],-1,0) + OFFSET(TblMili[[#This Row],[Train Spies]],-12,0) - TblMili[[#This Row],[Release Spies]]-TblMili[[#This Row],[Train AS]]</f>
        <v>0</v>
      </c>
      <c r="J133" s="45">
        <f ca="1">OFFSET(TblMili[[#This Row],[Archspies]],-1,0) + OFFSET(TblMili[[#This Row],[Train AS]],-12,0) - TblMili[[#This Row],[Release AS]]</f>
        <v>0</v>
      </c>
      <c r="K133" s="45">
        <f ca="1">OFFSET(TblMili[[#This Row],[Wizards]],-1,0) + OFFSET(TblMili[[#This Row],[Train Wiz]],-12,0) - TblMili[[#This Row],[Release Wizards]]-TblMili[[#This Row],[Train AM]] + IF(TblMagic[[#This Row],[Active Arc Infusion]]&gt;0,TblMili[[#This Row],[Train AM]])</f>
        <v>0</v>
      </c>
      <c r="L133" s="45">
        <f ca="1">OFFSET(TblMili[[#This Row],[Archmages]],-1,0) + OFFSET(TblMili[[#This Row],[Train AM]],-12,0) - TblMili[[#This Row],[Release AM]]</f>
        <v>0</v>
      </c>
      <c r="M133" s="142"/>
      <c r="N133" s="94">
        <f ca="1">TblProd[[#This Row],[Networth]]</f>
        <v>1250</v>
      </c>
      <c r="O133" s="142"/>
      <c r="P133"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3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3" s="247">
        <f ca="1">TblMili[[#This Row],[Raw]]*(1+TblMili[[#This Row],[Mods_Off]])</f>
        <v>0</v>
      </c>
      <c r="S133"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33" s="247">
        <f ca="1">TblMili[[#This Row],[Non Draft]]+TblMili[[#This Row],[Draftees]]</f>
        <v>637</v>
      </c>
      <c r="U133" s="248">
        <f ca="1">race_defense + TblImps[[#This Row],[Walls]] + ROUND( MIN(gt_bonus*TblConstr[[#This Row],[Tot GT]]/TblConstr[[#This Row],[Land]],gt_bonus_cap), 4) + IF(TblMagic[[#This Row],[Active Howling]]&gt;0,howling_dp_bonus,IF(TblMagic[[#This Row],[Active Ares Call]]&gt;0,ares_call_bonus))</f>
        <v>0</v>
      </c>
      <c r="V133" s="249">
        <f ca="1">TblMili[[#This Row],[Non Draft]] * (1 + TblMili[[#This Row],[Mods_Def]])</f>
        <v>0</v>
      </c>
      <c r="W133" s="247">
        <f ca="1">TblMili[[#This Row],[Draft]] * (1 + TblMili[[#This Row],[Mods_Def]])</f>
        <v>637</v>
      </c>
      <c r="X133" s="247">
        <f ca="1">TblConstr[[#This Row],[Land]]</f>
        <v>50</v>
      </c>
      <c r="Y133" s="250"/>
      <c r="Z133" s="255">
        <f ca="1">IF(TblMili[[#This Row],[Set]]&lt;&gt;"",TblMili[[#This Row],[Set]],OFFSET(TblMili[[#This Row],[Draftrate]],-1,0))</f>
        <v>0.9</v>
      </c>
      <c r="AA133"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637</v>
      </c>
      <c r="AB133" s="154"/>
      <c r="AC133" s="180">
        <f ca="1">(TblConstr[[#This Row],[Tot Smi]]+TblConstr[[#This Row],[Dest Smi]])/(TblConstr[[#This Row],[Land]]-TblExplore[[#This Row],[Land Bonus]]*20)</f>
        <v>0</v>
      </c>
      <c r="AD133" s="137"/>
      <c r="AE133" s="246">
        <f>TblMili[[#This Row],[Hour]]</f>
        <v>130</v>
      </c>
      <c r="AF133" s="138">
        <f ca="1">TblExplore[[#This Row],[Time]]</f>
        <v>46325.374999999687</v>
      </c>
      <c r="AG133" s="179"/>
      <c r="AH133" s="179"/>
      <c r="AI133" s="179"/>
      <c r="AJ133" s="179"/>
      <c r="AK133" s="179"/>
      <c r="AL133" s="179"/>
      <c r="AM133" s="179"/>
      <c r="AN133" s="179"/>
      <c r="AO133" s="420">
        <f ca="1">ROUND(IF(AND(TblMagic[[#This Row],[Active DnD]]&lt;12,TblMagic[[#This Row],[Active DnD]]&gt;5),OFFSET(TblPop[[#This Row],[Draft Growth]],-1,0)*0.375,0),0)</f>
        <v>0</v>
      </c>
      <c r="AP133" s="142"/>
      <c r="AQ133" s="94">
        <f ca="1">TblProd[[#This Row],[Platinum]]</f>
        <v>212284</v>
      </c>
      <c r="AR133" s="94">
        <f ca="1">INDEX(TblProd[[#Headers],[Lumber]]:TblProd[[#This Row],[Ore]],COUNTA(TblProd[[#Headers],[Lumber]]:TblProd[[#This Row],[Lumber]]),MATCH(Military!$AR$2,TblProd[[#Headers],[Lumber]:[Ore]],0))</f>
        <v>0</v>
      </c>
      <c r="AS13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33" s="94">
        <f ca="1">TblMili[[#This Row],[Train Unit 1]]*TblMili[[#This Row],[OP Ore]]+TblMili[[#This Row],[Train Unit 2]]*TblMili[[#This Row],[DP Ore]]+TblMili[[#This Row],[Train Unit 3]]*TblMili[[#This Row],[E1 Ore]]+TblMili[[#This Row],[Train Unit 4]]*TblMili[[#This Row],[E2 Ore]]</f>
        <v>0</v>
      </c>
      <c r="AU133" s="142">
        <f>TblMili[[#This Row],[Hour]]</f>
        <v>130</v>
      </c>
      <c r="AV133" s="152">
        <f ca="1">TblMili[[#This Row],[Time]]</f>
        <v>46325.374999999687</v>
      </c>
      <c r="AW133" s="94">
        <f ca="1">TblMili[[#This Row],[Draftees]]</f>
        <v>637</v>
      </c>
      <c r="AX133" s="179"/>
      <c r="AY133" s="179"/>
      <c r="AZ133" s="179"/>
      <c r="BA133" s="179"/>
      <c r="BB133" s="179"/>
      <c r="BC133" s="179"/>
      <c r="BD133" s="179"/>
      <c r="BE133" s="179"/>
      <c r="BF133" s="179"/>
      <c r="BG133" s="142"/>
      <c r="BH133" s="157">
        <f ca="1">TblConstr[[#This Row],[Tot WG]]/TblConstr[[#This Row],[Land]]</f>
        <v>0</v>
      </c>
      <c r="BI133" s="157">
        <f ca="1">TblConstr[[#This Row],[Tot Hav]]/TblConstr[[#This Row],[Land]]</f>
        <v>0</v>
      </c>
      <c r="BJ133" s="94">
        <f ca="1">ROUNDUP((1-MIN(TblMili[[#This Row],[Smithies]]*smithy_bonus,smithy_bonus_cap) + tech_3_5*TblTech[[#This Row],[3-5]] + tech_5_3*TblTech[[#This Row],[5-3]] + tech_5_5*TblTech[[#This Row],[5-5]])*spec_op_plat,0)</f>
        <v>315</v>
      </c>
      <c r="BK133" s="94">
        <f ca="1">ROUNDUP(IF(race="Gnome",1,(1-MIN(TblMili[[#This Row],[Smithies]]*smithy_bonus,smithy_bonus_cap) + tech_3_5*TblTech[[#This Row],[3-5]] + tech_5_3*TblTech[[#This Row],[5-3]] + tech_5_5*TblTech[[#This Row],[5-5]]))*spec_op_ore,0)</f>
        <v>25</v>
      </c>
      <c r="BL133" s="94">
        <f ca="1">ROUNDUP((1-MIN(TblMili[[#This Row],[Smithies]]*smithy_bonus,smithy_bonus_cap) + tech_3_5*TblTech[[#This Row],[3-5]] + tech_5_3*TblTech[[#This Row],[5-3]] + tech_5_5*TblTech[[#This Row],[5-5]])*spec_dp_plat,0)</f>
        <v>275</v>
      </c>
      <c r="BM133" s="94">
        <f ca="1">ROUNDUP(IF(race="Gnome",1,(1-MIN(TblMili[[#This Row],[Smithies]]*smithy_bonus,smithy_bonus_cap) + tech_3_5*TblTech[[#This Row],[3-5]] + tech_5_3*TblTech[[#This Row],[5-3]] + tech_5_5*TblTech[[#This Row],[5-5]]))*spec_dp_ore,0)</f>
        <v>15</v>
      </c>
      <c r="BN133" s="94">
        <f ca="1">ROUNDUP((1-MIN(TblMili[[#This Row],[Smithies]]*smithy_bonus,smithy_bonus_cap) + tech_3_5*TblTech[[#This Row],[3-5]] + tech_5_3*TblTech[[#This Row],[5-3]] + tech_5_5*TblTech[[#This Row],[5-5]])*elite1_plat,0)</f>
        <v>1040</v>
      </c>
      <c r="BO133" s="94">
        <f ca="1">ROUNDUP(IF(race="Gnome",1,(1-MIN(TblMili[[#This Row],[Smithies]]*smithy_bonus,smithy_bonus_cap) + tech_3_5*TblTech[[#This Row],[3-5]] + tech_5_3*TblTech[[#This Row],[5-3]] + tech_5_5*TblTech[[#This Row],[5-5]]))*elite1_ore,0)</f>
        <v>75</v>
      </c>
      <c r="BP133" s="94">
        <f ca="1">ROUNDUP((1-MIN(TblMili[[#This Row],[Smithies]]*smithy_bonus,smithy_bonus_cap) + tech_3_5*TblTech[[#This Row],[3-5]] + tech_5_3*TblTech[[#This Row],[5-3]] + tech_5_5*TblTech[[#This Row],[5-5]])*elite2_plat,0)</f>
        <v>1280</v>
      </c>
      <c r="BQ133" s="94">
        <f ca="1">ROUNDUP(IF(race="Gnome",1,(1-MIN(TblMili[[#This Row],[Smithies]]*smithy_bonus,smithy_bonus_cap) + tech_3_5*TblTech[[#This Row],[3-5]] + tech_5_3*TblTech[[#This Row],[5-3]] + tech_5_5*TblTech[[#This Row],[5-5]]))*elite2_ore,0)</f>
        <v>100</v>
      </c>
      <c r="BR133" s="94">
        <f ca="1">ROUNDUP((1-MIN(ROUND(fh_spy_cost_red*TblMili[[#This Row],[FH''s]],4),fh_spy_cost_cap)+ tech_1_9*TblTech[[#This Row],[1-9]] + tech_9_1*TblTech[[#This Row],[9-1]])*spy_plat,0)</f>
        <v>500</v>
      </c>
      <c r="BS133" s="94">
        <f ca="1">ROUNDUP((1-MIN(ROUND(fh_spy_cost_red*TblMili[[#This Row],[FH''s]],4),fh_spy_cost_cap)+ tech_1_9*TblTech[[#This Row],[1-9]] + tech_9_1*TblTech[[#This Row],[9-1]])*archspy_plat,0)</f>
        <v>1000</v>
      </c>
      <c r="BT133" s="94">
        <f ca="1">ROUNDUP((1-MIN(ROUND(wg_wiz_cost_bonus*TblMili[[#This Row],[WG''s]],4),wg_wiz_cost_cap) + tech_1_9_2*TblTech[[#This Row],[1-9]] + tech_9_1_2*TblTech[[#This Row],[9-1]])*wizard_plat,0)</f>
        <v>500</v>
      </c>
      <c r="BU133" s="94">
        <f ca="1">ROUNDUP((1-MIN(ROUND(wg_wiz_cost_bonus*TblMili[[#This Row],[WG''s]],4),wg_wiz_cost_cap) + tech_1_9_2*TblTech[[#This Row],[1-9]] + tech_9_1_2*TblTech[[#This Row],[9-1]])*(archmage_plat + IF(TblMagic[[#This Row],[Active Arc Infusion]]&gt;0,400,0)),0)</f>
        <v>1000</v>
      </c>
      <c r="BV133" s="142"/>
      <c r="BW133" s="157">
        <f ca="1">TblConstr[[#This Row],[Homeland]]/TblConstr[[#This Row],[Land]]</f>
        <v>0.6</v>
      </c>
      <c r="BX133" s="157">
        <f ca="1">TblMili[[#This Row],[WG''s]]</f>
        <v>0</v>
      </c>
      <c r="BY133" s="251">
        <f ca="1">IF(mystic_cap="none",TblMili[[#This Row],[Homeland%]]/mystic_bonus,MIN(mystic_cap,TblMili[[#This Row],[Homeland%]]/mystic_bonus))</f>
        <v>2</v>
      </c>
      <c r="BZ133" s="251">
        <f ca="1">IF(druid_op_cap="none",TblMili[[#This Row],[Homeland%]]/druid_op_bonus,MIN(druid_op_cap,TblMili[[#This Row],[Homeland%]]/druid_op_bonus))</f>
        <v>2</v>
      </c>
      <c r="CA133" s="251">
        <f ca="1">IF(druid_dp_cap="none",TblMili[[#This Row],[Homeland%]]/druid_dp_bonus,MIN(druid_dp_cap,TblMili[[#This Row],[Homeland%]]/druid_dp_bonus))</f>
        <v>2</v>
      </c>
      <c r="CB133" s="251">
        <f ca="1">MIN(dryad_cap,TblMili[[#This Row],[Homeland%]]/dryad_bonus)</f>
        <v>2.9999999999999996</v>
      </c>
      <c r="CC133" s="251">
        <f ca="1">MIN(rocka_cap,TblMili[[#This Row],[Homeland%]]/rocka_bonus)</f>
        <v>2</v>
      </c>
      <c r="CD133" s="251">
        <f ca="1">MIN(adept_op_cap,TblMili[[#This Row],[WG]]/adept_op_bonus)</f>
        <v>0</v>
      </c>
      <c r="CE133" s="251">
        <f ca="1">MIN(adept_dp_cap,TblMili[[#This Row],[WG]]/adept_dp_bonus)</f>
        <v>0</v>
      </c>
      <c r="CF133" s="94">
        <f ca="1">MIN(TblMili[[#This Row],[Unit 3]],TblMili[[#This Row],[Unit 2]])*2</f>
        <v>0</v>
      </c>
      <c r="CG133" s="94">
        <f ca="1">MIN(TblMili[[#This Row],[Unit 1]],TblMili[[#This Row],[Unit 4]])*2</f>
        <v>0</v>
      </c>
      <c r="CH133" s="251">
        <f ca="1">MIN(frost_mage_cap,TblMili[[#This Row],[Homeland%]]/frost_mage_bonus)</f>
        <v>2.9999999999999996</v>
      </c>
      <c r="CI133" s="45">
        <f ca="1">MIN(ice_elem_cap,TblMili[[#This Row],[Raw (2)]]*ice_elem_bonus)</f>
        <v>0</v>
      </c>
      <c r="CJ133" s="251">
        <f t="shared" si="4"/>
        <v>0.83333333333333337</v>
      </c>
      <c r="CK133" s="251">
        <f ca="1">MIN(nox_nightshade_cap,TblConstr[[#This Row],[Homeland]]/TblConstr[[#This Row],[Land]]/nox_nightshade_swamp_bonus)</f>
        <v>4</v>
      </c>
      <c r="CL133" s="251">
        <f ca="1">MIN(TblConstr[[#This Row],[Total Swamp]]/TblConstr[[#This Row],[Land]]/abyss_enforce_bonus,abyss_enforcer_cap)</f>
        <v>0</v>
      </c>
      <c r="CM133" s="251">
        <f ca="1">IF(TblMagic[[#This Row],[Active Infernal Command]]&gt;0,TblMili[[#This Row],[Unit 1]]*infernal_cmd_op,0)</f>
        <v>0</v>
      </c>
      <c r="CN133" s="252"/>
      <c r="CO133" s="252"/>
      <c r="CP133" s="252"/>
      <c r="CQ133" s="251">
        <f ca="1">TblMili[[#This Row],[Mystic]]*2</f>
        <v>4</v>
      </c>
      <c r="CR133" s="251">
        <f ca="1">TblMili[[#This Row],[Druid (op)]]*2</f>
        <v>4</v>
      </c>
      <c r="CS133" s="94">
        <f ca="1">TblMili[[#This Row],[Mystic bonus]]*TblMili[[#This Row],[Unit 3]]+TblMili[[#This Row],[Druid bonus]]*TblMili[[#This Row],[Unit 4]]</f>
        <v>0</v>
      </c>
      <c r="CT133" s="155">
        <f ca="1">TblMili[[#This Row],[Dryad]]*2</f>
        <v>5.9999999999999991</v>
      </c>
      <c r="CU133" s="94">
        <f ca="1">sylvan*(TblMili[[#This Row],[Mystic bonus]]*TblMili[[#This Row],[Unit 3]])</f>
        <v>0</v>
      </c>
      <c r="CV133" s="155">
        <f ca="1">TblMili[[#This Row],[Rockapult]]*2</f>
        <v>4</v>
      </c>
      <c r="CW133" s="94">
        <f ca="1">gnome*(TblMili[[#This Row],[Rockapult bonus]]*TblMili[[#This Row],[Unit 3]])</f>
        <v>0</v>
      </c>
      <c r="CX133" s="155">
        <f ca="1">TblMili[[#This Row],[Adept-DP]]*2</f>
        <v>0</v>
      </c>
      <c r="CY133" s="94">
        <f ca="1">dark_elf*(TblMili[[#This Row],[Adept bonus]]*TblMili[[#This Row],[Unit 3]])</f>
        <v>0</v>
      </c>
      <c r="CZ133" s="155">
        <f ca="1">TblMili[[#This Row],[Frost Mage]]*2</f>
        <v>5.9999999999999991</v>
      </c>
      <c r="DA133" s="155">
        <f ca="1">TblMili[[#This Row],[Ice Elemental]]*2</f>
        <v>0</v>
      </c>
      <c r="DB133" s="94">
        <f ca="1">TblMili[[#This Row],[Frost Mage bonus]]*TblMili[[#This Row],[Unit 3]]+TblMili[[#This Row],[Ice Elemental bonus]]*TblMili[[#This Row],[Unit 4]]</f>
        <v>0</v>
      </c>
      <c r="DC133" s="253"/>
      <c r="DD133" s="143">
        <f ca="1">MIN(SUM(TblConstr[[#This Row],[Plain]:[Water]])/TblMili[[#This Row],[Land]]/favorable_terrain_bonus/100,favorable_terrain_max)</f>
        <v>0</v>
      </c>
      <c r="DE133" s="253"/>
      <c r="DF13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3" s="142"/>
      <c r="DH133" s="254">
        <f ca="1">(TblMili[[#This Row],[Wizards]]+2*TblMili[[#This Row],[Archmages]])/TblConstr[[#This Row],[Land]]</f>
        <v>0</v>
      </c>
      <c r="DI133" s="254">
        <f ca="1">TblMili[[#This Row],[Raw (2)]]*(1+race_wizard_strength+IF(TblMili[[#This Row],[Hour]]&gt;72,tech_magical_weaponry_wiz*TblTech[[#This Row],[3-5]],0))</f>
        <v>0</v>
      </c>
    </row>
    <row r="134" spans="1:113" x14ac:dyDescent="0.2">
      <c r="A134" s="137">
        <f>TblRezone[[#This Row],[Hour]]</f>
        <v>131</v>
      </c>
      <c r="B134" s="246">
        <f ca="1">SUM(TblMili[[#This Row],[Unit 1]:[Archmages]])+SUM(OFFSET(TblMili[[#This Row],[Train Unit 1]],-8,0):TblMili[[#This Row],[Train Unit 2]]) + SUM(OFFSET(TblMili[[#This Row],[Train Unit 3]],-11,0):TblMili[[#This Row],[Train AM]]) + TblMili[[#This Row],[Draftees]]</f>
        <v>638</v>
      </c>
      <c r="C134" s="157">
        <f ca="1">TblPop[[#This Row],[Military%]]</f>
        <v>0.82964889466840053</v>
      </c>
      <c r="D134" s="142"/>
      <c r="E134" s="45">
        <f ca="1">OFFSET(TblMili[[#This Row],[Unit 1]],-1,0) + OFFSET(TblMili[[#This Row],[Train Unit 1]],-9,0) - TblMili[[#This Row],[Release Unit 1]] + OFFSET(TblMili[[#This Row],[DnD_Zombies]],-12,0)</f>
        <v>0</v>
      </c>
      <c r="F134" s="45">
        <f ca="1">OFFSET(TblMili[[#This Row],[Unit 2]],-1,0) + OFFSET(TblMili[[#This Row],[Train Unit 2]],-9,0)-TblMili[[#This Row],[Release Unit 2]]</f>
        <v>0</v>
      </c>
      <c r="G134" s="45">
        <f ca="1">OFFSET(TblMili[[#This Row],[Unit 3]],-1,0) + OFFSET(TblMili[[#This Row],[Train Unit 3]],-12,0)-TblMili[[#This Row],[Release Unit 3]]</f>
        <v>0</v>
      </c>
      <c r="H134" s="45">
        <f ca="1">OFFSET(TblMili[[#This Row],[Unit 4]],-1,0) + OFFSET(TblMili[[#This Row],[Train Unit 4]],-12,0)-TblMili[[#This Row],[Release Unit 4]]</f>
        <v>0</v>
      </c>
      <c r="I134" s="45">
        <f ca="1">OFFSET(TblMili[[#This Row],[Spies]],-1,0) + OFFSET(TblMili[[#This Row],[Train Spies]],-12,0) - TblMili[[#This Row],[Release Spies]]-TblMili[[#This Row],[Train AS]]</f>
        <v>0</v>
      </c>
      <c r="J134" s="45">
        <f ca="1">OFFSET(TblMili[[#This Row],[Archspies]],-1,0) + OFFSET(TblMili[[#This Row],[Train AS]],-12,0) - TblMili[[#This Row],[Release AS]]</f>
        <v>0</v>
      </c>
      <c r="K134" s="45">
        <f ca="1">OFFSET(TblMili[[#This Row],[Wizards]],-1,0) + OFFSET(TblMili[[#This Row],[Train Wiz]],-12,0) - TblMili[[#This Row],[Release Wizards]]-TblMili[[#This Row],[Train AM]] + IF(TblMagic[[#This Row],[Active Arc Infusion]]&gt;0,TblMili[[#This Row],[Train AM]])</f>
        <v>0</v>
      </c>
      <c r="L134" s="45">
        <f ca="1">OFFSET(TblMili[[#This Row],[Archmages]],-1,0) + OFFSET(TblMili[[#This Row],[Train AM]],-12,0) - TblMili[[#This Row],[Release AM]]</f>
        <v>0</v>
      </c>
      <c r="M134" s="142"/>
      <c r="N134" s="94">
        <f ca="1">TblProd[[#This Row],[Networth]]</f>
        <v>1250</v>
      </c>
      <c r="O134" s="142"/>
      <c r="P134"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3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4" s="247">
        <f ca="1">TblMili[[#This Row],[Raw]]*(1+TblMili[[#This Row],[Mods_Off]])</f>
        <v>0</v>
      </c>
      <c r="S134"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34" s="247">
        <f ca="1">TblMili[[#This Row],[Non Draft]]+TblMili[[#This Row],[Draftees]]</f>
        <v>638</v>
      </c>
      <c r="U134" s="248">
        <f ca="1">race_defense + TblImps[[#This Row],[Walls]] + ROUND( MIN(gt_bonus*TblConstr[[#This Row],[Tot GT]]/TblConstr[[#This Row],[Land]],gt_bonus_cap), 4) + IF(TblMagic[[#This Row],[Active Howling]]&gt;0,howling_dp_bonus,IF(TblMagic[[#This Row],[Active Ares Call]]&gt;0,ares_call_bonus))</f>
        <v>0</v>
      </c>
      <c r="V134" s="249">
        <f ca="1">TblMili[[#This Row],[Non Draft]] * (1 + TblMili[[#This Row],[Mods_Def]])</f>
        <v>0</v>
      </c>
      <c r="W134" s="247">
        <f ca="1">TblMili[[#This Row],[Draft]] * (1 + TblMili[[#This Row],[Mods_Def]])</f>
        <v>638</v>
      </c>
      <c r="X134" s="247">
        <f ca="1">TblConstr[[#This Row],[Land]]</f>
        <v>50</v>
      </c>
      <c r="Y134" s="250"/>
      <c r="Z134" s="255">
        <f ca="1">IF(TblMili[[#This Row],[Set]]&lt;&gt;"",TblMili[[#This Row],[Set]],OFFSET(TblMili[[#This Row],[Draftrate]],-1,0))</f>
        <v>0.9</v>
      </c>
      <c r="AA134"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638</v>
      </c>
      <c r="AB134" s="154"/>
      <c r="AC134" s="180">
        <f ca="1">(TblConstr[[#This Row],[Tot Smi]]+TblConstr[[#This Row],[Dest Smi]])/(TblConstr[[#This Row],[Land]]-TblExplore[[#This Row],[Land Bonus]]*20)</f>
        <v>0</v>
      </c>
      <c r="AD134" s="137"/>
      <c r="AE134" s="246">
        <f>TblMili[[#This Row],[Hour]]</f>
        <v>131</v>
      </c>
      <c r="AF134" s="138">
        <f ca="1">TblExplore[[#This Row],[Time]]</f>
        <v>46325.416666666351</v>
      </c>
      <c r="AG134" s="179"/>
      <c r="AH134" s="179"/>
      <c r="AI134" s="179"/>
      <c r="AJ134" s="179"/>
      <c r="AK134" s="179"/>
      <c r="AL134" s="179"/>
      <c r="AM134" s="179"/>
      <c r="AN134" s="179"/>
      <c r="AO134" s="420">
        <f ca="1">ROUND(IF(AND(TblMagic[[#This Row],[Active DnD]]&lt;12,TblMagic[[#This Row],[Active DnD]]&gt;5),OFFSET(TblPop[[#This Row],[Draft Growth]],-1,0)*0.375,0),0)</f>
        <v>0</v>
      </c>
      <c r="AP134" s="142"/>
      <c r="AQ134" s="94">
        <f ca="1">TblProd[[#This Row],[Platinum]]</f>
        <v>212640</v>
      </c>
      <c r="AR134" s="94">
        <f ca="1">INDEX(TblProd[[#Headers],[Lumber]]:TblProd[[#This Row],[Ore]],COUNTA(TblProd[[#Headers],[Lumber]]:TblProd[[#This Row],[Lumber]]),MATCH(Military!$AR$2,TblProd[[#Headers],[Lumber]:[Ore]],0))</f>
        <v>0</v>
      </c>
      <c r="AS13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34" s="94">
        <f ca="1">TblMili[[#This Row],[Train Unit 1]]*TblMili[[#This Row],[OP Ore]]+TblMili[[#This Row],[Train Unit 2]]*TblMili[[#This Row],[DP Ore]]+TblMili[[#This Row],[Train Unit 3]]*TblMili[[#This Row],[E1 Ore]]+TblMili[[#This Row],[Train Unit 4]]*TblMili[[#This Row],[E2 Ore]]</f>
        <v>0</v>
      </c>
      <c r="AU134" s="142">
        <f>TblMili[[#This Row],[Hour]]</f>
        <v>131</v>
      </c>
      <c r="AV134" s="152">
        <f ca="1">TblMili[[#This Row],[Time]]</f>
        <v>46325.416666666351</v>
      </c>
      <c r="AW134" s="94">
        <f ca="1">TblMili[[#This Row],[Draftees]]</f>
        <v>638</v>
      </c>
      <c r="AX134" s="179"/>
      <c r="AY134" s="179"/>
      <c r="AZ134" s="179"/>
      <c r="BA134" s="179"/>
      <c r="BB134" s="179"/>
      <c r="BC134" s="179"/>
      <c r="BD134" s="179"/>
      <c r="BE134" s="179"/>
      <c r="BF134" s="179"/>
      <c r="BG134" s="142"/>
      <c r="BH134" s="157">
        <f ca="1">TblConstr[[#This Row],[Tot WG]]/TblConstr[[#This Row],[Land]]</f>
        <v>0</v>
      </c>
      <c r="BI134" s="157">
        <f ca="1">TblConstr[[#This Row],[Tot Hav]]/TblConstr[[#This Row],[Land]]</f>
        <v>0</v>
      </c>
      <c r="BJ134" s="94">
        <f ca="1">ROUNDUP((1-MIN(TblMili[[#This Row],[Smithies]]*smithy_bonus,smithy_bonus_cap) + tech_3_5*TblTech[[#This Row],[3-5]] + tech_5_3*TblTech[[#This Row],[5-3]] + tech_5_5*TblTech[[#This Row],[5-5]])*spec_op_plat,0)</f>
        <v>315</v>
      </c>
      <c r="BK134" s="94">
        <f ca="1">ROUNDUP(IF(race="Gnome",1,(1-MIN(TblMili[[#This Row],[Smithies]]*smithy_bonus,smithy_bonus_cap) + tech_3_5*TblTech[[#This Row],[3-5]] + tech_5_3*TblTech[[#This Row],[5-3]] + tech_5_5*TblTech[[#This Row],[5-5]]))*spec_op_ore,0)</f>
        <v>25</v>
      </c>
      <c r="BL134" s="94">
        <f ca="1">ROUNDUP((1-MIN(TblMili[[#This Row],[Smithies]]*smithy_bonus,smithy_bonus_cap) + tech_3_5*TblTech[[#This Row],[3-5]] + tech_5_3*TblTech[[#This Row],[5-3]] + tech_5_5*TblTech[[#This Row],[5-5]])*spec_dp_plat,0)</f>
        <v>275</v>
      </c>
      <c r="BM134" s="94">
        <f ca="1">ROUNDUP(IF(race="Gnome",1,(1-MIN(TblMili[[#This Row],[Smithies]]*smithy_bonus,smithy_bonus_cap) + tech_3_5*TblTech[[#This Row],[3-5]] + tech_5_3*TblTech[[#This Row],[5-3]] + tech_5_5*TblTech[[#This Row],[5-5]]))*spec_dp_ore,0)</f>
        <v>15</v>
      </c>
      <c r="BN134" s="94">
        <f ca="1">ROUNDUP((1-MIN(TblMili[[#This Row],[Smithies]]*smithy_bonus,smithy_bonus_cap) + tech_3_5*TblTech[[#This Row],[3-5]] + tech_5_3*TblTech[[#This Row],[5-3]] + tech_5_5*TblTech[[#This Row],[5-5]])*elite1_plat,0)</f>
        <v>1040</v>
      </c>
      <c r="BO134" s="94">
        <f ca="1">ROUNDUP(IF(race="Gnome",1,(1-MIN(TblMili[[#This Row],[Smithies]]*smithy_bonus,smithy_bonus_cap) + tech_3_5*TblTech[[#This Row],[3-5]] + tech_5_3*TblTech[[#This Row],[5-3]] + tech_5_5*TblTech[[#This Row],[5-5]]))*elite1_ore,0)</f>
        <v>75</v>
      </c>
      <c r="BP134" s="94">
        <f ca="1">ROUNDUP((1-MIN(TblMili[[#This Row],[Smithies]]*smithy_bonus,smithy_bonus_cap) + tech_3_5*TblTech[[#This Row],[3-5]] + tech_5_3*TblTech[[#This Row],[5-3]] + tech_5_5*TblTech[[#This Row],[5-5]])*elite2_plat,0)</f>
        <v>1280</v>
      </c>
      <c r="BQ134" s="94">
        <f ca="1">ROUNDUP(IF(race="Gnome",1,(1-MIN(TblMili[[#This Row],[Smithies]]*smithy_bonus,smithy_bonus_cap) + tech_3_5*TblTech[[#This Row],[3-5]] + tech_5_3*TblTech[[#This Row],[5-3]] + tech_5_5*TblTech[[#This Row],[5-5]]))*elite2_ore,0)</f>
        <v>100</v>
      </c>
      <c r="BR134" s="94">
        <f ca="1">ROUNDUP((1-MIN(ROUND(fh_spy_cost_red*TblMili[[#This Row],[FH''s]],4),fh_spy_cost_cap)+ tech_1_9*TblTech[[#This Row],[1-9]] + tech_9_1*TblTech[[#This Row],[9-1]])*spy_plat,0)</f>
        <v>500</v>
      </c>
      <c r="BS134" s="94">
        <f ca="1">ROUNDUP((1-MIN(ROUND(fh_spy_cost_red*TblMili[[#This Row],[FH''s]],4),fh_spy_cost_cap)+ tech_1_9*TblTech[[#This Row],[1-9]] + tech_9_1*TblTech[[#This Row],[9-1]])*archspy_plat,0)</f>
        <v>1000</v>
      </c>
      <c r="BT134" s="94">
        <f ca="1">ROUNDUP((1-MIN(ROUND(wg_wiz_cost_bonus*TblMili[[#This Row],[WG''s]],4),wg_wiz_cost_cap) + tech_1_9_2*TblTech[[#This Row],[1-9]] + tech_9_1_2*TblTech[[#This Row],[9-1]])*wizard_plat,0)</f>
        <v>500</v>
      </c>
      <c r="BU134" s="94">
        <f ca="1">ROUNDUP((1-MIN(ROUND(wg_wiz_cost_bonus*TblMili[[#This Row],[WG''s]],4),wg_wiz_cost_cap) + tech_1_9_2*TblTech[[#This Row],[1-9]] + tech_9_1_2*TblTech[[#This Row],[9-1]])*(archmage_plat + IF(TblMagic[[#This Row],[Active Arc Infusion]]&gt;0,400,0)),0)</f>
        <v>1000</v>
      </c>
      <c r="BV134" s="142"/>
      <c r="BW134" s="157">
        <f ca="1">TblConstr[[#This Row],[Homeland]]/TblConstr[[#This Row],[Land]]</f>
        <v>0.6</v>
      </c>
      <c r="BX134" s="157">
        <f ca="1">TblMili[[#This Row],[WG''s]]</f>
        <v>0</v>
      </c>
      <c r="BY134" s="251">
        <f ca="1">IF(mystic_cap="none",TblMili[[#This Row],[Homeland%]]/mystic_bonus,MIN(mystic_cap,TblMili[[#This Row],[Homeland%]]/mystic_bonus))</f>
        <v>2</v>
      </c>
      <c r="BZ134" s="251">
        <f ca="1">IF(druid_op_cap="none",TblMili[[#This Row],[Homeland%]]/druid_op_bonus,MIN(druid_op_cap,TblMili[[#This Row],[Homeland%]]/druid_op_bonus))</f>
        <v>2</v>
      </c>
      <c r="CA134" s="251">
        <f ca="1">IF(druid_dp_cap="none",TblMili[[#This Row],[Homeland%]]/druid_dp_bonus,MIN(druid_dp_cap,TblMili[[#This Row],[Homeland%]]/druid_dp_bonus))</f>
        <v>2</v>
      </c>
      <c r="CB134" s="251">
        <f ca="1">MIN(dryad_cap,TblMili[[#This Row],[Homeland%]]/dryad_bonus)</f>
        <v>2.9999999999999996</v>
      </c>
      <c r="CC134" s="251">
        <f ca="1">MIN(rocka_cap,TblMili[[#This Row],[Homeland%]]/rocka_bonus)</f>
        <v>2</v>
      </c>
      <c r="CD134" s="251">
        <f ca="1">MIN(adept_op_cap,TblMili[[#This Row],[WG]]/adept_op_bonus)</f>
        <v>0</v>
      </c>
      <c r="CE134" s="251">
        <f ca="1">MIN(adept_dp_cap,TblMili[[#This Row],[WG]]/adept_dp_bonus)</f>
        <v>0</v>
      </c>
      <c r="CF134" s="94">
        <f ca="1">MIN(TblMili[[#This Row],[Unit 3]],TblMili[[#This Row],[Unit 2]])*2</f>
        <v>0</v>
      </c>
      <c r="CG134" s="94">
        <f ca="1">MIN(TblMili[[#This Row],[Unit 1]],TblMili[[#This Row],[Unit 4]])*2</f>
        <v>0</v>
      </c>
      <c r="CH134" s="251">
        <f ca="1">MIN(frost_mage_cap,TblMili[[#This Row],[Homeland%]]/frost_mage_bonus)</f>
        <v>2.9999999999999996</v>
      </c>
      <c r="CI134" s="45">
        <f ca="1">MIN(ice_elem_cap,TblMili[[#This Row],[Raw (2)]]*ice_elem_bonus)</f>
        <v>0</v>
      </c>
      <c r="CJ134" s="251">
        <f t="shared" si="4"/>
        <v>0.83333333333333337</v>
      </c>
      <c r="CK134" s="251">
        <f ca="1">MIN(nox_nightshade_cap,TblConstr[[#This Row],[Homeland]]/TblConstr[[#This Row],[Land]]/nox_nightshade_swamp_bonus)</f>
        <v>4</v>
      </c>
      <c r="CL134" s="251">
        <f ca="1">MIN(TblConstr[[#This Row],[Total Swamp]]/TblConstr[[#This Row],[Land]]/abyss_enforce_bonus,abyss_enforcer_cap)</f>
        <v>0</v>
      </c>
      <c r="CM134" s="251">
        <f ca="1">IF(TblMagic[[#This Row],[Active Infernal Command]]&gt;0,TblMili[[#This Row],[Unit 1]]*infernal_cmd_op,0)</f>
        <v>0</v>
      </c>
      <c r="CN134" s="252"/>
      <c r="CO134" s="252"/>
      <c r="CP134" s="252"/>
      <c r="CQ134" s="251">
        <f ca="1">TblMili[[#This Row],[Mystic]]*2</f>
        <v>4</v>
      </c>
      <c r="CR134" s="251">
        <f ca="1">TblMili[[#This Row],[Druid (op)]]*2</f>
        <v>4</v>
      </c>
      <c r="CS134" s="94">
        <f ca="1">TblMili[[#This Row],[Mystic bonus]]*TblMili[[#This Row],[Unit 3]]+TblMili[[#This Row],[Druid bonus]]*TblMili[[#This Row],[Unit 4]]</f>
        <v>0</v>
      </c>
      <c r="CT134" s="155">
        <f ca="1">TblMili[[#This Row],[Dryad]]*2</f>
        <v>5.9999999999999991</v>
      </c>
      <c r="CU134" s="94">
        <f ca="1">sylvan*(TblMili[[#This Row],[Mystic bonus]]*TblMili[[#This Row],[Unit 3]])</f>
        <v>0</v>
      </c>
      <c r="CV134" s="155">
        <f ca="1">TblMili[[#This Row],[Rockapult]]*2</f>
        <v>4</v>
      </c>
      <c r="CW134" s="94">
        <f ca="1">gnome*(TblMili[[#This Row],[Rockapult bonus]]*TblMili[[#This Row],[Unit 3]])</f>
        <v>0</v>
      </c>
      <c r="CX134" s="155">
        <f ca="1">TblMili[[#This Row],[Adept-DP]]*2</f>
        <v>0</v>
      </c>
      <c r="CY134" s="94">
        <f ca="1">dark_elf*(TblMili[[#This Row],[Adept bonus]]*TblMili[[#This Row],[Unit 3]])</f>
        <v>0</v>
      </c>
      <c r="CZ134" s="155">
        <f ca="1">TblMili[[#This Row],[Frost Mage]]*2</f>
        <v>5.9999999999999991</v>
      </c>
      <c r="DA134" s="155">
        <f ca="1">TblMili[[#This Row],[Ice Elemental]]*2</f>
        <v>0</v>
      </c>
      <c r="DB134" s="94">
        <f ca="1">TblMili[[#This Row],[Frost Mage bonus]]*TblMili[[#This Row],[Unit 3]]+TblMili[[#This Row],[Ice Elemental bonus]]*TblMili[[#This Row],[Unit 4]]</f>
        <v>0</v>
      </c>
      <c r="DC134" s="253"/>
      <c r="DD134" s="143">
        <f ca="1">MIN(SUM(TblConstr[[#This Row],[Plain]:[Water]])/TblMili[[#This Row],[Land]]/favorable_terrain_bonus/100,favorable_terrain_max)</f>
        <v>0</v>
      </c>
      <c r="DE134" s="253"/>
      <c r="DF13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4" s="142"/>
      <c r="DH134" s="254">
        <f ca="1">(TblMili[[#This Row],[Wizards]]+2*TblMili[[#This Row],[Archmages]])/TblConstr[[#This Row],[Land]]</f>
        <v>0</v>
      </c>
      <c r="DI134" s="254">
        <f ca="1">TblMili[[#This Row],[Raw (2)]]*(1+race_wizard_strength+IF(TblMili[[#This Row],[Hour]]&gt;72,tech_magical_weaponry_wiz*TblTech[[#This Row],[3-5]],0))</f>
        <v>0</v>
      </c>
    </row>
    <row r="135" spans="1:113" x14ac:dyDescent="0.2">
      <c r="A135" s="137">
        <f>TblRezone[[#This Row],[Hour]]</f>
        <v>132</v>
      </c>
      <c r="B135" s="246">
        <f ca="1">SUM(TblMili[[#This Row],[Unit 1]:[Archmages]])+SUM(OFFSET(TblMili[[#This Row],[Train Unit 1]],-8,0):TblMili[[#This Row],[Train Unit 2]]) + SUM(OFFSET(TblMili[[#This Row],[Train Unit 3]],-11,0):TblMili[[#This Row],[Train AM]]) + TblMili[[#This Row],[Draftees]]</f>
        <v>639</v>
      </c>
      <c r="C135" s="157">
        <f ca="1">TblPop[[#This Row],[Military%]]</f>
        <v>0.83094928478543562</v>
      </c>
      <c r="D135" s="142"/>
      <c r="E135" s="45">
        <f ca="1">OFFSET(TblMili[[#This Row],[Unit 1]],-1,0) + OFFSET(TblMili[[#This Row],[Train Unit 1]],-9,0) - TblMili[[#This Row],[Release Unit 1]] + OFFSET(TblMili[[#This Row],[DnD_Zombies]],-12,0)</f>
        <v>0</v>
      </c>
      <c r="F135" s="45">
        <f ca="1">OFFSET(TblMili[[#This Row],[Unit 2]],-1,0) + OFFSET(TblMili[[#This Row],[Train Unit 2]],-9,0)-TblMili[[#This Row],[Release Unit 2]]</f>
        <v>0</v>
      </c>
      <c r="G135" s="45">
        <f ca="1">OFFSET(TblMili[[#This Row],[Unit 3]],-1,0) + OFFSET(TblMili[[#This Row],[Train Unit 3]],-12,0)-TblMili[[#This Row],[Release Unit 3]]</f>
        <v>0</v>
      </c>
      <c r="H135" s="45">
        <f ca="1">OFFSET(TblMili[[#This Row],[Unit 4]],-1,0) + OFFSET(TblMili[[#This Row],[Train Unit 4]],-12,0)-TblMili[[#This Row],[Release Unit 4]]</f>
        <v>0</v>
      </c>
      <c r="I135" s="45">
        <f ca="1">OFFSET(TblMili[[#This Row],[Spies]],-1,0) + OFFSET(TblMili[[#This Row],[Train Spies]],-12,0) - TblMili[[#This Row],[Release Spies]]-TblMili[[#This Row],[Train AS]]</f>
        <v>0</v>
      </c>
      <c r="J135" s="45">
        <f ca="1">OFFSET(TblMili[[#This Row],[Archspies]],-1,0) + OFFSET(TblMili[[#This Row],[Train AS]],-12,0) - TblMili[[#This Row],[Release AS]]</f>
        <v>0</v>
      </c>
      <c r="K135" s="45">
        <f ca="1">OFFSET(TblMili[[#This Row],[Wizards]],-1,0) + OFFSET(TblMili[[#This Row],[Train Wiz]],-12,0) - TblMili[[#This Row],[Release Wizards]]-TblMili[[#This Row],[Train AM]] + IF(TblMagic[[#This Row],[Active Arc Infusion]]&gt;0,TblMili[[#This Row],[Train AM]])</f>
        <v>0</v>
      </c>
      <c r="L135" s="45">
        <f ca="1">OFFSET(TblMili[[#This Row],[Archmages]],-1,0) + OFFSET(TblMili[[#This Row],[Train AM]],-12,0) - TblMili[[#This Row],[Release AM]]</f>
        <v>0</v>
      </c>
      <c r="M135" s="142"/>
      <c r="N135" s="94">
        <f ca="1">TblProd[[#This Row],[Networth]]</f>
        <v>1250</v>
      </c>
      <c r="O135" s="142"/>
      <c r="P135"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3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5" s="247">
        <f ca="1">TblMili[[#This Row],[Raw]]*(1+TblMili[[#This Row],[Mods_Off]])</f>
        <v>0</v>
      </c>
      <c r="S135"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35" s="247">
        <f ca="1">TblMili[[#This Row],[Non Draft]]+TblMili[[#This Row],[Draftees]]</f>
        <v>639</v>
      </c>
      <c r="U135" s="248">
        <f ca="1">race_defense + TblImps[[#This Row],[Walls]] + ROUND( MIN(gt_bonus*TblConstr[[#This Row],[Tot GT]]/TblConstr[[#This Row],[Land]],gt_bonus_cap), 4) + IF(TblMagic[[#This Row],[Active Howling]]&gt;0,howling_dp_bonus,IF(TblMagic[[#This Row],[Active Ares Call]]&gt;0,ares_call_bonus))</f>
        <v>0</v>
      </c>
      <c r="V135" s="249">
        <f ca="1">TblMili[[#This Row],[Non Draft]] * (1 + TblMili[[#This Row],[Mods_Def]])</f>
        <v>0</v>
      </c>
      <c r="W135" s="247">
        <f ca="1">TblMili[[#This Row],[Draft]] * (1 + TblMili[[#This Row],[Mods_Def]])</f>
        <v>639</v>
      </c>
      <c r="X135" s="247">
        <f ca="1">TblConstr[[#This Row],[Land]]</f>
        <v>50</v>
      </c>
      <c r="Y135" s="250"/>
      <c r="Z135" s="255">
        <f ca="1">IF(TblMili[[#This Row],[Set]]&lt;&gt;"",TblMili[[#This Row],[Set]],OFFSET(TblMili[[#This Row],[Draftrate]],-1,0))</f>
        <v>0.9</v>
      </c>
      <c r="AA135"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639</v>
      </c>
      <c r="AB135" s="154"/>
      <c r="AC135" s="180">
        <f ca="1">(TblConstr[[#This Row],[Tot Smi]]+TblConstr[[#This Row],[Dest Smi]])/(TblConstr[[#This Row],[Land]]-TblExplore[[#This Row],[Land Bonus]]*20)</f>
        <v>0</v>
      </c>
      <c r="AD135" s="137"/>
      <c r="AE135" s="246">
        <f>TblMili[[#This Row],[Hour]]</f>
        <v>132</v>
      </c>
      <c r="AF135" s="138">
        <f ca="1">TblExplore[[#This Row],[Time]]</f>
        <v>46325.458333333016</v>
      </c>
      <c r="AG135" s="179"/>
      <c r="AH135" s="179"/>
      <c r="AI135" s="179"/>
      <c r="AJ135" s="179"/>
      <c r="AK135" s="179"/>
      <c r="AL135" s="179"/>
      <c r="AM135" s="179"/>
      <c r="AN135" s="179"/>
      <c r="AO135" s="420">
        <f ca="1">ROUND(IF(AND(TblMagic[[#This Row],[Active DnD]]&lt;12,TblMagic[[#This Row],[Active DnD]]&gt;5),OFFSET(TblPop[[#This Row],[Draft Growth]],-1,0)*0.375,0),0)</f>
        <v>0</v>
      </c>
      <c r="AP135" s="142"/>
      <c r="AQ135" s="94">
        <f ca="1">TblProd[[#This Row],[Platinum]]</f>
        <v>212993</v>
      </c>
      <c r="AR135" s="94">
        <f ca="1">INDEX(TblProd[[#Headers],[Lumber]]:TblProd[[#This Row],[Ore]],COUNTA(TblProd[[#Headers],[Lumber]]:TblProd[[#This Row],[Lumber]]),MATCH(Military!$AR$2,TblProd[[#Headers],[Lumber]:[Ore]],0))</f>
        <v>0</v>
      </c>
      <c r="AS13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35" s="94">
        <f ca="1">TblMili[[#This Row],[Train Unit 1]]*TblMili[[#This Row],[OP Ore]]+TblMili[[#This Row],[Train Unit 2]]*TblMili[[#This Row],[DP Ore]]+TblMili[[#This Row],[Train Unit 3]]*TblMili[[#This Row],[E1 Ore]]+TblMili[[#This Row],[Train Unit 4]]*TblMili[[#This Row],[E2 Ore]]</f>
        <v>0</v>
      </c>
      <c r="AU135" s="142">
        <f>TblMili[[#This Row],[Hour]]</f>
        <v>132</v>
      </c>
      <c r="AV135" s="152">
        <f ca="1">TblMili[[#This Row],[Time]]</f>
        <v>46325.458333333016</v>
      </c>
      <c r="AW135" s="94">
        <f ca="1">TblMili[[#This Row],[Draftees]]</f>
        <v>639</v>
      </c>
      <c r="AX135" s="179"/>
      <c r="AY135" s="179"/>
      <c r="AZ135" s="179"/>
      <c r="BA135" s="179"/>
      <c r="BB135" s="179"/>
      <c r="BC135" s="179"/>
      <c r="BD135" s="179"/>
      <c r="BE135" s="179"/>
      <c r="BF135" s="179"/>
      <c r="BG135" s="142"/>
      <c r="BH135" s="157">
        <f ca="1">TblConstr[[#This Row],[Tot WG]]/TblConstr[[#This Row],[Land]]</f>
        <v>0</v>
      </c>
      <c r="BI135" s="157">
        <f ca="1">TblConstr[[#This Row],[Tot Hav]]/TblConstr[[#This Row],[Land]]</f>
        <v>0</v>
      </c>
      <c r="BJ135" s="94">
        <f ca="1">ROUNDUP((1-MIN(TblMili[[#This Row],[Smithies]]*smithy_bonus,smithy_bonus_cap) + tech_3_5*TblTech[[#This Row],[3-5]] + tech_5_3*TblTech[[#This Row],[5-3]] + tech_5_5*TblTech[[#This Row],[5-5]])*spec_op_plat,0)</f>
        <v>315</v>
      </c>
      <c r="BK135" s="94">
        <f ca="1">ROUNDUP(IF(race="Gnome",1,(1-MIN(TblMili[[#This Row],[Smithies]]*smithy_bonus,smithy_bonus_cap) + tech_3_5*TblTech[[#This Row],[3-5]] + tech_5_3*TblTech[[#This Row],[5-3]] + tech_5_5*TblTech[[#This Row],[5-5]]))*spec_op_ore,0)</f>
        <v>25</v>
      </c>
      <c r="BL135" s="94">
        <f ca="1">ROUNDUP((1-MIN(TblMili[[#This Row],[Smithies]]*smithy_bonus,smithy_bonus_cap) + tech_3_5*TblTech[[#This Row],[3-5]] + tech_5_3*TblTech[[#This Row],[5-3]] + tech_5_5*TblTech[[#This Row],[5-5]])*spec_dp_plat,0)</f>
        <v>275</v>
      </c>
      <c r="BM135" s="94">
        <f ca="1">ROUNDUP(IF(race="Gnome",1,(1-MIN(TblMili[[#This Row],[Smithies]]*smithy_bonus,smithy_bonus_cap) + tech_3_5*TblTech[[#This Row],[3-5]] + tech_5_3*TblTech[[#This Row],[5-3]] + tech_5_5*TblTech[[#This Row],[5-5]]))*spec_dp_ore,0)</f>
        <v>15</v>
      </c>
      <c r="BN135" s="94">
        <f ca="1">ROUNDUP((1-MIN(TblMili[[#This Row],[Smithies]]*smithy_bonus,smithy_bonus_cap) + tech_3_5*TblTech[[#This Row],[3-5]] + tech_5_3*TblTech[[#This Row],[5-3]] + tech_5_5*TblTech[[#This Row],[5-5]])*elite1_plat,0)</f>
        <v>1040</v>
      </c>
      <c r="BO135" s="94">
        <f ca="1">ROUNDUP(IF(race="Gnome",1,(1-MIN(TblMili[[#This Row],[Smithies]]*smithy_bonus,smithy_bonus_cap) + tech_3_5*TblTech[[#This Row],[3-5]] + tech_5_3*TblTech[[#This Row],[5-3]] + tech_5_5*TblTech[[#This Row],[5-5]]))*elite1_ore,0)</f>
        <v>75</v>
      </c>
      <c r="BP135" s="94">
        <f ca="1">ROUNDUP((1-MIN(TblMili[[#This Row],[Smithies]]*smithy_bonus,smithy_bonus_cap) + tech_3_5*TblTech[[#This Row],[3-5]] + tech_5_3*TblTech[[#This Row],[5-3]] + tech_5_5*TblTech[[#This Row],[5-5]])*elite2_plat,0)</f>
        <v>1280</v>
      </c>
      <c r="BQ135" s="94">
        <f ca="1">ROUNDUP(IF(race="Gnome",1,(1-MIN(TblMili[[#This Row],[Smithies]]*smithy_bonus,smithy_bonus_cap) + tech_3_5*TblTech[[#This Row],[3-5]] + tech_5_3*TblTech[[#This Row],[5-3]] + tech_5_5*TblTech[[#This Row],[5-5]]))*elite2_ore,0)</f>
        <v>100</v>
      </c>
      <c r="BR135" s="94">
        <f ca="1">ROUNDUP((1-MIN(ROUND(fh_spy_cost_red*TblMili[[#This Row],[FH''s]],4),fh_spy_cost_cap)+ tech_1_9*TblTech[[#This Row],[1-9]] + tech_9_1*TblTech[[#This Row],[9-1]])*spy_plat,0)</f>
        <v>500</v>
      </c>
      <c r="BS135" s="94">
        <f ca="1">ROUNDUP((1-MIN(ROUND(fh_spy_cost_red*TblMili[[#This Row],[FH''s]],4),fh_spy_cost_cap)+ tech_1_9*TblTech[[#This Row],[1-9]] + tech_9_1*TblTech[[#This Row],[9-1]])*archspy_plat,0)</f>
        <v>1000</v>
      </c>
      <c r="BT135" s="94">
        <f ca="1">ROUNDUP((1-MIN(ROUND(wg_wiz_cost_bonus*TblMili[[#This Row],[WG''s]],4),wg_wiz_cost_cap) + tech_1_9_2*TblTech[[#This Row],[1-9]] + tech_9_1_2*TblTech[[#This Row],[9-1]])*wizard_plat,0)</f>
        <v>500</v>
      </c>
      <c r="BU135" s="94">
        <f ca="1">ROUNDUP((1-MIN(ROUND(wg_wiz_cost_bonus*TblMili[[#This Row],[WG''s]],4),wg_wiz_cost_cap) + tech_1_9_2*TblTech[[#This Row],[1-9]] + tech_9_1_2*TblTech[[#This Row],[9-1]])*(archmage_plat + IF(TblMagic[[#This Row],[Active Arc Infusion]]&gt;0,400,0)),0)</f>
        <v>1000</v>
      </c>
      <c r="BV135" s="142"/>
      <c r="BW135" s="157">
        <f ca="1">TblConstr[[#This Row],[Homeland]]/TblConstr[[#This Row],[Land]]</f>
        <v>0.6</v>
      </c>
      <c r="BX135" s="157">
        <f ca="1">TblMili[[#This Row],[WG''s]]</f>
        <v>0</v>
      </c>
      <c r="BY135" s="251">
        <f ca="1">IF(mystic_cap="none",TblMili[[#This Row],[Homeland%]]/mystic_bonus,MIN(mystic_cap,TblMili[[#This Row],[Homeland%]]/mystic_bonus))</f>
        <v>2</v>
      </c>
      <c r="BZ135" s="251">
        <f ca="1">IF(druid_op_cap="none",TblMili[[#This Row],[Homeland%]]/druid_op_bonus,MIN(druid_op_cap,TblMili[[#This Row],[Homeland%]]/druid_op_bonus))</f>
        <v>2</v>
      </c>
      <c r="CA135" s="251">
        <f ca="1">IF(druid_dp_cap="none",TblMili[[#This Row],[Homeland%]]/druid_dp_bonus,MIN(druid_dp_cap,TblMili[[#This Row],[Homeland%]]/druid_dp_bonus))</f>
        <v>2</v>
      </c>
      <c r="CB135" s="251">
        <f ca="1">MIN(dryad_cap,TblMili[[#This Row],[Homeland%]]/dryad_bonus)</f>
        <v>2.9999999999999996</v>
      </c>
      <c r="CC135" s="251">
        <f ca="1">MIN(rocka_cap,TblMili[[#This Row],[Homeland%]]/rocka_bonus)</f>
        <v>2</v>
      </c>
      <c r="CD135" s="251">
        <f ca="1">MIN(adept_op_cap,TblMili[[#This Row],[WG]]/adept_op_bonus)</f>
        <v>0</v>
      </c>
      <c r="CE135" s="251">
        <f ca="1">MIN(adept_dp_cap,TblMili[[#This Row],[WG]]/adept_dp_bonus)</f>
        <v>0</v>
      </c>
      <c r="CF135" s="94">
        <f ca="1">MIN(TblMili[[#This Row],[Unit 3]],TblMili[[#This Row],[Unit 2]])*2</f>
        <v>0</v>
      </c>
      <c r="CG135" s="94">
        <f ca="1">MIN(TblMili[[#This Row],[Unit 1]],TblMili[[#This Row],[Unit 4]])*2</f>
        <v>0</v>
      </c>
      <c r="CH135" s="251">
        <f ca="1">MIN(frost_mage_cap,TblMili[[#This Row],[Homeland%]]/frost_mage_bonus)</f>
        <v>2.9999999999999996</v>
      </c>
      <c r="CI135" s="45">
        <f ca="1">MIN(ice_elem_cap,TblMili[[#This Row],[Raw (2)]]*ice_elem_bonus)</f>
        <v>0</v>
      </c>
      <c r="CJ135" s="251">
        <f t="shared" si="4"/>
        <v>0.83333333333333337</v>
      </c>
      <c r="CK135" s="251">
        <f ca="1">MIN(nox_nightshade_cap,TblConstr[[#This Row],[Homeland]]/TblConstr[[#This Row],[Land]]/nox_nightshade_swamp_bonus)</f>
        <v>4</v>
      </c>
      <c r="CL135" s="251">
        <f ca="1">MIN(TblConstr[[#This Row],[Total Swamp]]/TblConstr[[#This Row],[Land]]/abyss_enforce_bonus,abyss_enforcer_cap)</f>
        <v>0</v>
      </c>
      <c r="CM135" s="251">
        <f ca="1">IF(TblMagic[[#This Row],[Active Infernal Command]]&gt;0,TblMili[[#This Row],[Unit 1]]*infernal_cmd_op,0)</f>
        <v>0</v>
      </c>
      <c r="CN135" s="252"/>
      <c r="CO135" s="252"/>
      <c r="CP135" s="252"/>
      <c r="CQ135" s="251">
        <f ca="1">TblMili[[#This Row],[Mystic]]*2</f>
        <v>4</v>
      </c>
      <c r="CR135" s="251">
        <f ca="1">TblMili[[#This Row],[Druid (op)]]*2</f>
        <v>4</v>
      </c>
      <c r="CS135" s="94">
        <f ca="1">TblMili[[#This Row],[Mystic bonus]]*TblMili[[#This Row],[Unit 3]]+TblMili[[#This Row],[Druid bonus]]*TblMili[[#This Row],[Unit 4]]</f>
        <v>0</v>
      </c>
      <c r="CT135" s="155">
        <f ca="1">TblMili[[#This Row],[Dryad]]*2</f>
        <v>5.9999999999999991</v>
      </c>
      <c r="CU135" s="94">
        <f ca="1">sylvan*(TblMili[[#This Row],[Mystic bonus]]*TblMili[[#This Row],[Unit 3]])</f>
        <v>0</v>
      </c>
      <c r="CV135" s="155">
        <f ca="1">TblMili[[#This Row],[Rockapult]]*2</f>
        <v>4</v>
      </c>
      <c r="CW135" s="94">
        <f ca="1">gnome*(TblMili[[#This Row],[Rockapult bonus]]*TblMili[[#This Row],[Unit 3]])</f>
        <v>0</v>
      </c>
      <c r="CX135" s="155">
        <f ca="1">TblMili[[#This Row],[Adept-DP]]*2</f>
        <v>0</v>
      </c>
      <c r="CY135" s="94">
        <f ca="1">dark_elf*(TblMili[[#This Row],[Adept bonus]]*TblMili[[#This Row],[Unit 3]])</f>
        <v>0</v>
      </c>
      <c r="CZ135" s="155">
        <f ca="1">TblMili[[#This Row],[Frost Mage]]*2</f>
        <v>5.9999999999999991</v>
      </c>
      <c r="DA135" s="155">
        <f ca="1">TblMili[[#This Row],[Ice Elemental]]*2</f>
        <v>0</v>
      </c>
      <c r="DB135" s="94">
        <f ca="1">TblMili[[#This Row],[Frost Mage bonus]]*TblMili[[#This Row],[Unit 3]]+TblMili[[#This Row],[Ice Elemental bonus]]*TblMili[[#This Row],[Unit 4]]</f>
        <v>0</v>
      </c>
      <c r="DC135" s="253"/>
      <c r="DD135" s="143">
        <f ca="1">MIN(SUM(TblConstr[[#This Row],[Plain]:[Water]])/TblMili[[#This Row],[Land]]/favorable_terrain_bonus/100,favorable_terrain_max)</f>
        <v>0</v>
      </c>
      <c r="DE135" s="253"/>
      <c r="DF13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5" s="142"/>
      <c r="DH135" s="254">
        <f ca="1">(TblMili[[#This Row],[Wizards]]+2*TblMili[[#This Row],[Archmages]])/TblConstr[[#This Row],[Land]]</f>
        <v>0</v>
      </c>
      <c r="DI135" s="254">
        <f ca="1">TblMili[[#This Row],[Raw (2)]]*(1+race_wizard_strength+IF(TblMili[[#This Row],[Hour]]&gt;72,tech_magical_weaponry_wiz*TblTech[[#This Row],[3-5]],0))</f>
        <v>0</v>
      </c>
    </row>
    <row r="136" spans="1:113" x14ac:dyDescent="0.2">
      <c r="A136" s="137">
        <f>TblRezone[[#This Row],[Hour]]</f>
        <v>133</v>
      </c>
      <c r="B136" s="246">
        <f ca="1">SUM(TblMili[[#This Row],[Unit 1]:[Archmages]])+SUM(OFFSET(TblMili[[#This Row],[Train Unit 1]],-8,0):TblMili[[#This Row],[Train Unit 2]]) + SUM(OFFSET(TblMili[[#This Row],[Train Unit 3]],-11,0):TblMili[[#This Row],[Train AM]]) + TblMili[[#This Row],[Draftees]]</f>
        <v>640</v>
      </c>
      <c r="C136" s="157">
        <f ca="1">TblPop[[#This Row],[Military%]]</f>
        <v>0.8322496749024707</v>
      </c>
      <c r="D136" s="142"/>
      <c r="E136" s="45">
        <f ca="1">OFFSET(TblMili[[#This Row],[Unit 1]],-1,0) + OFFSET(TblMili[[#This Row],[Train Unit 1]],-9,0) - TblMili[[#This Row],[Release Unit 1]] + OFFSET(TblMili[[#This Row],[DnD_Zombies]],-12,0)</f>
        <v>0</v>
      </c>
      <c r="F136" s="45">
        <f ca="1">OFFSET(TblMili[[#This Row],[Unit 2]],-1,0) + OFFSET(TblMili[[#This Row],[Train Unit 2]],-9,0)-TblMili[[#This Row],[Release Unit 2]]</f>
        <v>0</v>
      </c>
      <c r="G136" s="45">
        <f ca="1">OFFSET(TblMili[[#This Row],[Unit 3]],-1,0) + OFFSET(TblMili[[#This Row],[Train Unit 3]],-12,0)-TblMili[[#This Row],[Release Unit 3]]</f>
        <v>0</v>
      </c>
      <c r="H136" s="45">
        <f ca="1">OFFSET(TblMili[[#This Row],[Unit 4]],-1,0) + OFFSET(TblMili[[#This Row],[Train Unit 4]],-12,0)-TblMili[[#This Row],[Release Unit 4]]</f>
        <v>0</v>
      </c>
      <c r="I136" s="45">
        <f ca="1">OFFSET(TblMili[[#This Row],[Spies]],-1,0) + OFFSET(TblMili[[#This Row],[Train Spies]],-12,0) - TblMili[[#This Row],[Release Spies]]-TblMili[[#This Row],[Train AS]]</f>
        <v>0</v>
      </c>
      <c r="J136" s="45">
        <f ca="1">OFFSET(TblMili[[#This Row],[Archspies]],-1,0) + OFFSET(TblMili[[#This Row],[Train AS]],-12,0) - TblMili[[#This Row],[Release AS]]</f>
        <v>0</v>
      </c>
      <c r="K136" s="45">
        <f ca="1">OFFSET(TblMili[[#This Row],[Wizards]],-1,0) + OFFSET(TblMili[[#This Row],[Train Wiz]],-12,0) - TblMili[[#This Row],[Release Wizards]]-TblMili[[#This Row],[Train AM]] + IF(TblMagic[[#This Row],[Active Arc Infusion]]&gt;0,TblMili[[#This Row],[Train AM]])</f>
        <v>0</v>
      </c>
      <c r="L136" s="45">
        <f ca="1">OFFSET(TblMili[[#This Row],[Archmages]],-1,0) + OFFSET(TblMili[[#This Row],[Train AM]],-12,0) - TblMili[[#This Row],[Release AM]]</f>
        <v>0</v>
      </c>
      <c r="M136" s="142"/>
      <c r="N136" s="94">
        <f ca="1">TblProd[[#This Row],[Networth]]</f>
        <v>1250</v>
      </c>
      <c r="O136" s="142"/>
      <c r="P136"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3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6" s="247">
        <f ca="1">TblMili[[#This Row],[Raw]]*(1+TblMili[[#This Row],[Mods_Off]])</f>
        <v>0</v>
      </c>
      <c r="S136"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36" s="247">
        <f ca="1">TblMili[[#This Row],[Non Draft]]+TblMili[[#This Row],[Draftees]]</f>
        <v>640</v>
      </c>
      <c r="U136" s="248">
        <f ca="1">race_defense + TblImps[[#This Row],[Walls]] + ROUND( MIN(gt_bonus*TblConstr[[#This Row],[Tot GT]]/TblConstr[[#This Row],[Land]],gt_bonus_cap), 4) + IF(TblMagic[[#This Row],[Active Howling]]&gt;0,howling_dp_bonus,IF(TblMagic[[#This Row],[Active Ares Call]]&gt;0,ares_call_bonus))</f>
        <v>0</v>
      </c>
      <c r="V136" s="249">
        <f ca="1">TblMili[[#This Row],[Non Draft]] * (1 + TblMili[[#This Row],[Mods_Def]])</f>
        <v>0</v>
      </c>
      <c r="W136" s="247">
        <f ca="1">TblMili[[#This Row],[Draft]] * (1 + TblMili[[#This Row],[Mods_Def]])</f>
        <v>640</v>
      </c>
      <c r="X136" s="247">
        <f ca="1">TblConstr[[#This Row],[Land]]</f>
        <v>50</v>
      </c>
      <c r="Y136" s="250"/>
      <c r="Z136" s="255">
        <f ca="1">IF(TblMili[[#This Row],[Set]]&lt;&gt;"",TblMili[[#This Row],[Set]],OFFSET(TblMili[[#This Row],[Draftrate]],-1,0))</f>
        <v>0.9</v>
      </c>
      <c r="AA136"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640</v>
      </c>
      <c r="AB136" s="154"/>
      <c r="AC136" s="180">
        <f ca="1">(TblConstr[[#This Row],[Tot Smi]]+TblConstr[[#This Row],[Dest Smi]])/(TblConstr[[#This Row],[Land]]-TblExplore[[#This Row],[Land Bonus]]*20)</f>
        <v>0</v>
      </c>
      <c r="AD136" s="246"/>
      <c r="AE136" s="246">
        <f>TblMili[[#This Row],[Hour]]</f>
        <v>133</v>
      </c>
      <c r="AF136" s="138">
        <f ca="1">TblExplore[[#This Row],[Time]]</f>
        <v>46325.49999999968</v>
      </c>
      <c r="AG136" s="179"/>
      <c r="AH136" s="158"/>
      <c r="AI136" s="179"/>
      <c r="AJ136" s="158"/>
      <c r="AK136" s="158"/>
      <c r="AL136" s="158"/>
      <c r="AM136" s="158"/>
      <c r="AN136" s="179"/>
      <c r="AO136" s="420">
        <f ca="1">ROUND(IF(AND(TblMagic[[#This Row],[Active DnD]]&lt;12,TblMagic[[#This Row],[Active DnD]]&gt;5),OFFSET(TblPop[[#This Row],[Draft Growth]],-1,0)*0.375,0),0)</f>
        <v>0</v>
      </c>
      <c r="AP136" s="142"/>
      <c r="AQ136" s="94">
        <f ca="1">TblProd[[#This Row],[Platinum]]</f>
        <v>213344</v>
      </c>
      <c r="AR136" s="94">
        <f ca="1">INDEX(TblProd[[#Headers],[Lumber]]:TblProd[[#This Row],[Ore]],COUNTA(TblProd[[#Headers],[Lumber]]:TblProd[[#This Row],[Lumber]]),MATCH(Military!$AR$2,TblProd[[#Headers],[Lumber]:[Ore]],0))</f>
        <v>0</v>
      </c>
      <c r="AS13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36" s="94">
        <f ca="1">TblMili[[#This Row],[Train Unit 1]]*TblMili[[#This Row],[OP Ore]]+TblMili[[#This Row],[Train Unit 2]]*TblMili[[#This Row],[DP Ore]]+TblMili[[#This Row],[Train Unit 3]]*TblMili[[#This Row],[E1 Ore]]+TblMili[[#This Row],[Train Unit 4]]*TblMili[[#This Row],[E2 Ore]]</f>
        <v>0</v>
      </c>
      <c r="AU136" s="142">
        <f>TblMili[[#This Row],[Hour]]</f>
        <v>133</v>
      </c>
      <c r="AV136" s="152">
        <f ca="1">TblMili[[#This Row],[Time]]</f>
        <v>46325.49999999968</v>
      </c>
      <c r="AW136" s="94">
        <f ca="1">TblMili[[#This Row],[Draftees]]</f>
        <v>640</v>
      </c>
      <c r="AX136" s="179"/>
      <c r="AY136" s="179"/>
      <c r="AZ136" s="179"/>
      <c r="BA136" s="179"/>
      <c r="BB136" s="179"/>
      <c r="BC136" s="179"/>
      <c r="BD136" s="179"/>
      <c r="BE136" s="179"/>
      <c r="BF136" s="179"/>
      <c r="BG136" s="142"/>
      <c r="BH136" s="157">
        <f ca="1">TblConstr[[#This Row],[Tot WG]]/TblConstr[[#This Row],[Land]]</f>
        <v>0</v>
      </c>
      <c r="BI136" s="157">
        <f ca="1">TblConstr[[#This Row],[Tot Hav]]/TblConstr[[#This Row],[Land]]</f>
        <v>0</v>
      </c>
      <c r="BJ136" s="94">
        <f ca="1">ROUNDUP((1-MIN(TblMili[[#This Row],[Smithies]]*smithy_bonus,smithy_bonus_cap) + tech_3_5*TblTech[[#This Row],[3-5]] + tech_5_3*TblTech[[#This Row],[5-3]] + tech_5_5*TblTech[[#This Row],[5-5]])*spec_op_plat,0)</f>
        <v>315</v>
      </c>
      <c r="BK136" s="94">
        <f ca="1">ROUNDUP(IF(race="Gnome",1,(1-MIN(TblMili[[#This Row],[Smithies]]*smithy_bonus,smithy_bonus_cap) + tech_3_5*TblTech[[#This Row],[3-5]] + tech_5_3*TblTech[[#This Row],[5-3]] + tech_5_5*TblTech[[#This Row],[5-5]]))*spec_op_ore,0)</f>
        <v>25</v>
      </c>
      <c r="BL136" s="94">
        <f ca="1">ROUNDUP((1-MIN(TblMili[[#This Row],[Smithies]]*smithy_bonus,smithy_bonus_cap) + tech_3_5*TblTech[[#This Row],[3-5]] + tech_5_3*TblTech[[#This Row],[5-3]] + tech_5_5*TblTech[[#This Row],[5-5]])*spec_dp_plat,0)</f>
        <v>275</v>
      </c>
      <c r="BM136" s="94">
        <f ca="1">ROUNDUP(IF(race="Gnome",1,(1-MIN(TblMili[[#This Row],[Smithies]]*smithy_bonus,smithy_bonus_cap) + tech_3_5*TblTech[[#This Row],[3-5]] + tech_5_3*TblTech[[#This Row],[5-3]] + tech_5_5*TblTech[[#This Row],[5-5]]))*spec_dp_ore,0)</f>
        <v>15</v>
      </c>
      <c r="BN136" s="94">
        <f ca="1">ROUNDUP((1-MIN(TblMili[[#This Row],[Smithies]]*smithy_bonus,smithy_bonus_cap) + tech_3_5*TblTech[[#This Row],[3-5]] + tech_5_3*TblTech[[#This Row],[5-3]] + tech_5_5*TblTech[[#This Row],[5-5]])*elite1_plat,0)</f>
        <v>1040</v>
      </c>
      <c r="BO136" s="94">
        <f ca="1">ROUNDUP(IF(race="Gnome",1,(1-MIN(TblMili[[#This Row],[Smithies]]*smithy_bonus,smithy_bonus_cap) + tech_3_5*TblTech[[#This Row],[3-5]] + tech_5_3*TblTech[[#This Row],[5-3]] + tech_5_5*TblTech[[#This Row],[5-5]]))*elite1_ore,0)</f>
        <v>75</v>
      </c>
      <c r="BP136" s="94">
        <f ca="1">ROUNDUP((1-MIN(TblMili[[#This Row],[Smithies]]*smithy_bonus,smithy_bonus_cap) + tech_3_5*TblTech[[#This Row],[3-5]] + tech_5_3*TblTech[[#This Row],[5-3]] + tech_5_5*TblTech[[#This Row],[5-5]])*elite2_plat,0)</f>
        <v>1280</v>
      </c>
      <c r="BQ136" s="94">
        <f ca="1">ROUNDUP(IF(race="Gnome",1,(1-MIN(TblMili[[#This Row],[Smithies]]*smithy_bonus,smithy_bonus_cap) + tech_3_5*TblTech[[#This Row],[3-5]] + tech_5_3*TblTech[[#This Row],[5-3]] + tech_5_5*TblTech[[#This Row],[5-5]]))*elite2_ore,0)</f>
        <v>100</v>
      </c>
      <c r="BR136" s="94">
        <f ca="1">ROUNDUP((1-MIN(ROUND(fh_spy_cost_red*TblMili[[#This Row],[FH''s]],4),fh_spy_cost_cap)+ tech_1_9*TblTech[[#This Row],[1-9]] + tech_9_1*TblTech[[#This Row],[9-1]])*spy_plat,0)</f>
        <v>500</v>
      </c>
      <c r="BS136" s="94">
        <f ca="1">ROUNDUP((1-MIN(ROUND(fh_spy_cost_red*TblMili[[#This Row],[FH''s]],4),fh_spy_cost_cap)+ tech_1_9*TblTech[[#This Row],[1-9]] + tech_9_1*TblTech[[#This Row],[9-1]])*archspy_plat,0)</f>
        <v>1000</v>
      </c>
      <c r="BT136" s="94">
        <f ca="1">ROUNDUP((1-MIN(ROUND(wg_wiz_cost_bonus*TblMili[[#This Row],[WG''s]],4),wg_wiz_cost_cap) + tech_1_9_2*TblTech[[#This Row],[1-9]] + tech_9_1_2*TblTech[[#This Row],[9-1]])*wizard_plat,0)</f>
        <v>500</v>
      </c>
      <c r="BU136" s="94">
        <f ca="1">ROUNDUP((1-MIN(ROUND(wg_wiz_cost_bonus*TblMili[[#This Row],[WG''s]],4),wg_wiz_cost_cap) + tech_1_9_2*TblTech[[#This Row],[1-9]] + tech_9_1_2*TblTech[[#This Row],[9-1]])*(archmage_plat + IF(TblMagic[[#This Row],[Active Arc Infusion]]&gt;0,400,0)),0)</f>
        <v>1000</v>
      </c>
      <c r="BV136" s="142"/>
      <c r="BW136" s="157">
        <f ca="1">TblConstr[[#This Row],[Homeland]]/TblConstr[[#This Row],[Land]]</f>
        <v>0.6</v>
      </c>
      <c r="BX136" s="157">
        <f ca="1">TblMili[[#This Row],[WG''s]]</f>
        <v>0</v>
      </c>
      <c r="BY136" s="251">
        <f ca="1">IF(mystic_cap="none",TblMili[[#This Row],[Homeland%]]/mystic_bonus,MIN(mystic_cap,TblMili[[#This Row],[Homeland%]]/mystic_bonus))</f>
        <v>2</v>
      </c>
      <c r="BZ136" s="251">
        <f ca="1">IF(druid_op_cap="none",TblMili[[#This Row],[Homeland%]]/druid_op_bonus,MIN(druid_op_cap,TblMili[[#This Row],[Homeland%]]/druid_op_bonus))</f>
        <v>2</v>
      </c>
      <c r="CA136" s="251">
        <f ca="1">IF(druid_dp_cap="none",TblMili[[#This Row],[Homeland%]]/druid_dp_bonus,MIN(druid_dp_cap,TblMili[[#This Row],[Homeland%]]/druid_dp_bonus))</f>
        <v>2</v>
      </c>
      <c r="CB136" s="251">
        <f ca="1">MIN(dryad_cap,TblMili[[#This Row],[Homeland%]]/dryad_bonus)</f>
        <v>2.9999999999999996</v>
      </c>
      <c r="CC136" s="251">
        <f ca="1">MIN(rocka_cap,TblMili[[#This Row],[Homeland%]]/rocka_bonus)</f>
        <v>2</v>
      </c>
      <c r="CD136" s="251">
        <f ca="1">MIN(adept_op_cap,TblMili[[#This Row],[WG]]/adept_op_bonus)</f>
        <v>0</v>
      </c>
      <c r="CE136" s="251">
        <f ca="1">MIN(adept_dp_cap,TblMili[[#This Row],[WG]]/adept_dp_bonus)</f>
        <v>0</v>
      </c>
      <c r="CF136" s="94">
        <f ca="1">MIN(TblMili[[#This Row],[Unit 3]],TblMili[[#This Row],[Unit 2]])*2</f>
        <v>0</v>
      </c>
      <c r="CG136" s="94">
        <f ca="1">MIN(TblMili[[#This Row],[Unit 1]],TblMili[[#This Row],[Unit 4]])*2</f>
        <v>0</v>
      </c>
      <c r="CH136" s="251">
        <f ca="1">MIN(frost_mage_cap,TblMili[[#This Row],[Homeland%]]/frost_mage_bonus)</f>
        <v>2.9999999999999996</v>
      </c>
      <c r="CI136" s="45">
        <f ca="1">MIN(ice_elem_cap,TblMili[[#This Row],[Raw (2)]]*ice_elem_bonus)</f>
        <v>0</v>
      </c>
      <c r="CJ136" s="251">
        <f t="shared" si="4"/>
        <v>0.83333333333333337</v>
      </c>
      <c r="CK136" s="251">
        <f ca="1">MIN(nox_nightshade_cap,TblConstr[[#This Row],[Homeland]]/TblConstr[[#This Row],[Land]]/nox_nightshade_swamp_bonus)</f>
        <v>4</v>
      </c>
      <c r="CL136" s="251">
        <f ca="1">MIN(TblConstr[[#This Row],[Total Swamp]]/TblConstr[[#This Row],[Land]]/abyss_enforce_bonus,abyss_enforcer_cap)</f>
        <v>0</v>
      </c>
      <c r="CM136" s="251">
        <f ca="1">IF(TblMagic[[#This Row],[Active Infernal Command]]&gt;0,TblMili[[#This Row],[Unit 1]]*infernal_cmd_op,0)</f>
        <v>0</v>
      </c>
      <c r="CN136" s="252"/>
      <c r="CO136" s="252"/>
      <c r="CP136" s="252"/>
      <c r="CQ136" s="251">
        <f ca="1">TblMili[[#This Row],[Mystic]]*2</f>
        <v>4</v>
      </c>
      <c r="CR136" s="251">
        <f ca="1">TblMili[[#This Row],[Druid (op)]]*2</f>
        <v>4</v>
      </c>
      <c r="CS136" s="94">
        <f ca="1">TblMili[[#This Row],[Mystic bonus]]*TblMili[[#This Row],[Unit 3]]+TblMili[[#This Row],[Druid bonus]]*TblMili[[#This Row],[Unit 4]]</f>
        <v>0</v>
      </c>
      <c r="CT136" s="155">
        <f ca="1">TblMili[[#This Row],[Dryad]]*2</f>
        <v>5.9999999999999991</v>
      </c>
      <c r="CU136" s="94">
        <f ca="1">sylvan*(TblMili[[#This Row],[Mystic bonus]]*TblMili[[#This Row],[Unit 3]])</f>
        <v>0</v>
      </c>
      <c r="CV136" s="155">
        <f ca="1">TblMili[[#This Row],[Rockapult]]*2</f>
        <v>4</v>
      </c>
      <c r="CW136" s="94">
        <f ca="1">gnome*(TblMili[[#This Row],[Rockapult bonus]]*TblMili[[#This Row],[Unit 3]])</f>
        <v>0</v>
      </c>
      <c r="CX136" s="155">
        <f ca="1">TblMili[[#This Row],[Adept-DP]]*2</f>
        <v>0</v>
      </c>
      <c r="CY136" s="94">
        <f ca="1">dark_elf*(TblMili[[#This Row],[Adept bonus]]*TblMili[[#This Row],[Unit 3]])</f>
        <v>0</v>
      </c>
      <c r="CZ136" s="155">
        <f ca="1">TblMili[[#This Row],[Frost Mage]]*2</f>
        <v>5.9999999999999991</v>
      </c>
      <c r="DA136" s="155">
        <f ca="1">TblMili[[#This Row],[Ice Elemental]]*2</f>
        <v>0</v>
      </c>
      <c r="DB136" s="94">
        <f ca="1">TblMili[[#This Row],[Frost Mage bonus]]*TblMili[[#This Row],[Unit 3]]+TblMili[[#This Row],[Ice Elemental bonus]]*TblMili[[#This Row],[Unit 4]]</f>
        <v>0</v>
      </c>
      <c r="DC136" s="253"/>
      <c r="DD136" s="143">
        <f ca="1">MIN(SUM(TblConstr[[#This Row],[Plain]:[Water]])/TblMili[[#This Row],[Land]]/favorable_terrain_bonus/100,favorable_terrain_max)</f>
        <v>0</v>
      </c>
      <c r="DE136" s="253"/>
      <c r="DF13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6" s="142"/>
      <c r="DH136" s="254">
        <f ca="1">(TblMili[[#This Row],[Wizards]]+2*TblMili[[#This Row],[Archmages]])/TblConstr[[#This Row],[Land]]</f>
        <v>0</v>
      </c>
      <c r="DI136" s="254">
        <f ca="1">TblMili[[#This Row],[Raw (2)]]*(1+race_wizard_strength+IF(TblMili[[#This Row],[Hour]]&gt;72,tech_magical_weaponry_wiz*TblTech[[#This Row],[3-5]],0))</f>
        <v>0</v>
      </c>
    </row>
    <row r="137" spans="1:113" x14ac:dyDescent="0.2">
      <c r="AJ137" s="45">
        <v>100</v>
      </c>
    </row>
    <row r="139" spans="1:113" x14ac:dyDescent="0.2">
      <c r="AF139" s="45">
        <f ca="1">SUM(E136:L136)</f>
        <v>0</v>
      </c>
    </row>
    <row r="1269" spans="2:3" x14ac:dyDescent="0.2">
      <c r="B1269" s="531" t="s">
        <v>314</v>
      </c>
      <c r="C1269" s="531"/>
    </row>
    <row r="1270" spans="2:3" x14ac:dyDescent="0.2">
      <c r="B1270" s="28">
        <f>Overview!E17</f>
        <v>0</v>
      </c>
      <c r="C1270" s="28"/>
    </row>
  </sheetData>
  <dataConsolidate/>
  <mergeCells count="8">
    <mergeCell ref="B1269:C1269"/>
    <mergeCell ref="CO1:CW1"/>
    <mergeCell ref="P1:R1"/>
    <mergeCell ref="Y1:AA1"/>
    <mergeCell ref="BW1:BY1"/>
    <mergeCell ref="BI1:BT1"/>
    <mergeCell ref="S1:T1"/>
    <mergeCell ref="V1:W1"/>
  </mergeCells>
  <phoneticPr fontId="0" type="noConversion"/>
  <conditionalFormatting sqref="A6994:A65053 A1271:DF60143 A137:DF1268">
    <cfRule type="expression" dxfId="394" priority="37" stopIfTrue="1">
      <formula>ROW()-2=#REF!</formula>
    </cfRule>
  </conditionalFormatting>
  <conditionalFormatting sqref="A1269:DF1270">
    <cfRule type="expression" dxfId="393" priority="38" stopIfTrue="1">
      <formula>$B$1270&gt;144</formula>
    </cfRule>
  </conditionalFormatting>
  <conditionalFormatting sqref="A4:DI136">
    <cfRule type="expression" dxfId="392" priority="1" stopIfTrue="1">
      <formula>ROW()-3=$B$1270</formula>
    </cfRule>
    <cfRule type="expression" dxfId="391" priority="2" stopIfTrue="1">
      <formula>OR(ROW()-3=$B$1270,A4&lt;0)</formula>
    </cfRule>
    <cfRule type="expression" dxfId="390" priority="35">
      <formula>$A4=49</formula>
    </cfRule>
  </conditionalFormatting>
  <conditionalFormatting sqref="A3:DI136">
    <cfRule type="expression" dxfId="389" priority="39">
      <formula>ROUND(($A3-1)/12,0)=INT($A3-1)/12</formula>
    </cfRule>
  </conditionalFormatting>
  <conditionalFormatting sqref="A1:AO2 AQ1:AV2 AX1:BU2 BW1:CM1 BY2:CN2 CX2:XFD2 CO1:DD1 DF1:XFD1 A3:XFD3">
    <cfRule type="expression" dxfId="388" priority="40">
      <formula>$B$1270&lt;0</formula>
    </cfRule>
  </conditionalFormatting>
  <pageMargins left="0.75" right="0.75" top="1" bottom="1" header="0.5" footer="0.5"/>
  <pageSetup paperSize="9" orientation="portrait" horizontalDpi="300" verticalDpi="300" r:id="rId1"/>
  <headerFooter alignWithMargins="0"/>
  <ignoredErrors>
    <ignoredError sqref="K13:L15 L33:L51 B17:B75 B5:B16 F33:H136 E13:H14 L17:L32 F17:H32 F16:H16 I17:I136 E15:H15 I4:I16 B76:B136 E16:E136 L53:L136 L52 K16:K136 AA5:AA13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Q1270"/>
  <sheetViews>
    <sheetView topLeftCell="B1" zoomScale="85" zoomScaleNormal="85" workbookViewId="0">
      <pane ySplit="3" topLeftCell="A4" activePane="bottomLeft" state="frozenSplit"/>
      <selection activeCell="A3" sqref="A3"/>
      <selection pane="bottomLeft" activeCell="G4" sqref="G4"/>
    </sheetView>
  </sheetViews>
  <sheetFormatPr defaultColWidth="9.140625" defaultRowHeight="12.75" x14ac:dyDescent="0.2"/>
  <cols>
    <col min="1" max="1" width="7.5703125" style="57" customWidth="1"/>
    <col min="2" max="2" width="7.7109375" style="45" customWidth="1"/>
    <col min="3" max="6" width="8.5703125" style="45" customWidth="1"/>
    <col min="7" max="17" width="10.140625" style="45" customWidth="1"/>
    <col min="18" max="18" width="11" style="45" customWidth="1"/>
    <col min="19" max="19" width="11.42578125" style="45" customWidth="1"/>
    <col min="20" max="23" width="10.140625" style="45" customWidth="1"/>
    <col min="24" max="24" width="3.42578125" style="45" customWidth="1"/>
    <col min="25" max="25" width="9.140625" style="45" customWidth="1"/>
    <col min="26" max="26" width="10.5703125" style="45" customWidth="1"/>
    <col min="27" max="27" width="3.85546875" style="45" customWidth="1"/>
    <col min="28" max="41" width="11.42578125" style="45" customWidth="1"/>
    <col min="42" max="42" width="9.140625" style="45" customWidth="1"/>
    <col min="43" max="16384" width="9.140625" style="45"/>
  </cols>
  <sheetData>
    <row r="1" spans="1:43" s="28" customFormat="1" x14ac:dyDescent="0.2">
      <c r="O1" s="538" t="s">
        <v>1068</v>
      </c>
      <c r="U1" s="242"/>
      <c r="V1" s="242"/>
      <c r="Y1" s="28" t="s">
        <v>33</v>
      </c>
      <c r="AB1" s="28" t="s">
        <v>205</v>
      </c>
      <c r="AG1" s="28" t="s">
        <v>91</v>
      </c>
      <c r="AH1" s="28" t="s">
        <v>94</v>
      </c>
      <c r="AI1" s="28" t="s">
        <v>100</v>
      </c>
      <c r="AJ1" s="28" t="s">
        <v>360</v>
      </c>
      <c r="AK1" s="28" t="s">
        <v>92</v>
      </c>
      <c r="AL1" s="28" t="s">
        <v>103</v>
      </c>
      <c r="AM1" s="28" t="s">
        <v>328</v>
      </c>
      <c r="AN1" s="28" t="s">
        <v>342</v>
      </c>
      <c r="AO1" s="28" t="s">
        <v>498</v>
      </c>
    </row>
    <row r="2" spans="1:43" s="28" customFormat="1" x14ac:dyDescent="0.2">
      <c r="G2" s="28" t="s">
        <v>195</v>
      </c>
      <c r="L2" s="242" t="s">
        <v>535</v>
      </c>
      <c r="M2" s="262" t="s">
        <v>94</v>
      </c>
      <c r="N2" s="242" t="s">
        <v>100</v>
      </c>
      <c r="O2" s="538"/>
      <c r="P2" s="242" t="s">
        <v>92</v>
      </c>
      <c r="Q2" s="242" t="s">
        <v>103</v>
      </c>
      <c r="R2" s="242" t="s">
        <v>328</v>
      </c>
      <c r="S2" s="242" t="s">
        <v>342</v>
      </c>
      <c r="T2" s="242" t="s">
        <v>498</v>
      </c>
      <c r="U2" s="242" t="s">
        <v>90</v>
      </c>
      <c r="V2" s="242" t="s">
        <v>1122</v>
      </c>
      <c r="W2" s="242" t="s">
        <v>500</v>
      </c>
    </row>
    <row r="3" spans="1:43" s="264" customFormat="1" ht="29.25" customHeight="1" thickBot="1" x14ac:dyDescent="0.25">
      <c r="A3" s="135" t="s">
        <v>0</v>
      </c>
      <c r="B3" s="135" t="s">
        <v>1</v>
      </c>
      <c r="C3" s="135" t="s">
        <v>12</v>
      </c>
      <c r="D3" s="135" t="s">
        <v>194</v>
      </c>
      <c r="E3" s="135" t="s">
        <v>309</v>
      </c>
      <c r="F3" s="135" t="s">
        <v>323</v>
      </c>
      <c r="G3" s="135" t="s">
        <v>196</v>
      </c>
      <c r="H3" s="135" t="s">
        <v>197</v>
      </c>
      <c r="I3" s="135" t="s">
        <v>198</v>
      </c>
      <c r="J3" s="135" t="s">
        <v>199</v>
      </c>
      <c r="K3" s="404" t="s">
        <v>200</v>
      </c>
      <c r="L3" s="135" t="s">
        <v>262</v>
      </c>
      <c r="M3" s="263" t="s">
        <v>527</v>
      </c>
      <c r="N3" s="135" t="s">
        <v>1103</v>
      </c>
      <c r="O3" s="135" t="s">
        <v>1069</v>
      </c>
      <c r="P3" s="135" t="s">
        <v>297</v>
      </c>
      <c r="Q3" s="135" t="s">
        <v>334</v>
      </c>
      <c r="R3" s="135" t="s">
        <v>1167</v>
      </c>
      <c r="S3" s="135" t="s">
        <v>340</v>
      </c>
      <c r="T3" s="135" t="s">
        <v>424</v>
      </c>
      <c r="U3" s="135" t="s">
        <v>1063</v>
      </c>
      <c r="V3" s="135" t="s">
        <v>1151</v>
      </c>
      <c r="W3" s="135" t="s">
        <v>501</v>
      </c>
      <c r="X3" s="135" t="s">
        <v>765</v>
      </c>
      <c r="Y3" s="135" t="s">
        <v>910</v>
      </c>
      <c r="Z3" s="135" t="s">
        <v>911</v>
      </c>
      <c r="AA3" s="135" t="s">
        <v>766</v>
      </c>
      <c r="AB3" s="135" t="s">
        <v>912</v>
      </c>
      <c r="AC3" s="135" t="s">
        <v>913</v>
      </c>
      <c r="AD3" s="135" t="s">
        <v>914</v>
      </c>
      <c r="AE3" s="135" t="s">
        <v>915</v>
      </c>
      <c r="AF3" s="135" t="s">
        <v>916</v>
      </c>
      <c r="AG3" s="135" t="s">
        <v>919</v>
      </c>
      <c r="AH3" s="135" t="s">
        <v>920</v>
      </c>
      <c r="AI3" s="135" t="s">
        <v>1104</v>
      </c>
      <c r="AJ3" s="135" t="s">
        <v>917</v>
      </c>
      <c r="AK3" s="135" t="s">
        <v>921</v>
      </c>
      <c r="AL3" s="135" t="s">
        <v>922</v>
      </c>
      <c r="AM3" s="135" t="s">
        <v>1168</v>
      </c>
      <c r="AN3" s="135" t="s">
        <v>923</v>
      </c>
      <c r="AO3" s="135" t="s">
        <v>918</v>
      </c>
      <c r="AP3" s="411" t="s">
        <v>1064</v>
      </c>
      <c r="AQ3" s="411" t="s">
        <v>1152</v>
      </c>
    </row>
    <row r="4" spans="1:43" x14ac:dyDescent="0.2">
      <c r="A4" s="137">
        <f>TblRezone[[#This Row],[Hour]]</f>
        <v>1</v>
      </c>
      <c r="B4" s="154">
        <f ca="1">TblConstr[[#This Row],[Land]]</f>
        <v>50</v>
      </c>
      <c r="C4" s="94">
        <f ca="1">TblProd[[#This Row],[Mana]]</f>
        <v>0</v>
      </c>
      <c r="D4" s="397">
        <f>1-TblMagic[[#This Row],[Wiz str cost]]</f>
        <v>1</v>
      </c>
      <c r="E4" s="159">
        <f>Imps!L4</f>
        <v>46320</v>
      </c>
      <c r="F4" s="156">
        <f ca="1">TblImps[[#This Row],[Population]]</f>
        <v>1</v>
      </c>
      <c r="G4" s="218"/>
      <c r="H4" s="218"/>
      <c r="I4" s="218"/>
      <c r="J4" s="218"/>
      <c r="K4" s="405"/>
      <c r="L4" s="218"/>
      <c r="M4" s="218"/>
      <c r="N4" s="218"/>
      <c r="O4" s="218"/>
      <c r="P4" s="218"/>
      <c r="Q4" s="218"/>
      <c r="R4" s="218"/>
      <c r="S4" s="218"/>
      <c r="T4" s="218"/>
      <c r="U4" s="218"/>
      <c r="V4" s="218"/>
      <c r="W4" s="218"/>
      <c r="X4" s="142"/>
      <c r="Y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 s="156">
        <f>SUMIF(TblMagic[[#This Row],[Gaia''s Watch]:[Useless spell]],1)*0.05</f>
        <v>0</v>
      </c>
      <c r="AA4" s="142"/>
      <c r="AB4" s="398">
        <f>TblMagic[[#This Row],[Gaia''s Watch]]*12</f>
        <v>0</v>
      </c>
      <c r="AC4" s="398">
        <f>TblMagic[[#This Row],[Mining Strength]]*12</f>
        <v>0</v>
      </c>
      <c r="AD4" s="398">
        <f>TblMagic[[#This Row],[Ares Call]]*12</f>
        <v>0</v>
      </c>
      <c r="AE4" s="398">
        <f>TblMagic[[#This Row],[Midas Touch]]*12</f>
        <v>0</v>
      </c>
      <c r="AF4" s="398">
        <f>TblMagic[[#This Row],[Harmony]]*12</f>
        <v>0</v>
      </c>
      <c r="AG4" s="398">
        <f>TblMagic[[#This Row],[Miner''s Sight]]*12</f>
        <v>0</v>
      </c>
      <c r="AH4" s="398">
        <f>TblMagic[[#This Row],[Mechanical Genius]]*12</f>
        <v>0</v>
      </c>
      <c r="AI4" s="398">
        <f>TblMagic[[#This Row],[Death and Decay]]*12</f>
        <v>0</v>
      </c>
      <c r="AJ4" s="398">
        <f>TblMagic[[#This Row],[Killing Rage / Bloodrage / Crusade]]*12</f>
        <v>0</v>
      </c>
      <c r="AK4" s="398">
        <f>TblMagic[[#This Row],[Gaia''s Blessing]]*12</f>
        <v>0</v>
      </c>
      <c r="AL4" s="398">
        <f>TblMagic[[#This Row],[Howling]]*12</f>
        <v>0</v>
      </c>
      <c r="AM4" s="398">
        <f>TblMagic[[#This Row],[Arcane Infusion]]*12</f>
        <v>0</v>
      </c>
      <c r="AN4" s="398">
        <f>TblMagic[[#This Row],[Alchemists Flame]]*12</f>
        <v>0</v>
      </c>
      <c r="AO4" s="398">
        <f>TblMagic[[#This Row],[Nightfall]]*12</f>
        <v>0</v>
      </c>
      <c r="AP4" s="412">
        <f>TblMagic[[#This Row],[Favorable Terrain]]*12</f>
        <v>0</v>
      </c>
      <c r="AQ4" s="412">
        <f>TblMagic[[#This Row],[Infernal Command]]*12</f>
        <v>0</v>
      </c>
    </row>
    <row r="5" spans="1:43" x14ac:dyDescent="0.2">
      <c r="A5" s="137">
        <f>TblRezone[[#This Row],[Hour]]</f>
        <v>2</v>
      </c>
      <c r="B5" s="154">
        <f ca="1">TblConstr[[#This Row],[Land]]</f>
        <v>50</v>
      </c>
      <c r="C5" s="94">
        <f ca="1">TblProd[[#This Row],[Mana]]</f>
        <v>0</v>
      </c>
      <c r="D5" s="156">
        <f ca="1">MIN(1,OFFSET(TblMagic[[#This Row],[Wiz str]],-1,0)+0.04+ROUNDDOWN(10*OFFSET(TblMili[[#This Row],[WG''s]],-1,0),0)+ tech_2_7*OFFSET(TblTech[[#This Row],[2-7]],-1,0) + tech_5_6*OFFSET(TblTech[[#This Row],[5-6]],-1,0) )-TblMagic[[#This Row],[Wiz str cost]]</f>
        <v>1</v>
      </c>
      <c r="E5" s="159">
        <f ca="1">OFFSET(TblMagic[[#This Row],[Time]],-1,0)+1/24</f>
        <v>46320.041666666664</v>
      </c>
      <c r="F5" s="156">
        <f ca="1">TblImps[[#This Row],[Population]]</f>
        <v>1</v>
      </c>
      <c r="G5" s="218"/>
      <c r="H5" s="218"/>
      <c r="I5" s="218"/>
      <c r="J5" s="218"/>
      <c r="K5" s="405"/>
      <c r="L5" s="218"/>
      <c r="M5" s="218"/>
      <c r="N5" s="218"/>
      <c r="O5" s="218"/>
      <c r="P5" s="218"/>
      <c r="Q5" s="218"/>
      <c r="R5" s="218"/>
      <c r="S5" s="218"/>
      <c r="T5" s="218"/>
      <c r="U5" s="218"/>
      <c r="V5" s="218"/>
      <c r="W5" s="218"/>
      <c r="X5" s="142"/>
      <c r="Y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 s="156">
        <f>SUMIF(TblMagic[[#This Row],[Gaia''s Watch]:[Useless spell]],1)*0.05</f>
        <v>0</v>
      </c>
      <c r="AA5" s="142"/>
      <c r="AB5" s="57">
        <f ca="1">IF(TblMagic[[#This Row],[Gaia''s Watch]],12,IF(OFFSET(TblMagic[[#This Row],[Active Gaia''s Watch]],-1,0)&gt;0,OFFSET(TblMagic[[#This Row],[Active Gaia''s Watch]],-1,0)-1,0))</f>
        <v>0</v>
      </c>
      <c r="AC5" s="57">
        <f ca="1">IF(TblMagic[[#This Row],[Mining Strength]],12,IF(OFFSET(TblMagic[[#This Row],[Active Mining Strength]],-1,0)&gt;0,OFFSET(TblMagic[[#This Row],[Active Mining Strength]],-1,0)-1,0))</f>
        <v>0</v>
      </c>
      <c r="AD5" s="57">
        <f ca="1">IF(TblMagic[[#This Row],[Ares Call]],12,IF(OFFSET(TblMagic[[#This Row],[Active Ares Call]],-1,0)&gt;0,OFFSET(TblMagic[[#This Row],[Active Ares Call]],-1,0)-1,0))</f>
        <v>0</v>
      </c>
      <c r="AE5" s="57">
        <f ca="1">IF(TblMagic[[#This Row],[Midas Touch]],12,IF(OFFSET(TblMagic[[#This Row],[Active Midas Touch]],-1,0)&gt;0,OFFSET(TblMagic[[#This Row],[Active Midas Touch]],-1,0)-1,0))</f>
        <v>0</v>
      </c>
      <c r="AF5" s="57">
        <f ca="1">IF(TblMagic[[#This Row],[Harmony]],12,IF(OFFSET(TblMagic[[#This Row],[Active Harmony]],-1,0)&gt;0,OFFSET(TblMagic[[#This Row],[Active Harmony]],-1,0)-1,0))</f>
        <v>0</v>
      </c>
      <c r="AG5" s="57">
        <f ca="1">IF(TblMagic[[#This Row],[Miner''s Sight]],12,IF(OFFSET(TblMagic[[#This Row],[Active Miner''s Sight]],-1,0)&gt;0,OFFSET(TblMagic[[#This Row],[Active Miner''s Sight]],-1,0)-1,0))</f>
        <v>0</v>
      </c>
      <c r="AH5" s="57">
        <f ca="1">IF(TblMagic[[#This Row],[Mechanical Genius]],12,IF(OFFSET(TblMagic[[#This Row],[Active Mechanical Genius]],-1,0)&gt;0,OFFSET(TblMagic[[#This Row],[Active Mechanical Genius]],-1,0)-1,0))</f>
        <v>0</v>
      </c>
      <c r="AI5" s="57">
        <f ca="1">IF(TblMagic[[#This Row],[Death and Decay]],12,IF(OFFSET(TblMagic[[#This Row],[Active DnD]],-1,0)&gt;0,OFFSET(TblMagic[[#This Row],[Active DnD]],-1,0)-1,0))</f>
        <v>0</v>
      </c>
      <c r="AJ5" s="57">
        <f ca="1">IF(TblMagic[[#This Row],[Killing Rage / Bloodrage / Crusade]],12,IF(OFFSET(TblMagic[[#This Row],[Active Warsong / Killing Rage / Bloodrage]],-1,0)&gt;0,OFFSET(TblMagic[[#This Row],[Active Warsong / Killing Rage / Bloodrage]],-1,0)-1,0))</f>
        <v>0</v>
      </c>
      <c r="AK5" s="57">
        <f ca="1">IF(TblMagic[[#This Row],[Gaia''s Blessing]],12,IF(OFFSET(TblMagic[[#This Row],[Active Gaia''s Blessing]],-1,0)&gt;0,OFFSET(TblMagic[[#This Row],[Active Gaia''s Blessing]],-1,0)-1,0))</f>
        <v>0</v>
      </c>
      <c r="AL5" s="57">
        <f ca="1">IF(TblMagic[[#This Row],[Howling]],12,IF(OFFSET(TblMagic[[#This Row],[Active Howling]],-1,0)&gt;0,OFFSET(TblMagic[[#This Row],[Active Howling]],-1,0)-1,0))</f>
        <v>0</v>
      </c>
      <c r="AM5" s="57">
        <f ca="1">IF(TblMagic[[#This Row],[Arcane Infusion]],12,IF(OFFSET(TblMagic[[#This Row],[Active Arc Infusion]],-1,0)&gt;0,OFFSET(TblMagic[[#This Row],[Active Arc Infusion]],-1,0)-1,0))</f>
        <v>0</v>
      </c>
      <c r="AN5" s="57">
        <f ca="1">IF(TblMagic[[#This Row],[Alchemists Flame]],12,IF(OFFSET(TblMagic[[#This Row],[Active Alchemists Flame]],-1,0)&gt;0,OFFSET(TblMagic[[#This Row],[Active Alchemists Flame]],-1,0)-1,0))</f>
        <v>0</v>
      </c>
      <c r="AO5" s="57">
        <f ca="1">IF(TblMagic[[#This Row],[Nightfall]],12,IF(OFFSET(TblMagic[[#This Row],[Active Nightfall]],-1,0)&gt;0,OFFSET(TblMagic[[#This Row],[Active Nightfall]],-1,0)-1,0))</f>
        <v>0</v>
      </c>
      <c r="AP5" s="57">
        <f ca="1">IF(TblMagic[[#This Row],[Favorable Terrain]],12,IF(OFFSET(TblMagic[[#This Row],[Active Favorable Terrain]],-1,0)&gt;0,OFFSET(TblMagic[[#This Row],[Active Favorable Terrain]],-1,0)-1,0))</f>
        <v>0</v>
      </c>
      <c r="AQ5" s="57">
        <f ca="1">IF(TblMagic[[#This Row],[Infernal Command]],12,IF(OFFSET(TblMagic[[#This Row],[Active Infernal Command]],-1,0)&gt;0,OFFSET(TblMagic[[#This Row],[Active Infernal Command]],-1,0)-1,0))</f>
        <v>0</v>
      </c>
    </row>
    <row r="6" spans="1:43" x14ac:dyDescent="0.2">
      <c r="A6" s="137">
        <f>TblRezone[[#This Row],[Hour]]</f>
        <v>3</v>
      </c>
      <c r="B6" s="154">
        <f ca="1">TblConstr[[#This Row],[Land]]</f>
        <v>50</v>
      </c>
      <c r="C6" s="94">
        <f ca="1">TblProd[[#This Row],[Mana]]</f>
        <v>0</v>
      </c>
      <c r="D6" s="156">
        <f ca="1">MIN(1,OFFSET(TblMagic[[#This Row],[Wiz str]],-1,0)+0.04+ROUNDDOWN(10*OFFSET(TblMili[[#This Row],[WG''s]],-1,0),0)+ tech_2_7*OFFSET(TblTech[[#This Row],[2-7]],-1,0) + tech_5_6*OFFSET(TblTech[[#This Row],[5-6]],-1,0) )-TblMagic[[#This Row],[Wiz str cost]]</f>
        <v>1</v>
      </c>
      <c r="E6" s="159">
        <f ca="1">OFFSET(TblMagic[[#This Row],[Time]],-1,0)+1/24</f>
        <v>46320.083333333328</v>
      </c>
      <c r="F6" s="156">
        <f ca="1">TblImps[[#This Row],[Population]]</f>
        <v>1</v>
      </c>
      <c r="G6" s="218"/>
      <c r="H6" s="218"/>
      <c r="I6" s="218"/>
      <c r="J6" s="218"/>
      <c r="K6" s="405"/>
      <c r="L6" s="218"/>
      <c r="M6" s="218"/>
      <c r="N6" s="218"/>
      <c r="O6" s="218"/>
      <c r="P6" s="218"/>
      <c r="Q6" s="218"/>
      <c r="R6" s="218"/>
      <c r="S6" s="218"/>
      <c r="T6" s="218"/>
      <c r="U6" s="218"/>
      <c r="V6" s="218"/>
      <c r="W6" s="218"/>
      <c r="X6" s="142"/>
      <c r="Y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 s="156">
        <f>SUMIF(TblMagic[[#This Row],[Gaia''s Watch]:[Useless spell]],1)*0.05</f>
        <v>0</v>
      </c>
      <c r="AA6" s="142"/>
      <c r="AB6" s="57">
        <f ca="1">IF(TblMagic[[#This Row],[Gaia''s Watch]],12,IF(OFFSET(TblMagic[[#This Row],[Active Gaia''s Watch]],-1,0)&gt;0,OFFSET(TblMagic[[#This Row],[Active Gaia''s Watch]],-1,0)-1,0))</f>
        <v>0</v>
      </c>
      <c r="AC6" s="57">
        <f ca="1">IF(TblMagic[[#This Row],[Mining Strength]],12,IF(OFFSET(TblMagic[[#This Row],[Active Mining Strength]],-1,0)&gt;0,OFFSET(TblMagic[[#This Row],[Active Mining Strength]],-1,0)-1,0))</f>
        <v>0</v>
      </c>
      <c r="AD6" s="57">
        <f ca="1">IF(TblMagic[[#This Row],[Ares Call]],12,IF(OFFSET(TblMagic[[#This Row],[Active Ares Call]],-1,0)&gt;0,OFFSET(TblMagic[[#This Row],[Active Ares Call]],-1,0)-1,0))</f>
        <v>0</v>
      </c>
      <c r="AE6" s="57">
        <f ca="1">IF(TblMagic[[#This Row],[Midas Touch]],12,IF(OFFSET(TblMagic[[#This Row],[Active Midas Touch]],-1,0)&gt;0,OFFSET(TblMagic[[#This Row],[Active Midas Touch]],-1,0)-1,0))</f>
        <v>0</v>
      </c>
      <c r="AF6" s="57">
        <f ca="1">IF(TblMagic[[#This Row],[Harmony]],12,IF(OFFSET(TblMagic[[#This Row],[Active Harmony]],-1,0)&gt;0,OFFSET(TblMagic[[#This Row],[Active Harmony]],-1,0)-1,0))</f>
        <v>0</v>
      </c>
      <c r="AG6" s="57">
        <f ca="1">IF(TblMagic[[#This Row],[Miner''s Sight]],12,IF(OFFSET(TblMagic[[#This Row],[Active Miner''s Sight]],-1,0)&gt;0,OFFSET(TblMagic[[#This Row],[Active Miner''s Sight]],-1,0)-1,0))</f>
        <v>0</v>
      </c>
      <c r="AH6" s="57">
        <f ca="1">IF(TblMagic[[#This Row],[Mechanical Genius]],12,IF(OFFSET(TblMagic[[#This Row],[Active Mechanical Genius]],-1,0)&gt;0,OFFSET(TblMagic[[#This Row],[Active Mechanical Genius]],-1,0)-1,0))</f>
        <v>0</v>
      </c>
      <c r="AI6" s="57">
        <f ca="1">IF(TblMagic[[#This Row],[Death and Decay]],12,IF(OFFSET(TblMagic[[#This Row],[Active DnD]],-1,0)&gt;0,OFFSET(TblMagic[[#This Row],[Active DnD]],-1,0)-1,0))</f>
        <v>0</v>
      </c>
      <c r="AJ6" s="57">
        <f ca="1">IF(TblMagic[[#This Row],[Killing Rage / Bloodrage / Crusade]],12,IF(OFFSET(TblMagic[[#This Row],[Active Warsong / Killing Rage / Bloodrage]],-1,0)&gt;0,OFFSET(TblMagic[[#This Row],[Active Warsong / Killing Rage / Bloodrage]],-1,0)-1,0))</f>
        <v>0</v>
      </c>
      <c r="AK6" s="57">
        <f ca="1">IF(TblMagic[[#This Row],[Gaia''s Blessing]],12,IF(OFFSET(TblMagic[[#This Row],[Active Gaia''s Blessing]],-1,0)&gt;0,OFFSET(TblMagic[[#This Row],[Active Gaia''s Blessing]],-1,0)-1,0))</f>
        <v>0</v>
      </c>
      <c r="AL6" s="57">
        <f ca="1">IF(TblMagic[[#This Row],[Howling]],12,IF(OFFSET(TblMagic[[#This Row],[Active Howling]],-1,0)&gt;0,OFFSET(TblMagic[[#This Row],[Active Howling]],-1,0)-1,0))</f>
        <v>0</v>
      </c>
      <c r="AM6" s="57">
        <f ca="1">IF(TblMagic[[#This Row],[Arcane Infusion]],12,IF(OFFSET(TblMagic[[#This Row],[Active Arc Infusion]],-1,0)&gt;0,OFFSET(TblMagic[[#This Row],[Active Arc Infusion]],-1,0)-1,0))</f>
        <v>0</v>
      </c>
      <c r="AN6" s="57">
        <f ca="1">IF(TblMagic[[#This Row],[Alchemists Flame]],12,IF(OFFSET(TblMagic[[#This Row],[Active Alchemists Flame]],-1,0)&gt;0,OFFSET(TblMagic[[#This Row],[Active Alchemists Flame]],-1,0)-1,0))</f>
        <v>0</v>
      </c>
      <c r="AO6" s="57">
        <f ca="1">IF(TblMagic[[#This Row],[Nightfall]],12,IF(OFFSET(TblMagic[[#This Row],[Active Nightfall]],-1,0)&gt;0,OFFSET(TblMagic[[#This Row],[Active Nightfall]],-1,0)-1,0))</f>
        <v>0</v>
      </c>
      <c r="AP6" s="57">
        <f ca="1">IF(TblMagic[[#This Row],[Favorable Terrain]],12,IF(OFFSET(TblMagic[[#This Row],[Active Favorable Terrain]],-1,0)&gt;0,OFFSET(TblMagic[[#This Row],[Active Favorable Terrain]],-1,0)-1,0))</f>
        <v>0</v>
      </c>
      <c r="AQ6" s="57">
        <f ca="1">IF(TblMagic[[#This Row],[Infernal Command]],12,IF(OFFSET(TblMagic[[#This Row],[Active Infernal Command]],-1,0)&gt;0,OFFSET(TblMagic[[#This Row],[Active Infernal Command]],-1,0)-1,0))</f>
        <v>0</v>
      </c>
    </row>
    <row r="7" spans="1:43" x14ac:dyDescent="0.2">
      <c r="A7" s="137">
        <f>TblRezone[[#This Row],[Hour]]</f>
        <v>4</v>
      </c>
      <c r="B7" s="154">
        <f ca="1">TblConstr[[#This Row],[Land]]</f>
        <v>50</v>
      </c>
      <c r="C7" s="94">
        <f ca="1">TblProd[[#This Row],[Mana]]</f>
        <v>0</v>
      </c>
      <c r="D7" s="156">
        <f ca="1">MIN(1,OFFSET(TblMagic[[#This Row],[Wiz str]],-1,0)+0.04+ROUNDDOWN(10*OFFSET(TblMili[[#This Row],[WG''s]],-1,0),0)+ tech_2_7*OFFSET(TblTech[[#This Row],[2-7]],-1,0) + tech_5_6*OFFSET(TblTech[[#This Row],[5-6]],-1,0) )-TblMagic[[#This Row],[Wiz str cost]]</f>
        <v>1</v>
      </c>
      <c r="E7" s="159">
        <f ca="1">OFFSET(TblMagic[[#This Row],[Time]],-1,0)+1/24</f>
        <v>46320.124999999993</v>
      </c>
      <c r="F7" s="156">
        <f ca="1">TblImps[[#This Row],[Population]]</f>
        <v>1</v>
      </c>
      <c r="G7" s="218"/>
      <c r="H7" s="218"/>
      <c r="I7" s="218"/>
      <c r="J7" s="218"/>
      <c r="K7" s="405"/>
      <c r="L7" s="218"/>
      <c r="M7" s="218"/>
      <c r="N7" s="218"/>
      <c r="O7" s="218"/>
      <c r="P7" s="218"/>
      <c r="Q7" s="218"/>
      <c r="R7" s="218"/>
      <c r="S7" s="218"/>
      <c r="T7" s="218"/>
      <c r="U7" s="218"/>
      <c r="V7" s="218"/>
      <c r="W7" s="218"/>
      <c r="X7" s="142"/>
      <c r="Y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 s="156">
        <f>SUMIF(TblMagic[[#This Row],[Gaia''s Watch]:[Useless spell]],1)*0.05</f>
        <v>0</v>
      </c>
      <c r="AA7" s="142"/>
      <c r="AB7" s="57">
        <f ca="1">IF(TblMagic[[#This Row],[Gaia''s Watch]],12,IF(OFFSET(TblMagic[[#This Row],[Active Gaia''s Watch]],-1,0)&gt;0,OFFSET(TblMagic[[#This Row],[Active Gaia''s Watch]],-1,0)-1,0))</f>
        <v>0</v>
      </c>
      <c r="AC7" s="57">
        <f ca="1">IF(TblMagic[[#This Row],[Mining Strength]],12,IF(OFFSET(TblMagic[[#This Row],[Active Mining Strength]],-1,0)&gt;0,OFFSET(TblMagic[[#This Row],[Active Mining Strength]],-1,0)-1,0))</f>
        <v>0</v>
      </c>
      <c r="AD7" s="57">
        <f ca="1">IF(TblMagic[[#This Row],[Ares Call]],12,IF(OFFSET(TblMagic[[#This Row],[Active Ares Call]],-1,0)&gt;0,OFFSET(TblMagic[[#This Row],[Active Ares Call]],-1,0)-1,0))</f>
        <v>0</v>
      </c>
      <c r="AE7" s="57">
        <f ca="1">IF(TblMagic[[#This Row],[Midas Touch]],12,IF(OFFSET(TblMagic[[#This Row],[Active Midas Touch]],-1,0)&gt;0,OFFSET(TblMagic[[#This Row],[Active Midas Touch]],-1,0)-1,0))</f>
        <v>0</v>
      </c>
      <c r="AF7" s="57">
        <f ca="1">IF(TblMagic[[#This Row],[Harmony]],12,IF(OFFSET(TblMagic[[#This Row],[Active Harmony]],-1,0)&gt;0,OFFSET(TblMagic[[#This Row],[Active Harmony]],-1,0)-1,0))</f>
        <v>0</v>
      </c>
      <c r="AG7" s="57">
        <f ca="1">IF(TblMagic[[#This Row],[Miner''s Sight]],12,IF(OFFSET(TblMagic[[#This Row],[Active Miner''s Sight]],-1,0)&gt;0,OFFSET(TblMagic[[#This Row],[Active Miner''s Sight]],-1,0)-1,0))</f>
        <v>0</v>
      </c>
      <c r="AH7" s="57">
        <f ca="1">IF(TblMagic[[#This Row],[Mechanical Genius]],12,IF(OFFSET(TblMagic[[#This Row],[Active Mechanical Genius]],-1,0)&gt;0,OFFSET(TblMagic[[#This Row],[Active Mechanical Genius]],-1,0)-1,0))</f>
        <v>0</v>
      </c>
      <c r="AI7" s="57">
        <f ca="1">IF(TblMagic[[#This Row],[Death and Decay]],12,IF(OFFSET(TblMagic[[#This Row],[Active DnD]],-1,0)&gt;0,OFFSET(TblMagic[[#This Row],[Active DnD]],-1,0)-1,0))</f>
        <v>0</v>
      </c>
      <c r="AJ7" s="57">
        <f ca="1">IF(TblMagic[[#This Row],[Killing Rage / Bloodrage / Crusade]],12,IF(OFFSET(TblMagic[[#This Row],[Active Warsong / Killing Rage / Bloodrage]],-1,0)&gt;0,OFFSET(TblMagic[[#This Row],[Active Warsong / Killing Rage / Bloodrage]],-1,0)-1,0))</f>
        <v>0</v>
      </c>
      <c r="AK7" s="57">
        <f ca="1">IF(TblMagic[[#This Row],[Gaia''s Blessing]],12,IF(OFFSET(TblMagic[[#This Row],[Active Gaia''s Blessing]],-1,0)&gt;0,OFFSET(TblMagic[[#This Row],[Active Gaia''s Blessing]],-1,0)-1,0))</f>
        <v>0</v>
      </c>
      <c r="AL7" s="57">
        <f ca="1">IF(TblMagic[[#This Row],[Howling]],12,IF(OFFSET(TblMagic[[#This Row],[Active Howling]],-1,0)&gt;0,OFFSET(TblMagic[[#This Row],[Active Howling]],-1,0)-1,0))</f>
        <v>0</v>
      </c>
      <c r="AM7" s="57">
        <f ca="1">IF(TblMagic[[#This Row],[Arcane Infusion]],12,IF(OFFSET(TblMagic[[#This Row],[Active Arc Infusion]],-1,0)&gt;0,OFFSET(TblMagic[[#This Row],[Active Arc Infusion]],-1,0)-1,0))</f>
        <v>0</v>
      </c>
      <c r="AN7" s="57">
        <f ca="1">IF(TblMagic[[#This Row],[Alchemists Flame]],12,IF(OFFSET(TblMagic[[#This Row],[Active Alchemists Flame]],-1,0)&gt;0,OFFSET(TblMagic[[#This Row],[Active Alchemists Flame]],-1,0)-1,0))</f>
        <v>0</v>
      </c>
      <c r="AO7" s="57">
        <f ca="1">IF(TblMagic[[#This Row],[Nightfall]],12,IF(OFFSET(TblMagic[[#This Row],[Active Nightfall]],-1,0)&gt;0,OFFSET(TblMagic[[#This Row],[Active Nightfall]],-1,0)-1,0))</f>
        <v>0</v>
      </c>
      <c r="AP7" s="57">
        <f ca="1">IF(TblMagic[[#This Row],[Favorable Terrain]],12,IF(OFFSET(TblMagic[[#This Row],[Active Favorable Terrain]],-1,0)&gt;0,OFFSET(TblMagic[[#This Row],[Active Favorable Terrain]],-1,0)-1,0))</f>
        <v>0</v>
      </c>
      <c r="AQ7" s="57">
        <f ca="1">IF(TblMagic[[#This Row],[Infernal Command]],12,IF(OFFSET(TblMagic[[#This Row],[Active Infernal Command]],-1,0)&gt;0,OFFSET(TblMagic[[#This Row],[Active Infernal Command]],-1,0)-1,0))</f>
        <v>0</v>
      </c>
    </row>
    <row r="8" spans="1:43" x14ac:dyDescent="0.2">
      <c r="A8" s="137">
        <f>TblRezone[[#This Row],[Hour]]</f>
        <v>5</v>
      </c>
      <c r="B8" s="154">
        <f ca="1">TblConstr[[#This Row],[Land]]</f>
        <v>50</v>
      </c>
      <c r="C8" s="94">
        <f ca="1">TblProd[[#This Row],[Mana]]</f>
        <v>0</v>
      </c>
      <c r="D8" s="156">
        <f ca="1">MIN(1,OFFSET(TblMagic[[#This Row],[Wiz str]],-1,0)+0.04+ROUNDDOWN(10*OFFSET(TblMili[[#This Row],[WG''s]],-1,0),0)+ tech_2_7*OFFSET(TblTech[[#This Row],[2-7]],-1,0) + tech_5_6*OFFSET(TblTech[[#This Row],[5-6]],-1,0) )-TblMagic[[#This Row],[Wiz str cost]]</f>
        <v>1</v>
      </c>
      <c r="E8" s="159">
        <f ca="1">OFFSET(TblMagic[[#This Row],[Time]],-1,0)+1/24</f>
        <v>46320.166666666657</v>
      </c>
      <c r="F8" s="156">
        <f ca="1">TblImps[[#This Row],[Population]]</f>
        <v>1</v>
      </c>
      <c r="G8" s="218"/>
      <c r="H8" s="218"/>
      <c r="I8" s="218"/>
      <c r="J8" s="218"/>
      <c r="K8" s="405"/>
      <c r="L8" s="218"/>
      <c r="M8" s="218"/>
      <c r="N8" s="218"/>
      <c r="O8" s="218"/>
      <c r="P8" s="218"/>
      <c r="Q8" s="218"/>
      <c r="R8" s="218"/>
      <c r="S8" s="218"/>
      <c r="T8" s="218"/>
      <c r="U8" s="218"/>
      <c r="V8" s="218"/>
      <c r="W8" s="218"/>
      <c r="X8" s="142"/>
      <c r="Y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 s="156">
        <f>SUMIF(TblMagic[[#This Row],[Gaia''s Watch]:[Useless spell]],1)*0.05</f>
        <v>0</v>
      </c>
      <c r="AA8" s="142"/>
      <c r="AB8" s="57">
        <f ca="1">IF(TblMagic[[#This Row],[Gaia''s Watch]],12,IF(OFFSET(TblMagic[[#This Row],[Active Gaia''s Watch]],-1,0)&gt;0,OFFSET(TblMagic[[#This Row],[Active Gaia''s Watch]],-1,0)-1,0))</f>
        <v>0</v>
      </c>
      <c r="AC8" s="57">
        <f ca="1">IF(TblMagic[[#This Row],[Mining Strength]],12,IF(OFFSET(TblMagic[[#This Row],[Active Mining Strength]],-1,0)&gt;0,OFFSET(TblMagic[[#This Row],[Active Mining Strength]],-1,0)-1,0))</f>
        <v>0</v>
      </c>
      <c r="AD8" s="57">
        <f ca="1">IF(TblMagic[[#This Row],[Ares Call]],12,IF(OFFSET(TblMagic[[#This Row],[Active Ares Call]],-1,0)&gt;0,OFFSET(TblMagic[[#This Row],[Active Ares Call]],-1,0)-1,0))</f>
        <v>0</v>
      </c>
      <c r="AE8" s="57">
        <f ca="1">IF(TblMagic[[#This Row],[Midas Touch]],12,IF(OFFSET(TblMagic[[#This Row],[Active Midas Touch]],-1,0)&gt;0,OFFSET(TblMagic[[#This Row],[Active Midas Touch]],-1,0)-1,0))</f>
        <v>0</v>
      </c>
      <c r="AF8" s="57">
        <f ca="1">IF(TblMagic[[#This Row],[Harmony]],12,IF(OFFSET(TblMagic[[#This Row],[Active Harmony]],-1,0)&gt;0,OFFSET(TblMagic[[#This Row],[Active Harmony]],-1,0)-1,0))</f>
        <v>0</v>
      </c>
      <c r="AG8" s="57">
        <f ca="1">IF(TblMagic[[#This Row],[Miner''s Sight]],12,IF(OFFSET(TblMagic[[#This Row],[Active Miner''s Sight]],-1,0)&gt;0,OFFSET(TblMagic[[#This Row],[Active Miner''s Sight]],-1,0)-1,0))</f>
        <v>0</v>
      </c>
      <c r="AH8" s="57">
        <f ca="1">IF(TblMagic[[#This Row],[Mechanical Genius]],12,IF(OFFSET(TblMagic[[#This Row],[Active Mechanical Genius]],-1,0)&gt;0,OFFSET(TblMagic[[#This Row],[Active Mechanical Genius]],-1,0)-1,0))</f>
        <v>0</v>
      </c>
      <c r="AI8" s="57">
        <f ca="1">IF(TblMagic[[#This Row],[Death and Decay]],12,IF(OFFSET(TblMagic[[#This Row],[Active DnD]],-1,0)&gt;0,OFFSET(TblMagic[[#This Row],[Active DnD]],-1,0)-1,0))</f>
        <v>0</v>
      </c>
      <c r="AJ8" s="57">
        <f ca="1">IF(TblMagic[[#This Row],[Killing Rage / Bloodrage / Crusade]],12,IF(OFFSET(TblMagic[[#This Row],[Active Warsong / Killing Rage / Bloodrage]],-1,0)&gt;0,OFFSET(TblMagic[[#This Row],[Active Warsong / Killing Rage / Bloodrage]],-1,0)-1,0))</f>
        <v>0</v>
      </c>
      <c r="AK8" s="57">
        <f ca="1">IF(TblMagic[[#This Row],[Gaia''s Blessing]],12,IF(OFFSET(TblMagic[[#This Row],[Active Gaia''s Blessing]],-1,0)&gt;0,OFFSET(TblMagic[[#This Row],[Active Gaia''s Blessing]],-1,0)-1,0))</f>
        <v>0</v>
      </c>
      <c r="AL8" s="57">
        <f ca="1">IF(TblMagic[[#This Row],[Howling]],12,IF(OFFSET(TblMagic[[#This Row],[Active Howling]],-1,0)&gt;0,OFFSET(TblMagic[[#This Row],[Active Howling]],-1,0)-1,0))</f>
        <v>0</v>
      </c>
      <c r="AM8" s="57">
        <f ca="1">IF(TblMagic[[#This Row],[Arcane Infusion]],12,IF(OFFSET(TblMagic[[#This Row],[Active Arc Infusion]],-1,0)&gt;0,OFFSET(TblMagic[[#This Row],[Active Arc Infusion]],-1,0)-1,0))</f>
        <v>0</v>
      </c>
      <c r="AN8" s="57">
        <f ca="1">IF(TblMagic[[#This Row],[Alchemists Flame]],12,IF(OFFSET(TblMagic[[#This Row],[Active Alchemists Flame]],-1,0)&gt;0,OFFSET(TblMagic[[#This Row],[Active Alchemists Flame]],-1,0)-1,0))</f>
        <v>0</v>
      </c>
      <c r="AO8" s="57">
        <f ca="1">IF(TblMagic[[#This Row],[Nightfall]],12,IF(OFFSET(TblMagic[[#This Row],[Active Nightfall]],-1,0)&gt;0,OFFSET(TblMagic[[#This Row],[Active Nightfall]],-1,0)-1,0))</f>
        <v>0</v>
      </c>
      <c r="AP8" s="57">
        <f ca="1">IF(TblMagic[[#This Row],[Favorable Terrain]],12,IF(OFFSET(TblMagic[[#This Row],[Active Favorable Terrain]],-1,0)&gt;0,OFFSET(TblMagic[[#This Row],[Active Favorable Terrain]],-1,0)-1,0))</f>
        <v>0</v>
      </c>
      <c r="AQ8" s="57">
        <f ca="1">IF(TblMagic[[#This Row],[Infernal Command]],12,IF(OFFSET(TblMagic[[#This Row],[Active Infernal Command]],-1,0)&gt;0,OFFSET(TblMagic[[#This Row],[Active Infernal Command]],-1,0)-1,0))</f>
        <v>0</v>
      </c>
    </row>
    <row r="9" spans="1:43" x14ac:dyDescent="0.2">
      <c r="A9" s="137">
        <f>TblRezone[[#This Row],[Hour]]</f>
        <v>6</v>
      </c>
      <c r="B9" s="154">
        <f ca="1">TblConstr[[#This Row],[Land]]</f>
        <v>50</v>
      </c>
      <c r="C9" s="94">
        <f ca="1">TblProd[[#This Row],[Mana]]</f>
        <v>0</v>
      </c>
      <c r="D9" s="156">
        <f ca="1">MIN(1,OFFSET(TblMagic[[#This Row],[Wiz str]],-1,0)+0.04+ROUNDDOWN(10*OFFSET(TblMili[[#This Row],[WG''s]],-1,0),0)+ tech_2_7*OFFSET(TblTech[[#This Row],[2-7]],-1,0) + tech_5_6*OFFSET(TblTech[[#This Row],[5-6]],-1,0) )-TblMagic[[#This Row],[Wiz str cost]]</f>
        <v>1</v>
      </c>
      <c r="E9" s="159">
        <f ca="1">OFFSET(TblMagic[[#This Row],[Time]],-1,0)+1/24</f>
        <v>46320.208333333321</v>
      </c>
      <c r="F9" s="156">
        <f ca="1">TblImps[[#This Row],[Population]]</f>
        <v>1</v>
      </c>
      <c r="G9" s="218"/>
      <c r="H9" s="218"/>
      <c r="I9" s="218"/>
      <c r="J9" s="218"/>
      <c r="K9" s="405"/>
      <c r="L9" s="218"/>
      <c r="M9" s="218"/>
      <c r="N9" s="218"/>
      <c r="O9" s="218"/>
      <c r="P9" s="218"/>
      <c r="Q9" s="218"/>
      <c r="R9" s="218"/>
      <c r="S9" s="218"/>
      <c r="T9" s="218"/>
      <c r="U9" s="218"/>
      <c r="V9" s="218"/>
      <c r="W9" s="218"/>
      <c r="X9" s="142"/>
      <c r="Y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 s="156">
        <f>SUMIF(TblMagic[[#This Row],[Gaia''s Watch]:[Useless spell]],1)*0.05</f>
        <v>0</v>
      </c>
      <c r="AA9" s="142"/>
      <c r="AB9" s="57">
        <f ca="1">IF(TblMagic[[#This Row],[Gaia''s Watch]],12,IF(OFFSET(TblMagic[[#This Row],[Active Gaia''s Watch]],-1,0)&gt;0,OFFSET(TblMagic[[#This Row],[Active Gaia''s Watch]],-1,0)-1,0))</f>
        <v>0</v>
      </c>
      <c r="AC9" s="57">
        <f ca="1">IF(TblMagic[[#This Row],[Mining Strength]],12,IF(OFFSET(TblMagic[[#This Row],[Active Mining Strength]],-1,0)&gt;0,OFFSET(TblMagic[[#This Row],[Active Mining Strength]],-1,0)-1,0))</f>
        <v>0</v>
      </c>
      <c r="AD9" s="57">
        <f ca="1">IF(TblMagic[[#This Row],[Ares Call]],12,IF(OFFSET(TblMagic[[#This Row],[Active Ares Call]],-1,0)&gt;0,OFFSET(TblMagic[[#This Row],[Active Ares Call]],-1,0)-1,0))</f>
        <v>0</v>
      </c>
      <c r="AE9" s="57">
        <f ca="1">IF(TblMagic[[#This Row],[Midas Touch]],12,IF(OFFSET(TblMagic[[#This Row],[Active Midas Touch]],-1,0)&gt;0,OFFSET(TblMagic[[#This Row],[Active Midas Touch]],-1,0)-1,0))</f>
        <v>0</v>
      </c>
      <c r="AF9" s="57">
        <f ca="1">IF(TblMagic[[#This Row],[Harmony]],12,IF(OFFSET(TblMagic[[#This Row],[Active Harmony]],-1,0)&gt;0,OFFSET(TblMagic[[#This Row],[Active Harmony]],-1,0)-1,0))</f>
        <v>0</v>
      </c>
      <c r="AG9" s="57">
        <f ca="1">IF(TblMagic[[#This Row],[Miner''s Sight]],12,IF(OFFSET(TblMagic[[#This Row],[Active Miner''s Sight]],-1,0)&gt;0,OFFSET(TblMagic[[#This Row],[Active Miner''s Sight]],-1,0)-1,0))</f>
        <v>0</v>
      </c>
      <c r="AH9" s="57">
        <f ca="1">IF(TblMagic[[#This Row],[Mechanical Genius]],12,IF(OFFSET(TblMagic[[#This Row],[Active Mechanical Genius]],-1,0)&gt;0,OFFSET(TblMagic[[#This Row],[Active Mechanical Genius]],-1,0)-1,0))</f>
        <v>0</v>
      </c>
      <c r="AI9" s="57">
        <f ca="1">IF(TblMagic[[#This Row],[Death and Decay]],12,IF(OFFSET(TblMagic[[#This Row],[Active DnD]],-1,0)&gt;0,OFFSET(TblMagic[[#This Row],[Active DnD]],-1,0)-1,0))</f>
        <v>0</v>
      </c>
      <c r="AJ9" s="57">
        <f ca="1">IF(TblMagic[[#This Row],[Killing Rage / Bloodrage / Crusade]],12,IF(OFFSET(TblMagic[[#This Row],[Active Warsong / Killing Rage / Bloodrage]],-1,0)&gt;0,OFFSET(TblMagic[[#This Row],[Active Warsong / Killing Rage / Bloodrage]],-1,0)-1,0))</f>
        <v>0</v>
      </c>
      <c r="AK9" s="57">
        <f ca="1">IF(TblMagic[[#This Row],[Gaia''s Blessing]],12,IF(OFFSET(TblMagic[[#This Row],[Active Gaia''s Blessing]],-1,0)&gt;0,OFFSET(TblMagic[[#This Row],[Active Gaia''s Blessing]],-1,0)-1,0))</f>
        <v>0</v>
      </c>
      <c r="AL9" s="57">
        <f ca="1">IF(TblMagic[[#This Row],[Howling]],12,IF(OFFSET(TblMagic[[#This Row],[Active Howling]],-1,0)&gt;0,OFFSET(TblMagic[[#This Row],[Active Howling]],-1,0)-1,0))</f>
        <v>0</v>
      </c>
      <c r="AM9" s="57">
        <f ca="1">IF(TblMagic[[#This Row],[Arcane Infusion]],12,IF(OFFSET(TblMagic[[#This Row],[Active Arc Infusion]],-1,0)&gt;0,OFFSET(TblMagic[[#This Row],[Active Arc Infusion]],-1,0)-1,0))</f>
        <v>0</v>
      </c>
      <c r="AN9" s="57">
        <f ca="1">IF(TblMagic[[#This Row],[Alchemists Flame]],12,IF(OFFSET(TblMagic[[#This Row],[Active Alchemists Flame]],-1,0)&gt;0,OFFSET(TblMagic[[#This Row],[Active Alchemists Flame]],-1,0)-1,0))</f>
        <v>0</v>
      </c>
      <c r="AO9" s="57">
        <f ca="1">IF(TblMagic[[#This Row],[Nightfall]],12,IF(OFFSET(TblMagic[[#This Row],[Active Nightfall]],-1,0)&gt;0,OFFSET(TblMagic[[#This Row],[Active Nightfall]],-1,0)-1,0))</f>
        <v>0</v>
      </c>
      <c r="AP9" s="57">
        <f ca="1">IF(TblMagic[[#This Row],[Favorable Terrain]],12,IF(OFFSET(TblMagic[[#This Row],[Active Favorable Terrain]],-1,0)&gt;0,OFFSET(TblMagic[[#This Row],[Active Favorable Terrain]],-1,0)-1,0))</f>
        <v>0</v>
      </c>
      <c r="AQ9" s="57">
        <f ca="1">IF(TblMagic[[#This Row],[Infernal Command]],12,IF(OFFSET(TblMagic[[#This Row],[Active Infernal Command]],-1,0)&gt;0,OFFSET(TblMagic[[#This Row],[Active Infernal Command]],-1,0)-1,0))</f>
        <v>0</v>
      </c>
    </row>
    <row r="10" spans="1:43" x14ac:dyDescent="0.2">
      <c r="A10" s="137">
        <f>TblRezone[[#This Row],[Hour]]</f>
        <v>7</v>
      </c>
      <c r="B10" s="154">
        <f ca="1">TblConstr[[#This Row],[Land]]</f>
        <v>50</v>
      </c>
      <c r="C10" s="94">
        <f ca="1">TblProd[[#This Row],[Mana]]</f>
        <v>0</v>
      </c>
      <c r="D10" s="156">
        <f ca="1">MIN(1,OFFSET(TblMagic[[#This Row],[Wiz str]],-1,0)+0.04+ROUNDDOWN(10*OFFSET(TblMili[[#This Row],[WG''s]],-1,0),0)+ tech_2_7*OFFSET(TblTech[[#This Row],[2-7]],-1,0) + tech_5_6*OFFSET(TblTech[[#This Row],[5-6]],-1,0) )-TblMagic[[#This Row],[Wiz str cost]]</f>
        <v>1</v>
      </c>
      <c r="E10" s="159">
        <f ca="1">OFFSET(TblMagic[[#This Row],[Time]],-1,0)+1/24</f>
        <v>46320.249999999985</v>
      </c>
      <c r="F10" s="156">
        <f ca="1">TblImps[[#This Row],[Population]]</f>
        <v>1</v>
      </c>
      <c r="G10" s="218"/>
      <c r="H10" s="218"/>
      <c r="I10" s="218"/>
      <c r="J10" s="218"/>
      <c r="K10" s="405"/>
      <c r="L10" s="218"/>
      <c r="M10" s="218"/>
      <c r="N10" s="218"/>
      <c r="O10" s="218"/>
      <c r="P10" s="218"/>
      <c r="Q10" s="218"/>
      <c r="R10" s="218"/>
      <c r="S10" s="218"/>
      <c r="T10" s="218"/>
      <c r="U10" s="218"/>
      <c r="V10" s="218"/>
      <c r="W10" s="218"/>
      <c r="X10" s="142"/>
      <c r="Y1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 s="156">
        <f>SUMIF(TblMagic[[#This Row],[Gaia''s Watch]:[Useless spell]],1)*0.05</f>
        <v>0</v>
      </c>
      <c r="AA10" s="142"/>
      <c r="AB10" s="57">
        <f ca="1">IF(TblMagic[[#This Row],[Gaia''s Watch]],12,IF(OFFSET(TblMagic[[#This Row],[Active Gaia''s Watch]],-1,0)&gt;0,OFFSET(TblMagic[[#This Row],[Active Gaia''s Watch]],-1,0)-1,0))</f>
        <v>0</v>
      </c>
      <c r="AC10" s="57">
        <f ca="1">IF(TblMagic[[#This Row],[Mining Strength]],12,IF(OFFSET(TblMagic[[#This Row],[Active Mining Strength]],-1,0)&gt;0,OFFSET(TblMagic[[#This Row],[Active Mining Strength]],-1,0)-1,0))</f>
        <v>0</v>
      </c>
      <c r="AD10" s="57">
        <f ca="1">IF(TblMagic[[#This Row],[Ares Call]],12,IF(OFFSET(TblMagic[[#This Row],[Active Ares Call]],-1,0)&gt;0,OFFSET(TblMagic[[#This Row],[Active Ares Call]],-1,0)-1,0))</f>
        <v>0</v>
      </c>
      <c r="AE10" s="57">
        <f ca="1">IF(TblMagic[[#This Row],[Midas Touch]],12,IF(OFFSET(TblMagic[[#This Row],[Active Midas Touch]],-1,0)&gt;0,OFFSET(TblMagic[[#This Row],[Active Midas Touch]],-1,0)-1,0))</f>
        <v>0</v>
      </c>
      <c r="AF10" s="57">
        <f ca="1">IF(TblMagic[[#This Row],[Harmony]],12,IF(OFFSET(TblMagic[[#This Row],[Active Harmony]],-1,0)&gt;0,OFFSET(TblMagic[[#This Row],[Active Harmony]],-1,0)-1,0))</f>
        <v>0</v>
      </c>
      <c r="AG10" s="57">
        <f ca="1">IF(TblMagic[[#This Row],[Miner''s Sight]],12,IF(OFFSET(TblMagic[[#This Row],[Active Miner''s Sight]],-1,0)&gt;0,OFFSET(TblMagic[[#This Row],[Active Miner''s Sight]],-1,0)-1,0))</f>
        <v>0</v>
      </c>
      <c r="AH10" s="57">
        <f ca="1">IF(TblMagic[[#This Row],[Mechanical Genius]],12,IF(OFFSET(TblMagic[[#This Row],[Active Mechanical Genius]],-1,0)&gt;0,OFFSET(TblMagic[[#This Row],[Active Mechanical Genius]],-1,0)-1,0))</f>
        <v>0</v>
      </c>
      <c r="AI10" s="57">
        <f ca="1">IF(TblMagic[[#This Row],[Death and Decay]],12,IF(OFFSET(TblMagic[[#This Row],[Active DnD]],-1,0)&gt;0,OFFSET(TblMagic[[#This Row],[Active DnD]],-1,0)-1,0))</f>
        <v>0</v>
      </c>
      <c r="AJ10" s="57">
        <f ca="1">IF(TblMagic[[#This Row],[Killing Rage / Bloodrage / Crusade]],12,IF(OFFSET(TblMagic[[#This Row],[Active Warsong / Killing Rage / Bloodrage]],-1,0)&gt;0,OFFSET(TblMagic[[#This Row],[Active Warsong / Killing Rage / Bloodrage]],-1,0)-1,0))</f>
        <v>0</v>
      </c>
      <c r="AK10" s="57">
        <f ca="1">IF(TblMagic[[#This Row],[Gaia''s Blessing]],12,IF(OFFSET(TblMagic[[#This Row],[Active Gaia''s Blessing]],-1,0)&gt;0,OFFSET(TblMagic[[#This Row],[Active Gaia''s Blessing]],-1,0)-1,0))</f>
        <v>0</v>
      </c>
      <c r="AL10" s="57">
        <f ca="1">IF(TblMagic[[#This Row],[Howling]],12,IF(OFFSET(TblMagic[[#This Row],[Active Howling]],-1,0)&gt;0,OFFSET(TblMagic[[#This Row],[Active Howling]],-1,0)-1,0))</f>
        <v>0</v>
      </c>
      <c r="AM10" s="57">
        <f ca="1">IF(TblMagic[[#This Row],[Arcane Infusion]],12,IF(OFFSET(TblMagic[[#This Row],[Active Arc Infusion]],-1,0)&gt;0,OFFSET(TblMagic[[#This Row],[Active Arc Infusion]],-1,0)-1,0))</f>
        <v>0</v>
      </c>
      <c r="AN10" s="57">
        <f ca="1">IF(TblMagic[[#This Row],[Alchemists Flame]],12,IF(OFFSET(TblMagic[[#This Row],[Active Alchemists Flame]],-1,0)&gt;0,OFFSET(TblMagic[[#This Row],[Active Alchemists Flame]],-1,0)-1,0))</f>
        <v>0</v>
      </c>
      <c r="AO10" s="57">
        <f ca="1">IF(TblMagic[[#This Row],[Nightfall]],12,IF(OFFSET(TblMagic[[#This Row],[Active Nightfall]],-1,0)&gt;0,OFFSET(TblMagic[[#This Row],[Active Nightfall]],-1,0)-1,0))</f>
        <v>0</v>
      </c>
      <c r="AP10" s="57">
        <f ca="1">IF(TblMagic[[#This Row],[Favorable Terrain]],12,IF(OFFSET(TblMagic[[#This Row],[Active Favorable Terrain]],-1,0)&gt;0,OFFSET(TblMagic[[#This Row],[Active Favorable Terrain]],-1,0)-1,0))</f>
        <v>0</v>
      </c>
      <c r="AQ10" s="57">
        <f ca="1">IF(TblMagic[[#This Row],[Infernal Command]],12,IF(OFFSET(TblMagic[[#This Row],[Active Infernal Command]],-1,0)&gt;0,OFFSET(TblMagic[[#This Row],[Active Infernal Command]],-1,0)-1,0))</f>
        <v>0</v>
      </c>
    </row>
    <row r="11" spans="1:43" x14ac:dyDescent="0.2">
      <c r="A11" s="137">
        <f>TblRezone[[#This Row],[Hour]]</f>
        <v>8</v>
      </c>
      <c r="B11" s="154">
        <f ca="1">TblConstr[[#This Row],[Land]]</f>
        <v>50</v>
      </c>
      <c r="C11" s="94">
        <f ca="1">TblProd[[#This Row],[Mana]]</f>
        <v>0</v>
      </c>
      <c r="D11" s="156">
        <f ca="1">MIN(1,OFFSET(TblMagic[[#This Row],[Wiz str]],-1,0)+0.04+ROUNDDOWN(10*OFFSET(TblMili[[#This Row],[WG''s]],-1,0),0)+ tech_2_7*OFFSET(TblTech[[#This Row],[2-7]],-1,0) + tech_5_6*OFFSET(TblTech[[#This Row],[5-6]],-1,0) )-TblMagic[[#This Row],[Wiz str cost]]</f>
        <v>1</v>
      </c>
      <c r="E11" s="159">
        <f ca="1">OFFSET(TblMagic[[#This Row],[Time]],-1,0)+1/24</f>
        <v>46320.29166666665</v>
      </c>
      <c r="F11" s="156">
        <f ca="1">TblImps[[#This Row],[Population]]</f>
        <v>1</v>
      </c>
      <c r="G11" s="218"/>
      <c r="H11" s="218"/>
      <c r="I11" s="218"/>
      <c r="J11" s="218"/>
      <c r="K11" s="405"/>
      <c r="L11" s="218"/>
      <c r="M11" s="218"/>
      <c r="N11" s="218"/>
      <c r="O11" s="218"/>
      <c r="P11" s="218"/>
      <c r="Q11" s="218"/>
      <c r="R11" s="218"/>
      <c r="S11" s="218"/>
      <c r="T11" s="218"/>
      <c r="U11" s="218"/>
      <c r="V11" s="218"/>
      <c r="W11" s="218"/>
      <c r="X11" s="142"/>
      <c r="Y1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 s="156">
        <f>SUMIF(TblMagic[[#This Row],[Gaia''s Watch]:[Useless spell]],1)*0.05</f>
        <v>0</v>
      </c>
      <c r="AA11" s="142"/>
      <c r="AB11" s="57">
        <f ca="1">IF(TblMagic[[#This Row],[Gaia''s Watch]],12,IF(OFFSET(TblMagic[[#This Row],[Active Gaia''s Watch]],-1,0)&gt;0,OFFSET(TblMagic[[#This Row],[Active Gaia''s Watch]],-1,0)-1,0))</f>
        <v>0</v>
      </c>
      <c r="AC11" s="57">
        <f ca="1">IF(TblMagic[[#This Row],[Mining Strength]],12,IF(OFFSET(TblMagic[[#This Row],[Active Mining Strength]],-1,0)&gt;0,OFFSET(TblMagic[[#This Row],[Active Mining Strength]],-1,0)-1,0))</f>
        <v>0</v>
      </c>
      <c r="AD11" s="57">
        <f ca="1">IF(TblMagic[[#This Row],[Ares Call]],12,IF(OFFSET(TblMagic[[#This Row],[Active Ares Call]],-1,0)&gt;0,OFFSET(TblMagic[[#This Row],[Active Ares Call]],-1,0)-1,0))</f>
        <v>0</v>
      </c>
      <c r="AE11" s="57">
        <f ca="1">IF(TblMagic[[#This Row],[Midas Touch]],12,IF(OFFSET(TblMagic[[#This Row],[Active Midas Touch]],-1,0)&gt;0,OFFSET(TblMagic[[#This Row],[Active Midas Touch]],-1,0)-1,0))</f>
        <v>0</v>
      </c>
      <c r="AF11" s="57">
        <f ca="1">IF(TblMagic[[#This Row],[Harmony]],12,IF(OFFSET(TblMagic[[#This Row],[Active Harmony]],-1,0)&gt;0,OFFSET(TblMagic[[#This Row],[Active Harmony]],-1,0)-1,0))</f>
        <v>0</v>
      </c>
      <c r="AG11" s="57">
        <f ca="1">IF(TblMagic[[#This Row],[Miner''s Sight]],12,IF(OFFSET(TblMagic[[#This Row],[Active Miner''s Sight]],-1,0)&gt;0,OFFSET(TblMagic[[#This Row],[Active Miner''s Sight]],-1,0)-1,0))</f>
        <v>0</v>
      </c>
      <c r="AH11" s="57">
        <f ca="1">IF(TblMagic[[#This Row],[Mechanical Genius]],12,IF(OFFSET(TblMagic[[#This Row],[Active Mechanical Genius]],-1,0)&gt;0,OFFSET(TblMagic[[#This Row],[Active Mechanical Genius]],-1,0)-1,0))</f>
        <v>0</v>
      </c>
      <c r="AI11" s="57">
        <f ca="1">IF(TblMagic[[#This Row],[Death and Decay]],12,IF(OFFSET(TblMagic[[#This Row],[Active DnD]],-1,0)&gt;0,OFFSET(TblMagic[[#This Row],[Active DnD]],-1,0)-1,0))</f>
        <v>0</v>
      </c>
      <c r="AJ11" s="57">
        <f ca="1">IF(TblMagic[[#This Row],[Killing Rage / Bloodrage / Crusade]],12,IF(OFFSET(TblMagic[[#This Row],[Active Warsong / Killing Rage / Bloodrage]],-1,0)&gt;0,OFFSET(TblMagic[[#This Row],[Active Warsong / Killing Rage / Bloodrage]],-1,0)-1,0))</f>
        <v>0</v>
      </c>
      <c r="AK11" s="57">
        <f ca="1">IF(TblMagic[[#This Row],[Gaia''s Blessing]],12,IF(OFFSET(TblMagic[[#This Row],[Active Gaia''s Blessing]],-1,0)&gt;0,OFFSET(TblMagic[[#This Row],[Active Gaia''s Blessing]],-1,0)-1,0))</f>
        <v>0</v>
      </c>
      <c r="AL11" s="57">
        <f ca="1">IF(TblMagic[[#This Row],[Howling]],12,IF(OFFSET(TblMagic[[#This Row],[Active Howling]],-1,0)&gt;0,OFFSET(TblMagic[[#This Row],[Active Howling]],-1,0)-1,0))</f>
        <v>0</v>
      </c>
      <c r="AM11" s="57">
        <f ca="1">IF(TblMagic[[#This Row],[Arcane Infusion]],12,IF(OFFSET(TblMagic[[#This Row],[Active Arc Infusion]],-1,0)&gt;0,OFFSET(TblMagic[[#This Row],[Active Arc Infusion]],-1,0)-1,0))</f>
        <v>0</v>
      </c>
      <c r="AN11" s="57">
        <f ca="1">IF(TblMagic[[#This Row],[Alchemists Flame]],12,IF(OFFSET(TblMagic[[#This Row],[Active Alchemists Flame]],-1,0)&gt;0,OFFSET(TblMagic[[#This Row],[Active Alchemists Flame]],-1,0)-1,0))</f>
        <v>0</v>
      </c>
      <c r="AO11" s="57">
        <f ca="1">IF(TblMagic[[#This Row],[Nightfall]],12,IF(OFFSET(TblMagic[[#This Row],[Active Nightfall]],-1,0)&gt;0,OFFSET(TblMagic[[#This Row],[Active Nightfall]],-1,0)-1,0))</f>
        <v>0</v>
      </c>
      <c r="AP11" s="57">
        <f ca="1">IF(TblMagic[[#This Row],[Favorable Terrain]],12,IF(OFFSET(TblMagic[[#This Row],[Active Favorable Terrain]],-1,0)&gt;0,OFFSET(TblMagic[[#This Row],[Active Favorable Terrain]],-1,0)-1,0))</f>
        <v>0</v>
      </c>
      <c r="AQ11" s="57">
        <f ca="1">IF(TblMagic[[#This Row],[Infernal Command]],12,IF(OFFSET(TblMagic[[#This Row],[Active Infernal Command]],-1,0)&gt;0,OFFSET(TblMagic[[#This Row],[Active Infernal Command]],-1,0)-1,0))</f>
        <v>0</v>
      </c>
    </row>
    <row r="12" spans="1:43" x14ac:dyDescent="0.2">
      <c r="A12" s="137">
        <f>TblRezone[[#This Row],[Hour]]</f>
        <v>9</v>
      </c>
      <c r="B12" s="154">
        <f ca="1">TblConstr[[#This Row],[Land]]</f>
        <v>50</v>
      </c>
      <c r="C12" s="94">
        <f ca="1">TblProd[[#This Row],[Mana]]</f>
        <v>0</v>
      </c>
      <c r="D12" s="156">
        <f ca="1">MIN(1,OFFSET(TblMagic[[#This Row],[Wiz str]],-1,0)+0.04+ROUNDDOWN(10*OFFSET(TblMili[[#This Row],[WG''s]],-1,0),0)+ tech_2_7*OFFSET(TblTech[[#This Row],[2-7]],-1,0) + tech_5_6*OFFSET(TblTech[[#This Row],[5-6]],-1,0) )-TblMagic[[#This Row],[Wiz str cost]]</f>
        <v>1</v>
      </c>
      <c r="E12" s="159">
        <f ca="1">OFFSET(TblMagic[[#This Row],[Time]],-1,0)+1/24</f>
        <v>46320.333333333314</v>
      </c>
      <c r="F12" s="156">
        <f ca="1">TblImps[[#This Row],[Population]]</f>
        <v>1</v>
      </c>
      <c r="G12" s="218"/>
      <c r="H12" s="218"/>
      <c r="I12" s="218"/>
      <c r="J12" s="218"/>
      <c r="K12" s="405"/>
      <c r="L12" s="218"/>
      <c r="M12" s="218"/>
      <c r="N12" s="218"/>
      <c r="O12" s="218"/>
      <c r="P12" s="218"/>
      <c r="Q12" s="218"/>
      <c r="R12" s="218"/>
      <c r="S12" s="218"/>
      <c r="T12" s="218"/>
      <c r="U12" s="218"/>
      <c r="V12" s="218"/>
      <c r="W12" s="218"/>
      <c r="X12" s="142"/>
      <c r="Y1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 s="156">
        <f>SUMIF(TblMagic[[#This Row],[Gaia''s Watch]:[Useless spell]],1)*0.05</f>
        <v>0</v>
      </c>
      <c r="AA12" s="142"/>
      <c r="AB12" s="57">
        <f ca="1">IF(TblMagic[[#This Row],[Gaia''s Watch]],12,IF(OFFSET(TblMagic[[#This Row],[Active Gaia''s Watch]],-1,0)&gt;0,OFFSET(TblMagic[[#This Row],[Active Gaia''s Watch]],-1,0)-1,0))</f>
        <v>0</v>
      </c>
      <c r="AC12" s="57">
        <f ca="1">IF(TblMagic[[#This Row],[Mining Strength]],12,IF(OFFSET(TblMagic[[#This Row],[Active Mining Strength]],-1,0)&gt;0,OFFSET(TblMagic[[#This Row],[Active Mining Strength]],-1,0)-1,0))</f>
        <v>0</v>
      </c>
      <c r="AD12" s="57">
        <f ca="1">IF(TblMagic[[#This Row],[Ares Call]],12,IF(OFFSET(TblMagic[[#This Row],[Active Ares Call]],-1,0)&gt;0,OFFSET(TblMagic[[#This Row],[Active Ares Call]],-1,0)-1,0))</f>
        <v>0</v>
      </c>
      <c r="AE12" s="57">
        <f ca="1">IF(TblMagic[[#This Row],[Midas Touch]],12,IF(OFFSET(TblMagic[[#This Row],[Active Midas Touch]],-1,0)&gt;0,OFFSET(TblMagic[[#This Row],[Active Midas Touch]],-1,0)-1,0))</f>
        <v>0</v>
      </c>
      <c r="AF12" s="57">
        <f ca="1">IF(TblMagic[[#This Row],[Harmony]],12,IF(OFFSET(TblMagic[[#This Row],[Active Harmony]],-1,0)&gt;0,OFFSET(TblMagic[[#This Row],[Active Harmony]],-1,0)-1,0))</f>
        <v>0</v>
      </c>
      <c r="AG12" s="57">
        <f ca="1">IF(TblMagic[[#This Row],[Miner''s Sight]],12,IF(OFFSET(TblMagic[[#This Row],[Active Miner''s Sight]],-1,0)&gt;0,OFFSET(TblMagic[[#This Row],[Active Miner''s Sight]],-1,0)-1,0))</f>
        <v>0</v>
      </c>
      <c r="AH12" s="57">
        <f ca="1">IF(TblMagic[[#This Row],[Mechanical Genius]],12,IF(OFFSET(TblMagic[[#This Row],[Active Mechanical Genius]],-1,0)&gt;0,OFFSET(TblMagic[[#This Row],[Active Mechanical Genius]],-1,0)-1,0))</f>
        <v>0</v>
      </c>
      <c r="AI12" s="57">
        <f ca="1">IF(TblMagic[[#This Row],[Death and Decay]],12,IF(OFFSET(TblMagic[[#This Row],[Active DnD]],-1,0)&gt;0,OFFSET(TblMagic[[#This Row],[Active DnD]],-1,0)-1,0))</f>
        <v>0</v>
      </c>
      <c r="AJ12" s="57">
        <f ca="1">IF(TblMagic[[#This Row],[Killing Rage / Bloodrage / Crusade]],12,IF(OFFSET(TblMagic[[#This Row],[Active Warsong / Killing Rage / Bloodrage]],-1,0)&gt;0,OFFSET(TblMagic[[#This Row],[Active Warsong / Killing Rage / Bloodrage]],-1,0)-1,0))</f>
        <v>0</v>
      </c>
      <c r="AK12" s="57">
        <f ca="1">IF(TblMagic[[#This Row],[Gaia''s Blessing]],12,IF(OFFSET(TblMagic[[#This Row],[Active Gaia''s Blessing]],-1,0)&gt;0,OFFSET(TblMagic[[#This Row],[Active Gaia''s Blessing]],-1,0)-1,0))</f>
        <v>0</v>
      </c>
      <c r="AL12" s="57">
        <f ca="1">IF(TblMagic[[#This Row],[Howling]],12,IF(OFFSET(TblMagic[[#This Row],[Active Howling]],-1,0)&gt;0,OFFSET(TblMagic[[#This Row],[Active Howling]],-1,0)-1,0))</f>
        <v>0</v>
      </c>
      <c r="AM12" s="57">
        <f ca="1">IF(TblMagic[[#This Row],[Arcane Infusion]],12,IF(OFFSET(TblMagic[[#This Row],[Active Arc Infusion]],-1,0)&gt;0,OFFSET(TblMagic[[#This Row],[Active Arc Infusion]],-1,0)-1,0))</f>
        <v>0</v>
      </c>
      <c r="AN12" s="57">
        <f ca="1">IF(TblMagic[[#This Row],[Alchemists Flame]],12,IF(OFFSET(TblMagic[[#This Row],[Active Alchemists Flame]],-1,0)&gt;0,OFFSET(TblMagic[[#This Row],[Active Alchemists Flame]],-1,0)-1,0))</f>
        <v>0</v>
      </c>
      <c r="AO12" s="57">
        <f ca="1">IF(TblMagic[[#This Row],[Nightfall]],12,IF(OFFSET(TblMagic[[#This Row],[Active Nightfall]],-1,0)&gt;0,OFFSET(TblMagic[[#This Row],[Active Nightfall]],-1,0)-1,0))</f>
        <v>0</v>
      </c>
      <c r="AP12" s="57">
        <f ca="1">IF(TblMagic[[#This Row],[Favorable Terrain]],12,IF(OFFSET(TblMagic[[#This Row],[Active Favorable Terrain]],-1,0)&gt;0,OFFSET(TblMagic[[#This Row],[Active Favorable Terrain]],-1,0)-1,0))</f>
        <v>0</v>
      </c>
      <c r="AQ12" s="57">
        <f ca="1">IF(TblMagic[[#This Row],[Infernal Command]],12,IF(OFFSET(TblMagic[[#This Row],[Active Infernal Command]],-1,0)&gt;0,OFFSET(TblMagic[[#This Row],[Active Infernal Command]],-1,0)-1,0))</f>
        <v>0</v>
      </c>
    </row>
    <row r="13" spans="1:43" x14ac:dyDescent="0.2">
      <c r="A13" s="137">
        <f>TblRezone[[#This Row],[Hour]]</f>
        <v>10</v>
      </c>
      <c r="B13" s="154">
        <f ca="1">TblConstr[[#This Row],[Land]]</f>
        <v>50</v>
      </c>
      <c r="C13" s="94">
        <f ca="1">TblProd[[#This Row],[Mana]]</f>
        <v>0</v>
      </c>
      <c r="D13" s="156">
        <f ca="1">MIN(1,OFFSET(TblMagic[[#This Row],[Wiz str]],-1,0)+0.04+ROUNDDOWN(10*OFFSET(TblMili[[#This Row],[WG''s]],-1,0),0)+ tech_2_7*OFFSET(TblTech[[#This Row],[2-7]],-1,0) + tech_5_6*OFFSET(TblTech[[#This Row],[5-6]],-1,0) )-TblMagic[[#This Row],[Wiz str cost]]</f>
        <v>1</v>
      </c>
      <c r="E13" s="159">
        <f ca="1">OFFSET(TblMagic[[#This Row],[Time]],-1,0)+1/24</f>
        <v>46320.374999999978</v>
      </c>
      <c r="F13" s="156">
        <f ca="1">TblImps[[#This Row],[Population]]</f>
        <v>1</v>
      </c>
      <c r="G13" s="218"/>
      <c r="H13" s="218"/>
      <c r="I13" s="218"/>
      <c r="J13" s="218"/>
      <c r="K13" s="405"/>
      <c r="L13" s="218"/>
      <c r="M13" s="218"/>
      <c r="N13" s="218"/>
      <c r="O13" s="218"/>
      <c r="P13" s="218"/>
      <c r="Q13" s="218"/>
      <c r="R13" s="218"/>
      <c r="S13" s="218"/>
      <c r="T13" s="218"/>
      <c r="U13" s="218"/>
      <c r="V13" s="218"/>
      <c r="W13" s="218"/>
      <c r="X13" s="142"/>
      <c r="Y1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 s="156">
        <f>SUMIF(TblMagic[[#This Row],[Gaia''s Watch]:[Useless spell]],1)*0.05</f>
        <v>0</v>
      </c>
      <c r="AA13" s="142"/>
      <c r="AB13" s="57">
        <f ca="1">IF(TblMagic[[#This Row],[Gaia''s Watch]],12,IF(OFFSET(TblMagic[[#This Row],[Active Gaia''s Watch]],-1,0)&gt;0,OFFSET(TblMagic[[#This Row],[Active Gaia''s Watch]],-1,0)-1,0))</f>
        <v>0</v>
      </c>
      <c r="AC13" s="57">
        <f ca="1">IF(TblMagic[[#This Row],[Mining Strength]],12,IF(OFFSET(TblMagic[[#This Row],[Active Mining Strength]],-1,0)&gt;0,OFFSET(TblMagic[[#This Row],[Active Mining Strength]],-1,0)-1,0))</f>
        <v>0</v>
      </c>
      <c r="AD13" s="57">
        <f ca="1">IF(TblMagic[[#This Row],[Ares Call]],12,IF(OFFSET(TblMagic[[#This Row],[Active Ares Call]],-1,0)&gt;0,OFFSET(TblMagic[[#This Row],[Active Ares Call]],-1,0)-1,0))</f>
        <v>0</v>
      </c>
      <c r="AE13" s="57">
        <f ca="1">IF(TblMagic[[#This Row],[Midas Touch]],12,IF(OFFSET(TblMagic[[#This Row],[Active Midas Touch]],-1,0)&gt;0,OFFSET(TblMagic[[#This Row],[Active Midas Touch]],-1,0)-1,0))</f>
        <v>0</v>
      </c>
      <c r="AF13" s="57">
        <f ca="1">IF(TblMagic[[#This Row],[Harmony]],12,IF(OFFSET(TblMagic[[#This Row],[Active Harmony]],-1,0)&gt;0,OFFSET(TblMagic[[#This Row],[Active Harmony]],-1,0)-1,0))</f>
        <v>0</v>
      </c>
      <c r="AG13" s="57">
        <f ca="1">IF(TblMagic[[#This Row],[Miner''s Sight]],12,IF(OFFSET(TblMagic[[#This Row],[Active Miner''s Sight]],-1,0)&gt;0,OFFSET(TblMagic[[#This Row],[Active Miner''s Sight]],-1,0)-1,0))</f>
        <v>0</v>
      </c>
      <c r="AH13" s="57">
        <f ca="1">IF(TblMagic[[#This Row],[Mechanical Genius]],12,IF(OFFSET(TblMagic[[#This Row],[Active Mechanical Genius]],-1,0)&gt;0,OFFSET(TblMagic[[#This Row],[Active Mechanical Genius]],-1,0)-1,0))</f>
        <v>0</v>
      </c>
      <c r="AI13" s="57">
        <f ca="1">IF(TblMagic[[#This Row],[Death and Decay]],12,IF(OFFSET(TblMagic[[#This Row],[Active DnD]],-1,0)&gt;0,OFFSET(TblMagic[[#This Row],[Active DnD]],-1,0)-1,0))</f>
        <v>0</v>
      </c>
      <c r="AJ13" s="57">
        <f ca="1">IF(TblMagic[[#This Row],[Killing Rage / Bloodrage / Crusade]],12,IF(OFFSET(TblMagic[[#This Row],[Active Warsong / Killing Rage / Bloodrage]],-1,0)&gt;0,OFFSET(TblMagic[[#This Row],[Active Warsong / Killing Rage / Bloodrage]],-1,0)-1,0))</f>
        <v>0</v>
      </c>
      <c r="AK13" s="57">
        <f ca="1">IF(TblMagic[[#This Row],[Gaia''s Blessing]],12,IF(OFFSET(TblMagic[[#This Row],[Active Gaia''s Blessing]],-1,0)&gt;0,OFFSET(TblMagic[[#This Row],[Active Gaia''s Blessing]],-1,0)-1,0))</f>
        <v>0</v>
      </c>
      <c r="AL13" s="57">
        <f ca="1">IF(TblMagic[[#This Row],[Howling]],12,IF(OFFSET(TblMagic[[#This Row],[Active Howling]],-1,0)&gt;0,OFFSET(TblMagic[[#This Row],[Active Howling]],-1,0)-1,0))</f>
        <v>0</v>
      </c>
      <c r="AM13" s="57">
        <f ca="1">IF(TblMagic[[#This Row],[Arcane Infusion]],12,IF(OFFSET(TblMagic[[#This Row],[Active Arc Infusion]],-1,0)&gt;0,OFFSET(TblMagic[[#This Row],[Active Arc Infusion]],-1,0)-1,0))</f>
        <v>0</v>
      </c>
      <c r="AN13" s="57">
        <f ca="1">IF(TblMagic[[#This Row],[Alchemists Flame]],12,IF(OFFSET(TblMagic[[#This Row],[Active Alchemists Flame]],-1,0)&gt;0,OFFSET(TblMagic[[#This Row],[Active Alchemists Flame]],-1,0)-1,0))</f>
        <v>0</v>
      </c>
      <c r="AO13" s="57">
        <f ca="1">IF(TblMagic[[#This Row],[Nightfall]],12,IF(OFFSET(TblMagic[[#This Row],[Active Nightfall]],-1,0)&gt;0,OFFSET(TblMagic[[#This Row],[Active Nightfall]],-1,0)-1,0))</f>
        <v>0</v>
      </c>
      <c r="AP13" s="57">
        <f ca="1">IF(TblMagic[[#This Row],[Favorable Terrain]],12,IF(OFFSET(TblMagic[[#This Row],[Active Favorable Terrain]],-1,0)&gt;0,OFFSET(TblMagic[[#This Row],[Active Favorable Terrain]],-1,0)-1,0))</f>
        <v>0</v>
      </c>
      <c r="AQ13" s="57">
        <f ca="1">IF(TblMagic[[#This Row],[Infernal Command]],12,IF(OFFSET(TblMagic[[#This Row],[Active Infernal Command]],-1,0)&gt;0,OFFSET(TblMagic[[#This Row],[Active Infernal Command]],-1,0)-1,0))</f>
        <v>0</v>
      </c>
    </row>
    <row r="14" spans="1:43" x14ac:dyDescent="0.2">
      <c r="A14" s="137">
        <f>TblRezone[[#This Row],[Hour]]</f>
        <v>11</v>
      </c>
      <c r="B14" s="154">
        <f ca="1">TblConstr[[#This Row],[Land]]</f>
        <v>50</v>
      </c>
      <c r="C14" s="94">
        <f ca="1">TblProd[[#This Row],[Mana]]</f>
        <v>0</v>
      </c>
      <c r="D14" s="156">
        <f ca="1">MIN(1,OFFSET(TblMagic[[#This Row],[Wiz str]],-1,0)+0.04+ROUNDDOWN(10*OFFSET(TblMili[[#This Row],[WG''s]],-1,0),0)+ tech_2_7*OFFSET(TblTech[[#This Row],[2-7]],-1,0) + tech_5_6*OFFSET(TblTech[[#This Row],[5-6]],-1,0) )-TblMagic[[#This Row],[Wiz str cost]]</f>
        <v>1</v>
      </c>
      <c r="E14" s="159">
        <f ca="1">OFFSET(TblMagic[[#This Row],[Time]],-1,0)+1/24</f>
        <v>46320.416666666642</v>
      </c>
      <c r="F14" s="156">
        <f ca="1">TblImps[[#This Row],[Population]]</f>
        <v>1</v>
      </c>
      <c r="G14" s="218"/>
      <c r="H14" s="218"/>
      <c r="I14" s="218"/>
      <c r="J14" s="218"/>
      <c r="K14" s="405"/>
      <c r="L14" s="218"/>
      <c r="M14" s="218"/>
      <c r="N14" s="218"/>
      <c r="O14" s="218"/>
      <c r="P14" s="218"/>
      <c r="Q14" s="218"/>
      <c r="R14" s="218"/>
      <c r="S14" s="218"/>
      <c r="T14" s="218"/>
      <c r="U14" s="218"/>
      <c r="V14" s="218"/>
      <c r="W14" s="218"/>
      <c r="X14" s="142"/>
      <c r="Y1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4" s="156">
        <f>SUMIF(TblMagic[[#This Row],[Gaia''s Watch]:[Useless spell]],1)*0.05</f>
        <v>0</v>
      </c>
      <c r="AA14" s="142"/>
      <c r="AB14" s="57">
        <f ca="1">IF(TblMagic[[#This Row],[Gaia''s Watch]],12,IF(OFFSET(TblMagic[[#This Row],[Active Gaia''s Watch]],-1,0)&gt;0,OFFSET(TblMagic[[#This Row],[Active Gaia''s Watch]],-1,0)-1,0))</f>
        <v>0</v>
      </c>
      <c r="AC14" s="57">
        <f ca="1">IF(TblMagic[[#This Row],[Mining Strength]],12,IF(OFFSET(TblMagic[[#This Row],[Active Mining Strength]],-1,0)&gt;0,OFFSET(TblMagic[[#This Row],[Active Mining Strength]],-1,0)-1,0))</f>
        <v>0</v>
      </c>
      <c r="AD14" s="57">
        <f ca="1">IF(TblMagic[[#This Row],[Ares Call]],12,IF(OFFSET(TblMagic[[#This Row],[Active Ares Call]],-1,0)&gt;0,OFFSET(TblMagic[[#This Row],[Active Ares Call]],-1,0)-1,0))</f>
        <v>0</v>
      </c>
      <c r="AE14" s="57">
        <f ca="1">IF(TblMagic[[#This Row],[Midas Touch]],12,IF(OFFSET(TblMagic[[#This Row],[Active Midas Touch]],-1,0)&gt;0,OFFSET(TblMagic[[#This Row],[Active Midas Touch]],-1,0)-1,0))</f>
        <v>0</v>
      </c>
      <c r="AF14" s="57">
        <f ca="1">IF(TblMagic[[#This Row],[Harmony]],12,IF(OFFSET(TblMagic[[#This Row],[Active Harmony]],-1,0)&gt;0,OFFSET(TblMagic[[#This Row],[Active Harmony]],-1,0)-1,0))</f>
        <v>0</v>
      </c>
      <c r="AG14" s="57">
        <f ca="1">IF(TblMagic[[#This Row],[Miner''s Sight]],12,IF(OFFSET(TblMagic[[#This Row],[Active Miner''s Sight]],-1,0)&gt;0,OFFSET(TblMagic[[#This Row],[Active Miner''s Sight]],-1,0)-1,0))</f>
        <v>0</v>
      </c>
      <c r="AH14" s="57">
        <f ca="1">IF(TblMagic[[#This Row],[Mechanical Genius]],12,IF(OFFSET(TblMagic[[#This Row],[Active Mechanical Genius]],-1,0)&gt;0,OFFSET(TblMagic[[#This Row],[Active Mechanical Genius]],-1,0)-1,0))</f>
        <v>0</v>
      </c>
      <c r="AI14" s="57">
        <f ca="1">IF(TblMagic[[#This Row],[Death and Decay]],12,IF(OFFSET(TblMagic[[#This Row],[Active DnD]],-1,0)&gt;0,OFFSET(TblMagic[[#This Row],[Active DnD]],-1,0)-1,0))</f>
        <v>0</v>
      </c>
      <c r="AJ14" s="57">
        <f ca="1">IF(TblMagic[[#This Row],[Killing Rage / Bloodrage / Crusade]],12,IF(OFFSET(TblMagic[[#This Row],[Active Warsong / Killing Rage / Bloodrage]],-1,0)&gt;0,OFFSET(TblMagic[[#This Row],[Active Warsong / Killing Rage / Bloodrage]],-1,0)-1,0))</f>
        <v>0</v>
      </c>
      <c r="AK14" s="57">
        <f ca="1">IF(TblMagic[[#This Row],[Gaia''s Blessing]],12,IF(OFFSET(TblMagic[[#This Row],[Active Gaia''s Blessing]],-1,0)&gt;0,OFFSET(TblMagic[[#This Row],[Active Gaia''s Blessing]],-1,0)-1,0))</f>
        <v>0</v>
      </c>
      <c r="AL14" s="57">
        <f ca="1">IF(TblMagic[[#This Row],[Howling]],12,IF(OFFSET(TblMagic[[#This Row],[Active Howling]],-1,0)&gt;0,OFFSET(TblMagic[[#This Row],[Active Howling]],-1,0)-1,0))</f>
        <v>0</v>
      </c>
      <c r="AM14" s="57">
        <f ca="1">IF(TblMagic[[#This Row],[Arcane Infusion]],12,IF(OFFSET(TblMagic[[#This Row],[Active Arc Infusion]],-1,0)&gt;0,OFFSET(TblMagic[[#This Row],[Active Arc Infusion]],-1,0)-1,0))</f>
        <v>0</v>
      </c>
      <c r="AN14" s="57">
        <f ca="1">IF(TblMagic[[#This Row],[Alchemists Flame]],12,IF(OFFSET(TblMagic[[#This Row],[Active Alchemists Flame]],-1,0)&gt;0,OFFSET(TblMagic[[#This Row],[Active Alchemists Flame]],-1,0)-1,0))</f>
        <v>0</v>
      </c>
      <c r="AO14" s="57">
        <f ca="1">IF(TblMagic[[#This Row],[Nightfall]],12,IF(OFFSET(TblMagic[[#This Row],[Active Nightfall]],-1,0)&gt;0,OFFSET(TblMagic[[#This Row],[Active Nightfall]],-1,0)-1,0))</f>
        <v>0</v>
      </c>
      <c r="AP14" s="57">
        <f ca="1">IF(TblMagic[[#This Row],[Favorable Terrain]],12,IF(OFFSET(TblMagic[[#This Row],[Active Favorable Terrain]],-1,0)&gt;0,OFFSET(TblMagic[[#This Row],[Active Favorable Terrain]],-1,0)-1,0))</f>
        <v>0</v>
      </c>
      <c r="AQ14" s="57">
        <f ca="1">IF(TblMagic[[#This Row],[Infernal Command]],12,IF(OFFSET(TblMagic[[#This Row],[Active Infernal Command]],-1,0)&gt;0,OFFSET(TblMagic[[#This Row],[Active Infernal Command]],-1,0)-1,0))</f>
        <v>0</v>
      </c>
    </row>
    <row r="15" spans="1:43" x14ac:dyDescent="0.2">
      <c r="A15" s="137">
        <f>TblRezone[[#This Row],[Hour]]</f>
        <v>12</v>
      </c>
      <c r="B15" s="154">
        <f ca="1">TblConstr[[#This Row],[Land]]</f>
        <v>50</v>
      </c>
      <c r="C15" s="94">
        <f ca="1">TblProd[[#This Row],[Mana]]</f>
        <v>0</v>
      </c>
      <c r="D15" s="156">
        <f ca="1">MIN(1,OFFSET(TblMagic[[#This Row],[Wiz str]],-1,0)+0.04+ROUNDDOWN(10*OFFSET(TblMili[[#This Row],[WG''s]],-1,0),0)+ tech_2_7*OFFSET(TblTech[[#This Row],[2-7]],-1,0) + tech_5_6*OFFSET(TblTech[[#This Row],[5-6]],-1,0) )-TblMagic[[#This Row],[Wiz str cost]]</f>
        <v>1</v>
      </c>
      <c r="E15" s="159">
        <f ca="1">OFFSET(TblMagic[[#This Row],[Time]],-1,0)+1/24</f>
        <v>46320.458333333307</v>
      </c>
      <c r="F15" s="156">
        <f ca="1">TblImps[[#This Row],[Population]]</f>
        <v>1</v>
      </c>
      <c r="G15" s="218"/>
      <c r="H15" s="218"/>
      <c r="I15" s="218"/>
      <c r="J15" s="218"/>
      <c r="K15" s="405"/>
      <c r="L15" s="218"/>
      <c r="M15" s="218"/>
      <c r="N15" s="218"/>
      <c r="O15" s="218"/>
      <c r="P15" s="218"/>
      <c r="Q15" s="218"/>
      <c r="R15" s="218"/>
      <c r="S15" s="218"/>
      <c r="T15" s="218"/>
      <c r="U15" s="218"/>
      <c r="V15" s="218"/>
      <c r="W15" s="218"/>
      <c r="X15" s="142"/>
      <c r="Y1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5" s="156">
        <f>SUMIF(TblMagic[[#This Row],[Gaia''s Watch]:[Useless spell]],1)*0.05</f>
        <v>0</v>
      </c>
      <c r="AA15" s="142"/>
      <c r="AB15" s="57">
        <f ca="1">IF(TblMagic[[#This Row],[Gaia''s Watch]],12,IF(OFFSET(TblMagic[[#This Row],[Active Gaia''s Watch]],-1,0)&gt;0,OFFSET(TblMagic[[#This Row],[Active Gaia''s Watch]],-1,0)-1,0))</f>
        <v>0</v>
      </c>
      <c r="AC15" s="57">
        <f ca="1">IF(TblMagic[[#This Row],[Mining Strength]],12,IF(OFFSET(TblMagic[[#This Row],[Active Mining Strength]],-1,0)&gt;0,OFFSET(TblMagic[[#This Row],[Active Mining Strength]],-1,0)-1,0))</f>
        <v>0</v>
      </c>
      <c r="AD15" s="57">
        <f ca="1">IF(TblMagic[[#This Row],[Ares Call]],12,IF(OFFSET(TblMagic[[#This Row],[Active Ares Call]],-1,0)&gt;0,OFFSET(TblMagic[[#This Row],[Active Ares Call]],-1,0)-1,0))</f>
        <v>0</v>
      </c>
      <c r="AE15" s="57">
        <f ca="1">IF(TblMagic[[#This Row],[Midas Touch]],12,IF(OFFSET(TblMagic[[#This Row],[Active Midas Touch]],-1,0)&gt;0,OFFSET(TblMagic[[#This Row],[Active Midas Touch]],-1,0)-1,0))</f>
        <v>0</v>
      </c>
      <c r="AF15" s="57">
        <f ca="1">IF(TblMagic[[#This Row],[Harmony]],12,IF(OFFSET(TblMagic[[#This Row],[Active Harmony]],-1,0)&gt;0,OFFSET(TblMagic[[#This Row],[Active Harmony]],-1,0)-1,0))</f>
        <v>0</v>
      </c>
      <c r="AG15" s="57">
        <f ca="1">IF(TblMagic[[#This Row],[Miner''s Sight]],12,IF(OFFSET(TblMagic[[#This Row],[Active Miner''s Sight]],-1,0)&gt;0,OFFSET(TblMagic[[#This Row],[Active Miner''s Sight]],-1,0)-1,0))</f>
        <v>0</v>
      </c>
      <c r="AH15" s="57">
        <f ca="1">IF(TblMagic[[#This Row],[Mechanical Genius]],12,IF(OFFSET(TblMagic[[#This Row],[Active Mechanical Genius]],-1,0)&gt;0,OFFSET(TblMagic[[#This Row],[Active Mechanical Genius]],-1,0)-1,0))</f>
        <v>0</v>
      </c>
      <c r="AI15" s="57">
        <f ca="1">IF(TblMagic[[#This Row],[Death and Decay]],12,IF(OFFSET(TblMagic[[#This Row],[Active DnD]],-1,0)&gt;0,OFFSET(TblMagic[[#This Row],[Active DnD]],-1,0)-1,0))</f>
        <v>0</v>
      </c>
      <c r="AJ15" s="57">
        <f ca="1">IF(TblMagic[[#This Row],[Killing Rage / Bloodrage / Crusade]],12,IF(OFFSET(TblMagic[[#This Row],[Active Warsong / Killing Rage / Bloodrage]],-1,0)&gt;0,OFFSET(TblMagic[[#This Row],[Active Warsong / Killing Rage / Bloodrage]],-1,0)-1,0))</f>
        <v>0</v>
      </c>
      <c r="AK15" s="57">
        <f ca="1">IF(TblMagic[[#This Row],[Gaia''s Blessing]],12,IF(OFFSET(TblMagic[[#This Row],[Active Gaia''s Blessing]],-1,0)&gt;0,OFFSET(TblMagic[[#This Row],[Active Gaia''s Blessing]],-1,0)-1,0))</f>
        <v>0</v>
      </c>
      <c r="AL15" s="57">
        <f ca="1">IF(TblMagic[[#This Row],[Howling]],12,IF(OFFSET(TblMagic[[#This Row],[Active Howling]],-1,0)&gt;0,OFFSET(TblMagic[[#This Row],[Active Howling]],-1,0)-1,0))</f>
        <v>0</v>
      </c>
      <c r="AM15" s="57">
        <f ca="1">IF(TblMagic[[#This Row],[Arcane Infusion]],12,IF(OFFSET(TblMagic[[#This Row],[Active Arc Infusion]],-1,0)&gt;0,OFFSET(TblMagic[[#This Row],[Active Arc Infusion]],-1,0)-1,0))</f>
        <v>0</v>
      </c>
      <c r="AN15" s="57">
        <f ca="1">IF(TblMagic[[#This Row],[Alchemists Flame]],12,IF(OFFSET(TblMagic[[#This Row],[Active Alchemists Flame]],-1,0)&gt;0,OFFSET(TblMagic[[#This Row],[Active Alchemists Flame]],-1,0)-1,0))</f>
        <v>0</v>
      </c>
      <c r="AO15" s="57">
        <f ca="1">IF(TblMagic[[#This Row],[Nightfall]],12,IF(OFFSET(TblMagic[[#This Row],[Active Nightfall]],-1,0)&gt;0,OFFSET(TblMagic[[#This Row],[Active Nightfall]],-1,0)-1,0))</f>
        <v>0</v>
      </c>
      <c r="AP15" s="57">
        <f ca="1">IF(TblMagic[[#This Row],[Favorable Terrain]],12,IF(OFFSET(TblMagic[[#This Row],[Active Favorable Terrain]],-1,0)&gt;0,OFFSET(TblMagic[[#This Row],[Active Favorable Terrain]],-1,0)-1,0))</f>
        <v>0</v>
      </c>
      <c r="AQ15" s="57">
        <f ca="1">IF(TblMagic[[#This Row],[Infernal Command]],12,IF(OFFSET(TblMagic[[#This Row],[Active Infernal Command]],-1,0)&gt;0,OFFSET(TblMagic[[#This Row],[Active Infernal Command]],-1,0)-1,0))</f>
        <v>0</v>
      </c>
    </row>
    <row r="16" spans="1:43" x14ac:dyDescent="0.2">
      <c r="A16" s="137">
        <f>TblRezone[[#This Row],[Hour]]</f>
        <v>13</v>
      </c>
      <c r="B16" s="154">
        <f ca="1">TblConstr[[#This Row],[Land]]</f>
        <v>50</v>
      </c>
      <c r="C16" s="94">
        <f ca="1">TblProd[[#This Row],[Mana]]</f>
        <v>0</v>
      </c>
      <c r="D16" s="156">
        <f ca="1">MIN(1,OFFSET(TblMagic[[#This Row],[Wiz str]],-1,0)+0.04+ROUNDDOWN(10*OFFSET(TblMili[[#This Row],[WG''s]],-1,0),0)+ tech_2_7*OFFSET(TblTech[[#This Row],[2-7]],-1,0) + tech_5_6*OFFSET(TblTech[[#This Row],[5-6]],-1,0) )-TblMagic[[#This Row],[Wiz str cost]]</f>
        <v>1</v>
      </c>
      <c r="E16" s="159">
        <f ca="1">OFFSET(TblMagic[[#This Row],[Time]],-1,0)+1/24</f>
        <v>46320.499999999971</v>
      </c>
      <c r="F16" s="156">
        <f ca="1">TblImps[[#This Row],[Population]]</f>
        <v>1</v>
      </c>
      <c r="G16" s="218"/>
      <c r="H16" s="218"/>
      <c r="I16" s="218"/>
      <c r="J16" s="218"/>
      <c r="K16" s="405"/>
      <c r="L16" s="218"/>
      <c r="M16" s="218"/>
      <c r="N16" s="218"/>
      <c r="O16" s="218"/>
      <c r="P16" s="218"/>
      <c r="Q16" s="218"/>
      <c r="R16" s="218"/>
      <c r="S16" s="218"/>
      <c r="T16" s="218"/>
      <c r="U16" s="218"/>
      <c r="V16" s="218"/>
      <c r="W16" s="218"/>
      <c r="X16" s="142"/>
      <c r="Y1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6" s="156">
        <f>SUMIF(TblMagic[[#This Row],[Gaia''s Watch]:[Useless spell]],1)*0.05</f>
        <v>0</v>
      </c>
      <c r="AA16" s="142"/>
      <c r="AB16" s="57">
        <f ca="1">IF(TblMagic[[#This Row],[Gaia''s Watch]],12,IF(OFFSET(TblMagic[[#This Row],[Active Gaia''s Watch]],-1,0)&gt;0,OFFSET(TblMagic[[#This Row],[Active Gaia''s Watch]],-1,0)-1,0))</f>
        <v>0</v>
      </c>
      <c r="AC16" s="57">
        <f ca="1">IF(TblMagic[[#This Row],[Mining Strength]],12,IF(OFFSET(TblMagic[[#This Row],[Active Mining Strength]],-1,0)&gt;0,OFFSET(TblMagic[[#This Row],[Active Mining Strength]],-1,0)-1,0))</f>
        <v>0</v>
      </c>
      <c r="AD16" s="57">
        <f ca="1">IF(TblMagic[[#This Row],[Ares Call]],12,IF(OFFSET(TblMagic[[#This Row],[Active Ares Call]],-1,0)&gt;0,OFFSET(TblMagic[[#This Row],[Active Ares Call]],-1,0)-1,0))</f>
        <v>0</v>
      </c>
      <c r="AE16" s="57">
        <f ca="1">IF(TblMagic[[#This Row],[Midas Touch]],12,IF(OFFSET(TblMagic[[#This Row],[Active Midas Touch]],-1,0)&gt;0,OFFSET(TblMagic[[#This Row],[Active Midas Touch]],-1,0)-1,0))</f>
        <v>0</v>
      </c>
      <c r="AF16" s="57">
        <f ca="1">IF(TblMagic[[#This Row],[Harmony]],12,IF(OFFSET(TblMagic[[#This Row],[Active Harmony]],-1,0)&gt;0,OFFSET(TblMagic[[#This Row],[Active Harmony]],-1,0)-1,0))</f>
        <v>0</v>
      </c>
      <c r="AG16" s="57">
        <f ca="1">IF(TblMagic[[#This Row],[Miner''s Sight]],12,IF(OFFSET(TblMagic[[#This Row],[Active Miner''s Sight]],-1,0)&gt;0,OFFSET(TblMagic[[#This Row],[Active Miner''s Sight]],-1,0)-1,0))</f>
        <v>0</v>
      </c>
      <c r="AH16" s="57">
        <f ca="1">IF(TblMagic[[#This Row],[Mechanical Genius]],12,IF(OFFSET(TblMagic[[#This Row],[Active Mechanical Genius]],-1,0)&gt;0,OFFSET(TblMagic[[#This Row],[Active Mechanical Genius]],-1,0)-1,0))</f>
        <v>0</v>
      </c>
      <c r="AI16" s="57">
        <f ca="1">IF(TblMagic[[#This Row],[Death and Decay]],12,IF(OFFSET(TblMagic[[#This Row],[Active DnD]],-1,0)&gt;0,OFFSET(TblMagic[[#This Row],[Active DnD]],-1,0)-1,0))</f>
        <v>0</v>
      </c>
      <c r="AJ16" s="57">
        <f ca="1">IF(TblMagic[[#This Row],[Killing Rage / Bloodrage / Crusade]],12,IF(OFFSET(TblMagic[[#This Row],[Active Warsong / Killing Rage / Bloodrage]],-1,0)&gt;0,OFFSET(TblMagic[[#This Row],[Active Warsong / Killing Rage / Bloodrage]],-1,0)-1,0))</f>
        <v>0</v>
      </c>
      <c r="AK16" s="57">
        <f ca="1">IF(TblMagic[[#This Row],[Gaia''s Blessing]],12,IF(OFFSET(TblMagic[[#This Row],[Active Gaia''s Blessing]],-1,0)&gt;0,OFFSET(TblMagic[[#This Row],[Active Gaia''s Blessing]],-1,0)-1,0))</f>
        <v>0</v>
      </c>
      <c r="AL16" s="57">
        <f ca="1">IF(TblMagic[[#This Row],[Howling]],12,IF(OFFSET(TblMagic[[#This Row],[Active Howling]],-1,0)&gt;0,OFFSET(TblMagic[[#This Row],[Active Howling]],-1,0)-1,0))</f>
        <v>0</v>
      </c>
      <c r="AM16" s="57">
        <f ca="1">IF(TblMagic[[#This Row],[Arcane Infusion]],12,IF(OFFSET(TblMagic[[#This Row],[Active Arc Infusion]],-1,0)&gt;0,OFFSET(TblMagic[[#This Row],[Active Arc Infusion]],-1,0)-1,0))</f>
        <v>0</v>
      </c>
      <c r="AN16" s="57">
        <f ca="1">IF(TblMagic[[#This Row],[Alchemists Flame]],12,IF(OFFSET(TblMagic[[#This Row],[Active Alchemists Flame]],-1,0)&gt;0,OFFSET(TblMagic[[#This Row],[Active Alchemists Flame]],-1,0)-1,0))</f>
        <v>0</v>
      </c>
      <c r="AO16" s="57">
        <f ca="1">IF(TblMagic[[#This Row],[Nightfall]],12,IF(OFFSET(TblMagic[[#This Row],[Active Nightfall]],-1,0)&gt;0,OFFSET(TblMagic[[#This Row],[Active Nightfall]],-1,0)-1,0))</f>
        <v>0</v>
      </c>
      <c r="AP16" s="57">
        <f ca="1">IF(TblMagic[[#This Row],[Favorable Terrain]],12,IF(OFFSET(TblMagic[[#This Row],[Active Favorable Terrain]],-1,0)&gt;0,OFFSET(TblMagic[[#This Row],[Active Favorable Terrain]],-1,0)-1,0))</f>
        <v>0</v>
      </c>
      <c r="AQ16" s="57">
        <f ca="1">IF(TblMagic[[#This Row],[Infernal Command]],12,IF(OFFSET(TblMagic[[#This Row],[Active Infernal Command]],-1,0)&gt;0,OFFSET(TblMagic[[#This Row],[Active Infernal Command]],-1,0)-1,0))</f>
        <v>0</v>
      </c>
    </row>
    <row r="17" spans="1:43" x14ac:dyDescent="0.2">
      <c r="A17" s="137">
        <f>TblRezone[[#This Row],[Hour]]</f>
        <v>14</v>
      </c>
      <c r="B17" s="154">
        <f ca="1">TblConstr[[#This Row],[Land]]</f>
        <v>50</v>
      </c>
      <c r="C17" s="94">
        <f ca="1">TblProd[[#This Row],[Mana]]</f>
        <v>0</v>
      </c>
      <c r="D17" s="156">
        <f ca="1">MIN(1,OFFSET(TblMagic[[#This Row],[Wiz str]],-1,0)+0.04+ROUNDDOWN(10*OFFSET(TblMili[[#This Row],[WG''s]],-1,0),0)+ tech_2_7*OFFSET(TblTech[[#This Row],[2-7]],-1,0) + tech_5_6*OFFSET(TblTech[[#This Row],[5-6]],-1,0) )-TblMagic[[#This Row],[Wiz str cost]]</f>
        <v>1</v>
      </c>
      <c r="E17" s="159">
        <f ca="1">OFFSET(TblMagic[[#This Row],[Time]],-1,0)+1/24</f>
        <v>46320.541666666635</v>
      </c>
      <c r="F17" s="156">
        <f ca="1">TblImps[[#This Row],[Population]]</f>
        <v>1</v>
      </c>
      <c r="G17" s="218"/>
      <c r="H17" s="218"/>
      <c r="I17" s="218"/>
      <c r="J17" s="218"/>
      <c r="K17" s="405"/>
      <c r="L17" s="218"/>
      <c r="M17" s="218"/>
      <c r="N17" s="218"/>
      <c r="O17" s="218"/>
      <c r="P17" s="218"/>
      <c r="Q17" s="218"/>
      <c r="R17" s="218"/>
      <c r="S17" s="218"/>
      <c r="T17" s="218"/>
      <c r="U17" s="218"/>
      <c r="V17" s="218"/>
      <c r="W17" s="218"/>
      <c r="X17" s="142"/>
      <c r="Y1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7" s="156">
        <f>SUMIF(TblMagic[[#This Row],[Gaia''s Watch]:[Useless spell]],1)*0.05</f>
        <v>0</v>
      </c>
      <c r="AA17" s="142"/>
      <c r="AB17" s="57">
        <f ca="1">IF(TblMagic[[#This Row],[Gaia''s Watch]],12,IF(OFFSET(TblMagic[[#This Row],[Active Gaia''s Watch]],-1,0)&gt;0,OFFSET(TblMagic[[#This Row],[Active Gaia''s Watch]],-1,0)-1,0))</f>
        <v>0</v>
      </c>
      <c r="AC17" s="57">
        <f ca="1">IF(TblMagic[[#This Row],[Mining Strength]],12,IF(OFFSET(TblMagic[[#This Row],[Active Mining Strength]],-1,0)&gt;0,OFFSET(TblMagic[[#This Row],[Active Mining Strength]],-1,0)-1,0))</f>
        <v>0</v>
      </c>
      <c r="AD17" s="57">
        <f ca="1">IF(TblMagic[[#This Row],[Ares Call]],12,IF(OFFSET(TblMagic[[#This Row],[Active Ares Call]],-1,0)&gt;0,OFFSET(TblMagic[[#This Row],[Active Ares Call]],-1,0)-1,0))</f>
        <v>0</v>
      </c>
      <c r="AE17" s="57">
        <f ca="1">IF(TblMagic[[#This Row],[Midas Touch]],12,IF(OFFSET(TblMagic[[#This Row],[Active Midas Touch]],-1,0)&gt;0,OFFSET(TblMagic[[#This Row],[Active Midas Touch]],-1,0)-1,0))</f>
        <v>0</v>
      </c>
      <c r="AF17" s="57">
        <f ca="1">IF(TblMagic[[#This Row],[Harmony]],12,IF(OFFSET(TblMagic[[#This Row],[Active Harmony]],-1,0)&gt;0,OFFSET(TblMagic[[#This Row],[Active Harmony]],-1,0)-1,0))</f>
        <v>0</v>
      </c>
      <c r="AG17" s="57">
        <f ca="1">IF(TblMagic[[#This Row],[Miner''s Sight]],12,IF(OFFSET(TblMagic[[#This Row],[Active Miner''s Sight]],-1,0)&gt;0,OFFSET(TblMagic[[#This Row],[Active Miner''s Sight]],-1,0)-1,0))</f>
        <v>0</v>
      </c>
      <c r="AH17" s="57">
        <f ca="1">IF(TblMagic[[#This Row],[Mechanical Genius]],12,IF(OFFSET(TblMagic[[#This Row],[Active Mechanical Genius]],-1,0)&gt;0,OFFSET(TblMagic[[#This Row],[Active Mechanical Genius]],-1,0)-1,0))</f>
        <v>0</v>
      </c>
      <c r="AI17" s="57">
        <f ca="1">IF(TblMagic[[#This Row],[Death and Decay]],12,IF(OFFSET(TblMagic[[#This Row],[Active DnD]],-1,0)&gt;0,OFFSET(TblMagic[[#This Row],[Active DnD]],-1,0)-1,0))</f>
        <v>0</v>
      </c>
      <c r="AJ17" s="57">
        <f ca="1">IF(TblMagic[[#This Row],[Killing Rage / Bloodrage / Crusade]],12,IF(OFFSET(TblMagic[[#This Row],[Active Warsong / Killing Rage / Bloodrage]],-1,0)&gt;0,OFFSET(TblMagic[[#This Row],[Active Warsong / Killing Rage / Bloodrage]],-1,0)-1,0))</f>
        <v>0</v>
      </c>
      <c r="AK17" s="57">
        <f ca="1">IF(TblMagic[[#This Row],[Gaia''s Blessing]],12,IF(OFFSET(TblMagic[[#This Row],[Active Gaia''s Blessing]],-1,0)&gt;0,OFFSET(TblMagic[[#This Row],[Active Gaia''s Blessing]],-1,0)-1,0))</f>
        <v>0</v>
      </c>
      <c r="AL17" s="57">
        <f ca="1">IF(TblMagic[[#This Row],[Howling]],12,IF(OFFSET(TblMagic[[#This Row],[Active Howling]],-1,0)&gt;0,OFFSET(TblMagic[[#This Row],[Active Howling]],-1,0)-1,0))</f>
        <v>0</v>
      </c>
      <c r="AM17" s="57">
        <f ca="1">IF(TblMagic[[#This Row],[Arcane Infusion]],12,IF(OFFSET(TblMagic[[#This Row],[Active Arc Infusion]],-1,0)&gt;0,OFFSET(TblMagic[[#This Row],[Active Arc Infusion]],-1,0)-1,0))</f>
        <v>0</v>
      </c>
      <c r="AN17" s="57">
        <f ca="1">IF(TblMagic[[#This Row],[Alchemists Flame]],12,IF(OFFSET(TblMagic[[#This Row],[Active Alchemists Flame]],-1,0)&gt;0,OFFSET(TblMagic[[#This Row],[Active Alchemists Flame]],-1,0)-1,0))</f>
        <v>0</v>
      </c>
      <c r="AO17" s="57">
        <f ca="1">IF(TblMagic[[#This Row],[Nightfall]],12,IF(OFFSET(TblMagic[[#This Row],[Active Nightfall]],-1,0)&gt;0,OFFSET(TblMagic[[#This Row],[Active Nightfall]],-1,0)-1,0))</f>
        <v>0</v>
      </c>
      <c r="AP17" s="57">
        <f ca="1">IF(TblMagic[[#This Row],[Favorable Terrain]],12,IF(OFFSET(TblMagic[[#This Row],[Active Favorable Terrain]],-1,0)&gt;0,OFFSET(TblMagic[[#This Row],[Active Favorable Terrain]],-1,0)-1,0))</f>
        <v>0</v>
      </c>
      <c r="AQ17" s="57">
        <f ca="1">IF(TblMagic[[#This Row],[Infernal Command]],12,IF(OFFSET(TblMagic[[#This Row],[Active Infernal Command]],-1,0)&gt;0,OFFSET(TblMagic[[#This Row],[Active Infernal Command]],-1,0)-1,0))</f>
        <v>0</v>
      </c>
    </row>
    <row r="18" spans="1:43" x14ac:dyDescent="0.2">
      <c r="A18" s="137">
        <f>TblRezone[[#This Row],[Hour]]</f>
        <v>15</v>
      </c>
      <c r="B18" s="154">
        <f ca="1">TblConstr[[#This Row],[Land]]</f>
        <v>50</v>
      </c>
      <c r="C18" s="94">
        <f ca="1">TblProd[[#This Row],[Mana]]</f>
        <v>0</v>
      </c>
      <c r="D18" s="156">
        <f ca="1">MIN(1,OFFSET(TblMagic[[#This Row],[Wiz str]],-1,0)+0.04+ROUNDDOWN(10*OFFSET(TblMili[[#This Row],[WG''s]],-1,0),0)+ tech_2_7*OFFSET(TblTech[[#This Row],[2-7]],-1,0) + tech_5_6*OFFSET(TblTech[[#This Row],[5-6]],-1,0) )-TblMagic[[#This Row],[Wiz str cost]]</f>
        <v>1</v>
      </c>
      <c r="E18" s="159">
        <f ca="1">OFFSET(TblMagic[[#This Row],[Time]],-1,0)+1/24</f>
        <v>46320.583333333299</v>
      </c>
      <c r="F18" s="156">
        <f ca="1">TblImps[[#This Row],[Population]]</f>
        <v>1</v>
      </c>
      <c r="G18" s="218"/>
      <c r="H18" s="218"/>
      <c r="I18" s="218"/>
      <c r="J18" s="218"/>
      <c r="K18" s="405"/>
      <c r="L18" s="218"/>
      <c r="M18" s="218"/>
      <c r="N18" s="218"/>
      <c r="O18" s="218"/>
      <c r="P18" s="218"/>
      <c r="Q18" s="218"/>
      <c r="R18" s="218"/>
      <c r="S18" s="218"/>
      <c r="T18" s="218"/>
      <c r="U18" s="218"/>
      <c r="V18" s="218"/>
      <c r="W18" s="218"/>
      <c r="X18" s="142"/>
      <c r="Y1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8" s="156">
        <f>SUMIF(TblMagic[[#This Row],[Gaia''s Watch]:[Useless spell]],1)*0.05</f>
        <v>0</v>
      </c>
      <c r="AA18" s="142"/>
      <c r="AB18" s="57">
        <f ca="1">IF(TblMagic[[#This Row],[Gaia''s Watch]],12,IF(OFFSET(TblMagic[[#This Row],[Active Gaia''s Watch]],-1,0)&gt;0,OFFSET(TblMagic[[#This Row],[Active Gaia''s Watch]],-1,0)-1,0))</f>
        <v>0</v>
      </c>
      <c r="AC18" s="57">
        <f ca="1">IF(TblMagic[[#This Row],[Mining Strength]],12,IF(OFFSET(TblMagic[[#This Row],[Active Mining Strength]],-1,0)&gt;0,OFFSET(TblMagic[[#This Row],[Active Mining Strength]],-1,0)-1,0))</f>
        <v>0</v>
      </c>
      <c r="AD18" s="57">
        <f ca="1">IF(TblMagic[[#This Row],[Ares Call]],12,IF(OFFSET(TblMagic[[#This Row],[Active Ares Call]],-1,0)&gt;0,OFFSET(TblMagic[[#This Row],[Active Ares Call]],-1,0)-1,0))</f>
        <v>0</v>
      </c>
      <c r="AE18" s="57">
        <f ca="1">IF(TblMagic[[#This Row],[Midas Touch]],12,IF(OFFSET(TblMagic[[#This Row],[Active Midas Touch]],-1,0)&gt;0,OFFSET(TblMagic[[#This Row],[Active Midas Touch]],-1,0)-1,0))</f>
        <v>0</v>
      </c>
      <c r="AF18" s="57">
        <f ca="1">IF(TblMagic[[#This Row],[Harmony]],12,IF(OFFSET(TblMagic[[#This Row],[Active Harmony]],-1,0)&gt;0,OFFSET(TblMagic[[#This Row],[Active Harmony]],-1,0)-1,0))</f>
        <v>0</v>
      </c>
      <c r="AG18" s="57">
        <f ca="1">IF(TblMagic[[#This Row],[Miner''s Sight]],12,IF(OFFSET(TblMagic[[#This Row],[Active Miner''s Sight]],-1,0)&gt;0,OFFSET(TblMagic[[#This Row],[Active Miner''s Sight]],-1,0)-1,0))</f>
        <v>0</v>
      </c>
      <c r="AH18" s="57">
        <f ca="1">IF(TblMagic[[#This Row],[Mechanical Genius]],12,IF(OFFSET(TblMagic[[#This Row],[Active Mechanical Genius]],-1,0)&gt;0,OFFSET(TblMagic[[#This Row],[Active Mechanical Genius]],-1,0)-1,0))</f>
        <v>0</v>
      </c>
      <c r="AI18" s="57">
        <f ca="1">IF(TblMagic[[#This Row],[Death and Decay]],12,IF(OFFSET(TblMagic[[#This Row],[Active DnD]],-1,0)&gt;0,OFFSET(TblMagic[[#This Row],[Active DnD]],-1,0)-1,0))</f>
        <v>0</v>
      </c>
      <c r="AJ18" s="57">
        <f ca="1">IF(TblMagic[[#This Row],[Killing Rage / Bloodrage / Crusade]],12,IF(OFFSET(TblMagic[[#This Row],[Active Warsong / Killing Rage / Bloodrage]],-1,0)&gt;0,OFFSET(TblMagic[[#This Row],[Active Warsong / Killing Rage / Bloodrage]],-1,0)-1,0))</f>
        <v>0</v>
      </c>
      <c r="AK18" s="57">
        <f ca="1">IF(TblMagic[[#This Row],[Gaia''s Blessing]],12,IF(OFFSET(TblMagic[[#This Row],[Active Gaia''s Blessing]],-1,0)&gt;0,OFFSET(TblMagic[[#This Row],[Active Gaia''s Blessing]],-1,0)-1,0))</f>
        <v>0</v>
      </c>
      <c r="AL18" s="57">
        <f ca="1">IF(TblMagic[[#This Row],[Howling]],12,IF(OFFSET(TblMagic[[#This Row],[Active Howling]],-1,0)&gt;0,OFFSET(TblMagic[[#This Row],[Active Howling]],-1,0)-1,0))</f>
        <v>0</v>
      </c>
      <c r="AM18" s="57">
        <f ca="1">IF(TblMagic[[#This Row],[Arcane Infusion]],12,IF(OFFSET(TblMagic[[#This Row],[Active Arc Infusion]],-1,0)&gt;0,OFFSET(TblMagic[[#This Row],[Active Arc Infusion]],-1,0)-1,0))</f>
        <v>0</v>
      </c>
      <c r="AN18" s="57">
        <f ca="1">IF(TblMagic[[#This Row],[Alchemists Flame]],12,IF(OFFSET(TblMagic[[#This Row],[Active Alchemists Flame]],-1,0)&gt;0,OFFSET(TblMagic[[#This Row],[Active Alchemists Flame]],-1,0)-1,0))</f>
        <v>0</v>
      </c>
      <c r="AO18" s="57">
        <f ca="1">IF(TblMagic[[#This Row],[Nightfall]],12,IF(OFFSET(TblMagic[[#This Row],[Active Nightfall]],-1,0)&gt;0,OFFSET(TblMagic[[#This Row],[Active Nightfall]],-1,0)-1,0))</f>
        <v>0</v>
      </c>
      <c r="AP18" s="57">
        <f ca="1">IF(TblMagic[[#This Row],[Favorable Terrain]],12,IF(OFFSET(TblMagic[[#This Row],[Active Favorable Terrain]],-1,0)&gt;0,OFFSET(TblMagic[[#This Row],[Active Favorable Terrain]],-1,0)-1,0))</f>
        <v>0</v>
      </c>
      <c r="AQ18" s="57">
        <f ca="1">IF(TblMagic[[#This Row],[Infernal Command]],12,IF(OFFSET(TblMagic[[#This Row],[Active Infernal Command]],-1,0)&gt;0,OFFSET(TblMagic[[#This Row],[Active Infernal Command]],-1,0)-1,0))</f>
        <v>0</v>
      </c>
    </row>
    <row r="19" spans="1:43" x14ac:dyDescent="0.2">
      <c r="A19" s="137">
        <f>TblRezone[[#This Row],[Hour]]</f>
        <v>16</v>
      </c>
      <c r="B19" s="154">
        <f ca="1">TblConstr[[#This Row],[Land]]</f>
        <v>50</v>
      </c>
      <c r="C19" s="94">
        <f ca="1">TblProd[[#This Row],[Mana]]</f>
        <v>0</v>
      </c>
      <c r="D19" s="156">
        <f ca="1">MIN(1,OFFSET(TblMagic[[#This Row],[Wiz str]],-1,0)+0.04+ROUNDDOWN(10*OFFSET(TblMili[[#This Row],[WG''s]],-1,0),0)+ tech_2_7*OFFSET(TblTech[[#This Row],[2-7]],-1,0) + tech_5_6*OFFSET(TblTech[[#This Row],[5-6]],-1,0) )-TblMagic[[#This Row],[Wiz str cost]]</f>
        <v>1</v>
      </c>
      <c r="E19" s="159">
        <f ca="1">OFFSET(TblMagic[[#This Row],[Time]],-1,0)+1/24</f>
        <v>46320.624999999964</v>
      </c>
      <c r="F19" s="156">
        <f ca="1">TblImps[[#This Row],[Population]]</f>
        <v>1</v>
      </c>
      <c r="G19" s="218"/>
      <c r="H19" s="218"/>
      <c r="I19" s="218"/>
      <c r="J19" s="218"/>
      <c r="K19" s="405"/>
      <c r="L19" s="218"/>
      <c r="M19" s="218"/>
      <c r="N19" s="218"/>
      <c r="O19" s="218"/>
      <c r="P19" s="218"/>
      <c r="Q19" s="218"/>
      <c r="R19" s="218"/>
      <c r="S19" s="218"/>
      <c r="T19" s="218"/>
      <c r="U19" s="218"/>
      <c r="V19" s="218"/>
      <c r="W19" s="218"/>
      <c r="X19" s="142"/>
      <c r="Y1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9" s="156">
        <f>SUMIF(TblMagic[[#This Row],[Gaia''s Watch]:[Useless spell]],1)*0.05</f>
        <v>0</v>
      </c>
      <c r="AA19" s="142"/>
      <c r="AB19" s="57">
        <f ca="1">IF(TblMagic[[#This Row],[Gaia''s Watch]],12,IF(OFFSET(TblMagic[[#This Row],[Active Gaia''s Watch]],-1,0)&gt;0,OFFSET(TblMagic[[#This Row],[Active Gaia''s Watch]],-1,0)-1,0))</f>
        <v>0</v>
      </c>
      <c r="AC19" s="57">
        <f ca="1">IF(TblMagic[[#This Row],[Mining Strength]],12,IF(OFFSET(TblMagic[[#This Row],[Active Mining Strength]],-1,0)&gt;0,OFFSET(TblMagic[[#This Row],[Active Mining Strength]],-1,0)-1,0))</f>
        <v>0</v>
      </c>
      <c r="AD19" s="57">
        <f ca="1">IF(TblMagic[[#This Row],[Ares Call]],12,IF(OFFSET(TblMagic[[#This Row],[Active Ares Call]],-1,0)&gt;0,OFFSET(TblMagic[[#This Row],[Active Ares Call]],-1,0)-1,0))</f>
        <v>0</v>
      </c>
      <c r="AE19" s="57">
        <f ca="1">IF(TblMagic[[#This Row],[Midas Touch]],12,IF(OFFSET(TblMagic[[#This Row],[Active Midas Touch]],-1,0)&gt;0,OFFSET(TblMagic[[#This Row],[Active Midas Touch]],-1,0)-1,0))</f>
        <v>0</v>
      </c>
      <c r="AF19" s="57">
        <f ca="1">IF(TblMagic[[#This Row],[Harmony]],12,IF(OFFSET(TblMagic[[#This Row],[Active Harmony]],-1,0)&gt;0,OFFSET(TblMagic[[#This Row],[Active Harmony]],-1,0)-1,0))</f>
        <v>0</v>
      </c>
      <c r="AG19" s="57">
        <f ca="1">IF(TblMagic[[#This Row],[Miner''s Sight]],12,IF(OFFSET(TblMagic[[#This Row],[Active Miner''s Sight]],-1,0)&gt;0,OFFSET(TblMagic[[#This Row],[Active Miner''s Sight]],-1,0)-1,0))</f>
        <v>0</v>
      </c>
      <c r="AH19" s="57">
        <f ca="1">IF(TblMagic[[#This Row],[Mechanical Genius]],12,IF(OFFSET(TblMagic[[#This Row],[Active Mechanical Genius]],-1,0)&gt;0,OFFSET(TblMagic[[#This Row],[Active Mechanical Genius]],-1,0)-1,0))</f>
        <v>0</v>
      </c>
      <c r="AI19" s="57">
        <f ca="1">IF(TblMagic[[#This Row],[Death and Decay]],12,IF(OFFSET(TblMagic[[#This Row],[Active DnD]],-1,0)&gt;0,OFFSET(TblMagic[[#This Row],[Active DnD]],-1,0)-1,0))</f>
        <v>0</v>
      </c>
      <c r="AJ19" s="57">
        <f ca="1">IF(TblMagic[[#This Row],[Killing Rage / Bloodrage / Crusade]],12,IF(OFFSET(TblMagic[[#This Row],[Active Warsong / Killing Rage / Bloodrage]],-1,0)&gt;0,OFFSET(TblMagic[[#This Row],[Active Warsong / Killing Rage / Bloodrage]],-1,0)-1,0))</f>
        <v>0</v>
      </c>
      <c r="AK19" s="57">
        <f ca="1">IF(TblMagic[[#This Row],[Gaia''s Blessing]],12,IF(OFFSET(TblMagic[[#This Row],[Active Gaia''s Blessing]],-1,0)&gt;0,OFFSET(TblMagic[[#This Row],[Active Gaia''s Blessing]],-1,0)-1,0))</f>
        <v>0</v>
      </c>
      <c r="AL19" s="57">
        <f ca="1">IF(TblMagic[[#This Row],[Howling]],12,IF(OFFSET(TblMagic[[#This Row],[Active Howling]],-1,0)&gt;0,OFFSET(TblMagic[[#This Row],[Active Howling]],-1,0)-1,0))</f>
        <v>0</v>
      </c>
      <c r="AM19" s="57">
        <f ca="1">IF(TblMagic[[#This Row],[Arcane Infusion]],12,IF(OFFSET(TblMagic[[#This Row],[Active Arc Infusion]],-1,0)&gt;0,OFFSET(TblMagic[[#This Row],[Active Arc Infusion]],-1,0)-1,0))</f>
        <v>0</v>
      </c>
      <c r="AN19" s="57">
        <f ca="1">IF(TblMagic[[#This Row],[Alchemists Flame]],12,IF(OFFSET(TblMagic[[#This Row],[Active Alchemists Flame]],-1,0)&gt;0,OFFSET(TblMagic[[#This Row],[Active Alchemists Flame]],-1,0)-1,0))</f>
        <v>0</v>
      </c>
      <c r="AO19" s="57">
        <f ca="1">IF(TblMagic[[#This Row],[Nightfall]],12,IF(OFFSET(TblMagic[[#This Row],[Active Nightfall]],-1,0)&gt;0,OFFSET(TblMagic[[#This Row],[Active Nightfall]],-1,0)-1,0))</f>
        <v>0</v>
      </c>
      <c r="AP19" s="57">
        <f ca="1">IF(TblMagic[[#This Row],[Favorable Terrain]],12,IF(OFFSET(TblMagic[[#This Row],[Active Favorable Terrain]],-1,0)&gt;0,OFFSET(TblMagic[[#This Row],[Active Favorable Terrain]],-1,0)-1,0))</f>
        <v>0</v>
      </c>
      <c r="AQ19" s="57">
        <f ca="1">IF(TblMagic[[#This Row],[Infernal Command]],12,IF(OFFSET(TblMagic[[#This Row],[Active Infernal Command]],-1,0)&gt;0,OFFSET(TblMagic[[#This Row],[Active Infernal Command]],-1,0)-1,0))</f>
        <v>0</v>
      </c>
    </row>
    <row r="20" spans="1:43" x14ac:dyDescent="0.2">
      <c r="A20" s="137">
        <f>TblRezone[[#This Row],[Hour]]</f>
        <v>17</v>
      </c>
      <c r="B20" s="154">
        <f ca="1">TblConstr[[#This Row],[Land]]</f>
        <v>50</v>
      </c>
      <c r="C20" s="94">
        <f ca="1">TblProd[[#This Row],[Mana]]</f>
        <v>0</v>
      </c>
      <c r="D20" s="156">
        <f ca="1">MIN(1,OFFSET(TblMagic[[#This Row],[Wiz str]],-1,0)+0.04+ROUNDDOWN(10*OFFSET(TblMili[[#This Row],[WG''s]],-1,0),0)+ tech_2_7*OFFSET(TblTech[[#This Row],[2-7]],-1,0) + tech_5_6*OFFSET(TblTech[[#This Row],[5-6]],-1,0) )-TblMagic[[#This Row],[Wiz str cost]]</f>
        <v>1</v>
      </c>
      <c r="E20" s="159">
        <f ca="1">OFFSET(TblMagic[[#This Row],[Time]],-1,0)+1/24</f>
        <v>46320.666666666628</v>
      </c>
      <c r="F20" s="156">
        <f ca="1">TblImps[[#This Row],[Population]]</f>
        <v>1</v>
      </c>
      <c r="G20" s="218"/>
      <c r="H20" s="218"/>
      <c r="I20" s="218"/>
      <c r="J20" s="218"/>
      <c r="K20" s="405"/>
      <c r="L20" s="218"/>
      <c r="M20" s="218"/>
      <c r="N20" s="218"/>
      <c r="O20" s="218"/>
      <c r="P20" s="218"/>
      <c r="Q20" s="218"/>
      <c r="R20" s="218"/>
      <c r="S20" s="218"/>
      <c r="T20" s="218"/>
      <c r="U20" s="218"/>
      <c r="V20" s="218"/>
      <c r="W20" s="218"/>
      <c r="X20" s="142"/>
      <c r="Y2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0" s="156">
        <f>SUMIF(TblMagic[[#This Row],[Gaia''s Watch]:[Useless spell]],1)*0.05</f>
        <v>0</v>
      </c>
      <c r="AA20" s="142"/>
      <c r="AB20" s="57">
        <f ca="1">IF(TblMagic[[#This Row],[Gaia''s Watch]],12,IF(OFFSET(TblMagic[[#This Row],[Active Gaia''s Watch]],-1,0)&gt;0,OFFSET(TblMagic[[#This Row],[Active Gaia''s Watch]],-1,0)-1,0))</f>
        <v>0</v>
      </c>
      <c r="AC20" s="57">
        <f ca="1">IF(TblMagic[[#This Row],[Mining Strength]],12,IF(OFFSET(TblMagic[[#This Row],[Active Mining Strength]],-1,0)&gt;0,OFFSET(TblMagic[[#This Row],[Active Mining Strength]],-1,0)-1,0))</f>
        <v>0</v>
      </c>
      <c r="AD20" s="57">
        <f ca="1">IF(TblMagic[[#This Row],[Ares Call]],12,IF(OFFSET(TblMagic[[#This Row],[Active Ares Call]],-1,0)&gt;0,OFFSET(TblMagic[[#This Row],[Active Ares Call]],-1,0)-1,0))</f>
        <v>0</v>
      </c>
      <c r="AE20" s="57">
        <f ca="1">IF(TblMagic[[#This Row],[Midas Touch]],12,IF(OFFSET(TblMagic[[#This Row],[Active Midas Touch]],-1,0)&gt;0,OFFSET(TblMagic[[#This Row],[Active Midas Touch]],-1,0)-1,0))</f>
        <v>0</v>
      </c>
      <c r="AF20" s="57">
        <f ca="1">IF(TblMagic[[#This Row],[Harmony]],12,IF(OFFSET(TblMagic[[#This Row],[Active Harmony]],-1,0)&gt;0,OFFSET(TblMagic[[#This Row],[Active Harmony]],-1,0)-1,0))</f>
        <v>0</v>
      </c>
      <c r="AG20" s="57">
        <f ca="1">IF(TblMagic[[#This Row],[Miner''s Sight]],12,IF(OFFSET(TblMagic[[#This Row],[Active Miner''s Sight]],-1,0)&gt;0,OFFSET(TblMagic[[#This Row],[Active Miner''s Sight]],-1,0)-1,0))</f>
        <v>0</v>
      </c>
      <c r="AH20" s="57">
        <f ca="1">IF(TblMagic[[#This Row],[Mechanical Genius]],12,IF(OFFSET(TblMagic[[#This Row],[Active Mechanical Genius]],-1,0)&gt;0,OFFSET(TblMagic[[#This Row],[Active Mechanical Genius]],-1,0)-1,0))</f>
        <v>0</v>
      </c>
      <c r="AI20" s="57">
        <f ca="1">IF(TblMagic[[#This Row],[Death and Decay]],12,IF(OFFSET(TblMagic[[#This Row],[Active DnD]],-1,0)&gt;0,OFFSET(TblMagic[[#This Row],[Active DnD]],-1,0)-1,0))</f>
        <v>0</v>
      </c>
      <c r="AJ20" s="57">
        <f ca="1">IF(TblMagic[[#This Row],[Killing Rage / Bloodrage / Crusade]],12,IF(OFFSET(TblMagic[[#This Row],[Active Warsong / Killing Rage / Bloodrage]],-1,0)&gt;0,OFFSET(TblMagic[[#This Row],[Active Warsong / Killing Rage / Bloodrage]],-1,0)-1,0))</f>
        <v>0</v>
      </c>
      <c r="AK20" s="57">
        <f ca="1">IF(TblMagic[[#This Row],[Gaia''s Blessing]],12,IF(OFFSET(TblMagic[[#This Row],[Active Gaia''s Blessing]],-1,0)&gt;0,OFFSET(TblMagic[[#This Row],[Active Gaia''s Blessing]],-1,0)-1,0))</f>
        <v>0</v>
      </c>
      <c r="AL20" s="57">
        <f ca="1">IF(TblMagic[[#This Row],[Howling]],12,IF(OFFSET(TblMagic[[#This Row],[Active Howling]],-1,0)&gt;0,OFFSET(TblMagic[[#This Row],[Active Howling]],-1,0)-1,0))</f>
        <v>0</v>
      </c>
      <c r="AM20" s="57">
        <f ca="1">IF(TblMagic[[#This Row],[Arcane Infusion]],12,IF(OFFSET(TblMagic[[#This Row],[Active Arc Infusion]],-1,0)&gt;0,OFFSET(TblMagic[[#This Row],[Active Arc Infusion]],-1,0)-1,0))</f>
        <v>0</v>
      </c>
      <c r="AN20" s="57">
        <f ca="1">IF(TblMagic[[#This Row],[Alchemists Flame]],12,IF(OFFSET(TblMagic[[#This Row],[Active Alchemists Flame]],-1,0)&gt;0,OFFSET(TblMagic[[#This Row],[Active Alchemists Flame]],-1,0)-1,0))</f>
        <v>0</v>
      </c>
      <c r="AO20" s="57">
        <f ca="1">IF(TblMagic[[#This Row],[Nightfall]],12,IF(OFFSET(TblMagic[[#This Row],[Active Nightfall]],-1,0)&gt;0,OFFSET(TblMagic[[#This Row],[Active Nightfall]],-1,0)-1,0))</f>
        <v>0</v>
      </c>
      <c r="AP20" s="57">
        <f ca="1">IF(TblMagic[[#This Row],[Favorable Terrain]],12,IF(OFFSET(TblMagic[[#This Row],[Active Favorable Terrain]],-1,0)&gt;0,OFFSET(TblMagic[[#This Row],[Active Favorable Terrain]],-1,0)-1,0))</f>
        <v>0</v>
      </c>
      <c r="AQ20" s="57">
        <f ca="1">IF(TblMagic[[#This Row],[Infernal Command]],12,IF(OFFSET(TblMagic[[#This Row],[Active Infernal Command]],-1,0)&gt;0,OFFSET(TblMagic[[#This Row],[Active Infernal Command]],-1,0)-1,0))</f>
        <v>0</v>
      </c>
    </row>
    <row r="21" spans="1:43" x14ac:dyDescent="0.2">
      <c r="A21" s="137">
        <f>TblRezone[[#This Row],[Hour]]</f>
        <v>18</v>
      </c>
      <c r="B21" s="154">
        <f ca="1">TblConstr[[#This Row],[Land]]</f>
        <v>50</v>
      </c>
      <c r="C21" s="94">
        <f ca="1">TblProd[[#This Row],[Mana]]</f>
        <v>0</v>
      </c>
      <c r="D21" s="156">
        <f ca="1">MIN(1,OFFSET(TblMagic[[#This Row],[Wiz str]],-1,0)+0.04+ROUNDDOWN(10*OFFSET(TblMili[[#This Row],[WG''s]],-1,0),0)+ tech_2_7*OFFSET(TblTech[[#This Row],[2-7]],-1,0) + tech_5_6*OFFSET(TblTech[[#This Row],[5-6]],-1,0) )-TblMagic[[#This Row],[Wiz str cost]]</f>
        <v>1</v>
      </c>
      <c r="E21" s="159">
        <f ca="1">OFFSET(TblMagic[[#This Row],[Time]],-1,0)+1/24</f>
        <v>46320.708333333292</v>
      </c>
      <c r="F21" s="156">
        <f ca="1">TblImps[[#This Row],[Population]]</f>
        <v>1</v>
      </c>
      <c r="G21" s="218"/>
      <c r="H21" s="218"/>
      <c r="I21" s="218"/>
      <c r="J21" s="218"/>
      <c r="K21" s="405"/>
      <c r="L21" s="218"/>
      <c r="M21" s="218"/>
      <c r="N21" s="218"/>
      <c r="O21" s="218"/>
      <c r="P21" s="218"/>
      <c r="Q21" s="218"/>
      <c r="R21" s="218"/>
      <c r="S21" s="218"/>
      <c r="T21" s="218"/>
      <c r="U21" s="218"/>
      <c r="V21" s="218"/>
      <c r="W21" s="218"/>
      <c r="X21" s="142"/>
      <c r="Y2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1" s="156">
        <f>SUMIF(TblMagic[[#This Row],[Gaia''s Watch]:[Useless spell]],1)*0.05</f>
        <v>0</v>
      </c>
      <c r="AA21" s="142"/>
      <c r="AB21" s="57">
        <f ca="1">IF(TblMagic[[#This Row],[Gaia''s Watch]],12,IF(OFFSET(TblMagic[[#This Row],[Active Gaia''s Watch]],-1,0)&gt;0,OFFSET(TblMagic[[#This Row],[Active Gaia''s Watch]],-1,0)-1,0))</f>
        <v>0</v>
      </c>
      <c r="AC21" s="57">
        <f ca="1">IF(TblMagic[[#This Row],[Mining Strength]],12,IF(OFFSET(TblMagic[[#This Row],[Active Mining Strength]],-1,0)&gt;0,OFFSET(TblMagic[[#This Row],[Active Mining Strength]],-1,0)-1,0))</f>
        <v>0</v>
      </c>
      <c r="AD21" s="57">
        <f ca="1">IF(TblMagic[[#This Row],[Ares Call]],12,IF(OFFSET(TblMagic[[#This Row],[Active Ares Call]],-1,0)&gt;0,OFFSET(TblMagic[[#This Row],[Active Ares Call]],-1,0)-1,0))</f>
        <v>0</v>
      </c>
      <c r="AE21" s="57">
        <f ca="1">IF(TblMagic[[#This Row],[Midas Touch]],12,IF(OFFSET(TblMagic[[#This Row],[Active Midas Touch]],-1,0)&gt;0,OFFSET(TblMagic[[#This Row],[Active Midas Touch]],-1,0)-1,0))</f>
        <v>0</v>
      </c>
      <c r="AF21" s="57">
        <f ca="1">IF(TblMagic[[#This Row],[Harmony]],12,IF(OFFSET(TblMagic[[#This Row],[Active Harmony]],-1,0)&gt;0,OFFSET(TblMagic[[#This Row],[Active Harmony]],-1,0)-1,0))</f>
        <v>0</v>
      </c>
      <c r="AG21" s="57">
        <f ca="1">IF(TblMagic[[#This Row],[Miner''s Sight]],12,IF(OFFSET(TblMagic[[#This Row],[Active Miner''s Sight]],-1,0)&gt;0,OFFSET(TblMagic[[#This Row],[Active Miner''s Sight]],-1,0)-1,0))</f>
        <v>0</v>
      </c>
      <c r="AH21" s="57">
        <f ca="1">IF(TblMagic[[#This Row],[Mechanical Genius]],12,IF(OFFSET(TblMagic[[#This Row],[Active Mechanical Genius]],-1,0)&gt;0,OFFSET(TblMagic[[#This Row],[Active Mechanical Genius]],-1,0)-1,0))</f>
        <v>0</v>
      </c>
      <c r="AI21" s="57">
        <f ca="1">IF(TblMagic[[#This Row],[Death and Decay]],12,IF(OFFSET(TblMagic[[#This Row],[Active DnD]],-1,0)&gt;0,OFFSET(TblMagic[[#This Row],[Active DnD]],-1,0)-1,0))</f>
        <v>0</v>
      </c>
      <c r="AJ21" s="57">
        <f ca="1">IF(TblMagic[[#This Row],[Killing Rage / Bloodrage / Crusade]],12,IF(OFFSET(TblMagic[[#This Row],[Active Warsong / Killing Rage / Bloodrage]],-1,0)&gt;0,OFFSET(TblMagic[[#This Row],[Active Warsong / Killing Rage / Bloodrage]],-1,0)-1,0))</f>
        <v>0</v>
      </c>
      <c r="AK21" s="57">
        <f ca="1">IF(TblMagic[[#This Row],[Gaia''s Blessing]],12,IF(OFFSET(TblMagic[[#This Row],[Active Gaia''s Blessing]],-1,0)&gt;0,OFFSET(TblMagic[[#This Row],[Active Gaia''s Blessing]],-1,0)-1,0))</f>
        <v>0</v>
      </c>
      <c r="AL21" s="57">
        <f ca="1">IF(TblMagic[[#This Row],[Howling]],12,IF(OFFSET(TblMagic[[#This Row],[Active Howling]],-1,0)&gt;0,OFFSET(TblMagic[[#This Row],[Active Howling]],-1,0)-1,0))</f>
        <v>0</v>
      </c>
      <c r="AM21" s="57">
        <f ca="1">IF(TblMagic[[#This Row],[Arcane Infusion]],12,IF(OFFSET(TblMagic[[#This Row],[Active Arc Infusion]],-1,0)&gt;0,OFFSET(TblMagic[[#This Row],[Active Arc Infusion]],-1,0)-1,0))</f>
        <v>0</v>
      </c>
      <c r="AN21" s="57">
        <f ca="1">IF(TblMagic[[#This Row],[Alchemists Flame]],12,IF(OFFSET(TblMagic[[#This Row],[Active Alchemists Flame]],-1,0)&gt;0,OFFSET(TblMagic[[#This Row],[Active Alchemists Flame]],-1,0)-1,0))</f>
        <v>0</v>
      </c>
      <c r="AO21" s="57">
        <f ca="1">IF(TblMagic[[#This Row],[Nightfall]],12,IF(OFFSET(TblMagic[[#This Row],[Active Nightfall]],-1,0)&gt;0,OFFSET(TblMagic[[#This Row],[Active Nightfall]],-1,0)-1,0))</f>
        <v>0</v>
      </c>
      <c r="AP21" s="57">
        <f ca="1">IF(TblMagic[[#This Row],[Favorable Terrain]],12,IF(OFFSET(TblMagic[[#This Row],[Active Favorable Terrain]],-1,0)&gt;0,OFFSET(TblMagic[[#This Row],[Active Favorable Terrain]],-1,0)-1,0))</f>
        <v>0</v>
      </c>
      <c r="AQ21" s="57">
        <f ca="1">IF(TblMagic[[#This Row],[Infernal Command]],12,IF(OFFSET(TblMagic[[#This Row],[Active Infernal Command]],-1,0)&gt;0,OFFSET(TblMagic[[#This Row],[Active Infernal Command]],-1,0)-1,0))</f>
        <v>0</v>
      </c>
    </row>
    <row r="22" spans="1:43" x14ac:dyDescent="0.2">
      <c r="A22" s="137">
        <f>TblRezone[[#This Row],[Hour]]</f>
        <v>19</v>
      </c>
      <c r="B22" s="154">
        <f ca="1">TblConstr[[#This Row],[Land]]</f>
        <v>50</v>
      </c>
      <c r="C22" s="94">
        <f ca="1">TblProd[[#This Row],[Mana]]</f>
        <v>0</v>
      </c>
      <c r="D22" s="156">
        <f ca="1">MIN(1,OFFSET(TblMagic[[#This Row],[Wiz str]],-1,0)+0.04+ROUNDDOWN(10*OFFSET(TblMili[[#This Row],[WG''s]],-1,0),0)+ tech_2_7*OFFSET(TblTech[[#This Row],[2-7]],-1,0) + tech_5_6*OFFSET(TblTech[[#This Row],[5-6]],-1,0) )-TblMagic[[#This Row],[Wiz str cost]]</f>
        <v>1</v>
      </c>
      <c r="E22" s="159">
        <f ca="1">OFFSET(TblMagic[[#This Row],[Time]],-1,0)+1/24</f>
        <v>46320.749999999956</v>
      </c>
      <c r="F22" s="156">
        <f ca="1">TblImps[[#This Row],[Population]]</f>
        <v>1</v>
      </c>
      <c r="G22" s="218"/>
      <c r="H22" s="218"/>
      <c r="I22" s="218"/>
      <c r="J22" s="218"/>
      <c r="K22" s="405"/>
      <c r="L22" s="218"/>
      <c r="M22" s="218"/>
      <c r="N22" s="218"/>
      <c r="O22" s="218"/>
      <c r="P22" s="218"/>
      <c r="Q22" s="218"/>
      <c r="R22" s="218"/>
      <c r="S22" s="218"/>
      <c r="T22" s="218"/>
      <c r="U22" s="218"/>
      <c r="V22" s="218"/>
      <c r="W22" s="218"/>
      <c r="X22" s="142"/>
      <c r="Y2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2" s="156">
        <f>SUMIF(TblMagic[[#This Row],[Gaia''s Watch]:[Useless spell]],1)*0.05</f>
        <v>0</v>
      </c>
      <c r="AA22" s="142"/>
      <c r="AB22" s="57">
        <f ca="1">IF(TblMagic[[#This Row],[Gaia''s Watch]],12,IF(OFFSET(TblMagic[[#This Row],[Active Gaia''s Watch]],-1,0)&gt;0,OFFSET(TblMagic[[#This Row],[Active Gaia''s Watch]],-1,0)-1,0))</f>
        <v>0</v>
      </c>
      <c r="AC22" s="57">
        <f ca="1">IF(TblMagic[[#This Row],[Mining Strength]],12,IF(OFFSET(TblMagic[[#This Row],[Active Mining Strength]],-1,0)&gt;0,OFFSET(TblMagic[[#This Row],[Active Mining Strength]],-1,0)-1,0))</f>
        <v>0</v>
      </c>
      <c r="AD22" s="57">
        <f ca="1">IF(TblMagic[[#This Row],[Ares Call]],12,IF(OFFSET(TblMagic[[#This Row],[Active Ares Call]],-1,0)&gt;0,OFFSET(TblMagic[[#This Row],[Active Ares Call]],-1,0)-1,0))</f>
        <v>0</v>
      </c>
      <c r="AE22" s="57">
        <f ca="1">IF(TblMagic[[#This Row],[Midas Touch]],12,IF(OFFSET(TblMagic[[#This Row],[Active Midas Touch]],-1,0)&gt;0,OFFSET(TblMagic[[#This Row],[Active Midas Touch]],-1,0)-1,0))</f>
        <v>0</v>
      </c>
      <c r="AF22" s="57">
        <f ca="1">IF(TblMagic[[#This Row],[Harmony]],12,IF(OFFSET(TblMagic[[#This Row],[Active Harmony]],-1,0)&gt;0,OFFSET(TblMagic[[#This Row],[Active Harmony]],-1,0)-1,0))</f>
        <v>0</v>
      </c>
      <c r="AG22" s="57">
        <f ca="1">IF(TblMagic[[#This Row],[Miner''s Sight]],12,IF(OFFSET(TblMagic[[#This Row],[Active Miner''s Sight]],-1,0)&gt;0,OFFSET(TblMagic[[#This Row],[Active Miner''s Sight]],-1,0)-1,0))</f>
        <v>0</v>
      </c>
      <c r="AH22" s="57">
        <f ca="1">IF(TblMagic[[#This Row],[Mechanical Genius]],12,IF(OFFSET(TblMagic[[#This Row],[Active Mechanical Genius]],-1,0)&gt;0,OFFSET(TblMagic[[#This Row],[Active Mechanical Genius]],-1,0)-1,0))</f>
        <v>0</v>
      </c>
      <c r="AI22" s="57">
        <f ca="1">IF(TblMagic[[#This Row],[Death and Decay]],12,IF(OFFSET(TblMagic[[#This Row],[Active DnD]],-1,0)&gt;0,OFFSET(TblMagic[[#This Row],[Active DnD]],-1,0)-1,0))</f>
        <v>0</v>
      </c>
      <c r="AJ22" s="57">
        <f ca="1">IF(TblMagic[[#This Row],[Killing Rage / Bloodrage / Crusade]],12,IF(OFFSET(TblMagic[[#This Row],[Active Warsong / Killing Rage / Bloodrage]],-1,0)&gt;0,OFFSET(TblMagic[[#This Row],[Active Warsong / Killing Rage / Bloodrage]],-1,0)-1,0))</f>
        <v>0</v>
      </c>
      <c r="AK22" s="57">
        <f ca="1">IF(TblMagic[[#This Row],[Gaia''s Blessing]],12,IF(OFFSET(TblMagic[[#This Row],[Active Gaia''s Blessing]],-1,0)&gt;0,OFFSET(TblMagic[[#This Row],[Active Gaia''s Blessing]],-1,0)-1,0))</f>
        <v>0</v>
      </c>
      <c r="AL22" s="57">
        <f ca="1">IF(TblMagic[[#This Row],[Howling]],12,IF(OFFSET(TblMagic[[#This Row],[Active Howling]],-1,0)&gt;0,OFFSET(TblMagic[[#This Row],[Active Howling]],-1,0)-1,0))</f>
        <v>0</v>
      </c>
      <c r="AM22" s="57">
        <f ca="1">IF(TblMagic[[#This Row],[Arcane Infusion]],12,IF(OFFSET(TblMagic[[#This Row],[Active Arc Infusion]],-1,0)&gt;0,OFFSET(TblMagic[[#This Row],[Active Arc Infusion]],-1,0)-1,0))</f>
        <v>0</v>
      </c>
      <c r="AN22" s="57">
        <f ca="1">IF(TblMagic[[#This Row],[Alchemists Flame]],12,IF(OFFSET(TblMagic[[#This Row],[Active Alchemists Flame]],-1,0)&gt;0,OFFSET(TblMagic[[#This Row],[Active Alchemists Flame]],-1,0)-1,0))</f>
        <v>0</v>
      </c>
      <c r="AO22" s="57">
        <f ca="1">IF(TblMagic[[#This Row],[Nightfall]],12,IF(OFFSET(TblMagic[[#This Row],[Active Nightfall]],-1,0)&gt;0,OFFSET(TblMagic[[#This Row],[Active Nightfall]],-1,0)-1,0))</f>
        <v>0</v>
      </c>
      <c r="AP22" s="57">
        <f ca="1">IF(TblMagic[[#This Row],[Favorable Terrain]],12,IF(OFFSET(TblMagic[[#This Row],[Active Favorable Terrain]],-1,0)&gt;0,OFFSET(TblMagic[[#This Row],[Active Favorable Terrain]],-1,0)-1,0))</f>
        <v>0</v>
      </c>
      <c r="AQ22" s="57">
        <f ca="1">IF(TblMagic[[#This Row],[Infernal Command]],12,IF(OFFSET(TblMagic[[#This Row],[Active Infernal Command]],-1,0)&gt;0,OFFSET(TblMagic[[#This Row],[Active Infernal Command]],-1,0)-1,0))</f>
        <v>0</v>
      </c>
    </row>
    <row r="23" spans="1:43" x14ac:dyDescent="0.2">
      <c r="A23" s="137">
        <f>TblRezone[[#This Row],[Hour]]</f>
        <v>20</v>
      </c>
      <c r="B23" s="154">
        <f ca="1">TblConstr[[#This Row],[Land]]</f>
        <v>50</v>
      </c>
      <c r="C23" s="94">
        <f ca="1">TblProd[[#This Row],[Mana]]</f>
        <v>0</v>
      </c>
      <c r="D23" s="156">
        <f ca="1">MIN(1,OFFSET(TblMagic[[#This Row],[Wiz str]],-1,0)+0.04+ROUNDDOWN(10*OFFSET(TblMili[[#This Row],[WG''s]],-1,0),0)+ tech_2_7*OFFSET(TblTech[[#This Row],[2-7]],-1,0) + tech_5_6*OFFSET(TblTech[[#This Row],[5-6]],-1,0) )-TblMagic[[#This Row],[Wiz str cost]]</f>
        <v>1</v>
      </c>
      <c r="E23" s="159">
        <f ca="1">OFFSET(TblMagic[[#This Row],[Time]],-1,0)+1/24</f>
        <v>46320.791666666621</v>
      </c>
      <c r="F23" s="156">
        <f ca="1">TblImps[[#This Row],[Population]]</f>
        <v>1</v>
      </c>
      <c r="G23" s="218"/>
      <c r="H23" s="218"/>
      <c r="I23" s="218"/>
      <c r="J23" s="218"/>
      <c r="K23" s="405"/>
      <c r="L23" s="218"/>
      <c r="M23" s="218"/>
      <c r="N23" s="218"/>
      <c r="O23" s="218"/>
      <c r="P23" s="218"/>
      <c r="Q23" s="218"/>
      <c r="R23" s="218"/>
      <c r="S23" s="218"/>
      <c r="T23" s="218"/>
      <c r="U23" s="218"/>
      <c r="V23" s="218"/>
      <c r="W23" s="218"/>
      <c r="X23" s="142"/>
      <c r="Y2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3" s="156">
        <f>SUMIF(TblMagic[[#This Row],[Gaia''s Watch]:[Useless spell]],1)*0.05</f>
        <v>0</v>
      </c>
      <c r="AA23" s="142"/>
      <c r="AB23" s="57">
        <f ca="1">IF(TblMagic[[#This Row],[Gaia''s Watch]],12,IF(OFFSET(TblMagic[[#This Row],[Active Gaia''s Watch]],-1,0)&gt;0,OFFSET(TblMagic[[#This Row],[Active Gaia''s Watch]],-1,0)-1,0))</f>
        <v>0</v>
      </c>
      <c r="AC23" s="57">
        <f ca="1">IF(TblMagic[[#This Row],[Mining Strength]],12,IF(OFFSET(TblMagic[[#This Row],[Active Mining Strength]],-1,0)&gt;0,OFFSET(TblMagic[[#This Row],[Active Mining Strength]],-1,0)-1,0))</f>
        <v>0</v>
      </c>
      <c r="AD23" s="57">
        <f ca="1">IF(TblMagic[[#This Row],[Ares Call]],12,IF(OFFSET(TblMagic[[#This Row],[Active Ares Call]],-1,0)&gt;0,OFFSET(TblMagic[[#This Row],[Active Ares Call]],-1,0)-1,0))</f>
        <v>0</v>
      </c>
      <c r="AE23" s="57">
        <f ca="1">IF(TblMagic[[#This Row],[Midas Touch]],12,IF(OFFSET(TblMagic[[#This Row],[Active Midas Touch]],-1,0)&gt;0,OFFSET(TblMagic[[#This Row],[Active Midas Touch]],-1,0)-1,0))</f>
        <v>0</v>
      </c>
      <c r="AF23" s="57">
        <f ca="1">IF(TblMagic[[#This Row],[Harmony]],12,IF(OFFSET(TblMagic[[#This Row],[Active Harmony]],-1,0)&gt;0,OFFSET(TblMagic[[#This Row],[Active Harmony]],-1,0)-1,0))</f>
        <v>0</v>
      </c>
      <c r="AG23" s="57">
        <f ca="1">IF(TblMagic[[#This Row],[Miner''s Sight]],12,IF(OFFSET(TblMagic[[#This Row],[Active Miner''s Sight]],-1,0)&gt;0,OFFSET(TblMagic[[#This Row],[Active Miner''s Sight]],-1,0)-1,0))</f>
        <v>0</v>
      </c>
      <c r="AH23" s="57">
        <f ca="1">IF(TblMagic[[#This Row],[Mechanical Genius]],12,IF(OFFSET(TblMagic[[#This Row],[Active Mechanical Genius]],-1,0)&gt;0,OFFSET(TblMagic[[#This Row],[Active Mechanical Genius]],-1,0)-1,0))</f>
        <v>0</v>
      </c>
      <c r="AI23" s="57">
        <f ca="1">IF(TblMagic[[#This Row],[Death and Decay]],12,IF(OFFSET(TblMagic[[#This Row],[Active DnD]],-1,0)&gt;0,OFFSET(TblMagic[[#This Row],[Active DnD]],-1,0)-1,0))</f>
        <v>0</v>
      </c>
      <c r="AJ23" s="57">
        <f ca="1">IF(TblMagic[[#This Row],[Killing Rage / Bloodrage / Crusade]],12,IF(OFFSET(TblMagic[[#This Row],[Active Warsong / Killing Rage / Bloodrage]],-1,0)&gt;0,OFFSET(TblMagic[[#This Row],[Active Warsong / Killing Rage / Bloodrage]],-1,0)-1,0))</f>
        <v>0</v>
      </c>
      <c r="AK23" s="57">
        <f ca="1">IF(TblMagic[[#This Row],[Gaia''s Blessing]],12,IF(OFFSET(TblMagic[[#This Row],[Active Gaia''s Blessing]],-1,0)&gt;0,OFFSET(TblMagic[[#This Row],[Active Gaia''s Blessing]],-1,0)-1,0))</f>
        <v>0</v>
      </c>
      <c r="AL23" s="57">
        <f ca="1">IF(TblMagic[[#This Row],[Howling]],12,IF(OFFSET(TblMagic[[#This Row],[Active Howling]],-1,0)&gt;0,OFFSET(TblMagic[[#This Row],[Active Howling]],-1,0)-1,0))</f>
        <v>0</v>
      </c>
      <c r="AM23" s="57">
        <f ca="1">IF(TblMagic[[#This Row],[Arcane Infusion]],12,IF(OFFSET(TblMagic[[#This Row],[Active Arc Infusion]],-1,0)&gt;0,OFFSET(TblMagic[[#This Row],[Active Arc Infusion]],-1,0)-1,0))</f>
        <v>0</v>
      </c>
      <c r="AN23" s="57">
        <f ca="1">IF(TblMagic[[#This Row],[Alchemists Flame]],12,IF(OFFSET(TblMagic[[#This Row],[Active Alchemists Flame]],-1,0)&gt;0,OFFSET(TblMagic[[#This Row],[Active Alchemists Flame]],-1,0)-1,0))</f>
        <v>0</v>
      </c>
      <c r="AO23" s="57">
        <f ca="1">IF(TblMagic[[#This Row],[Nightfall]],12,IF(OFFSET(TblMagic[[#This Row],[Active Nightfall]],-1,0)&gt;0,OFFSET(TblMagic[[#This Row],[Active Nightfall]],-1,0)-1,0))</f>
        <v>0</v>
      </c>
      <c r="AP23" s="57">
        <f ca="1">IF(TblMagic[[#This Row],[Favorable Terrain]],12,IF(OFFSET(TblMagic[[#This Row],[Active Favorable Terrain]],-1,0)&gt;0,OFFSET(TblMagic[[#This Row],[Active Favorable Terrain]],-1,0)-1,0))</f>
        <v>0</v>
      </c>
      <c r="AQ23" s="57">
        <f ca="1">IF(TblMagic[[#This Row],[Infernal Command]],12,IF(OFFSET(TblMagic[[#This Row],[Active Infernal Command]],-1,0)&gt;0,OFFSET(TblMagic[[#This Row],[Active Infernal Command]],-1,0)-1,0))</f>
        <v>0</v>
      </c>
    </row>
    <row r="24" spans="1:43" x14ac:dyDescent="0.2">
      <c r="A24" s="137">
        <f>TblRezone[[#This Row],[Hour]]</f>
        <v>21</v>
      </c>
      <c r="B24" s="154">
        <f ca="1">TblConstr[[#This Row],[Land]]</f>
        <v>50</v>
      </c>
      <c r="C24" s="94">
        <f ca="1">TblProd[[#This Row],[Mana]]</f>
        <v>0</v>
      </c>
      <c r="D24" s="156">
        <f ca="1">MIN(1,OFFSET(TblMagic[[#This Row],[Wiz str]],-1,0)+0.04+ROUNDDOWN(10*OFFSET(TblMili[[#This Row],[WG''s]],-1,0),0)+ tech_2_7*OFFSET(TblTech[[#This Row],[2-7]],-1,0) + tech_5_6*OFFSET(TblTech[[#This Row],[5-6]],-1,0) )-TblMagic[[#This Row],[Wiz str cost]]</f>
        <v>1</v>
      </c>
      <c r="E24" s="159">
        <f ca="1">OFFSET(TblMagic[[#This Row],[Time]],-1,0)+1/24</f>
        <v>46320.833333333285</v>
      </c>
      <c r="F24" s="156">
        <f ca="1">TblImps[[#This Row],[Population]]</f>
        <v>1</v>
      </c>
      <c r="G24" s="218"/>
      <c r="H24" s="218"/>
      <c r="I24" s="218"/>
      <c r="J24" s="218"/>
      <c r="K24" s="405"/>
      <c r="L24" s="218"/>
      <c r="M24" s="218"/>
      <c r="N24" s="218"/>
      <c r="O24" s="218"/>
      <c r="P24" s="218"/>
      <c r="Q24" s="218"/>
      <c r="R24" s="218"/>
      <c r="S24" s="218"/>
      <c r="T24" s="218"/>
      <c r="U24" s="218"/>
      <c r="V24" s="218"/>
      <c r="W24" s="218"/>
      <c r="X24" s="142"/>
      <c r="Y2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4" s="156">
        <f>SUMIF(TblMagic[[#This Row],[Gaia''s Watch]:[Useless spell]],1)*0.05</f>
        <v>0</v>
      </c>
      <c r="AA24" s="142"/>
      <c r="AB24" s="57">
        <f ca="1">IF(TblMagic[[#This Row],[Gaia''s Watch]],12,IF(OFFSET(TblMagic[[#This Row],[Active Gaia''s Watch]],-1,0)&gt;0,OFFSET(TblMagic[[#This Row],[Active Gaia''s Watch]],-1,0)-1,0))</f>
        <v>0</v>
      </c>
      <c r="AC24" s="57">
        <f ca="1">IF(TblMagic[[#This Row],[Mining Strength]],12,IF(OFFSET(TblMagic[[#This Row],[Active Mining Strength]],-1,0)&gt;0,OFFSET(TblMagic[[#This Row],[Active Mining Strength]],-1,0)-1,0))</f>
        <v>0</v>
      </c>
      <c r="AD24" s="57">
        <f ca="1">IF(TblMagic[[#This Row],[Ares Call]],12,IF(OFFSET(TblMagic[[#This Row],[Active Ares Call]],-1,0)&gt;0,OFFSET(TblMagic[[#This Row],[Active Ares Call]],-1,0)-1,0))</f>
        <v>0</v>
      </c>
      <c r="AE24" s="57">
        <f ca="1">IF(TblMagic[[#This Row],[Midas Touch]],12,IF(OFFSET(TblMagic[[#This Row],[Active Midas Touch]],-1,0)&gt;0,OFFSET(TblMagic[[#This Row],[Active Midas Touch]],-1,0)-1,0))</f>
        <v>0</v>
      </c>
      <c r="AF24" s="57">
        <f ca="1">IF(TblMagic[[#This Row],[Harmony]],12,IF(OFFSET(TblMagic[[#This Row],[Active Harmony]],-1,0)&gt;0,OFFSET(TblMagic[[#This Row],[Active Harmony]],-1,0)-1,0))</f>
        <v>0</v>
      </c>
      <c r="AG24" s="57">
        <f ca="1">IF(TblMagic[[#This Row],[Miner''s Sight]],12,IF(OFFSET(TblMagic[[#This Row],[Active Miner''s Sight]],-1,0)&gt;0,OFFSET(TblMagic[[#This Row],[Active Miner''s Sight]],-1,0)-1,0))</f>
        <v>0</v>
      </c>
      <c r="AH24" s="57">
        <f ca="1">IF(TblMagic[[#This Row],[Mechanical Genius]],12,IF(OFFSET(TblMagic[[#This Row],[Active Mechanical Genius]],-1,0)&gt;0,OFFSET(TblMagic[[#This Row],[Active Mechanical Genius]],-1,0)-1,0))</f>
        <v>0</v>
      </c>
      <c r="AI24" s="57">
        <f ca="1">IF(TblMagic[[#This Row],[Death and Decay]],12,IF(OFFSET(TblMagic[[#This Row],[Active DnD]],-1,0)&gt;0,OFFSET(TblMagic[[#This Row],[Active DnD]],-1,0)-1,0))</f>
        <v>0</v>
      </c>
      <c r="AJ24" s="57">
        <f ca="1">IF(TblMagic[[#This Row],[Killing Rage / Bloodrage / Crusade]],12,IF(OFFSET(TblMagic[[#This Row],[Active Warsong / Killing Rage / Bloodrage]],-1,0)&gt;0,OFFSET(TblMagic[[#This Row],[Active Warsong / Killing Rage / Bloodrage]],-1,0)-1,0))</f>
        <v>0</v>
      </c>
      <c r="AK24" s="57">
        <f ca="1">IF(TblMagic[[#This Row],[Gaia''s Blessing]],12,IF(OFFSET(TblMagic[[#This Row],[Active Gaia''s Blessing]],-1,0)&gt;0,OFFSET(TblMagic[[#This Row],[Active Gaia''s Blessing]],-1,0)-1,0))</f>
        <v>0</v>
      </c>
      <c r="AL24" s="57">
        <f ca="1">IF(TblMagic[[#This Row],[Howling]],12,IF(OFFSET(TblMagic[[#This Row],[Active Howling]],-1,0)&gt;0,OFFSET(TblMagic[[#This Row],[Active Howling]],-1,0)-1,0))</f>
        <v>0</v>
      </c>
      <c r="AM24" s="57">
        <f ca="1">IF(TblMagic[[#This Row],[Arcane Infusion]],12,IF(OFFSET(TblMagic[[#This Row],[Active Arc Infusion]],-1,0)&gt;0,OFFSET(TblMagic[[#This Row],[Active Arc Infusion]],-1,0)-1,0))</f>
        <v>0</v>
      </c>
      <c r="AN24" s="57">
        <f ca="1">IF(TblMagic[[#This Row],[Alchemists Flame]],12,IF(OFFSET(TblMagic[[#This Row],[Active Alchemists Flame]],-1,0)&gt;0,OFFSET(TblMagic[[#This Row],[Active Alchemists Flame]],-1,0)-1,0))</f>
        <v>0</v>
      </c>
      <c r="AO24" s="57">
        <f ca="1">IF(TblMagic[[#This Row],[Nightfall]],12,IF(OFFSET(TblMagic[[#This Row],[Active Nightfall]],-1,0)&gt;0,OFFSET(TblMagic[[#This Row],[Active Nightfall]],-1,0)-1,0))</f>
        <v>0</v>
      </c>
      <c r="AP24" s="57">
        <f ca="1">IF(TblMagic[[#This Row],[Favorable Terrain]],12,IF(OFFSET(TblMagic[[#This Row],[Active Favorable Terrain]],-1,0)&gt;0,OFFSET(TblMagic[[#This Row],[Active Favorable Terrain]],-1,0)-1,0))</f>
        <v>0</v>
      </c>
      <c r="AQ24" s="57">
        <f ca="1">IF(TblMagic[[#This Row],[Infernal Command]],12,IF(OFFSET(TblMagic[[#This Row],[Active Infernal Command]],-1,0)&gt;0,OFFSET(TblMagic[[#This Row],[Active Infernal Command]],-1,0)-1,0))</f>
        <v>0</v>
      </c>
    </row>
    <row r="25" spans="1:43" x14ac:dyDescent="0.2">
      <c r="A25" s="137">
        <f>TblRezone[[#This Row],[Hour]]</f>
        <v>22</v>
      </c>
      <c r="B25" s="154">
        <f ca="1">TblConstr[[#This Row],[Land]]</f>
        <v>50</v>
      </c>
      <c r="C25" s="94">
        <f ca="1">TblProd[[#This Row],[Mana]]</f>
        <v>0</v>
      </c>
      <c r="D25" s="156">
        <f ca="1">MIN(1,OFFSET(TblMagic[[#This Row],[Wiz str]],-1,0)+0.04+ROUNDDOWN(10*OFFSET(TblMili[[#This Row],[WG''s]],-1,0),0)+ tech_2_7*OFFSET(TblTech[[#This Row],[2-7]],-1,0) + tech_5_6*OFFSET(TblTech[[#This Row],[5-6]],-1,0) )-TblMagic[[#This Row],[Wiz str cost]]</f>
        <v>1</v>
      </c>
      <c r="E25" s="159">
        <f ca="1">OFFSET(TblMagic[[#This Row],[Time]],-1,0)+1/24</f>
        <v>46320.874999999949</v>
      </c>
      <c r="F25" s="156">
        <f ca="1">TblImps[[#This Row],[Population]]</f>
        <v>1</v>
      </c>
      <c r="G25" s="218"/>
      <c r="H25" s="218"/>
      <c r="I25" s="218"/>
      <c r="J25" s="218"/>
      <c r="K25" s="405"/>
      <c r="L25" s="218"/>
      <c r="M25" s="218"/>
      <c r="N25" s="218"/>
      <c r="O25" s="218"/>
      <c r="P25" s="218"/>
      <c r="Q25" s="218"/>
      <c r="R25" s="218"/>
      <c r="S25" s="218"/>
      <c r="T25" s="218"/>
      <c r="U25" s="218"/>
      <c r="V25" s="218"/>
      <c r="W25" s="218"/>
      <c r="X25" s="142"/>
      <c r="Y2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5" s="156">
        <f>SUMIF(TblMagic[[#This Row],[Gaia''s Watch]:[Useless spell]],1)*0.05</f>
        <v>0</v>
      </c>
      <c r="AA25" s="142"/>
      <c r="AB25" s="57">
        <f ca="1">IF(TblMagic[[#This Row],[Gaia''s Watch]],12,IF(OFFSET(TblMagic[[#This Row],[Active Gaia''s Watch]],-1,0)&gt;0,OFFSET(TblMagic[[#This Row],[Active Gaia''s Watch]],-1,0)-1,0))</f>
        <v>0</v>
      </c>
      <c r="AC25" s="57">
        <f ca="1">IF(TblMagic[[#This Row],[Mining Strength]],12,IF(OFFSET(TblMagic[[#This Row],[Active Mining Strength]],-1,0)&gt;0,OFFSET(TblMagic[[#This Row],[Active Mining Strength]],-1,0)-1,0))</f>
        <v>0</v>
      </c>
      <c r="AD25" s="57">
        <f ca="1">IF(TblMagic[[#This Row],[Ares Call]],12,IF(OFFSET(TblMagic[[#This Row],[Active Ares Call]],-1,0)&gt;0,OFFSET(TblMagic[[#This Row],[Active Ares Call]],-1,0)-1,0))</f>
        <v>0</v>
      </c>
      <c r="AE25" s="57">
        <f ca="1">IF(TblMagic[[#This Row],[Midas Touch]],12,IF(OFFSET(TblMagic[[#This Row],[Active Midas Touch]],-1,0)&gt;0,OFFSET(TblMagic[[#This Row],[Active Midas Touch]],-1,0)-1,0))</f>
        <v>0</v>
      </c>
      <c r="AF25" s="57">
        <f ca="1">IF(TblMagic[[#This Row],[Harmony]],12,IF(OFFSET(TblMagic[[#This Row],[Active Harmony]],-1,0)&gt;0,OFFSET(TblMagic[[#This Row],[Active Harmony]],-1,0)-1,0))</f>
        <v>0</v>
      </c>
      <c r="AG25" s="57">
        <f ca="1">IF(TblMagic[[#This Row],[Miner''s Sight]],12,IF(OFFSET(TblMagic[[#This Row],[Active Miner''s Sight]],-1,0)&gt;0,OFFSET(TblMagic[[#This Row],[Active Miner''s Sight]],-1,0)-1,0))</f>
        <v>0</v>
      </c>
      <c r="AH25" s="57">
        <f ca="1">IF(TblMagic[[#This Row],[Mechanical Genius]],12,IF(OFFSET(TblMagic[[#This Row],[Active Mechanical Genius]],-1,0)&gt;0,OFFSET(TblMagic[[#This Row],[Active Mechanical Genius]],-1,0)-1,0))</f>
        <v>0</v>
      </c>
      <c r="AI25" s="57">
        <f ca="1">IF(TblMagic[[#This Row],[Death and Decay]],12,IF(OFFSET(TblMagic[[#This Row],[Active DnD]],-1,0)&gt;0,OFFSET(TblMagic[[#This Row],[Active DnD]],-1,0)-1,0))</f>
        <v>0</v>
      </c>
      <c r="AJ25" s="57">
        <f ca="1">IF(TblMagic[[#This Row],[Killing Rage / Bloodrage / Crusade]],12,IF(OFFSET(TblMagic[[#This Row],[Active Warsong / Killing Rage / Bloodrage]],-1,0)&gt;0,OFFSET(TblMagic[[#This Row],[Active Warsong / Killing Rage / Bloodrage]],-1,0)-1,0))</f>
        <v>0</v>
      </c>
      <c r="AK25" s="57">
        <f ca="1">IF(TblMagic[[#This Row],[Gaia''s Blessing]],12,IF(OFFSET(TblMagic[[#This Row],[Active Gaia''s Blessing]],-1,0)&gt;0,OFFSET(TblMagic[[#This Row],[Active Gaia''s Blessing]],-1,0)-1,0))</f>
        <v>0</v>
      </c>
      <c r="AL25" s="57">
        <f ca="1">IF(TblMagic[[#This Row],[Howling]],12,IF(OFFSET(TblMagic[[#This Row],[Active Howling]],-1,0)&gt;0,OFFSET(TblMagic[[#This Row],[Active Howling]],-1,0)-1,0))</f>
        <v>0</v>
      </c>
      <c r="AM25" s="57">
        <f ca="1">IF(TblMagic[[#This Row],[Arcane Infusion]],12,IF(OFFSET(TblMagic[[#This Row],[Active Arc Infusion]],-1,0)&gt;0,OFFSET(TblMagic[[#This Row],[Active Arc Infusion]],-1,0)-1,0))</f>
        <v>0</v>
      </c>
      <c r="AN25" s="57">
        <f ca="1">IF(TblMagic[[#This Row],[Alchemists Flame]],12,IF(OFFSET(TblMagic[[#This Row],[Active Alchemists Flame]],-1,0)&gt;0,OFFSET(TblMagic[[#This Row],[Active Alchemists Flame]],-1,0)-1,0))</f>
        <v>0</v>
      </c>
      <c r="AO25" s="57">
        <f ca="1">IF(TblMagic[[#This Row],[Nightfall]],12,IF(OFFSET(TblMagic[[#This Row],[Active Nightfall]],-1,0)&gt;0,OFFSET(TblMagic[[#This Row],[Active Nightfall]],-1,0)-1,0))</f>
        <v>0</v>
      </c>
      <c r="AP25" s="57">
        <f ca="1">IF(TblMagic[[#This Row],[Favorable Terrain]],12,IF(OFFSET(TblMagic[[#This Row],[Active Favorable Terrain]],-1,0)&gt;0,OFFSET(TblMagic[[#This Row],[Active Favorable Terrain]],-1,0)-1,0))</f>
        <v>0</v>
      </c>
      <c r="AQ25" s="57">
        <f ca="1">IF(TblMagic[[#This Row],[Infernal Command]],12,IF(OFFSET(TblMagic[[#This Row],[Active Infernal Command]],-1,0)&gt;0,OFFSET(TblMagic[[#This Row],[Active Infernal Command]],-1,0)-1,0))</f>
        <v>0</v>
      </c>
    </row>
    <row r="26" spans="1:43" x14ac:dyDescent="0.2">
      <c r="A26" s="137">
        <f>TblRezone[[#This Row],[Hour]]</f>
        <v>23</v>
      </c>
      <c r="B26" s="154">
        <f ca="1">TblConstr[[#This Row],[Land]]</f>
        <v>50</v>
      </c>
      <c r="C26" s="94">
        <f ca="1">TblProd[[#This Row],[Mana]]</f>
        <v>0</v>
      </c>
      <c r="D26" s="156">
        <f ca="1">MIN(1,OFFSET(TblMagic[[#This Row],[Wiz str]],-1,0)+0.04+ROUNDDOWN(10*OFFSET(TblMili[[#This Row],[WG''s]],-1,0),0)+ tech_2_7*OFFSET(TblTech[[#This Row],[2-7]],-1,0) + tech_5_6*OFFSET(TblTech[[#This Row],[5-6]],-1,0) )-TblMagic[[#This Row],[Wiz str cost]]</f>
        <v>1</v>
      </c>
      <c r="E26" s="159">
        <f ca="1">OFFSET(TblMagic[[#This Row],[Time]],-1,0)+1/24</f>
        <v>46320.916666666613</v>
      </c>
      <c r="F26" s="156">
        <f ca="1">TblImps[[#This Row],[Population]]</f>
        <v>1</v>
      </c>
      <c r="G26" s="218"/>
      <c r="H26" s="218"/>
      <c r="I26" s="218"/>
      <c r="J26" s="218"/>
      <c r="K26" s="405"/>
      <c r="L26" s="218"/>
      <c r="M26" s="218"/>
      <c r="N26" s="218"/>
      <c r="O26" s="218"/>
      <c r="P26" s="218"/>
      <c r="Q26" s="218"/>
      <c r="R26" s="218"/>
      <c r="S26" s="218"/>
      <c r="T26" s="218"/>
      <c r="U26" s="218"/>
      <c r="V26" s="218"/>
      <c r="W26" s="218"/>
      <c r="X26" s="142"/>
      <c r="Y2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6" s="156">
        <f>SUMIF(TblMagic[[#This Row],[Gaia''s Watch]:[Useless spell]],1)*0.05</f>
        <v>0</v>
      </c>
      <c r="AA26" s="142"/>
      <c r="AB26" s="57">
        <f ca="1">IF(TblMagic[[#This Row],[Gaia''s Watch]],12,IF(OFFSET(TblMagic[[#This Row],[Active Gaia''s Watch]],-1,0)&gt;0,OFFSET(TblMagic[[#This Row],[Active Gaia''s Watch]],-1,0)-1,0))</f>
        <v>0</v>
      </c>
      <c r="AC26" s="57">
        <f ca="1">IF(TblMagic[[#This Row],[Mining Strength]],12,IF(OFFSET(TblMagic[[#This Row],[Active Mining Strength]],-1,0)&gt;0,OFFSET(TblMagic[[#This Row],[Active Mining Strength]],-1,0)-1,0))</f>
        <v>0</v>
      </c>
      <c r="AD26" s="57">
        <f ca="1">IF(TblMagic[[#This Row],[Ares Call]],12,IF(OFFSET(TblMagic[[#This Row],[Active Ares Call]],-1,0)&gt;0,OFFSET(TblMagic[[#This Row],[Active Ares Call]],-1,0)-1,0))</f>
        <v>0</v>
      </c>
      <c r="AE26" s="57">
        <f ca="1">IF(TblMagic[[#This Row],[Midas Touch]],12,IF(OFFSET(TblMagic[[#This Row],[Active Midas Touch]],-1,0)&gt;0,OFFSET(TblMagic[[#This Row],[Active Midas Touch]],-1,0)-1,0))</f>
        <v>0</v>
      </c>
      <c r="AF26" s="57">
        <f ca="1">IF(TblMagic[[#This Row],[Harmony]],12,IF(OFFSET(TblMagic[[#This Row],[Active Harmony]],-1,0)&gt;0,OFFSET(TblMagic[[#This Row],[Active Harmony]],-1,0)-1,0))</f>
        <v>0</v>
      </c>
      <c r="AG26" s="57">
        <f ca="1">IF(TblMagic[[#This Row],[Miner''s Sight]],12,IF(OFFSET(TblMagic[[#This Row],[Active Miner''s Sight]],-1,0)&gt;0,OFFSET(TblMagic[[#This Row],[Active Miner''s Sight]],-1,0)-1,0))</f>
        <v>0</v>
      </c>
      <c r="AH26" s="57">
        <f ca="1">IF(TblMagic[[#This Row],[Mechanical Genius]],12,IF(OFFSET(TblMagic[[#This Row],[Active Mechanical Genius]],-1,0)&gt;0,OFFSET(TblMagic[[#This Row],[Active Mechanical Genius]],-1,0)-1,0))</f>
        <v>0</v>
      </c>
      <c r="AI26" s="57">
        <f ca="1">IF(TblMagic[[#This Row],[Death and Decay]],12,IF(OFFSET(TblMagic[[#This Row],[Active DnD]],-1,0)&gt;0,OFFSET(TblMagic[[#This Row],[Active DnD]],-1,0)-1,0))</f>
        <v>0</v>
      </c>
      <c r="AJ26" s="57">
        <f ca="1">IF(TblMagic[[#This Row],[Killing Rage / Bloodrage / Crusade]],12,IF(OFFSET(TblMagic[[#This Row],[Active Warsong / Killing Rage / Bloodrage]],-1,0)&gt;0,OFFSET(TblMagic[[#This Row],[Active Warsong / Killing Rage / Bloodrage]],-1,0)-1,0))</f>
        <v>0</v>
      </c>
      <c r="AK26" s="57">
        <f ca="1">IF(TblMagic[[#This Row],[Gaia''s Blessing]],12,IF(OFFSET(TblMagic[[#This Row],[Active Gaia''s Blessing]],-1,0)&gt;0,OFFSET(TblMagic[[#This Row],[Active Gaia''s Blessing]],-1,0)-1,0))</f>
        <v>0</v>
      </c>
      <c r="AL26" s="57">
        <f ca="1">IF(TblMagic[[#This Row],[Howling]],12,IF(OFFSET(TblMagic[[#This Row],[Active Howling]],-1,0)&gt;0,OFFSET(TblMagic[[#This Row],[Active Howling]],-1,0)-1,0))</f>
        <v>0</v>
      </c>
      <c r="AM26" s="57">
        <f ca="1">IF(TblMagic[[#This Row],[Arcane Infusion]],12,IF(OFFSET(TblMagic[[#This Row],[Active Arc Infusion]],-1,0)&gt;0,OFFSET(TblMagic[[#This Row],[Active Arc Infusion]],-1,0)-1,0))</f>
        <v>0</v>
      </c>
      <c r="AN26" s="57">
        <f ca="1">IF(TblMagic[[#This Row],[Alchemists Flame]],12,IF(OFFSET(TblMagic[[#This Row],[Active Alchemists Flame]],-1,0)&gt;0,OFFSET(TblMagic[[#This Row],[Active Alchemists Flame]],-1,0)-1,0))</f>
        <v>0</v>
      </c>
      <c r="AO26" s="57">
        <f ca="1">IF(TblMagic[[#This Row],[Nightfall]],12,IF(OFFSET(TblMagic[[#This Row],[Active Nightfall]],-1,0)&gt;0,OFFSET(TblMagic[[#This Row],[Active Nightfall]],-1,0)-1,0))</f>
        <v>0</v>
      </c>
      <c r="AP26" s="57">
        <f ca="1">IF(TblMagic[[#This Row],[Favorable Terrain]],12,IF(OFFSET(TblMagic[[#This Row],[Active Favorable Terrain]],-1,0)&gt;0,OFFSET(TblMagic[[#This Row],[Active Favorable Terrain]],-1,0)-1,0))</f>
        <v>0</v>
      </c>
      <c r="AQ26" s="57">
        <f ca="1">IF(TblMagic[[#This Row],[Infernal Command]],12,IF(OFFSET(TblMagic[[#This Row],[Active Infernal Command]],-1,0)&gt;0,OFFSET(TblMagic[[#This Row],[Active Infernal Command]],-1,0)-1,0))</f>
        <v>0</v>
      </c>
    </row>
    <row r="27" spans="1:43" x14ac:dyDescent="0.2">
      <c r="A27" s="137">
        <f>TblRezone[[#This Row],[Hour]]</f>
        <v>24</v>
      </c>
      <c r="B27" s="154">
        <f ca="1">TblConstr[[#This Row],[Land]]</f>
        <v>50</v>
      </c>
      <c r="C27" s="94">
        <f ca="1">TblProd[[#This Row],[Mana]]</f>
        <v>0</v>
      </c>
      <c r="D27" s="156">
        <f ca="1">MIN(1,OFFSET(TblMagic[[#This Row],[Wiz str]],-1,0)+0.04+ROUNDDOWN(10*OFFSET(TblMili[[#This Row],[WG''s]],-1,0),0)+ tech_2_7*OFFSET(TblTech[[#This Row],[2-7]],-1,0) + tech_5_6*OFFSET(TblTech[[#This Row],[5-6]],-1,0) )-TblMagic[[#This Row],[Wiz str cost]]</f>
        <v>1</v>
      </c>
      <c r="E27" s="159">
        <f ca="1">OFFSET(TblMagic[[#This Row],[Time]],-1,0)+1/24</f>
        <v>46320.958333333278</v>
      </c>
      <c r="F27" s="156">
        <f ca="1">TblImps[[#This Row],[Population]]</f>
        <v>1</v>
      </c>
      <c r="G27" s="218"/>
      <c r="H27" s="218"/>
      <c r="I27" s="218"/>
      <c r="J27" s="218"/>
      <c r="K27" s="405"/>
      <c r="L27" s="218"/>
      <c r="M27" s="218"/>
      <c r="N27" s="218"/>
      <c r="O27" s="218"/>
      <c r="P27" s="218"/>
      <c r="Q27" s="218"/>
      <c r="R27" s="218"/>
      <c r="S27" s="218"/>
      <c r="T27" s="218"/>
      <c r="U27" s="218"/>
      <c r="V27" s="218"/>
      <c r="W27" s="218"/>
      <c r="X27" s="142"/>
      <c r="Y2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7" s="156">
        <f>SUMIF(TblMagic[[#This Row],[Gaia''s Watch]:[Useless spell]],1)*0.05</f>
        <v>0</v>
      </c>
      <c r="AA27" s="142"/>
      <c r="AB27" s="57">
        <f ca="1">IF(TblMagic[[#This Row],[Gaia''s Watch]],12,IF(OFFSET(TblMagic[[#This Row],[Active Gaia''s Watch]],-1,0)&gt;0,OFFSET(TblMagic[[#This Row],[Active Gaia''s Watch]],-1,0)-1,0))</f>
        <v>0</v>
      </c>
      <c r="AC27" s="57">
        <f ca="1">IF(TblMagic[[#This Row],[Mining Strength]],12,IF(OFFSET(TblMagic[[#This Row],[Active Mining Strength]],-1,0)&gt;0,OFFSET(TblMagic[[#This Row],[Active Mining Strength]],-1,0)-1,0))</f>
        <v>0</v>
      </c>
      <c r="AD27" s="57">
        <f ca="1">IF(TblMagic[[#This Row],[Ares Call]],12,IF(OFFSET(TblMagic[[#This Row],[Active Ares Call]],-1,0)&gt;0,OFFSET(TblMagic[[#This Row],[Active Ares Call]],-1,0)-1,0))</f>
        <v>0</v>
      </c>
      <c r="AE27" s="57">
        <f ca="1">IF(TblMagic[[#This Row],[Midas Touch]],12,IF(OFFSET(TblMagic[[#This Row],[Active Midas Touch]],-1,0)&gt;0,OFFSET(TblMagic[[#This Row],[Active Midas Touch]],-1,0)-1,0))</f>
        <v>0</v>
      </c>
      <c r="AF27" s="57">
        <f ca="1">IF(TblMagic[[#This Row],[Harmony]],12,IF(OFFSET(TblMagic[[#This Row],[Active Harmony]],-1,0)&gt;0,OFFSET(TblMagic[[#This Row],[Active Harmony]],-1,0)-1,0))</f>
        <v>0</v>
      </c>
      <c r="AG27" s="57">
        <f ca="1">IF(TblMagic[[#This Row],[Miner''s Sight]],12,IF(OFFSET(TblMagic[[#This Row],[Active Miner''s Sight]],-1,0)&gt;0,OFFSET(TblMagic[[#This Row],[Active Miner''s Sight]],-1,0)-1,0))</f>
        <v>0</v>
      </c>
      <c r="AH27" s="57">
        <f ca="1">IF(TblMagic[[#This Row],[Mechanical Genius]],12,IF(OFFSET(TblMagic[[#This Row],[Active Mechanical Genius]],-1,0)&gt;0,OFFSET(TblMagic[[#This Row],[Active Mechanical Genius]],-1,0)-1,0))</f>
        <v>0</v>
      </c>
      <c r="AI27" s="57">
        <f ca="1">IF(TblMagic[[#This Row],[Death and Decay]],12,IF(OFFSET(TblMagic[[#This Row],[Active DnD]],-1,0)&gt;0,OFFSET(TblMagic[[#This Row],[Active DnD]],-1,0)-1,0))</f>
        <v>0</v>
      </c>
      <c r="AJ27" s="57">
        <f ca="1">IF(TblMagic[[#This Row],[Killing Rage / Bloodrage / Crusade]],12,IF(OFFSET(TblMagic[[#This Row],[Active Warsong / Killing Rage / Bloodrage]],-1,0)&gt;0,OFFSET(TblMagic[[#This Row],[Active Warsong / Killing Rage / Bloodrage]],-1,0)-1,0))</f>
        <v>0</v>
      </c>
      <c r="AK27" s="57">
        <f ca="1">IF(TblMagic[[#This Row],[Gaia''s Blessing]],12,IF(OFFSET(TblMagic[[#This Row],[Active Gaia''s Blessing]],-1,0)&gt;0,OFFSET(TblMagic[[#This Row],[Active Gaia''s Blessing]],-1,0)-1,0))</f>
        <v>0</v>
      </c>
      <c r="AL27" s="57">
        <f ca="1">IF(TblMagic[[#This Row],[Howling]],12,IF(OFFSET(TblMagic[[#This Row],[Active Howling]],-1,0)&gt;0,OFFSET(TblMagic[[#This Row],[Active Howling]],-1,0)-1,0))</f>
        <v>0</v>
      </c>
      <c r="AM27" s="57">
        <f ca="1">IF(TblMagic[[#This Row],[Arcane Infusion]],12,IF(OFFSET(TblMagic[[#This Row],[Active Arc Infusion]],-1,0)&gt;0,OFFSET(TblMagic[[#This Row],[Active Arc Infusion]],-1,0)-1,0))</f>
        <v>0</v>
      </c>
      <c r="AN27" s="57">
        <f ca="1">IF(TblMagic[[#This Row],[Alchemists Flame]],12,IF(OFFSET(TblMagic[[#This Row],[Active Alchemists Flame]],-1,0)&gt;0,OFFSET(TblMagic[[#This Row],[Active Alchemists Flame]],-1,0)-1,0))</f>
        <v>0</v>
      </c>
      <c r="AO27" s="57">
        <f ca="1">IF(TblMagic[[#This Row],[Nightfall]],12,IF(OFFSET(TblMagic[[#This Row],[Active Nightfall]],-1,0)&gt;0,OFFSET(TblMagic[[#This Row],[Active Nightfall]],-1,0)-1,0))</f>
        <v>0</v>
      </c>
      <c r="AP27" s="57">
        <f ca="1">IF(TblMagic[[#This Row],[Favorable Terrain]],12,IF(OFFSET(TblMagic[[#This Row],[Active Favorable Terrain]],-1,0)&gt;0,OFFSET(TblMagic[[#This Row],[Active Favorable Terrain]],-1,0)-1,0))</f>
        <v>0</v>
      </c>
      <c r="AQ27" s="57">
        <f ca="1">IF(TblMagic[[#This Row],[Infernal Command]],12,IF(OFFSET(TblMagic[[#This Row],[Active Infernal Command]],-1,0)&gt;0,OFFSET(TblMagic[[#This Row],[Active Infernal Command]],-1,0)-1,0))</f>
        <v>0</v>
      </c>
    </row>
    <row r="28" spans="1:43" x14ac:dyDescent="0.2">
      <c r="A28" s="137">
        <f>TblRezone[[#This Row],[Hour]]</f>
        <v>25</v>
      </c>
      <c r="B28" s="154">
        <f ca="1">TblConstr[[#This Row],[Land]]</f>
        <v>50</v>
      </c>
      <c r="C28" s="94">
        <f ca="1">TblProd[[#This Row],[Mana]]</f>
        <v>0</v>
      </c>
      <c r="D28" s="156">
        <f ca="1">MIN(1,OFFSET(TblMagic[[#This Row],[Wiz str]],-1,0)+0.04+ROUNDDOWN(10*OFFSET(TblMili[[#This Row],[WG''s]],-1,0),0)+ tech_2_7*OFFSET(TblTech[[#This Row],[2-7]],-1,0) + tech_5_6*OFFSET(TblTech[[#This Row],[5-6]],-1,0) )-TblMagic[[#This Row],[Wiz str cost]]</f>
        <v>1</v>
      </c>
      <c r="E28" s="159">
        <f ca="1">OFFSET(TblMagic[[#This Row],[Time]],-1,0)+1/24</f>
        <v>46320.999999999942</v>
      </c>
      <c r="F28" s="156">
        <f ca="1">TblImps[[#This Row],[Population]]</f>
        <v>1</v>
      </c>
      <c r="G28" s="218"/>
      <c r="H28" s="218"/>
      <c r="I28" s="218"/>
      <c r="J28" s="218"/>
      <c r="K28" s="405"/>
      <c r="L28" s="218"/>
      <c r="M28" s="218"/>
      <c r="N28" s="218"/>
      <c r="O28" s="218"/>
      <c r="P28" s="218"/>
      <c r="Q28" s="218"/>
      <c r="R28" s="218"/>
      <c r="S28" s="218"/>
      <c r="T28" s="218"/>
      <c r="U28" s="218"/>
      <c r="V28" s="218"/>
      <c r="W28" s="218"/>
      <c r="X28" s="142"/>
      <c r="Y2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8" s="156">
        <f>SUMIF(TblMagic[[#This Row],[Gaia''s Watch]:[Useless spell]],1)*0.05</f>
        <v>0</v>
      </c>
      <c r="AA28" s="142"/>
      <c r="AB28" s="57">
        <f ca="1">IF(TblMagic[[#This Row],[Gaia''s Watch]],12,IF(OFFSET(TblMagic[[#This Row],[Active Gaia''s Watch]],-1,0)&gt;0,OFFSET(TblMagic[[#This Row],[Active Gaia''s Watch]],-1,0)-1,0))</f>
        <v>0</v>
      </c>
      <c r="AC28" s="57">
        <f ca="1">IF(TblMagic[[#This Row],[Mining Strength]],12,IF(OFFSET(TblMagic[[#This Row],[Active Mining Strength]],-1,0)&gt;0,OFFSET(TblMagic[[#This Row],[Active Mining Strength]],-1,0)-1,0))</f>
        <v>0</v>
      </c>
      <c r="AD28" s="57">
        <f ca="1">IF(TblMagic[[#This Row],[Ares Call]],12,IF(OFFSET(TblMagic[[#This Row],[Active Ares Call]],-1,0)&gt;0,OFFSET(TblMagic[[#This Row],[Active Ares Call]],-1,0)-1,0))</f>
        <v>0</v>
      </c>
      <c r="AE28" s="57">
        <f ca="1">IF(TblMagic[[#This Row],[Midas Touch]],12,IF(OFFSET(TblMagic[[#This Row],[Active Midas Touch]],-1,0)&gt;0,OFFSET(TblMagic[[#This Row],[Active Midas Touch]],-1,0)-1,0))</f>
        <v>0</v>
      </c>
      <c r="AF28" s="57">
        <f ca="1">IF(TblMagic[[#This Row],[Harmony]],12,IF(OFFSET(TblMagic[[#This Row],[Active Harmony]],-1,0)&gt;0,OFFSET(TblMagic[[#This Row],[Active Harmony]],-1,0)-1,0))</f>
        <v>0</v>
      </c>
      <c r="AG28" s="57">
        <f ca="1">IF(TblMagic[[#This Row],[Miner''s Sight]],12,IF(OFFSET(TblMagic[[#This Row],[Active Miner''s Sight]],-1,0)&gt;0,OFFSET(TblMagic[[#This Row],[Active Miner''s Sight]],-1,0)-1,0))</f>
        <v>0</v>
      </c>
      <c r="AH28" s="57">
        <f ca="1">IF(TblMagic[[#This Row],[Mechanical Genius]],12,IF(OFFSET(TblMagic[[#This Row],[Active Mechanical Genius]],-1,0)&gt;0,OFFSET(TblMagic[[#This Row],[Active Mechanical Genius]],-1,0)-1,0))</f>
        <v>0</v>
      </c>
      <c r="AI28" s="57">
        <f ca="1">IF(TblMagic[[#This Row],[Death and Decay]],12,IF(OFFSET(TblMagic[[#This Row],[Active DnD]],-1,0)&gt;0,OFFSET(TblMagic[[#This Row],[Active DnD]],-1,0)-1,0))</f>
        <v>0</v>
      </c>
      <c r="AJ28" s="57">
        <f ca="1">IF(TblMagic[[#This Row],[Killing Rage / Bloodrage / Crusade]],12,IF(OFFSET(TblMagic[[#This Row],[Active Warsong / Killing Rage / Bloodrage]],-1,0)&gt;0,OFFSET(TblMagic[[#This Row],[Active Warsong / Killing Rage / Bloodrage]],-1,0)-1,0))</f>
        <v>0</v>
      </c>
      <c r="AK28" s="57">
        <f ca="1">IF(TblMagic[[#This Row],[Gaia''s Blessing]],12,IF(OFFSET(TblMagic[[#This Row],[Active Gaia''s Blessing]],-1,0)&gt;0,OFFSET(TblMagic[[#This Row],[Active Gaia''s Blessing]],-1,0)-1,0))</f>
        <v>0</v>
      </c>
      <c r="AL28" s="57">
        <f ca="1">IF(TblMagic[[#This Row],[Howling]],12,IF(OFFSET(TblMagic[[#This Row],[Active Howling]],-1,0)&gt;0,OFFSET(TblMagic[[#This Row],[Active Howling]],-1,0)-1,0))</f>
        <v>0</v>
      </c>
      <c r="AM28" s="57">
        <f ca="1">IF(TblMagic[[#This Row],[Arcane Infusion]],12,IF(OFFSET(TblMagic[[#This Row],[Active Arc Infusion]],-1,0)&gt;0,OFFSET(TblMagic[[#This Row],[Active Arc Infusion]],-1,0)-1,0))</f>
        <v>0</v>
      </c>
      <c r="AN28" s="57">
        <f ca="1">IF(TblMagic[[#This Row],[Alchemists Flame]],12,IF(OFFSET(TblMagic[[#This Row],[Active Alchemists Flame]],-1,0)&gt;0,OFFSET(TblMagic[[#This Row],[Active Alchemists Flame]],-1,0)-1,0))</f>
        <v>0</v>
      </c>
      <c r="AO28" s="57">
        <f ca="1">IF(TblMagic[[#This Row],[Nightfall]],12,IF(OFFSET(TblMagic[[#This Row],[Active Nightfall]],-1,0)&gt;0,OFFSET(TblMagic[[#This Row],[Active Nightfall]],-1,0)-1,0))</f>
        <v>0</v>
      </c>
      <c r="AP28" s="57">
        <f ca="1">IF(TblMagic[[#This Row],[Favorable Terrain]],12,IF(OFFSET(TblMagic[[#This Row],[Active Favorable Terrain]],-1,0)&gt;0,OFFSET(TblMagic[[#This Row],[Active Favorable Terrain]],-1,0)-1,0))</f>
        <v>0</v>
      </c>
      <c r="AQ28" s="57">
        <f ca="1">IF(TblMagic[[#This Row],[Infernal Command]],12,IF(OFFSET(TblMagic[[#This Row],[Active Infernal Command]],-1,0)&gt;0,OFFSET(TblMagic[[#This Row],[Active Infernal Command]],-1,0)-1,0))</f>
        <v>0</v>
      </c>
    </row>
    <row r="29" spans="1:43" x14ac:dyDescent="0.2">
      <c r="A29" s="137">
        <f>TblRezone[[#This Row],[Hour]]</f>
        <v>26</v>
      </c>
      <c r="B29" s="154">
        <f ca="1">TblConstr[[#This Row],[Land]]</f>
        <v>50</v>
      </c>
      <c r="C29" s="94">
        <f ca="1">TblProd[[#This Row],[Mana]]</f>
        <v>0</v>
      </c>
      <c r="D29" s="156">
        <f ca="1">MIN(1,OFFSET(TblMagic[[#This Row],[Wiz str]],-1,0)+0.04+ROUNDDOWN(10*OFFSET(TblMili[[#This Row],[WG''s]],-1,0),0)+ tech_2_7*OFFSET(TblTech[[#This Row],[2-7]],-1,0) + tech_5_6*OFFSET(TblTech[[#This Row],[5-6]],-1,0) )-TblMagic[[#This Row],[Wiz str cost]]</f>
        <v>1</v>
      </c>
      <c r="E29" s="159">
        <f ca="1">OFFSET(TblMagic[[#This Row],[Time]],-1,0)+1/24</f>
        <v>46321.041666666606</v>
      </c>
      <c r="F29" s="156">
        <f ca="1">TblImps[[#This Row],[Population]]</f>
        <v>1</v>
      </c>
      <c r="G29" s="218"/>
      <c r="H29" s="218"/>
      <c r="I29" s="218"/>
      <c r="J29" s="218"/>
      <c r="K29" s="405"/>
      <c r="L29" s="218"/>
      <c r="M29" s="218"/>
      <c r="N29" s="218"/>
      <c r="O29" s="218"/>
      <c r="P29" s="218"/>
      <c r="Q29" s="218"/>
      <c r="R29" s="218"/>
      <c r="S29" s="218"/>
      <c r="T29" s="218"/>
      <c r="U29" s="218"/>
      <c r="V29" s="218"/>
      <c r="W29" s="218"/>
      <c r="X29" s="142"/>
      <c r="Y2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9" s="156">
        <f>SUMIF(TblMagic[[#This Row],[Gaia''s Watch]:[Useless spell]],1)*0.05</f>
        <v>0</v>
      </c>
      <c r="AA29" s="142"/>
      <c r="AB29" s="57">
        <f ca="1">IF(TblMagic[[#This Row],[Gaia''s Watch]],12,IF(OFFSET(TblMagic[[#This Row],[Active Gaia''s Watch]],-1,0)&gt;0,OFFSET(TblMagic[[#This Row],[Active Gaia''s Watch]],-1,0)-1,0))</f>
        <v>0</v>
      </c>
      <c r="AC29" s="57">
        <f ca="1">IF(TblMagic[[#This Row],[Mining Strength]],12,IF(OFFSET(TblMagic[[#This Row],[Active Mining Strength]],-1,0)&gt;0,OFFSET(TblMagic[[#This Row],[Active Mining Strength]],-1,0)-1,0))</f>
        <v>0</v>
      </c>
      <c r="AD29" s="57">
        <f ca="1">IF(TblMagic[[#This Row],[Ares Call]],12,IF(OFFSET(TblMagic[[#This Row],[Active Ares Call]],-1,0)&gt;0,OFFSET(TblMagic[[#This Row],[Active Ares Call]],-1,0)-1,0))</f>
        <v>0</v>
      </c>
      <c r="AE29" s="57">
        <f ca="1">IF(TblMagic[[#This Row],[Midas Touch]],12,IF(OFFSET(TblMagic[[#This Row],[Active Midas Touch]],-1,0)&gt;0,OFFSET(TblMagic[[#This Row],[Active Midas Touch]],-1,0)-1,0))</f>
        <v>0</v>
      </c>
      <c r="AF29" s="57">
        <f ca="1">IF(TblMagic[[#This Row],[Harmony]],12,IF(OFFSET(TblMagic[[#This Row],[Active Harmony]],-1,0)&gt;0,OFFSET(TblMagic[[#This Row],[Active Harmony]],-1,0)-1,0))</f>
        <v>0</v>
      </c>
      <c r="AG29" s="57">
        <f ca="1">IF(TblMagic[[#This Row],[Miner''s Sight]],12,IF(OFFSET(TblMagic[[#This Row],[Active Miner''s Sight]],-1,0)&gt;0,OFFSET(TblMagic[[#This Row],[Active Miner''s Sight]],-1,0)-1,0))</f>
        <v>0</v>
      </c>
      <c r="AH29" s="57">
        <f ca="1">IF(TblMagic[[#This Row],[Mechanical Genius]],12,IF(OFFSET(TblMagic[[#This Row],[Active Mechanical Genius]],-1,0)&gt;0,OFFSET(TblMagic[[#This Row],[Active Mechanical Genius]],-1,0)-1,0))</f>
        <v>0</v>
      </c>
      <c r="AI29" s="57">
        <f ca="1">IF(TblMagic[[#This Row],[Death and Decay]],12,IF(OFFSET(TblMagic[[#This Row],[Active DnD]],-1,0)&gt;0,OFFSET(TblMagic[[#This Row],[Active DnD]],-1,0)-1,0))</f>
        <v>0</v>
      </c>
      <c r="AJ29" s="57">
        <f ca="1">IF(TblMagic[[#This Row],[Killing Rage / Bloodrage / Crusade]],12,IF(OFFSET(TblMagic[[#This Row],[Active Warsong / Killing Rage / Bloodrage]],-1,0)&gt;0,OFFSET(TblMagic[[#This Row],[Active Warsong / Killing Rage / Bloodrage]],-1,0)-1,0))</f>
        <v>0</v>
      </c>
      <c r="AK29" s="57">
        <f ca="1">IF(TblMagic[[#This Row],[Gaia''s Blessing]],12,IF(OFFSET(TblMagic[[#This Row],[Active Gaia''s Blessing]],-1,0)&gt;0,OFFSET(TblMagic[[#This Row],[Active Gaia''s Blessing]],-1,0)-1,0))</f>
        <v>0</v>
      </c>
      <c r="AL29" s="57">
        <f ca="1">IF(TblMagic[[#This Row],[Howling]],12,IF(OFFSET(TblMagic[[#This Row],[Active Howling]],-1,0)&gt;0,OFFSET(TblMagic[[#This Row],[Active Howling]],-1,0)-1,0))</f>
        <v>0</v>
      </c>
      <c r="AM29" s="57">
        <f ca="1">IF(TblMagic[[#This Row],[Arcane Infusion]],12,IF(OFFSET(TblMagic[[#This Row],[Active Arc Infusion]],-1,0)&gt;0,OFFSET(TblMagic[[#This Row],[Active Arc Infusion]],-1,0)-1,0))</f>
        <v>0</v>
      </c>
      <c r="AN29" s="57">
        <f ca="1">IF(TblMagic[[#This Row],[Alchemists Flame]],12,IF(OFFSET(TblMagic[[#This Row],[Active Alchemists Flame]],-1,0)&gt;0,OFFSET(TblMagic[[#This Row],[Active Alchemists Flame]],-1,0)-1,0))</f>
        <v>0</v>
      </c>
      <c r="AO29" s="57">
        <f ca="1">IF(TblMagic[[#This Row],[Nightfall]],12,IF(OFFSET(TblMagic[[#This Row],[Active Nightfall]],-1,0)&gt;0,OFFSET(TblMagic[[#This Row],[Active Nightfall]],-1,0)-1,0))</f>
        <v>0</v>
      </c>
      <c r="AP29" s="57">
        <f ca="1">IF(TblMagic[[#This Row],[Favorable Terrain]],12,IF(OFFSET(TblMagic[[#This Row],[Active Favorable Terrain]],-1,0)&gt;0,OFFSET(TblMagic[[#This Row],[Active Favorable Terrain]],-1,0)-1,0))</f>
        <v>0</v>
      </c>
      <c r="AQ29" s="57">
        <f ca="1">IF(TblMagic[[#This Row],[Infernal Command]],12,IF(OFFSET(TblMagic[[#This Row],[Active Infernal Command]],-1,0)&gt;0,OFFSET(TblMagic[[#This Row],[Active Infernal Command]],-1,0)-1,0))</f>
        <v>0</v>
      </c>
    </row>
    <row r="30" spans="1:43" x14ac:dyDescent="0.2">
      <c r="A30" s="137">
        <f>TblRezone[[#This Row],[Hour]]</f>
        <v>27</v>
      </c>
      <c r="B30" s="154">
        <f ca="1">TblConstr[[#This Row],[Land]]</f>
        <v>50</v>
      </c>
      <c r="C30" s="94">
        <f ca="1">TblProd[[#This Row],[Mana]]</f>
        <v>0</v>
      </c>
      <c r="D30" s="156">
        <f ca="1">MIN(1,OFFSET(TblMagic[[#This Row],[Wiz str]],-1,0)+0.04+ROUNDDOWN(10*OFFSET(TblMili[[#This Row],[WG''s]],-1,0),0)+ tech_2_7*OFFSET(TblTech[[#This Row],[2-7]],-1,0) + tech_5_6*OFFSET(TblTech[[#This Row],[5-6]],-1,0) )-TblMagic[[#This Row],[Wiz str cost]]</f>
        <v>1</v>
      </c>
      <c r="E30" s="159">
        <f ca="1">OFFSET(TblMagic[[#This Row],[Time]],-1,0)+1/24</f>
        <v>46321.08333333327</v>
      </c>
      <c r="F30" s="156">
        <f ca="1">TblImps[[#This Row],[Population]]</f>
        <v>1</v>
      </c>
      <c r="G30" s="218"/>
      <c r="H30" s="218"/>
      <c r="I30" s="218"/>
      <c r="J30" s="218"/>
      <c r="K30" s="405"/>
      <c r="L30" s="218"/>
      <c r="M30" s="218"/>
      <c r="N30" s="218"/>
      <c r="O30" s="218"/>
      <c r="P30" s="218"/>
      <c r="Q30" s="218"/>
      <c r="R30" s="218"/>
      <c r="S30" s="218"/>
      <c r="T30" s="218"/>
      <c r="U30" s="218"/>
      <c r="V30" s="218"/>
      <c r="W30" s="218"/>
      <c r="X30" s="142"/>
      <c r="Y3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0" s="156">
        <f>SUMIF(TblMagic[[#This Row],[Gaia''s Watch]:[Useless spell]],1)*0.05</f>
        <v>0</v>
      </c>
      <c r="AA30" s="142"/>
      <c r="AB30" s="57">
        <f ca="1">IF(TblMagic[[#This Row],[Gaia''s Watch]],12,IF(OFFSET(TblMagic[[#This Row],[Active Gaia''s Watch]],-1,0)&gt;0,OFFSET(TblMagic[[#This Row],[Active Gaia''s Watch]],-1,0)-1,0))</f>
        <v>0</v>
      </c>
      <c r="AC30" s="57">
        <f ca="1">IF(TblMagic[[#This Row],[Mining Strength]],12,IF(OFFSET(TblMagic[[#This Row],[Active Mining Strength]],-1,0)&gt;0,OFFSET(TblMagic[[#This Row],[Active Mining Strength]],-1,0)-1,0))</f>
        <v>0</v>
      </c>
      <c r="AD30" s="57">
        <f ca="1">IF(TblMagic[[#This Row],[Ares Call]],12,IF(OFFSET(TblMagic[[#This Row],[Active Ares Call]],-1,0)&gt;0,OFFSET(TblMagic[[#This Row],[Active Ares Call]],-1,0)-1,0))</f>
        <v>0</v>
      </c>
      <c r="AE30" s="57">
        <f ca="1">IF(TblMagic[[#This Row],[Midas Touch]],12,IF(OFFSET(TblMagic[[#This Row],[Active Midas Touch]],-1,0)&gt;0,OFFSET(TblMagic[[#This Row],[Active Midas Touch]],-1,0)-1,0))</f>
        <v>0</v>
      </c>
      <c r="AF30" s="57">
        <f ca="1">IF(TblMagic[[#This Row],[Harmony]],12,IF(OFFSET(TblMagic[[#This Row],[Active Harmony]],-1,0)&gt;0,OFFSET(TblMagic[[#This Row],[Active Harmony]],-1,0)-1,0))</f>
        <v>0</v>
      </c>
      <c r="AG30" s="57">
        <f ca="1">IF(TblMagic[[#This Row],[Miner''s Sight]],12,IF(OFFSET(TblMagic[[#This Row],[Active Miner''s Sight]],-1,0)&gt;0,OFFSET(TblMagic[[#This Row],[Active Miner''s Sight]],-1,0)-1,0))</f>
        <v>0</v>
      </c>
      <c r="AH30" s="57">
        <f ca="1">IF(TblMagic[[#This Row],[Mechanical Genius]],12,IF(OFFSET(TblMagic[[#This Row],[Active Mechanical Genius]],-1,0)&gt;0,OFFSET(TblMagic[[#This Row],[Active Mechanical Genius]],-1,0)-1,0))</f>
        <v>0</v>
      </c>
      <c r="AI30" s="57">
        <f ca="1">IF(TblMagic[[#This Row],[Death and Decay]],12,IF(OFFSET(TblMagic[[#This Row],[Active DnD]],-1,0)&gt;0,OFFSET(TblMagic[[#This Row],[Active DnD]],-1,0)-1,0))</f>
        <v>0</v>
      </c>
      <c r="AJ30" s="57">
        <f ca="1">IF(TblMagic[[#This Row],[Killing Rage / Bloodrage / Crusade]],12,IF(OFFSET(TblMagic[[#This Row],[Active Warsong / Killing Rage / Bloodrage]],-1,0)&gt;0,OFFSET(TblMagic[[#This Row],[Active Warsong / Killing Rage / Bloodrage]],-1,0)-1,0))</f>
        <v>0</v>
      </c>
      <c r="AK30" s="57">
        <f ca="1">IF(TblMagic[[#This Row],[Gaia''s Blessing]],12,IF(OFFSET(TblMagic[[#This Row],[Active Gaia''s Blessing]],-1,0)&gt;0,OFFSET(TblMagic[[#This Row],[Active Gaia''s Blessing]],-1,0)-1,0))</f>
        <v>0</v>
      </c>
      <c r="AL30" s="57">
        <f ca="1">IF(TblMagic[[#This Row],[Howling]],12,IF(OFFSET(TblMagic[[#This Row],[Active Howling]],-1,0)&gt;0,OFFSET(TblMagic[[#This Row],[Active Howling]],-1,0)-1,0))</f>
        <v>0</v>
      </c>
      <c r="AM30" s="57">
        <f ca="1">IF(TblMagic[[#This Row],[Arcane Infusion]],12,IF(OFFSET(TblMagic[[#This Row],[Active Arc Infusion]],-1,0)&gt;0,OFFSET(TblMagic[[#This Row],[Active Arc Infusion]],-1,0)-1,0))</f>
        <v>0</v>
      </c>
      <c r="AN30" s="57">
        <f ca="1">IF(TblMagic[[#This Row],[Alchemists Flame]],12,IF(OFFSET(TblMagic[[#This Row],[Active Alchemists Flame]],-1,0)&gt;0,OFFSET(TblMagic[[#This Row],[Active Alchemists Flame]],-1,0)-1,0))</f>
        <v>0</v>
      </c>
      <c r="AO30" s="57">
        <f ca="1">IF(TblMagic[[#This Row],[Nightfall]],12,IF(OFFSET(TblMagic[[#This Row],[Active Nightfall]],-1,0)&gt;0,OFFSET(TblMagic[[#This Row],[Active Nightfall]],-1,0)-1,0))</f>
        <v>0</v>
      </c>
      <c r="AP30" s="57">
        <f ca="1">IF(TblMagic[[#This Row],[Favorable Terrain]],12,IF(OFFSET(TblMagic[[#This Row],[Active Favorable Terrain]],-1,0)&gt;0,OFFSET(TblMagic[[#This Row],[Active Favorable Terrain]],-1,0)-1,0))</f>
        <v>0</v>
      </c>
      <c r="AQ30" s="57">
        <f ca="1">IF(TblMagic[[#This Row],[Infernal Command]],12,IF(OFFSET(TblMagic[[#This Row],[Active Infernal Command]],-1,0)&gt;0,OFFSET(TblMagic[[#This Row],[Active Infernal Command]],-1,0)-1,0))</f>
        <v>0</v>
      </c>
    </row>
    <row r="31" spans="1:43" x14ac:dyDescent="0.2">
      <c r="A31" s="137">
        <f>TblRezone[[#This Row],[Hour]]</f>
        <v>28</v>
      </c>
      <c r="B31" s="154">
        <f ca="1">TblConstr[[#This Row],[Land]]</f>
        <v>50</v>
      </c>
      <c r="C31" s="94">
        <f ca="1">TblProd[[#This Row],[Mana]]</f>
        <v>0</v>
      </c>
      <c r="D31" s="156">
        <f ca="1">MIN(1,OFFSET(TblMagic[[#This Row],[Wiz str]],-1,0)+0.04+ROUNDDOWN(10*OFFSET(TblMili[[#This Row],[WG''s]],-1,0),0)+ tech_2_7*OFFSET(TblTech[[#This Row],[2-7]],-1,0) + tech_5_6*OFFSET(TblTech[[#This Row],[5-6]],-1,0) )-TblMagic[[#This Row],[Wiz str cost]]</f>
        <v>1</v>
      </c>
      <c r="E31" s="159">
        <f ca="1">OFFSET(TblMagic[[#This Row],[Time]],-1,0)+1/24</f>
        <v>46321.124999999935</v>
      </c>
      <c r="F31" s="156">
        <f ca="1">TblImps[[#This Row],[Population]]</f>
        <v>1</v>
      </c>
      <c r="G31" s="218"/>
      <c r="H31" s="218"/>
      <c r="I31" s="218"/>
      <c r="J31" s="218"/>
      <c r="K31" s="405"/>
      <c r="L31" s="218"/>
      <c r="M31" s="218"/>
      <c r="N31" s="218"/>
      <c r="O31" s="218"/>
      <c r="P31" s="218"/>
      <c r="Q31" s="218"/>
      <c r="R31" s="218"/>
      <c r="S31" s="218"/>
      <c r="T31" s="218"/>
      <c r="U31" s="218"/>
      <c r="V31" s="218"/>
      <c r="W31" s="218"/>
      <c r="X31" s="142"/>
      <c r="Y3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1" s="156">
        <f>SUMIF(TblMagic[[#This Row],[Gaia''s Watch]:[Useless spell]],1)*0.05</f>
        <v>0</v>
      </c>
      <c r="AA31" s="142"/>
      <c r="AB31" s="57">
        <f ca="1">IF(TblMagic[[#This Row],[Gaia''s Watch]],12,IF(OFFSET(TblMagic[[#This Row],[Active Gaia''s Watch]],-1,0)&gt;0,OFFSET(TblMagic[[#This Row],[Active Gaia''s Watch]],-1,0)-1,0))</f>
        <v>0</v>
      </c>
      <c r="AC31" s="57">
        <f ca="1">IF(TblMagic[[#This Row],[Mining Strength]],12,IF(OFFSET(TblMagic[[#This Row],[Active Mining Strength]],-1,0)&gt;0,OFFSET(TblMagic[[#This Row],[Active Mining Strength]],-1,0)-1,0))</f>
        <v>0</v>
      </c>
      <c r="AD31" s="57">
        <f ca="1">IF(TblMagic[[#This Row],[Ares Call]],12,IF(OFFSET(TblMagic[[#This Row],[Active Ares Call]],-1,0)&gt;0,OFFSET(TblMagic[[#This Row],[Active Ares Call]],-1,0)-1,0))</f>
        <v>0</v>
      </c>
      <c r="AE31" s="57">
        <f ca="1">IF(TblMagic[[#This Row],[Midas Touch]],12,IF(OFFSET(TblMagic[[#This Row],[Active Midas Touch]],-1,0)&gt;0,OFFSET(TblMagic[[#This Row],[Active Midas Touch]],-1,0)-1,0))</f>
        <v>0</v>
      </c>
      <c r="AF31" s="57">
        <f ca="1">IF(TblMagic[[#This Row],[Harmony]],12,IF(OFFSET(TblMagic[[#This Row],[Active Harmony]],-1,0)&gt;0,OFFSET(TblMagic[[#This Row],[Active Harmony]],-1,0)-1,0))</f>
        <v>0</v>
      </c>
      <c r="AG31" s="57">
        <f ca="1">IF(TblMagic[[#This Row],[Miner''s Sight]],12,IF(OFFSET(TblMagic[[#This Row],[Active Miner''s Sight]],-1,0)&gt;0,OFFSET(TblMagic[[#This Row],[Active Miner''s Sight]],-1,0)-1,0))</f>
        <v>0</v>
      </c>
      <c r="AH31" s="57">
        <f ca="1">IF(TblMagic[[#This Row],[Mechanical Genius]],12,IF(OFFSET(TblMagic[[#This Row],[Active Mechanical Genius]],-1,0)&gt;0,OFFSET(TblMagic[[#This Row],[Active Mechanical Genius]],-1,0)-1,0))</f>
        <v>0</v>
      </c>
      <c r="AI31" s="57">
        <f ca="1">IF(TblMagic[[#This Row],[Death and Decay]],12,IF(OFFSET(TblMagic[[#This Row],[Active DnD]],-1,0)&gt;0,OFFSET(TblMagic[[#This Row],[Active DnD]],-1,0)-1,0))</f>
        <v>0</v>
      </c>
      <c r="AJ31" s="57">
        <f ca="1">IF(TblMagic[[#This Row],[Killing Rage / Bloodrage / Crusade]],12,IF(OFFSET(TblMagic[[#This Row],[Active Warsong / Killing Rage / Bloodrage]],-1,0)&gt;0,OFFSET(TblMagic[[#This Row],[Active Warsong / Killing Rage / Bloodrage]],-1,0)-1,0))</f>
        <v>0</v>
      </c>
      <c r="AK31" s="57">
        <f ca="1">IF(TblMagic[[#This Row],[Gaia''s Blessing]],12,IF(OFFSET(TblMagic[[#This Row],[Active Gaia''s Blessing]],-1,0)&gt;0,OFFSET(TblMagic[[#This Row],[Active Gaia''s Blessing]],-1,0)-1,0))</f>
        <v>0</v>
      </c>
      <c r="AL31" s="57">
        <f ca="1">IF(TblMagic[[#This Row],[Howling]],12,IF(OFFSET(TblMagic[[#This Row],[Active Howling]],-1,0)&gt;0,OFFSET(TblMagic[[#This Row],[Active Howling]],-1,0)-1,0))</f>
        <v>0</v>
      </c>
      <c r="AM31" s="57">
        <f ca="1">IF(TblMagic[[#This Row],[Arcane Infusion]],12,IF(OFFSET(TblMagic[[#This Row],[Active Arc Infusion]],-1,0)&gt;0,OFFSET(TblMagic[[#This Row],[Active Arc Infusion]],-1,0)-1,0))</f>
        <v>0</v>
      </c>
      <c r="AN31" s="57">
        <f ca="1">IF(TblMagic[[#This Row],[Alchemists Flame]],12,IF(OFFSET(TblMagic[[#This Row],[Active Alchemists Flame]],-1,0)&gt;0,OFFSET(TblMagic[[#This Row],[Active Alchemists Flame]],-1,0)-1,0))</f>
        <v>0</v>
      </c>
      <c r="AO31" s="57">
        <f ca="1">IF(TblMagic[[#This Row],[Nightfall]],12,IF(OFFSET(TblMagic[[#This Row],[Active Nightfall]],-1,0)&gt;0,OFFSET(TblMagic[[#This Row],[Active Nightfall]],-1,0)-1,0))</f>
        <v>0</v>
      </c>
      <c r="AP31" s="57">
        <f ca="1">IF(TblMagic[[#This Row],[Favorable Terrain]],12,IF(OFFSET(TblMagic[[#This Row],[Active Favorable Terrain]],-1,0)&gt;0,OFFSET(TblMagic[[#This Row],[Active Favorable Terrain]],-1,0)-1,0))</f>
        <v>0</v>
      </c>
      <c r="AQ31" s="57">
        <f ca="1">IF(TblMagic[[#This Row],[Infernal Command]],12,IF(OFFSET(TblMagic[[#This Row],[Active Infernal Command]],-1,0)&gt;0,OFFSET(TblMagic[[#This Row],[Active Infernal Command]],-1,0)-1,0))</f>
        <v>0</v>
      </c>
    </row>
    <row r="32" spans="1:43" x14ac:dyDescent="0.2">
      <c r="A32" s="137">
        <f>TblRezone[[#This Row],[Hour]]</f>
        <v>29</v>
      </c>
      <c r="B32" s="154">
        <f ca="1">TblConstr[[#This Row],[Land]]</f>
        <v>50</v>
      </c>
      <c r="C32" s="94">
        <f ca="1">TblProd[[#This Row],[Mana]]</f>
        <v>0</v>
      </c>
      <c r="D32" s="156">
        <f ca="1">MIN(1,OFFSET(TblMagic[[#This Row],[Wiz str]],-1,0)+0.04+ROUNDDOWN(10*OFFSET(TblMili[[#This Row],[WG''s]],-1,0),0)+ tech_2_7*OFFSET(TblTech[[#This Row],[2-7]],-1,0) + tech_5_6*OFFSET(TblTech[[#This Row],[5-6]],-1,0) )-TblMagic[[#This Row],[Wiz str cost]]</f>
        <v>1</v>
      </c>
      <c r="E32" s="159">
        <f ca="1">OFFSET(TblMagic[[#This Row],[Time]],-1,0)+1/24</f>
        <v>46321.166666666599</v>
      </c>
      <c r="F32" s="156">
        <f ca="1">TblImps[[#This Row],[Population]]</f>
        <v>1</v>
      </c>
      <c r="G32" s="218"/>
      <c r="H32" s="218"/>
      <c r="I32" s="218"/>
      <c r="J32" s="218"/>
      <c r="K32" s="405"/>
      <c r="L32" s="218"/>
      <c r="M32" s="218"/>
      <c r="N32" s="218"/>
      <c r="O32" s="218"/>
      <c r="P32" s="218"/>
      <c r="Q32" s="218"/>
      <c r="R32" s="218"/>
      <c r="S32" s="218"/>
      <c r="T32" s="218"/>
      <c r="U32" s="218"/>
      <c r="V32" s="218"/>
      <c r="W32" s="218"/>
      <c r="X32" s="142"/>
      <c r="Y3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2" s="156">
        <f>SUMIF(TblMagic[[#This Row],[Gaia''s Watch]:[Useless spell]],1)*0.05</f>
        <v>0</v>
      </c>
      <c r="AA32" s="142"/>
      <c r="AB32" s="57">
        <f ca="1">IF(TblMagic[[#This Row],[Gaia''s Watch]],12,IF(OFFSET(TblMagic[[#This Row],[Active Gaia''s Watch]],-1,0)&gt;0,OFFSET(TblMagic[[#This Row],[Active Gaia''s Watch]],-1,0)-1,0))</f>
        <v>0</v>
      </c>
      <c r="AC32" s="57">
        <f ca="1">IF(TblMagic[[#This Row],[Mining Strength]],12,IF(OFFSET(TblMagic[[#This Row],[Active Mining Strength]],-1,0)&gt;0,OFFSET(TblMagic[[#This Row],[Active Mining Strength]],-1,0)-1,0))</f>
        <v>0</v>
      </c>
      <c r="AD32" s="57">
        <f ca="1">IF(TblMagic[[#This Row],[Ares Call]],12,IF(OFFSET(TblMagic[[#This Row],[Active Ares Call]],-1,0)&gt;0,OFFSET(TblMagic[[#This Row],[Active Ares Call]],-1,0)-1,0))</f>
        <v>0</v>
      </c>
      <c r="AE32" s="57">
        <f ca="1">IF(TblMagic[[#This Row],[Midas Touch]],12,IF(OFFSET(TblMagic[[#This Row],[Active Midas Touch]],-1,0)&gt;0,OFFSET(TblMagic[[#This Row],[Active Midas Touch]],-1,0)-1,0))</f>
        <v>0</v>
      </c>
      <c r="AF32" s="57">
        <f ca="1">IF(TblMagic[[#This Row],[Harmony]],12,IF(OFFSET(TblMagic[[#This Row],[Active Harmony]],-1,0)&gt;0,OFFSET(TblMagic[[#This Row],[Active Harmony]],-1,0)-1,0))</f>
        <v>0</v>
      </c>
      <c r="AG32" s="57">
        <f ca="1">IF(TblMagic[[#This Row],[Miner''s Sight]],12,IF(OFFSET(TblMagic[[#This Row],[Active Miner''s Sight]],-1,0)&gt;0,OFFSET(TblMagic[[#This Row],[Active Miner''s Sight]],-1,0)-1,0))</f>
        <v>0</v>
      </c>
      <c r="AH32" s="57">
        <f ca="1">IF(TblMagic[[#This Row],[Mechanical Genius]],12,IF(OFFSET(TblMagic[[#This Row],[Active Mechanical Genius]],-1,0)&gt;0,OFFSET(TblMagic[[#This Row],[Active Mechanical Genius]],-1,0)-1,0))</f>
        <v>0</v>
      </c>
      <c r="AI32" s="57">
        <f ca="1">IF(TblMagic[[#This Row],[Death and Decay]],12,IF(OFFSET(TblMagic[[#This Row],[Active DnD]],-1,0)&gt;0,OFFSET(TblMagic[[#This Row],[Active DnD]],-1,0)-1,0))</f>
        <v>0</v>
      </c>
      <c r="AJ32" s="57">
        <f ca="1">IF(TblMagic[[#This Row],[Killing Rage / Bloodrage / Crusade]],12,IF(OFFSET(TblMagic[[#This Row],[Active Warsong / Killing Rage / Bloodrage]],-1,0)&gt;0,OFFSET(TblMagic[[#This Row],[Active Warsong / Killing Rage / Bloodrage]],-1,0)-1,0))</f>
        <v>0</v>
      </c>
      <c r="AK32" s="57">
        <f ca="1">IF(TblMagic[[#This Row],[Gaia''s Blessing]],12,IF(OFFSET(TblMagic[[#This Row],[Active Gaia''s Blessing]],-1,0)&gt;0,OFFSET(TblMagic[[#This Row],[Active Gaia''s Blessing]],-1,0)-1,0))</f>
        <v>0</v>
      </c>
      <c r="AL32" s="57">
        <f ca="1">IF(TblMagic[[#This Row],[Howling]],12,IF(OFFSET(TblMagic[[#This Row],[Active Howling]],-1,0)&gt;0,OFFSET(TblMagic[[#This Row],[Active Howling]],-1,0)-1,0))</f>
        <v>0</v>
      </c>
      <c r="AM32" s="57">
        <f ca="1">IF(TblMagic[[#This Row],[Arcane Infusion]],12,IF(OFFSET(TblMagic[[#This Row],[Active Arc Infusion]],-1,0)&gt;0,OFFSET(TblMagic[[#This Row],[Active Arc Infusion]],-1,0)-1,0))</f>
        <v>0</v>
      </c>
      <c r="AN32" s="57">
        <f ca="1">IF(TblMagic[[#This Row],[Alchemists Flame]],12,IF(OFFSET(TblMagic[[#This Row],[Active Alchemists Flame]],-1,0)&gt;0,OFFSET(TblMagic[[#This Row],[Active Alchemists Flame]],-1,0)-1,0))</f>
        <v>0</v>
      </c>
      <c r="AO32" s="57">
        <f ca="1">IF(TblMagic[[#This Row],[Nightfall]],12,IF(OFFSET(TblMagic[[#This Row],[Active Nightfall]],-1,0)&gt;0,OFFSET(TblMagic[[#This Row],[Active Nightfall]],-1,0)-1,0))</f>
        <v>0</v>
      </c>
      <c r="AP32" s="57">
        <f ca="1">IF(TblMagic[[#This Row],[Favorable Terrain]],12,IF(OFFSET(TblMagic[[#This Row],[Active Favorable Terrain]],-1,0)&gt;0,OFFSET(TblMagic[[#This Row],[Active Favorable Terrain]],-1,0)-1,0))</f>
        <v>0</v>
      </c>
      <c r="AQ32" s="57">
        <f ca="1">IF(TblMagic[[#This Row],[Infernal Command]],12,IF(OFFSET(TblMagic[[#This Row],[Active Infernal Command]],-1,0)&gt;0,OFFSET(TblMagic[[#This Row],[Active Infernal Command]],-1,0)-1,0))</f>
        <v>0</v>
      </c>
    </row>
    <row r="33" spans="1:43" x14ac:dyDescent="0.2">
      <c r="A33" s="137">
        <f>TblRezone[[#This Row],[Hour]]</f>
        <v>30</v>
      </c>
      <c r="B33" s="154">
        <f ca="1">TblConstr[[#This Row],[Land]]</f>
        <v>50</v>
      </c>
      <c r="C33" s="94">
        <f ca="1">TblProd[[#This Row],[Mana]]</f>
        <v>0</v>
      </c>
      <c r="D33" s="156">
        <f ca="1">MIN(1,OFFSET(TblMagic[[#This Row],[Wiz str]],-1,0)+0.04+ROUNDDOWN(10*OFFSET(TblMili[[#This Row],[WG''s]],-1,0),0)+ tech_2_7*OFFSET(TblTech[[#This Row],[2-7]],-1,0) + tech_5_6*OFFSET(TblTech[[#This Row],[5-6]],-1,0) )-TblMagic[[#This Row],[Wiz str cost]]</f>
        <v>1</v>
      </c>
      <c r="E33" s="159">
        <f ca="1">OFFSET(TblMagic[[#This Row],[Time]],-1,0)+1/24</f>
        <v>46321.208333333263</v>
      </c>
      <c r="F33" s="156">
        <f ca="1">TblImps[[#This Row],[Population]]</f>
        <v>1</v>
      </c>
      <c r="G33" s="218"/>
      <c r="H33" s="218"/>
      <c r="I33" s="218"/>
      <c r="J33" s="218"/>
      <c r="K33" s="405"/>
      <c r="L33" s="218"/>
      <c r="M33" s="218"/>
      <c r="N33" s="218"/>
      <c r="O33" s="218"/>
      <c r="P33" s="218"/>
      <c r="Q33" s="218"/>
      <c r="R33" s="218"/>
      <c r="S33" s="218"/>
      <c r="T33" s="218"/>
      <c r="U33" s="218"/>
      <c r="V33" s="218"/>
      <c r="W33" s="218"/>
      <c r="X33" s="142"/>
      <c r="Y3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3" s="156">
        <f>SUMIF(TblMagic[[#This Row],[Gaia''s Watch]:[Useless spell]],1)*0.05</f>
        <v>0</v>
      </c>
      <c r="AA33" s="142"/>
      <c r="AB33" s="57">
        <f ca="1">IF(TblMagic[[#This Row],[Gaia''s Watch]],12,IF(OFFSET(TblMagic[[#This Row],[Active Gaia''s Watch]],-1,0)&gt;0,OFFSET(TblMagic[[#This Row],[Active Gaia''s Watch]],-1,0)-1,0))</f>
        <v>0</v>
      </c>
      <c r="AC33" s="57">
        <f ca="1">IF(TblMagic[[#This Row],[Mining Strength]],12,IF(OFFSET(TblMagic[[#This Row],[Active Mining Strength]],-1,0)&gt;0,OFFSET(TblMagic[[#This Row],[Active Mining Strength]],-1,0)-1,0))</f>
        <v>0</v>
      </c>
      <c r="AD33" s="57">
        <f ca="1">IF(TblMagic[[#This Row],[Ares Call]],12,IF(OFFSET(TblMagic[[#This Row],[Active Ares Call]],-1,0)&gt;0,OFFSET(TblMagic[[#This Row],[Active Ares Call]],-1,0)-1,0))</f>
        <v>0</v>
      </c>
      <c r="AE33" s="57">
        <f ca="1">IF(TblMagic[[#This Row],[Midas Touch]],12,IF(OFFSET(TblMagic[[#This Row],[Active Midas Touch]],-1,0)&gt;0,OFFSET(TblMagic[[#This Row],[Active Midas Touch]],-1,0)-1,0))</f>
        <v>0</v>
      </c>
      <c r="AF33" s="57">
        <f ca="1">IF(TblMagic[[#This Row],[Harmony]],12,IF(OFFSET(TblMagic[[#This Row],[Active Harmony]],-1,0)&gt;0,OFFSET(TblMagic[[#This Row],[Active Harmony]],-1,0)-1,0))</f>
        <v>0</v>
      </c>
      <c r="AG33" s="57">
        <f ca="1">IF(TblMagic[[#This Row],[Miner''s Sight]],12,IF(OFFSET(TblMagic[[#This Row],[Active Miner''s Sight]],-1,0)&gt;0,OFFSET(TblMagic[[#This Row],[Active Miner''s Sight]],-1,0)-1,0))</f>
        <v>0</v>
      </c>
      <c r="AH33" s="57">
        <f ca="1">IF(TblMagic[[#This Row],[Mechanical Genius]],12,IF(OFFSET(TblMagic[[#This Row],[Active Mechanical Genius]],-1,0)&gt;0,OFFSET(TblMagic[[#This Row],[Active Mechanical Genius]],-1,0)-1,0))</f>
        <v>0</v>
      </c>
      <c r="AI33" s="57">
        <f ca="1">IF(TblMagic[[#This Row],[Death and Decay]],12,IF(OFFSET(TblMagic[[#This Row],[Active DnD]],-1,0)&gt;0,OFFSET(TblMagic[[#This Row],[Active DnD]],-1,0)-1,0))</f>
        <v>0</v>
      </c>
      <c r="AJ33" s="57">
        <f ca="1">IF(TblMagic[[#This Row],[Killing Rage / Bloodrage / Crusade]],12,IF(OFFSET(TblMagic[[#This Row],[Active Warsong / Killing Rage / Bloodrage]],-1,0)&gt;0,OFFSET(TblMagic[[#This Row],[Active Warsong / Killing Rage / Bloodrage]],-1,0)-1,0))</f>
        <v>0</v>
      </c>
      <c r="AK33" s="57">
        <f ca="1">IF(TblMagic[[#This Row],[Gaia''s Blessing]],12,IF(OFFSET(TblMagic[[#This Row],[Active Gaia''s Blessing]],-1,0)&gt;0,OFFSET(TblMagic[[#This Row],[Active Gaia''s Blessing]],-1,0)-1,0))</f>
        <v>0</v>
      </c>
      <c r="AL33" s="57">
        <f ca="1">IF(TblMagic[[#This Row],[Howling]],12,IF(OFFSET(TblMagic[[#This Row],[Active Howling]],-1,0)&gt;0,OFFSET(TblMagic[[#This Row],[Active Howling]],-1,0)-1,0))</f>
        <v>0</v>
      </c>
      <c r="AM33" s="57">
        <f ca="1">IF(TblMagic[[#This Row],[Arcane Infusion]],12,IF(OFFSET(TblMagic[[#This Row],[Active Arc Infusion]],-1,0)&gt;0,OFFSET(TblMagic[[#This Row],[Active Arc Infusion]],-1,0)-1,0))</f>
        <v>0</v>
      </c>
      <c r="AN33" s="57">
        <f ca="1">IF(TblMagic[[#This Row],[Alchemists Flame]],12,IF(OFFSET(TblMagic[[#This Row],[Active Alchemists Flame]],-1,0)&gt;0,OFFSET(TblMagic[[#This Row],[Active Alchemists Flame]],-1,0)-1,0))</f>
        <v>0</v>
      </c>
      <c r="AO33" s="57">
        <f ca="1">IF(TblMagic[[#This Row],[Nightfall]],12,IF(OFFSET(TblMagic[[#This Row],[Active Nightfall]],-1,0)&gt;0,OFFSET(TblMagic[[#This Row],[Active Nightfall]],-1,0)-1,0))</f>
        <v>0</v>
      </c>
      <c r="AP33" s="57">
        <f ca="1">IF(TblMagic[[#This Row],[Favorable Terrain]],12,IF(OFFSET(TblMagic[[#This Row],[Active Favorable Terrain]],-1,0)&gt;0,OFFSET(TblMagic[[#This Row],[Active Favorable Terrain]],-1,0)-1,0))</f>
        <v>0</v>
      </c>
      <c r="AQ33" s="57">
        <f ca="1">IF(TblMagic[[#This Row],[Infernal Command]],12,IF(OFFSET(TblMagic[[#This Row],[Active Infernal Command]],-1,0)&gt;0,OFFSET(TblMagic[[#This Row],[Active Infernal Command]],-1,0)-1,0))</f>
        <v>0</v>
      </c>
    </row>
    <row r="34" spans="1:43" x14ac:dyDescent="0.2">
      <c r="A34" s="137">
        <f>TblRezone[[#This Row],[Hour]]</f>
        <v>31</v>
      </c>
      <c r="B34" s="154">
        <f ca="1">TblConstr[[#This Row],[Land]]</f>
        <v>50</v>
      </c>
      <c r="C34" s="94">
        <f ca="1">TblProd[[#This Row],[Mana]]</f>
        <v>0</v>
      </c>
      <c r="D34" s="156">
        <f ca="1">MIN(1,OFFSET(TblMagic[[#This Row],[Wiz str]],-1,0)+0.04+ROUNDDOWN(10*OFFSET(TblMili[[#This Row],[WG''s]],-1,0),0)+ tech_2_7*OFFSET(TblTech[[#This Row],[2-7]],-1,0) + tech_5_6*OFFSET(TblTech[[#This Row],[5-6]],-1,0) )-TblMagic[[#This Row],[Wiz str cost]]</f>
        <v>1</v>
      </c>
      <c r="E34" s="159">
        <f ca="1">OFFSET(TblMagic[[#This Row],[Time]],-1,0)+1/24</f>
        <v>46321.249999999927</v>
      </c>
      <c r="F34" s="156">
        <f ca="1">TblImps[[#This Row],[Population]]</f>
        <v>1</v>
      </c>
      <c r="G34" s="218"/>
      <c r="H34" s="218"/>
      <c r="I34" s="218"/>
      <c r="J34" s="218"/>
      <c r="K34" s="405"/>
      <c r="L34" s="218"/>
      <c r="M34" s="218"/>
      <c r="N34" s="218"/>
      <c r="O34" s="218"/>
      <c r="P34" s="218"/>
      <c r="Q34" s="218"/>
      <c r="R34" s="218"/>
      <c r="S34" s="218"/>
      <c r="T34" s="218"/>
      <c r="U34" s="218"/>
      <c r="V34" s="218"/>
      <c r="W34" s="218"/>
      <c r="X34" s="142"/>
      <c r="Y3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4" s="156">
        <f>SUMIF(TblMagic[[#This Row],[Gaia''s Watch]:[Useless spell]],1)*0.05</f>
        <v>0</v>
      </c>
      <c r="AA34" s="142"/>
      <c r="AB34" s="57">
        <f ca="1">IF(TblMagic[[#This Row],[Gaia''s Watch]],12,IF(OFFSET(TblMagic[[#This Row],[Active Gaia''s Watch]],-1,0)&gt;0,OFFSET(TblMagic[[#This Row],[Active Gaia''s Watch]],-1,0)-1,0))</f>
        <v>0</v>
      </c>
      <c r="AC34" s="57">
        <f ca="1">IF(TblMagic[[#This Row],[Mining Strength]],12,IF(OFFSET(TblMagic[[#This Row],[Active Mining Strength]],-1,0)&gt;0,OFFSET(TblMagic[[#This Row],[Active Mining Strength]],-1,0)-1,0))</f>
        <v>0</v>
      </c>
      <c r="AD34" s="57">
        <f ca="1">IF(TblMagic[[#This Row],[Ares Call]],12,IF(OFFSET(TblMagic[[#This Row],[Active Ares Call]],-1,0)&gt;0,OFFSET(TblMagic[[#This Row],[Active Ares Call]],-1,0)-1,0))</f>
        <v>0</v>
      </c>
      <c r="AE34" s="57">
        <f ca="1">IF(TblMagic[[#This Row],[Midas Touch]],12,IF(OFFSET(TblMagic[[#This Row],[Active Midas Touch]],-1,0)&gt;0,OFFSET(TblMagic[[#This Row],[Active Midas Touch]],-1,0)-1,0))</f>
        <v>0</v>
      </c>
      <c r="AF34" s="57">
        <f ca="1">IF(TblMagic[[#This Row],[Harmony]],12,IF(OFFSET(TblMagic[[#This Row],[Active Harmony]],-1,0)&gt;0,OFFSET(TblMagic[[#This Row],[Active Harmony]],-1,0)-1,0))</f>
        <v>0</v>
      </c>
      <c r="AG34" s="57">
        <f ca="1">IF(TblMagic[[#This Row],[Miner''s Sight]],12,IF(OFFSET(TblMagic[[#This Row],[Active Miner''s Sight]],-1,0)&gt;0,OFFSET(TblMagic[[#This Row],[Active Miner''s Sight]],-1,0)-1,0))</f>
        <v>0</v>
      </c>
      <c r="AH34" s="57">
        <f ca="1">IF(TblMagic[[#This Row],[Mechanical Genius]],12,IF(OFFSET(TblMagic[[#This Row],[Active Mechanical Genius]],-1,0)&gt;0,OFFSET(TblMagic[[#This Row],[Active Mechanical Genius]],-1,0)-1,0))</f>
        <v>0</v>
      </c>
      <c r="AI34" s="57">
        <f ca="1">IF(TblMagic[[#This Row],[Death and Decay]],12,IF(OFFSET(TblMagic[[#This Row],[Active DnD]],-1,0)&gt;0,OFFSET(TblMagic[[#This Row],[Active DnD]],-1,0)-1,0))</f>
        <v>0</v>
      </c>
      <c r="AJ34" s="57">
        <f ca="1">IF(TblMagic[[#This Row],[Killing Rage / Bloodrage / Crusade]],12,IF(OFFSET(TblMagic[[#This Row],[Active Warsong / Killing Rage / Bloodrage]],-1,0)&gt;0,OFFSET(TblMagic[[#This Row],[Active Warsong / Killing Rage / Bloodrage]],-1,0)-1,0))</f>
        <v>0</v>
      </c>
      <c r="AK34" s="57">
        <f ca="1">IF(TblMagic[[#This Row],[Gaia''s Blessing]],12,IF(OFFSET(TblMagic[[#This Row],[Active Gaia''s Blessing]],-1,0)&gt;0,OFFSET(TblMagic[[#This Row],[Active Gaia''s Blessing]],-1,0)-1,0))</f>
        <v>0</v>
      </c>
      <c r="AL34" s="57">
        <f ca="1">IF(TblMagic[[#This Row],[Howling]],12,IF(OFFSET(TblMagic[[#This Row],[Active Howling]],-1,0)&gt;0,OFFSET(TblMagic[[#This Row],[Active Howling]],-1,0)-1,0))</f>
        <v>0</v>
      </c>
      <c r="AM34" s="57">
        <f ca="1">IF(TblMagic[[#This Row],[Arcane Infusion]],12,IF(OFFSET(TblMagic[[#This Row],[Active Arc Infusion]],-1,0)&gt;0,OFFSET(TblMagic[[#This Row],[Active Arc Infusion]],-1,0)-1,0))</f>
        <v>0</v>
      </c>
      <c r="AN34" s="57">
        <f ca="1">IF(TblMagic[[#This Row],[Alchemists Flame]],12,IF(OFFSET(TblMagic[[#This Row],[Active Alchemists Flame]],-1,0)&gt;0,OFFSET(TblMagic[[#This Row],[Active Alchemists Flame]],-1,0)-1,0))</f>
        <v>0</v>
      </c>
      <c r="AO34" s="57">
        <f ca="1">IF(TblMagic[[#This Row],[Nightfall]],12,IF(OFFSET(TblMagic[[#This Row],[Active Nightfall]],-1,0)&gt;0,OFFSET(TblMagic[[#This Row],[Active Nightfall]],-1,0)-1,0))</f>
        <v>0</v>
      </c>
      <c r="AP34" s="57">
        <f ca="1">IF(TblMagic[[#This Row],[Favorable Terrain]],12,IF(OFFSET(TblMagic[[#This Row],[Active Favorable Terrain]],-1,0)&gt;0,OFFSET(TblMagic[[#This Row],[Active Favorable Terrain]],-1,0)-1,0))</f>
        <v>0</v>
      </c>
      <c r="AQ34" s="57">
        <f ca="1">IF(TblMagic[[#This Row],[Infernal Command]],12,IF(OFFSET(TblMagic[[#This Row],[Active Infernal Command]],-1,0)&gt;0,OFFSET(TblMagic[[#This Row],[Active Infernal Command]],-1,0)-1,0))</f>
        <v>0</v>
      </c>
    </row>
    <row r="35" spans="1:43" x14ac:dyDescent="0.2">
      <c r="A35" s="137">
        <f>TblRezone[[#This Row],[Hour]]</f>
        <v>32</v>
      </c>
      <c r="B35" s="154">
        <f ca="1">TblConstr[[#This Row],[Land]]</f>
        <v>50</v>
      </c>
      <c r="C35" s="94">
        <f ca="1">TblProd[[#This Row],[Mana]]</f>
        <v>0</v>
      </c>
      <c r="D35" s="156">
        <f ca="1">MIN(1,OFFSET(TblMagic[[#This Row],[Wiz str]],-1,0)+0.04+ROUNDDOWN(10*OFFSET(TblMili[[#This Row],[WG''s]],-1,0),0)+ tech_2_7*OFFSET(TblTech[[#This Row],[2-7]],-1,0) + tech_5_6*OFFSET(TblTech[[#This Row],[5-6]],-1,0) )-TblMagic[[#This Row],[Wiz str cost]]</f>
        <v>1</v>
      </c>
      <c r="E35" s="159">
        <f ca="1">OFFSET(TblMagic[[#This Row],[Time]],-1,0)+1/24</f>
        <v>46321.291666666591</v>
      </c>
      <c r="F35" s="156">
        <f ca="1">TblImps[[#This Row],[Population]]</f>
        <v>1</v>
      </c>
      <c r="G35" s="218"/>
      <c r="H35" s="218"/>
      <c r="I35" s="218"/>
      <c r="J35" s="218"/>
      <c r="K35" s="405"/>
      <c r="L35" s="218"/>
      <c r="M35" s="218"/>
      <c r="N35" s="218"/>
      <c r="O35" s="218"/>
      <c r="P35" s="218"/>
      <c r="Q35" s="218"/>
      <c r="R35" s="218"/>
      <c r="S35" s="218"/>
      <c r="T35" s="218"/>
      <c r="U35" s="218"/>
      <c r="V35" s="218"/>
      <c r="W35" s="218"/>
      <c r="X35" s="142"/>
      <c r="Y3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5" s="156">
        <f>SUMIF(TblMagic[[#This Row],[Gaia''s Watch]:[Useless spell]],1)*0.05</f>
        <v>0</v>
      </c>
      <c r="AA35" s="142"/>
      <c r="AB35" s="57">
        <f ca="1">IF(TblMagic[[#This Row],[Gaia''s Watch]],12,IF(OFFSET(TblMagic[[#This Row],[Active Gaia''s Watch]],-1,0)&gt;0,OFFSET(TblMagic[[#This Row],[Active Gaia''s Watch]],-1,0)-1,0))</f>
        <v>0</v>
      </c>
      <c r="AC35" s="57">
        <f ca="1">IF(TblMagic[[#This Row],[Mining Strength]],12,IF(OFFSET(TblMagic[[#This Row],[Active Mining Strength]],-1,0)&gt;0,OFFSET(TblMagic[[#This Row],[Active Mining Strength]],-1,0)-1,0))</f>
        <v>0</v>
      </c>
      <c r="AD35" s="57">
        <f ca="1">IF(TblMagic[[#This Row],[Ares Call]],12,IF(OFFSET(TblMagic[[#This Row],[Active Ares Call]],-1,0)&gt;0,OFFSET(TblMagic[[#This Row],[Active Ares Call]],-1,0)-1,0))</f>
        <v>0</v>
      </c>
      <c r="AE35" s="57">
        <f ca="1">IF(TblMagic[[#This Row],[Midas Touch]],12,IF(OFFSET(TblMagic[[#This Row],[Active Midas Touch]],-1,0)&gt;0,OFFSET(TblMagic[[#This Row],[Active Midas Touch]],-1,0)-1,0))</f>
        <v>0</v>
      </c>
      <c r="AF35" s="57">
        <f ca="1">IF(TblMagic[[#This Row],[Harmony]],12,IF(OFFSET(TblMagic[[#This Row],[Active Harmony]],-1,0)&gt;0,OFFSET(TblMagic[[#This Row],[Active Harmony]],-1,0)-1,0))</f>
        <v>0</v>
      </c>
      <c r="AG35" s="57">
        <f ca="1">IF(TblMagic[[#This Row],[Miner''s Sight]],12,IF(OFFSET(TblMagic[[#This Row],[Active Miner''s Sight]],-1,0)&gt;0,OFFSET(TblMagic[[#This Row],[Active Miner''s Sight]],-1,0)-1,0))</f>
        <v>0</v>
      </c>
      <c r="AH35" s="57">
        <f ca="1">IF(TblMagic[[#This Row],[Mechanical Genius]],12,IF(OFFSET(TblMagic[[#This Row],[Active Mechanical Genius]],-1,0)&gt;0,OFFSET(TblMagic[[#This Row],[Active Mechanical Genius]],-1,0)-1,0))</f>
        <v>0</v>
      </c>
      <c r="AI35" s="57">
        <f ca="1">IF(TblMagic[[#This Row],[Death and Decay]],12,IF(OFFSET(TblMagic[[#This Row],[Active DnD]],-1,0)&gt;0,OFFSET(TblMagic[[#This Row],[Active DnD]],-1,0)-1,0))</f>
        <v>0</v>
      </c>
      <c r="AJ35" s="57">
        <f ca="1">IF(TblMagic[[#This Row],[Killing Rage / Bloodrage / Crusade]],12,IF(OFFSET(TblMagic[[#This Row],[Active Warsong / Killing Rage / Bloodrage]],-1,0)&gt;0,OFFSET(TblMagic[[#This Row],[Active Warsong / Killing Rage / Bloodrage]],-1,0)-1,0))</f>
        <v>0</v>
      </c>
      <c r="AK35" s="57">
        <f ca="1">IF(TblMagic[[#This Row],[Gaia''s Blessing]],12,IF(OFFSET(TblMagic[[#This Row],[Active Gaia''s Blessing]],-1,0)&gt;0,OFFSET(TblMagic[[#This Row],[Active Gaia''s Blessing]],-1,0)-1,0))</f>
        <v>0</v>
      </c>
      <c r="AL35" s="57">
        <f ca="1">IF(TblMagic[[#This Row],[Howling]],12,IF(OFFSET(TblMagic[[#This Row],[Active Howling]],-1,0)&gt;0,OFFSET(TblMagic[[#This Row],[Active Howling]],-1,0)-1,0))</f>
        <v>0</v>
      </c>
      <c r="AM35" s="57">
        <f ca="1">IF(TblMagic[[#This Row],[Arcane Infusion]],12,IF(OFFSET(TblMagic[[#This Row],[Active Arc Infusion]],-1,0)&gt;0,OFFSET(TblMagic[[#This Row],[Active Arc Infusion]],-1,0)-1,0))</f>
        <v>0</v>
      </c>
      <c r="AN35" s="57">
        <f ca="1">IF(TblMagic[[#This Row],[Alchemists Flame]],12,IF(OFFSET(TblMagic[[#This Row],[Active Alchemists Flame]],-1,0)&gt;0,OFFSET(TblMagic[[#This Row],[Active Alchemists Flame]],-1,0)-1,0))</f>
        <v>0</v>
      </c>
      <c r="AO35" s="57">
        <f ca="1">IF(TblMagic[[#This Row],[Nightfall]],12,IF(OFFSET(TblMagic[[#This Row],[Active Nightfall]],-1,0)&gt;0,OFFSET(TblMagic[[#This Row],[Active Nightfall]],-1,0)-1,0))</f>
        <v>0</v>
      </c>
      <c r="AP35" s="57">
        <f ca="1">IF(TblMagic[[#This Row],[Favorable Terrain]],12,IF(OFFSET(TblMagic[[#This Row],[Active Favorable Terrain]],-1,0)&gt;0,OFFSET(TblMagic[[#This Row],[Active Favorable Terrain]],-1,0)-1,0))</f>
        <v>0</v>
      </c>
      <c r="AQ35" s="57">
        <f ca="1">IF(TblMagic[[#This Row],[Infernal Command]],12,IF(OFFSET(TblMagic[[#This Row],[Active Infernal Command]],-1,0)&gt;0,OFFSET(TblMagic[[#This Row],[Active Infernal Command]],-1,0)-1,0))</f>
        <v>0</v>
      </c>
    </row>
    <row r="36" spans="1:43" x14ac:dyDescent="0.2">
      <c r="A36" s="137">
        <f>TblRezone[[#This Row],[Hour]]</f>
        <v>33</v>
      </c>
      <c r="B36" s="154">
        <f ca="1">TblConstr[[#This Row],[Land]]</f>
        <v>50</v>
      </c>
      <c r="C36" s="94">
        <f ca="1">TblProd[[#This Row],[Mana]]</f>
        <v>0</v>
      </c>
      <c r="D36" s="156">
        <f ca="1">MIN(1,OFFSET(TblMagic[[#This Row],[Wiz str]],-1,0)+0.04+ROUNDDOWN(10*OFFSET(TblMili[[#This Row],[WG''s]],-1,0),0)+ tech_2_7*OFFSET(TblTech[[#This Row],[2-7]],-1,0) + tech_5_6*OFFSET(TblTech[[#This Row],[5-6]],-1,0) )-TblMagic[[#This Row],[Wiz str cost]]</f>
        <v>1</v>
      </c>
      <c r="E36" s="159">
        <f ca="1">OFFSET(TblMagic[[#This Row],[Time]],-1,0)+1/24</f>
        <v>46321.333333333256</v>
      </c>
      <c r="F36" s="156">
        <f ca="1">TblImps[[#This Row],[Population]]</f>
        <v>1</v>
      </c>
      <c r="G36" s="218"/>
      <c r="H36" s="218"/>
      <c r="I36" s="218"/>
      <c r="J36" s="218"/>
      <c r="K36" s="405"/>
      <c r="L36" s="218"/>
      <c r="M36" s="218"/>
      <c r="N36" s="218"/>
      <c r="O36" s="218"/>
      <c r="P36" s="218"/>
      <c r="Q36" s="218"/>
      <c r="R36" s="218"/>
      <c r="S36" s="218"/>
      <c r="T36" s="218"/>
      <c r="U36" s="218"/>
      <c r="V36" s="218"/>
      <c r="W36" s="218"/>
      <c r="X36" s="142"/>
      <c r="Y3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6" s="156">
        <f>SUMIF(TblMagic[[#This Row],[Gaia''s Watch]:[Useless spell]],1)*0.05</f>
        <v>0</v>
      </c>
      <c r="AA36" s="142"/>
      <c r="AB36" s="57">
        <f ca="1">IF(TblMagic[[#This Row],[Gaia''s Watch]],12,IF(OFFSET(TblMagic[[#This Row],[Active Gaia''s Watch]],-1,0)&gt;0,OFFSET(TblMagic[[#This Row],[Active Gaia''s Watch]],-1,0)-1,0))</f>
        <v>0</v>
      </c>
      <c r="AC36" s="57">
        <f ca="1">IF(TblMagic[[#This Row],[Mining Strength]],12,IF(OFFSET(TblMagic[[#This Row],[Active Mining Strength]],-1,0)&gt;0,OFFSET(TblMagic[[#This Row],[Active Mining Strength]],-1,0)-1,0))</f>
        <v>0</v>
      </c>
      <c r="AD36" s="57">
        <f ca="1">IF(TblMagic[[#This Row],[Ares Call]],12,IF(OFFSET(TblMagic[[#This Row],[Active Ares Call]],-1,0)&gt;0,OFFSET(TblMagic[[#This Row],[Active Ares Call]],-1,0)-1,0))</f>
        <v>0</v>
      </c>
      <c r="AE36" s="57">
        <f ca="1">IF(TblMagic[[#This Row],[Midas Touch]],12,IF(OFFSET(TblMagic[[#This Row],[Active Midas Touch]],-1,0)&gt;0,OFFSET(TblMagic[[#This Row],[Active Midas Touch]],-1,0)-1,0))</f>
        <v>0</v>
      </c>
      <c r="AF36" s="57">
        <f ca="1">IF(TblMagic[[#This Row],[Harmony]],12,IF(OFFSET(TblMagic[[#This Row],[Active Harmony]],-1,0)&gt;0,OFFSET(TblMagic[[#This Row],[Active Harmony]],-1,0)-1,0))</f>
        <v>0</v>
      </c>
      <c r="AG36" s="57">
        <f ca="1">IF(TblMagic[[#This Row],[Miner''s Sight]],12,IF(OFFSET(TblMagic[[#This Row],[Active Miner''s Sight]],-1,0)&gt;0,OFFSET(TblMagic[[#This Row],[Active Miner''s Sight]],-1,0)-1,0))</f>
        <v>0</v>
      </c>
      <c r="AH36" s="57">
        <f ca="1">IF(TblMagic[[#This Row],[Mechanical Genius]],12,IF(OFFSET(TblMagic[[#This Row],[Active Mechanical Genius]],-1,0)&gt;0,OFFSET(TblMagic[[#This Row],[Active Mechanical Genius]],-1,0)-1,0))</f>
        <v>0</v>
      </c>
      <c r="AI36" s="57">
        <f ca="1">IF(TblMagic[[#This Row],[Death and Decay]],12,IF(OFFSET(TblMagic[[#This Row],[Active DnD]],-1,0)&gt;0,OFFSET(TblMagic[[#This Row],[Active DnD]],-1,0)-1,0))</f>
        <v>0</v>
      </c>
      <c r="AJ36" s="57">
        <f ca="1">IF(TblMagic[[#This Row],[Killing Rage / Bloodrage / Crusade]],12,IF(OFFSET(TblMagic[[#This Row],[Active Warsong / Killing Rage / Bloodrage]],-1,0)&gt;0,OFFSET(TblMagic[[#This Row],[Active Warsong / Killing Rage / Bloodrage]],-1,0)-1,0))</f>
        <v>0</v>
      </c>
      <c r="AK36" s="57">
        <f ca="1">IF(TblMagic[[#This Row],[Gaia''s Blessing]],12,IF(OFFSET(TblMagic[[#This Row],[Active Gaia''s Blessing]],-1,0)&gt;0,OFFSET(TblMagic[[#This Row],[Active Gaia''s Blessing]],-1,0)-1,0))</f>
        <v>0</v>
      </c>
      <c r="AL36" s="57">
        <f ca="1">IF(TblMagic[[#This Row],[Howling]],12,IF(OFFSET(TblMagic[[#This Row],[Active Howling]],-1,0)&gt;0,OFFSET(TblMagic[[#This Row],[Active Howling]],-1,0)-1,0))</f>
        <v>0</v>
      </c>
      <c r="AM36" s="57">
        <f ca="1">IF(TblMagic[[#This Row],[Arcane Infusion]],12,IF(OFFSET(TblMagic[[#This Row],[Active Arc Infusion]],-1,0)&gt;0,OFFSET(TblMagic[[#This Row],[Active Arc Infusion]],-1,0)-1,0))</f>
        <v>0</v>
      </c>
      <c r="AN36" s="57">
        <f ca="1">IF(TblMagic[[#This Row],[Alchemists Flame]],12,IF(OFFSET(TblMagic[[#This Row],[Active Alchemists Flame]],-1,0)&gt;0,OFFSET(TblMagic[[#This Row],[Active Alchemists Flame]],-1,0)-1,0))</f>
        <v>0</v>
      </c>
      <c r="AO36" s="57">
        <f ca="1">IF(TblMagic[[#This Row],[Nightfall]],12,IF(OFFSET(TblMagic[[#This Row],[Active Nightfall]],-1,0)&gt;0,OFFSET(TblMagic[[#This Row],[Active Nightfall]],-1,0)-1,0))</f>
        <v>0</v>
      </c>
      <c r="AP36" s="57">
        <f ca="1">IF(TblMagic[[#This Row],[Favorable Terrain]],12,IF(OFFSET(TblMagic[[#This Row],[Active Favorable Terrain]],-1,0)&gt;0,OFFSET(TblMagic[[#This Row],[Active Favorable Terrain]],-1,0)-1,0))</f>
        <v>0</v>
      </c>
      <c r="AQ36" s="57">
        <f ca="1">IF(TblMagic[[#This Row],[Infernal Command]],12,IF(OFFSET(TblMagic[[#This Row],[Active Infernal Command]],-1,0)&gt;0,OFFSET(TblMagic[[#This Row],[Active Infernal Command]],-1,0)-1,0))</f>
        <v>0</v>
      </c>
    </row>
    <row r="37" spans="1:43" x14ac:dyDescent="0.2">
      <c r="A37" s="137">
        <f>TblRezone[[#This Row],[Hour]]</f>
        <v>34</v>
      </c>
      <c r="B37" s="154">
        <f ca="1">TblConstr[[#This Row],[Land]]</f>
        <v>50</v>
      </c>
      <c r="C37" s="94">
        <f ca="1">TblProd[[#This Row],[Mana]]</f>
        <v>0</v>
      </c>
      <c r="D37" s="156">
        <f ca="1">MIN(1,OFFSET(TblMagic[[#This Row],[Wiz str]],-1,0)+0.04+ROUNDDOWN(10*OFFSET(TblMili[[#This Row],[WG''s]],-1,0),0)+ tech_2_7*OFFSET(TblTech[[#This Row],[2-7]],-1,0) + tech_5_6*OFFSET(TblTech[[#This Row],[5-6]],-1,0) )-TblMagic[[#This Row],[Wiz str cost]]</f>
        <v>1</v>
      </c>
      <c r="E37" s="159">
        <f ca="1">OFFSET(TblMagic[[#This Row],[Time]],-1,0)+1/24</f>
        <v>46321.37499999992</v>
      </c>
      <c r="F37" s="156">
        <f ca="1">TblImps[[#This Row],[Population]]</f>
        <v>1</v>
      </c>
      <c r="G37" s="218"/>
      <c r="H37" s="218"/>
      <c r="I37" s="218"/>
      <c r="J37" s="218"/>
      <c r="K37" s="405"/>
      <c r="L37" s="218"/>
      <c r="M37" s="218"/>
      <c r="N37" s="218"/>
      <c r="O37" s="218"/>
      <c r="P37" s="218"/>
      <c r="Q37" s="218"/>
      <c r="R37" s="218"/>
      <c r="S37" s="218"/>
      <c r="T37" s="218"/>
      <c r="U37" s="218"/>
      <c r="V37" s="218"/>
      <c r="W37" s="218"/>
      <c r="X37" s="142"/>
      <c r="Y3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7" s="156">
        <f>SUMIF(TblMagic[[#This Row],[Gaia''s Watch]:[Useless spell]],1)*0.05</f>
        <v>0</v>
      </c>
      <c r="AA37" s="142"/>
      <c r="AB37" s="57">
        <f ca="1">IF(TblMagic[[#This Row],[Gaia''s Watch]],12,IF(OFFSET(TblMagic[[#This Row],[Active Gaia''s Watch]],-1,0)&gt;0,OFFSET(TblMagic[[#This Row],[Active Gaia''s Watch]],-1,0)-1,0))</f>
        <v>0</v>
      </c>
      <c r="AC37" s="57">
        <f ca="1">IF(TblMagic[[#This Row],[Mining Strength]],12,IF(OFFSET(TblMagic[[#This Row],[Active Mining Strength]],-1,0)&gt;0,OFFSET(TblMagic[[#This Row],[Active Mining Strength]],-1,0)-1,0))</f>
        <v>0</v>
      </c>
      <c r="AD37" s="57">
        <f ca="1">IF(TblMagic[[#This Row],[Ares Call]],12,IF(OFFSET(TblMagic[[#This Row],[Active Ares Call]],-1,0)&gt;0,OFFSET(TblMagic[[#This Row],[Active Ares Call]],-1,0)-1,0))</f>
        <v>0</v>
      </c>
      <c r="AE37" s="57">
        <f ca="1">IF(TblMagic[[#This Row],[Midas Touch]],12,IF(OFFSET(TblMagic[[#This Row],[Active Midas Touch]],-1,0)&gt;0,OFFSET(TblMagic[[#This Row],[Active Midas Touch]],-1,0)-1,0))</f>
        <v>0</v>
      </c>
      <c r="AF37" s="57">
        <f ca="1">IF(TblMagic[[#This Row],[Harmony]],12,IF(OFFSET(TblMagic[[#This Row],[Active Harmony]],-1,0)&gt;0,OFFSET(TblMagic[[#This Row],[Active Harmony]],-1,0)-1,0))</f>
        <v>0</v>
      </c>
      <c r="AG37" s="57">
        <f ca="1">IF(TblMagic[[#This Row],[Miner''s Sight]],12,IF(OFFSET(TblMagic[[#This Row],[Active Miner''s Sight]],-1,0)&gt;0,OFFSET(TblMagic[[#This Row],[Active Miner''s Sight]],-1,0)-1,0))</f>
        <v>0</v>
      </c>
      <c r="AH37" s="57">
        <f ca="1">IF(TblMagic[[#This Row],[Mechanical Genius]],12,IF(OFFSET(TblMagic[[#This Row],[Active Mechanical Genius]],-1,0)&gt;0,OFFSET(TblMagic[[#This Row],[Active Mechanical Genius]],-1,0)-1,0))</f>
        <v>0</v>
      </c>
      <c r="AI37" s="57">
        <f ca="1">IF(TblMagic[[#This Row],[Death and Decay]],12,IF(OFFSET(TblMagic[[#This Row],[Active DnD]],-1,0)&gt;0,OFFSET(TblMagic[[#This Row],[Active DnD]],-1,0)-1,0))</f>
        <v>0</v>
      </c>
      <c r="AJ37" s="57">
        <f ca="1">IF(TblMagic[[#This Row],[Killing Rage / Bloodrage / Crusade]],12,IF(OFFSET(TblMagic[[#This Row],[Active Warsong / Killing Rage / Bloodrage]],-1,0)&gt;0,OFFSET(TblMagic[[#This Row],[Active Warsong / Killing Rage / Bloodrage]],-1,0)-1,0))</f>
        <v>0</v>
      </c>
      <c r="AK37" s="57">
        <f ca="1">IF(TblMagic[[#This Row],[Gaia''s Blessing]],12,IF(OFFSET(TblMagic[[#This Row],[Active Gaia''s Blessing]],-1,0)&gt;0,OFFSET(TblMagic[[#This Row],[Active Gaia''s Blessing]],-1,0)-1,0))</f>
        <v>0</v>
      </c>
      <c r="AL37" s="57">
        <f ca="1">IF(TblMagic[[#This Row],[Howling]],12,IF(OFFSET(TblMagic[[#This Row],[Active Howling]],-1,0)&gt;0,OFFSET(TblMagic[[#This Row],[Active Howling]],-1,0)-1,0))</f>
        <v>0</v>
      </c>
      <c r="AM37" s="57">
        <f ca="1">IF(TblMagic[[#This Row],[Arcane Infusion]],12,IF(OFFSET(TblMagic[[#This Row],[Active Arc Infusion]],-1,0)&gt;0,OFFSET(TblMagic[[#This Row],[Active Arc Infusion]],-1,0)-1,0))</f>
        <v>0</v>
      </c>
      <c r="AN37" s="57">
        <f ca="1">IF(TblMagic[[#This Row],[Alchemists Flame]],12,IF(OFFSET(TblMagic[[#This Row],[Active Alchemists Flame]],-1,0)&gt;0,OFFSET(TblMagic[[#This Row],[Active Alchemists Flame]],-1,0)-1,0))</f>
        <v>0</v>
      </c>
      <c r="AO37" s="57">
        <f ca="1">IF(TblMagic[[#This Row],[Nightfall]],12,IF(OFFSET(TblMagic[[#This Row],[Active Nightfall]],-1,0)&gt;0,OFFSET(TblMagic[[#This Row],[Active Nightfall]],-1,0)-1,0))</f>
        <v>0</v>
      </c>
      <c r="AP37" s="57">
        <f ca="1">IF(TblMagic[[#This Row],[Favorable Terrain]],12,IF(OFFSET(TblMagic[[#This Row],[Active Favorable Terrain]],-1,0)&gt;0,OFFSET(TblMagic[[#This Row],[Active Favorable Terrain]],-1,0)-1,0))</f>
        <v>0</v>
      </c>
      <c r="AQ37" s="57">
        <f ca="1">IF(TblMagic[[#This Row],[Infernal Command]],12,IF(OFFSET(TblMagic[[#This Row],[Active Infernal Command]],-1,0)&gt;0,OFFSET(TblMagic[[#This Row],[Active Infernal Command]],-1,0)-1,0))</f>
        <v>0</v>
      </c>
    </row>
    <row r="38" spans="1:43" x14ac:dyDescent="0.2">
      <c r="A38" s="137">
        <f>TblRezone[[#This Row],[Hour]]</f>
        <v>35</v>
      </c>
      <c r="B38" s="154">
        <f ca="1">TblConstr[[#This Row],[Land]]</f>
        <v>50</v>
      </c>
      <c r="C38" s="94">
        <f ca="1">TblProd[[#This Row],[Mana]]</f>
        <v>0</v>
      </c>
      <c r="D38" s="156">
        <f ca="1">MIN(1,OFFSET(TblMagic[[#This Row],[Wiz str]],-1,0)+0.04+ROUNDDOWN(10*OFFSET(TblMili[[#This Row],[WG''s]],-1,0),0)+ tech_2_7*OFFSET(TblTech[[#This Row],[2-7]],-1,0) + tech_5_6*OFFSET(TblTech[[#This Row],[5-6]],-1,0) )-TblMagic[[#This Row],[Wiz str cost]]</f>
        <v>1</v>
      </c>
      <c r="E38" s="159">
        <f ca="1">OFFSET(TblMagic[[#This Row],[Time]],-1,0)+1/24</f>
        <v>46321.416666666584</v>
      </c>
      <c r="F38" s="156">
        <f ca="1">TblImps[[#This Row],[Population]]</f>
        <v>1</v>
      </c>
      <c r="G38" s="218"/>
      <c r="H38" s="218"/>
      <c r="I38" s="218"/>
      <c r="J38" s="218"/>
      <c r="K38" s="405"/>
      <c r="L38" s="218"/>
      <c r="M38" s="218"/>
      <c r="N38" s="218"/>
      <c r="O38" s="218"/>
      <c r="P38" s="218"/>
      <c r="Q38" s="218"/>
      <c r="R38" s="218"/>
      <c r="S38" s="218"/>
      <c r="T38" s="218"/>
      <c r="U38" s="218"/>
      <c r="V38" s="218"/>
      <c r="W38" s="218"/>
      <c r="X38" s="142"/>
      <c r="Y3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8" s="156">
        <f>SUMIF(TblMagic[[#This Row],[Gaia''s Watch]:[Useless spell]],1)*0.05</f>
        <v>0</v>
      </c>
      <c r="AA38" s="142"/>
      <c r="AB38" s="57">
        <f ca="1">IF(TblMagic[[#This Row],[Gaia''s Watch]],12,IF(OFFSET(TblMagic[[#This Row],[Active Gaia''s Watch]],-1,0)&gt;0,OFFSET(TblMagic[[#This Row],[Active Gaia''s Watch]],-1,0)-1,0))</f>
        <v>0</v>
      </c>
      <c r="AC38" s="57">
        <f ca="1">IF(TblMagic[[#This Row],[Mining Strength]],12,IF(OFFSET(TblMagic[[#This Row],[Active Mining Strength]],-1,0)&gt;0,OFFSET(TblMagic[[#This Row],[Active Mining Strength]],-1,0)-1,0))</f>
        <v>0</v>
      </c>
      <c r="AD38" s="57">
        <f ca="1">IF(TblMagic[[#This Row],[Ares Call]],12,IF(OFFSET(TblMagic[[#This Row],[Active Ares Call]],-1,0)&gt;0,OFFSET(TblMagic[[#This Row],[Active Ares Call]],-1,0)-1,0))</f>
        <v>0</v>
      </c>
      <c r="AE38" s="57">
        <f ca="1">IF(TblMagic[[#This Row],[Midas Touch]],12,IF(OFFSET(TblMagic[[#This Row],[Active Midas Touch]],-1,0)&gt;0,OFFSET(TblMagic[[#This Row],[Active Midas Touch]],-1,0)-1,0))</f>
        <v>0</v>
      </c>
      <c r="AF38" s="57">
        <f ca="1">IF(TblMagic[[#This Row],[Harmony]],12,IF(OFFSET(TblMagic[[#This Row],[Active Harmony]],-1,0)&gt;0,OFFSET(TblMagic[[#This Row],[Active Harmony]],-1,0)-1,0))</f>
        <v>0</v>
      </c>
      <c r="AG38" s="57">
        <f ca="1">IF(TblMagic[[#This Row],[Miner''s Sight]],12,IF(OFFSET(TblMagic[[#This Row],[Active Miner''s Sight]],-1,0)&gt;0,OFFSET(TblMagic[[#This Row],[Active Miner''s Sight]],-1,0)-1,0))</f>
        <v>0</v>
      </c>
      <c r="AH38" s="57">
        <f ca="1">IF(TblMagic[[#This Row],[Mechanical Genius]],12,IF(OFFSET(TblMagic[[#This Row],[Active Mechanical Genius]],-1,0)&gt;0,OFFSET(TblMagic[[#This Row],[Active Mechanical Genius]],-1,0)-1,0))</f>
        <v>0</v>
      </c>
      <c r="AI38" s="57">
        <f ca="1">IF(TblMagic[[#This Row],[Death and Decay]],12,IF(OFFSET(TblMagic[[#This Row],[Active DnD]],-1,0)&gt;0,OFFSET(TblMagic[[#This Row],[Active DnD]],-1,0)-1,0))</f>
        <v>0</v>
      </c>
      <c r="AJ38" s="57">
        <f ca="1">IF(TblMagic[[#This Row],[Killing Rage / Bloodrage / Crusade]],12,IF(OFFSET(TblMagic[[#This Row],[Active Warsong / Killing Rage / Bloodrage]],-1,0)&gt;0,OFFSET(TblMagic[[#This Row],[Active Warsong / Killing Rage / Bloodrage]],-1,0)-1,0))</f>
        <v>0</v>
      </c>
      <c r="AK38" s="57">
        <f ca="1">IF(TblMagic[[#This Row],[Gaia''s Blessing]],12,IF(OFFSET(TblMagic[[#This Row],[Active Gaia''s Blessing]],-1,0)&gt;0,OFFSET(TblMagic[[#This Row],[Active Gaia''s Blessing]],-1,0)-1,0))</f>
        <v>0</v>
      </c>
      <c r="AL38" s="57">
        <f ca="1">IF(TblMagic[[#This Row],[Howling]],12,IF(OFFSET(TblMagic[[#This Row],[Active Howling]],-1,0)&gt;0,OFFSET(TblMagic[[#This Row],[Active Howling]],-1,0)-1,0))</f>
        <v>0</v>
      </c>
      <c r="AM38" s="57">
        <f ca="1">IF(TblMagic[[#This Row],[Arcane Infusion]],12,IF(OFFSET(TblMagic[[#This Row],[Active Arc Infusion]],-1,0)&gt;0,OFFSET(TblMagic[[#This Row],[Active Arc Infusion]],-1,0)-1,0))</f>
        <v>0</v>
      </c>
      <c r="AN38" s="57">
        <f ca="1">IF(TblMagic[[#This Row],[Alchemists Flame]],12,IF(OFFSET(TblMagic[[#This Row],[Active Alchemists Flame]],-1,0)&gt;0,OFFSET(TblMagic[[#This Row],[Active Alchemists Flame]],-1,0)-1,0))</f>
        <v>0</v>
      </c>
      <c r="AO38" s="57">
        <f ca="1">IF(TblMagic[[#This Row],[Nightfall]],12,IF(OFFSET(TblMagic[[#This Row],[Active Nightfall]],-1,0)&gt;0,OFFSET(TblMagic[[#This Row],[Active Nightfall]],-1,0)-1,0))</f>
        <v>0</v>
      </c>
      <c r="AP38" s="57">
        <f ca="1">IF(TblMagic[[#This Row],[Favorable Terrain]],12,IF(OFFSET(TblMagic[[#This Row],[Active Favorable Terrain]],-1,0)&gt;0,OFFSET(TblMagic[[#This Row],[Active Favorable Terrain]],-1,0)-1,0))</f>
        <v>0</v>
      </c>
      <c r="AQ38" s="57">
        <f ca="1">IF(TblMagic[[#This Row],[Infernal Command]],12,IF(OFFSET(TblMagic[[#This Row],[Active Infernal Command]],-1,0)&gt;0,OFFSET(TblMagic[[#This Row],[Active Infernal Command]],-1,0)-1,0))</f>
        <v>0</v>
      </c>
    </row>
    <row r="39" spans="1:43" x14ac:dyDescent="0.2">
      <c r="A39" s="137">
        <f>TblRezone[[#This Row],[Hour]]</f>
        <v>36</v>
      </c>
      <c r="B39" s="154">
        <f ca="1">TblConstr[[#This Row],[Land]]</f>
        <v>50</v>
      </c>
      <c r="C39" s="94">
        <f ca="1">TblProd[[#This Row],[Mana]]</f>
        <v>0</v>
      </c>
      <c r="D39" s="156">
        <f ca="1">MIN(1,OFFSET(TblMagic[[#This Row],[Wiz str]],-1,0)+0.04+ROUNDDOWN(10*OFFSET(TblMili[[#This Row],[WG''s]],-1,0),0)+ tech_2_7*OFFSET(TblTech[[#This Row],[2-7]],-1,0) + tech_5_6*OFFSET(TblTech[[#This Row],[5-6]],-1,0) )-TblMagic[[#This Row],[Wiz str cost]]</f>
        <v>1</v>
      </c>
      <c r="E39" s="159">
        <f ca="1">OFFSET(TblMagic[[#This Row],[Time]],-1,0)+1/24</f>
        <v>46321.458333333248</v>
      </c>
      <c r="F39" s="156">
        <f ca="1">TblImps[[#This Row],[Population]]</f>
        <v>1</v>
      </c>
      <c r="G39" s="218"/>
      <c r="H39" s="218"/>
      <c r="I39" s="218"/>
      <c r="J39" s="218"/>
      <c r="K39" s="405"/>
      <c r="L39" s="218"/>
      <c r="M39" s="218"/>
      <c r="N39" s="218"/>
      <c r="O39" s="218"/>
      <c r="P39" s="218"/>
      <c r="Q39" s="218"/>
      <c r="R39" s="218"/>
      <c r="S39" s="218"/>
      <c r="T39" s="218"/>
      <c r="U39" s="218"/>
      <c r="V39" s="218"/>
      <c r="W39" s="218"/>
      <c r="X39" s="142"/>
      <c r="Y3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9" s="156">
        <f>SUMIF(TblMagic[[#This Row],[Gaia''s Watch]:[Useless spell]],1)*0.05</f>
        <v>0</v>
      </c>
      <c r="AA39" s="142"/>
      <c r="AB39" s="57">
        <f ca="1">IF(TblMagic[[#This Row],[Gaia''s Watch]],12,IF(OFFSET(TblMagic[[#This Row],[Active Gaia''s Watch]],-1,0)&gt;0,OFFSET(TblMagic[[#This Row],[Active Gaia''s Watch]],-1,0)-1,0))</f>
        <v>0</v>
      </c>
      <c r="AC39" s="57">
        <f ca="1">IF(TblMagic[[#This Row],[Mining Strength]],12,IF(OFFSET(TblMagic[[#This Row],[Active Mining Strength]],-1,0)&gt;0,OFFSET(TblMagic[[#This Row],[Active Mining Strength]],-1,0)-1,0))</f>
        <v>0</v>
      </c>
      <c r="AD39" s="57">
        <f ca="1">IF(TblMagic[[#This Row],[Ares Call]],12,IF(OFFSET(TblMagic[[#This Row],[Active Ares Call]],-1,0)&gt;0,OFFSET(TblMagic[[#This Row],[Active Ares Call]],-1,0)-1,0))</f>
        <v>0</v>
      </c>
      <c r="AE39" s="57">
        <f ca="1">IF(TblMagic[[#This Row],[Midas Touch]],12,IF(OFFSET(TblMagic[[#This Row],[Active Midas Touch]],-1,0)&gt;0,OFFSET(TblMagic[[#This Row],[Active Midas Touch]],-1,0)-1,0))</f>
        <v>0</v>
      </c>
      <c r="AF39" s="57">
        <f ca="1">IF(TblMagic[[#This Row],[Harmony]],12,IF(OFFSET(TblMagic[[#This Row],[Active Harmony]],-1,0)&gt;0,OFFSET(TblMagic[[#This Row],[Active Harmony]],-1,0)-1,0))</f>
        <v>0</v>
      </c>
      <c r="AG39" s="57">
        <f ca="1">IF(TblMagic[[#This Row],[Miner''s Sight]],12,IF(OFFSET(TblMagic[[#This Row],[Active Miner''s Sight]],-1,0)&gt;0,OFFSET(TblMagic[[#This Row],[Active Miner''s Sight]],-1,0)-1,0))</f>
        <v>0</v>
      </c>
      <c r="AH39" s="57">
        <f ca="1">IF(TblMagic[[#This Row],[Mechanical Genius]],12,IF(OFFSET(TblMagic[[#This Row],[Active Mechanical Genius]],-1,0)&gt;0,OFFSET(TblMagic[[#This Row],[Active Mechanical Genius]],-1,0)-1,0))</f>
        <v>0</v>
      </c>
      <c r="AI39" s="57">
        <f ca="1">IF(TblMagic[[#This Row],[Death and Decay]],12,IF(OFFSET(TblMagic[[#This Row],[Active DnD]],-1,0)&gt;0,OFFSET(TblMagic[[#This Row],[Active DnD]],-1,0)-1,0))</f>
        <v>0</v>
      </c>
      <c r="AJ39" s="57">
        <f ca="1">IF(TblMagic[[#This Row],[Killing Rage / Bloodrage / Crusade]],12,IF(OFFSET(TblMagic[[#This Row],[Active Warsong / Killing Rage / Bloodrage]],-1,0)&gt;0,OFFSET(TblMagic[[#This Row],[Active Warsong / Killing Rage / Bloodrage]],-1,0)-1,0))</f>
        <v>0</v>
      </c>
      <c r="AK39" s="57">
        <f ca="1">IF(TblMagic[[#This Row],[Gaia''s Blessing]],12,IF(OFFSET(TblMagic[[#This Row],[Active Gaia''s Blessing]],-1,0)&gt;0,OFFSET(TblMagic[[#This Row],[Active Gaia''s Blessing]],-1,0)-1,0))</f>
        <v>0</v>
      </c>
      <c r="AL39" s="57">
        <f ca="1">IF(TblMagic[[#This Row],[Howling]],12,IF(OFFSET(TblMagic[[#This Row],[Active Howling]],-1,0)&gt;0,OFFSET(TblMagic[[#This Row],[Active Howling]],-1,0)-1,0))</f>
        <v>0</v>
      </c>
      <c r="AM39" s="57">
        <f ca="1">IF(TblMagic[[#This Row],[Arcane Infusion]],12,IF(OFFSET(TblMagic[[#This Row],[Active Arc Infusion]],-1,0)&gt;0,OFFSET(TblMagic[[#This Row],[Active Arc Infusion]],-1,0)-1,0))</f>
        <v>0</v>
      </c>
      <c r="AN39" s="57">
        <f ca="1">IF(TblMagic[[#This Row],[Alchemists Flame]],12,IF(OFFSET(TblMagic[[#This Row],[Active Alchemists Flame]],-1,0)&gt;0,OFFSET(TblMagic[[#This Row],[Active Alchemists Flame]],-1,0)-1,0))</f>
        <v>0</v>
      </c>
      <c r="AO39" s="57">
        <f ca="1">IF(TblMagic[[#This Row],[Nightfall]],12,IF(OFFSET(TblMagic[[#This Row],[Active Nightfall]],-1,0)&gt;0,OFFSET(TblMagic[[#This Row],[Active Nightfall]],-1,0)-1,0))</f>
        <v>0</v>
      </c>
      <c r="AP39" s="57">
        <f ca="1">IF(TblMagic[[#This Row],[Favorable Terrain]],12,IF(OFFSET(TblMagic[[#This Row],[Active Favorable Terrain]],-1,0)&gt;0,OFFSET(TblMagic[[#This Row],[Active Favorable Terrain]],-1,0)-1,0))</f>
        <v>0</v>
      </c>
      <c r="AQ39" s="57">
        <f ca="1">IF(TblMagic[[#This Row],[Infernal Command]],12,IF(OFFSET(TblMagic[[#This Row],[Active Infernal Command]],-1,0)&gt;0,OFFSET(TblMagic[[#This Row],[Active Infernal Command]],-1,0)-1,0))</f>
        <v>0</v>
      </c>
    </row>
    <row r="40" spans="1:43" x14ac:dyDescent="0.2">
      <c r="A40" s="137">
        <f>TblRezone[[#This Row],[Hour]]</f>
        <v>37</v>
      </c>
      <c r="B40" s="154">
        <f ca="1">TblConstr[[#This Row],[Land]]</f>
        <v>50</v>
      </c>
      <c r="C40" s="94">
        <f ca="1">TblProd[[#This Row],[Mana]]</f>
        <v>0</v>
      </c>
      <c r="D40" s="156">
        <f ca="1">MIN(1,OFFSET(TblMagic[[#This Row],[Wiz str]],-1,0)+0.04+ROUNDDOWN(10*OFFSET(TblMili[[#This Row],[WG''s]],-1,0),0)+ tech_2_7*OFFSET(TblTech[[#This Row],[2-7]],-1,0) + tech_5_6*OFFSET(TblTech[[#This Row],[5-6]],-1,0) )-TblMagic[[#This Row],[Wiz str cost]]</f>
        <v>1</v>
      </c>
      <c r="E40" s="159">
        <f ca="1">OFFSET(TblMagic[[#This Row],[Time]],-1,0)+1/24</f>
        <v>46321.499999999913</v>
      </c>
      <c r="F40" s="156">
        <f ca="1">TblImps[[#This Row],[Population]]</f>
        <v>1</v>
      </c>
      <c r="G40" s="218"/>
      <c r="H40" s="218"/>
      <c r="I40" s="218"/>
      <c r="J40" s="218"/>
      <c r="K40" s="405"/>
      <c r="L40" s="218"/>
      <c r="M40" s="218"/>
      <c r="N40" s="218"/>
      <c r="O40" s="218"/>
      <c r="P40" s="218"/>
      <c r="Q40" s="218"/>
      <c r="R40" s="218"/>
      <c r="S40" s="218"/>
      <c r="T40" s="218"/>
      <c r="U40" s="218"/>
      <c r="V40" s="218"/>
      <c r="W40" s="218"/>
      <c r="X40" s="142"/>
      <c r="Y4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0" s="156">
        <f>SUMIF(TblMagic[[#This Row],[Gaia''s Watch]:[Useless spell]],1)*0.05</f>
        <v>0</v>
      </c>
      <c r="AA40" s="142"/>
      <c r="AB40" s="57">
        <f ca="1">IF(TblMagic[[#This Row],[Gaia''s Watch]],12,IF(OFFSET(TblMagic[[#This Row],[Active Gaia''s Watch]],-1,0)&gt;0,OFFSET(TblMagic[[#This Row],[Active Gaia''s Watch]],-1,0)-1,0))</f>
        <v>0</v>
      </c>
      <c r="AC40" s="57">
        <f ca="1">IF(TblMagic[[#This Row],[Mining Strength]],12,IF(OFFSET(TblMagic[[#This Row],[Active Mining Strength]],-1,0)&gt;0,OFFSET(TblMagic[[#This Row],[Active Mining Strength]],-1,0)-1,0))</f>
        <v>0</v>
      </c>
      <c r="AD40" s="57">
        <f ca="1">IF(TblMagic[[#This Row],[Ares Call]],12,IF(OFFSET(TblMagic[[#This Row],[Active Ares Call]],-1,0)&gt;0,OFFSET(TblMagic[[#This Row],[Active Ares Call]],-1,0)-1,0))</f>
        <v>0</v>
      </c>
      <c r="AE40" s="57">
        <f ca="1">IF(TblMagic[[#This Row],[Midas Touch]],12,IF(OFFSET(TblMagic[[#This Row],[Active Midas Touch]],-1,0)&gt;0,OFFSET(TblMagic[[#This Row],[Active Midas Touch]],-1,0)-1,0))</f>
        <v>0</v>
      </c>
      <c r="AF40" s="57">
        <f ca="1">IF(TblMagic[[#This Row],[Harmony]],12,IF(OFFSET(TblMagic[[#This Row],[Active Harmony]],-1,0)&gt;0,OFFSET(TblMagic[[#This Row],[Active Harmony]],-1,0)-1,0))</f>
        <v>0</v>
      </c>
      <c r="AG40" s="57">
        <f ca="1">IF(TblMagic[[#This Row],[Miner''s Sight]],12,IF(OFFSET(TblMagic[[#This Row],[Active Miner''s Sight]],-1,0)&gt;0,OFFSET(TblMagic[[#This Row],[Active Miner''s Sight]],-1,0)-1,0))</f>
        <v>0</v>
      </c>
      <c r="AH40" s="57">
        <f ca="1">IF(TblMagic[[#This Row],[Mechanical Genius]],12,IF(OFFSET(TblMagic[[#This Row],[Active Mechanical Genius]],-1,0)&gt;0,OFFSET(TblMagic[[#This Row],[Active Mechanical Genius]],-1,0)-1,0))</f>
        <v>0</v>
      </c>
      <c r="AI40" s="57">
        <f ca="1">IF(TblMagic[[#This Row],[Death and Decay]],12,IF(OFFSET(TblMagic[[#This Row],[Active DnD]],-1,0)&gt;0,OFFSET(TblMagic[[#This Row],[Active DnD]],-1,0)-1,0))</f>
        <v>0</v>
      </c>
      <c r="AJ40" s="57">
        <f ca="1">IF(TblMagic[[#This Row],[Killing Rage / Bloodrage / Crusade]],12,IF(OFFSET(TblMagic[[#This Row],[Active Warsong / Killing Rage / Bloodrage]],-1,0)&gt;0,OFFSET(TblMagic[[#This Row],[Active Warsong / Killing Rage / Bloodrage]],-1,0)-1,0))</f>
        <v>0</v>
      </c>
      <c r="AK40" s="57">
        <f ca="1">IF(TblMagic[[#This Row],[Gaia''s Blessing]],12,IF(OFFSET(TblMagic[[#This Row],[Active Gaia''s Blessing]],-1,0)&gt;0,OFFSET(TblMagic[[#This Row],[Active Gaia''s Blessing]],-1,0)-1,0))</f>
        <v>0</v>
      </c>
      <c r="AL40" s="57">
        <f ca="1">IF(TblMagic[[#This Row],[Howling]],12,IF(OFFSET(TblMagic[[#This Row],[Active Howling]],-1,0)&gt;0,OFFSET(TblMagic[[#This Row],[Active Howling]],-1,0)-1,0))</f>
        <v>0</v>
      </c>
      <c r="AM40" s="57">
        <f ca="1">IF(TblMagic[[#This Row],[Arcane Infusion]],12,IF(OFFSET(TblMagic[[#This Row],[Active Arc Infusion]],-1,0)&gt;0,OFFSET(TblMagic[[#This Row],[Active Arc Infusion]],-1,0)-1,0))</f>
        <v>0</v>
      </c>
      <c r="AN40" s="57">
        <f ca="1">IF(TblMagic[[#This Row],[Alchemists Flame]],12,IF(OFFSET(TblMagic[[#This Row],[Active Alchemists Flame]],-1,0)&gt;0,OFFSET(TblMagic[[#This Row],[Active Alchemists Flame]],-1,0)-1,0))</f>
        <v>0</v>
      </c>
      <c r="AO40" s="57">
        <f ca="1">IF(TblMagic[[#This Row],[Nightfall]],12,IF(OFFSET(TblMagic[[#This Row],[Active Nightfall]],-1,0)&gt;0,OFFSET(TblMagic[[#This Row],[Active Nightfall]],-1,0)-1,0))</f>
        <v>0</v>
      </c>
      <c r="AP40" s="57">
        <f ca="1">IF(TblMagic[[#This Row],[Favorable Terrain]],12,IF(OFFSET(TblMagic[[#This Row],[Active Favorable Terrain]],-1,0)&gt;0,OFFSET(TblMagic[[#This Row],[Active Favorable Terrain]],-1,0)-1,0))</f>
        <v>0</v>
      </c>
      <c r="AQ40" s="57">
        <f ca="1">IF(TblMagic[[#This Row],[Infernal Command]],12,IF(OFFSET(TblMagic[[#This Row],[Active Infernal Command]],-1,0)&gt;0,OFFSET(TblMagic[[#This Row],[Active Infernal Command]],-1,0)-1,0))</f>
        <v>0</v>
      </c>
    </row>
    <row r="41" spans="1:43" x14ac:dyDescent="0.2">
      <c r="A41" s="137">
        <f>TblRezone[[#This Row],[Hour]]</f>
        <v>38</v>
      </c>
      <c r="B41" s="154">
        <f ca="1">TblConstr[[#This Row],[Land]]</f>
        <v>50</v>
      </c>
      <c r="C41" s="94">
        <f ca="1">TblProd[[#This Row],[Mana]]</f>
        <v>0</v>
      </c>
      <c r="D41" s="156">
        <f ca="1">MIN(1,OFFSET(TblMagic[[#This Row],[Wiz str]],-1,0)+0.04+ROUNDDOWN(10*OFFSET(TblMili[[#This Row],[WG''s]],-1,0),0)+ tech_2_7*OFFSET(TblTech[[#This Row],[2-7]],-1,0) + tech_5_6*OFFSET(TblTech[[#This Row],[5-6]],-1,0) )-TblMagic[[#This Row],[Wiz str cost]]</f>
        <v>1</v>
      </c>
      <c r="E41" s="159">
        <f ca="1">OFFSET(TblMagic[[#This Row],[Time]],-1,0)+1/24</f>
        <v>46321.541666666577</v>
      </c>
      <c r="F41" s="156">
        <f ca="1">TblImps[[#This Row],[Population]]</f>
        <v>1</v>
      </c>
      <c r="G41" s="218"/>
      <c r="H41" s="218"/>
      <c r="I41" s="218"/>
      <c r="J41" s="218"/>
      <c r="K41" s="405"/>
      <c r="L41" s="218"/>
      <c r="M41" s="218"/>
      <c r="N41" s="218"/>
      <c r="O41" s="218"/>
      <c r="P41" s="218"/>
      <c r="Q41" s="218"/>
      <c r="R41" s="218"/>
      <c r="S41" s="218"/>
      <c r="T41" s="218"/>
      <c r="U41" s="218"/>
      <c r="V41" s="218"/>
      <c r="W41" s="218"/>
      <c r="X41" s="142"/>
      <c r="Y4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1" s="156">
        <f>SUMIF(TblMagic[[#This Row],[Gaia''s Watch]:[Useless spell]],1)*0.05</f>
        <v>0</v>
      </c>
      <c r="AA41" s="142"/>
      <c r="AB41" s="57">
        <f ca="1">IF(TblMagic[[#This Row],[Gaia''s Watch]],12,IF(OFFSET(TblMagic[[#This Row],[Active Gaia''s Watch]],-1,0)&gt;0,OFFSET(TblMagic[[#This Row],[Active Gaia''s Watch]],-1,0)-1,0))</f>
        <v>0</v>
      </c>
      <c r="AC41" s="57">
        <f ca="1">IF(TblMagic[[#This Row],[Mining Strength]],12,IF(OFFSET(TblMagic[[#This Row],[Active Mining Strength]],-1,0)&gt;0,OFFSET(TblMagic[[#This Row],[Active Mining Strength]],-1,0)-1,0))</f>
        <v>0</v>
      </c>
      <c r="AD41" s="57">
        <f ca="1">IF(TblMagic[[#This Row],[Ares Call]],12,IF(OFFSET(TblMagic[[#This Row],[Active Ares Call]],-1,0)&gt;0,OFFSET(TblMagic[[#This Row],[Active Ares Call]],-1,0)-1,0))</f>
        <v>0</v>
      </c>
      <c r="AE41" s="57">
        <f ca="1">IF(TblMagic[[#This Row],[Midas Touch]],12,IF(OFFSET(TblMagic[[#This Row],[Active Midas Touch]],-1,0)&gt;0,OFFSET(TblMagic[[#This Row],[Active Midas Touch]],-1,0)-1,0))</f>
        <v>0</v>
      </c>
      <c r="AF41" s="57">
        <f ca="1">IF(TblMagic[[#This Row],[Harmony]],12,IF(OFFSET(TblMagic[[#This Row],[Active Harmony]],-1,0)&gt;0,OFFSET(TblMagic[[#This Row],[Active Harmony]],-1,0)-1,0))</f>
        <v>0</v>
      </c>
      <c r="AG41" s="57">
        <f ca="1">IF(TblMagic[[#This Row],[Miner''s Sight]],12,IF(OFFSET(TblMagic[[#This Row],[Active Miner''s Sight]],-1,0)&gt;0,OFFSET(TblMagic[[#This Row],[Active Miner''s Sight]],-1,0)-1,0))</f>
        <v>0</v>
      </c>
      <c r="AH41" s="57">
        <f ca="1">IF(TblMagic[[#This Row],[Mechanical Genius]],12,IF(OFFSET(TblMagic[[#This Row],[Active Mechanical Genius]],-1,0)&gt;0,OFFSET(TblMagic[[#This Row],[Active Mechanical Genius]],-1,0)-1,0))</f>
        <v>0</v>
      </c>
      <c r="AI41" s="57">
        <f ca="1">IF(TblMagic[[#This Row],[Death and Decay]],12,IF(OFFSET(TblMagic[[#This Row],[Active DnD]],-1,0)&gt;0,OFFSET(TblMagic[[#This Row],[Active DnD]],-1,0)-1,0))</f>
        <v>0</v>
      </c>
      <c r="AJ41" s="57">
        <f ca="1">IF(TblMagic[[#This Row],[Killing Rage / Bloodrage / Crusade]],12,IF(OFFSET(TblMagic[[#This Row],[Active Warsong / Killing Rage / Bloodrage]],-1,0)&gt;0,OFFSET(TblMagic[[#This Row],[Active Warsong / Killing Rage / Bloodrage]],-1,0)-1,0))</f>
        <v>0</v>
      </c>
      <c r="AK41" s="57">
        <f ca="1">IF(TblMagic[[#This Row],[Gaia''s Blessing]],12,IF(OFFSET(TblMagic[[#This Row],[Active Gaia''s Blessing]],-1,0)&gt;0,OFFSET(TblMagic[[#This Row],[Active Gaia''s Blessing]],-1,0)-1,0))</f>
        <v>0</v>
      </c>
      <c r="AL41" s="57">
        <f ca="1">IF(TblMagic[[#This Row],[Howling]],12,IF(OFFSET(TblMagic[[#This Row],[Active Howling]],-1,0)&gt;0,OFFSET(TblMagic[[#This Row],[Active Howling]],-1,0)-1,0))</f>
        <v>0</v>
      </c>
      <c r="AM41" s="57">
        <f ca="1">IF(TblMagic[[#This Row],[Arcane Infusion]],12,IF(OFFSET(TblMagic[[#This Row],[Active Arc Infusion]],-1,0)&gt;0,OFFSET(TblMagic[[#This Row],[Active Arc Infusion]],-1,0)-1,0))</f>
        <v>0</v>
      </c>
      <c r="AN41" s="57">
        <f ca="1">IF(TblMagic[[#This Row],[Alchemists Flame]],12,IF(OFFSET(TblMagic[[#This Row],[Active Alchemists Flame]],-1,0)&gt;0,OFFSET(TblMagic[[#This Row],[Active Alchemists Flame]],-1,0)-1,0))</f>
        <v>0</v>
      </c>
      <c r="AO41" s="57">
        <f ca="1">IF(TblMagic[[#This Row],[Nightfall]],12,IF(OFFSET(TblMagic[[#This Row],[Active Nightfall]],-1,0)&gt;0,OFFSET(TblMagic[[#This Row],[Active Nightfall]],-1,0)-1,0))</f>
        <v>0</v>
      </c>
      <c r="AP41" s="57">
        <f ca="1">IF(TblMagic[[#This Row],[Favorable Terrain]],12,IF(OFFSET(TblMagic[[#This Row],[Active Favorable Terrain]],-1,0)&gt;0,OFFSET(TblMagic[[#This Row],[Active Favorable Terrain]],-1,0)-1,0))</f>
        <v>0</v>
      </c>
      <c r="AQ41" s="57">
        <f ca="1">IF(TblMagic[[#This Row],[Infernal Command]],12,IF(OFFSET(TblMagic[[#This Row],[Active Infernal Command]],-1,0)&gt;0,OFFSET(TblMagic[[#This Row],[Active Infernal Command]],-1,0)-1,0))</f>
        <v>0</v>
      </c>
    </row>
    <row r="42" spans="1:43" x14ac:dyDescent="0.2">
      <c r="A42" s="137">
        <f>TblRezone[[#This Row],[Hour]]</f>
        <v>39</v>
      </c>
      <c r="B42" s="154">
        <f ca="1">TblConstr[[#This Row],[Land]]</f>
        <v>50</v>
      </c>
      <c r="C42" s="94">
        <f ca="1">TblProd[[#This Row],[Mana]]</f>
        <v>0</v>
      </c>
      <c r="D42" s="156">
        <f ca="1">MIN(1,OFFSET(TblMagic[[#This Row],[Wiz str]],-1,0)+0.04+ROUNDDOWN(10*OFFSET(TblMili[[#This Row],[WG''s]],-1,0),0)+ tech_2_7*OFFSET(TblTech[[#This Row],[2-7]],-1,0) + tech_5_6*OFFSET(TblTech[[#This Row],[5-6]],-1,0) )-TblMagic[[#This Row],[Wiz str cost]]</f>
        <v>1</v>
      </c>
      <c r="E42" s="159">
        <f ca="1">OFFSET(TblMagic[[#This Row],[Time]],-1,0)+1/24</f>
        <v>46321.583333333241</v>
      </c>
      <c r="F42" s="156">
        <f ca="1">TblImps[[#This Row],[Population]]</f>
        <v>1</v>
      </c>
      <c r="G42" s="218"/>
      <c r="H42" s="218"/>
      <c r="I42" s="218"/>
      <c r="J42" s="218"/>
      <c r="K42" s="405"/>
      <c r="L42" s="218"/>
      <c r="M42" s="218"/>
      <c r="N42" s="218"/>
      <c r="O42" s="218"/>
      <c r="P42" s="218"/>
      <c r="Q42" s="218"/>
      <c r="R42" s="218"/>
      <c r="S42" s="218"/>
      <c r="T42" s="218"/>
      <c r="U42" s="218"/>
      <c r="V42" s="218"/>
      <c r="W42" s="218"/>
      <c r="X42" s="142"/>
      <c r="Y4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2" s="156">
        <f>SUMIF(TblMagic[[#This Row],[Gaia''s Watch]:[Useless spell]],1)*0.05</f>
        <v>0</v>
      </c>
      <c r="AA42" s="142"/>
      <c r="AB42" s="57">
        <f ca="1">IF(TblMagic[[#This Row],[Gaia''s Watch]],12,IF(OFFSET(TblMagic[[#This Row],[Active Gaia''s Watch]],-1,0)&gt;0,OFFSET(TblMagic[[#This Row],[Active Gaia''s Watch]],-1,0)-1,0))</f>
        <v>0</v>
      </c>
      <c r="AC42" s="57">
        <f ca="1">IF(TblMagic[[#This Row],[Mining Strength]],12,IF(OFFSET(TblMagic[[#This Row],[Active Mining Strength]],-1,0)&gt;0,OFFSET(TblMagic[[#This Row],[Active Mining Strength]],-1,0)-1,0))</f>
        <v>0</v>
      </c>
      <c r="AD42" s="57">
        <f ca="1">IF(TblMagic[[#This Row],[Ares Call]],12,IF(OFFSET(TblMagic[[#This Row],[Active Ares Call]],-1,0)&gt;0,OFFSET(TblMagic[[#This Row],[Active Ares Call]],-1,0)-1,0))</f>
        <v>0</v>
      </c>
      <c r="AE42" s="57">
        <f ca="1">IF(TblMagic[[#This Row],[Midas Touch]],12,IF(OFFSET(TblMagic[[#This Row],[Active Midas Touch]],-1,0)&gt;0,OFFSET(TblMagic[[#This Row],[Active Midas Touch]],-1,0)-1,0))</f>
        <v>0</v>
      </c>
      <c r="AF42" s="57">
        <f ca="1">IF(TblMagic[[#This Row],[Harmony]],12,IF(OFFSET(TblMagic[[#This Row],[Active Harmony]],-1,0)&gt;0,OFFSET(TblMagic[[#This Row],[Active Harmony]],-1,0)-1,0))</f>
        <v>0</v>
      </c>
      <c r="AG42" s="57">
        <f ca="1">IF(TblMagic[[#This Row],[Miner''s Sight]],12,IF(OFFSET(TblMagic[[#This Row],[Active Miner''s Sight]],-1,0)&gt;0,OFFSET(TblMagic[[#This Row],[Active Miner''s Sight]],-1,0)-1,0))</f>
        <v>0</v>
      </c>
      <c r="AH42" s="57">
        <f ca="1">IF(TblMagic[[#This Row],[Mechanical Genius]],12,IF(OFFSET(TblMagic[[#This Row],[Active Mechanical Genius]],-1,0)&gt;0,OFFSET(TblMagic[[#This Row],[Active Mechanical Genius]],-1,0)-1,0))</f>
        <v>0</v>
      </c>
      <c r="AI42" s="57">
        <f ca="1">IF(TblMagic[[#This Row],[Death and Decay]],12,IF(OFFSET(TblMagic[[#This Row],[Active DnD]],-1,0)&gt;0,OFFSET(TblMagic[[#This Row],[Active DnD]],-1,0)-1,0))</f>
        <v>0</v>
      </c>
      <c r="AJ42" s="57">
        <f ca="1">IF(TblMagic[[#This Row],[Killing Rage / Bloodrage / Crusade]],12,IF(OFFSET(TblMagic[[#This Row],[Active Warsong / Killing Rage / Bloodrage]],-1,0)&gt;0,OFFSET(TblMagic[[#This Row],[Active Warsong / Killing Rage / Bloodrage]],-1,0)-1,0))</f>
        <v>0</v>
      </c>
      <c r="AK42" s="57">
        <f ca="1">IF(TblMagic[[#This Row],[Gaia''s Blessing]],12,IF(OFFSET(TblMagic[[#This Row],[Active Gaia''s Blessing]],-1,0)&gt;0,OFFSET(TblMagic[[#This Row],[Active Gaia''s Blessing]],-1,0)-1,0))</f>
        <v>0</v>
      </c>
      <c r="AL42" s="57">
        <f ca="1">IF(TblMagic[[#This Row],[Howling]],12,IF(OFFSET(TblMagic[[#This Row],[Active Howling]],-1,0)&gt;0,OFFSET(TblMagic[[#This Row],[Active Howling]],-1,0)-1,0))</f>
        <v>0</v>
      </c>
      <c r="AM42" s="57">
        <f ca="1">IF(TblMagic[[#This Row],[Arcane Infusion]],12,IF(OFFSET(TblMagic[[#This Row],[Active Arc Infusion]],-1,0)&gt;0,OFFSET(TblMagic[[#This Row],[Active Arc Infusion]],-1,0)-1,0))</f>
        <v>0</v>
      </c>
      <c r="AN42" s="57">
        <f ca="1">IF(TblMagic[[#This Row],[Alchemists Flame]],12,IF(OFFSET(TblMagic[[#This Row],[Active Alchemists Flame]],-1,0)&gt;0,OFFSET(TblMagic[[#This Row],[Active Alchemists Flame]],-1,0)-1,0))</f>
        <v>0</v>
      </c>
      <c r="AO42" s="57">
        <f ca="1">IF(TblMagic[[#This Row],[Nightfall]],12,IF(OFFSET(TblMagic[[#This Row],[Active Nightfall]],-1,0)&gt;0,OFFSET(TblMagic[[#This Row],[Active Nightfall]],-1,0)-1,0))</f>
        <v>0</v>
      </c>
      <c r="AP42" s="57">
        <f ca="1">IF(TblMagic[[#This Row],[Favorable Terrain]],12,IF(OFFSET(TblMagic[[#This Row],[Active Favorable Terrain]],-1,0)&gt;0,OFFSET(TblMagic[[#This Row],[Active Favorable Terrain]],-1,0)-1,0))</f>
        <v>0</v>
      </c>
      <c r="AQ42" s="57">
        <f ca="1">IF(TblMagic[[#This Row],[Infernal Command]],12,IF(OFFSET(TblMagic[[#This Row],[Active Infernal Command]],-1,0)&gt;0,OFFSET(TblMagic[[#This Row],[Active Infernal Command]],-1,0)-1,0))</f>
        <v>0</v>
      </c>
    </row>
    <row r="43" spans="1:43" x14ac:dyDescent="0.2">
      <c r="A43" s="137">
        <f>TblRezone[[#This Row],[Hour]]</f>
        <v>40</v>
      </c>
      <c r="B43" s="154">
        <f ca="1">TblConstr[[#This Row],[Land]]</f>
        <v>50</v>
      </c>
      <c r="C43" s="94">
        <f ca="1">TblProd[[#This Row],[Mana]]</f>
        <v>0</v>
      </c>
      <c r="D43" s="156">
        <f ca="1">MIN(1,OFFSET(TblMagic[[#This Row],[Wiz str]],-1,0)+0.04+ROUNDDOWN(10*OFFSET(TblMili[[#This Row],[WG''s]],-1,0),0)+ tech_2_7*OFFSET(TblTech[[#This Row],[2-7]],-1,0) + tech_5_6*OFFSET(TblTech[[#This Row],[5-6]],-1,0) )-TblMagic[[#This Row],[Wiz str cost]]</f>
        <v>1</v>
      </c>
      <c r="E43" s="159">
        <f ca="1">OFFSET(TblMagic[[#This Row],[Time]],-1,0)+1/24</f>
        <v>46321.624999999905</v>
      </c>
      <c r="F43" s="156">
        <f ca="1">TblImps[[#This Row],[Population]]</f>
        <v>1</v>
      </c>
      <c r="G43" s="218"/>
      <c r="H43" s="218"/>
      <c r="I43" s="218"/>
      <c r="J43" s="218"/>
      <c r="K43" s="405"/>
      <c r="L43" s="218"/>
      <c r="M43" s="218"/>
      <c r="N43" s="218"/>
      <c r="O43" s="218"/>
      <c r="P43" s="218"/>
      <c r="Q43" s="218"/>
      <c r="R43" s="218"/>
      <c r="S43" s="218"/>
      <c r="T43" s="218"/>
      <c r="U43" s="218"/>
      <c r="V43" s="218"/>
      <c r="W43" s="218"/>
      <c r="X43" s="142"/>
      <c r="Y4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3" s="156">
        <f>SUMIF(TblMagic[[#This Row],[Gaia''s Watch]:[Useless spell]],1)*0.05</f>
        <v>0</v>
      </c>
      <c r="AA43" s="142"/>
      <c r="AB43" s="57">
        <f ca="1">IF(TblMagic[[#This Row],[Gaia''s Watch]],12,IF(OFFSET(TblMagic[[#This Row],[Active Gaia''s Watch]],-1,0)&gt;0,OFFSET(TblMagic[[#This Row],[Active Gaia''s Watch]],-1,0)-1,0))</f>
        <v>0</v>
      </c>
      <c r="AC43" s="57">
        <f ca="1">IF(TblMagic[[#This Row],[Mining Strength]],12,IF(OFFSET(TblMagic[[#This Row],[Active Mining Strength]],-1,0)&gt;0,OFFSET(TblMagic[[#This Row],[Active Mining Strength]],-1,0)-1,0))</f>
        <v>0</v>
      </c>
      <c r="AD43" s="57">
        <f ca="1">IF(TblMagic[[#This Row],[Ares Call]],12,IF(OFFSET(TblMagic[[#This Row],[Active Ares Call]],-1,0)&gt;0,OFFSET(TblMagic[[#This Row],[Active Ares Call]],-1,0)-1,0))</f>
        <v>0</v>
      </c>
      <c r="AE43" s="57">
        <f ca="1">IF(TblMagic[[#This Row],[Midas Touch]],12,IF(OFFSET(TblMagic[[#This Row],[Active Midas Touch]],-1,0)&gt;0,OFFSET(TblMagic[[#This Row],[Active Midas Touch]],-1,0)-1,0))</f>
        <v>0</v>
      </c>
      <c r="AF43" s="57">
        <f ca="1">IF(TblMagic[[#This Row],[Harmony]],12,IF(OFFSET(TblMagic[[#This Row],[Active Harmony]],-1,0)&gt;0,OFFSET(TblMagic[[#This Row],[Active Harmony]],-1,0)-1,0))</f>
        <v>0</v>
      </c>
      <c r="AG43" s="57">
        <f ca="1">IF(TblMagic[[#This Row],[Miner''s Sight]],12,IF(OFFSET(TblMagic[[#This Row],[Active Miner''s Sight]],-1,0)&gt;0,OFFSET(TblMagic[[#This Row],[Active Miner''s Sight]],-1,0)-1,0))</f>
        <v>0</v>
      </c>
      <c r="AH43" s="57">
        <f ca="1">IF(TblMagic[[#This Row],[Mechanical Genius]],12,IF(OFFSET(TblMagic[[#This Row],[Active Mechanical Genius]],-1,0)&gt;0,OFFSET(TblMagic[[#This Row],[Active Mechanical Genius]],-1,0)-1,0))</f>
        <v>0</v>
      </c>
      <c r="AI43" s="57">
        <f ca="1">IF(TblMagic[[#This Row],[Death and Decay]],12,IF(OFFSET(TblMagic[[#This Row],[Active DnD]],-1,0)&gt;0,OFFSET(TblMagic[[#This Row],[Active DnD]],-1,0)-1,0))</f>
        <v>0</v>
      </c>
      <c r="AJ43" s="57">
        <f ca="1">IF(TblMagic[[#This Row],[Killing Rage / Bloodrage / Crusade]],12,IF(OFFSET(TblMagic[[#This Row],[Active Warsong / Killing Rage / Bloodrage]],-1,0)&gt;0,OFFSET(TblMagic[[#This Row],[Active Warsong / Killing Rage / Bloodrage]],-1,0)-1,0))</f>
        <v>0</v>
      </c>
      <c r="AK43" s="57">
        <f ca="1">IF(TblMagic[[#This Row],[Gaia''s Blessing]],12,IF(OFFSET(TblMagic[[#This Row],[Active Gaia''s Blessing]],-1,0)&gt;0,OFFSET(TblMagic[[#This Row],[Active Gaia''s Blessing]],-1,0)-1,0))</f>
        <v>0</v>
      </c>
      <c r="AL43" s="57">
        <f ca="1">IF(TblMagic[[#This Row],[Howling]],12,IF(OFFSET(TblMagic[[#This Row],[Active Howling]],-1,0)&gt;0,OFFSET(TblMagic[[#This Row],[Active Howling]],-1,0)-1,0))</f>
        <v>0</v>
      </c>
      <c r="AM43" s="57">
        <f ca="1">IF(TblMagic[[#This Row],[Arcane Infusion]],12,IF(OFFSET(TblMagic[[#This Row],[Active Arc Infusion]],-1,0)&gt;0,OFFSET(TblMagic[[#This Row],[Active Arc Infusion]],-1,0)-1,0))</f>
        <v>0</v>
      </c>
      <c r="AN43" s="57">
        <f ca="1">IF(TblMagic[[#This Row],[Alchemists Flame]],12,IF(OFFSET(TblMagic[[#This Row],[Active Alchemists Flame]],-1,0)&gt;0,OFFSET(TblMagic[[#This Row],[Active Alchemists Flame]],-1,0)-1,0))</f>
        <v>0</v>
      </c>
      <c r="AO43" s="57">
        <f ca="1">IF(TblMagic[[#This Row],[Nightfall]],12,IF(OFFSET(TblMagic[[#This Row],[Active Nightfall]],-1,0)&gt;0,OFFSET(TblMagic[[#This Row],[Active Nightfall]],-1,0)-1,0))</f>
        <v>0</v>
      </c>
      <c r="AP43" s="57">
        <f ca="1">IF(TblMagic[[#This Row],[Favorable Terrain]],12,IF(OFFSET(TblMagic[[#This Row],[Active Favorable Terrain]],-1,0)&gt;0,OFFSET(TblMagic[[#This Row],[Active Favorable Terrain]],-1,0)-1,0))</f>
        <v>0</v>
      </c>
      <c r="AQ43" s="57">
        <f ca="1">IF(TblMagic[[#This Row],[Infernal Command]],12,IF(OFFSET(TblMagic[[#This Row],[Active Infernal Command]],-1,0)&gt;0,OFFSET(TblMagic[[#This Row],[Active Infernal Command]],-1,0)-1,0))</f>
        <v>0</v>
      </c>
    </row>
    <row r="44" spans="1:43" x14ac:dyDescent="0.2">
      <c r="A44" s="137">
        <f>TblRezone[[#This Row],[Hour]]</f>
        <v>41</v>
      </c>
      <c r="B44" s="154">
        <f ca="1">TblConstr[[#This Row],[Land]]</f>
        <v>50</v>
      </c>
      <c r="C44" s="94">
        <f ca="1">TblProd[[#This Row],[Mana]]</f>
        <v>0</v>
      </c>
      <c r="D44" s="156">
        <f ca="1">MIN(1,OFFSET(TblMagic[[#This Row],[Wiz str]],-1,0)+0.04+ROUNDDOWN(10*OFFSET(TblMili[[#This Row],[WG''s]],-1,0),0)+ tech_2_7*OFFSET(TblTech[[#This Row],[2-7]],-1,0) + tech_5_6*OFFSET(TblTech[[#This Row],[5-6]],-1,0) )-TblMagic[[#This Row],[Wiz str cost]]</f>
        <v>1</v>
      </c>
      <c r="E44" s="159">
        <f ca="1">OFFSET(TblMagic[[#This Row],[Time]],-1,0)+1/24</f>
        <v>46321.66666666657</v>
      </c>
      <c r="F44" s="156">
        <f ca="1">TblImps[[#This Row],[Population]]</f>
        <v>1</v>
      </c>
      <c r="G44" s="218"/>
      <c r="H44" s="218"/>
      <c r="I44" s="218"/>
      <c r="J44" s="218"/>
      <c r="K44" s="405"/>
      <c r="L44" s="218"/>
      <c r="M44" s="218"/>
      <c r="N44" s="218"/>
      <c r="O44" s="218"/>
      <c r="P44" s="218"/>
      <c r="Q44" s="218"/>
      <c r="R44" s="218"/>
      <c r="S44" s="218"/>
      <c r="T44" s="218"/>
      <c r="U44" s="218"/>
      <c r="V44" s="218"/>
      <c r="W44" s="218"/>
      <c r="X44" s="142"/>
      <c r="Y4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4" s="156">
        <f>SUMIF(TblMagic[[#This Row],[Gaia''s Watch]:[Useless spell]],1)*0.05</f>
        <v>0</v>
      </c>
      <c r="AA44" s="142"/>
      <c r="AB44" s="57">
        <f ca="1">IF(TblMagic[[#This Row],[Gaia''s Watch]],12,IF(OFFSET(TblMagic[[#This Row],[Active Gaia''s Watch]],-1,0)&gt;0,OFFSET(TblMagic[[#This Row],[Active Gaia''s Watch]],-1,0)-1,0))</f>
        <v>0</v>
      </c>
      <c r="AC44" s="57">
        <f ca="1">IF(TblMagic[[#This Row],[Mining Strength]],12,IF(OFFSET(TblMagic[[#This Row],[Active Mining Strength]],-1,0)&gt;0,OFFSET(TblMagic[[#This Row],[Active Mining Strength]],-1,0)-1,0))</f>
        <v>0</v>
      </c>
      <c r="AD44" s="57">
        <f ca="1">IF(TblMagic[[#This Row],[Ares Call]],12,IF(OFFSET(TblMagic[[#This Row],[Active Ares Call]],-1,0)&gt;0,OFFSET(TblMagic[[#This Row],[Active Ares Call]],-1,0)-1,0))</f>
        <v>0</v>
      </c>
      <c r="AE44" s="57">
        <f ca="1">IF(TblMagic[[#This Row],[Midas Touch]],12,IF(OFFSET(TblMagic[[#This Row],[Active Midas Touch]],-1,0)&gt;0,OFFSET(TblMagic[[#This Row],[Active Midas Touch]],-1,0)-1,0))</f>
        <v>0</v>
      </c>
      <c r="AF44" s="57">
        <f ca="1">IF(TblMagic[[#This Row],[Harmony]],12,IF(OFFSET(TblMagic[[#This Row],[Active Harmony]],-1,0)&gt;0,OFFSET(TblMagic[[#This Row],[Active Harmony]],-1,0)-1,0))</f>
        <v>0</v>
      </c>
      <c r="AG44" s="57">
        <f ca="1">IF(TblMagic[[#This Row],[Miner''s Sight]],12,IF(OFFSET(TblMagic[[#This Row],[Active Miner''s Sight]],-1,0)&gt;0,OFFSET(TblMagic[[#This Row],[Active Miner''s Sight]],-1,0)-1,0))</f>
        <v>0</v>
      </c>
      <c r="AH44" s="57">
        <f ca="1">IF(TblMagic[[#This Row],[Mechanical Genius]],12,IF(OFFSET(TblMagic[[#This Row],[Active Mechanical Genius]],-1,0)&gt;0,OFFSET(TblMagic[[#This Row],[Active Mechanical Genius]],-1,0)-1,0))</f>
        <v>0</v>
      </c>
      <c r="AI44" s="57">
        <f ca="1">IF(TblMagic[[#This Row],[Death and Decay]],12,IF(OFFSET(TblMagic[[#This Row],[Active DnD]],-1,0)&gt;0,OFFSET(TblMagic[[#This Row],[Active DnD]],-1,0)-1,0))</f>
        <v>0</v>
      </c>
      <c r="AJ44" s="57">
        <f ca="1">IF(TblMagic[[#This Row],[Killing Rage / Bloodrage / Crusade]],12,IF(OFFSET(TblMagic[[#This Row],[Active Warsong / Killing Rage / Bloodrage]],-1,0)&gt;0,OFFSET(TblMagic[[#This Row],[Active Warsong / Killing Rage / Bloodrage]],-1,0)-1,0))</f>
        <v>0</v>
      </c>
      <c r="AK44" s="57">
        <f ca="1">IF(TblMagic[[#This Row],[Gaia''s Blessing]],12,IF(OFFSET(TblMagic[[#This Row],[Active Gaia''s Blessing]],-1,0)&gt;0,OFFSET(TblMagic[[#This Row],[Active Gaia''s Blessing]],-1,0)-1,0))</f>
        <v>0</v>
      </c>
      <c r="AL44" s="57">
        <f ca="1">IF(TblMagic[[#This Row],[Howling]],12,IF(OFFSET(TblMagic[[#This Row],[Active Howling]],-1,0)&gt;0,OFFSET(TblMagic[[#This Row],[Active Howling]],-1,0)-1,0))</f>
        <v>0</v>
      </c>
      <c r="AM44" s="57">
        <f ca="1">IF(TblMagic[[#This Row],[Arcane Infusion]],12,IF(OFFSET(TblMagic[[#This Row],[Active Arc Infusion]],-1,0)&gt;0,OFFSET(TblMagic[[#This Row],[Active Arc Infusion]],-1,0)-1,0))</f>
        <v>0</v>
      </c>
      <c r="AN44" s="57">
        <f ca="1">IF(TblMagic[[#This Row],[Alchemists Flame]],12,IF(OFFSET(TblMagic[[#This Row],[Active Alchemists Flame]],-1,0)&gt;0,OFFSET(TblMagic[[#This Row],[Active Alchemists Flame]],-1,0)-1,0))</f>
        <v>0</v>
      </c>
      <c r="AO44" s="57">
        <f ca="1">IF(TblMagic[[#This Row],[Nightfall]],12,IF(OFFSET(TblMagic[[#This Row],[Active Nightfall]],-1,0)&gt;0,OFFSET(TblMagic[[#This Row],[Active Nightfall]],-1,0)-1,0))</f>
        <v>0</v>
      </c>
      <c r="AP44" s="57">
        <f ca="1">IF(TblMagic[[#This Row],[Favorable Terrain]],12,IF(OFFSET(TblMagic[[#This Row],[Active Favorable Terrain]],-1,0)&gt;0,OFFSET(TblMagic[[#This Row],[Active Favorable Terrain]],-1,0)-1,0))</f>
        <v>0</v>
      </c>
      <c r="AQ44" s="57">
        <f ca="1">IF(TblMagic[[#This Row],[Infernal Command]],12,IF(OFFSET(TblMagic[[#This Row],[Active Infernal Command]],-1,0)&gt;0,OFFSET(TblMagic[[#This Row],[Active Infernal Command]],-1,0)-1,0))</f>
        <v>0</v>
      </c>
    </row>
    <row r="45" spans="1:43" x14ac:dyDescent="0.2">
      <c r="A45" s="137">
        <f>TblRezone[[#This Row],[Hour]]</f>
        <v>42</v>
      </c>
      <c r="B45" s="154">
        <f ca="1">TblConstr[[#This Row],[Land]]</f>
        <v>50</v>
      </c>
      <c r="C45" s="94">
        <f ca="1">TblProd[[#This Row],[Mana]]</f>
        <v>0</v>
      </c>
      <c r="D45" s="156">
        <f ca="1">MIN(1,OFFSET(TblMagic[[#This Row],[Wiz str]],-1,0)+0.04+ROUNDDOWN(10*OFFSET(TblMili[[#This Row],[WG''s]],-1,0),0)+ tech_2_7*OFFSET(TblTech[[#This Row],[2-7]],-1,0) + tech_5_6*OFFSET(TblTech[[#This Row],[5-6]],-1,0) )-TblMagic[[#This Row],[Wiz str cost]]</f>
        <v>1</v>
      </c>
      <c r="E45" s="159">
        <f ca="1">OFFSET(TblMagic[[#This Row],[Time]],-1,0)+1/24</f>
        <v>46321.708333333234</v>
      </c>
      <c r="F45" s="156">
        <f ca="1">TblImps[[#This Row],[Population]]</f>
        <v>1</v>
      </c>
      <c r="G45" s="218"/>
      <c r="H45" s="218"/>
      <c r="I45" s="218"/>
      <c r="J45" s="218"/>
      <c r="K45" s="405"/>
      <c r="L45" s="218"/>
      <c r="M45" s="218"/>
      <c r="N45" s="218"/>
      <c r="O45" s="218"/>
      <c r="P45" s="218"/>
      <c r="Q45" s="218"/>
      <c r="R45" s="218"/>
      <c r="S45" s="218"/>
      <c r="T45" s="218"/>
      <c r="U45" s="218"/>
      <c r="V45" s="218"/>
      <c r="W45" s="218"/>
      <c r="X45" s="142"/>
      <c r="Y4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5" s="156">
        <f>SUMIF(TblMagic[[#This Row],[Gaia''s Watch]:[Useless spell]],1)*0.05</f>
        <v>0</v>
      </c>
      <c r="AA45" s="142"/>
      <c r="AB45" s="57">
        <f ca="1">IF(TblMagic[[#This Row],[Gaia''s Watch]],12,IF(OFFSET(TblMagic[[#This Row],[Active Gaia''s Watch]],-1,0)&gt;0,OFFSET(TblMagic[[#This Row],[Active Gaia''s Watch]],-1,0)-1,0))</f>
        <v>0</v>
      </c>
      <c r="AC45" s="57">
        <f ca="1">IF(TblMagic[[#This Row],[Mining Strength]],12,IF(OFFSET(TblMagic[[#This Row],[Active Mining Strength]],-1,0)&gt;0,OFFSET(TblMagic[[#This Row],[Active Mining Strength]],-1,0)-1,0))</f>
        <v>0</v>
      </c>
      <c r="AD45" s="57">
        <f ca="1">IF(TblMagic[[#This Row],[Ares Call]],12,IF(OFFSET(TblMagic[[#This Row],[Active Ares Call]],-1,0)&gt;0,OFFSET(TblMagic[[#This Row],[Active Ares Call]],-1,0)-1,0))</f>
        <v>0</v>
      </c>
      <c r="AE45" s="57">
        <f ca="1">IF(TblMagic[[#This Row],[Midas Touch]],12,IF(OFFSET(TblMagic[[#This Row],[Active Midas Touch]],-1,0)&gt;0,OFFSET(TblMagic[[#This Row],[Active Midas Touch]],-1,0)-1,0))</f>
        <v>0</v>
      </c>
      <c r="AF45" s="57">
        <f ca="1">IF(TblMagic[[#This Row],[Harmony]],12,IF(OFFSET(TblMagic[[#This Row],[Active Harmony]],-1,0)&gt;0,OFFSET(TblMagic[[#This Row],[Active Harmony]],-1,0)-1,0))</f>
        <v>0</v>
      </c>
      <c r="AG45" s="57">
        <f ca="1">IF(TblMagic[[#This Row],[Miner''s Sight]],12,IF(OFFSET(TblMagic[[#This Row],[Active Miner''s Sight]],-1,0)&gt;0,OFFSET(TblMagic[[#This Row],[Active Miner''s Sight]],-1,0)-1,0))</f>
        <v>0</v>
      </c>
      <c r="AH45" s="57">
        <f ca="1">IF(TblMagic[[#This Row],[Mechanical Genius]],12,IF(OFFSET(TblMagic[[#This Row],[Active Mechanical Genius]],-1,0)&gt;0,OFFSET(TblMagic[[#This Row],[Active Mechanical Genius]],-1,0)-1,0))</f>
        <v>0</v>
      </c>
      <c r="AI45" s="57">
        <f ca="1">IF(TblMagic[[#This Row],[Death and Decay]],12,IF(OFFSET(TblMagic[[#This Row],[Active DnD]],-1,0)&gt;0,OFFSET(TblMagic[[#This Row],[Active DnD]],-1,0)-1,0))</f>
        <v>0</v>
      </c>
      <c r="AJ45" s="57">
        <f ca="1">IF(TblMagic[[#This Row],[Killing Rage / Bloodrage / Crusade]],12,IF(OFFSET(TblMagic[[#This Row],[Active Warsong / Killing Rage / Bloodrage]],-1,0)&gt;0,OFFSET(TblMagic[[#This Row],[Active Warsong / Killing Rage / Bloodrage]],-1,0)-1,0))</f>
        <v>0</v>
      </c>
      <c r="AK45" s="57">
        <f ca="1">IF(TblMagic[[#This Row],[Gaia''s Blessing]],12,IF(OFFSET(TblMagic[[#This Row],[Active Gaia''s Blessing]],-1,0)&gt;0,OFFSET(TblMagic[[#This Row],[Active Gaia''s Blessing]],-1,0)-1,0))</f>
        <v>0</v>
      </c>
      <c r="AL45" s="57">
        <f ca="1">IF(TblMagic[[#This Row],[Howling]],12,IF(OFFSET(TblMagic[[#This Row],[Active Howling]],-1,0)&gt;0,OFFSET(TblMagic[[#This Row],[Active Howling]],-1,0)-1,0))</f>
        <v>0</v>
      </c>
      <c r="AM45" s="57">
        <f ca="1">IF(TblMagic[[#This Row],[Arcane Infusion]],12,IF(OFFSET(TblMagic[[#This Row],[Active Arc Infusion]],-1,0)&gt;0,OFFSET(TblMagic[[#This Row],[Active Arc Infusion]],-1,0)-1,0))</f>
        <v>0</v>
      </c>
      <c r="AN45" s="57">
        <f ca="1">IF(TblMagic[[#This Row],[Alchemists Flame]],12,IF(OFFSET(TblMagic[[#This Row],[Active Alchemists Flame]],-1,0)&gt;0,OFFSET(TblMagic[[#This Row],[Active Alchemists Flame]],-1,0)-1,0))</f>
        <v>0</v>
      </c>
      <c r="AO45" s="57">
        <f ca="1">IF(TblMagic[[#This Row],[Nightfall]],12,IF(OFFSET(TblMagic[[#This Row],[Active Nightfall]],-1,0)&gt;0,OFFSET(TblMagic[[#This Row],[Active Nightfall]],-1,0)-1,0))</f>
        <v>0</v>
      </c>
      <c r="AP45" s="57">
        <f ca="1">IF(TblMagic[[#This Row],[Favorable Terrain]],12,IF(OFFSET(TblMagic[[#This Row],[Active Favorable Terrain]],-1,0)&gt;0,OFFSET(TblMagic[[#This Row],[Active Favorable Terrain]],-1,0)-1,0))</f>
        <v>0</v>
      </c>
      <c r="AQ45" s="57">
        <f ca="1">IF(TblMagic[[#This Row],[Infernal Command]],12,IF(OFFSET(TblMagic[[#This Row],[Active Infernal Command]],-1,0)&gt;0,OFFSET(TblMagic[[#This Row],[Active Infernal Command]],-1,0)-1,0))</f>
        <v>0</v>
      </c>
    </row>
    <row r="46" spans="1:43" x14ac:dyDescent="0.2">
      <c r="A46" s="137">
        <f>TblRezone[[#This Row],[Hour]]</f>
        <v>43</v>
      </c>
      <c r="B46" s="154">
        <f ca="1">TblConstr[[#This Row],[Land]]</f>
        <v>50</v>
      </c>
      <c r="C46" s="94">
        <f ca="1">TblProd[[#This Row],[Mana]]</f>
        <v>0</v>
      </c>
      <c r="D46" s="156">
        <f ca="1">MIN(1,OFFSET(TblMagic[[#This Row],[Wiz str]],-1,0)+0.04+ROUNDDOWN(10*OFFSET(TblMili[[#This Row],[WG''s]],-1,0),0)+ tech_2_7*OFFSET(TblTech[[#This Row],[2-7]],-1,0) + tech_5_6*OFFSET(TblTech[[#This Row],[5-6]],-1,0) )-TblMagic[[#This Row],[Wiz str cost]]</f>
        <v>1</v>
      </c>
      <c r="E46" s="159">
        <f ca="1">OFFSET(TblMagic[[#This Row],[Time]],-1,0)+1/24</f>
        <v>46321.749999999898</v>
      </c>
      <c r="F46" s="156">
        <f ca="1">TblImps[[#This Row],[Population]]</f>
        <v>1</v>
      </c>
      <c r="G46" s="218"/>
      <c r="H46" s="218"/>
      <c r="I46" s="218"/>
      <c r="J46" s="218"/>
      <c r="K46" s="405"/>
      <c r="L46" s="218"/>
      <c r="M46" s="218"/>
      <c r="N46" s="218"/>
      <c r="O46" s="218"/>
      <c r="P46" s="218"/>
      <c r="Q46" s="218"/>
      <c r="R46" s="218"/>
      <c r="S46" s="218"/>
      <c r="T46" s="218"/>
      <c r="U46" s="218"/>
      <c r="V46" s="218"/>
      <c r="W46" s="218"/>
      <c r="X46" s="142"/>
      <c r="Y4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6" s="156">
        <f>SUMIF(TblMagic[[#This Row],[Gaia''s Watch]:[Useless spell]],1)*0.05</f>
        <v>0</v>
      </c>
      <c r="AA46" s="142"/>
      <c r="AB46" s="57">
        <f ca="1">IF(TblMagic[[#This Row],[Gaia''s Watch]],12,IF(OFFSET(TblMagic[[#This Row],[Active Gaia''s Watch]],-1,0)&gt;0,OFFSET(TblMagic[[#This Row],[Active Gaia''s Watch]],-1,0)-1,0))</f>
        <v>0</v>
      </c>
      <c r="AC46" s="57">
        <f ca="1">IF(TblMagic[[#This Row],[Mining Strength]],12,IF(OFFSET(TblMagic[[#This Row],[Active Mining Strength]],-1,0)&gt;0,OFFSET(TblMagic[[#This Row],[Active Mining Strength]],-1,0)-1,0))</f>
        <v>0</v>
      </c>
      <c r="AD46" s="57">
        <f ca="1">IF(TblMagic[[#This Row],[Ares Call]],12,IF(OFFSET(TblMagic[[#This Row],[Active Ares Call]],-1,0)&gt;0,OFFSET(TblMagic[[#This Row],[Active Ares Call]],-1,0)-1,0))</f>
        <v>0</v>
      </c>
      <c r="AE46" s="57">
        <f ca="1">IF(TblMagic[[#This Row],[Midas Touch]],12,IF(OFFSET(TblMagic[[#This Row],[Active Midas Touch]],-1,0)&gt;0,OFFSET(TblMagic[[#This Row],[Active Midas Touch]],-1,0)-1,0))</f>
        <v>0</v>
      </c>
      <c r="AF46" s="57">
        <f ca="1">IF(TblMagic[[#This Row],[Harmony]],12,IF(OFFSET(TblMagic[[#This Row],[Active Harmony]],-1,0)&gt;0,OFFSET(TblMagic[[#This Row],[Active Harmony]],-1,0)-1,0))</f>
        <v>0</v>
      </c>
      <c r="AG46" s="57">
        <f ca="1">IF(TblMagic[[#This Row],[Miner''s Sight]],12,IF(OFFSET(TblMagic[[#This Row],[Active Miner''s Sight]],-1,0)&gt;0,OFFSET(TblMagic[[#This Row],[Active Miner''s Sight]],-1,0)-1,0))</f>
        <v>0</v>
      </c>
      <c r="AH46" s="57">
        <f ca="1">IF(TblMagic[[#This Row],[Mechanical Genius]],12,IF(OFFSET(TblMagic[[#This Row],[Active Mechanical Genius]],-1,0)&gt;0,OFFSET(TblMagic[[#This Row],[Active Mechanical Genius]],-1,0)-1,0))</f>
        <v>0</v>
      </c>
      <c r="AI46" s="57">
        <f ca="1">IF(TblMagic[[#This Row],[Death and Decay]],12,IF(OFFSET(TblMagic[[#This Row],[Active DnD]],-1,0)&gt;0,OFFSET(TblMagic[[#This Row],[Active DnD]],-1,0)-1,0))</f>
        <v>0</v>
      </c>
      <c r="AJ46" s="57">
        <f ca="1">IF(TblMagic[[#This Row],[Killing Rage / Bloodrage / Crusade]],12,IF(OFFSET(TblMagic[[#This Row],[Active Warsong / Killing Rage / Bloodrage]],-1,0)&gt;0,OFFSET(TblMagic[[#This Row],[Active Warsong / Killing Rage / Bloodrage]],-1,0)-1,0))</f>
        <v>0</v>
      </c>
      <c r="AK46" s="57">
        <f ca="1">IF(TblMagic[[#This Row],[Gaia''s Blessing]],12,IF(OFFSET(TblMagic[[#This Row],[Active Gaia''s Blessing]],-1,0)&gt;0,OFFSET(TblMagic[[#This Row],[Active Gaia''s Blessing]],-1,0)-1,0))</f>
        <v>0</v>
      </c>
      <c r="AL46" s="57">
        <f ca="1">IF(TblMagic[[#This Row],[Howling]],12,IF(OFFSET(TblMagic[[#This Row],[Active Howling]],-1,0)&gt;0,OFFSET(TblMagic[[#This Row],[Active Howling]],-1,0)-1,0))</f>
        <v>0</v>
      </c>
      <c r="AM46" s="57">
        <f ca="1">IF(TblMagic[[#This Row],[Arcane Infusion]],12,IF(OFFSET(TblMagic[[#This Row],[Active Arc Infusion]],-1,0)&gt;0,OFFSET(TblMagic[[#This Row],[Active Arc Infusion]],-1,0)-1,0))</f>
        <v>0</v>
      </c>
      <c r="AN46" s="57">
        <f ca="1">IF(TblMagic[[#This Row],[Alchemists Flame]],12,IF(OFFSET(TblMagic[[#This Row],[Active Alchemists Flame]],-1,0)&gt;0,OFFSET(TblMagic[[#This Row],[Active Alchemists Flame]],-1,0)-1,0))</f>
        <v>0</v>
      </c>
      <c r="AO46" s="57">
        <f ca="1">IF(TblMagic[[#This Row],[Nightfall]],12,IF(OFFSET(TblMagic[[#This Row],[Active Nightfall]],-1,0)&gt;0,OFFSET(TblMagic[[#This Row],[Active Nightfall]],-1,0)-1,0))</f>
        <v>0</v>
      </c>
      <c r="AP46" s="57">
        <f ca="1">IF(TblMagic[[#This Row],[Favorable Terrain]],12,IF(OFFSET(TblMagic[[#This Row],[Active Favorable Terrain]],-1,0)&gt;0,OFFSET(TblMagic[[#This Row],[Active Favorable Terrain]],-1,0)-1,0))</f>
        <v>0</v>
      </c>
      <c r="AQ46" s="57">
        <f ca="1">IF(TblMagic[[#This Row],[Infernal Command]],12,IF(OFFSET(TblMagic[[#This Row],[Active Infernal Command]],-1,0)&gt;0,OFFSET(TblMagic[[#This Row],[Active Infernal Command]],-1,0)-1,0))</f>
        <v>0</v>
      </c>
    </row>
    <row r="47" spans="1:43" x14ac:dyDescent="0.2">
      <c r="A47" s="137">
        <f>TblRezone[[#This Row],[Hour]]</f>
        <v>44</v>
      </c>
      <c r="B47" s="154">
        <f ca="1">TblConstr[[#This Row],[Land]]</f>
        <v>50</v>
      </c>
      <c r="C47" s="94">
        <f ca="1">TblProd[[#This Row],[Mana]]</f>
        <v>0</v>
      </c>
      <c r="D47" s="156">
        <f ca="1">MIN(1,OFFSET(TblMagic[[#This Row],[Wiz str]],-1,0)+0.04+ROUNDDOWN(10*OFFSET(TblMili[[#This Row],[WG''s]],-1,0),0)+ tech_2_7*OFFSET(TblTech[[#This Row],[2-7]],-1,0) + tech_5_6*OFFSET(TblTech[[#This Row],[5-6]],-1,0) )-TblMagic[[#This Row],[Wiz str cost]]</f>
        <v>1</v>
      </c>
      <c r="E47" s="159">
        <f ca="1">OFFSET(TblMagic[[#This Row],[Time]],-1,0)+1/24</f>
        <v>46321.791666666562</v>
      </c>
      <c r="F47" s="156">
        <f ca="1">TblImps[[#This Row],[Population]]</f>
        <v>1</v>
      </c>
      <c r="G47" s="218"/>
      <c r="H47" s="218"/>
      <c r="I47" s="218"/>
      <c r="J47" s="218"/>
      <c r="K47" s="405"/>
      <c r="L47" s="218"/>
      <c r="M47" s="218"/>
      <c r="N47" s="218"/>
      <c r="O47" s="218"/>
      <c r="P47" s="218"/>
      <c r="Q47" s="218"/>
      <c r="R47" s="218"/>
      <c r="S47" s="218"/>
      <c r="T47" s="218"/>
      <c r="U47" s="218"/>
      <c r="V47" s="218"/>
      <c r="W47" s="218"/>
      <c r="X47" s="142"/>
      <c r="Y4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7" s="156">
        <f>SUMIF(TblMagic[[#This Row],[Gaia''s Watch]:[Useless spell]],1)*0.05</f>
        <v>0</v>
      </c>
      <c r="AA47" s="142"/>
      <c r="AB47" s="57">
        <f ca="1">IF(TblMagic[[#This Row],[Gaia''s Watch]],12,IF(OFFSET(TblMagic[[#This Row],[Active Gaia''s Watch]],-1,0)&gt;0,OFFSET(TblMagic[[#This Row],[Active Gaia''s Watch]],-1,0)-1,0))</f>
        <v>0</v>
      </c>
      <c r="AC47" s="57">
        <f ca="1">IF(TblMagic[[#This Row],[Mining Strength]],12,IF(OFFSET(TblMagic[[#This Row],[Active Mining Strength]],-1,0)&gt;0,OFFSET(TblMagic[[#This Row],[Active Mining Strength]],-1,0)-1,0))</f>
        <v>0</v>
      </c>
      <c r="AD47" s="57">
        <f ca="1">IF(TblMagic[[#This Row],[Ares Call]],12,IF(OFFSET(TblMagic[[#This Row],[Active Ares Call]],-1,0)&gt;0,OFFSET(TblMagic[[#This Row],[Active Ares Call]],-1,0)-1,0))</f>
        <v>0</v>
      </c>
      <c r="AE47" s="57">
        <f ca="1">IF(TblMagic[[#This Row],[Midas Touch]],12,IF(OFFSET(TblMagic[[#This Row],[Active Midas Touch]],-1,0)&gt;0,OFFSET(TblMagic[[#This Row],[Active Midas Touch]],-1,0)-1,0))</f>
        <v>0</v>
      </c>
      <c r="AF47" s="57">
        <f ca="1">IF(TblMagic[[#This Row],[Harmony]],12,IF(OFFSET(TblMagic[[#This Row],[Active Harmony]],-1,0)&gt;0,OFFSET(TblMagic[[#This Row],[Active Harmony]],-1,0)-1,0))</f>
        <v>0</v>
      </c>
      <c r="AG47" s="57">
        <f ca="1">IF(TblMagic[[#This Row],[Miner''s Sight]],12,IF(OFFSET(TblMagic[[#This Row],[Active Miner''s Sight]],-1,0)&gt;0,OFFSET(TblMagic[[#This Row],[Active Miner''s Sight]],-1,0)-1,0))</f>
        <v>0</v>
      </c>
      <c r="AH47" s="57">
        <f ca="1">IF(TblMagic[[#This Row],[Mechanical Genius]],12,IF(OFFSET(TblMagic[[#This Row],[Active Mechanical Genius]],-1,0)&gt;0,OFFSET(TblMagic[[#This Row],[Active Mechanical Genius]],-1,0)-1,0))</f>
        <v>0</v>
      </c>
      <c r="AI47" s="57">
        <f ca="1">IF(TblMagic[[#This Row],[Death and Decay]],12,IF(OFFSET(TblMagic[[#This Row],[Active DnD]],-1,0)&gt;0,OFFSET(TblMagic[[#This Row],[Active DnD]],-1,0)-1,0))</f>
        <v>0</v>
      </c>
      <c r="AJ47" s="57">
        <f ca="1">IF(TblMagic[[#This Row],[Killing Rage / Bloodrage / Crusade]],12,IF(OFFSET(TblMagic[[#This Row],[Active Warsong / Killing Rage / Bloodrage]],-1,0)&gt;0,OFFSET(TblMagic[[#This Row],[Active Warsong / Killing Rage / Bloodrage]],-1,0)-1,0))</f>
        <v>0</v>
      </c>
      <c r="AK47" s="57">
        <f ca="1">IF(TblMagic[[#This Row],[Gaia''s Blessing]],12,IF(OFFSET(TblMagic[[#This Row],[Active Gaia''s Blessing]],-1,0)&gt;0,OFFSET(TblMagic[[#This Row],[Active Gaia''s Blessing]],-1,0)-1,0))</f>
        <v>0</v>
      </c>
      <c r="AL47" s="57">
        <f ca="1">IF(TblMagic[[#This Row],[Howling]],12,IF(OFFSET(TblMagic[[#This Row],[Active Howling]],-1,0)&gt;0,OFFSET(TblMagic[[#This Row],[Active Howling]],-1,0)-1,0))</f>
        <v>0</v>
      </c>
      <c r="AM47" s="57">
        <f ca="1">IF(TblMagic[[#This Row],[Arcane Infusion]],12,IF(OFFSET(TblMagic[[#This Row],[Active Arc Infusion]],-1,0)&gt;0,OFFSET(TblMagic[[#This Row],[Active Arc Infusion]],-1,0)-1,0))</f>
        <v>0</v>
      </c>
      <c r="AN47" s="57">
        <f ca="1">IF(TblMagic[[#This Row],[Alchemists Flame]],12,IF(OFFSET(TblMagic[[#This Row],[Active Alchemists Flame]],-1,0)&gt;0,OFFSET(TblMagic[[#This Row],[Active Alchemists Flame]],-1,0)-1,0))</f>
        <v>0</v>
      </c>
      <c r="AO47" s="57">
        <f ca="1">IF(TblMagic[[#This Row],[Nightfall]],12,IF(OFFSET(TblMagic[[#This Row],[Active Nightfall]],-1,0)&gt;0,OFFSET(TblMagic[[#This Row],[Active Nightfall]],-1,0)-1,0))</f>
        <v>0</v>
      </c>
      <c r="AP47" s="57">
        <f ca="1">IF(TblMagic[[#This Row],[Favorable Terrain]],12,IF(OFFSET(TblMagic[[#This Row],[Active Favorable Terrain]],-1,0)&gt;0,OFFSET(TblMagic[[#This Row],[Active Favorable Terrain]],-1,0)-1,0))</f>
        <v>0</v>
      </c>
      <c r="AQ47" s="57">
        <f ca="1">IF(TblMagic[[#This Row],[Infernal Command]],12,IF(OFFSET(TblMagic[[#This Row],[Active Infernal Command]],-1,0)&gt;0,OFFSET(TblMagic[[#This Row],[Active Infernal Command]],-1,0)-1,0))</f>
        <v>0</v>
      </c>
    </row>
    <row r="48" spans="1:43" x14ac:dyDescent="0.2">
      <c r="A48" s="137">
        <f>TblRezone[[#This Row],[Hour]]</f>
        <v>45</v>
      </c>
      <c r="B48" s="154">
        <f ca="1">TblConstr[[#This Row],[Land]]</f>
        <v>50</v>
      </c>
      <c r="C48" s="94">
        <f ca="1">TblProd[[#This Row],[Mana]]</f>
        <v>0</v>
      </c>
      <c r="D48" s="156">
        <f ca="1">MIN(1,OFFSET(TblMagic[[#This Row],[Wiz str]],-1,0)+0.04+ROUNDDOWN(10*OFFSET(TblMili[[#This Row],[WG''s]],-1,0),0)+ tech_2_7*OFFSET(TblTech[[#This Row],[2-7]],-1,0) + tech_5_6*OFFSET(TblTech[[#This Row],[5-6]],-1,0) )-TblMagic[[#This Row],[Wiz str cost]]</f>
        <v>1</v>
      </c>
      <c r="E48" s="159">
        <f ca="1">OFFSET(TblMagic[[#This Row],[Time]],-1,0)+1/24</f>
        <v>46321.833333333227</v>
      </c>
      <c r="F48" s="156">
        <f ca="1">TblImps[[#This Row],[Population]]</f>
        <v>1</v>
      </c>
      <c r="G48" s="218"/>
      <c r="H48" s="218"/>
      <c r="I48" s="218"/>
      <c r="J48" s="218"/>
      <c r="K48" s="405"/>
      <c r="L48" s="218"/>
      <c r="M48" s="218"/>
      <c r="N48" s="218"/>
      <c r="O48" s="218"/>
      <c r="P48" s="218"/>
      <c r="Q48" s="218"/>
      <c r="R48" s="218"/>
      <c r="S48" s="218"/>
      <c r="T48" s="218"/>
      <c r="U48" s="218"/>
      <c r="V48" s="218"/>
      <c r="W48" s="218"/>
      <c r="X48" s="142"/>
      <c r="Y4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8" s="156">
        <f>SUMIF(TblMagic[[#This Row],[Gaia''s Watch]:[Useless spell]],1)*0.05</f>
        <v>0</v>
      </c>
      <c r="AA48" s="142"/>
      <c r="AB48" s="57">
        <f ca="1">IF(TblMagic[[#This Row],[Gaia''s Watch]],12,IF(OFFSET(TblMagic[[#This Row],[Active Gaia''s Watch]],-1,0)&gt;0,OFFSET(TblMagic[[#This Row],[Active Gaia''s Watch]],-1,0)-1,0))</f>
        <v>0</v>
      </c>
      <c r="AC48" s="57">
        <f ca="1">IF(TblMagic[[#This Row],[Mining Strength]],12,IF(OFFSET(TblMagic[[#This Row],[Active Mining Strength]],-1,0)&gt;0,OFFSET(TblMagic[[#This Row],[Active Mining Strength]],-1,0)-1,0))</f>
        <v>0</v>
      </c>
      <c r="AD48" s="57">
        <f ca="1">IF(TblMagic[[#This Row],[Ares Call]],12,IF(OFFSET(TblMagic[[#This Row],[Active Ares Call]],-1,0)&gt;0,OFFSET(TblMagic[[#This Row],[Active Ares Call]],-1,0)-1,0))</f>
        <v>0</v>
      </c>
      <c r="AE48" s="57">
        <f ca="1">IF(TblMagic[[#This Row],[Midas Touch]],12,IF(OFFSET(TblMagic[[#This Row],[Active Midas Touch]],-1,0)&gt;0,OFFSET(TblMagic[[#This Row],[Active Midas Touch]],-1,0)-1,0))</f>
        <v>0</v>
      </c>
      <c r="AF48" s="57">
        <f ca="1">IF(TblMagic[[#This Row],[Harmony]],12,IF(OFFSET(TblMagic[[#This Row],[Active Harmony]],-1,0)&gt;0,OFFSET(TblMagic[[#This Row],[Active Harmony]],-1,0)-1,0))</f>
        <v>0</v>
      </c>
      <c r="AG48" s="57">
        <f ca="1">IF(TblMagic[[#This Row],[Miner''s Sight]],12,IF(OFFSET(TblMagic[[#This Row],[Active Miner''s Sight]],-1,0)&gt;0,OFFSET(TblMagic[[#This Row],[Active Miner''s Sight]],-1,0)-1,0))</f>
        <v>0</v>
      </c>
      <c r="AH48" s="57">
        <f ca="1">IF(TblMagic[[#This Row],[Mechanical Genius]],12,IF(OFFSET(TblMagic[[#This Row],[Active Mechanical Genius]],-1,0)&gt;0,OFFSET(TblMagic[[#This Row],[Active Mechanical Genius]],-1,0)-1,0))</f>
        <v>0</v>
      </c>
      <c r="AI48" s="57">
        <f ca="1">IF(TblMagic[[#This Row],[Death and Decay]],12,IF(OFFSET(TblMagic[[#This Row],[Active DnD]],-1,0)&gt;0,OFFSET(TblMagic[[#This Row],[Active DnD]],-1,0)-1,0))</f>
        <v>0</v>
      </c>
      <c r="AJ48" s="57">
        <f ca="1">IF(TblMagic[[#This Row],[Killing Rage / Bloodrage / Crusade]],12,IF(OFFSET(TblMagic[[#This Row],[Active Warsong / Killing Rage / Bloodrage]],-1,0)&gt;0,OFFSET(TblMagic[[#This Row],[Active Warsong / Killing Rage / Bloodrage]],-1,0)-1,0))</f>
        <v>0</v>
      </c>
      <c r="AK48" s="57">
        <f ca="1">IF(TblMagic[[#This Row],[Gaia''s Blessing]],12,IF(OFFSET(TblMagic[[#This Row],[Active Gaia''s Blessing]],-1,0)&gt;0,OFFSET(TblMagic[[#This Row],[Active Gaia''s Blessing]],-1,0)-1,0))</f>
        <v>0</v>
      </c>
      <c r="AL48" s="57">
        <f ca="1">IF(TblMagic[[#This Row],[Howling]],12,IF(OFFSET(TblMagic[[#This Row],[Active Howling]],-1,0)&gt;0,OFFSET(TblMagic[[#This Row],[Active Howling]],-1,0)-1,0))</f>
        <v>0</v>
      </c>
      <c r="AM48" s="57">
        <f ca="1">IF(TblMagic[[#This Row],[Arcane Infusion]],12,IF(OFFSET(TblMagic[[#This Row],[Active Arc Infusion]],-1,0)&gt;0,OFFSET(TblMagic[[#This Row],[Active Arc Infusion]],-1,0)-1,0))</f>
        <v>0</v>
      </c>
      <c r="AN48" s="57">
        <f ca="1">IF(TblMagic[[#This Row],[Alchemists Flame]],12,IF(OFFSET(TblMagic[[#This Row],[Active Alchemists Flame]],-1,0)&gt;0,OFFSET(TblMagic[[#This Row],[Active Alchemists Flame]],-1,0)-1,0))</f>
        <v>0</v>
      </c>
      <c r="AO48" s="57">
        <f ca="1">IF(TblMagic[[#This Row],[Nightfall]],12,IF(OFFSET(TblMagic[[#This Row],[Active Nightfall]],-1,0)&gt;0,OFFSET(TblMagic[[#This Row],[Active Nightfall]],-1,0)-1,0))</f>
        <v>0</v>
      </c>
      <c r="AP48" s="57">
        <f ca="1">IF(TblMagic[[#This Row],[Favorable Terrain]],12,IF(OFFSET(TblMagic[[#This Row],[Active Favorable Terrain]],-1,0)&gt;0,OFFSET(TblMagic[[#This Row],[Active Favorable Terrain]],-1,0)-1,0))</f>
        <v>0</v>
      </c>
      <c r="AQ48" s="57">
        <f ca="1">IF(TblMagic[[#This Row],[Infernal Command]],12,IF(OFFSET(TblMagic[[#This Row],[Active Infernal Command]],-1,0)&gt;0,OFFSET(TblMagic[[#This Row],[Active Infernal Command]],-1,0)-1,0))</f>
        <v>0</v>
      </c>
    </row>
    <row r="49" spans="1:43" x14ac:dyDescent="0.2">
      <c r="A49" s="137">
        <f>TblRezone[[#This Row],[Hour]]</f>
        <v>46</v>
      </c>
      <c r="B49" s="154">
        <f ca="1">TblConstr[[#This Row],[Land]]</f>
        <v>50</v>
      </c>
      <c r="C49" s="94">
        <f ca="1">TblProd[[#This Row],[Mana]]</f>
        <v>0</v>
      </c>
      <c r="D49" s="156">
        <f ca="1">MIN(1,OFFSET(TblMagic[[#This Row],[Wiz str]],-1,0)+0.04+ROUNDDOWN(10*OFFSET(TblMili[[#This Row],[WG''s]],-1,0),0)+ tech_2_7*OFFSET(TblTech[[#This Row],[2-7]],-1,0) + tech_5_6*OFFSET(TblTech[[#This Row],[5-6]],-1,0) )-TblMagic[[#This Row],[Wiz str cost]]</f>
        <v>1</v>
      </c>
      <c r="E49" s="159">
        <f ca="1">OFFSET(TblMagic[[#This Row],[Time]],-1,0)+1/24</f>
        <v>46321.874999999891</v>
      </c>
      <c r="F49" s="156">
        <f ca="1">TblImps[[#This Row],[Population]]</f>
        <v>1</v>
      </c>
      <c r="G49" s="218"/>
      <c r="H49" s="218"/>
      <c r="I49" s="218"/>
      <c r="J49" s="218"/>
      <c r="K49" s="405"/>
      <c r="L49" s="218"/>
      <c r="M49" s="218"/>
      <c r="N49" s="218"/>
      <c r="O49" s="218"/>
      <c r="P49" s="218"/>
      <c r="Q49" s="218"/>
      <c r="R49" s="218"/>
      <c r="S49" s="218"/>
      <c r="T49" s="218"/>
      <c r="U49" s="218"/>
      <c r="V49" s="218"/>
      <c r="W49" s="218"/>
      <c r="X49" s="142"/>
      <c r="Y4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9" s="156">
        <f>SUMIF(TblMagic[[#This Row],[Gaia''s Watch]:[Useless spell]],1)*0.05</f>
        <v>0</v>
      </c>
      <c r="AA49" s="142"/>
      <c r="AB49" s="57">
        <f ca="1">IF(TblMagic[[#This Row],[Gaia''s Watch]],12,IF(OFFSET(TblMagic[[#This Row],[Active Gaia''s Watch]],-1,0)&gt;0,OFFSET(TblMagic[[#This Row],[Active Gaia''s Watch]],-1,0)-1,0))</f>
        <v>0</v>
      </c>
      <c r="AC49" s="57">
        <f ca="1">IF(TblMagic[[#This Row],[Mining Strength]],12,IF(OFFSET(TblMagic[[#This Row],[Active Mining Strength]],-1,0)&gt;0,OFFSET(TblMagic[[#This Row],[Active Mining Strength]],-1,0)-1,0))</f>
        <v>0</v>
      </c>
      <c r="AD49" s="57">
        <f ca="1">IF(TblMagic[[#This Row],[Ares Call]],12,IF(OFFSET(TblMagic[[#This Row],[Active Ares Call]],-1,0)&gt;0,OFFSET(TblMagic[[#This Row],[Active Ares Call]],-1,0)-1,0))</f>
        <v>0</v>
      </c>
      <c r="AE49" s="57">
        <f ca="1">IF(TblMagic[[#This Row],[Midas Touch]],12,IF(OFFSET(TblMagic[[#This Row],[Active Midas Touch]],-1,0)&gt;0,OFFSET(TblMagic[[#This Row],[Active Midas Touch]],-1,0)-1,0))</f>
        <v>0</v>
      </c>
      <c r="AF49" s="57">
        <f ca="1">IF(TblMagic[[#This Row],[Harmony]],12,IF(OFFSET(TblMagic[[#This Row],[Active Harmony]],-1,0)&gt;0,OFFSET(TblMagic[[#This Row],[Active Harmony]],-1,0)-1,0))</f>
        <v>0</v>
      </c>
      <c r="AG49" s="57">
        <f ca="1">IF(TblMagic[[#This Row],[Miner''s Sight]],12,IF(OFFSET(TblMagic[[#This Row],[Active Miner''s Sight]],-1,0)&gt;0,OFFSET(TblMagic[[#This Row],[Active Miner''s Sight]],-1,0)-1,0))</f>
        <v>0</v>
      </c>
      <c r="AH49" s="57">
        <f ca="1">IF(TblMagic[[#This Row],[Mechanical Genius]],12,IF(OFFSET(TblMagic[[#This Row],[Active Mechanical Genius]],-1,0)&gt;0,OFFSET(TblMagic[[#This Row],[Active Mechanical Genius]],-1,0)-1,0))</f>
        <v>0</v>
      </c>
      <c r="AI49" s="57">
        <f ca="1">IF(TblMagic[[#This Row],[Death and Decay]],12,IF(OFFSET(TblMagic[[#This Row],[Active DnD]],-1,0)&gt;0,OFFSET(TblMagic[[#This Row],[Active DnD]],-1,0)-1,0))</f>
        <v>0</v>
      </c>
      <c r="AJ49" s="57">
        <f ca="1">IF(TblMagic[[#This Row],[Killing Rage / Bloodrage / Crusade]],12,IF(OFFSET(TblMagic[[#This Row],[Active Warsong / Killing Rage / Bloodrage]],-1,0)&gt;0,OFFSET(TblMagic[[#This Row],[Active Warsong / Killing Rage / Bloodrage]],-1,0)-1,0))</f>
        <v>0</v>
      </c>
      <c r="AK49" s="57">
        <f ca="1">IF(TblMagic[[#This Row],[Gaia''s Blessing]],12,IF(OFFSET(TblMagic[[#This Row],[Active Gaia''s Blessing]],-1,0)&gt;0,OFFSET(TblMagic[[#This Row],[Active Gaia''s Blessing]],-1,0)-1,0))</f>
        <v>0</v>
      </c>
      <c r="AL49" s="57">
        <f ca="1">IF(TblMagic[[#This Row],[Howling]],12,IF(OFFSET(TblMagic[[#This Row],[Active Howling]],-1,0)&gt;0,OFFSET(TblMagic[[#This Row],[Active Howling]],-1,0)-1,0))</f>
        <v>0</v>
      </c>
      <c r="AM49" s="57">
        <f ca="1">IF(TblMagic[[#This Row],[Arcane Infusion]],12,IF(OFFSET(TblMagic[[#This Row],[Active Arc Infusion]],-1,0)&gt;0,OFFSET(TblMagic[[#This Row],[Active Arc Infusion]],-1,0)-1,0))</f>
        <v>0</v>
      </c>
      <c r="AN49" s="57">
        <f ca="1">IF(TblMagic[[#This Row],[Alchemists Flame]],12,IF(OFFSET(TblMagic[[#This Row],[Active Alchemists Flame]],-1,0)&gt;0,OFFSET(TblMagic[[#This Row],[Active Alchemists Flame]],-1,0)-1,0))</f>
        <v>0</v>
      </c>
      <c r="AO49" s="57">
        <f ca="1">IF(TblMagic[[#This Row],[Nightfall]],12,IF(OFFSET(TblMagic[[#This Row],[Active Nightfall]],-1,0)&gt;0,OFFSET(TblMagic[[#This Row],[Active Nightfall]],-1,0)-1,0))</f>
        <v>0</v>
      </c>
      <c r="AP49" s="57">
        <f ca="1">IF(TblMagic[[#This Row],[Favorable Terrain]],12,IF(OFFSET(TblMagic[[#This Row],[Active Favorable Terrain]],-1,0)&gt;0,OFFSET(TblMagic[[#This Row],[Active Favorable Terrain]],-1,0)-1,0))</f>
        <v>0</v>
      </c>
      <c r="AQ49" s="57">
        <f ca="1">IF(TblMagic[[#This Row],[Infernal Command]],12,IF(OFFSET(TblMagic[[#This Row],[Active Infernal Command]],-1,0)&gt;0,OFFSET(TblMagic[[#This Row],[Active Infernal Command]],-1,0)-1,0))</f>
        <v>0</v>
      </c>
    </row>
    <row r="50" spans="1:43" x14ac:dyDescent="0.2">
      <c r="A50" s="137">
        <f>TblRezone[[#This Row],[Hour]]</f>
        <v>47</v>
      </c>
      <c r="B50" s="154">
        <f ca="1">TblConstr[[#This Row],[Land]]</f>
        <v>50</v>
      </c>
      <c r="C50" s="94">
        <f ca="1">TblProd[[#This Row],[Mana]]</f>
        <v>0</v>
      </c>
      <c r="D50" s="156">
        <f ca="1">MIN(1,OFFSET(TblMagic[[#This Row],[Wiz str]],-1,0)+0.04+ROUNDDOWN(10*OFFSET(TblMili[[#This Row],[WG''s]],-1,0),0)+ tech_2_7*OFFSET(TblTech[[#This Row],[2-7]],-1,0) + tech_5_6*OFFSET(TblTech[[#This Row],[5-6]],-1,0) )-TblMagic[[#This Row],[Wiz str cost]]</f>
        <v>1</v>
      </c>
      <c r="E50" s="159">
        <f ca="1">OFFSET(TblMagic[[#This Row],[Time]],-1,0)+1/24</f>
        <v>46321.916666666555</v>
      </c>
      <c r="F50" s="156">
        <f ca="1">TblImps[[#This Row],[Population]]</f>
        <v>1</v>
      </c>
      <c r="G50" s="218"/>
      <c r="H50" s="218"/>
      <c r="I50" s="218"/>
      <c r="J50" s="218"/>
      <c r="K50" s="405"/>
      <c r="L50" s="218"/>
      <c r="M50" s="218"/>
      <c r="N50" s="218"/>
      <c r="O50" s="218"/>
      <c r="P50" s="218"/>
      <c r="Q50" s="218"/>
      <c r="R50" s="218"/>
      <c r="S50" s="218"/>
      <c r="T50" s="218"/>
      <c r="U50" s="218"/>
      <c r="V50" s="218"/>
      <c r="W50" s="218"/>
      <c r="X50" s="142"/>
      <c r="Y5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0" s="156">
        <f>SUMIF(TblMagic[[#This Row],[Gaia''s Watch]:[Useless spell]],1)*0.05</f>
        <v>0</v>
      </c>
      <c r="AA50" s="142"/>
      <c r="AB50" s="57">
        <f ca="1">IF(TblMagic[[#This Row],[Gaia''s Watch]],12,IF(OFFSET(TblMagic[[#This Row],[Active Gaia''s Watch]],-1,0)&gt;0,OFFSET(TblMagic[[#This Row],[Active Gaia''s Watch]],-1,0)-1,0))</f>
        <v>0</v>
      </c>
      <c r="AC50" s="57">
        <f ca="1">IF(TblMagic[[#This Row],[Mining Strength]],12,IF(OFFSET(TblMagic[[#This Row],[Active Mining Strength]],-1,0)&gt;0,OFFSET(TblMagic[[#This Row],[Active Mining Strength]],-1,0)-1,0))</f>
        <v>0</v>
      </c>
      <c r="AD50" s="57">
        <f ca="1">IF(TblMagic[[#This Row],[Ares Call]],12,IF(OFFSET(TblMagic[[#This Row],[Active Ares Call]],-1,0)&gt;0,OFFSET(TblMagic[[#This Row],[Active Ares Call]],-1,0)-1,0))</f>
        <v>0</v>
      </c>
      <c r="AE50" s="57">
        <f ca="1">IF(TblMagic[[#This Row],[Midas Touch]],12,IF(OFFSET(TblMagic[[#This Row],[Active Midas Touch]],-1,0)&gt;0,OFFSET(TblMagic[[#This Row],[Active Midas Touch]],-1,0)-1,0))</f>
        <v>0</v>
      </c>
      <c r="AF50" s="57">
        <f ca="1">IF(TblMagic[[#This Row],[Harmony]],12,IF(OFFSET(TblMagic[[#This Row],[Active Harmony]],-1,0)&gt;0,OFFSET(TblMagic[[#This Row],[Active Harmony]],-1,0)-1,0))</f>
        <v>0</v>
      </c>
      <c r="AG50" s="57">
        <f ca="1">IF(TblMagic[[#This Row],[Miner''s Sight]],12,IF(OFFSET(TblMagic[[#This Row],[Active Miner''s Sight]],-1,0)&gt;0,OFFSET(TblMagic[[#This Row],[Active Miner''s Sight]],-1,0)-1,0))</f>
        <v>0</v>
      </c>
      <c r="AH50" s="57">
        <f ca="1">IF(TblMagic[[#This Row],[Mechanical Genius]],12,IF(OFFSET(TblMagic[[#This Row],[Active Mechanical Genius]],-1,0)&gt;0,OFFSET(TblMagic[[#This Row],[Active Mechanical Genius]],-1,0)-1,0))</f>
        <v>0</v>
      </c>
      <c r="AI50" s="57">
        <f ca="1">IF(TblMagic[[#This Row],[Death and Decay]],12,IF(OFFSET(TblMagic[[#This Row],[Active DnD]],-1,0)&gt;0,OFFSET(TblMagic[[#This Row],[Active DnD]],-1,0)-1,0))</f>
        <v>0</v>
      </c>
      <c r="AJ50" s="57">
        <f ca="1">IF(TblMagic[[#This Row],[Killing Rage / Bloodrage / Crusade]],12,IF(OFFSET(TblMagic[[#This Row],[Active Warsong / Killing Rage / Bloodrage]],-1,0)&gt;0,OFFSET(TblMagic[[#This Row],[Active Warsong / Killing Rage / Bloodrage]],-1,0)-1,0))</f>
        <v>0</v>
      </c>
      <c r="AK50" s="57">
        <f ca="1">IF(TblMagic[[#This Row],[Gaia''s Blessing]],12,IF(OFFSET(TblMagic[[#This Row],[Active Gaia''s Blessing]],-1,0)&gt;0,OFFSET(TblMagic[[#This Row],[Active Gaia''s Blessing]],-1,0)-1,0))</f>
        <v>0</v>
      </c>
      <c r="AL50" s="57">
        <f ca="1">IF(TblMagic[[#This Row],[Howling]],12,IF(OFFSET(TblMagic[[#This Row],[Active Howling]],-1,0)&gt;0,OFFSET(TblMagic[[#This Row],[Active Howling]],-1,0)-1,0))</f>
        <v>0</v>
      </c>
      <c r="AM50" s="57">
        <f ca="1">IF(TblMagic[[#This Row],[Arcane Infusion]],12,IF(OFFSET(TblMagic[[#This Row],[Active Arc Infusion]],-1,0)&gt;0,OFFSET(TblMagic[[#This Row],[Active Arc Infusion]],-1,0)-1,0))</f>
        <v>0</v>
      </c>
      <c r="AN50" s="57">
        <f ca="1">IF(TblMagic[[#This Row],[Alchemists Flame]],12,IF(OFFSET(TblMagic[[#This Row],[Active Alchemists Flame]],-1,0)&gt;0,OFFSET(TblMagic[[#This Row],[Active Alchemists Flame]],-1,0)-1,0))</f>
        <v>0</v>
      </c>
      <c r="AO50" s="57">
        <f ca="1">IF(TblMagic[[#This Row],[Nightfall]],12,IF(OFFSET(TblMagic[[#This Row],[Active Nightfall]],-1,0)&gt;0,OFFSET(TblMagic[[#This Row],[Active Nightfall]],-1,0)-1,0))</f>
        <v>0</v>
      </c>
      <c r="AP50" s="57">
        <f ca="1">IF(TblMagic[[#This Row],[Favorable Terrain]],12,IF(OFFSET(TblMagic[[#This Row],[Active Favorable Terrain]],-1,0)&gt;0,OFFSET(TblMagic[[#This Row],[Active Favorable Terrain]],-1,0)-1,0))</f>
        <v>0</v>
      </c>
      <c r="AQ50" s="57">
        <f ca="1">IF(TblMagic[[#This Row],[Infernal Command]],12,IF(OFFSET(TblMagic[[#This Row],[Active Infernal Command]],-1,0)&gt;0,OFFSET(TblMagic[[#This Row],[Active Infernal Command]],-1,0)-1,0))</f>
        <v>0</v>
      </c>
    </row>
    <row r="51" spans="1:43" x14ac:dyDescent="0.2">
      <c r="A51" s="137">
        <f>TblRezone[[#This Row],[Hour]]</f>
        <v>48</v>
      </c>
      <c r="B51" s="154">
        <f ca="1">TblConstr[[#This Row],[Land]]</f>
        <v>50</v>
      </c>
      <c r="C51" s="94">
        <f ca="1">TblProd[[#This Row],[Mana]]</f>
        <v>0</v>
      </c>
      <c r="D51" s="156">
        <f ca="1">MIN(1,OFFSET(TblMagic[[#This Row],[Wiz str]],-1,0)+0.04+ROUNDDOWN(10*OFFSET(TblMili[[#This Row],[WG''s]],-1,0),0)+ tech_2_7*OFFSET(TblTech[[#This Row],[2-7]],-1,0) + tech_5_6*OFFSET(TblTech[[#This Row],[5-6]],-1,0) )-TblMagic[[#This Row],[Wiz str cost]]</f>
        <v>1</v>
      </c>
      <c r="E51" s="159">
        <f ca="1">OFFSET(TblMagic[[#This Row],[Time]],-1,0)+1/24</f>
        <v>46321.958333333219</v>
      </c>
      <c r="F51" s="156">
        <f ca="1">TblImps[[#This Row],[Population]]</f>
        <v>1</v>
      </c>
      <c r="G51" s="218"/>
      <c r="H51" s="218"/>
      <c r="I51" s="218"/>
      <c r="J51" s="218"/>
      <c r="K51" s="405"/>
      <c r="L51" s="218"/>
      <c r="M51" s="218"/>
      <c r="N51" s="218"/>
      <c r="O51" s="218"/>
      <c r="P51" s="218"/>
      <c r="Q51" s="218"/>
      <c r="R51" s="218"/>
      <c r="S51" s="218"/>
      <c r="T51" s="218"/>
      <c r="U51" s="218"/>
      <c r="V51" s="218"/>
      <c r="W51" s="218"/>
      <c r="X51" s="142"/>
      <c r="Y5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1" s="156">
        <f>SUMIF(TblMagic[[#This Row],[Gaia''s Watch]:[Useless spell]],1)*0.05</f>
        <v>0</v>
      </c>
      <c r="AA51" s="142"/>
      <c r="AB51" s="57">
        <f ca="1">IF(TblMagic[[#This Row],[Gaia''s Watch]],12,IF(OFFSET(TblMagic[[#This Row],[Active Gaia''s Watch]],-1,0)&gt;0,OFFSET(TblMagic[[#This Row],[Active Gaia''s Watch]],-1,0)-1,0))</f>
        <v>0</v>
      </c>
      <c r="AC51" s="57">
        <f ca="1">IF(TblMagic[[#This Row],[Mining Strength]],12,IF(OFFSET(TblMagic[[#This Row],[Active Mining Strength]],-1,0)&gt;0,OFFSET(TblMagic[[#This Row],[Active Mining Strength]],-1,0)-1,0))</f>
        <v>0</v>
      </c>
      <c r="AD51" s="57">
        <f ca="1">IF(TblMagic[[#This Row],[Ares Call]],12,IF(OFFSET(TblMagic[[#This Row],[Active Ares Call]],-1,0)&gt;0,OFFSET(TblMagic[[#This Row],[Active Ares Call]],-1,0)-1,0))</f>
        <v>0</v>
      </c>
      <c r="AE51" s="57">
        <f ca="1">IF(TblMagic[[#This Row],[Midas Touch]],12,IF(OFFSET(TblMagic[[#This Row],[Active Midas Touch]],-1,0)&gt;0,OFFSET(TblMagic[[#This Row],[Active Midas Touch]],-1,0)-1,0))</f>
        <v>0</v>
      </c>
      <c r="AF51" s="57">
        <f ca="1">IF(TblMagic[[#This Row],[Harmony]],12,IF(OFFSET(TblMagic[[#This Row],[Active Harmony]],-1,0)&gt;0,OFFSET(TblMagic[[#This Row],[Active Harmony]],-1,0)-1,0))</f>
        <v>0</v>
      </c>
      <c r="AG51" s="57">
        <f ca="1">IF(TblMagic[[#This Row],[Miner''s Sight]],12,IF(OFFSET(TblMagic[[#This Row],[Active Miner''s Sight]],-1,0)&gt;0,OFFSET(TblMagic[[#This Row],[Active Miner''s Sight]],-1,0)-1,0))</f>
        <v>0</v>
      </c>
      <c r="AH51" s="57">
        <f ca="1">IF(TblMagic[[#This Row],[Mechanical Genius]],12,IF(OFFSET(TblMagic[[#This Row],[Active Mechanical Genius]],-1,0)&gt;0,OFFSET(TblMagic[[#This Row],[Active Mechanical Genius]],-1,0)-1,0))</f>
        <v>0</v>
      </c>
      <c r="AI51" s="57">
        <f ca="1">IF(TblMagic[[#This Row],[Death and Decay]],12,IF(OFFSET(TblMagic[[#This Row],[Active DnD]],-1,0)&gt;0,OFFSET(TblMagic[[#This Row],[Active DnD]],-1,0)-1,0))</f>
        <v>0</v>
      </c>
      <c r="AJ51" s="57">
        <f ca="1">IF(TblMagic[[#This Row],[Killing Rage / Bloodrage / Crusade]],12,IF(OFFSET(TblMagic[[#This Row],[Active Warsong / Killing Rage / Bloodrage]],-1,0)&gt;0,OFFSET(TblMagic[[#This Row],[Active Warsong / Killing Rage / Bloodrage]],-1,0)-1,0))</f>
        <v>0</v>
      </c>
      <c r="AK51" s="57">
        <f ca="1">IF(TblMagic[[#This Row],[Gaia''s Blessing]],12,IF(OFFSET(TblMagic[[#This Row],[Active Gaia''s Blessing]],-1,0)&gt;0,OFFSET(TblMagic[[#This Row],[Active Gaia''s Blessing]],-1,0)-1,0))</f>
        <v>0</v>
      </c>
      <c r="AL51" s="57">
        <f ca="1">IF(TblMagic[[#This Row],[Howling]],12,IF(OFFSET(TblMagic[[#This Row],[Active Howling]],-1,0)&gt;0,OFFSET(TblMagic[[#This Row],[Active Howling]],-1,0)-1,0))</f>
        <v>0</v>
      </c>
      <c r="AM51" s="57">
        <f ca="1">IF(TblMagic[[#This Row],[Arcane Infusion]],12,IF(OFFSET(TblMagic[[#This Row],[Active Arc Infusion]],-1,0)&gt;0,OFFSET(TblMagic[[#This Row],[Active Arc Infusion]],-1,0)-1,0))</f>
        <v>0</v>
      </c>
      <c r="AN51" s="57">
        <f ca="1">IF(TblMagic[[#This Row],[Alchemists Flame]],12,IF(OFFSET(TblMagic[[#This Row],[Active Alchemists Flame]],-1,0)&gt;0,OFFSET(TblMagic[[#This Row],[Active Alchemists Flame]],-1,0)-1,0))</f>
        <v>0</v>
      </c>
      <c r="AO51" s="57">
        <f ca="1">IF(TblMagic[[#This Row],[Nightfall]],12,IF(OFFSET(TblMagic[[#This Row],[Active Nightfall]],-1,0)&gt;0,OFFSET(TblMagic[[#This Row],[Active Nightfall]],-1,0)-1,0))</f>
        <v>0</v>
      </c>
      <c r="AP51" s="57">
        <f ca="1">IF(TblMagic[[#This Row],[Favorable Terrain]],12,IF(OFFSET(TblMagic[[#This Row],[Active Favorable Terrain]],-1,0)&gt;0,OFFSET(TblMagic[[#This Row],[Active Favorable Terrain]],-1,0)-1,0))</f>
        <v>0</v>
      </c>
      <c r="AQ51" s="57">
        <f ca="1">IF(TblMagic[[#This Row],[Infernal Command]],12,IF(OFFSET(TblMagic[[#This Row],[Active Infernal Command]],-1,0)&gt;0,OFFSET(TblMagic[[#This Row],[Active Infernal Command]],-1,0)-1,0))</f>
        <v>0</v>
      </c>
    </row>
    <row r="52" spans="1:43" s="5" customFormat="1" x14ac:dyDescent="0.2">
      <c r="A52" s="144">
        <f>TblRezone[[#This Row],[Hour]]</f>
        <v>49</v>
      </c>
      <c r="B52" s="162">
        <f ca="1">TblConstr[[#This Row],[Land]]</f>
        <v>50</v>
      </c>
      <c r="C52" s="35">
        <f ca="1">TblProd[[#This Row],[Mana]]</f>
        <v>0</v>
      </c>
      <c r="D52" s="164">
        <f ca="1">MIN(1,OFFSET(TblMagic[[#This Row],[Wiz str]],-1,0)+0.04+ROUNDDOWN(10*OFFSET(TblMili[[#This Row],[WG''s]],-1,0),0)+ tech_2_7*OFFSET(TblTech[[#This Row],[2-7]],-1,0) + tech_5_6*OFFSET(TblTech[[#This Row],[5-6]],-1,0) )-TblMagic[[#This Row],[Wiz str cost]]</f>
        <v>1</v>
      </c>
      <c r="E52" s="167">
        <f ca="1">OFFSET(TblMagic[[#This Row],[Time]],-1,0)+1/24</f>
        <v>46321.999999999884</v>
      </c>
      <c r="F52" s="164">
        <f ca="1">TblImps[[#This Row],[Population]]</f>
        <v>1</v>
      </c>
      <c r="G52" s="233"/>
      <c r="H52" s="233"/>
      <c r="I52" s="233"/>
      <c r="J52" s="233"/>
      <c r="K52" s="406"/>
      <c r="L52" s="233"/>
      <c r="M52" s="233"/>
      <c r="N52" s="233"/>
      <c r="O52" s="233"/>
      <c r="P52" s="233"/>
      <c r="Q52" s="233"/>
      <c r="R52" s="233"/>
      <c r="S52" s="233"/>
      <c r="T52" s="233"/>
      <c r="U52" s="233"/>
      <c r="V52" s="233"/>
      <c r="W52" s="233"/>
      <c r="X52" s="149"/>
      <c r="Y52" s="35">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2" s="164">
        <f>SUMIF(TblMagic[[#This Row],[Gaia''s Watch]:[Useless spell]],1)*0.05</f>
        <v>0</v>
      </c>
      <c r="AA52" s="149"/>
      <c r="AB52" s="28">
        <f ca="1">IF(TblMagic[[#This Row],[Gaia''s Watch]],12,IF(OFFSET(TblMagic[[#This Row],[Active Gaia''s Watch]],-1,0)&gt;0,OFFSET(TblMagic[[#This Row],[Active Gaia''s Watch]],-1,0)-1,0))</f>
        <v>0</v>
      </c>
      <c r="AC52" s="28">
        <f ca="1">IF(TblMagic[[#This Row],[Mining Strength]],12,IF(OFFSET(TblMagic[[#This Row],[Active Mining Strength]],-1,0)&gt;0,OFFSET(TblMagic[[#This Row],[Active Mining Strength]],-1,0)-1,0))</f>
        <v>0</v>
      </c>
      <c r="AD52" s="28">
        <f ca="1">IF(TblMagic[[#This Row],[Ares Call]],12,IF(OFFSET(TblMagic[[#This Row],[Active Ares Call]],-1,0)&gt;0,OFFSET(TblMagic[[#This Row],[Active Ares Call]],-1,0)-1,0))</f>
        <v>0</v>
      </c>
      <c r="AE52" s="28">
        <f ca="1">IF(TblMagic[[#This Row],[Midas Touch]],12,IF(OFFSET(TblMagic[[#This Row],[Active Midas Touch]],-1,0)&gt;0,OFFSET(TblMagic[[#This Row],[Active Midas Touch]],-1,0)-1,0))</f>
        <v>0</v>
      </c>
      <c r="AF52" s="28">
        <f ca="1">IF(TblMagic[[#This Row],[Harmony]],12,IF(OFFSET(TblMagic[[#This Row],[Active Harmony]],-1,0)&gt;0,OFFSET(TblMagic[[#This Row],[Active Harmony]],-1,0)-1,0))</f>
        <v>0</v>
      </c>
      <c r="AG52" s="28">
        <f ca="1">IF(TblMagic[[#This Row],[Miner''s Sight]],12,IF(OFFSET(TblMagic[[#This Row],[Active Miner''s Sight]],-1,0)&gt;0,OFFSET(TblMagic[[#This Row],[Active Miner''s Sight]],-1,0)-1,0))</f>
        <v>0</v>
      </c>
      <c r="AH52" s="28">
        <f ca="1">IF(TblMagic[[#This Row],[Mechanical Genius]],12,IF(OFFSET(TblMagic[[#This Row],[Active Mechanical Genius]],-1,0)&gt;0,OFFSET(TblMagic[[#This Row],[Active Mechanical Genius]],-1,0)-1,0))</f>
        <v>0</v>
      </c>
      <c r="AI52" s="28">
        <f ca="1">IF(TblMagic[[#This Row],[Death and Decay]],12,IF(OFFSET(TblMagic[[#This Row],[Active DnD]],-1,0)&gt;0,OFFSET(TblMagic[[#This Row],[Active DnD]],-1,0)-1,0))</f>
        <v>0</v>
      </c>
      <c r="AJ52" s="28">
        <f ca="1">IF(TblMagic[[#This Row],[Killing Rage / Bloodrage / Crusade]],12,IF(OFFSET(TblMagic[[#This Row],[Active Warsong / Killing Rage / Bloodrage]],-1,0)&gt;0,OFFSET(TblMagic[[#This Row],[Active Warsong / Killing Rage / Bloodrage]],-1,0)-1,0))</f>
        <v>0</v>
      </c>
      <c r="AK52" s="28">
        <f ca="1">IF(TblMagic[[#This Row],[Gaia''s Blessing]],12,IF(OFFSET(TblMagic[[#This Row],[Active Gaia''s Blessing]],-1,0)&gt;0,OFFSET(TblMagic[[#This Row],[Active Gaia''s Blessing]],-1,0)-1,0))</f>
        <v>0</v>
      </c>
      <c r="AL52" s="28">
        <f ca="1">IF(TblMagic[[#This Row],[Howling]],12,IF(OFFSET(TblMagic[[#This Row],[Active Howling]],-1,0)&gt;0,OFFSET(TblMagic[[#This Row],[Active Howling]],-1,0)-1,0))</f>
        <v>0</v>
      </c>
      <c r="AM52" s="28">
        <f ca="1">IF(TblMagic[[#This Row],[Arcane Infusion]],12,IF(OFFSET(TblMagic[[#This Row],[Active Arc Infusion]],-1,0)&gt;0,OFFSET(TblMagic[[#This Row],[Active Arc Infusion]],-1,0)-1,0))</f>
        <v>0</v>
      </c>
      <c r="AN52" s="28">
        <f ca="1">IF(TblMagic[[#This Row],[Alchemists Flame]],12,IF(OFFSET(TblMagic[[#This Row],[Active Alchemists Flame]],-1,0)&gt;0,OFFSET(TblMagic[[#This Row],[Active Alchemists Flame]],-1,0)-1,0))</f>
        <v>0</v>
      </c>
      <c r="AO52" s="28">
        <f ca="1">IF(TblMagic[[#This Row],[Nightfall]],12,IF(OFFSET(TblMagic[[#This Row],[Active Nightfall]],-1,0)&gt;0,OFFSET(TblMagic[[#This Row],[Active Nightfall]],-1,0)-1,0))</f>
        <v>0</v>
      </c>
      <c r="AP52" s="28">
        <f ca="1">IF(TblMagic[[#This Row],[Favorable Terrain]],12,IF(OFFSET(TblMagic[[#This Row],[Active Favorable Terrain]],-1,0)&gt;0,OFFSET(TblMagic[[#This Row],[Active Favorable Terrain]],-1,0)-1,0))</f>
        <v>0</v>
      </c>
      <c r="AQ52" s="28">
        <f ca="1">IF(TblMagic[[#This Row],[Infernal Command]],12,IF(OFFSET(TblMagic[[#This Row],[Active Infernal Command]],-1,0)&gt;0,OFFSET(TblMagic[[#This Row],[Active Infernal Command]],-1,0)-1,0))</f>
        <v>0</v>
      </c>
    </row>
    <row r="53" spans="1:43" x14ac:dyDescent="0.2">
      <c r="A53" s="137">
        <f>TblRezone[[#This Row],[Hour]]</f>
        <v>50</v>
      </c>
      <c r="B53" s="154">
        <f ca="1">TblConstr[[#This Row],[Land]]</f>
        <v>50</v>
      </c>
      <c r="C53" s="94">
        <f ca="1">TblProd[[#This Row],[Mana]]</f>
        <v>0</v>
      </c>
      <c r="D53" s="156">
        <f ca="1">MIN(1,OFFSET(TblMagic[[#This Row],[Wiz str]],-1,0)+0.04+ROUNDDOWN(10*OFFSET(TblMili[[#This Row],[WG''s]],-1,0),0)+ tech_2_7*OFFSET(TblTech[[#This Row],[2-7]],-1,0) + tech_5_6*OFFSET(TblTech[[#This Row],[5-6]],-1,0) )-TblMagic[[#This Row],[Wiz str cost]]</f>
        <v>1</v>
      </c>
      <c r="E53" s="159">
        <f ca="1">OFFSET(TblMagic[[#This Row],[Time]],-1,0)+1/24</f>
        <v>46322.041666666548</v>
      </c>
      <c r="F53" s="156">
        <f ca="1">TblImps[[#This Row],[Population]]</f>
        <v>1</v>
      </c>
      <c r="G53" s="218"/>
      <c r="H53" s="218"/>
      <c r="I53" s="218"/>
      <c r="J53" s="218"/>
      <c r="K53" s="405"/>
      <c r="L53" s="218"/>
      <c r="M53" s="218"/>
      <c r="N53" s="218"/>
      <c r="O53" s="218"/>
      <c r="P53" s="218"/>
      <c r="Q53" s="218"/>
      <c r="R53" s="218"/>
      <c r="S53" s="218"/>
      <c r="T53" s="218"/>
      <c r="U53" s="218"/>
      <c r="V53" s="218"/>
      <c r="W53" s="218"/>
      <c r="X53" s="142"/>
      <c r="Y5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3" s="156">
        <f>SUMIF(TblMagic[[#This Row],[Gaia''s Watch]:[Useless spell]],1)*0.05</f>
        <v>0</v>
      </c>
      <c r="AA53" s="142"/>
      <c r="AB53" s="57">
        <f ca="1">IF(TblMagic[[#This Row],[Gaia''s Watch]],12,IF(OFFSET(TblMagic[[#This Row],[Active Gaia''s Watch]],-1,0)&gt;0,OFFSET(TblMagic[[#This Row],[Active Gaia''s Watch]],-1,0)-1,0))</f>
        <v>0</v>
      </c>
      <c r="AC53" s="57">
        <f ca="1">IF(TblMagic[[#This Row],[Mining Strength]],12,IF(OFFSET(TblMagic[[#This Row],[Active Mining Strength]],-1,0)&gt;0,OFFSET(TblMagic[[#This Row],[Active Mining Strength]],-1,0)-1,0))</f>
        <v>0</v>
      </c>
      <c r="AD53" s="57">
        <f ca="1">IF(TblMagic[[#This Row],[Ares Call]],12,IF(OFFSET(TblMagic[[#This Row],[Active Ares Call]],-1,0)&gt;0,OFFSET(TblMagic[[#This Row],[Active Ares Call]],-1,0)-1,0))</f>
        <v>0</v>
      </c>
      <c r="AE53" s="57">
        <f ca="1">IF(TblMagic[[#This Row],[Midas Touch]],12,IF(OFFSET(TblMagic[[#This Row],[Active Midas Touch]],-1,0)&gt;0,OFFSET(TblMagic[[#This Row],[Active Midas Touch]],-1,0)-1,0))</f>
        <v>0</v>
      </c>
      <c r="AF53" s="57">
        <f ca="1">IF(TblMagic[[#This Row],[Harmony]],12,IF(OFFSET(TblMagic[[#This Row],[Active Harmony]],-1,0)&gt;0,OFFSET(TblMagic[[#This Row],[Active Harmony]],-1,0)-1,0))</f>
        <v>0</v>
      </c>
      <c r="AG53" s="57">
        <f ca="1">IF(TblMagic[[#This Row],[Miner''s Sight]],12,IF(OFFSET(TblMagic[[#This Row],[Active Miner''s Sight]],-1,0)&gt;0,OFFSET(TblMagic[[#This Row],[Active Miner''s Sight]],-1,0)-1,0))</f>
        <v>0</v>
      </c>
      <c r="AH53" s="57">
        <f ca="1">IF(TblMagic[[#This Row],[Mechanical Genius]],12,IF(OFFSET(TblMagic[[#This Row],[Active Mechanical Genius]],-1,0)&gt;0,OFFSET(TblMagic[[#This Row],[Active Mechanical Genius]],-1,0)-1,0))</f>
        <v>0</v>
      </c>
      <c r="AI53" s="57">
        <f ca="1">IF(TblMagic[[#This Row],[Death and Decay]],12,IF(OFFSET(TblMagic[[#This Row],[Active DnD]],-1,0)&gt;0,OFFSET(TblMagic[[#This Row],[Active DnD]],-1,0)-1,0))</f>
        <v>0</v>
      </c>
      <c r="AJ53" s="57">
        <f ca="1">IF(TblMagic[[#This Row],[Killing Rage / Bloodrage / Crusade]],12,IF(OFFSET(TblMagic[[#This Row],[Active Warsong / Killing Rage / Bloodrage]],-1,0)&gt;0,OFFSET(TblMagic[[#This Row],[Active Warsong / Killing Rage / Bloodrage]],-1,0)-1,0))</f>
        <v>0</v>
      </c>
      <c r="AK53" s="57">
        <f ca="1">IF(TblMagic[[#This Row],[Gaia''s Blessing]],12,IF(OFFSET(TblMagic[[#This Row],[Active Gaia''s Blessing]],-1,0)&gt;0,OFFSET(TblMagic[[#This Row],[Active Gaia''s Blessing]],-1,0)-1,0))</f>
        <v>0</v>
      </c>
      <c r="AL53" s="57">
        <f ca="1">IF(TblMagic[[#This Row],[Howling]],12,IF(OFFSET(TblMagic[[#This Row],[Active Howling]],-1,0)&gt;0,OFFSET(TblMagic[[#This Row],[Active Howling]],-1,0)-1,0))</f>
        <v>0</v>
      </c>
      <c r="AM53" s="57">
        <f ca="1">IF(TblMagic[[#This Row],[Arcane Infusion]],12,IF(OFFSET(TblMagic[[#This Row],[Active Arc Infusion]],-1,0)&gt;0,OFFSET(TblMagic[[#This Row],[Active Arc Infusion]],-1,0)-1,0))</f>
        <v>0</v>
      </c>
      <c r="AN53" s="57">
        <f ca="1">IF(TblMagic[[#This Row],[Alchemists Flame]],12,IF(OFFSET(TblMagic[[#This Row],[Active Alchemists Flame]],-1,0)&gt;0,OFFSET(TblMagic[[#This Row],[Active Alchemists Flame]],-1,0)-1,0))</f>
        <v>0</v>
      </c>
      <c r="AO53" s="57">
        <f ca="1">IF(TblMagic[[#This Row],[Nightfall]],12,IF(OFFSET(TblMagic[[#This Row],[Active Nightfall]],-1,0)&gt;0,OFFSET(TblMagic[[#This Row],[Active Nightfall]],-1,0)-1,0))</f>
        <v>0</v>
      </c>
      <c r="AP53" s="57">
        <f ca="1">IF(TblMagic[[#This Row],[Favorable Terrain]],12,IF(OFFSET(TblMagic[[#This Row],[Active Favorable Terrain]],-1,0)&gt;0,OFFSET(TblMagic[[#This Row],[Active Favorable Terrain]],-1,0)-1,0))</f>
        <v>0</v>
      </c>
      <c r="AQ53" s="57">
        <f ca="1">IF(TblMagic[[#This Row],[Infernal Command]],12,IF(OFFSET(TblMagic[[#This Row],[Active Infernal Command]],-1,0)&gt;0,OFFSET(TblMagic[[#This Row],[Active Infernal Command]],-1,0)-1,0))</f>
        <v>0</v>
      </c>
    </row>
    <row r="54" spans="1:43" x14ac:dyDescent="0.2">
      <c r="A54" s="137">
        <f>TblRezone[[#This Row],[Hour]]</f>
        <v>51</v>
      </c>
      <c r="B54" s="154">
        <f ca="1">TblConstr[[#This Row],[Land]]</f>
        <v>50</v>
      </c>
      <c r="C54" s="94">
        <f ca="1">TblProd[[#This Row],[Mana]]</f>
        <v>0</v>
      </c>
      <c r="D54" s="156">
        <f ca="1">MIN(1,OFFSET(TblMagic[[#This Row],[Wiz str]],-1,0)+0.04+ROUNDDOWN(10*OFFSET(TblMili[[#This Row],[WG''s]],-1,0),0)+ tech_2_7*OFFSET(TblTech[[#This Row],[2-7]],-1,0) + tech_5_6*OFFSET(TblTech[[#This Row],[5-6]],-1,0) )-TblMagic[[#This Row],[Wiz str cost]]</f>
        <v>1</v>
      </c>
      <c r="E54" s="159">
        <f ca="1">OFFSET(TblMagic[[#This Row],[Time]],-1,0)+1/24</f>
        <v>46322.083333333212</v>
      </c>
      <c r="F54" s="156">
        <f ca="1">TblImps[[#This Row],[Population]]</f>
        <v>1</v>
      </c>
      <c r="G54" s="218"/>
      <c r="H54" s="218"/>
      <c r="I54" s="218"/>
      <c r="J54" s="218"/>
      <c r="K54" s="405"/>
      <c r="L54" s="218"/>
      <c r="M54" s="218"/>
      <c r="N54" s="218"/>
      <c r="O54" s="218"/>
      <c r="P54" s="218"/>
      <c r="Q54" s="218"/>
      <c r="R54" s="218"/>
      <c r="S54" s="218"/>
      <c r="T54" s="218"/>
      <c r="U54" s="218"/>
      <c r="V54" s="218"/>
      <c r="W54" s="218"/>
      <c r="X54" s="142"/>
      <c r="Y5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4" s="156">
        <f>SUMIF(TblMagic[[#This Row],[Gaia''s Watch]:[Useless spell]],1)*0.05</f>
        <v>0</v>
      </c>
      <c r="AA54" s="142"/>
      <c r="AB54" s="57">
        <f ca="1">IF(TblMagic[[#This Row],[Gaia''s Watch]],12,IF(OFFSET(TblMagic[[#This Row],[Active Gaia''s Watch]],-1,0)&gt;0,OFFSET(TblMagic[[#This Row],[Active Gaia''s Watch]],-1,0)-1,0))</f>
        <v>0</v>
      </c>
      <c r="AC54" s="57">
        <f ca="1">IF(TblMagic[[#This Row],[Mining Strength]],12,IF(OFFSET(TblMagic[[#This Row],[Active Mining Strength]],-1,0)&gt;0,OFFSET(TblMagic[[#This Row],[Active Mining Strength]],-1,0)-1,0))</f>
        <v>0</v>
      </c>
      <c r="AD54" s="57">
        <f ca="1">IF(TblMagic[[#This Row],[Ares Call]],12,IF(OFFSET(TblMagic[[#This Row],[Active Ares Call]],-1,0)&gt;0,OFFSET(TblMagic[[#This Row],[Active Ares Call]],-1,0)-1,0))</f>
        <v>0</v>
      </c>
      <c r="AE54" s="57">
        <f ca="1">IF(TblMagic[[#This Row],[Midas Touch]],12,IF(OFFSET(TblMagic[[#This Row],[Active Midas Touch]],-1,0)&gt;0,OFFSET(TblMagic[[#This Row],[Active Midas Touch]],-1,0)-1,0))</f>
        <v>0</v>
      </c>
      <c r="AF54" s="57">
        <f ca="1">IF(TblMagic[[#This Row],[Harmony]],12,IF(OFFSET(TblMagic[[#This Row],[Active Harmony]],-1,0)&gt;0,OFFSET(TblMagic[[#This Row],[Active Harmony]],-1,0)-1,0))</f>
        <v>0</v>
      </c>
      <c r="AG54" s="57">
        <f ca="1">IF(TblMagic[[#This Row],[Miner''s Sight]],12,IF(OFFSET(TblMagic[[#This Row],[Active Miner''s Sight]],-1,0)&gt;0,OFFSET(TblMagic[[#This Row],[Active Miner''s Sight]],-1,0)-1,0))</f>
        <v>0</v>
      </c>
      <c r="AH54" s="57">
        <f ca="1">IF(TblMagic[[#This Row],[Mechanical Genius]],12,IF(OFFSET(TblMagic[[#This Row],[Active Mechanical Genius]],-1,0)&gt;0,OFFSET(TblMagic[[#This Row],[Active Mechanical Genius]],-1,0)-1,0))</f>
        <v>0</v>
      </c>
      <c r="AI54" s="57">
        <f ca="1">IF(TblMagic[[#This Row],[Death and Decay]],12,IF(OFFSET(TblMagic[[#This Row],[Active DnD]],-1,0)&gt;0,OFFSET(TblMagic[[#This Row],[Active DnD]],-1,0)-1,0))</f>
        <v>0</v>
      </c>
      <c r="AJ54" s="57">
        <f ca="1">IF(TblMagic[[#This Row],[Killing Rage / Bloodrage / Crusade]],12,IF(OFFSET(TblMagic[[#This Row],[Active Warsong / Killing Rage / Bloodrage]],-1,0)&gt;0,OFFSET(TblMagic[[#This Row],[Active Warsong / Killing Rage / Bloodrage]],-1,0)-1,0))</f>
        <v>0</v>
      </c>
      <c r="AK54" s="57">
        <f ca="1">IF(TblMagic[[#This Row],[Gaia''s Blessing]],12,IF(OFFSET(TblMagic[[#This Row],[Active Gaia''s Blessing]],-1,0)&gt;0,OFFSET(TblMagic[[#This Row],[Active Gaia''s Blessing]],-1,0)-1,0))</f>
        <v>0</v>
      </c>
      <c r="AL54" s="57">
        <f ca="1">IF(TblMagic[[#This Row],[Howling]],12,IF(OFFSET(TblMagic[[#This Row],[Active Howling]],-1,0)&gt;0,OFFSET(TblMagic[[#This Row],[Active Howling]],-1,0)-1,0))</f>
        <v>0</v>
      </c>
      <c r="AM54" s="57">
        <f ca="1">IF(TblMagic[[#This Row],[Arcane Infusion]],12,IF(OFFSET(TblMagic[[#This Row],[Active Arc Infusion]],-1,0)&gt;0,OFFSET(TblMagic[[#This Row],[Active Arc Infusion]],-1,0)-1,0))</f>
        <v>0</v>
      </c>
      <c r="AN54" s="57">
        <f ca="1">IF(TblMagic[[#This Row],[Alchemists Flame]],12,IF(OFFSET(TblMagic[[#This Row],[Active Alchemists Flame]],-1,0)&gt;0,OFFSET(TblMagic[[#This Row],[Active Alchemists Flame]],-1,0)-1,0))</f>
        <v>0</v>
      </c>
      <c r="AO54" s="57">
        <f ca="1">IF(TblMagic[[#This Row],[Nightfall]],12,IF(OFFSET(TblMagic[[#This Row],[Active Nightfall]],-1,0)&gt;0,OFFSET(TblMagic[[#This Row],[Active Nightfall]],-1,0)-1,0))</f>
        <v>0</v>
      </c>
      <c r="AP54" s="57">
        <f ca="1">IF(TblMagic[[#This Row],[Favorable Terrain]],12,IF(OFFSET(TblMagic[[#This Row],[Active Favorable Terrain]],-1,0)&gt;0,OFFSET(TblMagic[[#This Row],[Active Favorable Terrain]],-1,0)-1,0))</f>
        <v>0</v>
      </c>
      <c r="AQ54" s="57">
        <f ca="1">IF(TblMagic[[#This Row],[Infernal Command]],12,IF(OFFSET(TblMagic[[#This Row],[Active Infernal Command]],-1,0)&gt;0,OFFSET(TblMagic[[#This Row],[Active Infernal Command]],-1,0)-1,0))</f>
        <v>0</v>
      </c>
    </row>
    <row r="55" spans="1:43" x14ac:dyDescent="0.2">
      <c r="A55" s="137">
        <f>TblRezone[[#This Row],[Hour]]</f>
        <v>52</v>
      </c>
      <c r="B55" s="154">
        <f ca="1">TblConstr[[#This Row],[Land]]</f>
        <v>50</v>
      </c>
      <c r="C55" s="94">
        <f ca="1">TblProd[[#This Row],[Mana]]</f>
        <v>0</v>
      </c>
      <c r="D55" s="156">
        <f ca="1">MIN(1,OFFSET(TblMagic[[#This Row],[Wiz str]],-1,0)+0.04+ROUNDDOWN(10*OFFSET(TblMili[[#This Row],[WG''s]],-1,0),0)+ tech_2_7*OFFSET(TblTech[[#This Row],[2-7]],-1,0) + tech_5_6*OFFSET(TblTech[[#This Row],[5-6]],-1,0) )-TblMagic[[#This Row],[Wiz str cost]]</f>
        <v>1</v>
      </c>
      <c r="E55" s="159">
        <f ca="1">OFFSET(TblMagic[[#This Row],[Time]],-1,0)+1/24</f>
        <v>46322.124999999876</v>
      </c>
      <c r="F55" s="156">
        <f ca="1">TblImps[[#This Row],[Population]]</f>
        <v>1</v>
      </c>
      <c r="G55" s="218"/>
      <c r="H55" s="218"/>
      <c r="I55" s="218"/>
      <c r="J55" s="218"/>
      <c r="K55" s="405"/>
      <c r="L55" s="218"/>
      <c r="M55" s="218"/>
      <c r="N55" s="218"/>
      <c r="O55" s="218"/>
      <c r="P55" s="218"/>
      <c r="Q55" s="218"/>
      <c r="R55" s="218"/>
      <c r="S55" s="218"/>
      <c r="T55" s="218"/>
      <c r="U55" s="218"/>
      <c r="V55" s="218"/>
      <c r="W55" s="218"/>
      <c r="X55" s="142"/>
      <c r="Y5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5" s="156">
        <f>SUMIF(TblMagic[[#This Row],[Gaia''s Watch]:[Useless spell]],1)*0.05</f>
        <v>0</v>
      </c>
      <c r="AA55" s="142"/>
      <c r="AB55" s="57">
        <f ca="1">IF(TblMagic[[#This Row],[Gaia''s Watch]],12,IF(OFFSET(TblMagic[[#This Row],[Active Gaia''s Watch]],-1,0)&gt;0,OFFSET(TblMagic[[#This Row],[Active Gaia''s Watch]],-1,0)-1,0))</f>
        <v>0</v>
      </c>
      <c r="AC55" s="57">
        <f ca="1">IF(TblMagic[[#This Row],[Mining Strength]],12,IF(OFFSET(TblMagic[[#This Row],[Active Mining Strength]],-1,0)&gt;0,OFFSET(TblMagic[[#This Row],[Active Mining Strength]],-1,0)-1,0))</f>
        <v>0</v>
      </c>
      <c r="AD55" s="57">
        <f ca="1">IF(TblMagic[[#This Row],[Ares Call]],12,IF(OFFSET(TblMagic[[#This Row],[Active Ares Call]],-1,0)&gt;0,OFFSET(TblMagic[[#This Row],[Active Ares Call]],-1,0)-1,0))</f>
        <v>0</v>
      </c>
      <c r="AE55" s="57">
        <f ca="1">IF(TblMagic[[#This Row],[Midas Touch]],12,IF(OFFSET(TblMagic[[#This Row],[Active Midas Touch]],-1,0)&gt;0,OFFSET(TblMagic[[#This Row],[Active Midas Touch]],-1,0)-1,0))</f>
        <v>0</v>
      </c>
      <c r="AF55" s="57">
        <f ca="1">IF(TblMagic[[#This Row],[Harmony]],12,IF(OFFSET(TblMagic[[#This Row],[Active Harmony]],-1,0)&gt;0,OFFSET(TblMagic[[#This Row],[Active Harmony]],-1,0)-1,0))</f>
        <v>0</v>
      </c>
      <c r="AG55" s="57">
        <f ca="1">IF(TblMagic[[#This Row],[Miner''s Sight]],12,IF(OFFSET(TblMagic[[#This Row],[Active Miner''s Sight]],-1,0)&gt;0,OFFSET(TblMagic[[#This Row],[Active Miner''s Sight]],-1,0)-1,0))</f>
        <v>0</v>
      </c>
      <c r="AH55" s="57">
        <f ca="1">IF(TblMagic[[#This Row],[Mechanical Genius]],12,IF(OFFSET(TblMagic[[#This Row],[Active Mechanical Genius]],-1,0)&gt;0,OFFSET(TblMagic[[#This Row],[Active Mechanical Genius]],-1,0)-1,0))</f>
        <v>0</v>
      </c>
      <c r="AI55" s="57">
        <f ca="1">IF(TblMagic[[#This Row],[Death and Decay]],12,IF(OFFSET(TblMagic[[#This Row],[Active DnD]],-1,0)&gt;0,OFFSET(TblMagic[[#This Row],[Active DnD]],-1,0)-1,0))</f>
        <v>0</v>
      </c>
      <c r="AJ55" s="57">
        <f ca="1">IF(TblMagic[[#This Row],[Killing Rage / Bloodrage / Crusade]],12,IF(OFFSET(TblMagic[[#This Row],[Active Warsong / Killing Rage / Bloodrage]],-1,0)&gt;0,OFFSET(TblMagic[[#This Row],[Active Warsong / Killing Rage / Bloodrage]],-1,0)-1,0))</f>
        <v>0</v>
      </c>
      <c r="AK55" s="57">
        <f ca="1">IF(TblMagic[[#This Row],[Gaia''s Blessing]],12,IF(OFFSET(TblMagic[[#This Row],[Active Gaia''s Blessing]],-1,0)&gt;0,OFFSET(TblMagic[[#This Row],[Active Gaia''s Blessing]],-1,0)-1,0))</f>
        <v>0</v>
      </c>
      <c r="AL55" s="57">
        <f ca="1">IF(TblMagic[[#This Row],[Howling]],12,IF(OFFSET(TblMagic[[#This Row],[Active Howling]],-1,0)&gt;0,OFFSET(TblMagic[[#This Row],[Active Howling]],-1,0)-1,0))</f>
        <v>0</v>
      </c>
      <c r="AM55" s="57">
        <f ca="1">IF(TblMagic[[#This Row],[Arcane Infusion]],12,IF(OFFSET(TblMagic[[#This Row],[Active Arc Infusion]],-1,0)&gt;0,OFFSET(TblMagic[[#This Row],[Active Arc Infusion]],-1,0)-1,0))</f>
        <v>0</v>
      </c>
      <c r="AN55" s="57">
        <f ca="1">IF(TblMagic[[#This Row],[Alchemists Flame]],12,IF(OFFSET(TblMagic[[#This Row],[Active Alchemists Flame]],-1,0)&gt;0,OFFSET(TblMagic[[#This Row],[Active Alchemists Flame]],-1,0)-1,0))</f>
        <v>0</v>
      </c>
      <c r="AO55" s="57">
        <f ca="1">IF(TblMagic[[#This Row],[Nightfall]],12,IF(OFFSET(TblMagic[[#This Row],[Active Nightfall]],-1,0)&gt;0,OFFSET(TblMagic[[#This Row],[Active Nightfall]],-1,0)-1,0))</f>
        <v>0</v>
      </c>
      <c r="AP55" s="57">
        <f ca="1">IF(TblMagic[[#This Row],[Favorable Terrain]],12,IF(OFFSET(TblMagic[[#This Row],[Active Favorable Terrain]],-1,0)&gt;0,OFFSET(TblMagic[[#This Row],[Active Favorable Terrain]],-1,0)-1,0))</f>
        <v>0</v>
      </c>
      <c r="AQ55" s="57">
        <f ca="1">IF(TblMagic[[#This Row],[Infernal Command]],12,IF(OFFSET(TblMagic[[#This Row],[Active Infernal Command]],-1,0)&gt;0,OFFSET(TblMagic[[#This Row],[Active Infernal Command]],-1,0)-1,0))</f>
        <v>0</v>
      </c>
    </row>
    <row r="56" spans="1:43" x14ac:dyDescent="0.2">
      <c r="A56" s="137">
        <f>TblRezone[[#This Row],[Hour]]</f>
        <v>53</v>
      </c>
      <c r="B56" s="154">
        <f ca="1">TblConstr[[#This Row],[Land]]</f>
        <v>50</v>
      </c>
      <c r="C56" s="94">
        <f ca="1">TblProd[[#This Row],[Mana]]</f>
        <v>0</v>
      </c>
      <c r="D56" s="156">
        <f ca="1">MIN(1,OFFSET(TblMagic[[#This Row],[Wiz str]],-1,0)+0.04+ROUNDDOWN(10*OFFSET(TblMili[[#This Row],[WG''s]],-1,0),0)+ tech_2_7*OFFSET(TblTech[[#This Row],[2-7]],-1,0) + tech_5_6*OFFSET(TblTech[[#This Row],[5-6]],-1,0) )-TblMagic[[#This Row],[Wiz str cost]]</f>
        <v>1</v>
      </c>
      <c r="E56" s="159">
        <f ca="1">OFFSET(TblMagic[[#This Row],[Time]],-1,0)+1/24</f>
        <v>46322.166666666541</v>
      </c>
      <c r="F56" s="156">
        <f ca="1">TblImps[[#This Row],[Population]]</f>
        <v>1</v>
      </c>
      <c r="G56" s="218"/>
      <c r="H56" s="218"/>
      <c r="I56" s="218"/>
      <c r="J56" s="218"/>
      <c r="K56" s="405"/>
      <c r="L56" s="218"/>
      <c r="M56" s="218"/>
      <c r="N56" s="218"/>
      <c r="O56" s="218"/>
      <c r="P56" s="218"/>
      <c r="Q56" s="218"/>
      <c r="R56" s="218"/>
      <c r="S56" s="218"/>
      <c r="T56" s="218"/>
      <c r="U56" s="218"/>
      <c r="V56" s="218"/>
      <c r="W56" s="218"/>
      <c r="X56" s="142"/>
      <c r="Y5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6" s="156">
        <f>SUMIF(TblMagic[[#This Row],[Gaia''s Watch]:[Useless spell]],1)*0.05</f>
        <v>0</v>
      </c>
      <c r="AA56" s="142"/>
      <c r="AB56" s="57">
        <f ca="1">IF(TblMagic[[#This Row],[Gaia''s Watch]],12,IF(OFFSET(TblMagic[[#This Row],[Active Gaia''s Watch]],-1,0)&gt;0,OFFSET(TblMagic[[#This Row],[Active Gaia''s Watch]],-1,0)-1,0))</f>
        <v>0</v>
      </c>
      <c r="AC56" s="57">
        <f ca="1">IF(TblMagic[[#This Row],[Mining Strength]],12,IF(OFFSET(TblMagic[[#This Row],[Active Mining Strength]],-1,0)&gt;0,OFFSET(TblMagic[[#This Row],[Active Mining Strength]],-1,0)-1,0))</f>
        <v>0</v>
      </c>
      <c r="AD56" s="57">
        <f ca="1">IF(TblMagic[[#This Row],[Ares Call]],12,IF(OFFSET(TblMagic[[#This Row],[Active Ares Call]],-1,0)&gt;0,OFFSET(TblMagic[[#This Row],[Active Ares Call]],-1,0)-1,0))</f>
        <v>0</v>
      </c>
      <c r="AE56" s="57">
        <f ca="1">IF(TblMagic[[#This Row],[Midas Touch]],12,IF(OFFSET(TblMagic[[#This Row],[Active Midas Touch]],-1,0)&gt;0,OFFSET(TblMagic[[#This Row],[Active Midas Touch]],-1,0)-1,0))</f>
        <v>0</v>
      </c>
      <c r="AF56" s="57">
        <f ca="1">IF(TblMagic[[#This Row],[Harmony]],12,IF(OFFSET(TblMagic[[#This Row],[Active Harmony]],-1,0)&gt;0,OFFSET(TblMagic[[#This Row],[Active Harmony]],-1,0)-1,0))</f>
        <v>0</v>
      </c>
      <c r="AG56" s="57">
        <f ca="1">IF(TblMagic[[#This Row],[Miner''s Sight]],12,IF(OFFSET(TblMagic[[#This Row],[Active Miner''s Sight]],-1,0)&gt;0,OFFSET(TblMagic[[#This Row],[Active Miner''s Sight]],-1,0)-1,0))</f>
        <v>0</v>
      </c>
      <c r="AH56" s="57">
        <f ca="1">IF(TblMagic[[#This Row],[Mechanical Genius]],12,IF(OFFSET(TblMagic[[#This Row],[Active Mechanical Genius]],-1,0)&gt;0,OFFSET(TblMagic[[#This Row],[Active Mechanical Genius]],-1,0)-1,0))</f>
        <v>0</v>
      </c>
      <c r="AI56" s="57">
        <f ca="1">IF(TblMagic[[#This Row],[Death and Decay]],12,IF(OFFSET(TblMagic[[#This Row],[Active DnD]],-1,0)&gt;0,OFFSET(TblMagic[[#This Row],[Active DnD]],-1,0)-1,0))</f>
        <v>0</v>
      </c>
      <c r="AJ56" s="57">
        <f ca="1">IF(TblMagic[[#This Row],[Killing Rage / Bloodrage / Crusade]],12,IF(OFFSET(TblMagic[[#This Row],[Active Warsong / Killing Rage / Bloodrage]],-1,0)&gt;0,OFFSET(TblMagic[[#This Row],[Active Warsong / Killing Rage / Bloodrage]],-1,0)-1,0))</f>
        <v>0</v>
      </c>
      <c r="AK56" s="57">
        <f ca="1">IF(TblMagic[[#This Row],[Gaia''s Blessing]],12,IF(OFFSET(TblMagic[[#This Row],[Active Gaia''s Blessing]],-1,0)&gt;0,OFFSET(TblMagic[[#This Row],[Active Gaia''s Blessing]],-1,0)-1,0))</f>
        <v>0</v>
      </c>
      <c r="AL56" s="57">
        <f ca="1">IF(TblMagic[[#This Row],[Howling]],12,IF(OFFSET(TblMagic[[#This Row],[Active Howling]],-1,0)&gt;0,OFFSET(TblMagic[[#This Row],[Active Howling]],-1,0)-1,0))</f>
        <v>0</v>
      </c>
      <c r="AM56" s="57">
        <f ca="1">IF(TblMagic[[#This Row],[Arcane Infusion]],12,IF(OFFSET(TblMagic[[#This Row],[Active Arc Infusion]],-1,0)&gt;0,OFFSET(TblMagic[[#This Row],[Active Arc Infusion]],-1,0)-1,0))</f>
        <v>0</v>
      </c>
      <c r="AN56" s="57">
        <f ca="1">IF(TblMagic[[#This Row],[Alchemists Flame]],12,IF(OFFSET(TblMagic[[#This Row],[Active Alchemists Flame]],-1,0)&gt;0,OFFSET(TblMagic[[#This Row],[Active Alchemists Flame]],-1,0)-1,0))</f>
        <v>0</v>
      </c>
      <c r="AO56" s="57">
        <f ca="1">IF(TblMagic[[#This Row],[Nightfall]],12,IF(OFFSET(TblMagic[[#This Row],[Active Nightfall]],-1,0)&gt;0,OFFSET(TblMagic[[#This Row],[Active Nightfall]],-1,0)-1,0))</f>
        <v>0</v>
      </c>
      <c r="AP56" s="57">
        <f ca="1">IF(TblMagic[[#This Row],[Favorable Terrain]],12,IF(OFFSET(TblMagic[[#This Row],[Active Favorable Terrain]],-1,0)&gt;0,OFFSET(TblMagic[[#This Row],[Active Favorable Terrain]],-1,0)-1,0))</f>
        <v>0</v>
      </c>
      <c r="AQ56" s="57">
        <f ca="1">IF(TblMagic[[#This Row],[Infernal Command]],12,IF(OFFSET(TblMagic[[#This Row],[Active Infernal Command]],-1,0)&gt;0,OFFSET(TblMagic[[#This Row],[Active Infernal Command]],-1,0)-1,0))</f>
        <v>0</v>
      </c>
    </row>
    <row r="57" spans="1:43" x14ac:dyDescent="0.2">
      <c r="A57" s="137">
        <f>TblRezone[[#This Row],[Hour]]</f>
        <v>54</v>
      </c>
      <c r="B57" s="154">
        <f ca="1">TblConstr[[#This Row],[Land]]</f>
        <v>50</v>
      </c>
      <c r="C57" s="94">
        <f ca="1">TblProd[[#This Row],[Mana]]</f>
        <v>0</v>
      </c>
      <c r="D57" s="156">
        <f ca="1">MIN(1,OFFSET(TblMagic[[#This Row],[Wiz str]],-1,0)+0.04+ROUNDDOWN(10*OFFSET(TblMili[[#This Row],[WG''s]],-1,0),0)+ tech_2_7*OFFSET(TblTech[[#This Row],[2-7]],-1,0) + tech_5_6*OFFSET(TblTech[[#This Row],[5-6]],-1,0) )-TblMagic[[#This Row],[Wiz str cost]]</f>
        <v>1</v>
      </c>
      <c r="E57" s="159">
        <f ca="1">OFFSET(TblMagic[[#This Row],[Time]],-1,0)+1/24</f>
        <v>46322.208333333205</v>
      </c>
      <c r="F57" s="156">
        <f ca="1">TblImps[[#This Row],[Population]]</f>
        <v>1</v>
      </c>
      <c r="G57" s="218"/>
      <c r="H57" s="218"/>
      <c r="I57" s="218"/>
      <c r="J57" s="218"/>
      <c r="K57" s="405"/>
      <c r="L57" s="218"/>
      <c r="M57" s="218"/>
      <c r="N57" s="218"/>
      <c r="O57" s="218"/>
      <c r="P57" s="218"/>
      <c r="Q57" s="218"/>
      <c r="R57" s="218"/>
      <c r="S57" s="218"/>
      <c r="T57" s="218"/>
      <c r="U57" s="218"/>
      <c r="V57" s="218"/>
      <c r="W57" s="218"/>
      <c r="X57" s="142"/>
      <c r="Y5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7" s="156">
        <f>SUMIF(TblMagic[[#This Row],[Gaia''s Watch]:[Useless spell]],1)*0.05</f>
        <v>0</v>
      </c>
      <c r="AA57" s="142"/>
      <c r="AB57" s="57">
        <f ca="1">IF(TblMagic[[#This Row],[Gaia''s Watch]],12,IF(OFFSET(TblMagic[[#This Row],[Active Gaia''s Watch]],-1,0)&gt;0,OFFSET(TblMagic[[#This Row],[Active Gaia''s Watch]],-1,0)-1,0))</f>
        <v>0</v>
      </c>
      <c r="AC57" s="57">
        <f ca="1">IF(TblMagic[[#This Row],[Mining Strength]],12,IF(OFFSET(TblMagic[[#This Row],[Active Mining Strength]],-1,0)&gt;0,OFFSET(TblMagic[[#This Row],[Active Mining Strength]],-1,0)-1,0))</f>
        <v>0</v>
      </c>
      <c r="AD57" s="57">
        <f ca="1">IF(TblMagic[[#This Row],[Ares Call]],12,IF(OFFSET(TblMagic[[#This Row],[Active Ares Call]],-1,0)&gt;0,OFFSET(TblMagic[[#This Row],[Active Ares Call]],-1,0)-1,0))</f>
        <v>0</v>
      </c>
      <c r="AE57" s="57">
        <f ca="1">IF(TblMagic[[#This Row],[Midas Touch]],12,IF(OFFSET(TblMagic[[#This Row],[Active Midas Touch]],-1,0)&gt;0,OFFSET(TblMagic[[#This Row],[Active Midas Touch]],-1,0)-1,0))</f>
        <v>0</v>
      </c>
      <c r="AF57" s="57">
        <f ca="1">IF(TblMagic[[#This Row],[Harmony]],12,IF(OFFSET(TblMagic[[#This Row],[Active Harmony]],-1,0)&gt;0,OFFSET(TblMagic[[#This Row],[Active Harmony]],-1,0)-1,0))</f>
        <v>0</v>
      </c>
      <c r="AG57" s="57">
        <f ca="1">IF(TblMagic[[#This Row],[Miner''s Sight]],12,IF(OFFSET(TblMagic[[#This Row],[Active Miner''s Sight]],-1,0)&gt;0,OFFSET(TblMagic[[#This Row],[Active Miner''s Sight]],-1,0)-1,0))</f>
        <v>0</v>
      </c>
      <c r="AH57" s="57">
        <f ca="1">IF(TblMagic[[#This Row],[Mechanical Genius]],12,IF(OFFSET(TblMagic[[#This Row],[Active Mechanical Genius]],-1,0)&gt;0,OFFSET(TblMagic[[#This Row],[Active Mechanical Genius]],-1,0)-1,0))</f>
        <v>0</v>
      </c>
      <c r="AI57" s="57">
        <f ca="1">IF(TblMagic[[#This Row],[Death and Decay]],12,IF(OFFSET(TblMagic[[#This Row],[Active DnD]],-1,0)&gt;0,OFFSET(TblMagic[[#This Row],[Active DnD]],-1,0)-1,0))</f>
        <v>0</v>
      </c>
      <c r="AJ57" s="57">
        <f ca="1">IF(TblMagic[[#This Row],[Killing Rage / Bloodrage / Crusade]],12,IF(OFFSET(TblMagic[[#This Row],[Active Warsong / Killing Rage / Bloodrage]],-1,0)&gt;0,OFFSET(TblMagic[[#This Row],[Active Warsong / Killing Rage / Bloodrage]],-1,0)-1,0))</f>
        <v>0</v>
      </c>
      <c r="AK57" s="57">
        <f ca="1">IF(TblMagic[[#This Row],[Gaia''s Blessing]],12,IF(OFFSET(TblMagic[[#This Row],[Active Gaia''s Blessing]],-1,0)&gt;0,OFFSET(TblMagic[[#This Row],[Active Gaia''s Blessing]],-1,0)-1,0))</f>
        <v>0</v>
      </c>
      <c r="AL57" s="57">
        <f ca="1">IF(TblMagic[[#This Row],[Howling]],12,IF(OFFSET(TblMagic[[#This Row],[Active Howling]],-1,0)&gt;0,OFFSET(TblMagic[[#This Row],[Active Howling]],-1,0)-1,0))</f>
        <v>0</v>
      </c>
      <c r="AM57" s="57">
        <f ca="1">IF(TblMagic[[#This Row],[Arcane Infusion]],12,IF(OFFSET(TblMagic[[#This Row],[Active Arc Infusion]],-1,0)&gt;0,OFFSET(TblMagic[[#This Row],[Active Arc Infusion]],-1,0)-1,0))</f>
        <v>0</v>
      </c>
      <c r="AN57" s="57">
        <f ca="1">IF(TblMagic[[#This Row],[Alchemists Flame]],12,IF(OFFSET(TblMagic[[#This Row],[Active Alchemists Flame]],-1,0)&gt;0,OFFSET(TblMagic[[#This Row],[Active Alchemists Flame]],-1,0)-1,0))</f>
        <v>0</v>
      </c>
      <c r="AO57" s="57">
        <f ca="1">IF(TblMagic[[#This Row],[Nightfall]],12,IF(OFFSET(TblMagic[[#This Row],[Active Nightfall]],-1,0)&gt;0,OFFSET(TblMagic[[#This Row],[Active Nightfall]],-1,0)-1,0))</f>
        <v>0</v>
      </c>
      <c r="AP57" s="57">
        <f ca="1">IF(TblMagic[[#This Row],[Favorable Terrain]],12,IF(OFFSET(TblMagic[[#This Row],[Active Favorable Terrain]],-1,0)&gt;0,OFFSET(TblMagic[[#This Row],[Active Favorable Terrain]],-1,0)-1,0))</f>
        <v>0</v>
      </c>
      <c r="AQ57" s="57">
        <f ca="1">IF(TblMagic[[#This Row],[Infernal Command]],12,IF(OFFSET(TblMagic[[#This Row],[Active Infernal Command]],-1,0)&gt;0,OFFSET(TblMagic[[#This Row],[Active Infernal Command]],-1,0)-1,0))</f>
        <v>0</v>
      </c>
    </row>
    <row r="58" spans="1:43" x14ac:dyDescent="0.2">
      <c r="A58" s="137">
        <f>TblRezone[[#This Row],[Hour]]</f>
        <v>55</v>
      </c>
      <c r="B58" s="154">
        <f ca="1">TblConstr[[#This Row],[Land]]</f>
        <v>50</v>
      </c>
      <c r="C58" s="94">
        <f ca="1">TblProd[[#This Row],[Mana]]</f>
        <v>0</v>
      </c>
      <c r="D58" s="156">
        <f ca="1">MIN(1,OFFSET(TblMagic[[#This Row],[Wiz str]],-1,0)+0.04+ROUNDDOWN(10*OFFSET(TblMili[[#This Row],[WG''s]],-1,0),0)+ tech_2_7*OFFSET(TblTech[[#This Row],[2-7]],-1,0) + tech_5_6*OFFSET(TblTech[[#This Row],[5-6]],-1,0) )-TblMagic[[#This Row],[Wiz str cost]]</f>
        <v>1</v>
      </c>
      <c r="E58" s="159">
        <f ca="1">OFFSET(TblMagic[[#This Row],[Time]],-1,0)+1/24</f>
        <v>46322.249999999869</v>
      </c>
      <c r="F58" s="156">
        <f ca="1">TblImps[[#This Row],[Population]]</f>
        <v>1</v>
      </c>
      <c r="G58" s="218"/>
      <c r="H58" s="218"/>
      <c r="I58" s="218"/>
      <c r="J58" s="218"/>
      <c r="K58" s="405"/>
      <c r="L58" s="218"/>
      <c r="M58" s="218"/>
      <c r="N58" s="218"/>
      <c r="O58" s="218"/>
      <c r="P58" s="218"/>
      <c r="Q58" s="218"/>
      <c r="R58" s="218"/>
      <c r="S58" s="218"/>
      <c r="T58" s="218"/>
      <c r="U58" s="218"/>
      <c r="V58" s="218"/>
      <c r="W58" s="218"/>
      <c r="X58" s="142"/>
      <c r="Y5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8" s="156">
        <f>SUMIF(TblMagic[[#This Row],[Gaia''s Watch]:[Useless spell]],1)*0.05</f>
        <v>0</v>
      </c>
      <c r="AA58" s="142"/>
      <c r="AB58" s="57">
        <f ca="1">IF(TblMagic[[#This Row],[Gaia''s Watch]],12,IF(OFFSET(TblMagic[[#This Row],[Active Gaia''s Watch]],-1,0)&gt;0,OFFSET(TblMagic[[#This Row],[Active Gaia''s Watch]],-1,0)-1,0))</f>
        <v>0</v>
      </c>
      <c r="AC58" s="57">
        <f ca="1">IF(TblMagic[[#This Row],[Mining Strength]],12,IF(OFFSET(TblMagic[[#This Row],[Active Mining Strength]],-1,0)&gt;0,OFFSET(TblMagic[[#This Row],[Active Mining Strength]],-1,0)-1,0))</f>
        <v>0</v>
      </c>
      <c r="AD58" s="57">
        <f ca="1">IF(TblMagic[[#This Row],[Ares Call]],12,IF(OFFSET(TblMagic[[#This Row],[Active Ares Call]],-1,0)&gt;0,OFFSET(TblMagic[[#This Row],[Active Ares Call]],-1,0)-1,0))</f>
        <v>0</v>
      </c>
      <c r="AE58" s="57">
        <f ca="1">IF(TblMagic[[#This Row],[Midas Touch]],12,IF(OFFSET(TblMagic[[#This Row],[Active Midas Touch]],-1,0)&gt;0,OFFSET(TblMagic[[#This Row],[Active Midas Touch]],-1,0)-1,0))</f>
        <v>0</v>
      </c>
      <c r="AF58" s="57">
        <f ca="1">IF(TblMagic[[#This Row],[Harmony]],12,IF(OFFSET(TblMagic[[#This Row],[Active Harmony]],-1,0)&gt;0,OFFSET(TblMagic[[#This Row],[Active Harmony]],-1,0)-1,0))</f>
        <v>0</v>
      </c>
      <c r="AG58" s="57">
        <f ca="1">IF(TblMagic[[#This Row],[Miner''s Sight]],12,IF(OFFSET(TblMagic[[#This Row],[Active Miner''s Sight]],-1,0)&gt;0,OFFSET(TblMagic[[#This Row],[Active Miner''s Sight]],-1,0)-1,0))</f>
        <v>0</v>
      </c>
      <c r="AH58" s="57">
        <f ca="1">IF(TblMagic[[#This Row],[Mechanical Genius]],12,IF(OFFSET(TblMagic[[#This Row],[Active Mechanical Genius]],-1,0)&gt;0,OFFSET(TblMagic[[#This Row],[Active Mechanical Genius]],-1,0)-1,0))</f>
        <v>0</v>
      </c>
      <c r="AI58" s="57">
        <f ca="1">IF(TblMagic[[#This Row],[Death and Decay]],12,IF(OFFSET(TblMagic[[#This Row],[Active DnD]],-1,0)&gt;0,OFFSET(TblMagic[[#This Row],[Active DnD]],-1,0)-1,0))</f>
        <v>0</v>
      </c>
      <c r="AJ58" s="57">
        <f ca="1">IF(TblMagic[[#This Row],[Killing Rage / Bloodrage / Crusade]],12,IF(OFFSET(TblMagic[[#This Row],[Active Warsong / Killing Rage / Bloodrage]],-1,0)&gt;0,OFFSET(TblMagic[[#This Row],[Active Warsong / Killing Rage / Bloodrage]],-1,0)-1,0))</f>
        <v>0</v>
      </c>
      <c r="AK58" s="57">
        <f ca="1">IF(TblMagic[[#This Row],[Gaia''s Blessing]],12,IF(OFFSET(TblMagic[[#This Row],[Active Gaia''s Blessing]],-1,0)&gt;0,OFFSET(TblMagic[[#This Row],[Active Gaia''s Blessing]],-1,0)-1,0))</f>
        <v>0</v>
      </c>
      <c r="AL58" s="57">
        <f ca="1">IF(TblMagic[[#This Row],[Howling]],12,IF(OFFSET(TblMagic[[#This Row],[Active Howling]],-1,0)&gt;0,OFFSET(TblMagic[[#This Row],[Active Howling]],-1,0)-1,0))</f>
        <v>0</v>
      </c>
      <c r="AM58" s="57">
        <f ca="1">IF(TblMagic[[#This Row],[Arcane Infusion]],12,IF(OFFSET(TblMagic[[#This Row],[Active Arc Infusion]],-1,0)&gt;0,OFFSET(TblMagic[[#This Row],[Active Arc Infusion]],-1,0)-1,0))</f>
        <v>0</v>
      </c>
      <c r="AN58" s="57">
        <f ca="1">IF(TblMagic[[#This Row],[Alchemists Flame]],12,IF(OFFSET(TblMagic[[#This Row],[Active Alchemists Flame]],-1,0)&gt;0,OFFSET(TblMagic[[#This Row],[Active Alchemists Flame]],-1,0)-1,0))</f>
        <v>0</v>
      </c>
      <c r="AO58" s="57">
        <f ca="1">IF(TblMagic[[#This Row],[Nightfall]],12,IF(OFFSET(TblMagic[[#This Row],[Active Nightfall]],-1,0)&gt;0,OFFSET(TblMagic[[#This Row],[Active Nightfall]],-1,0)-1,0))</f>
        <v>0</v>
      </c>
      <c r="AP58" s="57">
        <f ca="1">IF(TblMagic[[#This Row],[Favorable Terrain]],12,IF(OFFSET(TblMagic[[#This Row],[Active Favorable Terrain]],-1,0)&gt;0,OFFSET(TblMagic[[#This Row],[Active Favorable Terrain]],-1,0)-1,0))</f>
        <v>0</v>
      </c>
      <c r="AQ58" s="57">
        <f ca="1">IF(TblMagic[[#This Row],[Infernal Command]],12,IF(OFFSET(TblMagic[[#This Row],[Active Infernal Command]],-1,0)&gt;0,OFFSET(TblMagic[[#This Row],[Active Infernal Command]],-1,0)-1,0))</f>
        <v>0</v>
      </c>
    </row>
    <row r="59" spans="1:43" x14ac:dyDescent="0.2">
      <c r="A59" s="137">
        <f>TblRezone[[#This Row],[Hour]]</f>
        <v>56</v>
      </c>
      <c r="B59" s="154">
        <f ca="1">TblConstr[[#This Row],[Land]]</f>
        <v>50</v>
      </c>
      <c r="C59" s="94">
        <f ca="1">TblProd[[#This Row],[Mana]]</f>
        <v>0</v>
      </c>
      <c r="D59" s="156">
        <f ca="1">MIN(1,OFFSET(TblMagic[[#This Row],[Wiz str]],-1,0)+0.04+ROUNDDOWN(10*OFFSET(TblMili[[#This Row],[WG''s]],-1,0),0)+ tech_2_7*OFFSET(TblTech[[#This Row],[2-7]],-1,0) + tech_5_6*OFFSET(TblTech[[#This Row],[5-6]],-1,0) )-TblMagic[[#This Row],[Wiz str cost]]</f>
        <v>1</v>
      </c>
      <c r="E59" s="159">
        <f ca="1">OFFSET(TblMagic[[#This Row],[Time]],-1,0)+1/24</f>
        <v>46322.291666666533</v>
      </c>
      <c r="F59" s="156">
        <f ca="1">TblImps[[#This Row],[Population]]</f>
        <v>1</v>
      </c>
      <c r="G59" s="218"/>
      <c r="H59" s="218"/>
      <c r="I59" s="218"/>
      <c r="J59" s="218"/>
      <c r="K59" s="405"/>
      <c r="L59" s="218"/>
      <c r="M59" s="218"/>
      <c r="N59" s="218"/>
      <c r="O59" s="218"/>
      <c r="P59" s="218"/>
      <c r="Q59" s="218"/>
      <c r="R59" s="218"/>
      <c r="S59" s="218"/>
      <c r="T59" s="218"/>
      <c r="U59" s="218"/>
      <c r="V59" s="218"/>
      <c r="W59" s="218"/>
      <c r="X59" s="142"/>
      <c r="Y5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9" s="156">
        <f>SUMIF(TblMagic[[#This Row],[Gaia''s Watch]:[Useless spell]],1)*0.05</f>
        <v>0</v>
      </c>
      <c r="AA59" s="142"/>
      <c r="AB59" s="57">
        <f ca="1">IF(TblMagic[[#This Row],[Gaia''s Watch]],12,IF(OFFSET(TblMagic[[#This Row],[Active Gaia''s Watch]],-1,0)&gt;0,OFFSET(TblMagic[[#This Row],[Active Gaia''s Watch]],-1,0)-1,0))</f>
        <v>0</v>
      </c>
      <c r="AC59" s="57">
        <f ca="1">IF(TblMagic[[#This Row],[Mining Strength]],12,IF(OFFSET(TblMagic[[#This Row],[Active Mining Strength]],-1,0)&gt;0,OFFSET(TblMagic[[#This Row],[Active Mining Strength]],-1,0)-1,0))</f>
        <v>0</v>
      </c>
      <c r="AD59" s="57">
        <f ca="1">IF(TblMagic[[#This Row],[Ares Call]],12,IF(OFFSET(TblMagic[[#This Row],[Active Ares Call]],-1,0)&gt;0,OFFSET(TblMagic[[#This Row],[Active Ares Call]],-1,0)-1,0))</f>
        <v>0</v>
      </c>
      <c r="AE59" s="57">
        <f ca="1">IF(TblMagic[[#This Row],[Midas Touch]],12,IF(OFFSET(TblMagic[[#This Row],[Active Midas Touch]],-1,0)&gt;0,OFFSET(TblMagic[[#This Row],[Active Midas Touch]],-1,0)-1,0))</f>
        <v>0</v>
      </c>
      <c r="AF59" s="57">
        <f ca="1">IF(TblMagic[[#This Row],[Harmony]],12,IF(OFFSET(TblMagic[[#This Row],[Active Harmony]],-1,0)&gt;0,OFFSET(TblMagic[[#This Row],[Active Harmony]],-1,0)-1,0))</f>
        <v>0</v>
      </c>
      <c r="AG59" s="57">
        <f ca="1">IF(TblMagic[[#This Row],[Miner''s Sight]],12,IF(OFFSET(TblMagic[[#This Row],[Active Miner''s Sight]],-1,0)&gt;0,OFFSET(TblMagic[[#This Row],[Active Miner''s Sight]],-1,0)-1,0))</f>
        <v>0</v>
      </c>
      <c r="AH59" s="57">
        <f ca="1">IF(TblMagic[[#This Row],[Mechanical Genius]],12,IF(OFFSET(TblMagic[[#This Row],[Active Mechanical Genius]],-1,0)&gt;0,OFFSET(TblMagic[[#This Row],[Active Mechanical Genius]],-1,0)-1,0))</f>
        <v>0</v>
      </c>
      <c r="AI59" s="57">
        <f ca="1">IF(TblMagic[[#This Row],[Death and Decay]],12,IF(OFFSET(TblMagic[[#This Row],[Active DnD]],-1,0)&gt;0,OFFSET(TblMagic[[#This Row],[Active DnD]],-1,0)-1,0))</f>
        <v>0</v>
      </c>
      <c r="AJ59" s="57">
        <f ca="1">IF(TblMagic[[#This Row],[Killing Rage / Bloodrage / Crusade]],12,IF(OFFSET(TblMagic[[#This Row],[Active Warsong / Killing Rage / Bloodrage]],-1,0)&gt;0,OFFSET(TblMagic[[#This Row],[Active Warsong / Killing Rage / Bloodrage]],-1,0)-1,0))</f>
        <v>0</v>
      </c>
      <c r="AK59" s="57">
        <f ca="1">IF(TblMagic[[#This Row],[Gaia''s Blessing]],12,IF(OFFSET(TblMagic[[#This Row],[Active Gaia''s Blessing]],-1,0)&gt;0,OFFSET(TblMagic[[#This Row],[Active Gaia''s Blessing]],-1,0)-1,0))</f>
        <v>0</v>
      </c>
      <c r="AL59" s="57">
        <f ca="1">IF(TblMagic[[#This Row],[Howling]],12,IF(OFFSET(TblMagic[[#This Row],[Active Howling]],-1,0)&gt;0,OFFSET(TblMagic[[#This Row],[Active Howling]],-1,0)-1,0))</f>
        <v>0</v>
      </c>
      <c r="AM59" s="57">
        <f ca="1">IF(TblMagic[[#This Row],[Arcane Infusion]],12,IF(OFFSET(TblMagic[[#This Row],[Active Arc Infusion]],-1,0)&gt;0,OFFSET(TblMagic[[#This Row],[Active Arc Infusion]],-1,0)-1,0))</f>
        <v>0</v>
      </c>
      <c r="AN59" s="57">
        <f ca="1">IF(TblMagic[[#This Row],[Alchemists Flame]],12,IF(OFFSET(TblMagic[[#This Row],[Active Alchemists Flame]],-1,0)&gt;0,OFFSET(TblMagic[[#This Row],[Active Alchemists Flame]],-1,0)-1,0))</f>
        <v>0</v>
      </c>
      <c r="AO59" s="57">
        <f ca="1">IF(TblMagic[[#This Row],[Nightfall]],12,IF(OFFSET(TblMagic[[#This Row],[Active Nightfall]],-1,0)&gt;0,OFFSET(TblMagic[[#This Row],[Active Nightfall]],-1,0)-1,0))</f>
        <v>0</v>
      </c>
      <c r="AP59" s="57">
        <f ca="1">IF(TblMagic[[#This Row],[Favorable Terrain]],12,IF(OFFSET(TblMagic[[#This Row],[Active Favorable Terrain]],-1,0)&gt;0,OFFSET(TblMagic[[#This Row],[Active Favorable Terrain]],-1,0)-1,0))</f>
        <v>0</v>
      </c>
      <c r="AQ59" s="57">
        <f ca="1">IF(TblMagic[[#This Row],[Infernal Command]],12,IF(OFFSET(TblMagic[[#This Row],[Active Infernal Command]],-1,0)&gt;0,OFFSET(TblMagic[[#This Row],[Active Infernal Command]],-1,0)-1,0))</f>
        <v>0</v>
      </c>
    </row>
    <row r="60" spans="1:43" x14ac:dyDescent="0.2">
      <c r="A60" s="137">
        <f>TblRezone[[#This Row],[Hour]]</f>
        <v>57</v>
      </c>
      <c r="B60" s="154">
        <f ca="1">TblConstr[[#This Row],[Land]]</f>
        <v>50</v>
      </c>
      <c r="C60" s="94">
        <f ca="1">TblProd[[#This Row],[Mana]]</f>
        <v>0</v>
      </c>
      <c r="D60" s="156">
        <f ca="1">MIN(1,OFFSET(TblMagic[[#This Row],[Wiz str]],-1,0)+0.04+ROUNDDOWN(10*OFFSET(TblMili[[#This Row],[WG''s]],-1,0),0)+ tech_2_7*OFFSET(TblTech[[#This Row],[2-7]],-1,0) + tech_5_6*OFFSET(TblTech[[#This Row],[5-6]],-1,0) )-TblMagic[[#This Row],[Wiz str cost]]</f>
        <v>1</v>
      </c>
      <c r="E60" s="159">
        <f ca="1">OFFSET(TblMagic[[#This Row],[Time]],-1,0)+1/24</f>
        <v>46322.333333333198</v>
      </c>
      <c r="F60" s="156">
        <f ca="1">TblImps[[#This Row],[Population]]</f>
        <v>1</v>
      </c>
      <c r="G60" s="218"/>
      <c r="H60" s="218"/>
      <c r="I60" s="218"/>
      <c r="J60" s="218"/>
      <c r="K60" s="405"/>
      <c r="L60" s="218"/>
      <c r="M60" s="218"/>
      <c r="N60" s="218"/>
      <c r="O60" s="218"/>
      <c r="P60" s="218"/>
      <c r="Q60" s="218"/>
      <c r="R60" s="218"/>
      <c r="S60" s="218"/>
      <c r="T60" s="218"/>
      <c r="U60" s="218"/>
      <c r="V60" s="218"/>
      <c r="W60" s="218"/>
      <c r="X60" s="142"/>
      <c r="Y6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0" s="156">
        <f>SUMIF(TblMagic[[#This Row],[Gaia''s Watch]:[Useless spell]],1)*0.05</f>
        <v>0</v>
      </c>
      <c r="AA60" s="142"/>
      <c r="AB60" s="57">
        <f ca="1">IF(TblMagic[[#This Row],[Gaia''s Watch]],12,IF(OFFSET(TblMagic[[#This Row],[Active Gaia''s Watch]],-1,0)&gt;0,OFFSET(TblMagic[[#This Row],[Active Gaia''s Watch]],-1,0)-1,0))</f>
        <v>0</v>
      </c>
      <c r="AC60" s="57">
        <f ca="1">IF(TblMagic[[#This Row],[Mining Strength]],12,IF(OFFSET(TblMagic[[#This Row],[Active Mining Strength]],-1,0)&gt;0,OFFSET(TblMagic[[#This Row],[Active Mining Strength]],-1,0)-1,0))</f>
        <v>0</v>
      </c>
      <c r="AD60" s="57">
        <f ca="1">IF(TblMagic[[#This Row],[Ares Call]],12,IF(OFFSET(TblMagic[[#This Row],[Active Ares Call]],-1,0)&gt;0,OFFSET(TblMagic[[#This Row],[Active Ares Call]],-1,0)-1,0))</f>
        <v>0</v>
      </c>
      <c r="AE60" s="57">
        <f ca="1">IF(TblMagic[[#This Row],[Midas Touch]],12,IF(OFFSET(TblMagic[[#This Row],[Active Midas Touch]],-1,0)&gt;0,OFFSET(TblMagic[[#This Row],[Active Midas Touch]],-1,0)-1,0))</f>
        <v>0</v>
      </c>
      <c r="AF60" s="57">
        <f ca="1">IF(TblMagic[[#This Row],[Harmony]],12,IF(OFFSET(TblMagic[[#This Row],[Active Harmony]],-1,0)&gt;0,OFFSET(TblMagic[[#This Row],[Active Harmony]],-1,0)-1,0))</f>
        <v>0</v>
      </c>
      <c r="AG60" s="57">
        <f ca="1">IF(TblMagic[[#This Row],[Miner''s Sight]],12,IF(OFFSET(TblMagic[[#This Row],[Active Miner''s Sight]],-1,0)&gt;0,OFFSET(TblMagic[[#This Row],[Active Miner''s Sight]],-1,0)-1,0))</f>
        <v>0</v>
      </c>
      <c r="AH60" s="57">
        <f ca="1">IF(TblMagic[[#This Row],[Mechanical Genius]],12,IF(OFFSET(TblMagic[[#This Row],[Active Mechanical Genius]],-1,0)&gt;0,OFFSET(TblMagic[[#This Row],[Active Mechanical Genius]],-1,0)-1,0))</f>
        <v>0</v>
      </c>
      <c r="AI60" s="57">
        <f ca="1">IF(TblMagic[[#This Row],[Death and Decay]],12,IF(OFFSET(TblMagic[[#This Row],[Active DnD]],-1,0)&gt;0,OFFSET(TblMagic[[#This Row],[Active DnD]],-1,0)-1,0))</f>
        <v>0</v>
      </c>
      <c r="AJ60" s="57">
        <f ca="1">IF(TblMagic[[#This Row],[Killing Rage / Bloodrage / Crusade]],12,IF(OFFSET(TblMagic[[#This Row],[Active Warsong / Killing Rage / Bloodrage]],-1,0)&gt;0,OFFSET(TblMagic[[#This Row],[Active Warsong / Killing Rage / Bloodrage]],-1,0)-1,0))</f>
        <v>0</v>
      </c>
      <c r="AK60" s="57">
        <f ca="1">IF(TblMagic[[#This Row],[Gaia''s Blessing]],12,IF(OFFSET(TblMagic[[#This Row],[Active Gaia''s Blessing]],-1,0)&gt;0,OFFSET(TblMagic[[#This Row],[Active Gaia''s Blessing]],-1,0)-1,0))</f>
        <v>0</v>
      </c>
      <c r="AL60" s="57">
        <f ca="1">IF(TblMagic[[#This Row],[Howling]],12,IF(OFFSET(TblMagic[[#This Row],[Active Howling]],-1,0)&gt;0,OFFSET(TblMagic[[#This Row],[Active Howling]],-1,0)-1,0))</f>
        <v>0</v>
      </c>
      <c r="AM60" s="57">
        <f ca="1">IF(TblMagic[[#This Row],[Arcane Infusion]],12,IF(OFFSET(TblMagic[[#This Row],[Active Arc Infusion]],-1,0)&gt;0,OFFSET(TblMagic[[#This Row],[Active Arc Infusion]],-1,0)-1,0))</f>
        <v>0</v>
      </c>
      <c r="AN60" s="57">
        <f ca="1">IF(TblMagic[[#This Row],[Alchemists Flame]],12,IF(OFFSET(TblMagic[[#This Row],[Active Alchemists Flame]],-1,0)&gt;0,OFFSET(TblMagic[[#This Row],[Active Alchemists Flame]],-1,0)-1,0))</f>
        <v>0</v>
      </c>
      <c r="AO60" s="57">
        <f ca="1">IF(TblMagic[[#This Row],[Nightfall]],12,IF(OFFSET(TblMagic[[#This Row],[Active Nightfall]],-1,0)&gt;0,OFFSET(TblMagic[[#This Row],[Active Nightfall]],-1,0)-1,0))</f>
        <v>0</v>
      </c>
      <c r="AP60" s="57">
        <f ca="1">IF(TblMagic[[#This Row],[Favorable Terrain]],12,IF(OFFSET(TblMagic[[#This Row],[Active Favorable Terrain]],-1,0)&gt;0,OFFSET(TblMagic[[#This Row],[Active Favorable Terrain]],-1,0)-1,0))</f>
        <v>0</v>
      </c>
      <c r="AQ60" s="57">
        <f ca="1">IF(TblMagic[[#This Row],[Infernal Command]],12,IF(OFFSET(TblMagic[[#This Row],[Active Infernal Command]],-1,0)&gt;0,OFFSET(TblMagic[[#This Row],[Active Infernal Command]],-1,0)-1,0))</f>
        <v>0</v>
      </c>
    </row>
    <row r="61" spans="1:43" x14ac:dyDescent="0.2">
      <c r="A61" s="137">
        <f>TblRezone[[#This Row],[Hour]]</f>
        <v>58</v>
      </c>
      <c r="B61" s="154">
        <f ca="1">TblConstr[[#This Row],[Land]]</f>
        <v>50</v>
      </c>
      <c r="C61" s="94">
        <f ca="1">TblProd[[#This Row],[Mana]]</f>
        <v>0</v>
      </c>
      <c r="D61" s="156">
        <f ca="1">MIN(1,OFFSET(TblMagic[[#This Row],[Wiz str]],-1,0)+0.04+ROUNDDOWN(10*OFFSET(TblMili[[#This Row],[WG''s]],-1,0),0)+ tech_2_7*OFFSET(TblTech[[#This Row],[2-7]],-1,0) + tech_5_6*OFFSET(TblTech[[#This Row],[5-6]],-1,0) )-TblMagic[[#This Row],[Wiz str cost]]</f>
        <v>1</v>
      </c>
      <c r="E61" s="159">
        <f ca="1">OFFSET(TblMagic[[#This Row],[Time]],-1,0)+1/24</f>
        <v>46322.374999999862</v>
      </c>
      <c r="F61" s="156">
        <f ca="1">TblImps[[#This Row],[Population]]</f>
        <v>1</v>
      </c>
      <c r="G61" s="218"/>
      <c r="H61" s="218"/>
      <c r="I61" s="218"/>
      <c r="J61" s="218"/>
      <c r="K61" s="405"/>
      <c r="L61" s="218"/>
      <c r="M61" s="218"/>
      <c r="N61" s="218"/>
      <c r="O61" s="218"/>
      <c r="P61" s="218"/>
      <c r="Q61" s="218"/>
      <c r="R61" s="218"/>
      <c r="S61" s="218"/>
      <c r="T61" s="218"/>
      <c r="U61" s="218"/>
      <c r="V61" s="218"/>
      <c r="W61" s="218"/>
      <c r="X61" s="142"/>
      <c r="Y6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1" s="156">
        <f>SUMIF(TblMagic[[#This Row],[Gaia''s Watch]:[Useless spell]],1)*0.05</f>
        <v>0</v>
      </c>
      <c r="AA61" s="142"/>
      <c r="AB61" s="57">
        <f ca="1">IF(TblMagic[[#This Row],[Gaia''s Watch]],12,IF(OFFSET(TblMagic[[#This Row],[Active Gaia''s Watch]],-1,0)&gt;0,OFFSET(TblMagic[[#This Row],[Active Gaia''s Watch]],-1,0)-1,0))</f>
        <v>0</v>
      </c>
      <c r="AC61" s="57">
        <f ca="1">IF(TblMagic[[#This Row],[Mining Strength]],12,IF(OFFSET(TblMagic[[#This Row],[Active Mining Strength]],-1,0)&gt;0,OFFSET(TblMagic[[#This Row],[Active Mining Strength]],-1,0)-1,0))</f>
        <v>0</v>
      </c>
      <c r="AD61" s="57">
        <f ca="1">IF(TblMagic[[#This Row],[Ares Call]],12,IF(OFFSET(TblMagic[[#This Row],[Active Ares Call]],-1,0)&gt;0,OFFSET(TblMagic[[#This Row],[Active Ares Call]],-1,0)-1,0))</f>
        <v>0</v>
      </c>
      <c r="AE61" s="57">
        <f ca="1">IF(TblMagic[[#This Row],[Midas Touch]],12,IF(OFFSET(TblMagic[[#This Row],[Active Midas Touch]],-1,0)&gt;0,OFFSET(TblMagic[[#This Row],[Active Midas Touch]],-1,0)-1,0))</f>
        <v>0</v>
      </c>
      <c r="AF61" s="57">
        <f ca="1">IF(TblMagic[[#This Row],[Harmony]],12,IF(OFFSET(TblMagic[[#This Row],[Active Harmony]],-1,0)&gt;0,OFFSET(TblMagic[[#This Row],[Active Harmony]],-1,0)-1,0))</f>
        <v>0</v>
      </c>
      <c r="AG61" s="57">
        <f ca="1">IF(TblMagic[[#This Row],[Miner''s Sight]],12,IF(OFFSET(TblMagic[[#This Row],[Active Miner''s Sight]],-1,0)&gt;0,OFFSET(TblMagic[[#This Row],[Active Miner''s Sight]],-1,0)-1,0))</f>
        <v>0</v>
      </c>
      <c r="AH61" s="57">
        <f ca="1">IF(TblMagic[[#This Row],[Mechanical Genius]],12,IF(OFFSET(TblMagic[[#This Row],[Active Mechanical Genius]],-1,0)&gt;0,OFFSET(TblMagic[[#This Row],[Active Mechanical Genius]],-1,0)-1,0))</f>
        <v>0</v>
      </c>
      <c r="AI61" s="57">
        <f ca="1">IF(TblMagic[[#This Row],[Death and Decay]],12,IF(OFFSET(TblMagic[[#This Row],[Active DnD]],-1,0)&gt;0,OFFSET(TblMagic[[#This Row],[Active DnD]],-1,0)-1,0))</f>
        <v>0</v>
      </c>
      <c r="AJ61" s="57">
        <f ca="1">IF(TblMagic[[#This Row],[Killing Rage / Bloodrage / Crusade]],12,IF(OFFSET(TblMagic[[#This Row],[Active Warsong / Killing Rage / Bloodrage]],-1,0)&gt;0,OFFSET(TblMagic[[#This Row],[Active Warsong / Killing Rage / Bloodrage]],-1,0)-1,0))</f>
        <v>0</v>
      </c>
      <c r="AK61" s="57">
        <f ca="1">IF(TblMagic[[#This Row],[Gaia''s Blessing]],12,IF(OFFSET(TblMagic[[#This Row],[Active Gaia''s Blessing]],-1,0)&gt;0,OFFSET(TblMagic[[#This Row],[Active Gaia''s Blessing]],-1,0)-1,0))</f>
        <v>0</v>
      </c>
      <c r="AL61" s="57">
        <f ca="1">IF(TblMagic[[#This Row],[Howling]],12,IF(OFFSET(TblMagic[[#This Row],[Active Howling]],-1,0)&gt;0,OFFSET(TblMagic[[#This Row],[Active Howling]],-1,0)-1,0))</f>
        <v>0</v>
      </c>
      <c r="AM61" s="57">
        <f ca="1">IF(TblMagic[[#This Row],[Arcane Infusion]],12,IF(OFFSET(TblMagic[[#This Row],[Active Arc Infusion]],-1,0)&gt;0,OFFSET(TblMagic[[#This Row],[Active Arc Infusion]],-1,0)-1,0))</f>
        <v>0</v>
      </c>
      <c r="AN61" s="57">
        <f ca="1">IF(TblMagic[[#This Row],[Alchemists Flame]],12,IF(OFFSET(TblMagic[[#This Row],[Active Alchemists Flame]],-1,0)&gt;0,OFFSET(TblMagic[[#This Row],[Active Alchemists Flame]],-1,0)-1,0))</f>
        <v>0</v>
      </c>
      <c r="AO61" s="57">
        <f ca="1">IF(TblMagic[[#This Row],[Nightfall]],12,IF(OFFSET(TblMagic[[#This Row],[Active Nightfall]],-1,0)&gt;0,OFFSET(TblMagic[[#This Row],[Active Nightfall]],-1,0)-1,0))</f>
        <v>0</v>
      </c>
      <c r="AP61" s="57">
        <f ca="1">IF(TblMagic[[#This Row],[Favorable Terrain]],12,IF(OFFSET(TblMagic[[#This Row],[Active Favorable Terrain]],-1,0)&gt;0,OFFSET(TblMagic[[#This Row],[Active Favorable Terrain]],-1,0)-1,0))</f>
        <v>0</v>
      </c>
      <c r="AQ61" s="57">
        <f ca="1">IF(TblMagic[[#This Row],[Infernal Command]],12,IF(OFFSET(TblMagic[[#This Row],[Active Infernal Command]],-1,0)&gt;0,OFFSET(TblMagic[[#This Row],[Active Infernal Command]],-1,0)-1,0))</f>
        <v>0</v>
      </c>
    </row>
    <row r="62" spans="1:43" x14ac:dyDescent="0.2">
      <c r="A62" s="137">
        <f>TblRezone[[#This Row],[Hour]]</f>
        <v>59</v>
      </c>
      <c r="B62" s="154">
        <f ca="1">TblConstr[[#This Row],[Land]]</f>
        <v>50</v>
      </c>
      <c r="C62" s="94">
        <f ca="1">TblProd[[#This Row],[Mana]]</f>
        <v>0</v>
      </c>
      <c r="D62" s="156">
        <f ca="1">MIN(1,OFFSET(TblMagic[[#This Row],[Wiz str]],-1,0)+0.04+ROUNDDOWN(10*OFFSET(TblMili[[#This Row],[WG''s]],-1,0),0)+ tech_2_7*OFFSET(TblTech[[#This Row],[2-7]],-1,0) + tech_5_6*OFFSET(TblTech[[#This Row],[5-6]],-1,0) )-TblMagic[[#This Row],[Wiz str cost]]</f>
        <v>1</v>
      </c>
      <c r="E62" s="159">
        <f ca="1">OFFSET(TblMagic[[#This Row],[Time]],-1,0)+1/24</f>
        <v>46322.416666666526</v>
      </c>
      <c r="F62" s="156">
        <f ca="1">TblImps[[#This Row],[Population]]</f>
        <v>1</v>
      </c>
      <c r="G62" s="218"/>
      <c r="H62" s="218"/>
      <c r="I62" s="218"/>
      <c r="J62" s="218"/>
      <c r="K62" s="405"/>
      <c r="L62" s="218"/>
      <c r="M62" s="218"/>
      <c r="N62" s="218"/>
      <c r="O62" s="218"/>
      <c r="P62" s="218"/>
      <c r="Q62" s="218"/>
      <c r="R62" s="218"/>
      <c r="S62" s="218"/>
      <c r="T62" s="218"/>
      <c r="U62" s="218"/>
      <c r="V62" s="218"/>
      <c r="W62" s="218"/>
      <c r="X62" s="142"/>
      <c r="Y6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2" s="156">
        <f>SUMIF(TblMagic[[#This Row],[Gaia''s Watch]:[Useless spell]],1)*0.05</f>
        <v>0</v>
      </c>
      <c r="AA62" s="142"/>
      <c r="AB62" s="57">
        <f ca="1">IF(TblMagic[[#This Row],[Gaia''s Watch]],12,IF(OFFSET(TblMagic[[#This Row],[Active Gaia''s Watch]],-1,0)&gt;0,OFFSET(TblMagic[[#This Row],[Active Gaia''s Watch]],-1,0)-1,0))</f>
        <v>0</v>
      </c>
      <c r="AC62" s="57">
        <f ca="1">IF(TblMagic[[#This Row],[Mining Strength]],12,IF(OFFSET(TblMagic[[#This Row],[Active Mining Strength]],-1,0)&gt;0,OFFSET(TblMagic[[#This Row],[Active Mining Strength]],-1,0)-1,0))</f>
        <v>0</v>
      </c>
      <c r="AD62" s="57">
        <f ca="1">IF(TblMagic[[#This Row],[Ares Call]],12,IF(OFFSET(TblMagic[[#This Row],[Active Ares Call]],-1,0)&gt;0,OFFSET(TblMagic[[#This Row],[Active Ares Call]],-1,0)-1,0))</f>
        <v>0</v>
      </c>
      <c r="AE62" s="57">
        <f ca="1">IF(TblMagic[[#This Row],[Midas Touch]],12,IF(OFFSET(TblMagic[[#This Row],[Active Midas Touch]],-1,0)&gt;0,OFFSET(TblMagic[[#This Row],[Active Midas Touch]],-1,0)-1,0))</f>
        <v>0</v>
      </c>
      <c r="AF62" s="57">
        <f ca="1">IF(TblMagic[[#This Row],[Harmony]],12,IF(OFFSET(TblMagic[[#This Row],[Active Harmony]],-1,0)&gt;0,OFFSET(TblMagic[[#This Row],[Active Harmony]],-1,0)-1,0))</f>
        <v>0</v>
      </c>
      <c r="AG62" s="57">
        <f ca="1">IF(TblMagic[[#This Row],[Miner''s Sight]],12,IF(OFFSET(TblMagic[[#This Row],[Active Miner''s Sight]],-1,0)&gt;0,OFFSET(TblMagic[[#This Row],[Active Miner''s Sight]],-1,0)-1,0))</f>
        <v>0</v>
      </c>
      <c r="AH62" s="57">
        <f ca="1">IF(TblMagic[[#This Row],[Mechanical Genius]],12,IF(OFFSET(TblMagic[[#This Row],[Active Mechanical Genius]],-1,0)&gt;0,OFFSET(TblMagic[[#This Row],[Active Mechanical Genius]],-1,0)-1,0))</f>
        <v>0</v>
      </c>
      <c r="AI62" s="57">
        <f ca="1">IF(TblMagic[[#This Row],[Death and Decay]],12,IF(OFFSET(TblMagic[[#This Row],[Active DnD]],-1,0)&gt;0,OFFSET(TblMagic[[#This Row],[Active DnD]],-1,0)-1,0))</f>
        <v>0</v>
      </c>
      <c r="AJ62" s="57">
        <f ca="1">IF(TblMagic[[#This Row],[Killing Rage / Bloodrage / Crusade]],12,IF(OFFSET(TblMagic[[#This Row],[Active Warsong / Killing Rage / Bloodrage]],-1,0)&gt;0,OFFSET(TblMagic[[#This Row],[Active Warsong / Killing Rage / Bloodrage]],-1,0)-1,0))</f>
        <v>0</v>
      </c>
      <c r="AK62" s="57">
        <f ca="1">IF(TblMagic[[#This Row],[Gaia''s Blessing]],12,IF(OFFSET(TblMagic[[#This Row],[Active Gaia''s Blessing]],-1,0)&gt;0,OFFSET(TblMagic[[#This Row],[Active Gaia''s Blessing]],-1,0)-1,0))</f>
        <v>0</v>
      </c>
      <c r="AL62" s="57">
        <f ca="1">IF(TblMagic[[#This Row],[Howling]],12,IF(OFFSET(TblMagic[[#This Row],[Active Howling]],-1,0)&gt;0,OFFSET(TblMagic[[#This Row],[Active Howling]],-1,0)-1,0))</f>
        <v>0</v>
      </c>
      <c r="AM62" s="57">
        <f ca="1">IF(TblMagic[[#This Row],[Arcane Infusion]],12,IF(OFFSET(TblMagic[[#This Row],[Active Arc Infusion]],-1,0)&gt;0,OFFSET(TblMagic[[#This Row],[Active Arc Infusion]],-1,0)-1,0))</f>
        <v>0</v>
      </c>
      <c r="AN62" s="57">
        <f ca="1">IF(TblMagic[[#This Row],[Alchemists Flame]],12,IF(OFFSET(TblMagic[[#This Row],[Active Alchemists Flame]],-1,0)&gt;0,OFFSET(TblMagic[[#This Row],[Active Alchemists Flame]],-1,0)-1,0))</f>
        <v>0</v>
      </c>
      <c r="AO62" s="57">
        <f ca="1">IF(TblMagic[[#This Row],[Nightfall]],12,IF(OFFSET(TblMagic[[#This Row],[Active Nightfall]],-1,0)&gt;0,OFFSET(TblMagic[[#This Row],[Active Nightfall]],-1,0)-1,0))</f>
        <v>0</v>
      </c>
      <c r="AP62" s="57">
        <f ca="1">IF(TblMagic[[#This Row],[Favorable Terrain]],12,IF(OFFSET(TblMagic[[#This Row],[Active Favorable Terrain]],-1,0)&gt;0,OFFSET(TblMagic[[#This Row],[Active Favorable Terrain]],-1,0)-1,0))</f>
        <v>0</v>
      </c>
      <c r="AQ62" s="57">
        <f ca="1">IF(TblMagic[[#This Row],[Infernal Command]],12,IF(OFFSET(TblMagic[[#This Row],[Active Infernal Command]],-1,0)&gt;0,OFFSET(TblMagic[[#This Row],[Active Infernal Command]],-1,0)-1,0))</f>
        <v>0</v>
      </c>
    </row>
    <row r="63" spans="1:43" x14ac:dyDescent="0.2">
      <c r="A63" s="137">
        <f>TblRezone[[#This Row],[Hour]]</f>
        <v>60</v>
      </c>
      <c r="B63" s="154">
        <f ca="1">TblConstr[[#This Row],[Land]]</f>
        <v>50</v>
      </c>
      <c r="C63" s="94">
        <f ca="1">TblProd[[#This Row],[Mana]]</f>
        <v>0</v>
      </c>
      <c r="D63" s="156">
        <f ca="1">MIN(1,OFFSET(TblMagic[[#This Row],[Wiz str]],-1,0)+0.04+ROUNDDOWN(10*OFFSET(TblMili[[#This Row],[WG''s]],-1,0),0)+ tech_2_7*OFFSET(TblTech[[#This Row],[2-7]],-1,0) + tech_5_6*OFFSET(TblTech[[#This Row],[5-6]],-1,0) )-TblMagic[[#This Row],[Wiz str cost]]</f>
        <v>1</v>
      </c>
      <c r="E63" s="159">
        <f ca="1">OFFSET(TblMagic[[#This Row],[Time]],-1,0)+1/24</f>
        <v>46322.45833333319</v>
      </c>
      <c r="F63" s="156">
        <f ca="1">TblImps[[#This Row],[Population]]</f>
        <v>1</v>
      </c>
      <c r="G63" s="218"/>
      <c r="H63" s="218"/>
      <c r="I63" s="218"/>
      <c r="J63" s="218"/>
      <c r="K63" s="405"/>
      <c r="L63" s="218"/>
      <c r="M63" s="218"/>
      <c r="N63" s="218"/>
      <c r="O63" s="218"/>
      <c r="P63" s="218"/>
      <c r="Q63" s="218"/>
      <c r="R63" s="218"/>
      <c r="S63" s="218"/>
      <c r="T63" s="218"/>
      <c r="U63" s="218"/>
      <c r="V63" s="218"/>
      <c r="W63" s="218"/>
      <c r="X63" s="142"/>
      <c r="Y6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3" s="156">
        <f>SUMIF(TblMagic[[#This Row],[Gaia''s Watch]:[Useless spell]],1)*0.05</f>
        <v>0</v>
      </c>
      <c r="AA63" s="142"/>
      <c r="AB63" s="57">
        <f ca="1">IF(TblMagic[[#This Row],[Gaia''s Watch]],12,IF(OFFSET(TblMagic[[#This Row],[Active Gaia''s Watch]],-1,0)&gt;0,OFFSET(TblMagic[[#This Row],[Active Gaia''s Watch]],-1,0)-1,0))</f>
        <v>0</v>
      </c>
      <c r="AC63" s="57">
        <f ca="1">IF(TblMagic[[#This Row],[Mining Strength]],12,IF(OFFSET(TblMagic[[#This Row],[Active Mining Strength]],-1,0)&gt;0,OFFSET(TblMagic[[#This Row],[Active Mining Strength]],-1,0)-1,0))</f>
        <v>0</v>
      </c>
      <c r="AD63" s="57">
        <f ca="1">IF(TblMagic[[#This Row],[Ares Call]],12,IF(OFFSET(TblMagic[[#This Row],[Active Ares Call]],-1,0)&gt;0,OFFSET(TblMagic[[#This Row],[Active Ares Call]],-1,0)-1,0))</f>
        <v>0</v>
      </c>
      <c r="AE63" s="57">
        <f ca="1">IF(TblMagic[[#This Row],[Midas Touch]],12,IF(OFFSET(TblMagic[[#This Row],[Active Midas Touch]],-1,0)&gt;0,OFFSET(TblMagic[[#This Row],[Active Midas Touch]],-1,0)-1,0))</f>
        <v>0</v>
      </c>
      <c r="AF63" s="57">
        <f ca="1">IF(TblMagic[[#This Row],[Harmony]],12,IF(OFFSET(TblMagic[[#This Row],[Active Harmony]],-1,0)&gt;0,OFFSET(TblMagic[[#This Row],[Active Harmony]],-1,0)-1,0))</f>
        <v>0</v>
      </c>
      <c r="AG63" s="57">
        <f ca="1">IF(TblMagic[[#This Row],[Miner''s Sight]],12,IF(OFFSET(TblMagic[[#This Row],[Active Miner''s Sight]],-1,0)&gt;0,OFFSET(TblMagic[[#This Row],[Active Miner''s Sight]],-1,0)-1,0))</f>
        <v>0</v>
      </c>
      <c r="AH63" s="57">
        <f ca="1">IF(TblMagic[[#This Row],[Mechanical Genius]],12,IF(OFFSET(TblMagic[[#This Row],[Active Mechanical Genius]],-1,0)&gt;0,OFFSET(TblMagic[[#This Row],[Active Mechanical Genius]],-1,0)-1,0))</f>
        <v>0</v>
      </c>
      <c r="AI63" s="57">
        <f ca="1">IF(TblMagic[[#This Row],[Death and Decay]],12,IF(OFFSET(TblMagic[[#This Row],[Active DnD]],-1,0)&gt;0,OFFSET(TblMagic[[#This Row],[Active DnD]],-1,0)-1,0))</f>
        <v>0</v>
      </c>
      <c r="AJ63" s="57">
        <f ca="1">IF(TblMagic[[#This Row],[Killing Rage / Bloodrage / Crusade]],12,IF(OFFSET(TblMagic[[#This Row],[Active Warsong / Killing Rage / Bloodrage]],-1,0)&gt;0,OFFSET(TblMagic[[#This Row],[Active Warsong / Killing Rage / Bloodrage]],-1,0)-1,0))</f>
        <v>0</v>
      </c>
      <c r="AK63" s="57">
        <f ca="1">IF(TblMagic[[#This Row],[Gaia''s Blessing]],12,IF(OFFSET(TblMagic[[#This Row],[Active Gaia''s Blessing]],-1,0)&gt;0,OFFSET(TblMagic[[#This Row],[Active Gaia''s Blessing]],-1,0)-1,0))</f>
        <v>0</v>
      </c>
      <c r="AL63" s="57">
        <f ca="1">IF(TblMagic[[#This Row],[Howling]],12,IF(OFFSET(TblMagic[[#This Row],[Active Howling]],-1,0)&gt;0,OFFSET(TblMagic[[#This Row],[Active Howling]],-1,0)-1,0))</f>
        <v>0</v>
      </c>
      <c r="AM63" s="57">
        <f ca="1">IF(TblMagic[[#This Row],[Arcane Infusion]],12,IF(OFFSET(TblMagic[[#This Row],[Active Arc Infusion]],-1,0)&gt;0,OFFSET(TblMagic[[#This Row],[Active Arc Infusion]],-1,0)-1,0))</f>
        <v>0</v>
      </c>
      <c r="AN63" s="57">
        <f ca="1">IF(TblMagic[[#This Row],[Alchemists Flame]],12,IF(OFFSET(TblMagic[[#This Row],[Active Alchemists Flame]],-1,0)&gt;0,OFFSET(TblMagic[[#This Row],[Active Alchemists Flame]],-1,0)-1,0))</f>
        <v>0</v>
      </c>
      <c r="AO63" s="57">
        <f ca="1">IF(TblMagic[[#This Row],[Nightfall]],12,IF(OFFSET(TblMagic[[#This Row],[Active Nightfall]],-1,0)&gt;0,OFFSET(TblMagic[[#This Row],[Active Nightfall]],-1,0)-1,0))</f>
        <v>0</v>
      </c>
      <c r="AP63" s="57">
        <f ca="1">IF(TblMagic[[#This Row],[Favorable Terrain]],12,IF(OFFSET(TblMagic[[#This Row],[Active Favorable Terrain]],-1,0)&gt;0,OFFSET(TblMagic[[#This Row],[Active Favorable Terrain]],-1,0)-1,0))</f>
        <v>0</v>
      </c>
      <c r="AQ63" s="57">
        <f ca="1">IF(TblMagic[[#This Row],[Infernal Command]],12,IF(OFFSET(TblMagic[[#This Row],[Active Infernal Command]],-1,0)&gt;0,OFFSET(TblMagic[[#This Row],[Active Infernal Command]],-1,0)-1,0))</f>
        <v>0</v>
      </c>
    </row>
    <row r="64" spans="1:43" x14ac:dyDescent="0.2">
      <c r="A64" s="137">
        <f>TblRezone[[#This Row],[Hour]]</f>
        <v>61</v>
      </c>
      <c r="B64" s="154">
        <f ca="1">TblConstr[[#This Row],[Land]]</f>
        <v>50</v>
      </c>
      <c r="C64" s="94">
        <f ca="1">TblProd[[#This Row],[Mana]]</f>
        <v>0</v>
      </c>
      <c r="D64" s="156">
        <f ca="1">MIN(1,OFFSET(TblMagic[[#This Row],[Wiz str]],-1,0)+0.04+ROUNDDOWN(10*OFFSET(TblMili[[#This Row],[WG''s]],-1,0),0)+ tech_2_7*OFFSET(TblTech[[#This Row],[2-7]],-1,0) + tech_5_6*OFFSET(TblTech[[#This Row],[5-6]],-1,0) )-TblMagic[[#This Row],[Wiz str cost]]</f>
        <v>1</v>
      </c>
      <c r="E64" s="159">
        <f ca="1">OFFSET(TblMagic[[#This Row],[Time]],-1,0)+1/24</f>
        <v>46322.499999999854</v>
      </c>
      <c r="F64" s="156">
        <f ca="1">TblImps[[#This Row],[Population]]</f>
        <v>1</v>
      </c>
      <c r="G64" s="218"/>
      <c r="H64" s="218"/>
      <c r="I64" s="218"/>
      <c r="J64" s="218"/>
      <c r="K64" s="405"/>
      <c r="L64" s="218"/>
      <c r="M64" s="218"/>
      <c r="N64" s="218"/>
      <c r="O64" s="218"/>
      <c r="P64" s="218"/>
      <c r="Q64" s="218"/>
      <c r="R64" s="218"/>
      <c r="S64" s="218"/>
      <c r="T64" s="218"/>
      <c r="U64" s="218"/>
      <c r="V64" s="218"/>
      <c r="W64" s="218"/>
      <c r="X64" s="142"/>
      <c r="Y6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4" s="156">
        <f>SUMIF(TblMagic[[#This Row],[Gaia''s Watch]:[Useless spell]],1)*0.05</f>
        <v>0</v>
      </c>
      <c r="AA64" s="142"/>
      <c r="AB64" s="57">
        <f ca="1">IF(TblMagic[[#This Row],[Gaia''s Watch]],12,IF(OFFSET(TblMagic[[#This Row],[Active Gaia''s Watch]],-1,0)&gt;0,OFFSET(TblMagic[[#This Row],[Active Gaia''s Watch]],-1,0)-1,0))</f>
        <v>0</v>
      </c>
      <c r="AC64" s="57">
        <f ca="1">IF(TblMagic[[#This Row],[Mining Strength]],12,IF(OFFSET(TblMagic[[#This Row],[Active Mining Strength]],-1,0)&gt;0,OFFSET(TblMagic[[#This Row],[Active Mining Strength]],-1,0)-1,0))</f>
        <v>0</v>
      </c>
      <c r="AD64" s="57">
        <f ca="1">IF(TblMagic[[#This Row],[Ares Call]],12,IF(OFFSET(TblMagic[[#This Row],[Active Ares Call]],-1,0)&gt;0,OFFSET(TblMagic[[#This Row],[Active Ares Call]],-1,0)-1,0))</f>
        <v>0</v>
      </c>
      <c r="AE64" s="57">
        <f ca="1">IF(TblMagic[[#This Row],[Midas Touch]],12,IF(OFFSET(TblMagic[[#This Row],[Active Midas Touch]],-1,0)&gt;0,OFFSET(TblMagic[[#This Row],[Active Midas Touch]],-1,0)-1,0))</f>
        <v>0</v>
      </c>
      <c r="AF64" s="57">
        <f ca="1">IF(TblMagic[[#This Row],[Harmony]],12,IF(OFFSET(TblMagic[[#This Row],[Active Harmony]],-1,0)&gt;0,OFFSET(TblMagic[[#This Row],[Active Harmony]],-1,0)-1,0))</f>
        <v>0</v>
      </c>
      <c r="AG64" s="57">
        <f ca="1">IF(TblMagic[[#This Row],[Miner''s Sight]],12,IF(OFFSET(TblMagic[[#This Row],[Active Miner''s Sight]],-1,0)&gt;0,OFFSET(TblMagic[[#This Row],[Active Miner''s Sight]],-1,0)-1,0))</f>
        <v>0</v>
      </c>
      <c r="AH64" s="57">
        <f ca="1">IF(TblMagic[[#This Row],[Mechanical Genius]],12,IF(OFFSET(TblMagic[[#This Row],[Active Mechanical Genius]],-1,0)&gt;0,OFFSET(TblMagic[[#This Row],[Active Mechanical Genius]],-1,0)-1,0))</f>
        <v>0</v>
      </c>
      <c r="AI64" s="57">
        <f ca="1">IF(TblMagic[[#This Row],[Death and Decay]],12,IF(OFFSET(TblMagic[[#This Row],[Active DnD]],-1,0)&gt;0,OFFSET(TblMagic[[#This Row],[Active DnD]],-1,0)-1,0))</f>
        <v>0</v>
      </c>
      <c r="AJ64" s="57">
        <f ca="1">IF(TblMagic[[#This Row],[Killing Rage / Bloodrage / Crusade]],12,IF(OFFSET(TblMagic[[#This Row],[Active Warsong / Killing Rage / Bloodrage]],-1,0)&gt;0,OFFSET(TblMagic[[#This Row],[Active Warsong / Killing Rage / Bloodrage]],-1,0)-1,0))</f>
        <v>0</v>
      </c>
      <c r="AK64" s="57">
        <f ca="1">IF(TblMagic[[#This Row],[Gaia''s Blessing]],12,IF(OFFSET(TblMagic[[#This Row],[Active Gaia''s Blessing]],-1,0)&gt;0,OFFSET(TblMagic[[#This Row],[Active Gaia''s Blessing]],-1,0)-1,0))</f>
        <v>0</v>
      </c>
      <c r="AL64" s="57">
        <f ca="1">IF(TblMagic[[#This Row],[Howling]],12,IF(OFFSET(TblMagic[[#This Row],[Active Howling]],-1,0)&gt;0,OFFSET(TblMagic[[#This Row],[Active Howling]],-1,0)-1,0))</f>
        <v>0</v>
      </c>
      <c r="AM64" s="57">
        <f ca="1">IF(TblMagic[[#This Row],[Arcane Infusion]],12,IF(OFFSET(TblMagic[[#This Row],[Active Arc Infusion]],-1,0)&gt;0,OFFSET(TblMagic[[#This Row],[Active Arc Infusion]],-1,0)-1,0))</f>
        <v>0</v>
      </c>
      <c r="AN64" s="57">
        <f ca="1">IF(TblMagic[[#This Row],[Alchemists Flame]],12,IF(OFFSET(TblMagic[[#This Row],[Active Alchemists Flame]],-1,0)&gt;0,OFFSET(TblMagic[[#This Row],[Active Alchemists Flame]],-1,0)-1,0))</f>
        <v>0</v>
      </c>
      <c r="AO64" s="57">
        <f ca="1">IF(TblMagic[[#This Row],[Nightfall]],12,IF(OFFSET(TblMagic[[#This Row],[Active Nightfall]],-1,0)&gt;0,OFFSET(TblMagic[[#This Row],[Active Nightfall]],-1,0)-1,0))</f>
        <v>0</v>
      </c>
      <c r="AP64" s="57">
        <f ca="1">IF(TblMagic[[#This Row],[Favorable Terrain]],12,IF(OFFSET(TblMagic[[#This Row],[Active Favorable Terrain]],-1,0)&gt;0,OFFSET(TblMagic[[#This Row],[Active Favorable Terrain]],-1,0)-1,0))</f>
        <v>0</v>
      </c>
      <c r="AQ64" s="57">
        <f ca="1">IF(TblMagic[[#This Row],[Infernal Command]],12,IF(OFFSET(TblMagic[[#This Row],[Active Infernal Command]],-1,0)&gt;0,OFFSET(TblMagic[[#This Row],[Active Infernal Command]],-1,0)-1,0))</f>
        <v>0</v>
      </c>
    </row>
    <row r="65" spans="1:43" x14ac:dyDescent="0.2">
      <c r="A65" s="137">
        <f>TblRezone[[#This Row],[Hour]]</f>
        <v>62</v>
      </c>
      <c r="B65" s="154">
        <f ca="1">TblConstr[[#This Row],[Land]]</f>
        <v>50</v>
      </c>
      <c r="C65" s="94">
        <f ca="1">TblProd[[#This Row],[Mana]]</f>
        <v>0</v>
      </c>
      <c r="D65" s="156">
        <f ca="1">MIN(1,OFFSET(TblMagic[[#This Row],[Wiz str]],-1,0)+0.04+ROUNDDOWN(10*OFFSET(TblMili[[#This Row],[WG''s]],-1,0),0)+ tech_2_7*OFFSET(TblTech[[#This Row],[2-7]],-1,0) + tech_5_6*OFFSET(TblTech[[#This Row],[5-6]],-1,0) )-TblMagic[[#This Row],[Wiz str cost]]</f>
        <v>1</v>
      </c>
      <c r="E65" s="159">
        <f ca="1">OFFSET(TblMagic[[#This Row],[Time]],-1,0)+1/24</f>
        <v>46322.541666666519</v>
      </c>
      <c r="F65" s="156">
        <f ca="1">TblImps[[#This Row],[Population]]</f>
        <v>1</v>
      </c>
      <c r="G65" s="218"/>
      <c r="H65" s="218"/>
      <c r="I65" s="218"/>
      <c r="J65" s="218"/>
      <c r="K65" s="405"/>
      <c r="L65" s="218"/>
      <c r="M65" s="218"/>
      <c r="N65" s="218"/>
      <c r="O65" s="218"/>
      <c r="P65" s="218"/>
      <c r="Q65" s="218"/>
      <c r="R65" s="218"/>
      <c r="S65" s="218"/>
      <c r="T65" s="218"/>
      <c r="U65" s="218"/>
      <c r="V65" s="218"/>
      <c r="W65" s="218"/>
      <c r="X65" s="142"/>
      <c r="Y6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5" s="156">
        <f>SUMIF(TblMagic[[#This Row],[Gaia''s Watch]:[Useless spell]],1)*0.05</f>
        <v>0</v>
      </c>
      <c r="AA65" s="142"/>
      <c r="AB65" s="57">
        <f ca="1">IF(TblMagic[[#This Row],[Gaia''s Watch]],12,IF(OFFSET(TblMagic[[#This Row],[Active Gaia''s Watch]],-1,0)&gt;0,OFFSET(TblMagic[[#This Row],[Active Gaia''s Watch]],-1,0)-1,0))</f>
        <v>0</v>
      </c>
      <c r="AC65" s="57">
        <f ca="1">IF(TblMagic[[#This Row],[Mining Strength]],12,IF(OFFSET(TblMagic[[#This Row],[Active Mining Strength]],-1,0)&gt;0,OFFSET(TblMagic[[#This Row],[Active Mining Strength]],-1,0)-1,0))</f>
        <v>0</v>
      </c>
      <c r="AD65" s="57">
        <f ca="1">IF(TblMagic[[#This Row],[Ares Call]],12,IF(OFFSET(TblMagic[[#This Row],[Active Ares Call]],-1,0)&gt;0,OFFSET(TblMagic[[#This Row],[Active Ares Call]],-1,0)-1,0))</f>
        <v>0</v>
      </c>
      <c r="AE65" s="57">
        <f ca="1">IF(TblMagic[[#This Row],[Midas Touch]],12,IF(OFFSET(TblMagic[[#This Row],[Active Midas Touch]],-1,0)&gt;0,OFFSET(TblMagic[[#This Row],[Active Midas Touch]],-1,0)-1,0))</f>
        <v>0</v>
      </c>
      <c r="AF65" s="57">
        <f ca="1">IF(TblMagic[[#This Row],[Harmony]],12,IF(OFFSET(TblMagic[[#This Row],[Active Harmony]],-1,0)&gt;0,OFFSET(TblMagic[[#This Row],[Active Harmony]],-1,0)-1,0))</f>
        <v>0</v>
      </c>
      <c r="AG65" s="57">
        <f ca="1">IF(TblMagic[[#This Row],[Miner''s Sight]],12,IF(OFFSET(TblMagic[[#This Row],[Active Miner''s Sight]],-1,0)&gt;0,OFFSET(TblMagic[[#This Row],[Active Miner''s Sight]],-1,0)-1,0))</f>
        <v>0</v>
      </c>
      <c r="AH65" s="57">
        <f ca="1">IF(TblMagic[[#This Row],[Mechanical Genius]],12,IF(OFFSET(TblMagic[[#This Row],[Active Mechanical Genius]],-1,0)&gt;0,OFFSET(TblMagic[[#This Row],[Active Mechanical Genius]],-1,0)-1,0))</f>
        <v>0</v>
      </c>
      <c r="AI65" s="57">
        <f ca="1">IF(TblMagic[[#This Row],[Death and Decay]],12,IF(OFFSET(TblMagic[[#This Row],[Active DnD]],-1,0)&gt;0,OFFSET(TblMagic[[#This Row],[Active DnD]],-1,0)-1,0))</f>
        <v>0</v>
      </c>
      <c r="AJ65" s="57">
        <f ca="1">IF(TblMagic[[#This Row],[Killing Rage / Bloodrage / Crusade]],12,IF(OFFSET(TblMagic[[#This Row],[Active Warsong / Killing Rage / Bloodrage]],-1,0)&gt;0,OFFSET(TblMagic[[#This Row],[Active Warsong / Killing Rage / Bloodrage]],-1,0)-1,0))</f>
        <v>0</v>
      </c>
      <c r="AK65" s="57">
        <f ca="1">IF(TblMagic[[#This Row],[Gaia''s Blessing]],12,IF(OFFSET(TblMagic[[#This Row],[Active Gaia''s Blessing]],-1,0)&gt;0,OFFSET(TblMagic[[#This Row],[Active Gaia''s Blessing]],-1,0)-1,0))</f>
        <v>0</v>
      </c>
      <c r="AL65" s="57">
        <f ca="1">IF(TblMagic[[#This Row],[Howling]],12,IF(OFFSET(TblMagic[[#This Row],[Active Howling]],-1,0)&gt;0,OFFSET(TblMagic[[#This Row],[Active Howling]],-1,0)-1,0))</f>
        <v>0</v>
      </c>
      <c r="AM65" s="57">
        <f ca="1">IF(TblMagic[[#This Row],[Arcane Infusion]],12,IF(OFFSET(TblMagic[[#This Row],[Active Arc Infusion]],-1,0)&gt;0,OFFSET(TblMagic[[#This Row],[Active Arc Infusion]],-1,0)-1,0))</f>
        <v>0</v>
      </c>
      <c r="AN65" s="57">
        <f ca="1">IF(TblMagic[[#This Row],[Alchemists Flame]],12,IF(OFFSET(TblMagic[[#This Row],[Active Alchemists Flame]],-1,0)&gt;0,OFFSET(TblMagic[[#This Row],[Active Alchemists Flame]],-1,0)-1,0))</f>
        <v>0</v>
      </c>
      <c r="AO65" s="57">
        <f ca="1">IF(TblMagic[[#This Row],[Nightfall]],12,IF(OFFSET(TblMagic[[#This Row],[Active Nightfall]],-1,0)&gt;0,OFFSET(TblMagic[[#This Row],[Active Nightfall]],-1,0)-1,0))</f>
        <v>0</v>
      </c>
      <c r="AP65" s="57">
        <f ca="1">IF(TblMagic[[#This Row],[Favorable Terrain]],12,IF(OFFSET(TblMagic[[#This Row],[Active Favorable Terrain]],-1,0)&gt;0,OFFSET(TblMagic[[#This Row],[Active Favorable Terrain]],-1,0)-1,0))</f>
        <v>0</v>
      </c>
      <c r="AQ65" s="57">
        <f ca="1">IF(TblMagic[[#This Row],[Infernal Command]],12,IF(OFFSET(TblMagic[[#This Row],[Active Infernal Command]],-1,0)&gt;0,OFFSET(TblMagic[[#This Row],[Active Infernal Command]],-1,0)-1,0))</f>
        <v>0</v>
      </c>
    </row>
    <row r="66" spans="1:43" x14ac:dyDescent="0.2">
      <c r="A66" s="137">
        <f>TblRezone[[#This Row],[Hour]]</f>
        <v>63</v>
      </c>
      <c r="B66" s="154">
        <f ca="1">TblConstr[[#This Row],[Land]]</f>
        <v>50</v>
      </c>
      <c r="C66" s="94">
        <f ca="1">TblProd[[#This Row],[Mana]]</f>
        <v>0</v>
      </c>
      <c r="D66" s="156">
        <f ca="1">MIN(1,OFFSET(TblMagic[[#This Row],[Wiz str]],-1,0)+0.04+ROUNDDOWN(10*OFFSET(TblMili[[#This Row],[WG''s]],-1,0),0)+ tech_2_7*OFFSET(TblTech[[#This Row],[2-7]],-1,0) + tech_5_6*OFFSET(TblTech[[#This Row],[5-6]],-1,0) )-TblMagic[[#This Row],[Wiz str cost]]</f>
        <v>1</v>
      </c>
      <c r="E66" s="159">
        <f ca="1">OFFSET(TblMagic[[#This Row],[Time]],-1,0)+1/24</f>
        <v>46322.583333333183</v>
      </c>
      <c r="F66" s="156">
        <f ca="1">TblImps[[#This Row],[Population]]</f>
        <v>1</v>
      </c>
      <c r="G66" s="218"/>
      <c r="H66" s="218"/>
      <c r="I66" s="218"/>
      <c r="J66" s="218"/>
      <c r="K66" s="405"/>
      <c r="L66" s="218"/>
      <c r="M66" s="218"/>
      <c r="N66" s="218"/>
      <c r="O66" s="218"/>
      <c r="P66" s="218"/>
      <c r="Q66" s="218"/>
      <c r="R66" s="218"/>
      <c r="S66" s="218"/>
      <c r="T66" s="218"/>
      <c r="U66" s="218"/>
      <c r="V66" s="218"/>
      <c r="W66" s="218"/>
      <c r="X66" s="142"/>
      <c r="Y6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6" s="156">
        <f>SUMIF(TblMagic[[#This Row],[Gaia''s Watch]:[Useless spell]],1)*0.05</f>
        <v>0</v>
      </c>
      <c r="AA66" s="142"/>
      <c r="AB66" s="57">
        <f ca="1">IF(TblMagic[[#This Row],[Gaia''s Watch]],12,IF(OFFSET(TblMagic[[#This Row],[Active Gaia''s Watch]],-1,0)&gt;0,OFFSET(TblMagic[[#This Row],[Active Gaia''s Watch]],-1,0)-1,0))</f>
        <v>0</v>
      </c>
      <c r="AC66" s="57">
        <f ca="1">IF(TblMagic[[#This Row],[Mining Strength]],12,IF(OFFSET(TblMagic[[#This Row],[Active Mining Strength]],-1,0)&gt;0,OFFSET(TblMagic[[#This Row],[Active Mining Strength]],-1,0)-1,0))</f>
        <v>0</v>
      </c>
      <c r="AD66" s="57">
        <f ca="1">IF(TblMagic[[#This Row],[Ares Call]],12,IF(OFFSET(TblMagic[[#This Row],[Active Ares Call]],-1,0)&gt;0,OFFSET(TblMagic[[#This Row],[Active Ares Call]],-1,0)-1,0))</f>
        <v>0</v>
      </c>
      <c r="AE66" s="57">
        <f ca="1">IF(TblMagic[[#This Row],[Midas Touch]],12,IF(OFFSET(TblMagic[[#This Row],[Active Midas Touch]],-1,0)&gt;0,OFFSET(TblMagic[[#This Row],[Active Midas Touch]],-1,0)-1,0))</f>
        <v>0</v>
      </c>
      <c r="AF66" s="57">
        <f ca="1">IF(TblMagic[[#This Row],[Harmony]],12,IF(OFFSET(TblMagic[[#This Row],[Active Harmony]],-1,0)&gt;0,OFFSET(TblMagic[[#This Row],[Active Harmony]],-1,0)-1,0))</f>
        <v>0</v>
      </c>
      <c r="AG66" s="57">
        <f ca="1">IF(TblMagic[[#This Row],[Miner''s Sight]],12,IF(OFFSET(TblMagic[[#This Row],[Active Miner''s Sight]],-1,0)&gt;0,OFFSET(TblMagic[[#This Row],[Active Miner''s Sight]],-1,0)-1,0))</f>
        <v>0</v>
      </c>
      <c r="AH66" s="57">
        <f ca="1">IF(TblMagic[[#This Row],[Mechanical Genius]],12,IF(OFFSET(TblMagic[[#This Row],[Active Mechanical Genius]],-1,0)&gt;0,OFFSET(TblMagic[[#This Row],[Active Mechanical Genius]],-1,0)-1,0))</f>
        <v>0</v>
      </c>
      <c r="AI66" s="57">
        <f ca="1">IF(TblMagic[[#This Row],[Death and Decay]],12,IF(OFFSET(TblMagic[[#This Row],[Active DnD]],-1,0)&gt;0,OFFSET(TblMagic[[#This Row],[Active DnD]],-1,0)-1,0))</f>
        <v>0</v>
      </c>
      <c r="AJ66" s="57">
        <f ca="1">IF(TblMagic[[#This Row],[Killing Rage / Bloodrage / Crusade]],12,IF(OFFSET(TblMagic[[#This Row],[Active Warsong / Killing Rage / Bloodrage]],-1,0)&gt;0,OFFSET(TblMagic[[#This Row],[Active Warsong / Killing Rage / Bloodrage]],-1,0)-1,0))</f>
        <v>0</v>
      </c>
      <c r="AK66" s="57">
        <f ca="1">IF(TblMagic[[#This Row],[Gaia''s Blessing]],12,IF(OFFSET(TblMagic[[#This Row],[Active Gaia''s Blessing]],-1,0)&gt;0,OFFSET(TblMagic[[#This Row],[Active Gaia''s Blessing]],-1,0)-1,0))</f>
        <v>0</v>
      </c>
      <c r="AL66" s="57">
        <f ca="1">IF(TblMagic[[#This Row],[Howling]],12,IF(OFFSET(TblMagic[[#This Row],[Active Howling]],-1,0)&gt;0,OFFSET(TblMagic[[#This Row],[Active Howling]],-1,0)-1,0))</f>
        <v>0</v>
      </c>
      <c r="AM66" s="57">
        <f ca="1">IF(TblMagic[[#This Row],[Arcane Infusion]],12,IF(OFFSET(TblMagic[[#This Row],[Active Arc Infusion]],-1,0)&gt;0,OFFSET(TblMagic[[#This Row],[Active Arc Infusion]],-1,0)-1,0))</f>
        <v>0</v>
      </c>
      <c r="AN66" s="57">
        <f ca="1">IF(TblMagic[[#This Row],[Alchemists Flame]],12,IF(OFFSET(TblMagic[[#This Row],[Active Alchemists Flame]],-1,0)&gt;0,OFFSET(TblMagic[[#This Row],[Active Alchemists Flame]],-1,0)-1,0))</f>
        <v>0</v>
      </c>
      <c r="AO66" s="57">
        <f ca="1">IF(TblMagic[[#This Row],[Nightfall]],12,IF(OFFSET(TblMagic[[#This Row],[Active Nightfall]],-1,0)&gt;0,OFFSET(TblMagic[[#This Row],[Active Nightfall]],-1,0)-1,0))</f>
        <v>0</v>
      </c>
      <c r="AP66" s="57">
        <f ca="1">IF(TblMagic[[#This Row],[Favorable Terrain]],12,IF(OFFSET(TblMagic[[#This Row],[Active Favorable Terrain]],-1,0)&gt;0,OFFSET(TblMagic[[#This Row],[Active Favorable Terrain]],-1,0)-1,0))</f>
        <v>0</v>
      </c>
      <c r="AQ66" s="57">
        <f ca="1">IF(TblMagic[[#This Row],[Infernal Command]],12,IF(OFFSET(TblMagic[[#This Row],[Active Infernal Command]],-1,0)&gt;0,OFFSET(TblMagic[[#This Row],[Active Infernal Command]],-1,0)-1,0))</f>
        <v>0</v>
      </c>
    </row>
    <row r="67" spans="1:43" x14ac:dyDescent="0.2">
      <c r="A67" s="137">
        <f>TblRezone[[#This Row],[Hour]]</f>
        <v>64</v>
      </c>
      <c r="B67" s="154">
        <f ca="1">TblConstr[[#This Row],[Land]]</f>
        <v>50</v>
      </c>
      <c r="C67" s="94">
        <f ca="1">TblProd[[#This Row],[Mana]]</f>
        <v>0</v>
      </c>
      <c r="D67" s="156">
        <f ca="1">MIN(1,OFFSET(TblMagic[[#This Row],[Wiz str]],-1,0)+0.04+ROUNDDOWN(10*OFFSET(TblMili[[#This Row],[WG''s]],-1,0),0)+ tech_2_7*OFFSET(TblTech[[#This Row],[2-7]],-1,0) + tech_5_6*OFFSET(TblTech[[#This Row],[5-6]],-1,0) )-TblMagic[[#This Row],[Wiz str cost]]</f>
        <v>1</v>
      </c>
      <c r="E67" s="159">
        <f ca="1">OFFSET(TblMagic[[#This Row],[Time]],-1,0)+1/24</f>
        <v>46322.624999999847</v>
      </c>
      <c r="F67" s="156">
        <f ca="1">TblImps[[#This Row],[Population]]</f>
        <v>1</v>
      </c>
      <c r="G67" s="218"/>
      <c r="H67" s="218"/>
      <c r="I67" s="218"/>
      <c r="J67" s="218"/>
      <c r="K67" s="405"/>
      <c r="L67" s="218"/>
      <c r="M67" s="218"/>
      <c r="N67" s="218"/>
      <c r="O67" s="218"/>
      <c r="P67" s="218"/>
      <c r="Q67" s="218"/>
      <c r="R67" s="218"/>
      <c r="S67" s="218"/>
      <c r="T67" s="218"/>
      <c r="U67" s="218"/>
      <c r="V67" s="218"/>
      <c r="W67" s="218"/>
      <c r="X67" s="142"/>
      <c r="Y6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7" s="156">
        <f>SUMIF(TblMagic[[#This Row],[Gaia''s Watch]:[Useless spell]],1)*0.05</f>
        <v>0</v>
      </c>
      <c r="AA67" s="142"/>
      <c r="AB67" s="57">
        <f ca="1">IF(TblMagic[[#This Row],[Gaia''s Watch]],12,IF(OFFSET(TblMagic[[#This Row],[Active Gaia''s Watch]],-1,0)&gt;0,OFFSET(TblMagic[[#This Row],[Active Gaia''s Watch]],-1,0)-1,0))</f>
        <v>0</v>
      </c>
      <c r="AC67" s="57">
        <f ca="1">IF(TblMagic[[#This Row],[Mining Strength]],12,IF(OFFSET(TblMagic[[#This Row],[Active Mining Strength]],-1,0)&gt;0,OFFSET(TblMagic[[#This Row],[Active Mining Strength]],-1,0)-1,0))</f>
        <v>0</v>
      </c>
      <c r="AD67" s="57">
        <f ca="1">IF(TblMagic[[#This Row],[Ares Call]],12,IF(OFFSET(TblMagic[[#This Row],[Active Ares Call]],-1,0)&gt;0,OFFSET(TblMagic[[#This Row],[Active Ares Call]],-1,0)-1,0))</f>
        <v>0</v>
      </c>
      <c r="AE67" s="57">
        <f ca="1">IF(TblMagic[[#This Row],[Midas Touch]],12,IF(OFFSET(TblMagic[[#This Row],[Active Midas Touch]],-1,0)&gt;0,OFFSET(TblMagic[[#This Row],[Active Midas Touch]],-1,0)-1,0))</f>
        <v>0</v>
      </c>
      <c r="AF67" s="57">
        <f ca="1">IF(TblMagic[[#This Row],[Harmony]],12,IF(OFFSET(TblMagic[[#This Row],[Active Harmony]],-1,0)&gt;0,OFFSET(TblMagic[[#This Row],[Active Harmony]],-1,0)-1,0))</f>
        <v>0</v>
      </c>
      <c r="AG67" s="57">
        <f ca="1">IF(TblMagic[[#This Row],[Miner''s Sight]],12,IF(OFFSET(TblMagic[[#This Row],[Active Miner''s Sight]],-1,0)&gt;0,OFFSET(TblMagic[[#This Row],[Active Miner''s Sight]],-1,0)-1,0))</f>
        <v>0</v>
      </c>
      <c r="AH67" s="57">
        <f ca="1">IF(TblMagic[[#This Row],[Mechanical Genius]],12,IF(OFFSET(TblMagic[[#This Row],[Active Mechanical Genius]],-1,0)&gt;0,OFFSET(TblMagic[[#This Row],[Active Mechanical Genius]],-1,0)-1,0))</f>
        <v>0</v>
      </c>
      <c r="AI67" s="57">
        <f ca="1">IF(TblMagic[[#This Row],[Death and Decay]],12,IF(OFFSET(TblMagic[[#This Row],[Active DnD]],-1,0)&gt;0,OFFSET(TblMagic[[#This Row],[Active DnD]],-1,0)-1,0))</f>
        <v>0</v>
      </c>
      <c r="AJ67" s="57">
        <f ca="1">IF(TblMagic[[#This Row],[Killing Rage / Bloodrage / Crusade]],12,IF(OFFSET(TblMagic[[#This Row],[Active Warsong / Killing Rage / Bloodrage]],-1,0)&gt;0,OFFSET(TblMagic[[#This Row],[Active Warsong / Killing Rage / Bloodrage]],-1,0)-1,0))</f>
        <v>0</v>
      </c>
      <c r="AK67" s="57">
        <f ca="1">IF(TblMagic[[#This Row],[Gaia''s Blessing]],12,IF(OFFSET(TblMagic[[#This Row],[Active Gaia''s Blessing]],-1,0)&gt;0,OFFSET(TblMagic[[#This Row],[Active Gaia''s Blessing]],-1,0)-1,0))</f>
        <v>0</v>
      </c>
      <c r="AL67" s="57">
        <f ca="1">IF(TblMagic[[#This Row],[Howling]],12,IF(OFFSET(TblMagic[[#This Row],[Active Howling]],-1,0)&gt;0,OFFSET(TblMagic[[#This Row],[Active Howling]],-1,0)-1,0))</f>
        <v>0</v>
      </c>
      <c r="AM67" s="57">
        <f ca="1">IF(TblMagic[[#This Row],[Arcane Infusion]],12,IF(OFFSET(TblMagic[[#This Row],[Active Arc Infusion]],-1,0)&gt;0,OFFSET(TblMagic[[#This Row],[Active Arc Infusion]],-1,0)-1,0))</f>
        <v>0</v>
      </c>
      <c r="AN67" s="57">
        <f ca="1">IF(TblMagic[[#This Row],[Alchemists Flame]],12,IF(OFFSET(TblMagic[[#This Row],[Active Alchemists Flame]],-1,0)&gt;0,OFFSET(TblMagic[[#This Row],[Active Alchemists Flame]],-1,0)-1,0))</f>
        <v>0</v>
      </c>
      <c r="AO67" s="57">
        <f ca="1">IF(TblMagic[[#This Row],[Nightfall]],12,IF(OFFSET(TblMagic[[#This Row],[Active Nightfall]],-1,0)&gt;0,OFFSET(TblMagic[[#This Row],[Active Nightfall]],-1,0)-1,0))</f>
        <v>0</v>
      </c>
      <c r="AP67" s="57">
        <f ca="1">IF(TblMagic[[#This Row],[Favorable Terrain]],12,IF(OFFSET(TblMagic[[#This Row],[Active Favorable Terrain]],-1,0)&gt;0,OFFSET(TblMagic[[#This Row],[Active Favorable Terrain]],-1,0)-1,0))</f>
        <v>0</v>
      </c>
      <c r="AQ67" s="57">
        <f ca="1">IF(TblMagic[[#This Row],[Infernal Command]],12,IF(OFFSET(TblMagic[[#This Row],[Active Infernal Command]],-1,0)&gt;0,OFFSET(TblMagic[[#This Row],[Active Infernal Command]],-1,0)-1,0))</f>
        <v>0</v>
      </c>
    </row>
    <row r="68" spans="1:43" x14ac:dyDescent="0.2">
      <c r="A68" s="137">
        <f>TblRezone[[#This Row],[Hour]]</f>
        <v>65</v>
      </c>
      <c r="B68" s="154">
        <f ca="1">TblConstr[[#This Row],[Land]]</f>
        <v>50</v>
      </c>
      <c r="C68" s="94">
        <f ca="1">TblProd[[#This Row],[Mana]]</f>
        <v>0</v>
      </c>
      <c r="D68" s="156">
        <f ca="1">MIN(1,OFFSET(TblMagic[[#This Row],[Wiz str]],-1,0)+0.04+ROUNDDOWN(10*OFFSET(TblMili[[#This Row],[WG''s]],-1,0),0)+ tech_2_7*OFFSET(TblTech[[#This Row],[2-7]],-1,0) + tech_5_6*OFFSET(TblTech[[#This Row],[5-6]],-1,0) )-TblMagic[[#This Row],[Wiz str cost]]</f>
        <v>1</v>
      </c>
      <c r="E68" s="159">
        <f ca="1">OFFSET(TblMagic[[#This Row],[Time]],-1,0)+1/24</f>
        <v>46322.666666666511</v>
      </c>
      <c r="F68" s="156">
        <f ca="1">TblImps[[#This Row],[Population]]</f>
        <v>1</v>
      </c>
      <c r="G68" s="218"/>
      <c r="H68" s="218"/>
      <c r="I68" s="218"/>
      <c r="J68" s="218"/>
      <c r="K68" s="405"/>
      <c r="L68" s="218"/>
      <c r="M68" s="218"/>
      <c r="N68" s="218"/>
      <c r="O68" s="218"/>
      <c r="P68" s="218"/>
      <c r="Q68" s="218"/>
      <c r="R68" s="218"/>
      <c r="S68" s="218"/>
      <c r="T68" s="218"/>
      <c r="U68" s="218"/>
      <c r="V68" s="218"/>
      <c r="W68" s="218"/>
      <c r="X68" s="142"/>
      <c r="Y6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8" s="156">
        <f>SUMIF(TblMagic[[#This Row],[Gaia''s Watch]:[Useless spell]],1)*0.05</f>
        <v>0</v>
      </c>
      <c r="AA68" s="142"/>
      <c r="AB68" s="57">
        <f ca="1">IF(TblMagic[[#This Row],[Gaia''s Watch]],12,IF(OFFSET(TblMagic[[#This Row],[Active Gaia''s Watch]],-1,0)&gt;0,OFFSET(TblMagic[[#This Row],[Active Gaia''s Watch]],-1,0)-1,0))</f>
        <v>0</v>
      </c>
      <c r="AC68" s="57">
        <f ca="1">IF(TblMagic[[#This Row],[Mining Strength]],12,IF(OFFSET(TblMagic[[#This Row],[Active Mining Strength]],-1,0)&gt;0,OFFSET(TblMagic[[#This Row],[Active Mining Strength]],-1,0)-1,0))</f>
        <v>0</v>
      </c>
      <c r="AD68" s="57">
        <f ca="1">IF(TblMagic[[#This Row],[Ares Call]],12,IF(OFFSET(TblMagic[[#This Row],[Active Ares Call]],-1,0)&gt;0,OFFSET(TblMagic[[#This Row],[Active Ares Call]],-1,0)-1,0))</f>
        <v>0</v>
      </c>
      <c r="AE68" s="57">
        <f ca="1">IF(TblMagic[[#This Row],[Midas Touch]],12,IF(OFFSET(TblMagic[[#This Row],[Active Midas Touch]],-1,0)&gt;0,OFFSET(TblMagic[[#This Row],[Active Midas Touch]],-1,0)-1,0))</f>
        <v>0</v>
      </c>
      <c r="AF68" s="57">
        <f ca="1">IF(TblMagic[[#This Row],[Harmony]],12,IF(OFFSET(TblMagic[[#This Row],[Active Harmony]],-1,0)&gt;0,OFFSET(TblMagic[[#This Row],[Active Harmony]],-1,0)-1,0))</f>
        <v>0</v>
      </c>
      <c r="AG68" s="57">
        <f ca="1">IF(TblMagic[[#This Row],[Miner''s Sight]],12,IF(OFFSET(TblMagic[[#This Row],[Active Miner''s Sight]],-1,0)&gt;0,OFFSET(TblMagic[[#This Row],[Active Miner''s Sight]],-1,0)-1,0))</f>
        <v>0</v>
      </c>
      <c r="AH68" s="57">
        <f ca="1">IF(TblMagic[[#This Row],[Mechanical Genius]],12,IF(OFFSET(TblMagic[[#This Row],[Active Mechanical Genius]],-1,0)&gt;0,OFFSET(TblMagic[[#This Row],[Active Mechanical Genius]],-1,0)-1,0))</f>
        <v>0</v>
      </c>
      <c r="AI68" s="57">
        <f ca="1">IF(TblMagic[[#This Row],[Death and Decay]],12,IF(OFFSET(TblMagic[[#This Row],[Active DnD]],-1,0)&gt;0,OFFSET(TblMagic[[#This Row],[Active DnD]],-1,0)-1,0))</f>
        <v>0</v>
      </c>
      <c r="AJ68" s="57">
        <f ca="1">IF(TblMagic[[#This Row],[Killing Rage / Bloodrage / Crusade]],12,IF(OFFSET(TblMagic[[#This Row],[Active Warsong / Killing Rage / Bloodrage]],-1,0)&gt;0,OFFSET(TblMagic[[#This Row],[Active Warsong / Killing Rage / Bloodrage]],-1,0)-1,0))</f>
        <v>0</v>
      </c>
      <c r="AK68" s="57">
        <f ca="1">IF(TblMagic[[#This Row],[Gaia''s Blessing]],12,IF(OFFSET(TblMagic[[#This Row],[Active Gaia''s Blessing]],-1,0)&gt;0,OFFSET(TblMagic[[#This Row],[Active Gaia''s Blessing]],-1,0)-1,0))</f>
        <v>0</v>
      </c>
      <c r="AL68" s="57">
        <f ca="1">IF(TblMagic[[#This Row],[Howling]],12,IF(OFFSET(TblMagic[[#This Row],[Active Howling]],-1,0)&gt;0,OFFSET(TblMagic[[#This Row],[Active Howling]],-1,0)-1,0))</f>
        <v>0</v>
      </c>
      <c r="AM68" s="57">
        <f ca="1">IF(TblMagic[[#This Row],[Arcane Infusion]],12,IF(OFFSET(TblMagic[[#This Row],[Active Arc Infusion]],-1,0)&gt;0,OFFSET(TblMagic[[#This Row],[Active Arc Infusion]],-1,0)-1,0))</f>
        <v>0</v>
      </c>
      <c r="AN68" s="57">
        <f ca="1">IF(TblMagic[[#This Row],[Alchemists Flame]],12,IF(OFFSET(TblMagic[[#This Row],[Active Alchemists Flame]],-1,0)&gt;0,OFFSET(TblMagic[[#This Row],[Active Alchemists Flame]],-1,0)-1,0))</f>
        <v>0</v>
      </c>
      <c r="AO68" s="57">
        <f ca="1">IF(TblMagic[[#This Row],[Nightfall]],12,IF(OFFSET(TblMagic[[#This Row],[Active Nightfall]],-1,0)&gt;0,OFFSET(TblMagic[[#This Row],[Active Nightfall]],-1,0)-1,0))</f>
        <v>0</v>
      </c>
      <c r="AP68" s="57">
        <f ca="1">IF(TblMagic[[#This Row],[Favorable Terrain]],12,IF(OFFSET(TblMagic[[#This Row],[Active Favorable Terrain]],-1,0)&gt;0,OFFSET(TblMagic[[#This Row],[Active Favorable Terrain]],-1,0)-1,0))</f>
        <v>0</v>
      </c>
      <c r="AQ68" s="57">
        <f ca="1">IF(TblMagic[[#This Row],[Infernal Command]],12,IF(OFFSET(TblMagic[[#This Row],[Active Infernal Command]],-1,0)&gt;0,OFFSET(TblMagic[[#This Row],[Active Infernal Command]],-1,0)-1,0))</f>
        <v>0</v>
      </c>
    </row>
    <row r="69" spans="1:43" x14ac:dyDescent="0.2">
      <c r="A69" s="137">
        <f>TblRezone[[#This Row],[Hour]]</f>
        <v>66</v>
      </c>
      <c r="B69" s="154">
        <f ca="1">TblConstr[[#This Row],[Land]]</f>
        <v>50</v>
      </c>
      <c r="C69" s="94">
        <f ca="1">TblProd[[#This Row],[Mana]]</f>
        <v>0</v>
      </c>
      <c r="D69" s="156">
        <f ca="1">MIN(1,OFFSET(TblMagic[[#This Row],[Wiz str]],-1,0)+0.04+ROUNDDOWN(10*OFFSET(TblMili[[#This Row],[WG''s]],-1,0),0)+ tech_2_7*OFFSET(TblTech[[#This Row],[2-7]],-1,0) + tech_5_6*OFFSET(TblTech[[#This Row],[5-6]],-1,0) )-TblMagic[[#This Row],[Wiz str cost]]</f>
        <v>1</v>
      </c>
      <c r="E69" s="159">
        <f ca="1">OFFSET(TblMagic[[#This Row],[Time]],-1,0)+1/24</f>
        <v>46322.708333333176</v>
      </c>
      <c r="F69" s="156">
        <f ca="1">TblImps[[#This Row],[Population]]</f>
        <v>1</v>
      </c>
      <c r="G69" s="218"/>
      <c r="H69" s="218"/>
      <c r="I69" s="218"/>
      <c r="J69" s="218"/>
      <c r="K69" s="405"/>
      <c r="L69" s="218"/>
      <c r="M69" s="218"/>
      <c r="N69" s="218"/>
      <c r="O69" s="218"/>
      <c r="P69" s="218"/>
      <c r="Q69" s="218"/>
      <c r="R69" s="218"/>
      <c r="S69" s="218"/>
      <c r="T69" s="218"/>
      <c r="U69" s="218"/>
      <c r="V69" s="218"/>
      <c r="W69" s="218"/>
      <c r="X69" s="142"/>
      <c r="Y6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9" s="156">
        <f>SUMIF(TblMagic[[#This Row],[Gaia''s Watch]:[Useless spell]],1)*0.05</f>
        <v>0</v>
      </c>
      <c r="AA69" s="142"/>
      <c r="AB69" s="57">
        <f ca="1">IF(TblMagic[[#This Row],[Gaia''s Watch]],12,IF(OFFSET(TblMagic[[#This Row],[Active Gaia''s Watch]],-1,0)&gt;0,OFFSET(TblMagic[[#This Row],[Active Gaia''s Watch]],-1,0)-1,0))</f>
        <v>0</v>
      </c>
      <c r="AC69" s="57">
        <f ca="1">IF(TblMagic[[#This Row],[Mining Strength]],12,IF(OFFSET(TblMagic[[#This Row],[Active Mining Strength]],-1,0)&gt;0,OFFSET(TblMagic[[#This Row],[Active Mining Strength]],-1,0)-1,0))</f>
        <v>0</v>
      </c>
      <c r="AD69" s="57">
        <f ca="1">IF(TblMagic[[#This Row],[Ares Call]],12,IF(OFFSET(TblMagic[[#This Row],[Active Ares Call]],-1,0)&gt;0,OFFSET(TblMagic[[#This Row],[Active Ares Call]],-1,0)-1,0))</f>
        <v>0</v>
      </c>
      <c r="AE69" s="57">
        <f ca="1">IF(TblMagic[[#This Row],[Midas Touch]],12,IF(OFFSET(TblMagic[[#This Row],[Active Midas Touch]],-1,0)&gt;0,OFFSET(TblMagic[[#This Row],[Active Midas Touch]],-1,0)-1,0))</f>
        <v>0</v>
      </c>
      <c r="AF69" s="57">
        <f ca="1">IF(TblMagic[[#This Row],[Harmony]],12,IF(OFFSET(TblMagic[[#This Row],[Active Harmony]],-1,0)&gt;0,OFFSET(TblMagic[[#This Row],[Active Harmony]],-1,0)-1,0))</f>
        <v>0</v>
      </c>
      <c r="AG69" s="57">
        <f ca="1">IF(TblMagic[[#This Row],[Miner''s Sight]],12,IF(OFFSET(TblMagic[[#This Row],[Active Miner''s Sight]],-1,0)&gt;0,OFFSET(TblMagic[[#This Row],[Active Miner''s Sight]],-1,0)-1,0))</f>
        <v>0</v>
      </c>
      <c r="AH69" s="57">
        <f ca="1">IF(TblMagic[[#This Row],[Mechanical Genius]],12,IF(OFFSET(TblMagic[[#This Row],[Active Mechanical Genius]],-1,0)&gt;0,OFFSET(TblMagic[[#This Row],[Active Mechanical Genius]],-1,0)-1,0))</f>
        <v>0</v>
      </c>
      <c r="AI69" s="57">
        <f ca="1">IF(TblMagic[[#This Row],[Death and Decay]],12,IF(OFFSET(TblMagic[[#This Row],[Active DnD]],-1,0)&gt;0,OFFSET(TblMagic[[#This Row],[Active DnD]],-1,0)-1,0))</f>
        <v>0</v>
      </c>
      <c r="AJ69" s="57">
        <f ca="1">IF(TblMagic[[#This Row],[Killing Rage / Bloodrage / Crusade]],12,IF(OFFSET(TblMagic[[#This Row],[Active Warsong / Killing Rage / Bloodrage]],-1,0)&gt;0,OFFSET(TblMagic[[#This Row],[Active Warsong / Killing Rage / Bloodrage]],-1,0)-1,0))</f>
        <v>0</v>
      </c>
      <c r="AK69" s="57">
        <f ca="1">IF(TblMagic[[#This Row],[Gaia''s Blessing]],12,IF(OFFSET(TblMagic[[#This Row],[Active Gaia''s Blessing]],-1,0)&gt;0,OFFSET(TblMagic[[#This Row],[Active Gaia''s Blessing]],-1,0)-1,0))</f>
        <v>0</v>
      </c>
      <c r="AL69" s="57">
        <f ca="1">IF(TblMagic[[#This Row],[Howling]],12,IF(OFFSET(TblMagic[[#This Row],[Active Howling]],-1,0)&gt;0,OFFSET(TblMagic[[#This Row],[Active Howling]],-1,0)-1,0))</f>
        <v>0</v>
      </c>
      <c r="AM69" s="57">
        <f ca="1">IF(TblMagic[[#This Row],[Arcane Infusion]],12,IF(OFFSET(TblMagic[[#This Row],[Active Arc Infusion]],-1,0)&gt;0,OFFSET(TblMagic[[#This Row],[Active Arc Infusion]],-1,0)-1,0))</f>
        <v>0</v>
      </c>
      <c r="AN69" s="57">
        <f ca="1">IF(TblMagic[[#This Row],[Alchemists Flame]],12,IF(OFFSET(TblMagic[[#This Row],[Active Alchemists Flame]],-1,0)&gt;0,OFFSET(TblMagic[[#This Row],[Active Alchemists Flame]],-1,0)-1,0))</f>
        <v>0</v>
      </c>
      <c r="AO69" s="57">
        <f ca="1">IF(TblMagic[[#This Row],[Nightfall]],12,IF(OFFSET(TblMagic[[#This Row],[Active Nightfall]],-1,0)&gt;0,OFFSET(TblMagic[[#This Row],[Active Nightfall]],-1,0)-1,0))</f>
        <v>0</v>
      </c>
      <c r="AP69" s="57">
        <f ca="1">IF(TblMagic[[#This Row],[Favorable Terrain]],12,IF(OFFSET(TblMagic[[#This Row],[Active Favorable Terrain]],-1,0)&gt;0,OFFSET(TblMagic[[#This Row],[Active Favorable Terrain]],-1,0)-1,0))</f>
        <v>0</v>
      </c>
      <c r="AQ69" s="57">
        <f ca="1">IF(TblMagic[[#This Row],[Infernal Command]],12,IF(OFFSET(TblMagic[[#This Row],[Active Infernal Command]],-1,0)&gt;0,OFFSET(TblMagic[[#This Row],[Active Infernal Command]],-1,0)-1,0))</f>
        <v>0</v>
      </c>
    </row>
    <row r="70" spans="1:43" x14ac:dyDescent="0.2">
      <c r="A70" s="137">
        <f>TblRezone[[#This Row],[Hour]]</f>
        <v>67</v>
      </c>
      <c r="B70" s="154">
        <f ca="1">TblConstr[[#This Row],[Land]]</f>
        <v>50</v>
      </c>
      <c r="C70" s="94">
        <f ca="1">TblProd[[#This Row],[Mana]]</f>
        <v>0</v>
      </c>
      <c r="D70" s="156">
        <f ca="1">MIN(1,OFFSET(TblMagic[[#This Row],[Wiz str]],-1,0)+0.04+ROUNDDOWN(10*OFFSET(TblMili[[#This Row],[WG''s]],-1,0),0)+ tech_2_7*OFFSET(TblTech[[#This Row],[2-7]],-1,0) + tech_5_6*OFFSET(TblTech[[#This Row],[5-6]],-1,0) )-TblMagic[[#This Row],[Wiz str cost]]</f>
        <v>1</v>
      </c>
      <c r="E70" s="159">
        <f ca="1">OFFSET(TblMagic[[#This Row],[Time]],-1,0)+1/24</f>
        <v>46322.74999999984</v>
      </c>
      <c r="F70" s="156">
        <f ca="1">TblImps[[#This Row],[Population]]</f>
        <v>1</v>
      </c>
      <c r="G70" s="218"/>
      <c r="H70" s="218"/>
      <c r="I70" s="218"/>
      <c r="J70" s="218"/>
      <c r="K70" s="405"/>
      <c r="L70" s="218"/>
      <c r="M70" s="218"/>
      <c r="N70" s="218"/>
      <c r="O70" s="218"/>
      <c r="P70" s="218"/>
      <c r="Q70" s="218"/>
      <c r="R70" s="218"/>
      <c r="S70" s="218"/>
      <c r="T70" s="218"/>
      <c r="U70" s="218"/>
      <c r="V70" s="218"/>
      <c r="W70" s="218"/>
      <c r="X70" s="142"/>
      <c r="Y7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0" s="156">
        <f>SUMIF(TblMagic[[#This Row],[Gaia''s Watch]:[Useless spell]],1)*0.05</f>
        <v>0</v>
      </c>
      <c r="AA70" s="142"/>
      <c r="AB70" s="57">
        <f ca="1">IF(TblMagic[[#This Row],[Gaia''s Watch]],12,IF(OFFSET(TblMagic[[#This Row],[Active Gaia''s Watch]],-1,0)&gt;0,OFFSET(TblMagic[[#This Row],[Active Gaia''s Watch]],-1,0)-1,0))</f>
        <v>0</v>
      </c>
      <c r="AC70" s="57">
        <f ca="1">IF(TblMagic[[#This Row],[Mining Strength]],12,IF(OFFSET(TblMagic[[#This Row],[Active Mining Strength]],-1,0)&gt;0,OFFSET(TblMagic[[#This Row],[Active Mining Strength]],-1,0)-1,0))</f>
        <v>0</v>
      </c>
      <c r="AD70" s="57">
        <f ca="1">IF(TblMagic[[#This Row],[Ares Call]],12,IF(OFFSET(TblMagic[[#This Row],[Active Ares Call]],-1,0)&gt;0,OFFSET(TblMagic[[#This Row],[Active Ares Call]],-1,0)-1,0))</f>
        <v>0</v>
      </c>
      <c r="AE70" s="57">
        <f ca="1">IF(TblMagic[[#This Row],[Midas Touch]],12,IF(OFFSET(TblMagic[[#This Row],[Active Midas Touch]],-1,0)&gt;0,OFFSET(TblMagic[[#This Row],[Active Midas Touch]],-1,0)-1,0))</f>
        <v>0</v>
      </c>
      <c r="AF70" s="57">
        <f ca="1">IF(TblMagic[[#This Row],[Harmony]],12,IF(OFFSET(TblMagic[[#This Row],[Active Harmony]],-1,0)&gt;0,OFFSET(TblMagic[[#This Row],[Active Harmony]],-1,0)-1,0))</f>
        <v>0</v>
      </c>
      <c r="AG70" s="57">
        <f ca="1">IF(TblMagic[[#This Row],[Miner''s Sight]],12,IF(OFFSET(TblMagic[[#This Row],[Active Miner''s Sight]],-1,0)&gt;0,OFFSET(TblMagic[[#This Row],[Active Miner''s Sight]],-1,0)-1,0))</f>
        <v>0</v>
      </c>
      <c r="AH70" s="57">
        <f ca="1">IF(TblMagic[[#This Row],[Mechanical Genius]],12,IF(OFFSET(TblMagic[[#This Row],[Active Mechanical Genius]],-1,0)&gt;0,OFFSET(TblMagic[[#This Row],[Active Mechanical Genius]],-1,0)-1,0))</f>
        <v>0</v>
      </c>
      <c r="AI70" s="57">
        <f ca="1">IF(TblMagic[[#This Row],[Death and Decay]],12,IF(OFFSET(TblMagic[[#This Row],[Active DnD]],-1,0)&gt;0,OFFSET(TblMagic[[#This Row],[Active DnD]],-1,0)-1,0))</f>
        <v>0</v>
      </c>
      <c r="AJ70" s="57">
        <f ca="1">IF(TblMagic[[#This Row],[Killing Rage / Bloodrage / Crusade]],12,IF(OFFSET(TblMagic[[#This Row],[Active Warsong / Killing Rage / Bloodrage]],-1,0)&gt;0,OFFSET(TblMagic[[#This Row],[Active Warsong / Killing Rage / Bloodrage]],-1,0)-1,0))</f>
        <v>0</v>
      </c>
      <c r="AK70" s="57">
        <f ca="1">IF(TblMagic[[#This Row],[Gaia''s Blessing]],12,IF(OFFSET(TblMagic[[#This Row],[Active Gaia''s Blessing]],-1,0)&gt;0,OFFSET(TblMagic[[#This Row],[Active Gaia''s Blessing]],-1,0)-1,0))</f>
        <v>0</v>
      </c>
      <c r="AL70" s="57">
        <f ca="1">IF(TblMagic[[#This Row],[Howling]],12,IF(OFFSET(TblMagic[[#This Row],[Active Howling]],-1,0)&gt;0,OFFSET(TblMagic[[#This Row],[Active Howling]],-1,0)-1,0))</f>
        <v>0</v>
      </c>
      <c r="AM70" s="57">
        <f ca="1">IF(TblMagic[[#This Row],[Arcane Infusion]],12,IF(OFFSET(TblMagic[[#This Row],[Active Arc Infusion]],-1,0)&gt;0,OFFSET(TblMagic[[#This Row],[Active Arc Infusion]],-1,0)-1,0))</f>
        <v>0</v>
      </c>
      <c r="AN70" s="57">
        <f ca="1">IF(TblMagic[[#This Row],[Alchemists Flame]],12,IF(OFFSET(TblMagic[[#This Row],[Active Alchemists Flame]],-1,0)&gt;0,OFFSET(TblMagic[[#This Row],[Active Alchemists Flame]],-1,0)-1,0))</f>
        <v>0</v>
      </c>
      <c r="AO70" s="57">
        <f ca="1">IF(TblMagic[[#This Row],[Nightfall]],12,IF(OFFSET(TblMagic[[#This Row],[Active Nightfall]],-1,0)&gt;0,OFFSET(TblMagic[[#This Row],[Active Nightfall]],-1,0)-1,0))</f>
        <v>0</v>
      </c>
      <c r="AP70" s="57">
        <f ca="1">IF(TblMagic[[#This Row],[Favorable Terrain]],12,IF(OFFSET(TblMagic[[#This Row],[Active Favorable Terrain]],-1,0)&gt;0,OFFSET(TblMagic[[#This Row],[Active Favorable Terrain]],-1,0)-1,0))</f>
        <v>0</v>
      </c>
      <c r="AQ70" s="57">
        <f ca="1">IF(TblMagic[[#This Row],[Infernal Command]],12,IF(OFFSET(TblMagic[[#This Row],[Active Infernal Command]],-1,0)&gt;0,OFFSET(TblMagic[[#This Row],[Active Infernal Command]],-1,0)-1,0))</f>
        <v>0</v>
      </c>
    </row>
    <row r="71" spans="1:43" x14ac:dyDescent="0.2">
      <c r="A71" s="137">
        <f>TblRezone[[#This Row],[Hour]]</f>
        <v>68</v>
      </c>
      <c r="B71" s="154">
        <f ca="1">TblConstr[[#This Row],[Land]]</f>
        <v>50</v>
      </c>
      <c r="C71" s="94">
        <f ca="1">TblProd[[#This Row],[Mana]]</f>
        <v>0</v>
      </c>
      <c r="D71" s="156">
        <f ca="1">MIN(1,OFFSET(TblMagic[[#This Row],[Wiz str]],-1,0)+0.04+ROUNDDOWN(10*OFFSET(TblMili[[#This Row],[WG''s]],-1,0),0)+ tech_2_7*OFFSET(TblTech[[#This Row],[2-7]],-1,0) + tech_5_6*OFFSET(TblTech[[#This Row],[5-6]],-1,0) )-TblMagic[[#This Row],[Wiz str cost]]</f>
        <v>1</v>
      </c>
      <c r="E71" s="159">
        <f ca="1">OFFSET(TblMagic[[#This Row],[Time]],-1,0)+1/24</f>
        <v>46322.791666666504</v>
      </c>
      <c r="F71" s="156">
        <f ca="1">TblImps[[#This Row],[Population]]</f>
        <v>1</v>
      </c>
      <c r="G71" s="218"/>
      <c r="H71" s="218"/>
      <c r="I71" s="218"/>
      <c r="J71" s="218"/>
      <c r="K71" s="405"/>
      <c r="L71" s="218"/>
      <c r="M71" s="218"/>
      <c r="N71" s="218"/>
      <c r="O71" s="218"/>
      <c r="P71" s="218"/>
      <c r="Q71" s="218"/>
      <c r="R71" s="218"/>
      <c r="S71" s="218"/>
      <c r="T71" s="218"/>
      <c r="U71" s="218"/>
      <c r="V71" s="218"/>
      <c r="W71" s="218"/>
      <c r="X71" s="142"/>
      <c r="Y7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1" s="156">
        <f>SUMIF(TblMagic[[#This Row],[Gaia''s Watch]:[Useless spell]],1)*0.05</f>
        <v>0</v>
      </c>
      <c r="AA71" s="142"/>
      <c r="AB71" s="57">
        <f ca="1">IF(TblMagic[[#This Row],[Gaia''s Watch]],12,IF(OFFSET(TblMagic[[#This Row],[Active Gaia''s Watch]],-1,0)&gt;0,OFFSET(TblMagic[[#This Row],[Active Gaia''s Watch]],-1,0)-1,0))</f>
        <v>0</v>
      </c>
      <c r="AC71" s="57">
        <f ca="1">IF(TblMagic[[#This Row],[Mining Strength]],12,IF(OFFSET(TblMagic[[#This Row],[Active Mining Strength]],-1,0)&gt;0,OFFSET(TblMagic[[#This Row],[Active Mining Strength]],-1,0)-1,0))</f>
        <v>0</v>
      </c>
      <c r="AD71" s="57">
        <f ca="1">IF(TblMagic[[#This Row],[Ares Call]],12,IF(OFFSET(TblMagic[[#This Row],[Active Ares Call]],-1,0)&gt;0,OFFSET(TblMagic[[#This Row],[Active Ares Call]],-1,0)-1,0))</f>
        <v>0</v>
      </c>
      <c r="AE71" s="57">
        <f ca="1">IF(TblMagic[[#This Row],[Midas Touch]],12,IF(OFFSET(TblMagic[[#This Row],[Active Midas Touch]],-1,0)&gt;0,OFFSET(TblMagic[[#This Row],[Active Midas Touch]],-1,0)-1,0))</f>
        <v>0</v>
      </c>
      <c r="AF71" s="57">
        <f ca="1">IF(TblMagic[[#This Row],[Harmony]],12,IF(OFFSET(TblMagic[[#This Row],[Active Harmony]],-1,0)&gt;0,OFFSET(TblMagic[[#This Row],[Active Harmony]],-1,0)-1,0))</f>
        <v>0</v>
      </c>
      <c r="AG71" s="57">
        <f ca="1">IF(TblMagic[[#This Row],[Miner''s Sight]],12,IF(OFFSET(TblMagic[[#This Row],[Active Miner''s Sight]],-1,0)&gt;0,OFFSET(TblMagic[[#This Row],[Active Miner''s Sight]],-1,0)-1,0))</f>
        <v>0</v>
      </c>
      <c r="AH71" s="57">
        <f ca="1">IF(TblMagic[[#This Row],[Mechanical Genius]],12,IF(OFFSET(TblMagic[[#This Row],[Active Mechanical Genius]],-1,0)&gt;0,OFFSET(TblMagic[[#This Row],[Active Mechanical Genius]],-1,0)-1,0))</f>
        <v>0</v>
      </c>
      <c r="AI71" s="57">
        <f ca="1">IF(TblMagic[[#This Row],[Death and Decay]],12,IF(OFFSET(TblMagic[[#This Row],[Active DnD]],-1,0)&gt;0,OFFSET(TblMagic[[#This Row],[Active DnD]],-1,0)-1,0))</f>
        <v>0</v>
      </c>
      <c r="AJ71" s="57">
        <f ca="1">IF(TblMagic[[#This Row],[Killing Rage / Bloodrage / Crusade]],12,IF(OFFSET(TblMagic[[#This Row],[Active Warsong / Killing Rage / Bloodrage]],-1,0)&gt;0,OFFSET(TblMagic[[#This Row],[Active Warsong / Killing Rage / Bloodrage]],-1,0)-1,0))</f>
        <v>0</v>
      </c>
      <c r="AK71" s="57">
        <f ca="1">IF(TblMagic[[#This Row],[Gaia''s Blessing]],12,IF(OFFSET(TblMagic[[#This Row],[Active Gaia''s Blessing]],-1,0)&gt;0,OFFSET(TblMagic[[#This Row],[Active Gaia''s Blessing]],-1,0)-1,0))</f>
        <v>0</v>
      </c>
      <c r="AL71" s="57">
        <f ca="1">IF(TblMagic[[#This Row],[Howling]],12,IF(OFFSET(TblMagic[[#This Row],[Active Howling]],-1,0)&gt;0,OFFSET(TblMagic[[#This Row],[Active Howling]],-1,0)-1,0))</f>
        <v>0</v>
      </c>
      <c r="AM71" s="57">
        <f ca="1">IF(TblMagic[[#This Row],[Arcane Infusion]],12,IF(OFFSET(TblMagic[[#This Row],[Active Arc Infusion]],-1,0)&gt;0,OFFSET(TblMagic[[#This Row],[Active Arc Infusion]],-1,0)-1,0))</f>
        <v>0</v>
      </c>
      <c r="AN71" s="57">
        <f ca="1">IF(TblMagic[[#This Row],[Alchemists Flame]],12,IF(OFFSET(TblMagic[[#This Row],[Active Alchemists Flame]],-1,0)&gt;0,OFFSET(TblMagic[[#This Row],[Active Alchemists Flame]],-1,0)-1,0))</f>
        <v>0</v>
      </c>
      <c r="AO71" s="57">
        <f ca="1">IF(TblMagic[[#This Row],[Nightfall]],12,IF(OFFSET(TblMagic[[#This Row],[Active Nightfall]],-1,0)&gt;0,OFFSET(TblMagic[[#This Row],[Active Nightfall]],-1,0)-1,0))</f>
        <v>0</v>
      </c>
      <c r="AP71" s="57">
        <f ca="1">IF(TblMagic[[#This Row],[Favorable Terrain]],12,IF(OFFSET(TblMagic[[#This Row],[Active Favorable Terrain]],-1,0)&gt;0,OFFSET(TblMagic[[#This Row],[Active Favorable Terrain]],-1,0)-1,0))</f>
        <v>0</v>
      </c>
      <c r="AQ71" s="57">
        <f ca="1">IF(TblMagic[[#This Row],[Infernal Command]],12,IF(OFFSET(TblMagic[[#This Row],[Active Infernal Command]],-1,0)&gt;0,OFFSET(TblMagic[[#This Row],[Active Infernal Command]],-1,0)-1,0))</f>
        <v>0</v>
      </c>
    </row>
    <row r="72" spans="1:43" x14ac:dyDescent="0.2">
      <c r="A72" s="137">
        <f>TblRezone[[#This Row],[Hour]]</f>
        <v>69</v>
      </c>
      <c r="B72" s="154">
        <f ca="1">TblConstr[[#This Row],[Land]]</f>
        <v>50</v>
      </c>
      <c r="C72" s="94">
        <f ca="1">TblProd[[#This Row],[Mana]]</f>
        <v>0</v>
      </c>
      <c r="D72" s="156">
        <f ca="1">MIN(1,OFFSET(TblMagic[[#This Row],[Wiz str]],-1,0)+0.04+ROUNDDOWN(10*OFFSET(TblMili[[#This Row],[WG''s]],-1,0),0)+ tech_2_7*OFFSET(TblTech[[#This Row],[2-7]],-1,0) + tech_5_6*OFFSET(TblTech[[#This Row],[5-6]],-1,0) )-TblMagic[[#This Row],[Wiz str cost]]</f>
        <v>1</v>
      </c>
      <c r="E72" s="159">
        <f ca="1">OFFSET(TblMagic[[#This Row],[Time]],-1,0)+1/24</f>
        <v>46322.833333333168</v>
      </c>
      <c r="F72" s="156">
        <f ca="1">TblImps[[#This Row],[Population]]</f>
        <v>1</v>
      </c>
      <c r="G72" s="218"/>
      <c r="H72" s="218"/>
      <c r="I72" s="218"/>
      <c r="J72" s="218"/>
      <c r="K72" s="405"/>
      <c r="L72" s="218"/>
      <c r="M72" s="218"/>
      <c r="N72" s="218"/>
      <c r="O72" s="218"/>
      <c r="P72" s="218"/>
      <c r="Q72" s="218"/>
      <c r="R72" s="218"/>
      <c r="S72" s="218"/>
      <c r="T72" s="218"/>
      <c r="U72" s="218"/>
      <c r="V72" s="218"/>
      <c r="W72" s="218"/>
      <c r="X72" s="142"/>
      <c r="Y7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2" s="156">
        <f>SUMIF(TblMagic[[#This Row],[Gaia''s Watch]:[Useless spell]],1)*0.05</f>
        <v>0</v>
      </c>
      <c r="AA72" s="142"/>
      <c r="AB72" s="57">
        <f ca="1">IF(TblMagic[[#This Row],[Gaia''s Watch]],12,IF(OFFSET(TblMagic[[#This Row],[Active Gaia''s Watch]],-1,0)&gt;0,OFFSET(TblMagic[[#This Row],[Active Gaia''s Watch]],-1,0)-1,0))</f>
        <v>0</v>
      </c>
      <c r="AC72" s="57">
        <f ca="1">IF(TblMagic[[#This Row],[Mining Strength]],12,IF(OFFSET(TblMagic[[#This Row],[Active Mining Strength]],-1,0)&gt;0,OFFSET(TblMagic[[#This Row],[Active Mining Strength]],-1,0)-1,0))</f>
        <v>0</v>
      </c>
      <c r="AD72" s="57">
        <f ca="1">IF(TblMagic[[#This Row],[Ares Call]],12,IF(OFFSET(TblMagic[[#This Row],[Active Ares Call]],-1,0)&gt;0,OFFSET(TblMagic[[#This Row],[Active Ares Call]],-1,0)-1,0))</f>
        <v>0</v>
      </c>
      <c r="AE72" s="57">
        <f ca="1">IF(TblMagic[[#This Row],[Midas Touch]],12,IF(OFFSET(TblMagic[[#This Row],[Active Midas Touch]],-1,0)&gt;0,OFFSET(TblMagic[[#This Row],[Active Midas Touch]],-1,0)-1,0))</f>
        <v>0</v>
      </c>
      <c r="AF72" s="57">
        <f ca="1">IF(TblMagic[[#This Row],[Harmony]],12,IF(OFFSET(TblMagic[[#This Row],[Active Harmony]],-1,0)&gt;0,OFFSET(TblMagic[[#This Row],[Active Harmony]],-1,0)-1,0))</f>
        <v>0</v>
      </c>
      <c r="AG72" s="57">
        <f ca="1">IF(TblMagic[[#This Row],[Miner''s Sight]],12,IF(OFFSET(TblMagic[[#This Row],[Active Miner''s Sight]],-1,0)&gt;0,OFFSET(TblMagic[[#This Row],[Active Miner''s Sight]],-1,0)-1,0))</f>
        <v>0</v>
      </c>
      <c r="AH72" s="57">
        <f ca="1">IF(TblMagic[[#This Row],[Mechanical Genius]],12,IF(OFFSET(TblMagic[[#This Row],[Active Mechanical Genius]],-1,0)&gt;0,OFFSET(TblMagic[[#This Row],[Active Mechanical Genius]],-1,0)-1,0))</f>
        <v>0</v>
      </c>
      <c r="AI72" s="57">
        <f ca="1">IF(TblMagic[[#This Row],[Death and Decay]],12,IF(OFFSET(TblMagic[[#This Row],[Active DnD]],-1,0)&gt;0,OFFSET(TblMagic[[#This Row],[Active DnD]],-1,0)-1,0))</f>
        <v>0</v>
      </c>
      <c r="AJ72" s="57">
        <f ca="1">IF(TblMagic[[#This Row],[Killing Rage / Bloodrage / Crusade]],12,IF(OFFSET(TblMagic[[#This Row],[Active Warsong / Killing Rage / Bloodrage]],-1,0)&gt;0,OFFSET(TblMagic[[#This Row],[Active Warsong / Killing Rage / Bloodrage]],-1,0)-1,0))</f>
        <v>0</v>
      </c>
      <c r="AK72" s="57">
        <f ca="1">IF(TblMagic[[#This Row],[Gaia''s Blessing]],12,IF(OFFSET(TblMagic[[#This Row],[Active Gaia''s Blessing]],-1,0)&gt;0,OFFSET(TblMagic[[#This Row],[Active Gaia''s Blessing]],-1,0)-1,0))</f>
        <v>0</v>
      </c>
      <c r="AL72" s="57">
        <f ca="1">IF(TblMagic[[#This Row],[Howling]],12,IF(OFFSET(TblMagic[[#This Row],[Active Howling]],-1,0)&gt;0,OFFSET(TblMagic[[#This Row],[Active Howling]],-1,0)-1,0))</f>
        <v>0</v>
      </c>
      <c r="AM72" s="57">
        <f ca="1">IF(TblMagic[[#This Row],[Arcane Infusion]],12,IF(OFFSET(TblMagic[[#This Row],[Active Arc Infusion]],-1,0)&gt;0,OFFSET(TblMagic[[#This Row],[Active Arc Infusion]],-1,0)-1,0))</f>
        <v>0</v>
      </c>
      <c r="AN72" s="57">
        <f ca="1">IF(TblMagic[[#This Row],[Alchemists Flame]],12,IF(OFFSET(TblMagic[[#This Row],[Active Alchemists Flame]],-1,0)&gt;0,OFFSET(TblMagic[[#This Row],[Active Alchemists Flame]],-1,0)-1,0))</f>
        <v>0</v>
      </c>
      <c r="AO72" s="57">
        <f ca="1">IF(TblMagic[[#This Row],[Nightfall]],12,IF(OFFSET(TblMagic[[#This Row],[Active Nightfall]],-1,0)&gt;0,OFFSET(TblMagic[[#This Row],[Active Nightfall]],-1,0)-1,0))</f>
        <v>0</v>
      </c>
      <c r="AP72" s="57">
        <f ca="1">IF(TblMagic[[#This Row],[Favorable Terrain]],12,IF(OFFSET(TblMagic[[#This Row],[Active Favorable Terrain]],-1,0)&gt;0,OFFSET(TblMagic[[#This Row],[Active Favorable Terrain]],-1,0)-1,0))</f>
        <v>0</v>
      </c>
      <c r="AQ72" s="57">
        <f ca="1">IF(TblMagic[[#This Row],[Infernal Command]],12,IF(OFFSET(TblMagic[[#This Row],[Active Infernal Command]],-1,0)&gt;0,OFFSET(TblMagic[[#This Row],[Active Infernal Command]],-1,0)-1,0))</f>
        <v>0</v>
      </c>
    </row>
    <row r="73" spans="1:43" x14ac:dyDescent="0.2">
      <c r="A73" s="137">
        <f>TblRezone[[#This Row],[Hour]]</f>
        <v>70</v>
      </c>
      <c r="B73" s="154">
        <f ca="1">TblConstr[[#This Row],[Land]]</f>
        <v>50</v>
      </c>
      <c r="C73" s="94">
        <f ca="1">TblProd[[#This Row],[Mana]]</f>
        <v>0</v>
      </c>
      <c r="D73" s="156">
        <f ca="1">MIN(1,OFFSET(TblMagic[[#This Row],[Wiz str]],-1,0)+0.04+ROUNDDOWN(10*OFFSET(TblMili[[#This Row],[WG''s]],-1,0),0)+ tech_2_7*OFFSET(TblTech[[#This Row],[2-7]],-1,0) + tech_5_6*OFFSET(TblTech[[#This Row],[5-6]],-1,0) )-TblMagic[[#This Row],[Wiz str cost]]</f>
        <v>1</v>
      </c>
      <c r="E73" s="159">
        <f ca="1">OFFSET(TblMagic[[#This Row],[Time]],-1,0)+1/24</f>
        <v>46322.874999999833</v>
      </c>
      <c r="F73" s="156">
        <f ca="1">TblImps[[#This Row],[Population]]</f>
        <v>1</v>
      </c>
      <c r="G73" s="218"/>
      <c r="H73" s="218"/>
      <c r="I73" s="218"/>
      <c r="J73" s="218"/>
      <c r="K73" s="405"/>
      <c r="L73" s="218"/>
      <c r="M73" s="218"/>
      <c r="N73" s="218"/>
      <c r="O73" s="218"/>
      <c r="P73" s="218"/>
      <c r="Q73" s="218"/>
      <c r="R73" s="218"/>
      <c r="S73" s="218"/>
      <c r="T73" s="218"/>
      <c r="U73" s="218"/>
      <c r="V73" s="218"/>
      <c r="W73" s="218"/>
      <c r="X73" s="142"/>
      <c r="Y7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3" s="156">
        <f>SUMIF(TblMagic[[#This Row],[Gaia''s Watch]:[Useless spell]],1)*0.05</f>
        <v>0</v>
      </c>
      <c r="AA73" s="142"/>
      <c r="AB73" s="57">
        <f ca="1">IF(TblMagic[[#This Row],[Gaia''s Watch]],12,IF(OFFSET(TblMagic[[#This Row],[Active Gaia''s Watch]],-1,0)&gt;0,OFFSET(TblMagic[[#This Row],[Active Gaia''s Watch]],-1,0)-1,0))</f>
        <v>0</v>
      </c>
      <c r="AC73" s="57">
        <f ca="1">IF(TblMagic[[#This Row],[Mining Strength]],12,IF(OFFSET(TblMagic[[#This Row],[Active Mining Strength]],-1,0)&gt;0,OFFSET(TblMagic[[#This Row],[Active Mining Strength]],-1,0)-1,0))</f>
        <v>0</v>
      </c>
      <c r="AD73" s="57">
        <f ca="1">IF(TblMagic[[#This Row],[Ares Call]],12,IF(OFFSET(TblMagic[[#This Row],[Active Ares Call]],-1,0)&gt;0,OFFSET(TblMagic[[#This Row],[Active Ares Call]],-1,0)-1,0))</f>
        <v>0</v>
      </c>
      <c r="AE73" s="57">
        <f ca="1">IF(TblMagic[[#This Row],[Midas Touch]],12,IF(OFFSET(TblMagic[[#This Row],[Active Midas Touch]],-1,0)&gt;0,OFFSET(TblMagic[[#This Row],[Active Midas Touch]],-1,0)-1,0))</f>
        <v>0</v>
      </c>
      <c r="AF73" s="57">
        <f ca="1">IF(TblMagic[[#This Row],[Harmony]],12,IF(OFFSET(TblMagic[[#This Row],[Active Harmony]],-1,0)&gt;0,OFFSET(TblMagic[[#This Row],[Active Harmony]],-1,0)-1,0))</f>
        <v>0</v>
      </c>
      <c r="AG73" s="57">
        <f ca="1">IF(TblMagic[[#This Row],[Miner''s Sight]],12,IF(OFFSET(TblMagic[[#This Row],[Active Miner''s Sight]],-1,0)&gt;0,OFFSET(TblMagic[[#This Row],[Active Miner''s Sight]],-1,0)-1,0))</f>
        <v>0</v>
      </c>
      <c r="AH73" s="57">
        <f ca="1">IF(TblMagic[[#This Row],[Mechanical Genius]],12,IF(OFFSET(TblMagic[[#This Row],[Active Mechanical Genius]],-1,0)&gt;0,OFFSET(TblMagic[[#This Row],[Active Mechanical Genius]],-1,0)-1,0))</f>
        <v>0</v>
      </c>
      <c r="AI73" s="57">
        <f ca="1">IF(TblMagic[[#This Row],[Death and Decay]],12,IF(OFFSET(TblMagic[[#This Row],[Active DnD]],-1,0)&gt;0,OFFSET(TblMagic[[#This Row],[Active DnD]],-1,0)-1,0))</f>
        <v>0</v>
      </c>
      <c r="AJ73" s="57">
        <f ca="1">IF(TblMagic[[#This Row],[Killing Rage / Bloodrage / Crusade]],12,IF(OFFSET(TblMagic[[#This Row],[Active Warsong / Killing Rage / Bloodrage]],-1,0)&gt;0,OFFSET(TblMagic[[#This Row],[Active Warsong / Killing Rage / Bloodrage]],-1,0)-1,0))</f>
        <v>0</v>
      </c>
      <c r="AK73" s="57">
        <f ca="1">IF(TblMagic[[#This Row],[Gaia''s Blessing]],12,IF(OFFSET(TblMagic[[#This Row],[Active Gaia''s Blessing]],-1,0)&gt;0,OFFSET(TblMagic[[#This Row],[Active Gaia''s Blessing]],-1,0)-1,0))</f>
        <v>0</v>
      </c>
      <c r="AL73" s="57">
        <f ca="1">IF(TblMagic[[#This Row],[Howling]],12,IF(OFFSET(TblMagic[[#This Row],[Active Howling]],-1,0)&gt;0,OFFSET(TblMagic[[#This Row],[Active Howling]],-1,0)-1,0))</f>
        <v>0</v>
      </c>
      <c r="AM73" s="57">
        <f ca="1">IF(TblMagic[[#This Row],[Arcane Infusion]],12,IF(OFFSET(TblMagic[[#This Row],[Active Arc Infusion]],-1,0)&gt;0,OFFSET(TblMagic[[#This Row],[Active Arc Infusion]],-1,0)-1,0))</f>
        <v>0</v>
      </c>
      <c r="AN73" s="57">
        <f ca="1">IF(TblMagic[[#This Row],[Alchemists Flame]],12,IF(OFFSET(TblMagic[[#This Row],[Active Alchemists Flame]],-1,0)&gt;0,OFFSET(TblMagic[[#This Row],[Active Alchemists Flame]],-1,0)-1,0))</f>
        <v>0</v>
      </c>
      <c r="AO73" s="57">
        <f ca="1">IF(TblMagic[[#This Row],[Nightfall]],12,IF(OFFSET(TblMagic[[#This Row],[Active Nightfall]],-1,0)&gt;0,OFFSET(TblMagic[[#This Row],[Active Nightfall]],-1,0)-1,0))</f>
        <v>0</v>
      </c>
      <c r="AP73" s="57">
        <f ca="1">IF(TblMagic[[#This Row],[Favorable Terrain]],12,IF(OFFSET(TblMagic[[#This Row],[Active Favorable Terrain]],-1,0)&gt;0,OFFSET(TblMagic[[#This Row],[Active Favorable Terrain]],-1,0)-1,0))</f>
        <v>0</v>
      </c>
      <c r="AQ73" s="57">
        <f ca="1">IF(TblMagic[[#This Row],[Infernal Command]],12,IF(OFFSET(TblMagic[[#This Row],[Active Infernal Command]],-1,0)&gt;0,OFFSET(TblMagic[[#This Row],[Active Infernal Command]],-1,0)-1,0))</f>
        <v>0</v>
      </c>
    </row>
    <row r="74" spans="1:43" x14ac:dyDescent="0.2">
      <c r="A74" s="137">
        <f>TblRezone[[#This Row],[Hour]]</f>
        <v>71</v>
      </c>
      <c r="B74" s="154">
        <f ca="1">TblConstr[[#This Row],[Land]]</f>
        <v>50</v>
      </c>
      <c r="C74" s="94">
        <f ca="1">TblProd[[#This Row],[Mana]]</f>
        <v>0</v>
      </c>
      <c r="D74" s="156">
        <f ca="1">MIN(1,OFFSET(TblMagic[[#This Row],[Wiz str]],-1,0)+0.04+ROUNDDOWN(10*OFFSET(TblMili[[#This Row],[WG''s]],-1,0),0)+ tech_2_7*OFFSET(TblTech[[#This Row],[2-7]],-1,0) + tech_5_6*OFFSET(TblTech[[#This Row],[5-6]],-1,0) )-TblMagic[[#This Row],[Wiz str cost]]</f>
        <v>1</v>
      </c>
      <c r="E74" s="159">
        <f ca="1">OFFSET(TblMagic[[#This Row],[Time]],-1,0)+1/24</f>
        <v>46322.916666666497</v>
      </c>
      <c r="F74" s="156">
        <f ca="1">TblImps[[#This Row],[Population]]</f>
        <v>1</v>
      </c>
      <c r="G74" s="218"/>
      <c r="H74" s="218"/>
      <c r="I74" s="218"/>
      <c r="J74" s="218"/>
      <c r="K74" s="405"/>
      <c r="L74" s="218"/>
      <c r="M74" s="218"/>
      <c r="N74" s="218"/>
      <c r="O74" s="218"/>
      <c r="P74" s="218"/>
      <c r="Q74" s="218"/>
      <c r="R74" s="218"/>
      <c r="S74" s="218"/>
      <c r="T74" s="218"/>
      <c r="U74" s="218"/>
      <c r="V74" s="218"/>
      <c r="W74" s="218"/>
      <c r="X74" s="142"/>
      <c r="Y7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4" s="156">
        <f>SUMIF(TblMagic[[#This Row],[Gaia''s Watch]:[Useless spell]],1)*0.05</f>
        <v>0</v>
      </c>
      <c r="AA74" s="142"/>
      <c r="AB74" s="57">
        <f ca="1">IF(TblMagic[[#This Row],[Gaia''s Watch]],12,IF(OFFSET(TblMagic[[#This Row],[Active Gaia''s Watch]],-1,0)&gt;0,OFFSET(TblMagic[[#This Row],[Active Gaia''s Watch]],-1,0)-1,0))</f>
        <v>0</v>
      </c>
      <c r="AC74" s="57">
        <f ca="1">IF(TblMagic[[#This Row],[Mining Strength]],12,IF(OFFSET(TblMagic[[#This Row],[Active Mining Strength]],-1,0)&gt;0,OFFSET(TblMagic[[#This Row],[Active Mining Strength]],-1,0)-1,0))</f>
        <v>0</v>
      </c>
      <c r="AD74" s="57">
        <f ca="1">IF(TblMagic[[#This Row],[Ares Call]],12,IF(OFFSET(TblMagic[[#This Row],[Active Ares Call]],-1,0)&gt;0,OFFSET(TblMagic[[#This Row],[Active Ares Call]],-1,0)-1,0))</f>
        <v>0</v>
      </c>
      <c r="AE74" s="57">
        <f ca="1">IF(TblMagic[[#This Row],[Midas Touch]],12,IF(OFFSET(TblMagic[[#This Row],[Active Midas Touch]],-1,0)&gt;0,OFFSET(TblMagic[[#This Row],[Active Midas Touch]],-1,0)-1,0))</f>
        <v>0</v>
      </c>
      <c r="AF74" s="57">
        <f ca="1">IF(TblMagic[[#This Row],[Harmony]],12,IF(OFFSET(TblMagic[[#This Row],[Active Harmony]],-1,0)&gt;0,OFFSET(TblMagic[[#This Row],[Active Harmony]],-1,0)-1,0))</f>
        <v>0</v>
      </c>
      <c r="AG74" s="57">
        <f ca="1">IF(TblMagic[[#This Row],[Miner''s Sight]],12,IF(OFFSET(TblMagic[[#This Row],[Active Miner''s Sight]],-1,0)&gt;0,OFFSET(TblMagic[[#This Row],[Active Miner''s Sight]],-1,0)-1,0))</f>
        <v>0</v>
      </c>
      <c r="AH74" s="57">
        <f ca="1">IF(TblMagic[[#This Row],[Mechanical Genius]],12,IF(OFFSET(TblMagic[[#This Row],[Active Mechanical Genius]],-1,0)&gt;0,OFFSET(TblMagic[[#This Row],[Active Mechanical Genius]],-1,0)-1,0))</f>
        <v>0</v>
      </c>
      <c r="AI74" s="57">
        <f ca="1">IF(TblMagic[[#This Row],[Death and Decay]],12,IF(OFFSET(TblMagic[[#This Row],[Active DnD]],-1,0)&gt;0,OFFSET(TblMagic[[#This Row],[Active DnD]],-1,0)-1,0))</f>
        <v>0</v>
      </c>
      <c r="AJ74" s="57">
        <f ca="1">IF(TblMagic[[#This Row],[Killing Rage / Bloodrage / Crusade]],12,IF(OFFSET(TblMagic[[#This Row],[Active Warsong / Killing Rage / Bloodrage]],-1,0)&gt;0,OFFSET(TblMagic[[#This Row],[Active Warsong / Killing Rage / Bloodrage]],-1,0)-1,0))</f>
        <v>0</v>
      </c>
      <c r="AK74" s="57">
        <f ca="1">IF(TblMagic[[#This Row],[Gaia''s Blessing]],12,IF(OFFSET(TblMagic[[#This Row],[Active Gaia''s Blessing]],-1,0)&gt;0,OFFSET(TblMagic[[#This Row],[Active Gaia''s Blessing]],-1,0)-1,0))</f>
        <v>0</v>
      </c>
      <c r="AL74" s="57">
        <f ca="1">IF(TblMagic[[#This Row],[Howling]],12,IF(OFFSET(TblMagic[[#This Row],[Active Howling]],-1,0)&gt;0,OFFSET(TblMagic[[#This Row],[Active Howling]],-1,0)-1,0))</f>
        <v>0</v>
      </c>
      <c r="AM74" s="57">
        <f ca="1">IF(TblMagic[[#This Row],[Arcane Infusion]],12,IF(OFFSET(TblMagic[[#This Row],[Active Arc Infusion]],-1,0)&gt;0,OFFSET(TblMagic[[#This Row],[Active Arc Infusion]],-1,0)-1,0))</f>
        <v>0</v>
      </c>
      <c r="AN74" s="57">
        <f ca="1">IF(TblMagic[[#This Row],[Alchemists Flame]],12,IF(OFFSET(TblMagic[[#This Row],[Active Alchemists Flame]],-1,0)&gt;0,OFFSET(TblMagic[[#This Row],[Active Alchemists Flame]],-1,0)-1,0))</f>
        <v>0</v>
      </c>
      <c r="AO74" s="57">
        <f ca="1">IF(TblMagic[[#This Row],[Nightfall]],12,IF(OFFSET(TblMagic[[#This Row],[Active Nightfall]],-1,0)&gt;0,OFFSET(TblMagic[[#This Row],[Active Nightfall]],-1,0)-1,0))</f>
        <v>0</v>
      </c>
      <c r="AP74" s="57">
        <f ca="1">IF(TblMagic[[#This Row],[Favorable Terrain]],12,IF(OFFSET(TblMagic[[#This Row],[Active Favorable Terrain]],-1,0)&gt;0,OFFSET(TblMagic[[#This Row],[Active Favorable Terrain]],-1,0)-1,0))</f>
        <v>0</v>
      </c>
      <c r="AQ74" s="57">
        <f ca="1">IF(TblMagic[[#This Row],[Infernal Command]],12,IF(OFFSET(TblMagic[[#This Row],[Active Infernal Command]],-1,0)&gt;0,OFFSET(TblMagic[[#This Row],[Active Infernal Command]],-1,0)-1,0))</f>
        <v>0</v>
      </c>
    </row>
    <row r="75" spans="1:43" x14ac:dyDescent="0.2">
      <c r="A75" s="137">
        <f>TblRezone[[#This Row],[Hour]]</f>
        <v>72</v>
      </c>
      <c r="B75" s="154">
        <f ca="1">TblConstr[[#This Row],[Land]]</f>
        <v>50</v>
      </c>
      <c r="C75" s="94">
        <f ca="1">TblProd[[#This Row],[Mana]]</f>
        <v>0</v>
      </c>
      <c r="D75" s="156">
        <f ca="1">MIN(1,OFFSET(TblMagic[[#This Row],[Wiz str]],-1,0)+0.04+ROUNDDOWN(10*OFFSET(TblMili[[#This Row],[WG''s]],-1,0),0)+ tech_2_7*OFFSET(TblTech[[#This Row],[2-7]],-1,0) + tech_5_6*OFFSET(TblTech[[#This Row],[5-6]],-1,0) )-TblMagic[[#This Row],[Wiz str cost]]</f>
        <v>1</v>
      </c>
      <c r="E75" s="159">
        <f ca="1">OFFSET(TblMagic[[#This Row],[Time]],-1,0)+1/24</f>
        <v>46322.958333333161</v>
      </c>
      <c r="F75" s="156">
        <f ca="1">TblImps[[#This Row],[Population]]</f>
        <v>1</v>
      </c>
      <c r="G75" s="218"/>
      <c r="H75" s="218"/>
      <c r="I75" s="218"/>
      <c r="J75" s="218"/>
      <c r="K75" s="405"/>
      <c r="L75" s="218"/>
      <c r="M75" s="218"/>
      <c r="N75" s="218"/>
      <c r="O75" s="218"/>
      <c r="P75" s="218"/>
      <c r="Q75" s="218"/>
      <c r="R75" s="218"/>
      <c r="S75" s="218"/>
      <c r="T75" s="218"/>
      <c r="U75" s="218"/>
      <c r="V75" s="218"/>
      <c r="W75" s="218"/>
      <c r="X75" s="142"/>
      <c r="Y7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5" s="156">
        <f>SUMIF(TblMagic[[#This Row],[Gaia''s Watch]:[Useless spell]],1)*0.05</f>
        <v>0</v>
      </c>
      <c r="AA75" s="142"/>
      <c r="AB75" s="57">
        <f ca="1">IF(TblMagic[[#This Row],[Gaia''s Watch]],12,IF(OFFSET(TblMagic[[#This Row],[Active Gaia''s Watch]],-1,0)&gt;0,OFFSET(TblMagic[[#This Row],[Active Gaia''s Watch]],-1,0)-1,0))</f>
        <v>0</v>
      </c>
      <c r="AC75" s="57">
        <f ca="1">IF(TblMagic[[#This Row],[Mining Strength]],12,IF(OFFSET(TblMagic[[#This Row],[Active Mining Strength]],-1,0)&gt;0,OFFSET(TblMagic[[#This Row],[Active Mining Strength]],-1,0)-1,0))</f>
        <v>0</v>
      </c>
      <c r="AD75" s="57">
        <f ca="1">IF(TblMagic[[#This Row],[Ares Call]],12,IF(OFFSET(TblMagic[[#This Row],[Active Ares Call]],-1,0)&gt;0,OFFSET(TblMagic[[#This Row],[Active Ares Call]],-1,0)-1,0))</f>
        <v>0</v>
      </c>
      <c r="AE75" s="57">
        <f ca="1">IF(TblMagic[[#This Row],[Midas Touch]],12,IF(OFFSET(TblMagic[[#This Row],[Active Midas Touch]],-1,0)&gt;0,OFFSET(TblMagic[[#This Row],[Active Midas Touch]],-1,0)-1,0))</f>
        <v>0</v>
      </c>
      <c r="AF75" s="57">
        <f ca="1">IF(TblMagic[[#This Row],[Harmony]],12,IF(OFFSET(TblMagic[[#This Row],[Active Harmony]],-1,0)&gt;0,OFFSET(TblMagic[[#This Row],[Active Harmony]],-1,0)-1,0))</f>
        <v>0</v>
      </c>
      <c r="AG75" s="57">
        <f ca="1">IF(TblMagic[[#This Row],[Miner''s Sight]],12,IF(OFFSET(TblMagic[[#This Row],[Active Miner''s Sight]],-1,0)&gt;0,OFFSET(TblMagic[[#This Row],[Active Miner''s Sight]],-1,0)-1,0))</f>
        <v>0</v>
      </c>
      <c r="AH75" s="57">
        <f ca="1">IF(TblMagic[[#This Row],[Mechanical Genius]],12,IF(OFFSET(TblMagic[[#This Row],[Active Mechanical Genius]],-1,0)&gt;0,OFFSET(TblMagic[[#This Row],[Active Mechanical Genius]],-1,0)-1,0))</f>
        <v>0</v>
      </c>
      <c r="AI75" s="57">
        <f ca="1">IF(TblMagic[[#This Row],[Death and Decay]],12,IF(OFFSET(TblMagic[[#This Row],[Active DnD]],-1,0)&gt;0,OFFSET(TblMagic[[#This Row],[Active DnD]],-1,0)-1,0))</f>
        <v>0</v>
      </c>
      <c r="AJ75" s="57">
        <f ca="1">IF(TblMagic[[#This Row],[Killing Rage / Bloodrage / Crusade]],12,IF(OFFSET(TblMagic[[#This Row],[Active Warsong / Killing Rage / Bloodrage]],-1,0)&gt;0,OFFSET(TblMagic[[#This Row],[Active Warsong / Killing Rage / Bloodrage]],-1,0)-1,0))</f>
        <v>0</v>
      </c>
      <c r="AK75" s="57">
        <f ca="1">IF(TblMagic[[#This Row],[Gaia''s Blessing]],12,IF(OFFSET(TblMagic[[#This Row],[Active Gaia''s Blessing]],-1,0)&gt;0,OFFSET(TblMagic[[#This Row],[Active Gaia''s Blessing]],-1,0)-1,0))</f>
        <v>0</v>
      </c>
      <c r="AL75" s="57">
        <f ca="1">IF(TblMagic[[#This Row],[Howling]],12,IF(OFFSET(TblMagic[[#This Row],[Active Howling]],-1,0)&gt;0,OFFSET(TblMagic[[#This Row],[Active Howling]],-1,0)-1,0))</f>
        <v>0</v>
      </c>
      <c r="AM75" s="57">
        <f ca="1">IF(TblMagic[[#This Row],[Arcane Infusion]],12,IF(OFFSET(TblMagic[[#This Row],[Active Arc Infusion]],-1,0)&gt;0,OFFSET(TblMagic[[#This Row],[Active Arc Infusion]],-1,0)-1,0))</f>
        <v>0</v>
      </c>
      <c r="AN75" s="57">
        <f ca="1">IF(TblMagic[[#This Row],[Alchemists Flame]],12,IF(OFFSET(TblMagic[[#This Row],[Active Alchemists Flame]],-1,0)&gt;0,OFFSET(TblMagic[[#This Row],[Active Alchemists Flame]],-1,0)-1,0))</f>
        <v>0</v>
      </c>
      <c r="AO75" s="57">
        <f ca="1">IF(TblMagic[[#This Row],[Nightfall]],12,IF(OFFSET(TblMagic[[#This Row],[Active Nightfall]],-1,0)&gt;0,OFFSET(TblMagic[[#This Row],[Active Nightfall]],-1,0)-1,0))</f>
        <v>0</v>
      </c>
      <c r="AP75" s="57">
        <f ca="1">IF(TblMagic[[#This Row],[Favorable Terrain]],12,IF(OFFSET(TblMagic[[#This Row],[Active Favorable Terrain]],-1,0)&gt;0,OFFSET(TblMagic[[#This Row],[Active Favorable Terrain]],-1,0)-1,0))</f>
        <v>0</v>
      </c>
      <c r="AQ75" s="57">
        <f ca="1">IF(TblMagic[[#This Row],[Infernal Command]],12,IF(OFFSET(TblMagic[[#This Row],[Active Infernal Command]],-1,0)&gt;0,OFFSET(TblMagic[[#This Row],[Active Infernal Command]],-1,0)-1,0))</f>
        <v>0</v>
      </c>
    </row>
    <row r="76" spans="1:43" s="433" customFormat="1" x14ac:dyDescent="0.2">
      <c r="A76" s="137">
        <f>TblRezone[[#This Row],[Hour]]</f>
        <v>73</v>
      </c>
      <c r="B76" s="154">
        <f ca="1">TblConstr[[#This Row],[Land]]</f>
        <v>50</v>
      </c>
      <c r="C76" s="430">
        <f ca="1">TblProd[[#This Row],[Mana]]</f>
        <v>0</v>
      </c>
      <c r="D76" s="458">
        <f ca="1">MIN(1,OFFSET(TblMagic[[#This Row],[Wiz str]],-1,0)+0.04+ROUNDDOWN(10*OFFSET(TblMili[[#This Row],[WG''s]],-1,0),0)+ tech_2_7*OFFSET(TblTech[[#This Row],[2-7]],-1,0) + tech_5_6*OFFSET(TblTech[[#This Row],[5-6]],-1,0) )-TblMagic[[#This Row],[Wiz str cost]]</f>
        <v>1</v>
      </c>
      <c r="E76" s="432">
        <f ca="1">OFFSET(TblMagic[[#This Row],[Time]],-1,0)+1/24</f>
        <v>46322.999999999825</v>
      </c>
      <c r="F76" s="458">
        <f ca="1">TblImps[[#This Row],[Population]]</f>
        <v>1</v>
      </c>
      <c r="G76" s="218"/>
      <c r="H76" s="218"/>
      <c r="I76" s="218"/>
      <c r="J76" s="218"/>
      <c r="K76" s="405"/>
      <c r="L76" s="218"/>
      <c r="M76" s="218"/>
      <c r="N76" s="218"/>
      <c r="O76" s="218"/>
      <c r="P76" s="218"/>
      <c r="Q76" s="218"/>
      <c r="R76" s="218"/>
      <c r="S76" s="218"/>
      <c r="T76" s="218"/>
      <c r="U76" s="218"/>
      <c r="V76" s="218"/>
      <c r="W76" s="218"/>
      <c r="X76" s="142"/>
      <c r="Y76" s="430">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6" s="458">
        <f>SUMIF(TblMagic[[#This Row],[Gaia''s Watch]:[Useless spell]],1)*0.05</f>
        <v>0</v>
      </c>
      <c r="AA76" s="142"/>
      <c r="AB76" s="431">
        <f ca="1">IF(TblMagic[[#This Row],[Gaia''s Watch]],12,IF(OFFSET(TblMagic[[#This Row],[Active Gaia''s Watch]],-1,0)&gt;0,OFFSET(TblMagic[[#This Row],[Active Gaia''s Watch]],-1,0)-1,0))</f>
        <v>0</v>
      </c>
      <c r="AC76" s="431">
        <f ca="1">IF(TblMagic[[#This Row],[Mining Strength]],12,IF(OFFSET(TblMagic[[#This Row],[Active Mining Strength]],-1,0)&gt;0,OFFSET(TblMagic[[#This Row],[Active Mining Strength]],-1,0)-1,0))</f>
        <v>0</v>
      </c>
      <c r="AD76" s="431">
        <f ca="1">IF(TblMagic[[#This Row],[Ares Call]],12,IF(OFFSET(TblMagic[[#This Row],[Active Ares Call]],-1,0)&gt;0,OFFSET(TblMagic[[#This Row],[Active Ares Call]],-1,0)-1,0))</f>
        <v>0</v>
      </c>
      <c r="AE76" s="431">
        <f ca="1">IF(TblMagic[[#This Row],[Midas Touch]],12,IF(OFFSET(TblMagic[[#This Row],[Active Midas Touch]],-1,0)&gt;0,OFFSET(TblMagic[[#This Row],[Active Midas Touch]],-1,0)-1,0))</f>
        <v>0</v>
      </c>
      <c r="AF76" s="431">
        <f ca="1">IF(TblMagic[[#This Row],[Harmony]],12,IF(OFFSET(TblMagic[[#This Row],[Active Harmony]],-1,0)&gt;0,OFFSET(TblMagic[[#This Row],[Active Harmony]],-1,0)-1,0))</f>
        <v>0</v>
      </c>
      <c r="AG76" s="431">
        <f ca="1">IF(TblMagic[[#This Row],[Miner''s Sight]],12,IF(OFFSET(TblMagic[[#This Row],[Active Miner''s Sight]],-1,0)&gt;0,OFFSET(TblMagic[[#This Row],[Active Miner''s Sight]],-1,0)-1,0))</f>
        <v>0</v>
      </c>
      <c r="AH76" s="431">
        <f ca="1">IF(TblMagic[[#This Row],[Mechanical Genius]],12,IF(OFFSET(TblMagic[[#This Row],[Active Mechanical Genius]],-1,0)&gt;0,OFFSET(TblMagic[[#This Row],[Active Mechanical Genius]],-1,0)-1,0))</f>
        <v>0</v>
      </c>
      <c r="AI76" s="431">
        <f ca="1">IF(TblMagic[[#This Row],[Death and Decay]],12,IF(OFFSET(TblMagic[[#This Row],[Active DnD]],-1,0)&gt;0,OFFSET(TblMagic[[#This Row],[Active DnD]],-1,0)-1,0))</f>
        <v>0</v>
      </c>
      <c r="AJ76" s="431">
        <f ca="1">IF(TblMagic[[#This Row],[Killing Rage / Bloodrage / Crusade]],12,IF(OFFSET(TblMagic[[#This Row],[Active Warsong / Killing Rage / Bloodrage]],-1,0)&gt;0,OFFSET(TblMagic[[#This Row],[Active Warsong / Killing Rage / Bloodrage]],-1,0)-1,0))</f>
        <v>0</v>
      </c>
      <c r="AK76" s="431">
        <f ca="1">IF(TblMagic[[#This Row],[Gaia''s Blessing]],12,IF(OFFSET(TblMagic[[#This Row],[Active Gaia''s Blessing]],-1,0)&gt;0,OFFSET(TblMagic[[#This Row],[Active Gaia''s Blessing]],-1,0)-1,0))</f>
        <v>0</v>
      </c>
      <c r="AL76" s="431">
        <f ca="1">IF(TblMagic[[#This Row],[Howling]],12,IF(OFFSET(TblMagic[[#This Row],[Active Howling]],-1,0)&gt;0,OFFSET(TblMagic[[#This Row],[Active Howling]],-1,0)-1,0))</f>
        <v>0</v>
      </c>
      <c r="AM76" s="431">
        <f ca="1">IF(TblMagic[[#This Row],[Arcane Infusion]],12,IF(OFFSET(TblMagic[[#This Row],[Active Arc Infusion]],-1,0)&gt;0,OFFSET(TblMagic[[#This Row],[Active Arc Infusion]],-1,0)-1,0))</f>
        <v>0</v>
      </c>
      <c r="AN76" s="431">
        <f ca="1">IF(TblMagic[[#This Row],[Alchemists Flame]],12,IF(OFFSET(TblMagic[[#This Row],[Active Alchemists Flame]],-1,0)&gt;0,OFFSET(TblMagic[[#This Row],[Active Alchemists Flame]],-1,0)-1,0))</f>
        <v>0</v>
      </c>
      <c r="AO76" s="431">
        <f ca="1">IF(TblMagic[[#This Row],[Nightfall]],12,IF(OFFSET(TblMagic[[#This Row],[Active Nightfall]],-1,0)&gt;0,OFFSET(TblMagic[[#This Row],[Active Nightfall]],-1,0)-1,0))</f>
        <v>0</v>
      </c>
      <c r="AP76" s="431">
        <f ca="1">IF(TblMagic[[#This Row],[Favorable Terrain]],12,IF(OFFSET(TblMagic[[#This Row],[Active Favorable Terrain]],-1,0)&gt;0,OFFSET(TblMagic[[#This Row],[Active Favorable Terrain]],-1,0)-1,0))</f>
        <v>0</v>
      </c>
      <c r="AQ76" s="431">
        <f ca="1">IF(TblMagic[[#This Row],[Infernal Command]],12,IF(OFFSET(TblMagic[[#This Row],[Active Infernal Command]],-1,0)&gt;0,OFFSET(TblMagic[[#This Row],[Active Infernal Command]],-1,0)-1,0))</f>
        <v>0</v>
      </c>
    </row>
    <row r="77" spans="1:43" x14ac:dyDescent="0.2">
      <c r="A77" s="137">
        <f>TblRezone[[#This Row],[Hour]]</f>
        <v>74</v>
      </c>
      <c r="B77" s="154">
        <f ca="1">TblConstr[[#This Row],[Land]]</f>
        <v>50</v>
      </c>
      <c r="C77" s="94">
        <f ca="1">TblProd[[#This Row],[Mana]]</f>
        <v>0</v>
      </c>
      <c r="D77" s="156">
        <f ca="1">MIN(1,OFFSET(TblMagic[[#This Row],[Wiz str]],-1,0)+0.04+ROUNDDOWN(10*OFFSET(TblMili[[#This Row],[WG''s]],-1,0),0)+ tech_2_7*OFFSET(TblTech[[#This Row],[2-7]],-1,0) + tech_5_6*OFFSET(TblTech[[#This Row],[5-6]],-1,0) )-TblMagic[[#This Row],[Wiz str cost]]</f>
        <v>1</v>
      </c>
      <c r="E77" s="159">
        <f ca="1">OFFSET(TblMagic[[#This Row],[Time]],-1,0)+1/24</f>
        <v>46323.04166666649</v>
      </c>
      <c r="F77" s="156">
        <f ca="1">TblImps[[#This Row],[Population]]</f>
        <v>1</v>
      </c>
      <c r="G77" s="218"/>
      <c r="H77" s="218"/>
      <c r="I77" s="218"/>
      <c r="J77" s="218"/>
      <c r="K77" s="405"/>
      <c r="L77" s="218"/>
      <c r="M77" s="218"/>
      <c r="N77" s="218"/>
      <c r="O77" s="218"/>
      <c r="P77" s="218"/>
      <c r="Q77" s="218"/>
      <c r="R77" s="218"/>
      <c r="S77" s="218"/>
      <c r="T77" s="218"/>
      <c r="U77" s="218"/>
      <c r="V77" s="218"/>
      <c r="W77" s="218"/>
      <c r="X77" s="142"/>
      <c r="Y7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7" s="156">
        <f>SUMIF(TblMagic[[#This Row],[Gaia''s Watch]:[Useless spell]],1)*0.05</f>
        <v>0</v>
      </c>
      <c r="AA77" s="142"/>
      <c r="AB77" s="57">
        <f ca="1">IF(TblMagic[[#This Row],[Gaia''s Watch]],12,IF(OFFSET(TblMagic[[#This Row],[Active Gaia''s Watch]],-1,0)&gt;0,OFFSET(TblMagic[[#This Row],[Active Gaia''s Watch]],-1,0)-1,0))</f>
        <v>0</v>
      </c>
      <c r="AC77" s="57">
        <f ca="1">IF(TblMagic[[#This Row],[Mining Strength]],12,IF(OFFSET(TblMagic[[#This Row],[Active Mining Strength]],-1,0)&gt;0,OFFSET(TblMagic[[#This Row],[Active Mining Strength]],-1,0)-1,0))</f>
        <v>0</v>
      </c>
      <c r="AD77" s="57">
        <f ca="1">IF(TblMagic[[#This Row],[Ares Call]],12,IF(OFFSET(TblMagic[[#This Row],[Active Ares Call]],-1,0)&gt;0,OFFSET(TblMagic[[#This Row],[Active Ares Call]],-1,0)-1,0))</f>
        <v>0</v>
      </c>
      <c r="AE77" s="57">
        <f ca="1">IF(TblMagic[[#This Row],[Midas Touch]],12,IF(OFFSET(TblMagic[[#This Row],[Active Midas Touch]],-1,0)&gt;0,OFFSET(TblMagic[[#This Row],[Active Midas Touch]],-1,0)-1,0))</f>
        <v>0</v>
      </c>
      <c r="AF77" s="57">
        <f ca="1">IF(TblMagic[[#This Row],[Harmony]],12,IF(OFFSET(TblMagic[[#This Row],[Active Harmony]],-1,0)&gt;0,OFFSET(TblMagic[[#This Row],[Active Harmony]],-1,0)-1,0))</f>
        <v>0</v>
      </c>
      <c r="AG77" s="57">
        <f ca="1">IF(TblMagic[[#This Row],[Miner''s Sight]],12,IF(OFFSET(TblMagic[[#This Row],[Active Miner''s Sight]],-1,0)&gt;0,OFFSET(TblMagic[[#This Row],[Active Miner''s Sight]],-1,0)-1,0))</f>
        <v>0</v>
      </c>
      <c r="AH77" s="57">
        <f ca="1">IF(TblMagic[[#This Row],[Mechanical Genius]],12,IF(OFFSET(TblMagic[[#This Row],[Active Mechanical Genius]],-1,0)&gt;0,OFFSET(TblMagic[[#This Row],[Active Mechanical Genius]],-1,0)-1,0))</f>
        <v>0</v>
      </c>
      <c r="AI77" s="57">
        <f ca="1">IF(TblMagic[[#This Row],[Death and Decay]],12,IF(OFFSET(TblMagic[[#This Row],[Active DnD]],-1,0)&gt;0,OFFSET(TblMagic[[#This Row],[Active DnD]],-1,0)-1,0))</f>
        <v>0</v>
      </c>
      <c r="AJ77" s="57">
        <f ca="1">IF(TblMagic[[#This Row],[Killing Rage / Bloodrage / Crusade]],12,IF(OFFSET(TblMagic[[#This Row],[Active Warsong / Killing Rage / Bloodrage]],-1,0)&gt;0,OFFSET(TblMagic[[#This Row],[Active Warsong / Killing Rage / Bloodrage]],-1,0)-1,0))</f>
        <v>0</v>
      </c>
      <c r="AK77" s="57">
        <f ca="1">IF(TblMagic[[#This Row],[Gaia''s Blessing]],12,IF(OFFSET(TblMagic[[#This Row],[Active Gaia''s Blessing]],-1,0)&gt;0,OFFSET(TblMagic[[#This Row],[Active Gaia''s Blessing]],-1,0)-1,0))</f>
        <v>0</v>
      </c>
      <c r="AL77" s="57">
        <f ca="1">IF(TblMagic[[#This Row],[Howling]],12,IF(OFFSET(TblMagic[[#This Row],[Active Howling]],-1,0)&gt;0,OFFSET(TblMagic[[#This Row],[Active Howling]],-1,0)-1,0))</f>
        <v>0</v>
      </c>
      <c r="AM77" s="57">
        <f ca="1">IF(TblMagic[[#This Row],[Arcane Infusion]],12,IF(OFFSET(TblMagic[[#This Row],[Active Arc Infusion]],-1,0)&gt;0,OFFSET(TblMagic[[#This Row],[Active Arc Infusion]],-1,0)-1,0))</f>
        <v>0</v>
      </c>
      <c r="AN77" s="57">
        <f ca="1">IF(TblMagic[[#This Row],[Alchemists Flame]],12,IF(OFFSET(TblMagic[[#This Row],[Active Alchemists Flame]],-1,0)&gt;0,OFFSET(TblMagic[[#This Row],[Active Alchemists Flame]],-1,0)-1,0))</f>
        <v>0</v>
      </c>
      <c r="AO77" s="57">
        <f ca="1">IF(TblMagic[[#This Row],[Nightfall]],12,IF(OFFSET(TblMagic[[#This Row],[Active Nightfall]],-1,0)&gt;0,OFFSET(TblMagic[[#This Row],[Active Nightfall]],-1,0)-1,0))</f>
        <v>0</v>
      </c>
      <c r="AP77" s="57">
        <f ca="1">IF(TblMagic[[#This Row],[Favorable Terrain]],12,IF(OFFSET(TblMagic[[#This Row],[Active Favorable Terrain]],-1,0)&gt;0,OFFSET(TblMagic[[#This Row],[Active Favorable Terrain]],-1,0)-1,0))</f>
        <v>0</v>
      </c>
      <c r="AQ77" s="57">
        <f ca="1">IF(TblMagic[[#This Row],[Infernal Command]],12,IF(OFFSET(TblMagic[[#This Row],[Active Infernal Command]],-1,0)&gt;0,OFFSET(TblMagic[[#This Row],[Active Infernal Command]],-1,0)-1,0))</f>
        <v>0</v>
      </c>
    </row>
    <row r="78" spans="1:43" x14ac:dyDescent="0.2">
      <c r="A78" s="137">
        <f>TblRezone[[#This Row],[Hour]]</f>
        <v>75</v>
      </c>
      <c r="B78" s="154">
        <f ca="1">TblConstr[[#This Row],[Land]]</f>
        <v>50</v>
      </c>
      <c r="C78" s="94">
        <f ca="1">TblProd[[#This Row],[Mana]]</f>
        <v>0</v>
      </c>
      <c r="D78" s="156">
        <f ca="1">MIN(1,OFFSET(TblMagic[[#This Row],[Wiz str]],-1,0)+0.04+ROUNDDOWN(10*OFFSET(TblMili[[#This Row],[WG''s]],-1,0),0)+ tech_2_7*OFFSET(TblTech[[#This Row],[2-7]],-1,0) + tech_5_6*OFFSET(TblTech[[#This Row],[5-6]],-1,0) )-TblMagic[[#This Row],[Wiz str cost]]</f>
        <v>1</v>
      </c>
      <c r="E78" s="159">
        <f ca="1">OFFSET(TblMagic[[#This Row],[Time]],-1,0)+1/24</f>
        <v>46323.083333333154</v>
      </c>
      <c r="F78" s="156">
        <f ca="1">TblImps[[#This Row],[Population]]</f>
        <v>1</v>
      </c>
      <c r="G78" s="218"/>
      <c r="H78" s="218"/>
      <c r="I78" s="218"/>
      <c r="J78" s="218"/>
      <c r="K78" s="405"/>
      <c r="L78" s="218"/>
      <c r="M78" s="218"/>
      <c r="N78" s="218"/>
      <c r="O78" s="218"/>
      <c r="P78" s="218"/>
      <c r="Q78" s="218"/>
      <c r="R78" s="218"/>
      <c r="S78" s="218"/>
      <c r="T78" s="218"/>
      <c r="U78" s="218"/>
      <c r="V78" s="218"/>
      <c r="W78" s="218"/>
      <c r="X78" s="142"/>
      <c r="Y7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8" s="156">
        <f>SUMIF(TblMagic[[#This Row],[Gaia''s Watch]:[Useless spell]],1)*0.05</f>
        <v>0</v>
      </c>
      <c r="AA78" s="142"/>
      <c r="AB78" s="57">
        <f ca="1">IF(TblMagic[[#This Row],[Gaia''s Watch]],12,IF(OFFSET(TblMagic[[#This Row],[Active Gaia''s Watch]],-1,0)&gt;0,OFFSET(TblMagic[[#This Row],[Active Gaia''s Watch]],-1,0)-1,0))</f>
        <v>0</v>
      </c>
      <c r="AC78" s="57">
        <f ca="1">IF(TblMagic[[#This Row],[Mining Strength]],12,IF(OFFSET(TblMagic[[#This Row],[Active Mining Strength]],-1,0)&gt;0,OFFSET(TblMagic[[#This Row],[Active Mining Strength]],-1,0)-1,0))</f>
        <v>0</v>
      </c>
      <c r="AD78" s="57">
        <f ca="1">IF(TblMagic[[#This Row],[Ares Call]],12,IF(OFFSET(TblMagic[[#This Row],[Active Ares Call]],-1,0)&gt;0,OFFSET(TblMagic[[#This Row],[Active Ares Call]],-1,0)-1,0))</f>
        <v>0</v>
      </c>
      <c r="AE78" s="57">
        <f ca="1">IF(TblMagic[[#This Row],[Midas Touch]],12,IF(OFFSET(TblMagic[[#This Row],[Active Midas Touch]],-1,0)&gt;0,OFFSET(TblMagic[[#This Row],[Active Midas Touch]],-1,0)-1,0))</f>
        <v>0</v>
      </c>
      <c r="AF78" s="57">
        <f ca="1">IF(TblMagic[[#This Row],[Harmony]],12,IF(OFFSET(TblMagic[[#This Row],[Active Harmony]],-1,0)&gt;0,OFFSET(TblMagic[[#This Row],[Active Harmony]],-1,0)-1,0))</f>
        <v>0</v>
      </c>
      <c r="AG78" s="57">
        <f ca="1">IF(TblMagic[[#This Row],[Miner''s Sight]],12,IF(OFFSET(TblMagic[[#This Row],[Active Miner''s Sight]],-1,0)&gt;0,OFFSET(TblMagic[[#This Row],[Active Miner''s Sight]],-1,0)-1,0))</f>
        <v>0</v>
      </c>
      <c r="AH78" s="57">
        <f ca="1">IF(TblMagic[[#This Row],[Mechanical Genius]],12,IF(OFFSET(TblMagic[[#This Row],[Active Mechanical Genius]],-1,0)&gt;0,OFFSET(TblMagic[[#This Row],[Active Mechanical Genius]],-1,0)-1,0))</f>
        <v>0</v>
      </c>
      <c r="AI78" s="57">
        <f ca="1">IF(TblMagic[[#This Row],[Death and Decay]],12,IF(OFFSET(TblMagic[[#This Row],[Active DnD]],-1,0)&gt;0,OFFSET(TblMagic[[#This Row],[Active DnD]],-1,0)-1,0))</f>
        <v>0</v>
      </c>
      <c r="AJ78" s="57">
        <f ca="1">IF(TblMagic[[#This Row],[Killing Rage / Bloodrage / Crusade]],12,IF(OFFSET(TblMagic[[#This Row],[Active Warsong / Killing Rage / Bloodrage]],-1,0)&gt;0,OFFSET(TblMagic[[#This Row],[Active Warsong / Killing Rage / Bloodrage]],-1,0)-1,0))</f>
        <v>0</v>
      </c>
      <c r="AK78" s="57">
        <f ca="1">IF(TblMagic[[#This Row],[Gaia''s Blessing]],12,IF(OFFSET(TblMagic[[#This Row],[Active Gaia''s Blessing]],-1,0)&gt;0,OFFSET(TblMagic[[#This Row],[Active Gaia''s Blessing]],-1,0)-1,0))</f>
        <v>0</v>
      </c>
      <c r="AL78" s="57">
        <f ca="1">IF(TblMagic[[#This Row],[Howling]],12,IF(OFFSET(TblMagic[[#This Row],[Active Howling]],-1,0)&gt;0,OFFSET(TblMagic[[#This Row],[Active Howling]],-1,0)-1,0))</f>
        <v>0</v>
      </c>
      <c r="AM78" s="57">
        <f ca="1">IF(TblMagic[[#This Row],[Arcane Infusion]],12,IF(OFFSET(TblMagic[[#This Row],[Active Arc Infusion]],-1,0)&gt;0,OFFSET(TblMagic[[#This Row],[Active Arc Infusion]],-1,0)-1,0))</f>
        <v>0</v>
      </c>
      <c r="AN78" s="57">
        <f ca="1">IF(TblMagic[[#This Row],[Alchemists Flame]],12,IF(OFFSET(TblMagic[[#This Row],[Active Alchemists Flame]],-1,0)&gt;0,OFFSET(TblMagic[[#This Row],[Active Alchemists Flame]],-1,0)-1,0))</f>
        <v>0</v>
      </c>
      <c r="AO78" s="57">
        <f ca="1">IF(TblMagic[[#This Row],[Nightfall]],12,IF(OFFSET(TblMagic[[#This Row],[Active Nightfall]],-1,0)&gt;0,OFFSET(TblMagic[[#This Row],[Active Nightfall]],-1,0)-1,0))</f>
        <v>0</v>
      </c>
      <c r="AP78" s="57">
        <f ca="1">IF(TblMagic[[#This Row],[Favorable Terrain]],12,IF(OFFSET(TblMagic[[#This Row],[Active Favorable Terrain]],-1,0)&gt;0,OFFSET(TblMagic[[#This Row],[Active Favorable Terrain]],-1,0)-1,0))</f>
        <v>0</v>
      </c>
      <c r="AQ78" s="57">
        <f ca="1">IF(TblMagic[[#This Row],[Infernal Command]],12,IF(OFFSET(TblMagic[[#This Row],[Active Infernal Command]],-1,0)&gt;0,OFFSET(TblMagic[[#This Row],[Active Infernal Command]],-1,0)-1,0))</f>
        <v>0</v>
      </c>
    </row>
    <row r="79" spans="1:43" x14ac:dyDescent="0.2">
      <c r="A79" s="137">
        <f>TblRezone[[#This Row],[Hour]]</f>
        <v>76</v>
      </c>
      <c r="B79" s="154">
        <f ca="1">TblConstr[[#This Row],[Land]]</f>
        <v>50</v>
      </c>
      <c r="C79" s="94">
        <f ca="1">TblProd[[#This Row],[Mana]]</f>
        <v>0</v>
      </c>
      <c r="D79" s="156">
        <f ca="1">MIN(1,OFFSET(TblMagic[[#This Row],[Wiz str]],-1,0)+0.04+ROUNDDOWN(10*OFFSET(TblMili[[#This Row],[WG''s]],-1,0),0)+ tech_2_7*OFFSET(TblTech[[#This Row],[2-7]],-1,0) + tech_5_6*OFFSET(TblTech[[#This Row],[5-6]],-1,0) )-TblMagic[[#This Row],[Wiz str cost]]</f>
        <v>1</v>
      </c>
      <c r="E79" s="159">
        <f ca="1">OFFSET(TblMagic[[#This Row],[Time]],-1,0)+1/24</f>
        <v>46323.124999999818</v>
      </c>
      <c r="F79" s="156">
        <f ca="1">TblImps[[#This Row],[Population]]</f>
        <v>1</v>
      </c>
      <c r="G79" s="218"/>
      <c r="H79" s="218"/>
      <c r="I79" s="218"/>
      <c r="J79" s="218"/>
      <c r="K79" s="405"/>
      <c r="L79" s="218"/>
      <c r="M79" s="218"/>
      <c r="N79" s="218"/>
      <c r="O79" s="218"/>
      <c r="P79" s="218"/>
      <c r="Q79" s="218"/>
      <c r="R79" s="218"/>
      <c r="S79" s="218"/>
      <c r="T79" s="218"/>
      <c r="U79" s="218"/>
      <c r="V79" s="218"/>
      <c r="W79" s="218"/>
      <c r="X79" s="142"/>
      <c r="Y7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9" s="156">
        <f>SUMIF(TblMagic[[#This Row],[Gaia''s Watch]:[Useless spell]],1)*0.05</f>
        <v>0</v>
      </c>
      <c r="AA79" s="142"/>
      <c r="AB79" s="57">
        <f ca="1">IF(TblMagic[[#This Row],[Gaia''s Watch]],12,IF(OFFSET(TblMagic[[#This Row],[Active Gaia''s Watch]],-1,0)&gt;0,OFFSET(TblMagic[[#This Row],[Active Gaia''s Watch]],-1,0)-1,0))</f>
        <v>0</v>
      </c>
      <c r="AC79" s="57">
        <f ca="1">IF(TblMagic[[#This Row],[Mining Strength]],12,IF(OFFSET(TblMagic[[#This Row],[Active Mining Strength]],-1,0)&gt;0,OFFSET(TblMagic[[#This Row],[Active Mining Strength]],-1,0)-1,0))</f>
        <v>0</v>
      </c>
      <c r="AD79" s="57">
        <f ca="1">IF(TblMagic[[#This Row],[Ares Call]],12,IF(OFFSET(TblMagic[[#This Row],[Active Ares Call]],-1,0)&gt;0,OFFSET(TblMagic[[#This Row],[Active Ares Call]],-1,0)-1,0))</f>
        <v>0</v>
      </c>
      <c r="AE79" s="57">
        <f ca="1">IF(TblMagic[[#This Row],[Midas Touch]],12,IF(OFFSET(TblMagic[[#This Row],[Active Midas Touch]],-1,0)&gt;0,OFFSET(TblMagic[[#This Row],[Active Midas Touch]],-1,0)-1,0))</f>
        <v>0</v>
      </c>
      <c r="AF79" s="57">
        <f ca="1">IF(TblMagic[[#This Row],[Harmony]],12,IF(OFFSET(TblMagic[[#This Row],[Active Harmony]],-1,0)&gt;0,OFFSET(TblMagic[[#This Row],[Active Harmony]],-1,0)-1,0))</f>
        <v>0</v>
      </c>
      <c r="AG79" s="57">
        <f ca="1">IF(TblMagic[[#This Row],[Miner''s Sight]],12,IF(OFFSET(TblMagic[[#This Row],[Active Miner''s Sight]],-1,0)&gt;0,OFFSET(TblMagic[[#This Row],[Active Miner''s Sight]],-1,0)-1,0))</f>
        <v>0</v>
      </c>
      <c r="AH79" s="57">
        <f ca="1">IF(TblMagic[[#This Row],[Mechanical Genius]],12,IF(OFFSET(TblMagic[[#This Row],[Active Mechanical Genius]],-1,0)&gt;0,OFFSET(TblMagic[[#This Row],[Active Mechanical Genius]],-1,0)-1,0))</f>
        <v>0</v>
      </c>
      <c r="AI79" s="57">
        <f ca="1">IF(TblMagic[[#This Row],[Death and Decay]],12,IF(OFFSET(TblMagic[[#This Row],[Active DnD]],-1,0)&gt;0,OFFSET(TblMagic[[#This Row],[Active DnD]],-1,0)-1,0))</f>
        <v>0</v>
      </c>
      <c r="AJ79" s="57">
        <f ca="1">IF(TblMagic[[#This Row],[Killing Rage / Bloodrage / Crusade]],12,IF(OFFSET(TblMagic[[#This Row],[Active Warsong / Killing Rage / Bloodrage]],-1,0)&gt;0,OFFSET(TblMagic[[#This Row],[Active Warsong / Killing Rage / Bloodrage]],-1,0)-1,0))</f>
        <v>0</v>
      </c>
      <c r="AK79" s="57">
        <f ca="1">IF(TblMagic[[#This Row],[Gaia''s Blessing]],12,IF(OFFSET(TblMagic[[#This Row],[Active Gaia''s Blessing]],-1,0)&gt;0,OFFSET(TblMagic[[#This Row],[Active Gaia''s Blessing]],-1,0)-1,0))</f>
        <v>0</v>
      </c>
      <c r="AL79" s="57">
        <f ca="1">IF(TblMagic[[#This Row],[Howling]],12,IF(OFFSET(TblMagic[[#This Row],[Active Howling]],-1,0)&gt;0,OFFSET(TblMagic[[#This Row],[Active Howling]],-1,0)-1,0))</f>
        <v>0</v>
      </c>
      <c r="AM79" s="57">
        <f ca="1">IF(TblMagic[[#This Row],[Arcane Infusion]],12,IF(OFFSET(TblMagic[[#This Row],[Active Arc Infusion]],-1,0)&gt;0,OFFSET(TblMagic[[#This Row],[Active Arc Infusion]],-1,0)-1,0))</f>
        <v>0</v>
      </c>
      <c r="AN79" s="57">
        <f ca="1">IF(TblMagic[[#This Row],[Alchemists Flame]],12,IF(OFFSET(TblMagic[[#This Row],[Active Alchemists Flame]],-1,0)&gt;0,OFFSET(TblMagic[[#This Row],[Active Alchemists Flame]],-1,0)-1,0))</f>
        <v>0</v>
      </c>
      <c r="AO79" s="57">
        <f ca="1">IF(TblMagic[[#This Row],[Nightfall]],12,IF(OFFSET(TblMagic[[#This Row],[Active Nightfall]],-1,0)&gt;0,OFFSET(TblMagic[[#This Row],[Active Nightfall]],-1,0)-1,0))</f>
        <v>0</v>
      </c>
      <c r="AP79" s="57">
        <f ca="1">IF(TblMagic[[#This Row],[Favorable Terrain]],12,IF(OFFSET(TblMagic[[#This Row],[Active Favorable Terrain]],-1,0)&gt;0,OFFSET(TblMagic[[#This Row],[Active Favorable Terrain]],-1,0)-1,0))</f>
        <v>0</v>
      </c>
      <c r="AQ79" s="57">
        <f ca="1">IF(TblMagic[[#This Row],[Infernal Command]],12,IF(OFFSET(TblMagic[[#This Row],[Active Infernal Command]],-1,0)&gt;0,OFFSET(TblMagic[[#This Row],[Active Infernal Command]],-1,0)-1,0))</f>
        <v>0</v>
      </c>
    </row>
    <row r="80" spans="1:43" x14ac:dyDescent="0.2">
      <c r="A80" s="137">
        <f>TblRezone[[#This Row],[Hour]]</f>
        <v>77</v>
      </c>
      <c r="B80" s="154">
        <f ca="1">TblConstr[[#This Row],[Land]]</f>
        <v>50</v>
      </c>
      <c r="C80" s="94">
        <f ca="1">TblProd[[#This Row],[Mana]]</f>
        <v>0</v>
      </c>
      <c r="D80" s="156">
        <f ca="1">MIN(1,OFFSET(TblMagic[[#This Row],[Wiz str]],-1,0)+0.04+ROUNDDOWN(10*OFFSET(TblMili[[#This Row],[WG''s]],-1,0),0)+ tech_2_7*OFFSET(TblTech[[#This Row],[2-7]],-1,0) + tech_5_6*OFFSET(TblTech[[#This Row],[5-6]],-1,0) )-TblMagic[[#This Row],[Wiz str cost]]</f>
        <v>1</v>
      </c>
      <c r="E80" s="159">
        <f ca="1">OFFSET(TblMagic[[#This Row],[Time]],-1,0)+1/24</f>
        <v>46323.166666666482</v>
      </c>
      <c r="F80" s="156">
        <f ca="1">TblImps[[#This Row],[Population]]</f>
        <v>1</v>
      </c>
      <c r="G80" s="218"/>
      <c r="H80" s="218"/>
      <c r="I80" s="218"/>
      <c r="J80" s="218"/>
      <c r="K80" s="405"/>
      <c r="L80" s="218"/>
      <c r="M80" s="218"/>
      <c r="N80" s="218"/>
      <c r="O80" s="218"/>
      <c r="P80" s="218"/>
      <c r="Q80" s="218"/>
      <c r="R80" s="218"/>
      <c r="S80" s="218"/>
      <c r="T80" s="218"/>
      <c r="U80" s="218"/>
      <c r="V80" s="218"/>
      <c r="W80" s="218"/>
      <c r="X80" s="142"/>
      <c r="Y8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0" s="156">
        <f>SUMIF(TblMagic[[#This Row],[Gaia''s Watch]:[Useless spell]],1)*0.05</f>
        <v>0</v>
      </c>
      <c r="AA80" s="142"/>
      <c r="AB80" s="57">
        <f ca="1">IF(TblMagic[[#This Row],[Gaia''s Watch]],12,IF(OFFSET(TblMagic[[#This Row],[Active Gaia''s Watch]],-1,0)&gt;0,OFFSET(TblMagic[[#This Row],[Active Gaia''s Watch]],-1,0)-1,0))</f>
        <v>0</v>
      </c>
      <c r="AC80" s="57">
        <f ca="1">IF(TblMagic[[#This Row],[Mining Strength]],12,IF(OFFSET(TblMagic[[#This Row],[Active Mining Strength]],-1,0)&gt;0,OFFSET(TblMagic[[#This Row],[Active Mining Strength]],-1,0)-1,0))</f>
        <v>0</v>
      </c>
      <c r="AD80" s="57">
        <f ca="1">IF(TblMagic[[#This Row],[Ares Call]],12,IF(OFFSET(TblMagic[[#This Row],[Active Ares Call]],-1,0)&gt;0,OFFSET(TblMagic[[#This Row],[Active Ares Call]],-1,0)-1,0))</f>
        <v>0</v>
      </c>
      <c r="AE80" s="57">
        <f ca="1">IF(TblMagic[[#This Row],[Midas Touch]],12,IF(OFFSET(TblMagic[[#This Row],[Active Midas Touch]],-1,0)&gt;0,OFFSET(TblMagic[[#This Row],[Active Midas Touch]],-1,0)-1,0))</f>
        <v>0</v>
      </c>
      <c r="AF80" s="57">
        <f ca="1">IF(TblMagic[[#This Row],[Harmony]],12,IF(OFFSET(TblMagic[[#This Row],[Active Harmony]],-1,0)&gt;0,OFFSET(TblMagic[[#This Row],[Active Harmony]],-1,0)-1,0))</f>
        <v>0</v>
      </c>
      <c r="AG80" s="57">
        <f ca="1">IF(TblMagic[[#This Row],[Miner''s Sight]],12,IF(OFFSET(TblMagic[[#This Row],[Active Miner''s Sight]],-1,0)&gt;0,OFFSET(TblMagic[[#This Row],[Active Miner''s Sight]],-1,0)-1,0))</f>
        <v>0</v>
      </c>
      <c r="AH80" s="57">
        <f ca="1">IF(TblMagic[[#This Row],[Mechanical Genius]],12,IF(OFFSET(TblMagic[[#This Row],[Active Mechanical Genius]],-1,0)&gt;0,OFFSET(TblMagic[[#This Row],[Active Mechanical Genius]],-1,0)-1,0))</f>
        <v>0</v>
      </c>
      <c r="AI80" s="57">
        <f ca="1">IF(TblMagic[[#This Row],[Death and Decay]],12,IF(OFFSET(TblMagic[[#This Row],[Active DnD]],-1,0)&gt;0,OFFSET(TblMagic[[#This Row],[Active DnD]],-1,0)-1,0))</f>
        <v>0</v>
      </c>
      <c r="AJ80" s="57">
        <f ca="1">IF(TblMagic[[#This Row],[Killing Rage / Bloodrage / Crusade]],12,IF(OFFSET(TblMagic[[#This Row],[Active Warsong / Killing Rage / Bloodrage]],-1,0)&gt;0,OFFSET(TblMagic[[#This Row],[Active Warsong / Killing Rage / Bloodrage]],-1,0)-1,0))</f>
        <v>0</v>
      </c>
      <c r="AK80" s="57">
        <f ca="1">IF(TblMagic[[#This Row],[Gaia''s Blessing]],12,IF(OFFSET(TblMagic[[#This Row],[Active Gaia''s Blessing]],-1,0)&gt;0,OFFSET(TblMagic[[#This Row],[Active Gaia''s Blessing]],-1,0)-1,0))</f>
        <v>0</v>
      </c>
      <c r="AL80" s="57">
        <f ca="1">IF(TblMagic[[#This Row],[Howling]],12,IF(OFFSET(TblMagic[[#This Row],[Active Howling]],-1,0)&gt;0,OFFSET(TblMagic[[#This Row],[Active Howling]],-1,0)-1,0))</f>
        <v>0</v>
      </c>
      <c r="AM80" s="57">
        <f ca="1">IF(TblMagic[[#This Row],[Arcane Infusion]],12,IF(OFFSET(TblMagic[[#This Row],[Active Arc Infusion]],-1,0)&gt;0,OFFSET(TblMagic[[#This Row],[Active Arc Infusion]],-1,0)-1,0))</f>
        <v>0</v>
      </c>
      <c r="AN80" s="57">
        <f ca="1">IF(TblMagic[[#This Row],[Alchemists Flame]],12,IF(OFFSET(TblMagic[[#This Row],[Active Alchemists Flame]],-1,0)&gt;0,OFFSET(TblMagic[[#This Row],[Active Alchemists Flame]],-1,0)-1,0))</f>
        <v>0</v>
      </c>
      <c r="AO80" s="57">
        <f ca="1">IF(TblMagic[[#This Row],[Nightfall]],12,IF(OFFSET(TblMagic[[#This Row],[Active Nightfall]],-1,0)&gt;0,OFFSET(TblMagic[[#This Row],[Active Nightfall]],-1,0)-1,0))</f>
        <v>0</v>
      </c>
      <c r="AP80" s="57">
        <f ca="1">IF(TblMagic[[#This Row],[Favorable Terrain]],12,IF(OFFSET(TblMagic[[#This Row],[Active Favorable Terrain]],-1,0)&gt;0,OFFSET(TblMagic[[#This Row],[Active Favorable Terrain]],-1,0)-1,0))</f>
        <v>0</v>
      </c>
      <c r="AQ80" s="57">
        <f ca="1">IF(TblMagic[[#This Row],[Infernal Command]],12,IF(OFFSET(TblMagic[[#This Row],[Active Infernal Command]],-1,0)&gt;0,OFFSET(TblMagic[[#This Row],[Active Infernal Command]],-1,0)-1,0))</f>
        <v>0</v>
      </c>
    </row>
    <row r="81" spans="1:43" x14ac:dyDescent="0.2">
      <c r="A81" s="137">
        <f>TblRezone[[#This Row],[Hour]]</f>
        <v>78</v>
      </c>
      <c r="B81" s="154">
        <f ca="1">TblConstr[[#This Row],[Land]]</f>
        <v>50</v>
      </c>
      <c r="C81" s="94">
        <f ca="1">TblProd[[#This Row],[Mana]]</f>
        <v>0</v>
      </c>
      <c r="D81" s="156">
        <f ca="1">MIN(1,OFFSET(TblMagic[[#This Row],[Wiz str]],-1,0)+0.04+ROUNDDOWN(10*OFFSET(TblMili[[#This Row],[WG''s]],-1,0),0)+ tech_2_7*OFFSET(TblTech[[#This Row],[2-7]],-1,0) + tech_5_6*OFFSET(TblTech[[#This Row],[5-6]],-1,0) )-TblMagic[[#This Row],[Wiz str cost]]</f>
        <v>1</v>
      </c>
      <c r="E81" s="159">
        <f ca="1">OFFSET(TblMagic[[#This Row],[Time]],-1,0)+1/24</f>
        <v>46323.208333333147</v>
      </c>
      <c r="F81" s="156">
        <f ca="1">TblImps[[#This Row],[Population]]</f>
        <v>1</v>
      </c>
      <c r="G81" s="218"/>
      <c r="H81" s="218"/>
      <c r="I81" s="218"/>
      <c r="J81" s="218"/>
      <c r="K81" s="405"/>
      <c r="L81" s="218"/>
      <c r="M81" s="218"/>
      <c r="N81" s="218"/>
      <c r="O81" s="218"/>
      <c r="P81" s="218"/>
      <c r="Q81" s="218"/>
      <c r="R81" s="218"/>
      <c r="S81" s="218"/>
      <c r="T81" s="218"/>
      <c r="U81" s="218"/>
      <c r="V81" s="218"/>
      <c r="W81" s="218"/>
      <c r="X81" s="142"/>
      <c r="Y8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1" s="156">
        <f>SUMIF(TblMagic[[#This Row],[Gaia''s Watch]:[Useless spell]],1)*0.05</f>
        <v>0</v>
      </c>
      <c r="AA81" s="142"/>
      <c r="AB81" s="57">
        <f ca="1">IF(TblMagic[[#This Row],[Gaia''s Watch]],12,IF(OFFSET(TblMagic[[#This Row],[Active Gaia''s Watch]],-1,0)&gt;0,OFFSET(TblMagic[[#This Row],[Active Gaia''s Watch]],-1,0)-1,0))</f>
        <v>0</v>
      </c>
      <c r="AC81" s="57">
        <f ca="1">IF(TblMagic[[#This Row],[Mining Strength]],12,IF(OFFSET(TblMagic[[#This Row],[Active Mining Strength]],-1,0)&gt;0,OFFSET(TblMagic[[#This Row],[Active Mining Strength]],-1,0)-1,0))</f>
        <v>0</v>
      </c>
      <c r="AD81" s="57">
        <f ca="1">IF(TblMagic[[#This Row],[Ares Call]],12,IF(OFFSET(TblMagic[[#This Row],[Active Ares Call]],-1,0)&gt;0,OFFSET(TblMagic[[#This Row],[Active Ares Call]],-1,0)-1,0))</f>
        <v>0</v>
      </c>
      <c r="AE81" s="57">
        <f ca="1">IF(TblMagic[[#This Row],[Midas Touch]],12,IF(OFFSET(TblMagic[[#This Row],[Active Midas Touch]],-1,0)&gt;0,OFFSET(TblMagic[[#This Row],[Active Midas Touch]],-1,0)-1,0))</f>
        <v>0</v>
      </c>
      <c r="AF81" s="57">
        <f ca="1">IF(TblMagic[[#This Row],[Harmony]],12,IF(OFFSET(TblMagic[[#This Row],[Active Harmony]],-1,0)&gt;0,OFFSET(TblMagic[[#This Row],[Active Harmony]],-1,0)-1,0))</f>
        <v>0</v>
      </c>
      <c r="AG81" s="57">
        <f ca="1">IF(TblMagic[[#This Row],[Miner''s Sight]],12,IF(OFFSET(TblMagic[[#This Row],[Active Miner''s Sight]],-1,0)&gt;0,OFFSET(TblMagic[[#This Row],[Active Miner''s Sight]],-1,0)-1,0))</f>
        <v>0</v>
      </c>
      <c r="AH81" s="57">
        <f ca="1">IF(TblMagic[[#This Row],[Mechanical Genius]],12,IF(OFFSET(TblMagic[[#This Row],[Active Mechanical Genius]],-1,0)&gt;0,OFFSET(TblMagic[[#This Row],[Active Mechanical Genius]],-1,0)-1,0))</f>
        <v>0</v>
      </c>
      <c r="AI81" s="57">
        <f ca="1">IF(TblMagic[[#This Row],[Death and Decay]],12,IF(OFFSET(TblMagic[[#This Row],[Active DnD]],-1,0)&gt;0,OFFSET(TblMagic[[#This Row],[Active DnD]],-1,0)-1,0))</f>
        <v>0</v>
      </c>
      <c r="AJ81" s="57">
        <f ca="1">IF(TblMagic[[#This Row],[Killing Rage / Bloodrage / Crusade]],12,IF(OFFSET(TblMagic[[#This Row],[Active Warsong / Killing Rage / Bloodrage]],-1,0)&gt;0,OFFSET(TblMagic[[#This Row],[Active Warsong / Killing Rage / Bloodrage]],-1,0)-1,0))</f>
        <v>0</v>
      </c>
      <c r="AK81" s="57">
        <f ca="1">IF(TblMagic[[#This Row],[Gaia''s Blessing]],12,IF(OFFSET(TblMagic[[#This Row],[Active Gaia''s Blessing]],-1,0)&gt;0,OFFSET(TblMagic[[#This Row],[Active Gaia''s Blessing]],-1,0)-1,0))</f>
        <v>0</v>
      </c>
      <c r="AL81" s="57">
        <f ca="1">IF(TblMagic[[#This Row],[Howling]],12,IF(OFFSET(TblMagic[[#This Row],[Active Howling]],-1,0)&gt;0,OFFSET(TblMagic[[#This Row],[Active Howling]],-1,0)-1,0))</f>
        <v>0</v>
      </c>
      <c r="AM81" s="57">
        <f ca="1">IF(TblMagic[[#This Row],[Arcane Infusion]],12,IF(OFFSET(TblMagic[[#This Row],[Active Arc Infusion]],-1,0)&gt;0,OFFSET(TblMagic[[#This Row],[Active Arc Infusion]],-1,0)-1,0))</f>
        <v>0</v>
      </c>
      <c r="AN81" s="57">
        <f ca="1">IF(TblMagic[[#This Row],[Alchemists Flame]],12,IF(OFFSET(TblMagic[[#This Row],[Active Alchemists Flame]],-1,0)&gt;0,OFFSET(TblMagic[[#This Row],[Active Alchemists Flame]],-1,0)-1,0))</f>
        <v>0</v>
      </c>
      <c r="AO81" s="57">
        <f ca="1">IF(TblMagic[[#This Row],[Nightfall]],12,IF(OFFSET(TblMagic[[#This Row],[Active Nightfall]],-1,0)&gt;0,OFFSET(TblMagic[[#This Row],[Active Nightfall]],-1,0)-1,0))</f>
        <v>0</v>
      </c>
      <c r="AP81" s="57">
        <f ca="1">IF(TblMagic[[#This Row],[Favorable Terrain]],12,IF(OFFSET(TblMagic[[#This Row],[Active Favorable Terrain]],-1,0)&gt;0,OFFSET(TblMagic[[#This Row],[Active Favorable Terrain]],-1,0)-1,0))</f>
        <v>0</v>
      </c>
      <c r="AQ81" s="57">
        <f ca="1">IF(TblMagic[[#This Row],[Infernal Command]],12,IF(OFFSET(TblMagic[[#This Row],[Active Infernal Command]],-1,0)&gt;0,OFFSET(TblMagic[[#This Row],[Active Infernal Command]],-1,0)-1,0))</f>
        <v>0</v>
      </c>
    </row>
    <row r="82" spans="1:43" x14ac:dyDescent="0.2">
      <c r="A82" s="137">
        <f>TblRezone[[#This Row],[Hour]]</f>
        <v>79</v>
      </c>
      <c r="B82" s="154">
        <f ca="1">TblConstr[[#This Row],[Land]]</f>
        <v>50</v>
      </c>
      <c r="C82" s="94">
        <f ca="1">TblProd[[#This Row],[Mana]]</f>
        <v>0</v>
      </c>
      <c r="D82" s="156">
        <f ca="1">MIN(1,OFFSET(TblMagic[[#This Row],[Wiz str]],-1,0)+0.04+ROUNDDOWN(10*OFFSET(TblMili[[#This Row],[WG''s]],-1,0),0)+ tech_2_7*OFFSET(TblTech[[#This Row],[2-7]],-1,0) + tech_5_6*OFFSET(TblTech[[#This Row],[5-6]],-1,0) )-TblMagic[[#This Row],[Wiz str cost]]</f>
        <v>1</v>
      </c>
      <c r="E82" s="159">
        <f ca="1">OFFSET(TblMagic[[#This Row],[Time]],-1,0)+1/24</f>
        <v>46323.249999999811</v>
      </c>
      <c r="F82" s="156">
        <f ca="1">TblImps[[#This Row],[Population]]</f>
        <v>1</v>
      </c>
      <c r="G82" s="218"/>
      <c r="H82" s="218"/>
      <c r="I82" s="218"/>
      <c r="J82" s="218"/>
      <c r="K82" s="405"/>
      <c r="L82" s="218"/>
      <c r="M82" s="218"/>
      <c r="N82" s="218"/>
      <c r="O82" s="218"/>
      <c r="P82" s="218"/>
      <c r="Q82" s="218"/>
      <c r="R82" s="218"/>
      <c r="S82" s="218"/>
      <c r="T82" s="218"/>
      <c r="U82" s="218"/>
      <c r="V82" s="218"/>
      <c r="W82" s="218"/>
      <c r="X82" s="142"/>
      <c r="Y8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2" s="156">
        <f>SUMIF(TblMagic[[#This Row],[Gaia''s Watch]:[Useless spell]],1)*0.05</f>
        <v>0</v>
      </c>
      <c r="AA82" s="142"/>
      <c r="AB82" s="57">
        <f ca="1">IF(TblMagic[[#This Row],[Gaia''s Watch]],12,IF(OFFSET(TblMagic[[#This Row],[Active Gaia''s Watch]],-1,0)&gt;0,OFFSET(TblMagic[[#This Row],[Active Gaia''s Watch]],-1,0)-1,0))</f>
        <v>0</v>
      </c>
      <c r="AC82" s="57">
        <f ca="1">IF(TblMagic[[#This Row],[Mining Strength]],12,IF(OFFSET(TblMagic[[#This Row],[Active Mining Strength]],-1,0)&gt;0,OFFSET(TblMagic[[#This Row],[Active Mining Strength]],-1,0)-1,0))</f>
        <v>0</v>
      </c>
      <c r="AD82" s="57">
        <f ca="1">IF(TblMagic[[#This Row],[Ares Call]],12,IF(OFFSET(TblMagic[[#This Row],[Active Ares Call]],-1,0)&gt;0,OFFSET(TblMagic[[#This Row],[Active Ares Call]],-1,0)-1,0))</f>
        <v>0</v>
      </c>
      <c r="AE82" s="57">
        <f ca="1">IF(TblMagic[[#This Row],[Midas Touch]],12,IF(OFFSET(TblMagic[[#This Row],[Active Midas Touch]],-1,0)&gt;0,OFFSET(TblMagic[[#This Row],[Active Midas Touch]],-1,0)-1,0))</f>
        <v>0</v>
      </c>
      <c r="AF82" s="57">
        <f ca="1">IF(TblMagic[[#This Row],[Harmony]],12,IF(OFFSET(TblMagic[[#This Row],[Active Harmony]],-1,0)&gt;0,OFFSET(TblMagic[[#This Row],[Active Harmony]],-1,0)-1,0))</f>
        <v>0</v>
      </c>
      <c r="AG82" s="57">
        <f ca="1">IF(TblMagic[[#This Row],[Miner''s Sight]],12,IF(OFFSET(TblMagic[[#This Row],[Active Miner''s Sight]],-1,0)&gt;0,OFFSET(TblMagic[[#This Row],[Active Miner''s Sight]],-1,0)-1,0))</f>
        <v>0</v>
      </c>
      <c r="AH82" s="57">
        <f ca="1">IF(TblMagic[[#This Row],[Mechanical Genius]],12,IF(OFFSET(TblMagic[[#This Row],[Active Mechanical Genius]],-1,0)&gt;0,OFFSET(TblMagic[[#This Row],[Active Mechanical Genius]],-1,0)-1,0))</f>
        <v>0</v>
      </c>
      <c r="AI82" s="57">
        <f ca="1">IF(TblMagic[[#This Row],[Death and Decay]],12,IF(OFFSET(TblMagic[[#This Row],[Active DnD]],-1,0)&gt;0,OFFSET(TblMagic[[#This Row],[Active DnD]],-1,0)-1,0))</f>
        <v>0</v>
      </c>
      <c r="AJ82" s="57">
        <f ca="1">IF(TblMagic[[#This Row],[Killing Rage / Bloodrage / Crusade]],12,IF(OFFSET(TblMagic[[#This Row],[Active Warsong / Killing Rage / Bloodrage]],-1,0)&gt;0,OFFSET(TblMagic[[#This Row],[Active Warsong / Killing Rage / Bloodrage]],-1,0)-1,0))</f>
        <v>0</v>
      </c>
      <c r="AK82" s="57">
        <f ca="1">IF(TblMagic[[#This Row],[Gaia''s Blessing]],12,IF(OFFSET(TblMagic[[#This Row],[Active Gaia''s Blessing]],-1,0)&gt;0,OFFSET(TblMagic[[#This Row],[Active Gaia''s Blessing]],-1,0)-1,0))</f>
        <v>0</v>
      </c>
      <c r="AL82" s="57">
        <f ca="1">IF(TblMagic[[#This Row],[Howling]],12,IF(OFFSET(TblMagic[[#This Row],[Active Howling]],-1,0)&gt;0,OFFSET(TblMagic[[#This Row],[Active Howling]],-1,0)-1,0))</f>
        <v>0</v>
      </c>
      <c r="AM82" s="57">
        <f ca="1">IF(TblMagic[[#This Row],[Arcane Infusion]],12,IF(OFFSET(TblMagic[[#This Row],[Active Arc Infusion]],-1,0)&gt;0,OFFSET(TblMagic[[#This Row],[Active Arc Infusion]],-1,0)-1,0))</f>
        <v>0</v>
      </c>
      <c r="AN82" s="57">
        <f ca="1">IF(TblMagic[[#This Row],[Alchemists Flame]],12,IF(OFFSET(TblMagic[[#This Row],[Active Alchemists Flame]],-1,0)&gt;0,OFFSET(TblMagic[[#This Row],[Active Alchemists Flame]],-1,0)-1,0))</f>
        <v>0</v>
      </c>
      <c r="AO82" s="57">
        <f ca="1">IF(TblMagic[[#This Row],[Nightfall]],12,IF(OFFSET(TblMagic[[#This Row],[Active Nightfall]],-1,0)&gt;0,OFFSET(TblMagic[[#This Row],[Active Nightfall]],-1,0)-1,0))</f>
        <v>0</v>
      </c>
      <c r="AP82" s="57">
        <f ca="1">IF(TblMagic[[#This Row],[Favorable Terrain]],12,IF(OFFSET(TblMagic[[#This Row],[Active Favorable Terrain]],-1,0)&gt;0,OFFSET(TblMagic[[#This Row],[Active Favorable Terrain]],-1,0)-1,0))</f>
        <v>0</v>
      </c>
      <c r="AQ82" s="57">
        <f ca="1">IF(TblMagic[[#This Row],[Infernal Command]],12,IF(OFFSET(TblMagic[[#This Row],[Active Infernal Command]],-1,0)&gt;0,OFFSET(TblMagic[[#This Row],[Active Infernal Command]],-1,0)-1,0))</f>
        <v>0</v>
      </c>
    </row>
    <row r="83" spans="1:43" x14ac:dyDescent="0.2">
      <c r="A83" s="137">
        <f>TblRezone[[#This Row],[Hour]]</f>
        <v>80</v>
      </c>
      <c r="B83" s="154">
        <f ca="1">TblConstr[[#This Row],[Land]]</f>
        <v>50</v>
      </c>
      <c r="C83" s="94">
        <f ca="1">TblProd[[#This Row],[Mana]]</f>
        <v>0</v>
      </c>
      <c r="D83" s="156">
        <f ca="1">MIN(1,OFFSET(TblMagic[[#This Row],[Wiz str]],-1,0)+0.04+ROUNDDOWN(10*OFFSET(TblMili[[#This Row],[WG''s]],-1,0),0)+ tech_2_7*OFFSET(TblTech[[#This Row],[2-7]],-1,0) + tech_5_6*OFFSET(TblTech[[#This Row],[5-6]],-1,0) )-TblMagic[[#This Row],[Wiz str cost]]</f>
        <v>1</v>
      </c>
      <c r="E83" s="159">
        <f ca="1">OFFSET(TblMagic[[#This Row],[Time]],-1,0)+1/24</f>
        <v>46323.291666666475</v>
      </c>
      <c r="F83" s="156">
        <f ca="1">TblImps[[#This Row],[Population]]</f>
        <v>1</v>
      </c>
      <c r="G83" s="218"/>
      <c r="H83" s="218"/>
      <c r="I83" s="218"/>
      <c r="J83" s="218"/>
      <c r="K83" s="405"/>
      <c r="L83" s="218"/>
      <c r="M83" s="218"/>
      <c r="N83" s="218"/>
      <c r="O83" s="218"/>
      <c r="P83" s="218"/>
      <c r="Q83" s="218"/>
      <c r="R83" s="218"/>
      <c r="S83" s="218"/>
      <c r="T83" s="218"/>
      <c r="U83" s="218"/>
      <c r="V83" s="218"/>
      <c r="W83" s="218"/>
      <c r="X83" s="142"/>
      <c r="Y8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3" s="156">
        <f>SUMIF(TblMagic[[#This Row],[Gaia''s Watch]:[Useless spell]],1)*0.05</f>
        <v>0</v>
      </c>
      <c r="AA83" s="142"/>
      <c r="AB83" s="57">
        <f ca="1">IF(TblMagic[[#This Row],[Gaia''s Watch]],12,IF(OFFSET(TblMagic[[#This Row],[Active Gaia''s Watch]],-1,0)&gt;0,OFFSET(TblMagic[[#This Row],[Active Gaia''s Watch]],-1,0)-1,0))</f>
        <v>0</v>
      </c>
      <c r="AC83" s="57">
        <f ca="1">IF(TblMagic[[#This Row],[Mining Strength]],12,IF(OFFSET(TblMagic[[#This Row],[Active Mining Strength]],-1,0)&gt;0,OFFSET(TblMagic[[#This Row],[Active Mining Strength]],-1,0)-1,0))</f>
        <v>0</v>
      </c>
      <c r="AD83" s="57">
        <f ca="1">IF(TblMagic[[#This Row],[Ares Call]],12,IF(OFFSET(TblMagic[[#This Row],[Active Ares Call]],-1,0)&gt;0,OFFSET(TblMagic[[#This Row],[Active Ares Call]],-1,0)-1,0))</f>
        <v>0</v>
      </c>
      <c r="AE83" s="57">
        <f ca="1">IF(TblMagic[[#This Row],[Midas Touch]],12,IF(OFFSET(TblMagic[[#This Row],[Active Midas Touch]],-1,0)&gt;0,OFFSET(TblMagic[[#This Row],[Active Midas Touch]],-1,0)-1,0))</f>
        <v>0</v>
      </c>
      <c r="AF83" s="57">
        <f ca="1">IF(TblMagic[[#This Row],[Harmony]],12,IF(OFFSET(TblMagic[[#This Row],[Active Harmony]],-1,0)&gt;0,OFFSET(TblMagic[[#This Row],[Active Harmony]],-1,0)-1,0))</f>
        <v>0</v>
      </c>
      <c r="AG83" s="57">
        <f ca="1">IF(TblMagic[[#This Row],[Miner''s Sight]],12,IF(OFFSET(TblMagic[[#This Row],[Active Miner''s Sight]],-1,0)&gt;0,OFFSET(TblMagic[[#This Row],[Active Miner''s Sight]],-1,0)-1,0))</f>
        <v>0</v>
      </c>
      <c r="AH83" s="57">
        <f ca="1">IF(TblMagic[[#This Row],[Mechanical Genius]],12,IF(OFFSET(TblMagic[[#This Row],[Active Mechanical Genius]],-1,0)&gt;0,OFFSET(TblMagic[[#This Row],[Active Mechanical Genius]],-1,0)-1,0))</f>
        <v>0</v>
      </c>
      <c r="AI83" s="57">
        <f ca="1">IF(TblMagic[[#This Row],[Death and Decay]],12,IF(OFFSET(TblMagic[[#This Row],[Active DnD]],-1,0)&gt;0,OFFSET(TblMagic[[#This Row],[Active DnD]],-1,0)-1,0))</f>
        <v>0</v>
      </c>
      <c r="AJ83" s="57">
        <f ca="1">IF(TblMagic[[#This Row],[Killing Rage / Bloodrage / Crusade]],12,IF(OFFSET(TblMagic[[#This Row],[Active Warsong / Killing Rage / Bloodrage]],-1,0)&gt;0,OFFSET(TblMagic[[#This Row],[Active Warsong / Killing Rage / Bloodrage]],-1,0)-1,0))</f>
        <v>0</v>
      </c>
      <c r="AK83" s="57">
        <f ca="1">IF(TblMagic[[#This Row],[Gaia''s Blessing]],12,IF(OFFSET(TblMagic[[#This Row],[Active Gaia''s Blessing]],-1,0)&gt;0,OFFSET(TblMagic[[#This Row],[Active Gaia''s Blessing]],-1,0)-1,0))</f>
        <v>0</v>
      </c>
      <c r="AL83" s="57">
        <f ca="1">IF(TblMagic[[#This Row],[Howling]],12,IF(OFFSET(TblMagic[[#This Row],[Active Howling]],-1,0)&gt;0,OFFSET(TblMagic[[#This Row],[Active Howling]],-1,0)-1,0))</f>
        <v>0</v>
      </c>
      <c r="AM83" s="57">
        <f ca="1">IF(TblMagic[[#This Row],[Arcane Infusion]],12,IF(OFFSET(TblMagic[[#This Row],[Active Arc Infusion]],-1,0)&gt;0,OFFSET(TblMagic[[#This Row],[Active Arc Infusion]],-1,0)-1,0))</f>
        <v>0</v>
      </c>
      <c r="AN83" s="57">
        <f ca="1">IF(TblMagic[[#This Row],[Alchemists Flame]],12,IF(OFFSET(TblMagic[[#This Row],[Active Alchemists Flame]],-1,0)&gt;0,OFFSET(TblMagic[[#This Row],[Active Alchemists Flame]],-1,0)-1,0))</f>
        <v>0</v>
      </c>
      <c r="AO83" s="57">
        <f ca="1">IF(TblMagic[[#This Row],[Nightfall]],12,IF(OFFSET(TblMagic[[#This Row],[Active Nightfall]],-1,0)&gt;0,OFFSET(TblMagic[[#This Row],[Active Nightfall]],-1,0)-1,0))</f>
        <v>0</v>
      </c>
      <c r="AP83" s="57">
        <f ca="1">IF(TblMagic[[#This Row],[Favorable Terrain]],12,IF(OFFSET(TblMagic[[#This Row],[Active Favorable Terrain]],-1,0)&gt;0,OFFSET(TblMagic[[#This Row],[Active Favorable Terrain]],-1,0)-1,0))</f>
        <v>0</v>
      </c>
      <c r="AQ83" s="57">
        <f ca="1">IF(TblMagic[[#This Row],[Infernal Command]],12,IF(OFFSET(TblMagic[[#This Row],[Active Infernal Command]],-1,0)&gt;0,OFFSET(TblMagic[[#This Row],[Active Infernal Command]],-1,0)-1,0))</f>
        <v>0</v>
      </c>
    </row>
    <row r="84" spans="1:43" x14ac:dyDescent="0.2">
      <c r="A84" s="137">
        <f>TblRezone[[#This Row],[Hour]]</f>
        <v>81</v>
      </c>
      <c r="B84" s="154">
        <f ca="1">TblConstr[[#This Row],[Land]]</f>
        <v>50</v>
      </c>
      <c r="C84" s="94">
        <f ca="1">TblProd[[#This Row],[Mana]]</f>
        <v>0</v>
      </c>
      <c r="D84" s="156">
        <f ca="1">MIN(1,OFFSET(TblMagic[[#This Row],[Wiz str]],-1,0)+0.04+ROUNDDOWN(10*OFFSET(TblMili[[#This Row],[WG''s]],-1,0),0)+ tech_2_7*OFFSET(TblTech[[#This Row],[2-7]],-1,0) + tech_5_6*OFFSET(TblTech[[#This Row],[5-6]],-1,0) )-TblMagic[[#This Row],[Wiz str cost]]</f>
        <v>1</v>
      </c>
      <c r="E84" s="159">
        <f ca="1">OFFSET(TblMagic[[#This Row],[Time]],-1,0)+1/24</f>
        <v>46323.333333333139</v>
      </c>
      <c r="F84" s="156">
        <f ca="1">TblImps[[#This Row],[Population]]</f>
        <v>1</v>
      </c>
      <c r="G84" s="218"/>
      <c r="H84" s="218"/>
      <c r="I84" s="218"/>
      <c r="J84" s="218"/>
      <c r="K84" s="405"/>
      <c r="L84" s="218"/>
      <c r="M84" s="218"/>
      <c r="N84" s="218"/>
      <c r="O84" s="218"/>
      <c r="P84" s="218"/>
      <c r="Q84" s="218"/>
      <c r="R84" s="218"/>
      <c r="S84" s="218"/>
      <c r="T84" s="218"/>
      <c r="U84" s="218"/>
      <c r="V84" s="218"/>
      <c r="W84" s="218"/>
      <c r="X84" s="142"/>
      <c r="Y8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4" s="156">
        <f>SUMIF(TblMagic[[#This Row],[Gaia''s Watch]:[Useless spell]],1)*0.05</f>
        <v>0</v>
      </c>
      <c r="AA84" s="142"/>
      <c r="AB84" s="57">
        <f ca="1">IF(TblMagic[[#This Row],[Gaia''s Watch]],12,IF(OFFSET(TblMagic[[#This Row],[Active Gaia''s Watch]],-1,0)&gt;0,OFFSET(TblMagic[[#This Row],[Active Gaia''s Watch]],-1,0)-1,0))</f>
        <v>0</v>
      </c>
      <c r="AC84" s="57">
        <f ca="1">IF(TblMagic[[#This Row],[Mining Strength]],12,IF(OFFSET(TblMagic[[#This Row],[Active Mining Strength]],-1,0)&gt;0,OFFSET(TblMagic[[#This Row],[Active Mining Strength]],-1,0)-1,0))</f>
        <v>0</v>
      </c>
      <c r="AD84" s="57">
        <f ca="1">IF(TblMagic[[#This Row],[Ares Call]],12,IF(OFFSET(TblMagic[[#This Row],[Active Ares Call]],-1,0)&gt;0,OFFSET(TblMagic[[#This Row],[Active Ares Call]],-1,0)-1,0))</f>
        <v>0</v>
      </c>
      <c r="AE84" s="57">
        <f ca="1">IF(TblMagic[[#This Row],[Midas Touch]],12,IF(OFFSET(TblMagic[[#This Row],[Active Midas Touch]],-1,0)&gt;0,OFFSET(TblMagic[[#This Row],[Active Midas Touch]],-1,0)-1,0))</f>
        <v>0</v>
      </c>
      <c r="AF84" s="57">
        <f ca="1">IF(TblMagic[[#This Row],[Harmony]],12,IF(OFFSET(TblMagic[[#This Row],[Active Harmony]],-1,0)&gt;0,OFFSET(TblMagic[[#This Row],[Active Harmony]],-1,0)-1,0))</f>
        <v>0</v>
      </c>
      <c r="AG84" s="57">
        <f ca="1">IF(TblMagic[[#This Row],[Miner''s Sight]],12,IF(OFFSET(TblMagic[[#This Row],[Active Miner''s Sight]],-1,0)&gt;0,OFFSET(TblMagic[[#This Row],[Active Miner''s Sight]],-1,0)-1,0))</f>
        <v>0</v>
      </c>
      <c r="AH84" s="57">
        <f ca="1">IF(TblMagic[[#This Row],[Mechanical Genius]],12,IF(OFFSET(TblMagic[[#This Row],[Active Mechanical Genius]],-1,0)&gt;0,OFFSET(TblMagic[[#This Row],[Active Mechanical Genius]],-1,0)-1,0))</f>
        <v>0</v>
      </c>
      <c r="AI84" s="57">
        <f ca="1">IF(TblMagic[[#This Row],[Death and Decay]],12,IF(OFFSET(TblMagic[[#This Row],[Active DnD]],-1,0)&gt;0,OFFSET(TblMagic[[#This Row],[Active DnD]],-1,0)-1,0))</f>
        <v>0</v>
      </c>
      <c r="AJ84" s="57">
        <f ca="1">IF(TblMagic[[#This Row],[Killing Rage / Bloodrage / Crusade]],12,IF(OFFSET(TblMagic[[#This Row],[Active Warsong / Killing Rage / Bloodrage]],-1,0)&gt;0,OFFSET(TblMagic[[#This Row],[Active Warsong / Killing Rage / Bloodrage]],-1,0)-1,0))</f>
        <v>0</v>
      </c>
      <c r="AK84" s="57">
        <f ca="1">IF(TblMagic[[#This Row],[Gaia''s Blessing]],12,IF(OFFSET(TblMagic[[#This Row],[Active Gaia''s Blessing]],-1,0)&gt;0,OFFSET(TblMagic[[#This Row],[Active Gaia''s Blessing]],-1,0)-1,0))</f>
        <v>0</v>
      </c>
      <c r="AL84" s="57">
        <f ca="1">IF(TblMagic[[#This Row],[Howling]],12,IF(OFFSET(TblMagic[[#This Row],[Active Howling]],-1,0)&gt;0,OFFSET(TblMagic[[#This Row],[Active Howling]],-1,0)-1,0))</f>
        <v>0</v>
      </c>
      <c r="AM84" s="57">
        <f ca="1">IF(TblMagic[[#This Row],[Arcane Infusion]],12,IF(OFFSET(TblMagic[[#This Row],[Active Arc Infusion]],-1,0)&gt;0,OFFSET(TblMagic[[#This Row],[Active Arc Infusion]],-1,0)-1,0))</f>
        <v>0</v>
      </c>
      <c r="AN84" s="57">
        <f ca="1">IF(TblMagic[[#This Row],[Alchemists Flame]],12,IF(OFFSET(TblMagic[[#This Row],[Active Alchemists Flame]],-1,0)&gt;0,OFFSET(TblMagic[[#This Row],[Active Alchemists Flame]],-1,0)-1,0))</f>
        <v>0</v>
      </c>
      <c r="AO84" s="57">
        <f ca="1">IF(TblMagic[[#This Row],[Nightfall]],12,IF(OFFSET(TblMagic[[#This Row],[Active Nightfall]],-1,0)&gt;0,OFFSET(TblMagic[[#This Row],[Active Nightfall]],-1,0)-1,0))</f>
        <v>0</v>
      </c>
      <c r="AP84" s="57">
        <f ca="1">IF(TblMagic[[#This Row],[Favorable Terrain]],12,IF(OFFSET(TblMagic[[#This Row],[Active Favorable Terrain]],-1,0)&gt;0,OFFSET(TblMagic[[#This Row],[Active Favorable Terrain]],-1,0)-1,0))</f>
        <v>0</v>
      </c>
      <c r="AQ84" s="57">
        <f ca="1">IF(TblMagic[[#This Row],[Infernal Command]],12,IF(OFFSET(TblMagic[[#This Row],[Active Infernal Command]],-1,0)&gt;0,OFFSET(TblMagic[[#This Row],[Active Infernal Command]],-1,0)-1,0))</f>
        <v>0</v>
      </c>
    </row>
    <row r="85" spans="1:43" x14ac:dyDescent="0.2">
      <c r="A85" s="137">
        <f>TblRezone[[#This Row],[Hour]]</f>
        <v>82</v>
      </c>
      <c r="B85" s="154">
        <f ca="1">TblConstr[[#This Row],[Land]]</f>
        <v>50</v>
      </c>
      <c r="C85" s="94">
        <f ca="1">TblProd[[#This Row],[Mana]]</f>
        <v>0</v>
      </c>
      <c r="D85" s="156">
        <f ca="1">MIN(1,OFFSET(TblMagic[[#This Row],[Wiz str]],-1,0)+0.04+ROUNDDOWN(10*OFFSET(TblMili[[#This Row],[WG''s]],-1,0),0)+ tech_2_7*OFFSET(TblTech[[#This Row],[2-7]],-1,0) + tech_5_6*OFFSET(TblTech[[#This Row],[5-6]],-1,0) )-TblMagic[[#This Row],[Wiz str cost]]</f>
        <v>1</v>
      </c>
      <c r="E85" s="159">
        <f ca="1">OFFSET(TblMagic[[#This Row],[Time]],-1,0)+1/24</f>
        <v>46323.374999999804</v>
      </c>
      <c r="F85" s="156">
        <f ca="1">TblImps[[#This Row],[Population]]</f>
        <v>1</v>
      </c>
      <c r="G85" s="218"/>
      <c r="H85" s="218"/>
      <c r="I85" s="218"/>
      <c r="J85" s="218"/>
      <c r="K85" s="405"/>
      <c r="L85" s="218"/>
      <c r="M85" s="218"/>
      <c r="N85" s="218"/>
      <c r="O85" s="218"/>
      <c r="P85" s="218"/>
      <c r="Q85" s="218"/>
      <c r="R85" s="218"/>
      <c r="S85" s="218"/>
      <c r="T85" s="218"/>
      <c r="U85" s="218"/>
      <c r="V85" s="218"/>
      <c r="W85" s="218"/>
      <c r="X85" s="142"/>
      <c r="Y8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5" s="156">
        <f>SUMIF(TblMagic[[#This Row],[Gaia''s Watch]:[Useless spell]],1)*0.05</f>
        <v>0</v>
      </c>
      <c r="AA85" s="142"/>
      <c r="AB85" s="57">
        <f ca="1">IF(TblMagic[[#This Row],[Gaia''s Watch]],12,IF(OFFSET(TblMagic[[#This Row],[Active Gaia''s Watch]],-1,0)&gt;0,OFFSET(TblMagic[[#This Row],[Active Gaia''s Watch]],-1,0)-1,0))</f>
        <v>0</v>
      </c>
      <c r="AC85" s="57">
        <f ca="1">IF(TblMagic[[#This Row],[Mining Strength]],12,IF(OFFSET(TblMagic[[#This Row],[Active Mining Strength]],-1,0)&gt;0,OFFSET(TblMagic[[#This Row],[Active Mining Strength]],-1,0)-1,0))</f>
        <v>0</v>
      </c>
      <c r="AD85" s="57">
        <f ca="1">IF(TblMagic[[#This Row],[Ares Call]],12,IF(OFFSET(TblMagic[[#This Row],[Active Ares Call]],-1,0)&gt;0,OFFSET(TblMagic[[#This Row],[Active Ares Call]],-1,0)-1,0))</f>
        <v>0</v>
      </c>
      <c r="AE85" s="57">
        <f ca="1">IF(TblMagic[[#This Row],[Midas Touch]],12,IF(OFFSET(TblMagic[[#This Row],[Active Midas Touch]],-1,0)&gt;0,OFFSET(TblMagic[[#This Row],[Active Midas Touch]],-1,0)-1,0))</f>
        <v>0</v>
      </c>
      <c r="AF85" s="57">
        <f ca="1">IF(TblMagic[[#This Row],[Harmony]],12,IF(OFFSET(TblMagic[[#This Row],[Active Harmony]],-1,0)&gt;0,OFFSET(TblMagic[[#This Row],[Active Harmony]],-1,0)-1,0))</f>
        <v>0</v>
      </c>
      <c r="AG85" s="57">
        <f ca="1">IF(TblMagic[[#This Row],[Miner''s Sight]],12,IF(OFFSET(TblMagic[[#This Row],[Active Miner''s Sight]],-1,0)&gt;0,OFFSET(TblMagic[[#This Row],[Active Miner''s Sight]],-1,0)-1,0))</f>
        <v>0</v>
      </c>
      <c r="AH85" s="57">
        <f ca="1">IF(TblMagic[[#This Row],[Mechanical Genius]],12,IF(OFFSET(TblMagic[[#This Row],[Active Mechanical Genius]],-1,0)&gt;0,OFFSET(TblMagic[[#This Row],[Active Mechanical Genius]],-1,0)-1,0))</f>
        <v>0</v>
      </c>
      <c r="AI85" s="57">
        <f ca="1">IF(TblMagic[[#This Row],[Death and Decay]],12,IF(OFFSET(TblMagic[[#This Row],[Active DnD]],-1,0)&gt;0,OFFSET(TblMagic[[#This Row],[Active DnD]],-1,0)-1,0))</f>
        <v>0</v>
      </c>
      <c r="AJ85" s="57">
        <f ca="1">IF(TblMagic[[#This Row],[Killing Rage / Bloodrage / Crusade]],12,IF(OFFSET(TblMagic[[#This Row],[Active Warsong / Killing Rage / Bloodrage]],-1,0)&gt;0,OFFSET(TblMagic[[#This Row],[Active Warsong / Killing Rage / Bloodrage]],-1,0)-1,0))</f>
        <v>0</v>
      </c>
      <c r="AK85" s="57">
        <f ca="1">IF(TblMagic[[#This Row],[Gaia''s Blessing]],12,IF(OFFSET(TblMagic[[#This Row],[Active Gaia''s Blessing]],-1,0)&gt;0,OFFSET(TblMagic[[#This Row],[Active Gaia''s Blessing]],-1,0)-1,0))</f>
        <v>0</v>
      </c>
      <c r="AL85" s="57">
        <f ca="1">IF(TblMagic[[#This Row],[Howling]],12,IF(OFFSET(TblMagic[[#This Row],[Active Howling]],-1,0)&gt;0,OFFSET(TblMagic[[#This Row],[Active Howling]],-1,0)-1,0))</f>
        <v>0</v>
      </c>
      <c r="AM85" s="57">
        <f ca="1">IF(TblMagic[[#This Row],[Arcane Infusion]],12,IF(OFFSET(TblMagic[[#This Row],[Active Arc Infusion]],-1,0)&gt;0,OFFSET(TblMagic[[#This Row],[Active Arc Infusion]],-1,0)-1,0))</f>
        <v>0</v>
      </c>
      <c r="AN85" s="57">
        <f ca="1">IF(TblMagic[[#This Row],[Alchemists Flame]],12,IF(OFFSET(TblMagic[[#This Row],[Active Alchemists Flame]],-1,0)&gt;0,OFFSET(TblMagic[[#This Row],[Active Alchemists Flame]],-1,0)-1,0))</f>
        <v>0</v>
      </c>
      <c r="AO85" s="57">
        <f ca="1">IF(TblMagic[[#This Row],[Nightfall]],12,IF(OFFSET(TblMagic[[#This Row],[Active Nightfall]],-1,0)&gt;0,OFFSET(TblMagic[[#This Row],[Active Nightfall]],-1,0)-1,0))</f>
        <v>0</v>
      </c>
      <c r="AP85" s="57">
        <f ca="1">IF(TblMagic[[#This Row],[Favorable Terrain]],12,IF(OFFSET(TblMagic[[#This Row],[Active Favorable Terrain]],-1,0)&gt;0,OFFSET(TblMagic[[#This Row],[Active Favorable Terrain]],-1,0)-1,0))</f>
        <v>0</v>
      </c>
      <c r="AQ85" s="57">
        <f ca="1">IF(TblMagic[[#This Row],[Infernal Command]],12,IF(OFFSET(TblMagic[[#This Row],[Active Infernal Command]],-1,0)&gt;0,OFFSET(TblMagic[[#This Row],[Active Infernal Command]],-1,0)-1,0))</f>
        <v>0</v>
      </c>
    </row>
    <row r="86" spans="1:43" x14ac:dyDescent="0.2">
      <c r="A86" s="137">
        <f>TblRezone[[#This Row],[Hour]]</f>
        <v>83</v>
      </c>
      <c r="B86" s="154">
        <f ca="1">TblConstr[[#This Row],[Land]]</f>
        <v>50</v>
      </c>
      <c r="C86" s="94">
        <f ca="1">TblProd[[#This Row],[Mana]]</f>
        <v>0</v>
      </c>
      <c r="D86" s="156">
        <f ca="1">MIN(1,OFFSET(TblMagic[[#This Row],[Wiz str]],-1,0)+0.04+ROUNDDOWN(10*OFFSET(TblMili[[#This Row],[WG''s]],-1,0),0)+ tech_2_7*OFFSET(TblTech[[#This Row],[2-7]],-1,0) + tech_5_6*OFFSET(TblTech[[#This Row],[5-6]],-1,0) )-TblMagic[[#This Row],[Wiz str cost]]</f>
        <v>1</v>
      </c>
      <c r="E86" s="159">
        <f ca="1">OFFSET(TblMagic[[#This Row],[Time]],-1,0)+1/24</f>
        <v>46323.416666666468</v>
      </c>
      <c r="F86" s="156">
        <f ca="1">TblImps[[#This Row],[Population]]</f>
        <v>1</v>
      </c>
      <c r="G86" s="218"/>
      <c r="H86" s="218"/>
      <c r="I86" s="218"/>
      <c r="J86" s="218"/>
      <c r="K86" s="405"/>
      <c r="L86" s="218"/>
      <c r="M86" s="218"/>
      <c r="N86" s="218"/>
      <c r="O86" s="218"/>
      <c r="P86" s="218"/>
      <c r="Q86" s="218"/>
      <c r="R86" s="218"/>
      <c r="S86" s="218"/>
      <c r="T86" s="218"/>
      <c r="U86" s="218"/>
      <c r="V86" s="218"/>
      <c r="W86" s="218"/>
      <c r="X86" s="142"/>
      <c r="Y8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6" s="156">
        <f>SUMIF(TblMagic[[#This Row],[Gaia''s Watch]:[Useless spell]],1)*0.05</f>
        <v>0</v>
      </c>
      <c r="AA86" s="142"/>
      <c r="AB86" s="57">
        <f ca="1">IF(TblMagic[[#This Row],[Gaia''s Watch]],12,IF(OFFSET(TblMagic[[#This Row],[Active Gaia''s Watch]],-1,0)&gt;0,OFFSET(TblMagic[[#This Row],[Active Gaia''s Watch]],-1,0)-1,0))</f>
        <v>0</v>
      </c>
      <c r="AC86" s="57">
        <f ca="1">IF(TblMagic[[#This Row],[Mining Strength]],12,IF(OFFSET(TblMagic[[#This Row],[Active Mining Strength]],-1,0)&gt;0,OFFSET(TblMagic[[#This Row],[Active Mining Strength]],-1,0)-1,0))</f>
        <v>0</v>
      </c>
      <c r="AD86" s="57">
        <f ca="1">IF(TblMagic[[#This Row],[Ares Call]],12,IF(OFFSET(TblMagic[[#This Row],[Active Ares Call]],-1,0)&gt;0,OFFSET(TblMagic[[#This Row],[Active Ares Call]],-1,0)-1,0))</f>
        <v>0</v>
      </c>
      <c r="AE86" s="57">
        <f ca="1">IF(TblMagic[[#This Row],[Midas Touch]],12,IF(OFFSET(TblMagic[[#This Row],[Active Midas Touch]],-1,0)&gt;0,OFFSET(TblMagic[[#This Row],[Active Midas Touch]],-1,0)-1,0))</f>
        <v>0</v>
      </c>
      <c r="AF86" s="57">
        <f ca="1">IF(TblMagic[[#This Row],[Harmony]],12,IF(OFFSET(TblMagic[[#This Row],[Active Harmony]],-1,0)&gt;0,OFFSET(TblMagic[[#This Row],[Active Harmony]],-1,0)-1,0))</f>
        <v>0</v>
      </c>
      <c r="AG86" s="57">
        <f ca="1">IF(TblMagic[[#This Row],[Miner''s Sight]],12,IF(OFFSET(TblMagic[[#This Row],[Active Miner''s Sight]],-1,0)&gt;0,OFFSET(TblMagic[[#This Row],[Active Miner''s Sight]],-1,0)-1,0))</f>
        <v>0</v>
      </c>
      <c r="AH86" s="57">
        <f ca="1">IF(TblMagic[[#This Row],[Mechanical Genius]],12,IF(OFFSET(TblMagic[[#This Row],[Active Mechanical Genius]],-1,0)&gt;0,OFFSET(TblMagic[[#This Row],[Active Mechanical Genius]],-1,0)-1,0))</f>
        <v>0</v>
      </c>
      <c r="AI86" s="57">
        <f ca="1">IF(TblMagic[[#This Row],[Death and Decay]],12,IF(OFFSET(TblMagic[[#This Row],[Active DnD]],-1,0)&gt;0,OFFSET(TblMagic[[#This Row],[Active DnD]],-1,0)-1,0))</f>
        <v>0</v>
      </c>
      <c r="AJ86" s="57">
        <f ca="1">IF(TblMagic[[#This Row],[Killing Rage / Bloodrage / Crusade]],12,IF(OFFSET(TblMagic[[#This Row],[Active Warsong / Killing Rage / Bloodrage]],-1,0)&gt;0,OFFSET(TblMagic[[#This Row],[Active Warsong / Killing Rage / Bloodrage]],-1,0)-1,0))</f>
        <v>0</v>
      </c>
      <c r="AK86" s="57">
        <f ca="1">IF(TblMagic[[#This Row],[Gaia''s Blessing]],12,IF(OFFSET(TblMagic[[#This Row],[Active Gaia''s Blessing]],-1,0)&gt;0,OFFSET(TblMagic[[#This Row],[Active Gaia''s Blessing]],-1,0)-1,0))</f>
        <v>0</v>
      </c>
      <c r="AL86" s="57">
        <f ca="1">IF(TblMagic[[#This Row],[Howling]],12,IF(OFFSET(TblMagic[[#This Row],[Active Howling]],-1,0)&gt;0,OFFSET(TblMagic[[#This Row],[Active Howling]],-1,0)-1,0))</f>
        <v>0</v>
      </c>
      <c r="AM86" s="57">
        <f ca="1">IF(TblMagic[[#This Row],[Arcane Infusion]],12,IF(OFFSET(TblMagic[[#This Row],[Active Arc Infusion]],-1,0)&gt;0,OFFSET(TblMagic[[#This Row],[Active Arc Infusion]],-1,0)-1,0))</f>
        <v>0</v>
      </c>
      <c r="AN86" s="57">
        <f ca="1">IF(TblMagic[[#This Row],[Alchemists Flame]],12,IF(OFFSET(TblMagic[[#This Row],[Active Alchemists Flame]],-1,0)&gt;0,OFFSET(TblMagic[[#This Row],[Active Alchemists Flame]],-1,0)-1,0))</f>
        <v>0</v>
      </c>
      <c r="AO86" s="57">
        <f ca="1">IF(TblMagic[[#This Row],[Nightfall]],12,IF(OFFSET(TblMagic[[#This Row],[Active Nightfall]],-1,0)&gt;0,OFFSET(TblMagic[[#This Row],[Active Nightfall]],-1,0)-1,0))</f>
        <v>0</v>
      </c>
      <c r="AP86" s="57">
        <f ca="1">IF(TblMagic[[#This Row],[Favorable Terrain]],12,IF(OFFSET(TblMagic[[#This Row],[Active Favorable Terrain]],-1,0)&gt;0,OFFSET(TblMagic[[#This Row],[Active Favorable Terrain]],-1,0)-1,0))</f>
        <v>0</v>
      </c>
      <c r="AQ86" s="57">
        <f ca="1">IF(TblMagic[[#This Row],[Infernal Command]],12,IF(OFFSET(TblMagic[[#This Row],[Active Infernal Command]],-1,0)&gt;0,OFFSET(TblMagic[[#This Row],[Active Infernal Command]],-1,0)-1,0))</f>
        <v>0</v>
      </c>
    </row>
    <row r="87" spans="1:43" x14ac:dyDescent="0.2">
      <c r="A87" s="137">
        <f>TblRezone[[#This Row],[Hour]]</f>
        <v>84</v>
      </c>
      <c r="B87" s="154">
        <f ca="1">TblConstr[[#This Row],[Land]]</f>
        <v>50</v>
      </c>
      <c r="C87" s="94">
        <f ca="1">TblProd[[#This Row],[Mana]]</f>
        <v>0</v>
      </c>
      <c r="D87" s="156">
        <f ca="1">MIN(1,OFFSET(TblMagic[[#This Row],[Wiz str]],-1,0)+0.04+ROUNDDOWN(10*OFFSET(TblMili[[#This Row],[WG''s]],-1,0),0)+ tech_2_7*OFFSET(TblTech[[#This Row],[2-7]],-1,0) + tech_5_6*OFFSET(TblTech[[#This Row],[5-6]],-1,0) )-TblMagic[[#This Row],[Wiz str cost]]</f>
        <v>1</v>
      </c>
      <c r="E87" s="159">
        <f ca="1">OFFSET(TblMagic[[#This Row],[Time]],-1,0)+1/24</f>
        <v>46323.458333333132</v>
      </c>
      <c r="F87" s="156">
        <f ca="1">TblImps[[#This Row],[Population]]</f>
        <v>1</v>
      </c>
      <c r="G87" s="218"/>
      <c r="H87" s="218"/>
      <c r="I87" s="218"/>
      <c r="J87" s="218"/>
      <c r="K87" s="405"/>
      <c r="L87" s="218"/>
      <c r="M87" s="218"/>
      <c r="N87" s="218"/>
      <c r="O87" s="218"/>
      <c r="P87" s="218"/>
      <c r="Q87" s="218"/>
      <c r="R87" s="218"/>
      <c r="S87" s="218"/>
      <c r="T87" s="218"/>
      <c r="U87" s="218"/>
      <c r="V87" s="218"/>
      <c r="W87" s="218"/>
      <c r="X87" s="142"/>
      <c r="Y8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7" s="156">
        <f>SUMIF(TblMagic[[#This Row],[Gaia''s Watch]:[Useless spell]],1)*0.05</f>
        <v>0</v>
      </c>
      <c r="AA87" s="142"/>
      <c r="AB87" s="57">
        <f ca="1">IF(TblMagic[[#This Row],[Gaia''s Watch]],12,IF(OFFSET(TblMagic[[#This Row],[Active Gaia''s Watch]],-1,0)&gt;0,OFFSET(TblMagic[[#This Row],[Active Gaia''s Watch]],-1,0)-1,0))</f>
        <v>0</v>
      </c>
      <c r="AC87" s="57">
        <f ca="1">IF(TblMagic[[#This Row],[Mining Strength]],12,IF(OFFSET(TblMagic[[#This Row],[Active Mining Strength]],-1,0)&gt;0,OFFSET(TblMagic[[#This Row],[Active Mining Strength]],-1,0)-1,0))</f>
        <v>0</v>
      </c>
      <c r="AD87" s="57">
        <f ca="1">IF(TblMagic[[#This Row],[Ares Call]],12,IF(OFFSET(TblMagic[[#This Row],[Active Ares Call]],-1,0)&gt;0,OFFSET(TblMagic[[#This Row],[Active Ares Call]],-1,0)-1,0))</f>
        <v>0</v>
      </c>
      <c r="AE87" s="57">
        <f ca="1">IF(TblMagic[[#This Row],[Midas Touch]],12,IF(OFFSET(TblMagic[[#This Row],[Active Midas Touch]],-1,0)&gt;0,OFFSET(TblMagic[[#This Row],[Active Midas Touch]],-1,0)-1,0))</f>
        <v>0</v>
      </c>
      <c r="AF87" s="57">
        <f ca="1">IF(TblMagic[[#This Row],[Harmony]],12,IF(OFFSET(TblMagic[[#This Row],[Active Harmony]],-1,0)&gt;0,OFFSET(TblMagic[[#This Row],[Active Harmony]],-1,0)-1,0))</f>
        <v>0</v>
      </c>
      <c r="AG87" s="57">
        <f ca="1">IF(TblMagic[[#This Row],[Miner''s Sight]],12,IF(OFFSET(TblMagic[[#This Row],[Active Miner''s Sight]],-1,0)&gt;0,OFFSET(TblMagic[[#This Row],[Active Miner''s Sight]],-1,0)-1,0))</f>
        <v>0</v>
      </c>
      <c r="AH87" s="57">
        <f ca="1">IF(TblMagic[[#This Row],[Mechanical Genius]],12,IF(OFFSET(TblMagic[[#This Row],[Active Mechanical Genius]],-1,0)&gt;0,OFFSET(TblMagic[[#This Row],[Active Mechanical Genius]],-1,0)-1,0))</f>
        <v>0</v>
      </c>
      <c r="AI87" s="57">
        <f ca="1">IF(TblMagic[[#This Row],[Death and Decay]],12,IF(OFFSET(TblMagic[[#This Row],[Active DnD]],-1,0)&gt;0,OFFSET(TblMagic[[#This Row],[Active DnD]],-1,0)-1,0))</f>
        <v>0</v>
      </c>
      <c r="AJ87" s="57">
        <f ca="1">IF(TblMagic[[#This Row],[Killing Rage / Bloodrage / Crusade]],12,IF(OFFSET(TblMagic[[#This Row],[Active Warsong / Killing Rage / Bloodrage]],-1,0)&gt;0,OFFSET(TblMagic[[#This Row],[Active Warsong / Killing Rage / Bloodrage]],-1,0)-1,0))</f>
        <v>0</v>
      </c>
      <c r="AK87" s="57">
        <f ca="1">IF(TblMagic[[#This Row],[Gaia''s Blessing]],12,IF(OFFSET(TblMagic[[#This Row],[Active Gaia''s Blessing]],-1,0)&gt;0,OFFSET(TblMagic[[#This Row],[Active Gaia''s Blessing]],-1,0)-1,0))</f>
        <v>0</v>
      </c>
      <c r="AL87" s="57">
        <f ca="1">IF(TblMagic[[#This Row],[Howling]],12,IF(OFFSET(TblMagic[[#This Row],[Active Howling]],-1,0)&gt;0,OFFSET(TblMagic[[#This Row],[Active Howling]],-1,0)-1,0))</f>
        <v>0</v>
      </c>
      <c r="AM87" s="57">
        <f ca="1">IF(TblMagic[[#This Row],[Arcane Infusion]],12,IF(OFFSET(TblMagic[[#This Row],[Active Arc Infusion]],-1,0)&gt;0,OFFSET(TblMagic[[#This Row],[Active Arc Infusion]],-1,0)-1,0))</f>
        <v>0</v>
      </c>
      <c r="AN87" s="57">
        <f ca="1">IF(TblMagic[[#This Row],[Alchemists Flame]],12,IF(OFFSET(TblMagic[[#This Row],[Active Alchemists Flame]],-1,0)&gt;0,OFFSET(TblMagic[[#This Row],[Active Alchemists Flame]],-1,0)-1,0))</f>
        <v>0</v>
      </c>
      <c r="AO87" s="57">
        <f ca="1">IF(TblMagic[[#This Row],[Nightfall]],12,IF(OFFSET(TblMagic[[#This Row],[Active Nightfall]],-1,0)&gt;0,OFFSET(TblMagic[[#This Row],[Active Nightfall]],-1,0)-1,0))</f>
        <v>0</v>
      </c>
      <c r="AP87" s="57">
        <f ca="1">IF(TblMagic[[#This Row],[Favorable Terrain]],12,IF(OFFSET(TblMagic[[#This Row],[Active Favorable Terrain]],-1,0)&gt;0,OFFSET(TblMagic[[#This Row],[Active Favorable Terrain]],-1,0)-1,0))</f>
        <v>0</v>
      </c>
      <c r="AQ87" s="57">
        <f ca="1">IF(TblMagic[[#This Row],[Infernal Command]],12,IF(OFFSET(TblMagic[[#This Row],[Active Infernal Command]],-1,0)&gt;0,OFFSET(TblMagic[[#This Row],[Active Infernal Command]],-1,0)-1,0))</f>
        <v>0</v>
      </c>
    </row>
    <row r="88" spans="1:43" x14ac:dyDescent="0.2">
      <c r="A88" s="137">
        <f>TblRezone[[#This Row],[Hour]]</f>
        <v>85</v>
      </c>
      <c r="B88" s="154">
        <f ca="1">TblConstr[[#This Row],[Land]]</f>
        <v>50</v>
      </c>
      <c r="C88" s="94">
        <f ca="1">TblProd[[#This Row],[Mana]]</f>
        <v>0</v>
      </c>
      <c r="D88" s="156">
        <f ca="1">MIN(1,OFFSET(TblMagic[[#This Row],[Wiz str]],-1,0)+0.04+ROUNDDOWN(10*OFFSET(TblMili[[#This Row],[WG''s]],-1,0),0)+ tech_2_7*OFFSET(TblTech[[#This Row],[2-7]],-1,0) + tech_5_6*OFFSET(TblTech[[#This Row],[5-6]],-1,0) )-TblMagic[[#This Row],[Wiz str cost]]</f>
        <v>1</v>
      </c>
      <c r="E88" s="159">
        <f ca="1">OFFSET(TblMagic[[#This Row],[Time]],-1,0)+1/24</f>
        <v>46323.499999999796</v>
      </c>
      <c r="F88" s="156">
        <f ca="1">TblImps[[#This Row],[Population]]</f>
        <v>1</v>
      </c>
      <c r="G88" s="218"/>
      <c r="H88" s="218"/>
      <c r="I88" s="218"/>
      <c r="J88" s="218"/>
      <c r="K88" s="405"/>
      <c r="L88" s="218"/>
      <c r="M88" s="218"/>
      <c r="N88" s="218"/>
      <c r="O88" s="218"/>
      <c r="P88" s="218"/>
      <c r="Q88" s="218"/>
      <c r="R88" s="218"/>
      <c r="S88" s="218"/>
      <c r="T88" s="218"/>
      <c r="U88" s="218"/>
      <c r="V88" s="218"/>
      <c r="W88" s="218"/>
      <c r="X88" s="142"/>
      <c r="Y8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8" s="156">
        <f>SUMIF(TblMagic[[#This Row],[Gaia''s Watch]:[Useless spell]],1)*0.05</f>
        <v>0</v>
      </c>
      <c r="AA88" s="142"/>
      <c r="AB88" s="57">
        <f ca="1">IF(TblMagic[[#This Row],[Gaia''s Watch]],12,IF(OFFSET(TblMagic[[#This Row],[Active Gaia''s Watch]],-1,0)&gt;0,OFFSET(TblMagic[[#This Row],[Active Gaia''s Watch]],-1,0)-1,0))</f>
        <v>0</v>
      </c>
      <c r="AC88" s="57">
        <f ca="1">IF(TblMagic[[#This Row],[Mining Strength]],12,IF(OFFSET(TblMagic[[#This Row],[Active Mining Strength]],-1,0)&gt;0,OFFSET(TblMagic[[#This Row],[Active Mining Strength]],-1,0)-1,0))</f>
        <v>0</v>
      </c>
      <c r="AD88" s="57">
        <f ca="1">IF(TblMagic[[#This Row],[Ares Call]],12,IF(OFFSET(TblMagic[[#This Row],[Active Ares Call]],-1,0)&gt;0,OFFSET(TblMagic[[#This Row],[Active Ares Call]],-1,0)-1,0))</f>
        <v>0</v>
      </c>
      <c r="AE88" s="57">
        <f ca="1">IF(TblMagic[[#This Row],[Midas Touch]],12,IF(OFFSET(TblMagic[[#This Row],[Active Midas Touch]],-1,0)&gt;0,OFFSET(TblMagic[[#This Row],[Active Midas Touch]],-1,0)-1,0))</f>
        <v>0</v>
      </c>
      <c r="AF88" s="57">
        <f ca="1">IF(TblMagic[[#This Row],[Harmony]],12,IF(OFFSET(TblMagic[[#This Row],[Active Harmony]],-1,0)&gt;0,OFFSET(TblMagic[[#This Row],[Active Harmony]],-1,0)-1,0))</f>
        <v>0</v>
      </c>
      <c r="AG88" s="57">
        <f ca="1">IF(TblMagic[[#This Row],[Miner''s Sight]],12,IF(OFFSET(TblMagic[[#This Row],[Active Miner''s Sight]],-1,0)&gt;0,OFFSET(TblMagic[[#This Row],[Active Miner''s Sight]],-1,0)-1,0))</f>
        <v>0</v>
      </c>
      <c r="AH88" s="57">
        <f ca="1">IF(TblMagic[[#This Row],[Mechanical Genius]],12,IF(OFFSET(TblMagic[[#This Row],[Active Mechanical Genius]],-1,0)&gt;0,OFFSET(TblMagic[[#This Row],[Active Mechanical Genius]],-1,0)-1,0))</f>
        <v>0</v>
      </c>
      <c r="AI88" s="57">
        <f ca="1">IF(TblMagic[[#This Row],[Death and Decay]],12,IF(OFFSET(TblMagic[[#This Row],[Active DnD]],-1,0)&gt;0,OFFSET(TblMagic[[#This Row],[Active DnD]],-1,0)-1,0))</f>
        <v>0</v>
      </c>
      <c r="AJ88" s="57">
        <f ca="1">IF(TblMagic[[#This Row],[Killing Rage / Bloodrage / Crusade]],12,IF(OFFSET(TblMagic[[#This Row],[Active Warsong / Killing Rage / Bloodrage]],-1,0)&gt;0,OFFSET(TblMagic[[#This Row],[Active Warsong / Killing Rage / Bloodrage]],-1,0)-1,0))</f>
        <v>0</v>
      </c>
      <c r="AK88" s="57">
        <f ca="1">IF(TblMagic[[#This Row],[Gaia''s Blessing]],12,IF(OFFSET(TblMagic[[#This Row],[Active Gaia''s Blessing]],-1,0)&gt;0,OFFSET(TblMagic[[#This Row],[Active Gaia''s Blessing]],-1,0)-1,0))</f>
        <v>0</v>
      </c>
      <c r="AL88" s="57">
        <f ca="1">IF(TblMagic[[#This Row],[Howling]],12,IF(OFFSET(TblMagic[[#This Row],[Active Howling]],-1,0)&gt;0,OFFSET(TblMagic[[#This Row],[Active Howling]],-1,0)-1,0))</f>
        <v>0</v>
      </c>
      <c r="AM88" s="57">
        <f ca="1">IF(TblMagic[[#This Row],[Arcane Infusion]],12,IF(OFFSET(TblMagic[[#This Row],[Active Arc Infusion]],-1,0)&gt;0,OFFSET(TblMagic[[#This Row],[Active Arc Infusion]],-1,0)-1,0))</f>
        <v>0</v>
      </c>
      <c r="AN88" s="57">
        <f ca="1">IF(TblMagic[[#This Row],[Alchemists Flame]],12,IF(OFFSET(TblMagic[[#This Row],[Active Alchemists Flame]],-1,0)&gt;0,OFFSET(TblMagic[[#This Row],[Active Alchemists Flame]],-1,0)-1,0))</f>
        <v>0</v>
      </c>
      <c r="AO88" s="57">
        <f ca="1">IF(TblMagic[[#This Row],[Nightfall]],12,IF(OFFSET(TblMagic[[#This Row],[Active Nightfall]],-1,0)&gt;0,OFFSET(TblMagic[[#This Row],[Active Nightfall]],-1,0)-1,0))</f>
        <v>0</v>
      </c>
      <c r="AP88" s="57">
        <f ca="1">IF(TblMagic[[#This Row],[Favorable Terrain]],12,IF(OFFSET(TblMagic[[#This Row],[Active Favorable Terrain]],-1,0)&gt;0,OFFSET(TblMagic[[#This Row],[Active Favorable Terrain]],-1,0)-1,0))</f>
        <v>0</v>
      </c>
      <c r="AQ88" s="57">
        <f ca="1">IF(TblMagic[[#This Row],[Infernal Command]],12,IF(OFFSET(TblMagic[[#This Row],[Active Infernal Command]],-1,0)&gt;0,OFFSET(TblMagic[[#This Row],[Active Infernal Command]],-1,0)-1,0))</f>
        <v>0</v>
      </c>
    </row>
    <row r="89" spans="1:43" x14ac:dyDescent="0.2">
      <c r="A89" s="137">
        <f>TblRezone[[#This Row],[Hour]]</f>
        <v>86</v>
      </c>
      <c r="B89" s="154">
        <f ca="1">TblConstr[[#This Row],[Land]]</f>
        <v>50</v>
      </c>
      <c r="C89" s="94">
        <f ca="1">TblProd[[#This Row],[Mana]]</f>
        <v>0</v>
      </c>
      <c r="D89" s="156">
        <f ca="1">MIN(1,OFFSET(TblMagic[[#This Row],[Wiz str]],-1,0)+0.04+ROUNDDOWN(10*OFFSET(TblMili[[#This Row],[WG''s]],-1,0),0)+ tech_2_7*OFFSET(TblTech[[#This Row],[2-7]],-1,0) + tech_5_6*OFFSET(TblTech[[#This Row],[5-6]],-1,0) )-TblMagic[[#This Row],[Wiz str cost]]</f>
        <v>1</v>
      </c>
      <c r="E89" s="159">
        <f ca="1">OFFSET(TblMagic[[#This Row],[Time]],-1,0)+1/24</f>
        <v>46323.541666666461</v>
      </c>
      <c r="F89" s="156">
        <f ca="1">TblImps[[#This Row],[Population]]</f>
        <v>1</v>
      </c>
      <c r="G89" s="218"/>
      <c r="H89" s="218"/>
      <c r="I89" s="218"/>
      <c r="J89" s="218"/>
      <c r="K89" s="405"/>
      <c r="L89" s="218"/>
      <c r="M89" s="218"/>
      <c r="N89" s="218"/>
      <c r="O89" s="218"/>
      <c r="P89" s="218"/>
      <c r="Q89" s="218"/>
      <c r="R89" s="218"/>
      <c r="S89" s="218"/>
      <c r="T89" s="218"/>
      <c r="U89" s="218"/>
      <c r="V89" s="218"/>
      <c r="W89" s="218"/>
      <c r="X89" s="142"/>
      <c r="Y8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9" s="156">
        <f>SUMIF(TblMagic[[#This Row],[Gaia''s Watch]:[Useless spell]],1)*0.05</f>
        <v>0</v>
      </c>
      <c r="AA89" s="142"/>
      <c r="AB89" s="57">
        <f ca="1">IF(TblMagic[[#This Row],[Gaia''s Watch]],12,IF(OFFSET(TblMagic[[#This Row],[Active Gaia''s Watch]],-1,0)&gt;0,OFFSET(TblMagic[[#This Row],[Active Gaia''s Watch]],-1,0)-1,0))</f>
        <v>0</v>
      </c>
      <c r="AC89" s="57">
        <f ca="1">IF(TblMagic[[#This Row],[Mining Strength]],12,IF(OFFSET(TblMagic[[#This Row],[Active Mining Strength]],-1,0)&gt;0,OFFSET(TblMagic[[#This Row],[Active Mining Strength]],-1,0)-1,0))</f>
        <v>0</v>
      </c>
      <c r="AD89" s="57">
        <f ca="1">IF(TblMagic[[#This Row],[Ares Call]],12,IF(OFFSET(TblMagic[[#This Row],[Active Ares Call]],-1,0)&gt;0,OFFSET(TblMagic[[#This Row],[Active Ares Call]],-1,0)-1,0))</f>
        <v>0</v>
      </c>
      <c r="AE89" s="57">
        <f ca="1">IF(TblMagic[[#This Row],[Midas Touch]],12,IF(OFFSET(TblMagic[[#This Row],[Active Midas Touch]],-1,0)&gt;0,OFFSET(TblMagic[[#This Row],[Active Midas Touch]],-1,0)-1,0))</f>
        <v>0</v>
      </c>
      <c r="AF89" s="57">
        <f ca="1">IF(TblMagic[[#This Row],[Harmony]],12,IF(OFFSET(TblMagic[[#This Row],[Active Harmony]],-1,0)&gt;0,OFFSET(TblMagic[[#This Row],[Active Harmony]],-1,0)-1,0))</f>
        <v>0</v>
      </c>
      <c r="AG89" s="57">
        <f ca="1">IF(TblMagic[[#This Row],[Miner''s Sight]],12,IF(OFFSET(TblMagic[[#This Row],[Active Miner''s Sight]],-1,0)&gt;0,OFFSET(TblMagic[[#This Row],[Active Miner''s Sight]],-1,0)-1,0))</f>
        <v>0</v>
      </c>
      <c r="AH89" s="57">
        <f ca="1">IF(TblMagic[[#This Row],[Mechanical Genius]],12,IF(OFFSET(TblMagic[[#This Row],[Active Mechanical Genius]],-1,0)&gt;0,OFFSET(TblMagic[[#This Row],[Active Mechanical Genius]],-1,0)-1,0))</f>
        <v>0</v>
      </c>
      <c r="AI89" s="57">
        <f ca="1">IF(TblMagic[[#This Row],[Death and Decay]],12,IF(OFFSET(TblMagic[[#This Row],[Active DnD]],-1,0)&gt;0,OFFSET(TblMagic[[#This Row],[Active DnD]],-1,0)-1,0))</f>
        <v>0</v>
      </c>
      <c r="AJ89" s="57">
        <f ca="1">IF(TblMagic[[#This Row],[Killing Rage / Bloodrage / Crusade]],12,IF(OFFSET(TblMagic[[#This Row],[Active Warsong / Killing Rage / Bloodrage]],-1,0)&gt;0,OFFSET(TblMagic[[#This Row],[Active Warsong / Killing Rage / Bloodrage]],-1,0)-1,0))</f>
        <v>0</v>
      </c>
      <c r="AK89" s="57">
        <f ca="1">IF(TblMagic[[#This Row],[Gaia''s Blessing]],12,IF(OFFSET(TblMagic[[#This Row],[Active Gaia''s Blessing]],-1,0)&gt;0,OFFSET(TblMagic[[#This Row],[Active Gaia''s Blessing]],-1,0)-1,0))</f>
        <v>0</v>
      </c>
      <c r="AL89" s="57">
        <f ca="1">IF(TblMagic[[#This Row],[Howling]],12,IF(OFFSET(TblMagic[[#This Row],[Active Howling]],-1,0)&gt;0,OFFSET(TblMagic[[#This Row],[Active Howling]],-1,0)-1,0))</f>
        <v>0</v>
      </c>
      <c r="AM89" s="57">
        <f ca="1">IF(TblMagic[[#This Row],[Arcane Infusion]],12,IF(OFFSET(TblMagic[[#This Row],[Active Arc Infusion]],-1,0)&gt;0,OFFSET(TblMagic[[#This Row],[Active Arc Infusion]],-1,0)-1,0))</f>
        <v>0</v>
      </c>
      <c r="AN89" s="57">
        <f ca="1">IF(TblMagic[[#This Row],[Alchemists Flame]],12,IF(OFFSET(TblMagic[[#This Row],[Active Alchemists Flame]],-1,0)&gt;0,OFFSET(TblMagic[[#This Row],[Active Alchemists Flame]],-1,0)-1,0))</f>
        <v>0</v>
      </c>
      <c r="AO89" s="57">
        <f ca="1">IF(TblMagic[[#This Row],[Nightfall]],12,IF(OFFSET(TblMagic[[#This Row],[Active Nightfall]],-1,0)&gt;0,OFFSET(TblMagic[[#This Row],[Active Nightfall]],-1,0)-1,0))</f>
        <v>0</v>
      </c>
      <c r="AP89" s="57">
        <f ca="1">IF(TblMagic[[#This Row],[Favorable Terrain]],12,IF(OFFSET(TblMagic[[#This Row],[Active Favorable Terrain]],-1,0)&gt;0,OFFSET(TblMagic[[#This Row],[Active Favorable Terrain]],-1,0)-1,0))</f>
        <v>0</v>
      </c>
      <c r="AQ89" s="57">
        <f ca="1">IF(TblMagic[[#This Row],[Infernal Command]],12,IF(OFFSET(TblMagic[[#This Row],[Active Infernal Command]],-1,0)&gt;0,OFFSET(TblMagic[[#This Row],[Active Infernal Command]],-1,0)-1,0))</f>
        <v>0</v>
      </c>
    </row>
    <row r="90" spans="1:43" x14ac:dyDescent="0.2">
      <c r="A90" s="137">
        <f>TblRezone[[#This Row],[Hour]]</f>
        <v>87</v>
      </c>
      <c r="B90" s="154">
        <f ca="1">TblConstr[[#This Row],[Land]]</f>
        <v>50</v>
      </c>
      <c r="C90" s="94">
        <f ca="1">TblProd[[#This Row],[Mana]]</f>
        <v>0</v>
      </c>
      <c r="D90" s="156">
        <f ca="1">MIN(1,OFFSET(TblMagic[[#This Row],[Wiz str]],-1,0)+0.04+ROUNDDOWN(10*OFFSET(TblMili[[#This Row],[WG''s]],-1,0),0)+ tech_2_7*OFFSET(TblTech[[#This Row],[2-7]],-1,0) + tech_5_6*OFFSET(TblTech[[#This Row],[5-6]],-1,0) )-TblMagic[[#This Row],[Wiz str cost]]</f>
        <v>1</v>
      </c>
      <c r="E90" s="159">
        <f ca="1">OFFSET(TblMagic[[#This Row],[Time]],-1,0)+1/24</f>
        <v>46323.583333333125</v>
      </c>
      <c r="F90" s="156">
        <f ca="1">TblImps[[#This Row],[Population]]</f>
        <v>1</v>
      </c>
      <c r="G90" s="218"/>
      <c r="H90" s="218"/>
      <c r="I90" s="218"/>
      <c r="J90" s="218"/>
      <c r="K90" s="405"/>
      <c r="L90" s="218"/>
      <c r="M90" s="218"/>
      <c r="N90" s="218"/>
      <c r="O90" s="218"/>
      <c r="P90" s="218"/>
      <c r="Q90" s="218"/>
      <c r="R90" s="218"/>
      <c r="S90" s="218"/>
      <c r="T90" s="218"/>
      <c r="U90" s="218"/>
      <c r="V90" s="218"/>
      <c r="W90" s="218"/>
      <c r="X90" s="142"/>
      <c r="Y9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0" s="156">
        <f>SUMIF(TblMagic[[#This Row],[Gaia''s Watch]:[Useless spell]],1)*0.05</f>
        <v>0</v>
      </c>
      <c r="AA90" s="142"/>
      <c r="AB90" s="57">
        <f ca="1">IF(TblMagic[[#This Row],[Gaia''s Watch]],12,IF(OFFSET(TblMagic[[#This Row],[Active Gaia''s Watch]],-1,0)&gt;0,OFFSET(TblMagic[[#This Row],[Active Gaia''s Watch]],-1,0)-1,0))</f>
        <v>0</v>
      </c>
      <c r="AC90" s="57">
        <f ca="1">IF(TblMagic[[#This Row],[Mining Strength]],12,IF(OFFSET(TblMagic[[#This Row],[Active Mining Strength]],-1,0)&gt;0,OFFSET(TblMagic[[#This Row],[Active Mining Strength]],-1,0)-1,0))</f>
        <v>0</v>
      </c>
      <c r="AD90" s="57">
        <f ca="1">IF(TblMagic[[#This Row],[Ares Call]],12,IF(OFFSET(TblMagic[[#This Row],[Active Ares Call]],-1,0)&gt;0,OFFSET(TblMagic[[#This Row],[Active Ares Call]],-1,0)-1,0))</f>
        <v>0</v>
      </c>
      <c r="AE90" s="57">
        <f ca="1">IF(TblMagic[[#This Row],[Midas Touch]],12,IF(OFFSET(TblMagic[[#This Row],[Active Midas Touch]],-1,0)&gt;0,OFFSET(TblMagic[[#This Row],[Active Midas Touch]],-1,0)-1,0))</f>
        <v>0</v>
      </c>
      <c r="AF90" s="57">
        <f ca="1">IF(TblMagic[[#This Row],[Harmony]],12,IF(OFFSET(TblMagic[[#This Row],[Active Harmony]],-1,0)&gt;0,OFFSET(TblMagic[[#This Row],[Active Harmony]],-1,0)-1,0))</f>
        <v>0</v>
      </c>
      <c r="AG90" s="57">
        <f ca="1">IF(TblMagic[[#This Row],[Miner''s Sight]],12,IF(OFFSET(TblMagic[[#This Row],[Active Miner''s Sight]],-1,0)&gt;0,OFFSET(TblMagic[[#This Row],[Active Miner''s Sight]],-1,0)-1,0))</f>
        <v>0</v>
      </c>
      <c r="AH90" s="57">
        <f ca="1">IF(TblMagic[[#This Row],[Mechanical Genius]],12,IF(OFFSET(TblMagic[[#This Row],[Active Mechanical Genius]],-1,0)&gt;0,OFFSET(TblMagic[[#This Row],[Active Mechanical Genius]],-1,0)-1,0))</f>
        <v>0</v>
      </c>
      <c r="AI90" s="57">
        <f ca="1">IF(TblMagic[[#This Row],[Death and Decay]],12,IF(OFFSET(TblMagic[[#This Row],[Active DnD]],-1,0)&gt;0,OFFSET(TblMagic[[#This Row],[Active DnD]],-1,0)-1,0))</f>
        <v>0</v>
      </c>
      <c r="AJ90" s="57">
        <f ca="1">IF(TblMagic[[#This Row],[Killing Rage / Bloodrage / Crusade]],12,IF(OFFSET(TblMagic[[#This Row],[Active Warsong / Killing Rage / Bloodrage]],-1,0)&gt;0,OFFSET(TblMagic[[#This Row],[Active Warsong / Killing Rage / Bloodrage]],-1,0)-1,0))</f>
        <v>0</v>
      </c>
      <c r="AK90" s="57">
        <f ca="1">IF(TblMagic[[#This Row],[Gaia''s Blessing]],12,IF(OFFSET(TblMagic[[#This Row],[Active Gaia''s Blessing]],-1,0)&gt;0,OFFSET(TblMagic[[#This Row],[Active Gaia''s Blessing]],-1,0)-1,0))</f>
        <v>0</v>
      </c>
      <c r="AL90" s="57">
        <f ca="1">IF(TblMagic[[#This Row],[Howling]],12,IF(OFFSET(TblMagic[[#This Row],[Active Howling]],-1,0)&gt;0,OFFSET(TblMagic[[#This Row],[Active Howling]],-1,0)-1,0))</f>
        <v>0</v>
      </c>
      <c r="AM90" s="57">
        <f ca="1">IF(TblMagic[[#This Row],[Arcane Infusion]],12,IF(OFFSET(TblMagic[[#This Row],[Active Arc Infusion]],-1,0)&gt;0,OFFSET(TblMagic[[#This Row],[Active Arc Infusion]],-1,0)-1,0))</f>
        <v>0</v>
      </c>
      <c r="AN90" s="57">
        <f ca="1">IF(TblMagic[[#This Row],[Alchemists Flame]],12,IF(OFFSET(TblMagic[[#This Row],[Active Alchemists Flame]],-1,0)&gt;0,OFFSET(TblMagic[[#This Row],[Active Alchemists Flame]],-1,0)-1,0))</f>
        <v>0</v>
      </c>
      <c r="AO90" s="57">
        <f ca="1">IF(TblMagic[[#This Row],[Nightfall]],12,IF(OFFSET(TblMagic[[#This Row],[Active Nightfall]],-1,0)&gt;0,OFFSET(TblMagic[[#This Row],[Active Nightfall]],-1,0)-1,0))</f>
        <v>0</v>
      </c>
      <c r="AP90" s="57">
        <f ca="1">IF(TblMagic[[#This Row],[Favorable Terrain]],12,IF(OFFSET(TblMagic[[#This Row],[Active Favorable Terrain]],-1,0)&gt;0,OFFSET(TblMagic[[#This Row],[Active Favorable Terrain]],-1,0)-1,0))</f>
        <v>0</v>
      </c>
      <c r="AQ90" s="57">
        <f ca="1">IF(TblMagic[[#This Row],[Infernal Command]],12,IF(OFFSET(TblMagic[[#This Row],[Active Infernal Command]],-1,0)&gt;0,OFFSET(TblMagic[[#This Row],[Active Infernal Command]],-1,0)-1,0))</f>
        <v>0</v>
      </c>
    </row>
    <row r="91" spans="1:43" x14ac:dyDescent="0.2">
      <c r="A91" s="137">
        <f>TblRezone[[#This Row],[Hour]]</f>
        <v>88</v>
      </c>
      <c r="B91" s="154">
        <f ca="1">TblConstr[[#This Row],[Land]]</f>
        <v>50</v>
      </c>
      <c r="C91" s="94">
        <f ca="1">TblProd[[#This Row],[Mana]]</f>
        <v>0</v>
      </c>
      <c r="D91" s="156">
        <f ca="1">MIN(1,OFFSET(TblMagic[[#This Row],[Wiz str]],-1,0)+0.04+ROUNDDOWN(10*OFFSET(TblMili[[#This Row],[WG''s]],-1,0),0)+ tech_2_7*OFFSET(TblTech[[#This Row],[2-7]],-1,0) + tech_5_6*OFFSET(TblTech[[#This Row],[5-6]],-1,0) )-TblMagic[[#This Row],[Wiz str cost]]</f>
        <v>1</v>
      </c>
      <c r="E91" s="159">
        <f ca="1">OFFSET(TblMagic[[#This Row],[Time]],-1,0)+1/24</f>
        <v>46323.624999999789</v>
      </c>
      <c r="F91" s="156">
        <f ca="1">TblImps[[#This Row],[Population]]</f>
        <v>1</v>
      </c>
      <c r="G91" s="218"/>
      <c r="H91" s="218"/>
      <c r="I91" s="218"/>
      <c r="J91" s="218"/>
      <c r="K91" s="405"/>
      <c r="L91" s="218"/>
      <c r="M91" s="218"/>
      <c r="N91" s="218"/>
      <c r="O91" s="218"/>
      <c r="P91" s="218"/>
      <c r="Q91" s="218"/>
      <c r="R91" s="218"/>
      <c r="S91" s="218"/>
      <c r="T91" s="218"/>
      <c r="U91" s="218"/>
      <c r="V91" s="218"/>
      <c r="W91" s="218"/>
      <c r="X91" s="142"/>
      <c r="Y9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1" s="156">
        <f>SUMIF(TblMagic[[#This Row],[Gaia''s Watch]:[Useless spell]],1)*0.05</f>
        <v>0</v>
      </c>
      <c r="AA91" s="142"/>
      <c r="AB91" s="57">
        <f ca="1">IF(TblMagic[[#This Row],[Gaia''s Watch]],12,IF(OFFSET(TblMagic[[#This Row],[Active Gaia''s Watch]],-1,0)&gt;0,OFFSET(TblMagic[[#This Row],[Active Gaia''s Watch]],-1,0)-1,0))</f>
        <v>0</v>
      </c>
      <c r="AC91" s="57">
        <f ca="1">IF(TblMagic[[#This Row],[Mining Strength]],12,IF(OFFSET(TblMagic[[#This Row],[Active Mining Strength]],-1,0)&gt;0,OFFSET(TblMagic[[#This Row],[Active Mining Strength]],-1,0)-1,0))</f>
        <v>0</v>
      </c>
      <c r="AD91" s="57">
        <f ca="1">IF(TblMagic[[#This Row],[Ares Call]],12,IF(OFFSET(TblMagic[[#This Row],[Active Ares Call]],-1,0)&gt;0,OFFSET(TblMagic[[#This Row],[Active Ares Call]],-1,0)-1,0))</f>
        <v>0</v>
      </c>
      <c r="AE91" s="57">
        <f ca="1">IF(TblMagic[[#This Row],[Midas Touch]],12,IF(OFFSET(TblMagic[[#This Row],[Active Midas Touch]],-1,0)&gt;0,OFFSET(TblMagic[[#This Row],[Active Midas Touch]],-1,0)-1,0))</f>
        <v>0</v>
      </c>
      <c r="AF91" s="57">
        <f ca="1">IF(TblMagic[[#This Row],[Harmony]],12,IF(OFFSET(TblMagic[[#This Row],[Active Harmony]],-1,0)&gt;0,OFFSET(TblMagic[[#This Row],[Active Harmony]],-1,0)-1,0))</f>
        <v>0</v>
      </c>
      <c r="AG91" s="57">
        <f ca="1">IF(TblMagic[[#This Row],[Miner''s Sight]],12,IF(OFFSET(TblMagic[[#This Row],[Active Miner''s Sight]],-1,0)&gt;0,OFFSET(TblMagic[[#This Row],[Active Miner''s Sight]],-1,0)-1,0))</f>
        <v>0</v>
      </c>
      <c r="AH91" s="57">
        <f ca="1">IF(TblMagic[[#This Row],[Mechanical Genius]],12,IF(OFFSET(TblMagic[[#This Row],[Active Mechanical Genius]],-1,0)&gt;0,OFFSET(TblMagic[[#This Row],[Active Mechanical Genius]],-1,0)-1,0))</f>
        <v>0</v>
      </c>
      <c r="AI91" s="57">
        <f ca="1">IF(TblMagic[[#This Row],[Death and Decay]],12,IF(OFFSET(TblMagic[[#This Row],[Active DnD]],-1,0)&gt;0,OFFSET(TblMagic[[#This Row],[Active DnD]],-1,0)-1,0))</f>
        <v>0</v>
      </c>
      <c r="AJ91" s="57">
        <f ca="1">IF(TblMagic[[#This Row],[Killing Rage / Bloodrage / Crusade]],12,IF(OFFSET(TblMagic[[#This Row],[Active Warsong / Killing Rage / Bloodrage]],-1,0)&gt;0,OFFSET(TblMagic[[#This Row],[Active Warsong / Killing Rage / Bloodrage]],-1,0)-1,0))</f>
        <v>0</v>
      </c>
      <c r="AK91" s="57">
        <f ca="1">IF(TblMagic[[#This Row],[Gaia''s Blessing]],12,IF(OFFSET(TblMagic[[#This Row],[Active Gaia''s Blessing]],-1,0)&gt;0,OFFSET(TblMagic[[#This Row],[Active Gaia''s Blessing]],-1,0)-1,0))</f>
        <v>0</v>
      </c>
      <c r="AL91" s="57">
        <f ca="1">IF(TblMagic[[#This Row],[Howling]],12,IF(OFFSET(TblMagic[[#This Row],[Active Howling]],-1,0)&gt;0,OFFSET(TblMagic[[#This Row],[Active Howling]],-1,0)-1,0))</f>
        <v>0</v>
      </c>
      <c r="AM91" s="57">
        <f ca="1">IF(TblMagic[[#This Row],[Arcane Infusion]],12,IF(OFFSET(TblMagic[[#This Row],[Active Arc Infusion]],-1,0)&gt;0,OFFSET(TblMagic[[#This Row],[Active Arc Infusion]],-1,0)-1,0))</f>
        <v>0</v>
      </c>
      <c r="AN91" s="57">
        <f ca="1">IF(TblMagic[[#This Row],[Alchemists Flame]],12,IF(OFFSET(TblMagic[[#This Row],[Active Alchemists Flame]],-1,0)&gt;0,OFFSET(TblMagic[[#This Row],[Active Alchemists Flame]],-1,0)-1,0))</f>
        <v>0</v>
      </c>
      <c r="AO91" s="57">
        <f ca="1">IF(TblMagic[[#This Row],[Nightfall]],12,IF(OFFSET(TblMagic[[#This Row],[Active Nightfall]],-1,0)&gt;0,OFFSET(TblMagic[[#This Row],[Active Nightfall]],-1,0)-1,0))</f>
        <v>0</v>
      </c>
      <c r="AP91" s="57">
        <f ca="1">IF(TblMagic[[#This Row],[Favorable Terrain]],12,IF(OFFSET(TblMagic[[#This Row],[Active Favorable Terrain]],-1,0)&gt;0,OFFSET(TblMagic[[#This Row],[Active Favorable Terrain]],-1,0)-1,0))</f>
        <v>0</v>
      </c>
      <c r="AQ91" s="57">
        <f ca="1">IF(TblMagic[[#This Row],[Infernal Command]],12,IF(OFFSET(TblMagic[[#This Row],[Active Infernal Command]],-1,0)&gt;0,OFFSET(TblMagic[[#This Row],[Active Infernal Command]],-1,0)-1,0))</f>
        <v>0</v>
      </c>
    </row>
    <row r="92" spans="1:43" x14ac:dyDescent="0.2">
      <c r="A92" s="137">
        <f>TblRezone[[#This Row],[Hour]]</f>
        <v>89</v>
      </c>
      <c r="B92" s="154">
        <f ca="1">TblConstr[[#This Row],[Land]]</f>
        <v>50</v>
      </c>
      <c r="C92" s="94">
        <f ca="1">TblProd[[#This Row],[Mana]]</f>
        <v>0</v>
      </c>
      <c r="D92" s="156">
        <f ca="1">MIN(1,OFFSET(TblMagic[[#This Row],[Wiz str]],-1,0)+0.04+ROUNDDOWN(10*OFFSET(TblMili[[#This Row],[WG''s]],-1,0),0)+ tech_2_7*OFFSET(TblTech[[#This Row],[2-7]],-1,0) + tech_5_6*OFFSET(TblTech[[#This Row],[5-6]],-1,0) )-TblMagic[[#This Row],[Wiz str cost]]</f>
        <v>1</v>
      </c>
      <c r="E92" s="159">
        <f ca="1">OFFSET(TblMagic[[#This Row],[Time]],-1,0)+1/24</f>
        <v>46323.666666666453</v>
      </c>
      <c r="F92" s="156">
        <f ca="1">TblImps[[#This Row],[Population]]</f>
        <v>1</v>
      </c>
      <c r="G92" s="218"/>
      <c r="H92" s="218"/>
      <c r="I92" s="218"/>
      <c r="J92" s="218"/>
      <c r="K92" s="405"/>
      <c r="L92" s="218"/>
      <c r="M92" s="218"/>
      <c r="N92" s="218"/>
      <c r="O92" s="218"/>
      <c r="P92" s="218"/>
      <c r="Q92" s="218"/>
      <c r="R92" s="218"/>
      <c r="S92" s="218"/>
      <c r="T92" s="218"/>
      <c r="U92" s="218"/>
      <c r="V92" s="218"/>
      <c r="W92" s="218"/>
      <c r="X92" s="142"/>
      <c r="Y9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2" s="156">
        <f>SUMIF(TblMagic[[#This Row],[Gaia''s Watch]:[Useless spell]],1)*0.05</f>
        <v>0</v>
      </c>
      <c r="AA92" s="142"/>
      <c r="AB92" s="57">
        <f ca="1">IF(TblMagic[[#This Row],[Gaia''s Watch]],12,IF(OFFSET(TblMagic[[#This Row],[Active Gaia''s Watch]],-1,0)&gt;0,OFFSET(TblMagic[[#This Row],[Active Gaia''s Watch]],-1,0)-1,0))</f>
        <v>0</v>
      </c>
      <c r="AC92" s="57">
        <f ca="1">IF(TblMagic[[#This Row],[Mining Strength]],12,IF(OFFSET(TblMagic[[#This Row],[Active Mining Strength]],-1,0)&gt;0,OFFSET(TblMagic[[#This Row],[Active Mining Strength]],-1,0)-1,0))</f>
        <v>0</v>
      </c>
      <c r="AD92" s="57">
        <f ca="1">IF(TblMagic[[#This Row],[Ares Call]],12,IF(OFFSET(TblMagic[[#This Row],[Active Ares Call]],-1,0)&gt;0,OFFSET(TblMagic[[#This Row],[Active Ares Call]],-1,0)-1,0))</f>
        <v>0</v>
      </c>
      <c r="AE92" s="57">
        <f ca="1">IF(TblMagic[[#This Row],[Midas Touch]],12,IF(OFFSET(TblMagic[[#This Row],[Active Midas Touch]],-1,0)&gt;0,OFFSET(TblMagic[[#This Row],[Active Midas Touch]],-1,0)-1,0))</f>
        <v>0</v>
      </c>
      <c r="AF92" s="57">
        <f ca="1">IF(TblMagic[[#This Row],[Harmony]],12,IF(OFFSET(TblMagic[[#This Row],[Active Harmony]],-1,0)&gt;0,OFFSET(TblMagic[[#This Row],[Active Harmony]],-1,0)-1,0))</f>
        <v>0</v>
      </c>
      <c r="AG92" s="57">
        <f ca="1">IF(TblMagic[[#This Row],[Miner''s Sight]],12,IF(OFFSET(TblMagic[[#This Row],[Active Miner''s Sight]],-1,0)&gt;0,OFFSET(TblMagic[[#This Row],[Active Miner''s Sight]],-1,0)-1,0))</f>
        <v>0</v>
      </c>
      <c r="AH92" s="57">
        <f ca="1">IF(TblMagic[[#This Row],[Mechanical Genius]],12,IF(OFFSET(TblMagic[[#This Row],[Active Mechanical Genius]],-1,0)&gt;0,OFFSET(TblMagic[[#This Row],[Active Mechanical Genius]],-1,0)-1,0))</f>
        <v>0</v>
      </c>
      <c r="AI92" s="57">
        <f ca="1">IF(TblMagic[[#This Row],[Death and Decay]],12,IF(OFFSET(TblMagic[[#This Row],[Active DnD]],-1,0)&gt;0,OFFSET(TblMagic[[#This Row],[Active DnD]],-1,0)-1,0))</f>
        <v>0</v>
      </c>
      <c r="AJ92" s="57">
        <f ca="1">IF(TblMagic[[#This Row],[Killing Rage / Bloodrage / Crusade]],12,IF(OFFSET(TblMagic[[#This Row],[Active Warsong / Killing Rage / Bloodrage]],-1,0)&gt;0,OFFSET(TblMagic[[#This Row],[Active Warsong / Killing Rage / Bloodrage]],-1,0)-1,0))</f>
        <v>0</v>
      </c>
      <c r="AK92" s="57">
        <f ca="1">IF(TblMagic[[#This Row],[Gaia''s Blessing]],12,IF(OFFSET(TblMagic[[#This Row],[Active Gaia''s Blessing]],-1,0)&gt;0,OFFSET(TblMagic[[#This Row],[Active Gaia''s Blessing]],-1,0)-1,0))</f>
        <v>0</v>
      </c>
      <c r="AL92" s="57">
        <f ca="1">IF(TblMagic[[#This Row],[Howling]],12,IF(OFFSET(TblMagic[[#This Row],[Active Howling]],-1,0)&gt;0,OFFSET(TblMagic[[#This Row],[Active Howling]],-1,0)-1,0))</f>
        <v>0</v>
      </c>
      <c r="AM92" s="57">
        <f ca="1">IF(TblMagic[[#This Row],[Arcane Infusion]],12,IF(OFFSET(TblMagic[[#This Row],[Active Arc Infusion]],-1,0)&gt;0,OFFSET(TblMagic[[#This Row],[Active Arc Infusion]],-1,0)-1,0))</f>
        <v>0</v>
      </c>
      <c r="AN92" s="57">
        <f ca="1">IF(TblMagic[[#This Row],[Alchemists Flame]],12,IF(OFFSET(TblMagic[[#This Row],[Active Alchemists Flame]],-1,0)&gt;0,OFFSET(TblMagic[[#This Row],[Active Alchemists Flame]],-1,0)-1,0))</f>
        <v>0</v>
      </c>
      <c r="AO92" s="57">
        <f ca="1">IF(TblMagic[[#This Row],[Nightfall]],12,IF(OFFSET(TblMagic[[#This Row],[Active Nightfall]],-1,0)&gt;0,OFFSET(TblMagic[[#This Row],[Active Nightfall]],-1,0)-1,0))</f>
        <v>0</v>
      </c>
      <c r="AP92" s="57">
        <f ca="1">IF(TblMagic[[#This Row],[Favorable Terrain]],12,IF(OFFSET(TblMagic[[#This Row],[Active Favorable Terrain]],-1,0)&gt;0,OFFSET(TblMagic[[#This Row],[Active Favorable Terrain]],-1,0)-1,0))</f>
        <v>0</v>
      </c>
      <c r="AQ92" s="57">
        <f ca="1">IF(TblMagic[[#This Row],[Infernal Command]],12,IF(OFFSET(TblMagic[[#This Row],[Active Infernal Command]],-1,0)&gt;0,OFFSET(TblMagic[[#This Row],[Active Infernal Command]],-1,0)-1,0))</f>
        <v>0</v>
      </c>
    </row>
    <row r="93" spans="1:43" x14ac:dyDescent="0.2">
      <c r="A93" s="137">
        <f>TblRezone[[#This Row],[Hour]]</f>
        <v>90</v>
      </c>
      <c r="B93" s="154">
        <f ca="1">TblConstr[[#This Row],[Land]]</f>
        <v>50</v>
      </c>
      <c r="C93" s="94">
        <f ca="1">TblProd[[#This Row],[Mana]]</f>
        <v>0</v>
      </c>
      <c r="D93" s="156">
        <f ca="1">MIN(1,OFFSET(TblMagic[[#This Row],[Wiz str]],-1,0)+0.04+ROUNDDOWN(10*OFFSET(TblMili[[#This Row],[WG''s]],-1,0),0)+ tech_2_7*OFFSET(TblTech[[#This Row],[2-7]],-1,0) + tech_5_6*OFFSET(TblTech[[#This Row],[5-6]],-1,0) )-TblMagic[[#This Row],[Wiz str cost]]</f>
        <v>1</v>
      </c>
      <c r="E93" s="159">
        <f ca="1">OFFSET(TblMagic[[#This Row],[Time]],-1,0)+1/24</f>
        <v>46323.708333333117</v>
      </c>
      <c r="F93" s="156">
        <f ca="1">TblImps[[#This Row],[Population]]</f>
        <v>1</v>
      </c>
      <c r="G93" s="218"/>
      <c r="H93" s="218"/>
      <c r="I93" s="218"/>
      <c r="J93" s="218"/>
      <c r="K93" s="405"/>
      <c r="L93" s="218"/>
      <c r="M93" s="218"/>
      <c r="N93" s="218"/>
      <c r="O93" s="218"/>
      <c r="P93" s="218"/>
      <c r="Q93" s="218"/>
      <c r="R93" s="218"/>
      <c r="S93" s="218"/>
      <c r="T93" s="218"/>
      <c r="U93" s="218"/>
      <c r="V93" s="218"/>
      <c r="W93" s="218"/>
      <c r="X93" s="142"/>
      <c r="Y9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3" s="156">
        <f>SUMIF(TblMagic[[#This Row],[Gaia''s Watch]:[Useless spell]],1)*0.05</f>
        <v>0</v>
      </c>
      <c r="AA93" s="142"/>
      <c r="AB93" s="57">
        <f ca="1">IF(TblMagic[[#This Row],[Gaia''s Watch]],12,IF(OFFSET(TblMagic[[#This Row],[Active Gaia''s Watch]],-1,0)&gt;0,OFFSET(TblMagic[[#This Row],[Active Gaia''s Watch]],-1,0)-1,0))</f>
        <v>0</v>
      </c>
      <c r="AC93" s="57">
        <f ca="1">IF(TblMagic[[#This Row],[Mining Strength]],12,IF(OFFSET(TblMagic[[#This Row],[Active Mining Strength]],-1,0)&gt;0,OFFSET(TblMagic[[#This Row],[Active Mining Strength]],-1,0)-1,0))</f>
        <v>0</v>
      </c>
      <c r="AD93" s="57">
        <f ca="1">IF(TblMagic[[#This Row],[Ares Call]],12,IF(OFFSET(TblMagic[[#This Row],[Active Ares Call]],-1,0)&gt;0,OFFSET(TblMagic[[#This Row],[Active Ares Call]],-1,0)-1,0))</f>
        <v>0</v>
      </c>
      <c r="AE93" s="57">
        <f ca="1">IF(TblMagic[[#This Row],[Midas Touch]],12,IF(OFFSET(TblMagic[[#This Row],[Active Midas Touch]],-1,0)&gt;0,OFFSET(TblMagic[[#This Row],[Active Midas Touch]],-1,0)-1,0))</f>
        <v>0</v>
      </c>
      <c r="AF93" s="57">
        <f ca="1">IF(TblMagic[[#This Row],[Harmony]],12,IF(OFFSET(TblMagic[[#This Row],[Active Harmony]],-1,0)&gt;0,OFFSET(TblMagic[[#This Row],[Active Harmony]],-1,0)-1,0))</f>
        <v>0</v>
      </c>
      <c r="AG93" s="57">
        <f ca="1">IF(TblMagic[[#This Row],[Miner''s Sight]],12,IF(OFFSET(TblMagic[[#This Row],[Active Miner''s Sight]],-1,0)&gt;0,OFFSET(TblMagic[[#This Row],[Active Miner''s Sight]],-1,0)-1,0))</f>
        <v>0</v>
      </c>
      <c r="AH93" s="57">
        <f ca="1">IF(TblMagic[[#This Row],[Mechanical Genius]],12,IF(OFFSET(TblMagic[[#This Row],[Active Mechanical Genius]],-1,0)&gt;0,OFFSET(TblMagic[[#This Row],[Active Mechanical Genius]],-1,0)-1,0))</f>
        <v>0</v>
      </c>
      <c r="AI93" s="57">
        <f ca="1">IF(TblMagic[[#This Row],[Death and Decay]],12,IF(OFFSET(TblMagic[[#This Row],[Active DnD]],-1,0)&gt;0,OFFSET(TblMagic[[#This Row],[Active DnD]],-1,0)-1,0))</f>
        <v>0</v>
      </c>
      <c r="AJ93" s="57">
        <f ca="1">IF(TblMagic[[#This Row],[Killing Rage / Bloodrage / Crusade]],12,IF(OFFSET(TblMagic[[#This Row],[Active Warsong / Killing Rage / Bloodrage]],-1,0)&gt;0,OFFSET(TblMagic[[#This Row],[Active Warsong / Killing Rage / Bloodrage]],-1,0)-1,0))</f>
        <v>0</v>
      </c>
      <c r="AK93" s="57">
        <f ca="1">IF(TblMagic[[#This Row],[Gaia''s Blessing]],12,IF(OFFSET(TblMagic[[#This Row],[Active Gaia''s Blessing]],-1,0)&gt;0,OFFSET(TblMagic[[#This Row],[Active Gaia''s Blessing]],-1,0)-1,0))</f>
        <v>0</v>
      </c>
      <c r="AL93" s="57">
        <f ca="1">IF(TblMagic[[#This Row],[Howling]],12,IF(OFFSET(TblMagic[[#This Row],[Active Howling]],-1,0)&gt;0,OFFSET(TblMagic[[#This Row],[Active Howling]],-1,0)-1,0))</f>
        <v>0</v>
      </c>
      <c r="AM93" s="57">
        <f ca="1">IF(TblMagic[[#This Row],[Arcane Infusion]],12,IF(OFFSET(TblMagic[[#This Row],[Active Arc Infusion]],-1,0)&gt;0,OFFSET(TblMagic[[#This Row],[Active Arc Infusion]],-1,0)-1,0))</f>
        <v>0</v>
      </c>
      <c r="AN93" s="57">
        <f ca="1">IF(TblMagic[[#This Row],[Alchemists Flame]],12,IF(OFFSET(TblMagic[[#This Row],[Active Alchemists Flame]],-1,0)&gt;0,OFFSET(TblMagic[[#This Row],[Active Alchemists Flame]],-1,0)-1,0))</f>
        <v>0</v>
      </c>
      <c r="AO93" s="57">
        <f ca="1">IF(TblMagic[[#This Row],[Nightfall]],12,IF(OFFSET(TblMagic[[#This Row],[Active Nightfall]],-1,0)&gt;0,OFFSET(TblMagic[[#This Row],[Active Nightfall]],-1,0)-1,0))</f>
        <v>0</v>
      </c>
      <c r="AP93" s="57">
        <f ca="1">IF(TblMagic[[#This Row],[Favorable Terrain]],12,IF(OFFSET(TblMagic[[#This Row],[Active Favorable Terrain]],-1,0)&gt;0,OFFSET(TblMagic[[#This Row],[Active Favorable Terrain]],-1,0)-1,0))</f>
        <v>0</v>
      </c>
      <c r="AQ93" s="57">
        <f ca="1">IF(TblMagic[[#This Row],[Infernal Command]],12,IF(OFFSET(TblMagic[[#This Row],[Active Infernal Command]],-1,0)&gt;0,OFFSET(TblMagic[[#This Row],[Active Infernal Command]],-1,0)-1,0))</f>
        <v>0</v>
      </c>
    </row>
    <row r="94" spans="1:43" x14ac:dyDescent="0.2">
      <c r="A94" s="137">
        <f>TblRezone[[#This Row],[Hour]]</f>
        <v>91</v>
      </c>
      <c r="B94" s="154">
        <f ca="1">TblConstr[[#This Row],[Land]]</f>
        <v>50</v>
      </c>
      <c r="C94" s="94">
        <f ca="1">TblProd[[#This Row],[Mana]]</f>
        <v>0</v>
      </c>
      <c r="D94" s="156">
        <f ca="1">MIN(1,OFFSET(TblMagic[[#This Row],[Wiz str]],-1,0)+0.04+ROUNDDOWN(10*OFFSET(TblMili[[#This Row],[WG''s]],-1,0),0)+ tech_2_7*OFFSET(TblTech[[#This Row],[2-7]],-1,0) + tech_5_6*OFFSET(TblTech[[#This Row],[5-6]],-1,0) )-TblMagic[[#This Row],[Wiz str cost]]</f>
        <v>1</v>
      </c>
      <c r="E94" s="159">
        <f ca="1">OFFSET(TblMagic[[#This Row],[Time]],-1,0)+1/24</f>
        <v>46323.749999999782</v>
      </c>
      <c r="F94" s="156">
        <f ca="1">TblImps[[#This Row],[Population]]</f>
        <v>1</v>
      </c>
      <c r="G94" s="218"/>
      <c r="H94" s="218"/>
      <c r="I94" s="218"/>
      <c r="J94" s="218"/>
      <c r="K94" s="405"/>
      <c r="L94" s="218"/>
      <c r="M94" s="218"/>
      <c r="N94" s="218"/>
      <c r="O94" s="218"/>
      <c r="P94" s="218"/>
      <c r="Q94" s="218"/>
      <c r="R94" s="218"/>
      <c r="S94" s="218"/>
      <c r="T94" s="218"/>
      <c r="U94" s="218"/>
      <c r="V94" s="218"/>
      <c r="W94" s="218"/>
      <c r="X94" s="142"/>
      <c r="Y9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4" s="156">
        <f>SUMIF(TblMagic[[#This Row],[Gaia''s Watch]:[Useless spell]],1)*0.05</f>
        <v>0</v>
      </c>
      <c r="AA94" s="142"/>
      <c r="AB94" s="57">
        <f ca="1">IF(TblMagic[[#This Row],[Gaia''s Watch]],12,IF(OFFSET(TblMagic[[#This Row],[Active Gaia''s Watch]],-1,0)&gt;0,OFFSET(TblMagic[[#This Row],[Active Gaia''s Watch]],-1,0)-1,0))</f>
        <v>0</v>
      </c>
      <c r="AC94" s="57">
        <f ca="1">IF(TblMagic[[#This Row],[Mining Strength]],12,IF(OFFSET(TblMagic[[#This Row],[Active Mining Strength]],-1,0)&gt;0,OFFSET(TblMagic[[#This Row],[Active Mining Strength]],-1,0)-1,0))</f>
        <v>0</v>
      </c>
      <c r="AD94" s="57">
        <f ca="1">IF(TblMagic[[#This Row],[Ares Call]],12,IF(OFFSET(TblMagic[[#This Row],[Active Ares Call]],-1,0)&gt;0,OFFSET(TblMagic[[#This Row],[Active Ares Call]],-1,0)-1,0))</f>
        <v>0</v>
      </c>
      <c r="AE94" s="57">
        <f ca="1">IF(TblMagic[[#This Row],[Midas Touch]],12,IF(OFFSET(TblMagic[[#This Row],[Active Midas Touch]],-1,0)&gt;0,OFFSET(TblMagic[[#This Row],[Active Midas Touch]],-1,0)-1,0))</f>
        <v>0</v>
      </c>
      <c r="AF94" s="57">
        <f ca="1">IF(TblMagic[[#This Row],[Harmony]],12,IF(OFFSET(TblMagic[[#This Row],[Active Harmony]],-1,0)&gt;0,OFFSET(TblMagic[[#This Row],[Active Harmony]],-1,0)-1,0))</f>
        <v>0</v>
      </c>
      <c r="AG94" s="57">
        <f ca="1">IF(TblMagic[[#This Row],[Miner''s Sight]],12,IF(OFFSET(TblMagic[[#This Row],[Active Miner''s Sight]],-1,0)&gt;0,OFFSET(TblMagic[[#This Row],[Active Miner''s Sight]],-1,0)-1,0))</f>
        <v>0</v>
      </c>
      <c r="AH94" s="57">
        <f ca="1">IF(TblMagic[[#This Row],[Mechanical Genius]],12,IF(OFFSET(TblMagic[[#This Row],[Active Mechanical Genius]],-1,0)&gt;0,OFFSET(TblMagic[[#This Row],[Active Mechanical Genius]],-1,0)-1,0))</f>
        <v>0</v>
      </c>
      <c r="AI94" s="57">
        <f ca="1">IF(TblMagic[[#This Row],[Death and Decay]],12,IF(OFFSET(TblMagic[[#This Row],[Active DnD]],-1,0)&gt;0,OFFSET(TblMagic[[#This Row],[Active DnD]],-1,0)-1,0))</f>
        <v>0</v>
      </c>
      <c r="AJ94" s="57">
        <f ca="1">IF(TblMagic[[#This Row],[Killing Rage / Bloodrage / Crusade]],12,IF(OFFSET(TblMagic[[#This Row],[Active Warsong / Killing Rage / Bloodrage]],-1,0)&gt;0,OFFSET(TblMagic[[#This Row],[Active Warsong / Killing Rage / Bloodrage]],-1,0)-1,0))</f>
        <v>0</v>
      </c>
      <c r="AK94" s="57">
        <f ca="1">IF(TblMagic[[#This Row],[Gaia''s Blessing]],12,IF(OFFSET(TblMagic[[#This Row],[Active Gaia''s Blessing]],-1,0)&gt;0,OFFSET(TblMagic[[#This Row],[Active Gaia''s Blessing]],-1,0)-1,0))</f>
        <v>0</v>
      </c>
      <c r="AL94" s="57">
        <f ca="1">IF(TblMagic[[#This Row],[Howling]],12,IF(OFFSET(TblMagic[[#This Row],[Active Howling]],-1,0)&gt;0,OFFSET(TblMagic[[#This Row],[Active Howling]],-1,0)-1,0))</f>
        <v>0</v>
      </c>
      <c r="AM94" s="57">
        <f ca="1">IF(TblMagic[[#This Row],[Arcane Infusion]],12,IF(OFFSET(TblMagic[[#This Row],[Active Arc Infusion]],-1,0)&gt;0,OFFSET(TblMagic[[#This Row],[Active Arc Infusion]],-1,0)-1,0))</f>
        <v>0</v>
      </c>
      <c r="AN94" s="57">
        <f ca="1">IF(TblMagic[[#This Row],[Alchemists Flame]],12,IF(OFFSET(TblMagic[[#This Row],[Active Alchemists Flame]],-1,0)&gt;0,OFFSET(TblMagic[[#This Row],[Active Alchemists Flame]],-1,0)-1,0))</f>
        <v>0</v>
      </c>
      <c r="AO94" s="57">
        <f ca="1">IF(TblMagic[[#This Row],[Nightfall]],12,IF(OFFSET(TblMagic[[#This Row],[Active Nightfall]],-1,0)&gt;0,OFFSET(TblMagic[[#This Row],[Active Nightfall]],-1,0)-1,0))</f>
        <v>0</v>
      </c>
      <c r="AP94" s="57">
        <f ca="1">IF(TblMagic[[#This Row],[Favorable Terrain]],12,IF(OFFSET(TblMagic[[#This Row],[Active Favorable Terrain]],-1,0)&gt;0,OFFSET(TblMagic[[#This Row],[Active Favorable Terrain]],-1,0)-1,0))</f>
        <v>0</v>
      </c>
      <c r="AQ94" s="57">
        <f ca="1">IF(TblMagic[[#This Row],[Infernal Command]],12,IF(OFFSET(TblMagic[[#This Row],[Active Infernal Command]],-1,0)&gt;0,OFFSET(TblMagic[[#This Row],[Active Infernal Command]],-1,0)-1,0))</f>
        <v>0</v>
      </c>
    </row>
    <row r="95" spans="1:43" x14ac:dyDescent="0.2">
      <c r="A95" s="137">
        <f>TblRezone[[#This Row],[Hour]]</f>
        <v>92</v>
      </c>
      <c r="B95" s="154">
        <f ca="1">TblConstr[[#This Row],[Land]]</f>
        <v>50</v>
      </c>
      <c r="C95" s="94">
        <f ca="1">TblProd[[#This Row],[Mana]]</f>
        <v>0</v>
      </c>
      <c r="D95" s="156">
        <f ca="1">MIN(1,OFFSET(TblMagic[[#This Row],[Wiz str]],-1,0)+0.04+ROUNDDOWN(10*OFFSET(TblMili[[#This Row],[WG''s]],-1,0),0)+ tech_2_7*OFFSET(TblTech[[#This Row],[2-7]],-1,0) + tech_5_6*OFFSET(TblTech[[#This Row],[5-6]],-1,0) )-TblMagic[[#This Row],[Wiz str cost]]</f>
        <v>1</v>
      </c>
      <c r="E95" s="159">
        <f ca="1">OFFSET(TblMagic[[#This Row],[Time]],-1,0)+1/24</f>
        <v>46323.791666666446</v>
      </c>
      <c r="F95" s="156">
        <f ca="1">TblImps[[#This Row],[Population]]</f>
        <v>1</v>
      </c>
      <c r="G95" s="218"/>
      <c r="H95" s="218"/>
      <c r="I95" s="218"/>
      <c r="J95" s="218"/>
      <c r="K95" s="405"/>
      <c r="L95" s="218"/>
      <c r="M95" s="218"/>
      <c r="N95" s="218"/>
      <c r="O95" s="218"/>
      <c r="P95" s="218"/>
      <c r="Q95" s="218"/>
      <c r="R95" s="218"/>
      <c r="S95" s="218"/>
      <c r="T95" s="218"/>
      <c r="U95" s="218"/>
      <c r="V95" s="218"/>
      <c r="W95" s="218"/>
      <c r="X95" s="142"/>
      <c r="Y9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5" s="156">
        <f>SUMIF(TblMagic[[#This Row],[Gaia''s Watch]:[Useless spell]],1)*0.05</f>
        <v>0</v>
      </c>
      <c r="AA95" s="142"/>
      <c r="AB95" s="57">
        <f ca="1">IF(TblMagic[[#This Row],[Gaia''s Watch]],12,IF(OFFSET(TblMagic[[#This Row],[Active Gaia''s Watch]],-1,0)&gt;0,OFFSET(TblMagic[[#This Row],[Active Gaia''s Watch]],-1,0)-1,0))</f>
        <v>0</v>
      </c>
      <c r="AC95" s="57">
        <f ca="1">IF(TblMagic[[#This Row],[Mining Strength]],12,IF(OFFSET(TblMagic[[#This Row],[Active Mining Strength]],-1,0)&gt;0,OFFSET(TblMagic[[#This Row],[Active Mining Strength]],-1,0)-1,0))</f>
        <v>0</v>
      </c>
      <c r="AD95" s="57">
        <f ca="1">IF(TblMagic[[#This Row],[Ares Call]],12,IF(OFFSET(TblMagic[[#This Row],[Active Ares Call]],-1,0)&gt;0,OFFSET(TblMagic[[#This Row],[Active Ares Call]],-1,0)-1,0))</f>
        <v>0</v>
      </c>
      <c r="AE95" s="57">
        <f ca="1">IF(TblMagic[[#This Row],[Midas Touch]],12,IF(OFFSET(TblMagic[[#This Row],[Active Midas Touch]],-1,0)&gt;0,OFFSET(TblMagic[[#This Row],[Active Midas Touch]],-1,0)-1,0))</f>
        <v>0</v>
      </c>
      <c r="AF95" s="57">
        <f ca="1">IF(TblMagic[[#This Row],[Harmony]],12,IF(OFFSET(TblMagic[[#This Row],[Active Harmony]],-1,0)&gt;0,OFFSET(TblMagic[[#This Row],[Active Harmony]],-1,0)-1,0))</f>
        <v>0</v>
      </c>
      <c r="AG95" s="57">
        <f ca="1">IF(TblMagic[[#This Row],[Miner''s Sight]],12,IF(OFFSET(TblMagic[[#This Row],[Active Miner''s Sight]],-1,0)&gt;0,OFFSET(TblMagic[[#This Row],[Active Miner''s Sight]],-1,0)-1,0))</f>
        <v>0</v>
      </c>
      <c r="AH95" s="57">
        <f ca="1">IF(TblMagic[[#This Row],[Mechanical Genius]],12,IF(OFFSET(TblMagic[[#This Row],[Active Mechanical Genius]],-1,0)&gt;0,OFFSET(TblMagic[[#This Row],[Active Mechanical Genius]],-1,0)-1,0))</f>
        <v>0</v>
      </c>
      <c r="AI95" s="57">
        <f ca="1">IF(TblMagic[[#This Row],[Death and Decay]],12,IF(OFFSET(TblMagic[[#This Row],[Active DnD]],-1,0)&gt;0,OFFSET(TblMagic[[#This Row],[Active DnD]],-1,0)-1,0))</f>
        <v>0</v>
      </c>
      <c r="AJ95" s="57">
        <f ca="1">IF(TblMagic[[#This Row],[Killing Rage / Bloodrage / Crusade]],12,IF(OFFSET(TblMagic[[#This Row],[Active Warsong / Killing Rage / Bloodrage]],-1,0)&gt;0,OFFSET(TblMagic[[#This Row],[Active Warsong / Killing Rage / Bloodrage]],-1,0)-1,0))</f>
        <v>0</v>
      </c>
      <c r="AK95" s="57">
        <f ca="1">IF(TblMagic[[#This Row],[Gaia''s Blessing]],12,IF(OFFSET(TblMagic[[#This Row],[Active Gaia''s Blessing]],-1,0)&gt;0,OFFSET(TblMagic[[#This Row],[Active Gaia''s Blessing]],-1,0)-1,0))</f>
        <v>0</v>
      </c>
      <c r="AL95" s="57">
        <f ca="1">IF(TblMagic[[#This Row],[Howling]],12,IF(OFFSET(TblMagic[[#This Row],[Active Howling]],-1,0)&gt;0,OFFSET(TblMagic[[#This Row],[Active Howling]],-1,0)-1,0))</f>
        <v>0</v>
      </c>
      <c r="AM95" s="57">
        <f ca="1">IF(TblMagic[[#This Row],[Arcane Infusion]],12,IF(OFFSET(TblMagic[[#This Row],[Active Arc Infusion]],-1,0)&gt;0,OFFSET(TblMagic[[#This Row],[Active Arc Infusion]],-1,0)-1,0))</f>
        <v>0</v>
      </c>
      <c r="AN95" s="57">
        <f ca="1">IF(TblMagic[[#This Row],[Alchemists Flame]],12,IF(OFFSET(TblMagic[[#This Row],[Active Alchemists Flame]],-1,0)&gt;0,OFFSET(TblMagic[[#This Row],[Active Alchemists Flame]],-1,0)-1,0))</f>
        <v>0</v>
      </c>
      <c r="AO95" s="57">
        <f ca="1">IF(TblMagic[[#This Row],[Nightfall]],12,IF(OFFSET(TblMagic[[#This Row],[Active Nightfall]],-1,0)&gt;0,OFFSET(TblMagic[[#This Row],[Active Nightfall]],-1,0)-1,0))</f>
        <v>0</v>
      </c>
      <c r="AP95" s="57">
        <f ca="1">IF(TblMagic[[#This Row],[Favorable Terrain]],12,IF(OFFSET(TblMagic[[#This Row],[Active Favorable Terrain]],-1,0)&gt;0,OFFSET(TblMagic[[#This Row],[Active Favorable Terrain]],-1,0)-1,0))</f>
        <v>0</v>
      </c>
      <c r="AQ95" s="57">
        <f ca="1">IF(TblMagic[[#This Row],[Infernal Command]],12,IF(OFFSET(TblMagic[[#This Row],[Active Infernal Command]],-1,0)&gt;0,OFFSET(TblMagic[[#This Row],[Active Infernal Command]],-1,0)-1,0))</f>
        <v>0</v>
      </c>
    </row>
    <row r="96" spans="1:43" x14ac:dyDescent="0.2">
      <c r="A96" s="137">
        <f>TblRezone[[#This Row],[Hour]]</f>
        <v>93</v>
      </c>
      <c r="B96" s="154">
        <f ca="1">TblConstr[[#This Row],[Land]]</f>
        <v>50</v>
      </c>
      <c r="C96" s="94">
        <f ca="1">TblProd[[#This Row],[Mana]]</f>
        <v>0</v>
      </c>
      <c r="D96" s="156">
        <f ca="1">MIN(1,OFFSET(TblMagic[[#This Row],[Wiz str]],-1,0)+0.04+ROUNDDOWN(10*OFFSET(TblMili[[#This Row],[WG''s]],-1,0),0)+ tech_2_7*OFFSET(TblTech[[#This Row],[2-7]],-1,0) + tech_5_6*OFFSET(TblTech[[#This Row],[5-6]],-1,0) )-TblMagic[[#This Row],[Wiz str cost]]</f>
        <v>1</v>
      </c>
      <c r="E96" s="159">
        <f ca="1">OFFSET(TblMagic[[#This Row],[Time]],-1,0)+1/24</f>
        <v>46323.83333333311</v>
      </c>
      <c r="F96" s="156">
        <f ca="1">TblImps[[#This Row],[Population]]</f>
        <v>1</v>
      </c>
      <c r="G96" s="218"/>
      <c r="H96" s="218"/>
      <c r="I96" s="218"/>
      <c r="J96" s="218"/>
      <c r="K96" s="405"/>
      <c r="L96" s="218"/>
      <c r="M96" s="218"/>
      <c r="N96" s="218"/>
      <c r="O96" s="218"/>
      <c r="P96" s="218"/>
      <c r="Q96" s="218"/>
      <c r="R96" s="218"/>
      <c r="S96" s="218"/>
      <c r="T96" s="218"/>
      <c r="U96" s="218"/>
      <c r="V96" s="218"/>
      <c r="W96" s="218"/>
      <c r="X96" s="142"/>
      <c r="Y9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6" s="156">
        <f>SUMIF(TblMagic[[#This Row],[Gaia''s Watch]:[Useless spell]],1)*0.05</f>
        <v>0</v>
      </c>
      <c r="AA96" s="142"/>
      <c r="AB96" s="57">
        <f ca="1">IF(TblMagic[[#This Row],[Gaia''s Watch]],12,IF(OFFSET(TblMagic[[#This Row],[Active Gaia''s Watch]],-1,0)&gt;0,OFFSET(TblMagic[[#This Row],[Active Gaia''s Watch]],-1,0)-1,0))</f>
        <v>0</v>
      </c>
      <c r="AC96" s="57">
        <f ca="1">IF(TblMagic[[#This Row],[Mining Strength]],12,IF(OFFSET(TblMagic[[#This Row],[Active Mining Strength]],-1,0)&gt;0,OFFSET(TblMagic[[#This Row],[Active Mining Strength]],-1,0)-1,0))</f>
        <v>0</v>
      </c>
      <c r="AD96" s="57">
        <f ca="1">IF(TblMagic[[#This Row],[Ares Call]],12,IF(OFFSET(TblMagic[[#This Row],[Active Ares Call]],-1,0)&gt;0,OFFSET(TblMagic[[#This Row],[Active Ares Call]],-1,0)-1,0))</f>
        <v>0</v>
      </c>
      <c r="AE96" s="57">
        <f ca="1">IF(TblMagic[[#This Row],[Midas Touch]],12,IF(OFFSET(TblMagic[[#This Row],[Active Midas Touch]],-1,0)&gt;0,OFFSET(TblMagic[[#This Row],[Active Midas Touch]],-1,0)-1,0))</f>
        <v>0</v>
      </c>
      <c r="AF96" s="57">
        <f ca="1">IF(TblMagic[[#This Row],[Harmony]],12,IF(OFFSET(TblMagic[[#This Row],[Active Harmony]],-1,0)&gt;0,OFFSET(TblMagic[[#This Row],[Active Harmony]],-1,0)-1,0))</f>
        <v>0</v>
      </c>
      <c r="AG96" s="57">
        <f ca="1">IF(TblMagic[[#This Row],[Miner''s Sight]],12,IF(OFFSET(TblMagic[[#This Row],[Active Miner''s Sight]],-1,0)&gt;0,OFFSET(TblMagic[[#This Row],[Active Miner''s Sight]],-1,0)-1,0))</f>
        <v>0</v>
      </c>
      <c r="AH96" s="57">
        <f ca="1">IF(TblMagic[[#This Row],[Mechanical Genius]],12,IF(OFFSET(TblMagic[[#This Row],[Active Mechanical Genius]],-1,0)&gt;0,OFFSET(TblMagic[[#This Row],[Active Mechanical Genius]],-1,0)-1,0))</f>
        <v>0</v>
      </c>
      <c r="AI96" s="57">
        <f ca="1">IF(TblMagic[[#This Row],[Death and Decay]],12,IF(OFFSET(TblMagic[[#This Row],[Active DnD]],-1,0)&gt;0,OFFSET(TblMagic[[#This Row],[Active DnD]],-1,0)-1,0))</f>
        <v>0</v>
      </c>
      <c r="AJ96" s="57">
        <f ca="1">IF(TblMagic[[#This Row],[Killing Rage / Bloodrage / Crusade]],12,IF(OFFSET(TblMagic[[#This Row],[Active Warsong / Killing Rage / Bloodrage]],-1,0)&gt;0,OFFSET(TblMagic[[#This Row],[Active Warsong / Killing Rage / Bloodrage]],-1,0)-1,0))</f>
        <v>0</v>
      </c>
      <c r="AK96" s="57">
        <f ca="1">IF(TblMagic[[#This Row],[Gaia''s Blessing]],12,IF(OFFSET(TblMagic[[#This Row],[Active Gaia''s Blessing]],-1,0)&gt;0,OFFSET(TblMagic[[#This Row],[Active Gaia''s Blessing]],-1,0)-1,0))</f>
        <v>0</v>
      </c>
      <c r="AL96" s="57">
        <f ca="1">IF(TblMagic[[#This Row],[Howling]],12,IF(OFFSET(TblMagic[[#This Row],[Active Howling]],-1,0)&gt;0,OFFSET(TblMagic[[#This Row],[Active Howling]],-1,0)-1,0))</f>
        <v>0</v>
      </c>
      <c r="AM96" s="57">
        <f ca="1">IF(TblMagic[[#This Row],[Arcane Infusion]],12,IF(OFFSET(TblMagic[[#This Row],[Active Arc Infusion]],-1,0)&gt;0,OFFSET(TblMagic[[#This Row],[Active Arc Infusion]],-1,0)-1,0))</f>
        <v>0</v>
      </c>
      <c r="AN96" s="57">
        <f ca="1">IF(TblMagic[[#This Row],[Alchemists Flame]],12,IF(OFFSET(TblMagic[[#This Row],[Active Alchemists Flame]],-1,0)&gt;0,OFFSET(TblMagic[[#This Row],[Active Alchemists Flame]],-1,0)-1,0))</f>
        <v>0</v>
      </c>
      <c r="AO96" s="57">
        <f ca="1">IF(TblMagic[[#This Row],[Nightfall]],12,IF(OFFSET(TblMagic[[#This Row],[Active Nightfall]],-1,0)&gt;0,OFFSET(TblMagic[[#This Row],[Active Nightfall]],-1,0)-1,0))</f>
        <v>0</v>
      </c>
      <c r="AP96" s="57">
        <f ca="1">IF(TblMagic[[#This Row],[Favorable Terrain]],12,IF(OFFSET(TblMagic[[#This Row],[Active Favorable Terrain]],-1,0)&gt;0,OFFSET(TblMagic[[#This Row],[Active Favorable Terrain]],-1,0)-1,0))</f>
        <v>0</v>
      </c>
      <c r="AQ96" s="57">
        <f ca="1">IF(TblMagic[[#This Row],[Infernal Command]],12,IF(OFFSET(TblMagic[[#This Row],[Active Infernal Command]],-1,0)&gt;0,OFFSET(TblMagic[[#This Row],[Active Infernal Command]],-1,0)-1,0))</f>
        <v>0</v>
      </c>
    </row>
    <row r="97" spans="1:43" x14ac:dyDescent="0.2">
      <c r="A97" s="137">
        <f>TblRezone[[#This Row],[Hour]]</f>
        <v>94</v>
      </c>
      <c r="B97" s="154">
        <f ca="1">TblConstr[[#This Row],[Land]]</f>
        <v>50</v>
      </c>
      <c r="C97" s="94">
        <f ca="1">TblProd[[#This Row],[Mana]]</f>
        <v>0</v>
      </c>
      <c r="D97" s="156">
        <f ca="1">MIN(1,OFFSET(TblMagic[[#This Row],[Wiz str]],-1,0)+0.04+ROUNDDOWN(10*OFFSET(TblMili[[#This Row],[WG''s]],-1,0),0)+ tech_2_7*OFFSET(TblTech[[#This Row],[2-7]],-1,0) + tech_5_6*OFFSET(TblTech[[#This Row],[5-6]],-1,0) )-TblMagic[[#This Row],[Wiz str cost]]</f>
        <v>1</v>
      </c>
      <c r="E97" s="159">
        <f ca="1">OFFSET(TblMagic[[#This Row],[Time]],-1,0)+1/24</f>
        <v>46323.874999999774</v>
      </c>
      <c r="F97" s="156">
        <f ca="1">TblImps[[#This Row],[Population]]</f>
        <v>1</v>
      </c>
      <c r="G97" s="218"/>
      <c r="H97" s="218"/>
      <c r="I97" s="218"/>
      <c r="J97" s="218"/>
      <c r="K97" s="405"/>
      <c r="L97" s="218"/>
      <c r="M97" s="218"/>
      <c r="N97" s="218"/>
      <c r="O97" s="218"/>
      <c r="P97" s="218"/>
      <c r="Q97" s="218"/>
      <c r="R97" s="218"/>
      <c r="S97" s="218"/>
      <c r="T97" s="218"/>
      <c r="U97" s="218"/>
      <c r="V97" s="218"/>
      <c r="W97" s="218"/>
      <c r="X97" s="142"/>
      <c r="Y9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7" s="156">
        <f>SUMIF(TblMagic[[#This Row],[Gaia''s Watch]:[Useless spell]],1)*0.05</f>
        <v>0</v>
      </c>
      <c r="AA97" s="142"/>
      <c r="AB97" s="57">
        <f ca="1">IF(TblMagic[[#This Row],[Gaia''s Watch]],12,IF(OFFSET(TblMagic[[#This Row],[Active Gaia''s Watch]],-1,0)&gt;0,OFFSET(TblMagic[[#This Row],[Active Gaia''s Watch]],-1,0)-1,0))</f>
        <v>0</v>
      </c>
      <c r="AC97" s="57">
        <f ca="1">IF(TblMagic[[#This Row],[Mining Strength]],12,IF(OFFSET(TblMagic[[#This Row],[Active Mining Strength]],-1,0)&gt;0,OFFSET(TblMagic[[#This Row],[Active Mining Strength]],-1,0)-1,0))</f>
        <v>0</v>
      </c>
      <c r="AD97" s="57">
        <f ca="1">IF(TblMagic[[#This Row],[Ares Call]],12,IF(OFFSET(TblMagic[[#This Row],[Active Ares Call]],-1,0)&gt;0,OFFSET(TblMagic[[#This Row],[Active Ares Call]],-1,0)-1,0))</f>
        <v>0</v>
      </c>
      <c r="AE97" s="57">
        <f ca="1">IF(TblMagic[[#This Row],[Midas Touch]],12,IF(OFFSET(TblMagic[[#This Row],[Active Midas Touch]],-1,0)&gt;0,OFFSET(TblMagic[[#This Row],[Active Midas Touch]],-1,0)-1,0))</f>
        <v>0</v>
      </c>
      <c r="AF97" s="57">
        <f ca="1">IF(TblMagic[[#This Row],[Harmony]],12,IF(OFFSET(TblMagic[[#This Row],[Active Harmony]],-1,0)&gt;0,OFFSET(TblMagic[[#This Row],[Active Harmony]],-1,0)-1,0))</f>
        <v>0</v>
      </c>
      <c r="AG97" s="57">
        <f ca="1">IF(TblMagic[[#This Row],[Miner''s Sight]],12,IF(OFFSET(TblMagic[[#This Row],[Active Miner''s Sight]],-1,0)&gt;0,OFFSET(TblMagic[[#This Row],[Active Miner''s Sight]],-1,0)-1,0))</f>
        <v>0</v>
      </c>
      <c r="AH97" s="57">
        <f ca="1">IF(TblMagic[[#This Row],[Mechanical Genius]],12,IF(OFFSET(TblMagic[[#This Row],[Active Mechanical Genius]],-1,0)&gt;0,OFFSET(TblMagic[[#This Row],[Active Mechanical Genius]],-1,0)-1,0))</f>
        <v>0</v>
      </c>
      <c r="AI97" s="57">
        <f ca="1">IF(TblMagic[[#This Row],[Death and Decay]],12,IF(OFFSET(TblMagic[[#This Row],[Active DnD]],-1,0)&gt;0,OFFSET(TblMagic[[#This Row],[Active DnD]],-1,0)-1,0))</f>
        <v>0</v>
      </c>
      <c r="AJ97" s="57">
        <f ca="1">IF(TblMagic[[#This Row],[Killing Rage / Bloodrage / Crusade]],12,IF(OFFSET(TblMagic[[#This Row],[Active Warsong / Killing Rage / Bloodrage]],-1,0)&gt;0,OFFSET(TblMagic[[#This Row],[Active Warsong / Killing Rage / Bloodrage]],-1,0)-1,0))</f>
        <v>0</v>
      </c>
      <c r="AK97" s="57">
        <f ca="1">IF(TblMagic[[#This Row],[Gaia''s Blessing]],12,IF(OFFSET(TblMagic[[#This Row],[Active Gaia''s Blessing]],-1,0)&gt;0,OFFSET(TblMagic[[#This Row],[Active Gaia''s Blessing]],-1,0)-1,0))</f>
        <v>0</v>
      </c>
      <c r="AL97" s="57">
        <f ca="1">IF(TblMagic[[#This Row],[Howling]],12,IF(OFFSET(TblMagic[[#This Row],[Active Howling]],-1,0)&gt;0,OFFSET(TblMagic[[#This Row],[Active Howling]],-1,0)-1,0))</f>
        <v>0</v>
      </c>
      <c r="AM97" s="57">
        <f ca="1">IF(TblMagic[[#This Row],[Arcane Infusion]],12,IF(OFFSET(TblMagic[[#This Row],[Active Arc Infusion]],-1,0)&gt;0,OFFSET(TblMagic[[#This Row],[Active Arc Infusion]],-1,0)-1,0))</f>
        <v>0</v>
      </c>
      <c r="AN97" s="57">
        <f ca="1">IF(TblMagic[[#This Row],[Alchemists Flame]],12,IF(OFFSET(TblMagic[[#This Row],[Active Alchemists Flame]],-1,0)&gt;0,OFFSET(TblMagic[[#This Row],[Active Alchemists Flame]],-1,0)-1,0))</f>
        <v>0</v>
      </c>
      <c r="AO97" s="57">
        <f ca="1">IF(TblMagic[[#This Row],[Nightfall]],12,IF(OFFSET(TblMagic[[#This Row],[Active Nightfall]],-1,0)&gt;0,OFFSET(TblMagic[[#This Row],[Active Nightfall]],-1,0)-1,0))</f>
        <v>0</v>
      </c>
      <c r="AP97" s="57">
        <f ca="1">IF(TblMagic[[#This Row],[Favorable Terrain]],12,IF(OFFSET(TblMagic[[#This Row],[Active Favorable Terrain]],-1,0)&gt;0,OFFSET(TblMagic[[#This Row],[Active Favorable Terrain]],-1,0)-1,0))</f>
        <v>0</v>
      </c>
      <c r="AQ97" s="57">
        <f ca="1">IF(TblMagic[[#This Row],[Infernal Command]],12,IF(OFFSET(TblMagic[[#This Row],[Active Infernal Command]],-1,0)&gt;0,OFFSET(TblMagic[[#This Row],[Active Infernal Command]],-1,0)-1,0))</f>
        <v>0</v>
      </c>
    </row>
    <row r="98" spans="1:43" x14ac:dyDescent="0.2">
      <c r="A98" s="137">
        <f>TblRezone[[#This Row],[Hour]]</f>
        <v>95</v>
      </c>
      <c r="B98" s="154">
        <f ca="1">TblConstr[[#This Row],[Land]]</f>
        <v>50</v>
      </c>
      <c r="C98" s="94">
        <f ca="1">TblProd[[#This Row],[Mana]]</f>
        <v>0</v>
      </c>
      <c r="D98" s="156">
        <f ca="1">MIN(1,OFFSET(TblMagic[[#This Row],[Wiz str]],-1,0)+0.04+ROUNDDOWN(10*OFFSET(TblMili[[#This Row],[WG''s]],-1,0),0)+ tech_2_7*OFFSET(TblTech[[#This Row],[2-7]],-1,0) + tech_5_6*OFFSET(TblTech[[#This Row],[5-6]],-1,0) )-TblMagic[[#This Row],[Wiz str cost]]</f>
        <v>1</v>
      </c>
      <c r="E98" s="159">
        <f ca="1">OFFSET(TblMagic[[#This Row],[Time]],-1,0)+1/24</f>
        <v>46323.916666666439</v>
      </c>
      <c r="F98" s="156">
        <f ca="1">TblImps[[#This Row],[Population]]</f>
        <v>1</v>
      </c>
      <c r="G98" s="218"/>
      <c r="H98" s="218"/>
      <c r="I98" s="218"/>
      <c r="J98" s="218"/>
      <c r="K98" s="405"/>
      <c r="L98" s="218"/>
      <c r="M98" s="218"/>
      <c r="N98" s="218"/>
      <c r="O98" s="218"/>
      <c r="P98" s="218"/>
      <c r="Q98" s="218"/>
      <c r="R98" s="218"/>
      <c r="S98" s="218"/>
      <c r="T98" s="218"/>
      <c r="U98" s="218"/>
      <c r="V98" s="218"/>
      <c r="W98" s="218"/>
      <c r="X98" s="142"/>
      <c r="Y9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8" s="156">
        <f>SUMIF(TblMagic[[#This Row],[Gaia''s Watch]:[Useless spell]],1)*0.05</f>
        <v>0</v>
      </c>
      <c r="AA98" s="142"/>
      <c r="AB98" s="57">
        <f ca="1">IF(TblMagic[[#This Row],[Gaia''s Watch]],12,IF(OFFSET(TblMagic[[#This Row],[Active Gaia''s Watch]],-1,0)&gt;0,OFFSET(TblMagic[[#This Row],[Active Gaia''s Watch]],-1,0)-1,0))</f>
        <v>0</v>
      </c>
      <c r="AC98" s="57">
        <f ca="1">IF(TblMagic[[#This Row],[Mining Strength]],12,IF(OFFSET(TblMagic[[#This Row],[Active Mining Strength]],-1,0)&gt;0,OFFSET(TblMagic[[#This Row],[Active Mining Strength]],-1,0)-1,0))</f>
        <v>0</v>
      </c>
      <c r="AD98" s="57">
        <f ca="1">IF(TblMagic[[#This Row],[Ares Call]],12,IF(OFFSET(TblMagic[[#This Row],[Active Ares Call]],-1,0)&gt;0,OFFSET(TblMagic[[#This Row],[Active Ares Call]],-1,0)-1,0))</f>
        <v>0</v>
      </c>
      <c r="AE98" s="57">
        <f ca="1">IF(TblMagic[[#This Row],[Midas Touch]],12,IF(OFFSET(TblMagic[[#This Row],[Active Midas Touch]],-1,0)&gt;0,OFFSET(TblMagic[[#This Row],[Active Midas Touch]],-1,0)-1,0))</f>
        <v>0</v>
      </c>
      <c r="AF98" s="57">
        <f ca="1">IF(TblMagic[[#This Row],[Harmony]],12,IF(OFFSET(TblMagic[[#This Row],[Active Harmony]],-1,0)&gt;0,OFFSET(TblMagic[[#This Row],[Active Harmony]],-1,0)-1,0))</f>
        <v>0</v>
      </c>
      <c r="AG98" s="57">
        <f ca="1">IF(TblMagic[[#This Row],[Miner''s Sight]],12,IF(OFFSET(TblMagic[[#This Row],[Active Miner''s Sight]],-1,0)&gt;0,OFFSET(TblMagic[[#This Row],[Active Miner''s Sight]],-1,0)-1,0))</f>
        <v>0</v>
      </c>
      <c r="AH98" s="57">
        <f ca="1">IF(TblMagic[[#This Row],[Mechanical Genius]],12,IF(OFFSET(TblMagic[[#This Row],[Active Mechanical Genius]],-1,0)&gt;0,OFFSET(TblMagic[[#This Row],[Active Mechanical Genius]],-1,0)-1,0))</f>
        <v>0</v>
      </c>
      <c r="AI98" s="57">
        <f ca="1">IF(TblMagic[[#This Row],[Death and Decay]],12,IF(OFFSET(TblMagic[[#This Row],[Active DnD]],-1,0)&gt;0,OFFSET(TblMagic[[#This Row],[Active DnD]],-1,0)-1,0))</f>
        <v>0</v>
      </c>
      <c r="AJ98" s="57">
        <f ca="1">IF(TblMagic[[#This Row],[Killing Rage / Bloodrage / Crusade]],12,IF(OFFSET(TblMagic[[#This Row],[Active Warsong / Killing Rage / Bloodrage]],-1,0)&gt;0,OFFSET(TblMagic[[#This Row],[Active Warsong / Killing Rage / Bloodrage]],-1,0)-1,0))</f>
        <v>0</v>
      </c>
      <c r="AK98" s="57">
        <f ca="1">IF(TblMagic[[#This Row],[Gaia''s Blessing]],12,IF(OFFSET(TblMagic[[#This Row],[Active Gaia''s Blessing]],-1,0)&gt;0,OFFSET(TblMagic[[#This Row],[Active Gaia''s Blessing]],-1,0)-1,0))</f>
        <v>0</v>
      </c>
      <c r="AL98" s="57">
        <f ca="1">IF(TblMagic[[#This Row],[Howling]],12,IF(OFFSET(TblMagic[[#This Row],[Active Howling]],-1,0)&gt;0,OFFSET(TblMagic[[#This Row],[Active Howling]],-1,0)-1,0))</f>
        <v>0</v>
      </c>
      <c r="AM98" s="57">
        <f ca="1">IF(TblMagic[[#This Row],[Arcane Infusion]],12,IF(OFFSET(TblMagic[[#This Row],[Active Arc Infusion]],-1,0)&gt;0,OFFSET(TblMagic[[#This Row],[Active Arc Infusion]],-1,0)-1,0))</f>
        <v>0</v>
      </c>
      <c r="AN98" s="57">
        <f ca="1">IF(TblMagic[[#This Row],[Alchemists Flame]],12,IF(OFFSET(TblMagic[[#This Row],[Active Alchemists Flame]],-1,0)&gt;0,OFFSET(TblMagic[[#This Row],[Active Alchemists Flame]],-1,0)-1,0))</f>
        <v>0</v>
      </c>
      <c r="AO98" s="57">
        <f ca="1">IF(TblMagic[[#This Row],[Nightfall]],12,IF(OFFSET(TblMagic[[#This Row],[Active Nightfall]],-1,0)&gt;0,OFFSET(TblMagic[[#This Row],[Active Nightfall]],-1,0)-1,0))</f>
        <v>0</v>
      </c>
      <c r="AP98" s="57">
        <f ca="1">IF(TblMagic[[#This Row],[Favorable Terrain]],12,IF(OFFSET(TblMagic[[#This Row],[Active Favorable Terrain]],-1,0)&gt;0,OFFSET(TblMagic[[#This Row],[Active Favorable Terrain]],-1,0)-1,0))</f>
        <v>0</v>
      </c>
      <c r="AQ98" s="57">
        <f ca="1">IF(TblMagic[[#This Row],[Infernal Command]],12,IF(OFFSET(TblMagic[[#This Row],[Active Infernal Command]],-1,0)&gt;0,OFFSET(TblMagic[[#This Row],[Active Infernal Command]],-1,0)-1,0))</f>
        <v>0</v>
      </c>
    </row>
    <row r="99" spans="1:43" x14ac:dyDescent="0.2">
      <c r="A99" s="137">
        <f>TblRezone[[#This Row],[Hour]]</f>
        <v>96</v>
      </c>
      <c r="B99" s="154">
        <f ca="1">TblConstr[[#This Row],[Land]]</f>
        <v>50</v>
      </c>
      <c r="C99" s="94">
        <f ca="1">TblProd[[#This Row],[Mana]]</f>
        <v>0</v>
      </c>
      <c r="D99" s="156">
        <f ca="1">MIN(1,OFFSET(TblMagic[[#This Row],[Wiz str]],-1,0)+0.04+ROUNDDOWN(10*OFFSET(TblMili[[#This Row],[WG''s]],-1,0),0)+ tech_2_7*OFFSET(TblTech[[#This Row],[2-7]],-1,0) + tech_5_6*OFFSET(TblTech[[#This Row],[5-6]],-1,0) )-TblMagic[[#This Row],[Wiz str cost]]</f>
        <v>1</v>
      </c>
      <c r="E99" s="159">
        <f ca="1">OFFSET(TblMagic[[#This Row],[Time]],-1,0)+1/24</f>
        <v>46323.958333333103</v>
      </c>
      <c r="F99" s="156">
        <f ca="1">TblImps[[#This Row],[Population]]</f>
        <v>1</v>
      </c>
      <c r="G99" s="218"/>
      <c r="H99" s="218"/>
      <c r="I99" s="218"/>
      <c r="J99" s="218"/>
      <c r="K99" s="405"/>
      <c r="L99" s="218"/>
      <c r="M99" s="218"/>
      <c r="N99" s="218"/>
      <c r="O99" s="218"/>
      <c r="P99" s="218"/>
      <c r="Q99" s="218"/>
      <c r="R99" s="218"/>
      <c r="S99" s="218"/>
      <c r="T99" s="218"/>
      <c r="U99" s="218"/>
      <c r="V99" s="218"/>
      <c r="W99" s="218"/>
      <c r="X99" s="142"/>
      <c r="Y9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9" s="156">
        <f>SUMIF(TblMagic[[#This Row],[Gaia''s Watch]:[Useless spell]],1)*0.05</f>
        <v>0</v>
      </c>
      <c r="AA99" s="142"/>
      <c r="AB99" s="57">
        <f ca="1">IF(TblMagic[[#This Row],[Gaia''s Watch]],12,IF(OFFSET(TblMagic[[#This Row],[Active Gaia''s Watch]],-1,0)&gt;0,OFFSET(TblMagic[[#This Row],[Active Gaia''s Watch]],-1,0)-1,0))</f>
        <v>0</v>
      </c>
      <c r="AC99" s="57">
        <f ca="1">IF(TblMagic[[#This Row],[Mining Strength]],12,IF(OFFSET(TblMagic[[#This Row],[Active Mining Strength]],-1,0)&gt;0,OFFSET(TblMagic[[#This Row],[Active Mining Strength]],-1,0)-1,0))</f>
        <v>0</v>
      </c>
      <c r="AD99" s="57">
        <f ca="1">IF(TblMagic[[#This Row],[Ares Call]],12,IF(OFFSET(TblMagic[[#This Row],[Active Ares Call]],-1,0)&gt;0,OFFSET(TblMagic[[#This Row],[Active Ares Call]],-1,0)-1,0))</f>
        <v>0</v>
      </c>
      <c r="AE99" s="57">
        <f ca="1">IF(TblMagic[[#This Row],[Midas Touch]],12,IF(OFFSET(TblMagic[[#This Row],[Active Midas Touch]],-1,0)&gt;0,OFFSET(TblMagic[[#This Row],[Active Midas Touch]],-1,0)-1,0))</f>
        <v>0</v>
      </c>
      <c r="AF99" s="57">
        <f ca="1">IF(TblMagic[[#This Row],[Harmony]],12,IF(OFFSET(TblMagic[[#This Row],[Active Harmony]],-1,0)&gt;0,OFFSET(TblMagic[[#This Row],[Active Harmony]],-1,0)-1,0))</f>
        <v>0</v>
      </c>
      <c r="AG99" s="57">
        <f ca="1">IF(TblMagic[[#This Row],[Miner''s Sight]],12,IF(OFFSET(TblMagic[[#This Row],[Active Miner''s Sight]],-1,0)&gt;0,OFFSET(TblMagic[[#This Row],[Active Miner''s Sight]],-1,0)-1,0))</f>
        <v>0</v>
      </c>
      <c r="AH99" s="57">
        <f ca="1">IF(TblMagic[[#This Row],[Mechanical Genius]],12,IF(OFFSET(TblMagic[[#This Row],[Active Mechanical Genius]],-1,0)&gt;0,OFFSET(TblMagic[[#This Row],[Active Mechanical Genius]],-1,0)-1,0))</f>
        <v>0</v>
      </c>
      <c r="AI99" s="57">
        <f ca="1">IF(TblMagic[[#This Row],[Death and Decay]],12,IF(OFFSET(TblMagic[[#This Row],[Active DnD]],-1,0)&gt;0,OFFSET(TblMagic[[#This Row],[Active DnD]],-1,0)-1,0))</f>
        <v>0</v>
      </c>
      <c r="AJ99" s="57">
        <f ca="1">IF(TblMagic[[#This Row],[Killing Rage / Bloodrage / Crusade]],12,IF(OFFSET(TblMagic[[#This Row],[Active Warsong / Killing Rage / Bloodrage]],-1,0)&gt;0,OFFSET(TblMagic[[#This Row],[Active Warsong / Killing Rage / Bloodrage]],-1,0)-1,0))</f>
        <v>0</v>
      </c>
      <c r="AK99" s="57">
        <f ca="1">IF(TblMagic[[#This Row],[Gaia''s Blessing]],12,IF(OFFSET(TblMagic[[#This Row],[Active Gaia''s Blessing]],-1,0)&gt;0,OFFSET(TblMagic[[#This Row],[Active Gaia''s Blessing]],-1,0)-1,0))</f>
        <v>0</v>
      </c>
      <c r="AL99" s="57">
        <f ca="1">IF(TblMagic[[#This Row],[Howling]],12,IF(OFFSET(TblMagic[[#This Row],[Active Howling]],-1,0)&gt;0,OFFSET(TblMagic[[#This Row],[Active Howling]],-1,0)-1,0))</f>
        <v>0</v>
      </c>
      <c r="AM99" s="57">
        <f ca="1">IF(TblMagic[[#This Row],[Arcane Infusion]],12,IF(OFFSET(TblMagic[[#This Row],[Active Arc Infusion]],-1,0)&gt;0,OFFSET(TblMagic[[#This Row],[Active Arc Infusion]],-1,0)-1,0))</f>
        <v>0</v>
      </c>
      <c r="AN99" s="57">
        <f ca="1">IF(TblMagic[[#This Row],[Alchemists Flame]],12,IF(OFFSET(TblMagic[[#This Row],[Active Alchemists Flame]],-1,0)&gt;0,OFFSET(TblMagic[[#This Row],[Active Alchemists Flame]],-1,0)-1,0))</f>
        <v>0</v>
      </c>
      <c r="AO99" s="57">
        <f ca="1">IF(TblMagic[[#This Row],[Nightfall]],12,IF(OFFSET(TblMagic[[#This Row],[Active Nightfall]],-1,0)&gt;0,OFFSET(TblMagic[[#This Row],[Active Nightfall]],-1,0)-1,0))</f>
        <v>0</v>
      </c>
      <c r="AP99" s="57">
        <f ca="1">IF(TblMagic[[#This Row],[Favorable Terrain]],12,IF(OFFSET(TblMagic[[#This Row],[Active Favorable Terrain]],-1,0)&gt;0,OFFSET(TblMagic[[#This Row],[Active Favorable Terrain]],-1,0)-1,0))</f>
        <v>0</v>
      </c>
      <c r="AQ99" s="57">
        <f ca="1">IF(TblMagic[[#This Row],[Infernal Command]],12,IF(OFFSET(TblMagic[[#This Row],[Active Infernal Command]],-1,0)&gt;0,OFFSET(TblMagic[[#This Row],[Active Infernal Command]],-1,0)-1,0))</f>
        <v>0</v>
      </c>
    </row>
    <row r="100" spans="1:43" x14ac:dyDescent="0.2">
      <c r="A100" s="137">
        <f>TblRezone[[#This Row],[Hour]]</f>
        <v>97</v>
      </c>
      <c r="B100" s="154">
        <f ca="1">TblConstr[[#This Row],[Land]]</f>
        <v>50</v>
      </c>
      <c r="C100" s="94">
        <f ca="1">TblProd[[#This Row],[Mana]]</f>
        <v>0</v>
      </c>
      <c r="D100" s="156">
        <f ca="1">MIN(1,OFFSET(TblMagic[[#This Row],[Wiz str]],-1,0)+0.04+ROUNDDOWN(10*OFFSET(TblMili[[#This Row],[WG''s]],-1,0),0)+ tech_2_7*OFFSET(TblTech[[#This Row],[2-7]],-1,0) + tech_5_6*OFFSET(TblTech[[#This Row],[5-6]],-1,0) )-TblMagic[[#This Row],[Wiz str cost]]</f>
        <v>1</v>
      </c>
      <c r="E100" s="159">
        <f ca="1">OFFSET(TblMagic[[#This Row],[Time]],-1,0)+1/24</f>
        <v>46323.999999999767</v>
      </c>
      <c r="F100" s="156">
        <f ca="1">TblImps[[#This Row],[Population]]</f>
        <v>1</v>
      </c>
      <c r="G100" s="218"/>
      <c r="H100" s="218"/>
      <c r="I100" s="218"/>
      <c r="J100" s="218"/>
      <c r="K100" s="405"/>
      <c r="L100" s="218"/>
      <c r="M100" s="218"/>
      <c r="N100" s="218"/>
      <c r="O100" s="218"/>
      <c r="P100" s="218"/>
      <c r="Q100" s="218"/>
      <c r="R100" s="218"/>
      <c r="S100" s="218"/>
      <c r="T100" s="218"/>
      <c r="U100" s="218"/>
      <c r="V100" s="218"/>
      <c r="W100" s="218"/>
      <c r="X100" s="142"/>
      <c r="Y10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0" s="156">
        <f>SUMIF(TblMagic[[#This Row],[Gaia''s Watch]:[Useless spell]],1)*0.05</f>
        <v>0</v>
      </c>
      <c r="AA100" s="142"/>
      <c r="AB100" s="57">
        <f ca="1">IF(TblMagic[[#This Row],[Gaia''s Watch]],12,IF(OFFSET(TblMagic[[#This Row],[Active Gaia''s Watch]],-1,0)&gt;0,OFFSET(TblMagic[[#This Row],[Active Gaia''s Watch]],-1,0)-1,0))</f>
        <v>0</v>
      </c>
      <c r="AC100" s="57">
        <f ca="1">IF(TblMagic[[#This Row],[Mining Strength]],12,IF(OFFSET(TblMagic[[#This Row],[Active Mining Strength]],-1,0)&gt;0,OFFSET(TblMagic[[#This Row],[Active Mining Strength]],-1,0)-1,0))</f>
        <v>0</v>
      </c>
      <c r="AD100" s="57">
        <f ca="1">IF(TblMagic[[#This Row],[Ares Call]],12,IF(OFFSET(TblMagic[[#This Row],[Active Ares Call]],-1,0)&gt;0,OFFSET(TblMagic[[#This Row],[Active Ares Call]],-1,0)-1,0))</f>
        <v>0</v>
      </c>
      <c r="AE100" s="57">
        <f ca="1">IF(TblMagic[[#This Row],[Midas Touch]],12,IF(OFFSET(TblMagic[[#This Row],[Active Midas Touch]],-1,0)&gt;0,OFFSET(TblMagic[[#This Row],[Active Midas Touch]],-1,0)-1,0))</f>
        <v>0</v>
      </c>
      <c r="AF100" s="57">
        <f ca="1">IF(TblMagic[[#This Row],[Harmony]],12,IF(OFFSET(TblMagic[[#This Row],[Active Harmony]],-1,0)&gt;0,OFFSET(TblMagic[[#This Row],[Active Harmony]],-1,0)-1,0))</f>
        <v>0</v>
      </c>
      <c r="AG100" s="57">
        <f ca="1">IF(TblMagic[[#This Row],[Miner''s Sight]],12,IF(OFFSET(TblMagic[[#This Row],[Active Miner''s Sight]],-1,0)&gt;0,OFFSET(TblMagic[[#This Row],[Active Miner''s Sight]],-1,0)-1,0))</f>
        <v>0</v>
      </c>
      <c r="AH100" s="57">
        <f ca="1">IF(TblMagic[[#This Row],[Mechanical Genius]],12,IF(OFFSET(TblMagic[[#This Row],[Active Mechanical Genius]],-1,0)&gt;0,OFFSET(TblMagic[[#This Row],[Active Mechanical Genius]],-1,0)-1,0))</f>
        <v>0</v>
      </c>
      <c r="AI100" s="57">
        <f ca="1">IF(TblMagic[[#This Row],[Death and Decay]],12,IF(OFFSET(TblMagic[[#This Row],[Active DnD]],-1,0)&gt;0,OFFSET(TblMagic[[#This Row],[Active DnD]],-1,0)-1,0))</f>
        <v>0</v>
      </c>
      <c r="AJ100" s="57">
        <f ca="1">IF(TblMagic[[#This Row],[Killing Rage / Bloodrage / Crusade]],12,IF(OFFSET(TblMagic[[#This Row],[Active Warsong / Killing Rage / Bloodrage]],-1,0)&gt;0,OFFSET(TblMagic[[#This Row],[Active Warsong / Killing Rage / Bloodrage]],-1,0)-1,0))</f>
        <v>0</v>
      </c>
      <c r="AK100" s="57">
        <f ca="1">IF(TblMagic[[#This Row],[Gaia''s Blessing]],12,IF(OFFSET(TblMagic[[#This Row],[Active Gaia''s Blessing]],-1,0)&gt;0,OFFSET(TblMagic[[#This Row],[Active Gaia''s Blessing]],-1,0)-1,0))</f>
        <v>0</v>
      </c>
      <c r="AL100" s="57">
        <f ca="1">IF(TblMagic[[#This Row],[Howling]],12,IF(OFFSET(TblMagic[[#This Row],[Active Howling]],-1,0)&gt;0,OFFSET(TblMagic[[#This Row],[Active Howling]],-1,0)-1,0))</f>
        <v>0</v>
      </c>
      <c r="AM100" s="57">
        <f ca="1">IF(TblMagic[[#This Row],[Arcane Infusion]],12,IF(OFFSET(TblMagic[[#This Row],[Active Arc Infusion]],-1,0)&gt;0,OFFSET(TblMagic[[#This Row],[Active Arc Infusion]],-1,0)-1,0))</f>
        <v>0</v>
      </c>
      <c r="AN100" s="57">
        <f ca="1">IF(TblMagic[[#This Row],[Alchemists Flame]],12,IF(OFFSET(TblMagic[[#This Row],[Active Alchemists Flame]],-1,0)&gt;0,OFFSET(TblMagic[[#This Row],[Active Alchemists Flame]],-1,0)-1,0))</f>
        <v>0</v>
      </c>
      <c r="AO100" s="57">
        <f ca="1">IF(TblMagic[[#This Row],[Nightfall]],12,IF(OFFSET(TblMagic[[#This Row],[Active Nightfall]],-1,0)&gt;0,OFFSET(TblMagic[[#This Row],[Active Nightfall]],-1,0)-1,0))</f>
        <v>0</v>
      </c>
      <c r="AP100" s="57">
        <f ca="1">IF(TblMagic[[#This Row],[Favorable Terrain]],12,IF(OFFSET(TblMagic[[#This Row],[Active Favorable Terrain]],-1,0)&gt;0,OFFSET(TblMagic[[#This Row],[Active Favorable Terrain]],-1,0)-1,0))</f>
        <v>0</v>
      </c>
      <c r="AQ100" s="57">
        <f ca="1">IF(TblMagic[[#This Row],[Infernal Command]],12,IF(OFFSET(TblMagic[[#This Row],[Active Infernal Command]],-1,0)&gt;0,OFFSET(TblMagic[[#This Row],[Active Infernal Command]],-1,0)-1,0))</f>
        <v>0</v>
      </c>
    </row>
    <row r="101" spans="1:43" x14ac:dyDescent="0.2">
      <c r="A101" s="137">
        <f>TblRezone[[#This Row],[Hour]]</f>
        <v>98</v>
      </c>
      <c r="B101" s="154">
        <f ca="1">TblConstr[[#This Row],[Land]]</f>
        <v>50</v>
      </c>
      <c r="C101" s="94">
        <f ca="1">TblProd[[#This Row],[Mana]]</f>
        <v>0</v>
      </c>
      <c r="D101" s="156">
        <f ca="1">MIN(1,OFFSET(TblMagic[[#This Row],[Wiz str]],-1,0)+0.04+ROUNDDOWN(10*OFFSET(TblMili[[#This Row],[WG''s]],-1,0),0)+ tech_2_7*OFFSET(TblTech[[#This Row],[2-7]],-1,0) + tech_5_6*OFFSET(TblTech[[#This Row],[5-6]],-1,0) )-TblMagic[[#This Row],[Wiz str cost]]</f>
        <v>1</v>
      </c>
      <c r="E101" s="159">
        <f ca="1">OFFSET(TblMagic[[#This Row],[Time]],-1,0)+1/24</f>
        <v>46324.041666666431</v>
      </c>
      <c r="F101" s="156">
        <f ca="1">TblImps[[#This Row],[Population]]</f>
        <v>1</v>
      </c>
      <c r="G101" s="218"/>
      <c r="H101" s="218"/>
      <c r="I101" s="218"/>
      <c r="J101" s="218"/>
      <c r="K101" s="405"/>
      <c r="L101" s="218"/>
      <c r="M101" s="218"/>
      <c r="N101" s="218"/>
      <c r="O101" s="218"/>
      <c r="P101" s="218"/>
      <c r="Q101" s="218"/>
      <c r="R101" s="218"/>
      <c r="S101" s="218"/>
      <c r="T101" s="218"/>
      <c r="U101" s="218"/>
      <c r="V101" s="218"/>
      <c r="W101" s="218"/>
      <c r="X101" s="142"/>
      <c r="Y10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1" s="156">
        <f>SUMIF(TblMagic[[#This Row],[Gaia''s Watch]:[Useless spell]],1)*0.05</f>
        <v>0</v>
      </c>
      <c r="AA101" s="142"/>
      <c r="AB101" s="57">
        <f ca="1">IF(TblMagic[[#This Row],[Gaia''s Watch]],12,IF(OFFSET(TblMagic[[#This Row],[Active Gaia''s Watch]],-1,0)&gt;0,OFFSET(TblMagic[[#This Row],[Active Gaia''s Watch]],-1,0)-1,0))</f>
        <v>0</v>
      </c>
      <c r="AC101" s="57">
        <f ca="1">IF(TblMagic[[#This Row],[Mining Strength]],12,IF(OFFSET(TblMagic[[#This Row],[Active Mining Strength]],-1,0)&gt;0,OFFSET(TblMagic[[#This Row],[Active Mining Strength]],-1,0)-1,0))</f>
        <v>0</v>
      </c>
      <c r="AD101" s="57">
        <f ca="1">IF(TblMagic[[#This Row],[Ares Call]],12,IF(OFFSET(TblMagic[[#This Row],[Active Ares Call]],-1,0)&gt;0,OFFSET(TblMagic[[#This Row],[Active Ares Call]],-1,0)-1,0))</f>
        <v>0</v>
      </c>
      <c r="AE101" s="57">
        <f ca="1">IF(TblMagic[[#This Row],[Midas Touch]],12,IF(OFFSET(TblMagic[[#This Row],[Active Midas Touch]],-1,0)&gt;0,OFFSET(TblMagic[[#This Row],[Active Midas Touch]],-1,0)-1,0))</f>
        <v>0</v>
      </c>
      <c r="AF101" s="57">
        <f ca="1">IF(TblMagic[[#This Row],[Harmony]],12,IF(OFFSET(TblMagic[[#This Row],[Active Harmony]],-1,0)&gt;0,OFFSET(TblMagic[[#This Row],[Active Harmony]],-1,0)-1,0))</f>
        <v>0</v>
      </c>
      <c r="AG101" s="57">
        <f ca="1">IF(TblMagic[[#This Row],[Miner''s Sight]],12,IF(OFFSET(TblMagic[[#This Row],[Active Miner''s Sight]],-1,0)&gt;0,OFFSET(TblMagic[[#This Row],[Active Miner''s Sight]],-1,0)-1,0))</f>
        <v>0</v>
      </c>
      <c r="AH101" s="57">
        <f ca="1">IF(TblMagic[[#This Row],[Mechanical Genius]],12,IF(OFFSET(TblMagic[[#This Row],[Active Mechanical Genius]],-1,0)&gt;0,OFFSET(TblMagic[[#This Row],[Active Mechanical Genius]],-1,0)-1,0))</f>
        <v>0</v>
      </c>
      <c r="AI101" s="57">
        <f ca="1">IF(TblMagic[[#This Row],[Death and Decay]],12,IF(OFFSET(TblMagic[[#This Row],[Active DnD]],-1,0)&gt;0,OFFSET(TblMagic[[#This Row],[Active DnD]],-1,0)-1,0))</f>
        <v>0</v>
      </c>
      <c r="AJ101" s="57">
        <f ca="1">IF(TblMagic[[#This Row],[Killing Rage / Bloodrage / Crusade]],12,IF(OFFSET(TblMagic[[#This Row],[Active Warsong / Killing Rage / Bloodrage]],-1,0)&gt;0,OFFSET(TblMagic[[#This Row],[Active Warsong / Killing Rage / Bloodrage]],-1,0)-1,0))</f>
        <v>0</v>
      </c>
      <c r="AK101" s="57">
        <f ca="1">IF(TblMagic[[#This Row],[Gaia''s Blessing]],12,IF(OFFSET(TblMagic[[#This Row],[Active Gaia''s Blessing]],-1,0)&gt;0,OFFSET(TblMagic[[#This Row],[Active Gaia''s Blessing]],-1,0)-1,0))</f>
        <v>0</v>
      </c>
      <c r="AL101" s="57">
        <f ca="1">IF(TblMagic[[#This Row],[Howling]],12,IF(OFFSET(TblMagic[[#This Row],[Active Howling]],-1,0)&gt;0,OFFSET(TblMagic[[#This Row],[Active Howling]],-1,0)-1,0))</f>
        <v>0</v>
      </c>
      <c r="AM101" s="57">
        <f ca="1">IF(TblMagic[[#This Row],[Arcane Infusion]],12,IF(OFFSET(TblMagic[[#This Row],[Active Arc Infusion]],-1,0)&gt;0,OFFSET(TblMagic[[#This Row],[Active Arc Infusion]],-1,0)-1,0))</f>
        <v>0</v>
      </c>
      <c r="AN101" s="57">
        <f ca="1">IF(TblMagic[[#This Row],[Alchemists Flame]],12,IF(OFFSET(TblMagic[[#This Row],[Active Alchemists Flame]],-1,0)&gt;0,OFFSET(TblMagic[[#This Row],[Active Alchemists Flame]],-1,0)-1,0))</f>
        <v>0</v>
      </c>
      <c r="AO101" s="57">
        <f ca="1">IF(TblMagic[[#This Row],[Nightfall]],12,IF(OFFSET(TblMagic[[#This Row],[Active Nightfall]],-1,0)&gt;0,OFFSET(TblMagic[[#This Row],[Active Nightfall]],-1,0)-1,0))</f>
        <v>0</v>
      </c>
      <c r="AP101" s="57">
        <f ca="1">IF(TblMagic[[#This Row],[Favorable Terrain]],12,IF(OFFSET(TblMagic[[#This Row],[Active Favorable Terrain]],-1,0)&gt;0,OFFSET(TblMagic[[#This Row],[Active Favorable Terrain]],-1,0)-1,0))</f>
        <v>0</v>
      </c>
      <c r="AQ101" s="57">
        <f ca="1">IF(TblMagic[[#This Row],[Infernal Command]],12,IF(OFFSET(TblMagic[[#This Row],[Active Infernal Command]],-1,0)&gt;0,OFFSET(TblMagic[[#This Row],[Active Infernal Command]],-1,0)-1,0))</f>
        <v>0</v>
      </c>
    </row>
    <row r="102" spans="1:43" x14ac:dyDescent="0.2">
      <c r="A102" s="137">
        <f>TblRezone[[#This Row],[Hour]]</f>
        <v>99</v>
      </c>
      <c r="B102" s="154">
        <f ca="1">TblConstr[[#This Row],[Land]]</f>
        <v>50</v>
      </c>
      <c r="C102" s="94">
        <f ca="1">TblProd[[#This Row],[Mana]]</f>
        <v>0</v>
      </c>
      <c r="D102" s="156">
        <f ca="1">MIN(1,OFFSET(TblMagic[[#This Row],[Wiz str]],-1,0)+0.04+ROUNDDOWN(10*OFFSET(TblMili[[#This Row],[WG''s]],-1,0),0)+ tech_2_7*OFFSET(TblTech[[#This Row],[2-7]],-1,0) + tech_5_6*OFFSET(TblTech[[#This Row],[5-6]],-1,0) )-TblMagic[[#This Row],[Wiz str cost]]</f>
        <v>1</v>
      </c>
      <c r="E102" s="159">
        <f ca="1">OFFSET(TblMagic[[#This Row],[Time]],-1,0)+1/24</f>
        <v>46324.083333333096</v>
      </c>
      <c r="F102" s="156">
        <f ca="1">TblImps[[#This Row],[Population]]</f>
        <v>1</v>
      </c>
      <c r="G102" s="218"/>
      <c r="H102" s="218"/>
      <c r="I102" s="218"/>
      <c r="J102" s="218"/>
      <c r="K102" s="405"/>
      <c r="L102" s="218"/>
      <c r="M102" s="218"/>
      <c r="N102" s="218"/>
      <c r="O102" s="218"/>
      <c r="P102" s="218"/>
      <c r="Q102" s="218"/>
      <c r="R102" s="218"/>
      <c r="S102" s="218"/>
      <c r="T102" s="218"/>
      <c r="U102" s="218"/>
      <c r="V102" s="218"/>
      <c r="W102" s="218"/>
      <c r="X102" s="142"/>
      <c r="Y10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2" s="156">
        <f>SUMIF(TblMagic[[#This Row],[Gaia''s Watch]:[Useless spell]],1)*0.05</f>
        <v>0</v>
      </c>
      <c r="AA102" s="142"/>
      <c r="AB102" s="57">
        <f ca="1">IF(TblMagic[[#This Row],[Gaia''s Watch]],12,IF(OFFSET(TblMagic[[#This Row],[Active Gaia''s Watch]],-1,0)&gt;0,OFFSET(TblMagic[[#This Row],[Active Gaia''s Watch]],-1,0)-1,0))</f>
        <v>0</v>
      </c>
      <c r="AC102" s="57">
        <f ca="1">IF(TblMagic[[#This Row],[Mining Strength]],12,IF(OFFSET(TblMagic[[#This Row],[Active Mining Strength]],-1,0)&gt;0,OFFSET(TblMagic[[#This Row],[Active Mining Strength]],-1,0)-1,0))</f>
        <v>0</v>
      </c>
      <c r="AD102" s="57">
        <f ca="1">IF(TblMagic[[#This Row],[Ares Call]],12,IF(OFFSET(TblMagic[[#This Row],[Active Ares Call]],-1,0)&gt;0,OFFSET(TblMagic[[#This Row],[Active Ares Call]],-1,0)-1,0))</f>
        <v>0</v>
      </c>
      <c r="AE102" s="57">
        <f ca="1">IF(TblMagic[[#This Row],[Midas Touch]],12,IF(OFFSET(TblMagic[[#This Row],[Active Midas Touch]],-1,0)&gt;0,OFFSET(TblMagic[[#This Row],[Active Midas Touch]],-1,0)-1,0))</f>
        <v>0</v>
      </c>
      <c r="AF102" s="57">
        <f ca="1">IF(TblMagic[[#This Row],[Harmony]],12,IF(OFFSET(TblMagic[[#This Row],[Active Harmony]],-1,0)&gt;0,OFFSET(TblMagic[[#This Row],[Active Harmony]],-1,0)-1,0))</f>
        <v>0</v>
      </c>
      <c r="AG102" s="57">
        <f ca="1">IF(TblMagic[[#This Row],[Miner''s Sight]],12,IF(OFFSET(TblMagic[[#This Row],[Active Miner''s Sight]],-1,0)&gt;0,OFFSET(TblMagic[[#This Row],[Active Miner''s Sight]],-1,0)-1,0))</f>
        <v>0</v>
      </c>
      <c r="AH102" s="57">
        <f ca="1">IF(TblMagic[[#This Row],[Mechanical Genius]],12,IF(OFFSET(TblMagic[[#This Row],[Active Mechanical Genius]],-1,0)&gt;0,OFFSET(TblMagic[[#This Row],[Active Mechanical Genius]],-1,0)-1,0))</f>
        <v>0</v>
      </c>
      <c r="AI102" s="57">
        <f ca="1">IF(TblMagic[[#This Row],[Death and Decay]],12,IF(OFFSET(TblMagic[[#This Row],[Active DnD]],-1,0)&gt;0,OFFSET(TblMagic[[#This Row],[Active DnD]],-1,0)-1,0))</f>
        <v>0</v>
      </c>
      <c r="AJ102" s="57">
        <f ca="1">IF(TblMagic[[#This Row],[Killing Rage / Bloodrage / Crusade]],12,IF(OFFSET(TblMagic[[#This Row],[Active Warsong / Killing Rage / Bloodrage]],-1,0)&gt;0,OFFSET(TblMagic[[#This Row],[Active Warsong / Killing Rage / Bloodrage]],-1,0)-1,0))</f>
        <v>0</v>
      </c>
      <c r="AK102" s="57">
        <f ca="1">IF(TblMagic[[#This Row],[Gaia''s Blessing]],12,IF(OFFSET(TblMagic[[#This Row],[Active Gaia''s Blessing]],-1,0)&gt;0,OFFSET(TblMagic[[#This Row],[Active Gaia''s Blessing]],-1,0)-1,0))</f>
        <v>0</v>
      </c>
      <c r="AL102" s="57">
        <f ca="1">IF(TblMagic[[#This Row],[Howling]],12,IF(OFFSET(TblMagic[[#This Row],[Active Howling]],-1,0)&gt;0,OFFSET(TblMagic[[#This Row],[Active Howling]],-1,0)-1,0))</f>
        <v>0</v>
      </c>
      <c r="AM102" s="57">
        <f ca="1">IF(TblMagic[[#This Row],[Arcane Infusion]],12,IF(OFFSET(TblMagic[[#This Row],[Active Arc Infusion]],-1,0)&gt;0,OFFSET(TblMagic[[#This Row],[Active Arc Infusion]],-1,0)-1,0))</f>
        <v>0</v>
      </c>
      <c r="AN102" s="57">
        <f ca="1">IF(TblMagic[[#This Row],[Alchemists Flame]],12,IF(OFFSET(TblMagic[[#This Row],[Active Alchemists Flame]],-1,0)&gt;0,OFFSET(TblMagic[[#This Row],[Active Alchemists Flame]],-1,0)-1,0))</f>
        <v>0</v>
      </c>
      <c r="AO102" s="57">
        <f ca="1">IF(TblMagic[[#This Row],[Nightfall]],12,IF(OFFSET(TblMagic[[#This Row],[Active Nightfall]],-1,0)&gt;0,OFFSET(TblMagic[[#This Row],[Active Nightfall]],-1,0)-1,0))</f>
        <v>0</v>
      </c>
      <c r="AP102" s="57">
        <f ca="1">IF(TblMagic[[#This Row],[Favorable Terrain]],12,IF(OFFSET(TblMagic[[#This Row],[Active Favorable Terrain]],-1,0)&gt;0,OFFSET(TblMagic[[#This Row],[Active Favorable Terrain]],-1,0)-1,0))</f>
        <v>0</v>
      </c>
      <c r="AQ102" s="57">
        <f ca="1">IF(TblMagic[[#This Row],[Infernal Command]],12,IF(OFFSET(TblMagic[[#This Row],[Active Infernal Command]],-1,0)&gt;0,OFFSET(TblMagic[[#This Row],[Active Infernal Command]],-1,0)-1,0))</f>
        <v>0</v>
      </c>
    </row>
    <row r="103" spans="1:43" x14ac:dyDescent="0.2">
      <c r="A103" s="137">
        <f>TblRezone[[#This Row],[Hour]]</f>
        <v>100</v>
      </c>
      <c r="B103" s="154">
        <f ca="1">TblConstr[[#This Row],[Land]]</f>
        <v>50</v>
      </c>
      <c r="C103" s="94">
        <f ca="1">TblProd[[#This Row],[Mana]]</f>
        <v>0</v>
      </c>
      <c r="D103" s="156">
        <f ca="1">MIN(1,OFFSET(TblMagic[[#This Row],[Wiz str]],-1,0)+0.04+ROUNDDOWN(10*OFFSET(TblMili[[#This Row],[WG''s]],-1,0),0)+ tech_2_7*OFFSET(TblTech[[#This Row],[2-7]],-1,0) + tech_5_6*OFFSET(TblTech[[#This Row],[5-6]],-1,0) )-TblMagic[[#This Row],[Wiz str cost]]</f>
        <v>1</v>
      </c>
      <c r="E103" s="159">
        <f ca="1">OFFSET(TblMagic[[#This Row],[Time]],-1,0)+1/24</f>
        <v>46324.12499999976</v>
      </c>
      <c r="F103" s="156">
        <f ca="1">TblImps[[#This Row],[Population]]</f>
        <v>1</v>
      </c>
      <c r="G103" s="218"/>
      <c r="H103" s="218"/>
      <c r="I103" s="218"/>
      <c r="J103" s="218"/>
      <c r="K103" s="405"/>
      <c r="L103" s="218"/>
      <c r="M103" s="218"/>
      <c r="N103" s="218"/>
      <c r="O103" s="218"/>
      <c r="P103" s="218"/>
      <c r="Q103" s="218"/>
      <c r="R103" s="218"/>
      <c r="S103" s="218"/>
      <c r="T103" s="218"/>
      <c r="U103" s="218"/>
      <c r="V103" s="218"/>
      <c r="W103" s="218"/>
      <c r="X103" s="142"/>
      <c r="Y10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3" s="156">
        <f>SUMIF(TblMagic[[#This Row],[Gaia''s Watch]:[Useless spell]],1)*0.05</f>
        <v>0</v>
      </c>
      <c r="AA103" s="142"/>
      <c r="AB103" s="57">
        <f ca="1">IF(TblMagic[[#This Row],[Gaia''s Watch]],12,IF(OFFSET(TblMagic[[#This Row],[Active Gaia''s Watch]],-1,0)&gt;0,OFFSET(TblMagic[[#This Row],[Active Gaia''s Watch]],-1,0)-1,0))</f>
        <v>0</v>
      </c>
      <c r="AC103" s="57">
        <f ca="1">IF(TblMagic[[#This Row],[Mining Strength]],12,IF(OFFSET(TblMagic[[#This Row],[Active Mining Strength]],-1,0)&gt;0,OFFSET(TblMagic[[#This Row],[Active Mining Strength]],-1,0)-1,0))</f>
        <v>0</v>
      </c>
      <c r="AD103" s="57">
        <f ca="1">IF(TblMagic[[#This Row],[Ares Call]],12,IF(OFFSET(TblMagic[[#This Row],[Active Ares Call]],-1,0)&gt;0,OFFSET(TblMagic[[#This Row],[Active Ares Call]],-1,0)-1,0))</f>
        <v>0</v>
      </c>
      <c r="AE103" s="57">
        <f ca="1">IF(TblMagic[[#This Row],[Midas Touch]],12,IF(OFFSET(TblMagic[[#This Row],[Active Midas Touch]],-1,0)&gt;0,OFFSET(TblMagic[[#This Row],[Active Midas Touch]],-1,0)-1,0))</f>
        <v>0</v>
      </c>
      <c r="AF103" s="57">
        <f ca="1">IF(TblMagic[[#This Row],[Harmony]],12,IF(OFFSET(TblMagic[[#This Row],[Active Harmony]],-1,0)&gt;0,OFFSET(TblMagic[[#This Row],[Active Harmony]],-1,0)-1,0))</f>
        <v>0</v>
      </c>
      <c r="AG103" s="57">
        <f ca="1">IF(TblMagic[[#This Row],[Miner''s Sight]],12,IF(OFFSET(TblMagic[[#This Row],[Active Miner''s Sight]],-1,0)&gt;0,OFFSET(TblMagic[[#This Row],[Active Miner''s Sight]],-1,0)-1,0))</f>
        <v>0</v>
      </c>
      <c r="AH103" s="57">
        <f ca="1">IF(TblMagic[[#This Row],[Mechanical Genius]],12,IF(OFFSET(TblMagic[[#This Row],[Active Mechanical Genius]],-1,0)&gt;0,OFFSET(TblMagic[[#This Row],[Active Mechanical Genius]],-1,0)-1,0))</f>
        <v>0</v>
      </c>
      <c r="AI103" s="57">
        <f ca="1">IF(TblMagic[[#This Row],[Death and Decay]],12,IF(OFFSET(TblMagic[[#This Row],[Active DnD]],-1,0)&gt;0,OFFSET(TblMagic[[#This Row],[Active DnD]],-1,0)-1,0))</f>
        <v>0</v>
      </c>
      <c r="AJ103" s="57">
        <f ca="1">IF(TblMagic[[#This Row],[Killing Rage / Bloodrage / Crusade]],12,IF(OFFSET(TblMagic[[#This Row],[Active Warsong / Killing Rage / Bloodrage]],-1,0)&gt;0,OFFSET(TblMagic[[#This Row],[Active Warsong / Killing Rage / Bloodrage]],-1,0)-1,0))</f>
        <v>0</v>
      </c>
      <c r="AK103" s="57">
        <f ca="1">IF(TblMagic[[#This Row],[Gaia''s Blessing]],12,IF(OFFSET(TblMagic[[#This Row],[Active Gaia''s Blessing]],-1,0)&gt;0,OFFSET(TblMagic[[#This Row],[Active Gaia''s Blessing]],-1,0)-1,0))</f>
        <v>0</v>
      </c>
      <c r="AL103" s="57">
        <f ca="1">IF(TblMagic[[#This Row],[Howling]],12,IF(OFFSET(TblMagic[[#This Row],[Active Howling]],-1,0)&gt;0,OFFSET(TblMagic[[#This Row],[Active Howling]],-1,0)-1,0))</f>
        <v>0</v>
      </c>
      <c r="AM103" s="57">
        <f ca="1">IF(TblMagic[[#This Row],[Arcane Infusion]],12,IF(OFFSET(TblMagic[[#This Row],[Active Arc Infusion]],-1,0)&gt;0,OFFSET(TblMagic[[#This Row],[Active Arc Infusion]],-1,0)-1,0))</f>
        <v>0</v>
      </c>
      <c r="AN103" s="57">
        <f ca="1">IF(TblMagic[[#This Row],[Alchemists Flame]],12,IF(OFFSET(TblMagic[[#This Row],[Active Alchemists Flame]],-1,0)&gt;0,OFFSET(TblMagic[[#This Row],[Active Alchemists Flame]],-1,0)-1,0))</f>
        <v>0</v>
      </c>
      <c r="AO103" s="57">
        <f ca="1">IF(TblMagic[[#This Row],[Nightfall]],12,IF(OFFSET(TblMagic[[#This Row],[Active Nightfall]],-1,0)&gt;0,OFFSET(TblMagic[[#This Row],[Active Nightfall]],-1,0)-1,0))</f>
        <v>0</v>
      </c>
      <c r="AP103" s="57">
        <f ca="1">IF(TblMagic[[#This Row],[Favorable Terrain]],12,IF(OFFSET(TblMagic[[#This Row],[Active Favorable Terrain]],-1,0)&gt;0,OFFSET(TblMagic[[#This Row],[Active Favorable Terrain]],-1,0)-1,0))</f>
        <v>0</v>
      </c>
      <c r="AQ103" s="57">
        <f ca="1">IF(TblMagic[[#This Row],[Infernal Command]],12,IF(OFFSET(TblMagic[[#This Row],[Active Infernal Command]],-1,0)&gt;0,OFFSET(TblMagic[[#This Row],[Active Infernal Command]],-1,0)-1,0))</f>
        <v>0</v>
      </c>
    </row>
    <row r="104" spans="1:43" x14ac:dyDescent="0.2">
      <c r="A104" s="137">
        <f>TblRezone[[#This Row],[Hour]]</f>
        <v>101</v>
      </c>
      <c r="B104" s="154">
        <f ca="1">TblConstr[[#This Row],[Land]]</f>
        <v>50</v>
      </c>
      <c r="C104" s="94">
        <f ca="1">TblProd[[#This Row],[Mana]]</f>
        <v>0</v>
      </c>
      <c r="D104" s="156">
        <f ca="1">MIN(1,OFFSET(TblMagic[[#This Row],[Wiz str]],-1,0)+0.04+ROUNDDOWN(10*OFFSET(TblMili[[#This Row],[WG''s]],-1,0),0)+ tech_2_7*OFFSET(TblTech[[#This Row],[2-7]],-1,0) + tech_5_6*OFFSET(TblTech[[#This Row],[5-6]],-1,0) )-TblMagic[[#This Row],[Wiz str cost]]</f>
        <v>1</v>
      </c>
      <c r="E104" s="159">
        <f ca="1">OFFSET(TblMagic[[#This Row],[Time]],-1,0)+1/24</f>
        <v>46324.166666666424</v>
      </c>
      <c r="F104" s="156">
        <f ca="1">TblImps[[#This Row],[Population]]</f>
        <v>1</v>
      </c>
      <c r="G104" s="218"/>
      <c r="H104" s="218"/>
      <c r="I104" s="218"/>
      <c r="J104" s="218"/>
      <c r="K104" s="405"/>
      <c r="L104" s="218"/>
      <c r="M104" s="218"/>
      <c r="N104" s="218"/>
      <c r="O104" s="218"/>
      <c r="P104" s="218"/>
      <c r="Q104" s="218"/>
      <c r="R104" s="218"/>
      <c r="S104" s="218"/>
      <c r="T104" s="218"/>
      <c r="U104" s="218"/>
      <c r="V104" s="218"/>
      <c r="W104" s="218"/>
      <c r="X104" s="142"/>
      <c r="Y10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4" s="156">
        <f>SUMIF(TblMagic[[#This Row],[Gaia''s Watch]:[Useless spell]],1)*0.05</f>
        <v>0</v>
      </c>
      <c r="AA104" s="142"/>
      <c r="AB104" s="57">
        <f ca="1">IF(TblMagic[[#This Row],[Gaia''s Watch]],12,IF(OFFSET(TblMagic[[#This Row],[Active Gaia''s Watch]],-1,0)&gt;0,OFFSET(TblMagic[[#This Row],[Active Gaia''s Watch]],-1,0)-1,0))</f>
        <v>0</v>
      </c>
      <c r="AC104" s="57">
        <f ca="1">IF(TblMagic[[#This Row],[Mining Strength]],12,IF(OFFSET(TblMagic[[#This Row],[Active Mining Strength]],-1,0)&gt;0,OFFSET(TblMagic[[#This Row],[Active Mining Strength]],-1,0)-1,0))</f>
        <v>0</v>
      </c>
      <c r="AD104" s="57">
        <f ca="1">IF(TblMagic[[#This Row],[Ares Call]],12,IF(OFFSET(TblMagic[[#This Row],[Active Ares Call]],-1,0)&gt;0,OFFSET(TblMagic[[#This Row],[Active Ares Call]],-1,0)-1,0))</f>
        <v>0</v>
      </c>
      <c r="AE104" s="57">
        <f ca="1">IF(TblMagic[[#This Row],[Midas Touch]],12,IF(OFFSET(TblMagic[[#This Row],[Active Midas Touch]],-1,0)&gt;0,OFFSET(TblMagic[[#This Row],[Active Midas Touch]],-1,0)-1,0))</f>
        <v>0</v>
      </c>
      <c r="AF104" s="57">
        <f ca="1">IF(TblMagic[[#This Row],[Harmony]],12,IF(OFFSET(TblMagic[[#This Row],[Active Harmony]],-1,0)&gt;0,OFFSET(TblMagic[[#This Row],[Active Harmony]],-1,0)-1,0))</f>
        <v>0</v>
      </c>
      <c r="AG104" s="57">
        <f ca="1">IF(TblMagic[[#This Row],[Miner''s Sight]],12,IF(OFFSET(TblMagic[[#This Row],[Active Miner''s Sight]],-1,0)&gt;0,OFFSET(TblMagic[[#This Row],[Active Miner''s Sight]],-1,0)-1,0))</f>
        <v>0</v>
      </c>
      <c r="AH104" s="57">
        <f ca="1">IF(TblMagic[[#This Row],[Mechanical Genius]],12,IF(OFFSET(TblMagic[[#This Row],[Active Mechanical Genius]],-1,0)&gt;0,OFFSET(TblMagic[[#This Row],[Active Mechanical Genius]],-1,0)-1,0))</f>
        <v>0</v>
      </c>
      <c r="AI104" s="57">
        <f ca="1">IF(TblMagic[[#This Row],[Death and Decay]],12,IF(OFFSET(TblMagic[[#This Row],[Active DnD]],-1,0)&gt;0,OFFSET(TblMagic[[#This Row],[Active DnD]],-1,0)-1,0))</f>
        <v>0</v>
      </c>
      <c r="AJ104" s="57">
        <f ca="1">IF(TblMagic[[#This Row],[Killing Rage / Bloodrage / Crusade]],12,IF(OFFSET(TblMagic[[#This Row],[Active Warsong / Killing Rage / Bloodrage]],-1,0)&gt;0,OFFSET(TblMagic[[#This Row],[Active Warsong / Killing Rage / Bloodrage]],-1,0)-1,0))</f>
        <v>0</v>
      </c>
      <c r="AK104" s="57">
        <f ca="1">IF(TblMagic[[#This Row],[Gaia''s Blessing]],12,IF(OFFSET(TblMagic[[#This Row],[Active Gaia''s Blessing]],-1,0)&gt;0,OFFSET(TblMagic[[#This Row],[Active Gaia''s Blessing]],-1,0)-1,0))</f>
        <v>0</v>
      </c>
      <c r="AL104" s="57">
        <f ca="1">IF(TblMagic[[#This Row],[Howling]],12,IF(OFFSET(TblMagic[[#This Row],[Active Howling]],-1,0)&gt;0,OFFSET(TblMagic[[#This Row],[Active Howling]],-1,0)-1,0))</f>
        <v>0</v>
      </c>
      <c r="AM104" s="57">
        <f ca="1">IF(TblMagic[[#This Row],[Arcane Infusion]],12,IF(OFFSET(TblMagic[[#This Row],[Active Arc Infusion]],-1,0)&gt;0,OFFSET(TblMagic[[#This Row],[Active Arc Infusion]],-1,0)-1,0))</f>
        <v>0</v>
      </c>
      <c r="AN104" s="57">
        <f ca="1">IF(TblMagic[[#This Row],[Alchemists Flame]],12,IF(OFFSET(TblMagic[[#This Row],[Active Alchemists Flame]],-1,0)&gt;0,OFFSET(TblMagic[[#This Row],[Active Alchemists Flame]],-1,0)-1,0))</f>
        <v>0</v>
      </c>
      <c r="AO104" s="57">
        <f ca="1">IF(TblMagic[[#This Row],[Nightfall]],12,IF(OFFSET(TblMagic[[#This Row],[Active Nightfall]],-1,0)&gt;0,OFFSET(TblMagic[[#This Row],[Active Nightfall]],-1,0)-1,0))</f>
        <v>0</v>
      </c>
      <c r="AP104" s="57">
        <f ca="1">IF(TblMagic[[#This Row],[Favorable Terrain]],12,IF(OFFSET(TblMagic[[#This Row],[Active Favorable Terrain]],-1,0)&gt;0,OFFSET(TblMagic[[#This Row],[Active Favorable Terrain]],-1,0)-1,0))</f>
        <v>0</v>
      </c>
      <c r="AQ104" s="57">
        <f ca="1">IF(TblMagic[[#This Row],[Infernal Command]],12,IF(OFFSET(TblMagic[[#This Row],[Active Infernal Command]],-1,0)&gt;0,OFFSET(TblMagic[[#This Row],[Active Infernal Command]],-1,0)-1,0))</f>
        <v>0</v>
      </c>
    </row>
    <row r="105" spans="1:43" x14ac:dyDescent="0.2">
      <c r="A105" s="137">
        <f>TblRezone[[#This Row],[Hour]]</f>
        <v>102</v>
      </c>
      <c r="B105" s="154">
        <f ca="1">TblConstr[[#This Row],[Land]]</f>
        <v>50</v>
      </c>
      <c r="C105" s="94">
        <f ca="1">TblProd[[#This Row],[Mana]]</f>
        <v>0</v>
      </c>
      <c r="D105" s="156">
        <f ca="1">MIN(1,OFFSET(TblMagic[[#This Row],[Wiz str]],-1,0)+0.04+ROUNDDOWN(10*OFFSET(TblMili[[#This Row],[WG''s]],-1,0),0)+ tech_2_7*OFFSET(TblTech[[#This Row],[2-7]],-1,0) + tech_5_6*OFFSET(TblTech[[#This Row],[5-6]],-1,0) )-TblMagic[[#This Row],[Wiz str cost]]</f>
        <v>1</v>
      </c>
      <c r="E105" s="159">
        <f ca="1">OFFSET(TblMagic[[#This Row],[Time]],-1,0)+1/24</f>
        <v>46324.208333333088</v>
      </c>
      <c r="F105" s="156">
        <f ca="1">TblImps[[#This Row],[Population]]</f>
        <v>1</v>
      </c>
      <c r="G105" s="218"/>
      <c r="H105" s="218"/>
      <c r="I105" s="218"/>
      <c r="J105" s="218"/>
      <c r="K105" s="405"/>
      <c r="L105" s="218"/>
      <c r="M105" s="218"/>
      <c r="N105" s="218"/>
      <c r="O105" s="218"/>
      <c r="P105" s="218"/>
      <c r="Q105" s="218"/>
      <c r="R105" s="218"/>
      <c r="S105" s="218"/>
      <c r="T105" s="218"/>
      <c r="U105" s="218"/>
      <c r="V105" s="218"/>
      <c r="W105" s="218"/>
      <c r="X105" s="142"/>
      <c r="Y10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5" s="156">
        <f>SUMIF(TblMagic[[#This Row],[Gaia''s Watch]:[Useless spell]],1)*0.05</f>
        <v>0</v>
      </c>
      <c r="AA105" s="142"/>
      <c r="AB105" s="57">
        <f ca="1">IF(TblMagic[[#This Row],[Gaia''s Watch]],12,IF(OFFSET(TblMagic[[#This Row],[Active Gaia''s Watch]],-1,0)&gt;0,OFFSET(TblMagic[[#This Row],[Active Gaia''s Watch]],-1,0)-1,0))</f>
        <v>0</v>
      </c>
      <c r="AC105" s="57">
        <f ca="1">IF(TblMagic[[#This Row],[Mining Strength]],12,IF(OFFSET(TblMagic[[#This Row],[Active Mining Strength]],-1,0)&gt;0,OFFSET(TblMagic[[#This Row],[Active Mining Strength]],-1,0)-1,0))</f>
        <v>0</v>
      </c>
      <c r="AD105" s="57">
        <f ca="1">IF(TblMagic[[#This Row],[Ares Call]],12,IF(OFFSET(TblMagic[[#This Row],[Active Ares Call]],-1,0)&gt;0,OFFSET(TblMagic[[#This Row],[Active Ares Call]],-1,0)-1,0))</f>
        <v>0</v>
      </c>
      <c r="AE105" s="57">
        <f ca="1">IF(TblMagic[[#This Row],[Midas Touch]],12,IF(OFFSET(TblMagic[[#This Row],[Active Midas Touch]],-1,0)&gt;0,OFFSET(TblMagic[[#This Row],[Active Midas Touch]],-1,0)-1,0))</f>
        <v>0</v>
      </c>
      <c r="AF105" s="57">
        <f ca="1">IF(TblMagic[[#This Row],[Harmony]],12,IF(OFFSET(TblMagic[[#This Row],[Active Harmony]],-1,0)&gt;0,OFFSET(TblMagic[[#This Row],[Active Harmony]],-1,0)-1,0))</f>
        <v>0</v>
      </c>
      <c r="AG105" s="57">
        <f ca="1">IF(TblMagic[[#This Row],[Miner''s Sight]],12,IF(OFFSET(TblMagic[[#This Row],[Active Miner''s Sight]],-1,0)&gt;0,OFFSET(TblMagic[[#This Row],[Active Miner''s Sight]],-1,0)-1,0))</f>
        <v>0</v>
      </c>
      <c r="AH105" s="57">
        <f ca="1">IF(TblMagic[[#This Row],[Mechanical Genius]],12,IF(OFFSET(TblMagic[[#This Row],[Active Mechanical Genius]],-1,0)&gt;0,OFFSET(TblMagic[[#This Row],[Active Mechanical Genius]],-1,0)-1,0))</f>
        <v>0</v>
      </c>
      <c r="AI105" s="57">
        <f ca="1">IF(TblMagic[[#This Row],[Death and Decay]],12,IF(OFFSET(TblMagic[[#This Row],[Active DnD]],-1,0)&gt;0,OFFSET(TblMagic[[#This Row],[Active DnD]],-1,0)-1,0))</f>
        <v>0</v>
      </c>
      <c r="AJ105" s="57">
        <f ca="1">IF(TblMagic[[#This Row],[Killing Rage / Bloodrage / Crusade]],12,IF(OFFSET(TblMagic[[#This Row],[Active Warsong / Killing Rage / Bloodrage]],-1,0)&gt;0,OFFSET(TblMagic[[#This Row],[Active Warsong / Killing Rage / Bloodrage]],-1,0)-1,0))</f>
        <v>0</v>
      </c>
      <c r="AK105" s="57">
        <f ca="1">IF(TblMagic[[#This Row],[Gaia''s Blessing]],12,IF(OFFSET(TblMagic[[#This Row],[Active Gaia''s Blessing]],-1,0)&gt;0,OFFSET(TblMagic[[#This Row],[Active Gaia''s Blessing]],-1,0)-1,0))</f>
        <v>0</v>
      </c>
      <c r="AL105" s="57">
        <f ca="1">IF(TblMagic[[#This Row],[Howling]],12,IF(OFFSET(TblMagic[[#This Row],[Active Howling]],-1,0)&gt;0,OFFSET(TblMagic[[#This Row],[Active Howling]],-1,0)-1,0))</f>
        <v>0</v>
      </c>
      <c r="AM105" s="57">
        <f ca="1">IF(TblMagic[[#This Row],[Arcane Infusion]],12,IF(OFFSET(TblMagic[[#This Row],[Active Arc Infusion]],-1,0)&gt;0,OFFSET(TblMagic[[#This Row],[Active Arc Infusion]],-1,0)-1,0))</f>
        <v>0</v>
      </c>
      <c r="AN105" s="57">
        <f ca="1">IF(TblMagic[[#This Row],[Alchemists Flame]],12,IF(OFFSET(TblMagic[[#This Row],[Active Alchemists Flame]],-1,0)&gt;0,OFFSET(TblMagic[[#This Row],[Active Alchemists Flame]],-1,0)-1,0))</f>
        <v>0</v>
      </c>
      <c r="AO105" s="57">
        <f ca="1">IF(TblMagic[[#This Row],[Nightfall]],12,IF(OFFSET(TblMagic[[#This Row],[Active Nightfall]],-1,0)&gt;0,OFFSET(TblMagic[[#This Row],[Active Nightfall]],-1,0)-1,0))</f>
        <v>0</v>
      </c>
      <c r="AP105" s="57">
        <f ca="1">IF(TblMagic[[#This Row],[Favorable Terrain]],12,IF(OFFSET(TblMagic[[#This Row],[Active Favorable Terrain]],-1,0)&gt;0,OFFSET(TblMagic[[#This Row],[Active Favorable Terrain]],-1,0)-1,0))</f>
        <v>0</v>
      </c>
      <c r="AQ105" s="57">
        <f ca="1">IF(TblMagic[[#This Row],[Infernal Command]],12,IF(OFFSET(TblMagic[[#This Row],[Active Infernal Command]],-1,0)&gt;0,OFFSET(TblMagic[[#This Row],[Active Infernal Command]],-1,0)-1,0))</f>
        <v>0</v>
      </c>
    </row>
    <row r="106" spans="1:43" x14ac:dyDescent="0.2">
      <c r="A106" s="137">
        <f>TblRezone[[#This Row],[Hour]]</f>
        <v>103</v>
      </c>
      <c r="B106" s="154">
        <f ca="1">TblConstr[[#This Row],[Land]]</f>
        <v>50</v>
      </c>
      <c r="C106" s="94">
        <f ca="1">TblProd[[#This Row],[Mana]]</f>
        <v>0</v>
      </c>
      <c r="D106" s="156">
        <f ca="1">MIN(1,OFFSET(TblMagic[[#This Row],[Wiz str]],-1,0)+0.04+ROUNDDOWN(10*OFFSET(TblMili[[#This Row],[WG''s]],-1,0),0)+ tech_2_7*OFFSET(TblTech[[#This Row],[2-7]],-1,0) + tech_5_6*OFFSET(TblTech[[#This Row],[5-6]],-1,0) )-TblMagic[[#This Row],[Wiz str cost]]</f>
        <v>1</v>
      </c>
      <c r="E106" s="159">
        <f ca="1">OFFSET(TblMagic[[#This Row],[Time]],-1,0)+1/24</f>
        <v>46324.249999999753</v>
      </c>
      <c r="F106" s="156">
        <f ca="1">TblImps[[#This Row],[Population]]</f>
        <v>1</v>
      </c>
      <c r="G106" s="218"/>
      <c r="H106" s="218"/>
      <c r="I106" s="218"/>
      <c r="J106" s="218"/>
      <c r="K106" s="405"/>
      <c r="L106" s="218"/>
      <c r="M106" s="218"/>
      <c r="N106" s="218"/>
      <c r="O106" s="218"/>
      <c r="P106" s="218"/>
      <c r="Q106" s="218"/>
      <c r="R106" s="218"/>
      <c r="S106" s="218"/>
      <c r="T106" s="218"/>
      <c r="U106" s="218"/>
      <c r="V106" s="218"/>
      <c r="W106" s="218"/>
      <c r="X106" s="142"/>
      <c r="Y10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6" s="156">
        <f>SUMIF(TblMagic[[#This Row],[Gaia''s Watch]:[Useless spell]],1)*0.05</f>
        <v>0</v>
      </c>
      <c r="AA106" s="142"/>
      <c r="AB106" s="57">
        <f ca="1">IF(TblMagic[[#This Row],[Gaia''s Watch]],12,IF(OFFSET(TblMagic[[#This Row],[Active Gaia''s Watch]],-1,0)&gt;0,OFFSET(TblMagic[[#This Row],[Active Gaia''s Watch]],-1,0)-1,0))</f>
        <v>0</v>
      </c>
      <c r="AC106" s="57">
        <f ca="1">IF(TblMagic[[#This Row],[Mining Strength]],12,IF(OFFSET(TblMagic[[#This Row],[Active Mining Strength]],-1,0)&gt;0,OFFSET(TblMagic[[#This Row],[Active Mining Strength]],-1,0)-1,0))</f>
        <v>0</v>
      </c>
      <c r="AD106" s="57">
        <f ca="1">IF(TblMagic[[#This Row],[Ares Call]],12,IF(OFFSET(TblMagic[[#This Row],[Active Ares Call]],-1,0)&gt;0,OFFSET(TblMagic[[#This Row],[Active Ares Call]],-1,0)-1,0))</f>
        <v>0</v>
      </c>
      <c r="AE106" s="57">
        <f ca="1">IF(TblMagic[[#This Row],[Midas Touch]],12,IF(OFFSET(TblMagic[[#This Row],[Active Midas Touch]],-1,0)&gt;0,OFFSET(TblMagic[[#This Row],[Active Midas Touch]],-1,0)-1,0))</f>
        <v>0</v>
      </c>
      <c r="AF106" s="57">
        <f ca="1">IF(TblMagic[[#This Row],[Harmony]],12,IF(OFFSET(TblMagic[[#This Row],[Active Harmony]],-1,0)&gt;0,OFFSET(TblMagic[[#This Row],[Active Harmony]],-1,0)-1,0))</f>
        <v>0</v>
      </c>
      <c r="AG106" s="57">
        <f ca="1">IF(TblMagic[[#This Row],[Miner''s Sight]],12,IF(OFFSET(TblMagic[[#This Row],[Active Miner''s Sight]],-1,0)&gt;0,OFFSET(TblMagic[[#This Row],[Active Miner''s Sight]],-1,0)-1,0))</f>
        <v>0</v>
      </c>
      <c r="AH106" s="57">
        <f ca="1">IF(TblMagic[[#This Row],[Mechanical Genius]],12,IF(OFFSET(TblMagic[[#This Row],[Active Mechanical Genius]],-1,0)&gt;0,OFFSET(TblMagic[[#This Row],[Active Mechanical Genius]],-1,0)-1,0))</f>
        <v>0</v>
      </c>
      <c r="AI106" s="57">
        <f ca="1">IF(TblMagic[[#This Row],[Death and Decay]],12,IF(OFFSET(TblMagic[[#This Row],[Active DnD]],-1,0)&gt;0,OFFSET(TblMagic[[#This Row],[Active DnD]],-1,0)-1,0))</f>
        <v>0</v>
      </c>
      <c r="AJ106" s="57">
        <f ca="1">IF(TblMagic[[#This Row],[Killing Rage / Bloodrage / Crusade]],12,IF(OFFSET(TblMagic[[#This Row],[Active Warsong / Killing Rage / Bloodrage]],-1,0)&gt;0,OFFSET(TblMagic[[#This Row],[Active Warsong / Killing Rage / Bloodrage]],-1,0)-1,0))</f>
        <v>0</v>
      </c>
      <c r="AK106" s="57">
        <f ca="1">IF(TblMagic[[#This Row],[Gaia''s Blessing]],12,IF(OFFSET(TblMagic[[#This Row],[Active Gaia''s Blessing]],-1,0)&gt;0,OFFSET(TblMagic[[#This Row],[Active Gaia''s Blessing]],-1,0)-1,0))</f>
        <v>0</v>
      </c>
      <c r="AL106" s="57">
        <f ca="1">IF(TblMagic[[#This Row],[Howling]],12,IF(OFFSET(TblMagic[[#This Row],[Active Howling]],-1,0)&gt;0,OFFSET(TblMagic[[#This Row],[Active Howling]],-1,0)-1,0))</f>
        <v>0</v>
      </c>
      <c r="AM106" s="57">
        <f ca="1">IF(TblMagic[[#This Row],[Arcane Infusion]],12,IF(OFFSET(TblMagic[[#This Row],[Active Arc Infusion]],-1,0)&gt;0,OFFSET(TblMagic[[#This Row],[Active Arc Infusion]],-1,0)-1,0))</f>
        <v>0</v>
      </c>
      <c r="AN106" s="57">
        <f ca="1">IF(TblMagic[[#This Row],[Alchemists Flame]],12,IF(OFFSET(TblMagic[[#This Row],[Active Alchemists Flame]],-1,0)&gt;0,OFFSET(TblMagic[[#This Row],[Active Alchemists Flame]],-1,0)-1,0))</f>
        <v>0</v>
      </c>
      <c r="AO106" s="57">
        <f ca="1">IF(TblMagic[[#This Row],[Nightfall]],12,IF(OFFSET(TblMagic[[#This Row],[Active Nightfall]],-1,0)&gt;0,OFFSET(TblMagic[[#This Row],[Active Nightfall]],-1,0)-1,0))</f>
        <v>0</v>
      </c>
      <c r="AP106" s="57">
        <f ca="1">IF(TblMagic[[#This Row],[Favorable Terrain]],12,IF(OFFSET(TblMagic[[#This Row],[Active Favorable Terrain]],-1,0)&gt;0,OFFSET(TblMagic[[#This Row],[Active Favorable Terrain]],-1,0)-1,0))</f>
        <v>0</v>
      </c>
      <c r="AQ106" s="57">
        <f ca="1">IF(TblMagic[[#This Row],[Infernal Command]],12,IF(OFFSET(TblMagic[[#This Row],[Active Infernal Command]],-1,0)&gt;0,OFFSET(TblMagic[[#This Row],[Active Infernal Command]],-1,0)-1,0))</f>
        <v>0</v>
      </c>
    </row>
    <row r="107" spans="1:43" x14ac:dyDescent="0.2">
      <c r="A107" s="137">
        <f>TblRezone[[#This Row],[Hour]]</f>
        <v>104</v>
      </c>
      <c r="B107" s="154">
        <f ca="1">TblConstr[[#This Row],[Land]]</f>
        <v>50</v>
      </c>
      <c r="C107" s="94">
        <f ca="1">TblProd[[#This Row],[Mana]]</f>
        <v>0</v>
      </c>
      <c r="D107" s="156">
        <f ca="1">MIN(1,OFFSET(TblMagic[[#This Row],[Wiz str]],-1,0)+0.04+ROUNDDOWN(10*OFFSET(TblMili[[#This Row],[WG''s]],-1,0),0)+ tech_2_7*OFFSET(TblTech[[#This Row],[2-7]],-1,0) + tech_5_6*OFFSET(TblTech[[#This Row],[5-6]],-1,0) )-TblMagic[[#This Row],[Wiz str cost]]</f>
        <v>1</v>
      </c>
      <c r="E107" s="159">
        <f ca="1">OFFSET(TblMagic[[#This Row],[Time]],-1,0)+1/24</f>
        <v>46324.291666666417</v>
      </c>
      <c r="F107" s="156">
        <f ca="1">TblImps[[#This Row],[Population]]</f>
        <v>1</v>
      </c>
      <c r="G107" s="218"/>
      <c r="H107" s="218"/>
      <c r="I107" s="218"/>
      <c r="J107" s="218"/>
      <c r="K107" s="405"/>
      <c r="L107" s="218"/>
      <c r="M107" s="218"/>
      <c r="N107" s="218"/>
      <c r="O107" s="218"/>
      <c r="P107" s="218"/>
      <c r="Q107" s="218"/>
      <c r="R107" s="218"/>
      <c r="S107" s="218"/>
      <c r="T107" s="218"/>
      <c r="U107" s="218"/>
      <c r="V107" s="218"/>
      <c r="W107" s="218"/>
      <c r="X107" s="142"/>
      <c r="Y10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7" s="156">
        <f>SUMIF(TblMagic[[#This Row],[Gaia''s Watch]:[Useless spell]],1)*0.05</f>
        <v>0</v>
      </c>
      <c r="AA107" s="142"/>
      <c r="AB107" s="57">
        <f ca="1">IF(TblMagic[[#This Row],[Gaia''s Watch]],12,IF(OFFSET(TblMagic[[#This Row],[Active Gaia''s Watch]],-1,0)&gt;0,OFFSET(TblMagic[[#This Row],[Active Gaia''s Watch]],-1,0)-1,0))</f>
        <v>0</v>
      </c>
      <c r="AC107" s="57">
        <f ca="1">IF(TblMagic[[#This Row],[Mining Strength]],12,IF(OFFSET(TblMagic[[#This Row],[Active Mining Strength]],-1,0)&gt;0,OFFSET(TblMagic[[#This Row],[Active Mining Strength]],-1,0)-1,0))</f>
        <v>0</v>
      </c>
      <c r="AD107" s="57">
        <f ca="1">IF(TblMagic[[#This Row],[Ares Call]],12,IF(OFFSET(TblMagic[[#This Row],[Active Ares Call]],-1,0)&gt;0,OFFSET(TblMagic[[#This Row],[Active Ares Call]],-1,0)-1,0))</f>
        <v>0</v>
      </c>
      <c r="AE107" s="57">
        <f ca="1">IF(TblMagic[[#This Row],[Midas Touch]],12,IF(OFFSET(TblMagic[[#This Row],[Active Midas Touch]],-1,0)&gt;0,OFFSET(TblMagic[[#This Row],[Active Midas Touch]],-1,0)-1,0))</f>
        <v>0</v>
      </c>
      <c r="AF107" s="57">
        <f ca="1">IF(TblMagic[[#This Row],[Harmony]],12,IF(OFFSET(TblMagic[[#This Row],[Active Harmony]],-1,0)&gt;0,OFFSET(TblMagic[[#This Row],[Active Harmony]],-1,0)-1,0))</f>
        <v>0</v>
      </c>
      <c r="AG107" s="57">
        <f ca="1">IF(TblMagic[[#This Row],[Miner''s Sight]],12,IF(OFFSET(TblMagic[[#This Row],[Active Miner''s Sight]],-1,0)&gt;0,OFFSET(TblMagic[[#This Row],[Active Miner''s Sight]],-1,0)-1,0))</f>
        <v>0</v>
      </c>
      <c r="AH107" s="57">
        <f ca="1">IF(TblMagic[[#This Row],[Mechanical Genius]],12,IF(OFFSET(TblMagic[[#This Row],[Active Mechanical Genius]],-1,0)&gt;0,OFFSET(TblMagic[[#This Row],[Active Mechanical Genius]],-1,0)-1,0))</f>
        <v>0</v>
      </c>
      <c r="AI107" s="57">
        <f ca="1">IF(TblMagic[[#This Row],[Death and Decay]],12,IF(OFFSET(TblMagic[[#This Row],[Active DnD]],-1,0)&gt;0,OFFSET(TblMagic[[#This Row],[Active DnD]],-1,0)-1,0))</f>
        <v>0</v>
      </c>
      <c r="AJ107" s="57">
        <f ca="1">IF(TblMagic[[#This Row],[Killing Rage / Bloodrage / Crusade]],12,IF(OFFSET(TblMagic[[#This Row],[Active Warsong / Killing Rage / Bloodrage]],-1,0)&gt;0,OFFSET(TblMagic[[#This Row],[Active Warsong / Killing Rage / Bloodrage]],-1,0)-1,0))</f>
        <v>0</v>
      </c>
      <c r="AK107" s="57">
        <f ca="1">IF(TblMagic[[#This Row],[Gaia''s Blessing]],12,IF(OFFSET(TblMagic[[#This Row],[Active Gaia''s Blessing]],-1,0)&gt;0,OFFSET(TblMagic[[#This Row],[Active Gaia''s Blessing]],-1,0)-1,0))</f>
        <v>0</v>
      </c>
      <c r="AL107" s="57">
        <f ca="1">IF(TblMagic[[#This Row],[Howling]],12,IF(OFFSET(TblMagic[[#This Row],[Active Howling]],-1,0)&gt;0,OFFSET(TblMagic[[#This Row],[Active Howling]],-1,0)-1,0))</f>
        <v>0</v>
      </c>
      <c r="AM107" s="57">
        <f ca="1">IF(TblMagic[[#This Row],[Arcane Infusion]],12,IF(OFFSET(TblMagic[[#This Row],[Active Arc Infusion]],-1,0)&gt;0,OFFSET(TblMagic[[#This Row],[Active Arc Infusion]],-1,0)-1,0))</f>
        <v>0</v>
      </c>
      <c r="AN107" s="57">
        <f ca="1">IF(TblMagic[[#This Row],[Alchemists Flame]],12,IF(OFFSET(TblMagic[[#This Row],[Active Alchemists Flame]],-1,0)&gt;0,OFFSET(TblMagic[[#This Row],[Active Alchemists Flame]],-1,0)-1,0))</f>
        <v>0</v>
      </c>
      <c r="AO107" s="57">
        <f ca="1">IF(TblMagic[[#This Row],[Nightfall]],12,IF(OFFSET(TblMagic[[#This Row],[Active Nightfall]],-1,0)&gt;0,OFFSET(TblMagic[[#This Row],[Active Nightfall]],-1,0)-1,0))</f>
        <v>0</v>
      </c>
      <c r="AP107" s="57">
        <f ca="1">IF(TblMagic[[#This Row],[Favorable Terrain]],12,IF(OFFSET(TblMagic[[#This Row],[Active Favorable Terrain]],-1,0)&gt;0,OFFSET(TblMagic[[#This Row],[Active Favorable Terrain]],-1,0)-1,0))</f>
        <v>0</v>
      </c>
      <c r="AQ107" s="57">
        <f ca="1">IF(TblMagic[[#This Row],[Infernal Command]],12,IF(OFFSET(TblMagic[[#This Row],[Active Infernal Command]],-1,0)&gt;0,OFFSET(TblMagic[[#This Row],[Active Infernal Command]],-1,0)-1,0))</f>
        <v>0</v>
      </c>
    </row>
    <row r="108" spans="1:43" x14ac:dyDescent="0.2">
      <c r="A108" s="137">
        <f>TblRezone[[#This Row],[Hour]]</f>
        <v>105</v>
      </c>
      <c r="B108" s="154">
        <f ca="1">TblConstr[[#This Row],[Land]]</f>
        <v>50</v>
      </c>
      <c r="C108" s="94">
        <f ca="1">TblProd[[#This Row],[Mana]]</f>
        <v>0</v>
      </c>
      <c r="D108" s="156">
        <f ca="1">MIN(1,OFFSET(TblMagic[[#This Row],[Wiz str]],-1,0)+0.04+ROUNDDOWN(10*OFFSET(TblMili[[#This Row],[WG''s]],-1,0),0)+ tech_2_7*OFFSET(TblTech[[#This Row],[2-7]],-1,0) + tech_5_6*OFFSET(TblTech[[#This Row],[5-6]],-1,0) )-TblMagic[[#This Row],[Wiz str cost]]</f>
        <v>1</v>
      </c>
      <c r="E108" s="159">
        <f ca="1">OFFSET(TblMagic[[#This Row],[Time]],-1,0)+1/24</f>
        <v>46324.333333333081</v>
      </c>
      <c r="F108" s="156">
        <f ca="1">TblImps[[#This Row],[Population]]</f>
        <v>1</v>
      </c>
      <c r="G108" s="218"/>
      <c r="H108" s="218"/>
      <c r="I108" s="218"/>
      <c r="J108" s="218"/>
      <c r="K108" s="405"/>
      <c r="L108" s="218"/>
      <c r="M108" s="218"/>
      <c r="N108" s="218"/>
      <c r="O108" s="218"/>
      <c r="P108" s="218"/>
      <c r="Q108" s="218"/>
      <c r="R108" s="218"/>
      <c r="S108" s="218"/>
      <c r="T108" s="218"/>
      <c r="U108" s="218"/>
      <c r="V108" s="218"/>
      <c r="W108" s="218"/>
      <c r="X108" s="142"/>
      <c r="Y10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8" s="156">
        <f>SUMIF(TblMagic[[#This Row],[Gaia''s Watch]:[Useless spell]],1)*0.05</f>
        <v>0</v>
      </c>
      <c r="AA108" s="142"/>
      <c r="AB108" s="57">
        <f ca="1">IF(TblMagic[[#This Row],[Gaia''s Watch]],12,IF(OFFSET(TblMagic[[#This Row],[Active Gaia''s Watch]],-1,0)&gt;0,OFFSET(TblMagic[[#This Row],[Active Gaia''s Watch]],-1,0)-1,0))</f>
        <v>0</v>
      </c>
      <c r="AC108" s="57">
        <f ca="1">IF(TblMagic[[#This Row],[Mining Strength]],12,IF(OFFSET(TblMagic[[#This Row],[Active Mining Strength]],-1,0)&gt;0,OFFSET(TblMagic[[#This Row],[Active Mining Strength]],-1,0)-1,0))</f>
        <v>0</v>
      </c>
      <c r="AD108" s="57">
        <f ca="1">IF(TblMagic[[#This Row],[Ares Call]],12,IF(OFFSET(TblMagic[[#This Row],[Active Ares Call]],-1,0)&gt;0,OFFSET(TblMagic[[#This Row],[Active Ares Call]],-1,0)-1,0))</f>
        <v>0</v>
      </c>
      <c r="AE108" s="57">
        <f ca="1">IF(TblMagic[[#This Row],[Midas Touch]],12,IF(OFFSET(TblMagic[[#This Row],[Active Midas Touch]],-1,0)&gt;0,OFFSET(TblMagic[[#This Row],[Active Midas Touch]],-1,0)-1,0))</f>
        <v>0</v>
      </c>
      <c r="AF108" s="57">
        <f ca="1">IF(TblMagic[[#This Row],[Harmony]],12,IF(OFFSET(TblMagic[[#This Row],[Active Harmony]],-1,0)&gt;0,OFFSET(TblMagic[[#This Row],[Active Harmony]],-1,0)-1,0))</f>
        <v>0</v>
      </c>
      <c r="AG108" s="57">
        <f ca="1">IF(TblMagic[[#This Row],[Miner''s Sight]],12,IF(OFFSET(TblMagic[[#This Row],[Active Miner''s Sight]],-1,0)&gt;0,OFFSET(TblMagic[[#This Row],[Active Miner''s Sight]],-1,0)-1,0))</f>
        <v>0</v>
      </c>
      <c r="AH108" s="57">
        <f ca="1">IF(TblMagic[[#This Row],[Mechanical Genius]],12,IF(OFFSET(TblMagic[[#This Row],[Active Mechanical Genius]],-1,0)&gt;0,OFFSET(TblMagic[[#This Row],[Active Mechanical Genius]],-1,0)-1,0))</f>
        <v>0</v>
      </c>
      <c r="AI108" s="57">
        <f ca="1">IF(TblMagic[[#This Row],[Death and Decay]],12,IF(OFFSET(TblMagic[[#This Row],[Active DnD]],-1,0)&gt;0,OFFSET(TblMagic[[#This Row],[Active DnD]],-1,0)-1,0))</f>
        <v>0</v>
      </c>
      <c r="AJ108" s="57">
        <f ca="1">IF(TblMagic[[#This Row],[Killing Rage / Bloodrage / Crusade]],12,IF(OFFSET(TblMagic[[#This Row],[Active Warsong / Killing Rage / Bloodrage]],-1,0)&gt;0,OFFSET(TblMagic[[#This Row],[Active Warsong / Killing Rage / Bloodrage]],-1,0)-1,0))</f>
        <v>0</v>
      </c>
      <c r="AK108" s="57">
        <f ca="1">IF(TblMagic[[#This Row],[Gaia''s Blessing]],12,IF(OFFSET(TblMagic[[#This Row],[Active Gaia''s Blessing]],-1,0)&gt;0,OFFSET(TblMagic[[#This Row],[Active Gaia''s Blessing]],-1,0)-1,0))</f>
        <v>0</v>
      </c>
      <c r="AL108" s="57">
        <f ca="1">IF(TblMagic[[#This Row],[Howling]],12,IF(OFFSET(TblMagic[[#This Row],[Active Howling]],-1,0)&gt;0,OFFSET(TblMagic[[#This Row],[Active Howling]],-1,0)-1,0))</f>
        <v>0</v>
      </c>
      <c r="AM108" s="57">
        <f ca="1">IF(TblMagic[[#This Row],[Arcane Infusion]],12,IF(OFFSET(TblMagic[[#This Row],[Active Arc Infusion]],-1,0)&gt;0,OFFSET(TblMagic[[#This Row],[Active Arc Infusion]],-1,0)-1,0))</f>
        <v>0</v>
      </c>
      <c r="AN108" s="57">
        <f ca="1">IF(TblMagic[[#This Row],[Alchemists Flame]],12,IF(OFFSET(TblMagic[[#This Row],[Active Alchemists Flame]],-1,0)&gt;0,OFFSET(TblMagic[[#This Row],[Active Alchemists Flame]],-1,0)-1,0))</f>
        <v>0</v>
      </c>
      <c r="AO108" s="57">
        <f ca="1">IF(TblMagic[[#This Row],[Nightfall]],12,IF(OFFSET(TblMagic[[#This Row],[Active Nightfall]],-1,0)&gt;0,OFFSET(TblMagic[[#This Row],[Active Nightfall]],-1,0)-1,0))</f>
        <v>0</v>
      </c>
      <c r="AP108" s="57">
        <f ca="1">IF(TblMagic[[#This Row],[Favorable Terrain]],12,IF(OFFSET(TblMagic[[#This Row],[Active Favorable Terrain]],-1,0)&gt;0,OFFSET(TblMagic[[#This Row],[Active Favorable Terrain]],-1,0)-1,0))</f>
        <v>0</v>
      </c>
      <c r="AQ108" s="57">
        <f ca="1">IF(TblMagic[[#This Row],[Infernal Command]],12,IF(OFFSET(TblMagic[[#This Row],[Active Infernal Command]],-1,0)&gt;0,OFFSET(TblMagic[[#This Row],[Active Infernal Command]],-1,0)-1,0))</f>
        <v>0</v>
      </c>
    </row>
    <row r="109" spans="1:43" x14ac:dyDescent="0.2">
      <c r="A109" s="137">
        <f>TblRezone[[#This Row],[Hour]]</f>
        <v>106</v>
      </c>
      <c r="B109" s="154">
        <f ca="1">TblConstr[[#This Row],[Land]]</f>
        <v>50</v>
      </c>
      <c r="C109" s="94">
        <f ca="1">TblProd[[#This Row],[Mana]]</f>
        <v>0</v>
      </c>
      <c r="D109" s="156">
        <f ca="1">MIN(1,OFFSET(TblMagic[[#This Row],[Wiz str]],-1,0)+0.04+ROUNDDOWN(10*OFFSET(TblMili[[#This Row],[WG''s]],-1,0),0)+ tech_2_7*OFFSET(TblTech[[#This Row],[2-7]],-1,0) + tech_5_6*OFFSET(TblTech[[#This Row],[5-6]],-1,0) )-TblMagic[[#This Row],[Wiz str cost]]</f>
        <v>1</v>
      </c>
      <c r="E109" s="159">
        <f ca="1">OFFSET(TblMagic[[#This Row],[Time]],-1,0)+1/24</f>
        <v>46324.374999999745</v>
      </c>
      <c r="F109" s="156">
        <f ca="1">TblImps[[#This Row],[Population]]</f>
        <v>1</v>
      </c>
      <c r="G109" s="218"/>
      <c r="H109" s="218"/>
      <c r="I109" s="218"/>
      <c r="J109" s="218"/>
      <c r="K109" s="405"/>
      <c r="L109" s="218"/>
      <c r="M109" s="218"/>
      <c r="N109" s="218"/>
      <c r="O109" s="218"/>
      <c r="P109" s="218"/>
      <c r="Q109" s="218"/>
      <c r="R109" s="218"/>
      <c r="S109" s="218"/>
      <c r="T109" s="218"/>
      <c r="U109" s="218"/>
      <c r="V109" s="218"/>
      <c r="W109" s="218"/>
      <c r="X109" s="142"/>
      <c r="Y10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9" s="156">
        <f>SUMIF(TblMagic[[#This Row],[Gaia''s Watch]:[Useless spell]],1)*0.05</f>
        <v>0</v>
      </c>
      <c r="AA109" s="142"/>
      <c r="AB109" s="57">
        <f ca="1">IF(TblMagic[[#This Row],[Gaia''s Watch]],12,IF(OFFSET(TblMagic[[#This Row],[Active Gaia''s Watch]],-1,0)&gt;0,OFFSET(TblMagic[[#This Row],[Active Gaia''s Watch]],-1,0)-1,0))</f>
        <v>0</v>
      </c>
      <c r="AC109" s="57">
        <f ca="1">IF(TblMagic[[#This Row],[Mining Strength]],12,IF(OFFSET(TblMagic[[#This Row],[Active Mining Strength]],-1,0)&gt;0,OFFSET(TblMagic[[#This Row],[Active Mining Strength]],-1,0)-1,0))</f>
        <v>0</v>
      </c>
      <c r="AD109" s="57">
        <f ca="1">IF(TblMagic[[#This Row],[Ares Call]],12,IF(OFFSET(TblMagic[[#This Row],[Active Ares Call]],-1,0)&gt;0,OFFSET(TblMagic[[#This Row],[Active Ares Call]],-1,0)-1,0))</f>
        <v>0</v>
      </c>
      <c r="AE109" s="57">
        <f ca="1">IF(TblMagic[[#This Row],[Midas Touch]],12,IF(OFFSET(TblMagic[[#This Row],[Active Midas Touch]],-1,0)&gt;0,OFFSET(TblMagic[[#This Row],[Active Midas Touch]],-1,0)-1,0))</f>
        <v>0</v>
      </c>
      <c r="AF109" s="57">
        <f ca="1">IF(TblMagic[[#This Row],[Harmony]],12,IF(OFFSET(TblMagic[[#This Row],[Active Harmony]],-1,0)&gt;0,OFFSET(TblMagic[[#This Row],[Active Harmony]],-1,0)-1,0))</f>
        <v>0</v>
      </c>
      <c r="AG109" s="57">
        <f ca="1">IF(TblMagic[[#This Row],[Miner''s Sight]],12,IF(OFFSET(TblMagic[[#This Row],[Active Miner''s Sight]],-1,0)&gt;0,OFFSET(TblMagic[[#This Row],[Active Miner''s Sight]],-1,0)-1,0))</f>
        <v>0</v>
      </c>
      <c r="AH109" s="57">
        <f ca="1">IF(TblMagic[[#This Row],[Mechanical Genius]],12,IF(OFFSET(TblMagic[[#This Row],[Active Mechanical Genius]],-1,0)&gt;0,OFFSET(TblMagic[[#This Row],[Active Mechanical Genius]],-1,0)-1,0))</f>
        <v>0</v>
      </c>
      <c r="AI109" s="57">
        <f ca="1">IF(TblMagic[[#This Row],[Death and Decay]],12,IF(OFFSET(TblMagic[[#This Row],[Active DnD]],-1,0)&gt;0,OFFSET(TblMagic[[#This Row],[Active DnD]],-1,0)-1,0))</f>
        <v>0</v>
      </c>
      <c r="AJ109" s="57">
        <f ca="1">IF(TblMagic[[#This Row],[Killing Rage / Bloodrage / Crusade]],12,IF(OFFSET(TblMagic[[#This Row],[Active Warsong / Killing Rage / Bloodrage]],-1,0)&gt;0,OFFSET(TblMagic[[#This Row],[Active Warsong / Killing Rage / Bloodrage]],-1,0)-1,0))</f>
        <v>0</v>
      </c>
      <c r="AK109" s="57">
        <f ca="1">IF(TblMagic[[#This Row],[Gaia''s Blessing]],12,IF(OFFSET(TblMagic[[#This Row],[Active Gaia''s Blessing]],-1,0)&gt;0,OFFSET(TblMagic[[#This Row],[Active Gaia''s Blessing]],-1,0)-1,0))</f>
        <v>0</v>
      </c>
      <c r="AL109" s="57">
        <f ca="1">IF(TblMagic[[#This Row],[Howling]],12,IF(OFFSET(TblMagic[[#This Row],[Active Howling]],-1,0)&gt;0,OFFSET(TblMagic[[#This Row],[Active Howling]],-1,0)-1,0))</f>
        <v>0</v>
      </c>
      <c r="AM109" s="57">
        <f ca="1">IF(TblMagic[[#This Row],[Arcane Infusion]],12,IF(OFFSET(TblMagic[[#This Row],[Active Arc Infusion]],-1,0)&gt;0,OFFSET(TblMagic[[#This Row],[Active Arc Infusion]],-1,0)-1,0))</f>
        <v>0</v>
      </c>
      <c r="AN109" s="57">
        <f ca="1">IF(TblMagic[[#This Row],[Alchemists Flame]],12,IF(OFFSET(TblMagic[[#This Row],[Active Alchemists Flame]],-1,0)&gt;0,OFFSET(TblMagic[[#This Row],[Active Alchemists Flame]],-1,0)-1,0))</f>
        <v>0</v>
      </c>
      <c r="AO109" s="57">
        <f ca="1">IF(TblMagic[[#This Row],[Nightfall]],12,IF(OFFSET(TblMagic[[#This Row],[Active Nightfall]],-1,0)&gt;0,OFFSET(TblMagic[[#This Row],[Active Nightfall]],-1,0)-1,0))</f>
        <v>0</v>
      </c>
      <c r="AP109" s="57">
        <f ca="1">IF(TblMagic[[#This Row],[Favorable Terrain]],12,IF(OFFSET(TblMagic[[#This Row],[Active Favorable Terrain]],-1,0)&gt;0,OFFSET(TblMagic[[#This Row],[Active Favorable Terrain]],-1,0)-1,0))</f>
        <v>0</v>
      </c>
      <c r="AQ109" s="57">
        <f ca="1">IF(TblMagic[[#This Row],[Infernal Command]],12,IF(OFFSET(TblMagic[[#This Row],[Active Infernal Command]],-1,0)&gt;0,OFFSET(TblMagic[[#This Row],[Active Infernal Command]],-1,0)-1,0))</f>
        <v>0</v>
      </c>
    </row>
    <row r="110" spans="1:43" x14ac:dyDescent="0.2">
      <c r="A110" s="137">
        <f>TblRezone[[#This Row],[Hour]]</f>
        <v>107</v>
      </c>
      <c r="B110" s="154">
        <f ca="1">TblConstr[[#This Row],[Land]]</f>
        <v>50</v>
      </c>
      <c r="C110" s="94">
        <f ca="1">TblProd[[#This Row],[Mana]]</f>
        <v>0</v>
      </c>
      <c r="D110" s="156">
        <f ca="1">MIN(1,OFFSET(TblMagic[[#This Row],[Wiz str]],-1,0)+0.04+ROUNDDOWN(10*OFFSET(TblMili[[#This Row],[WG''s]],-1,0),0)+ tech_2_7*OFFSET(TblTech[[#This Row],[2-7]],-1,0) + tech_5_6*OFFSET(TblTech[[#This Row],[5-6]],-1,0) )-TblMagic[[#This Row],[Wiz str cost]]</f>
        <v>1</v>
      </c>
      <c r="E110" s="159">
        <f ca="1">OFFSET(TblMagic[[#This Row],[Time]],-1,0)+1/24</f>
        <v>46324.41666666641</v>
      </c>
      <c r="F110" s="156">
        <f ca="1">TblImps[[#This Row],[Population]]</f>
        <v>1</v>
      </c>
      <c r="G110" s="218"/>
      <c r="H110" s="218"/>
      <c r="I110" s="218"/>
      <c r="J110" s="218"/>
      <c r="K110" s="405"/>
      <c r="L110" s="218"/>
      <c r="M110" s="218"/>
      <c r="N110" s="218"/>
      <c r="O110" s="218"/>
      <c r="P110" s="218"/>
      <c r="Q110" s="218"/>
      <c r="R110" s="218"/>
      <c r="S110" s="218"/>
      <c r="T110" s="218"/>
      <c r="U110" s="218"/>
      <c r="V110" s="218"/>
      <c r="W110" s="218"/>
      <c r="X110" s="142"/>
      <c r="Y11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0" s="156">
        <f>SUMIF(TblMagic[[#This Row],[Gaia''s Watch]:[Useless spell]],1)*0.05</f>
        <v>0</v>
      </c>
      <c r="AA110" s="142"/>
      <c r="AB110" s="57">
        <f ca="1">IF(TblMagic[[#This Row],[Gaia''s Watch]],12,IF(OFFSET(TblMagic[[#This Row],[Active Gaia''s Watch]],-1,0)&gt;0,OFFSET(TblMagic[[#This Row],[Active Gaia''s Watch]],-1,0)-1,0))</f>
        <v>0</v>
      </c>
      <c r="AC110" s="57">
        <f ca="1">IF(TblMagic[[#This Row],[Mining Strength]],12,IF(OFFSET(TblMagic[[#This Row],[Active Mining Strength]],-1,0)&gt;0,OFFSET(TblMagic[[#This Row],[Active Mining Strength]],-1,0)-1,0))</f>
        <v>0</v>
      </c>
      <c r="AD110" s="57">
        <f ca="1">IF(TblMagic[[#This Row],[Ares Call]],12,IF(OFFSET(TblMagic[[#This Row],[Active Ares Call]],-1,0)&gt;0,OFFSET(TblMagic[[#This Row],[Active Ares Call]],-1,0)-1,0))</f>
        <v>0</v>
      </c>
      <c r="AE110" s="57">
        <f ca="1">IF(TblMagic[[#This Row],[Midas Touch]],12,IF(OFFSET(TblMagic[[#This Row],[Active Midas Touch]],-1,0)&gt;0,OFFSET(TblMagic[[#This Row],[Active Midas Touch]],-1,0)-1,0))</f>
        <v>0</v>
      </c>
      <c r="AF110" s="57">
        <f ca="1">IF(TblMagic[[#This Row],[Harmony]],12,IF(OFFSET(TblMagic[[#This Row],[Active Harmony]],-1,0)&gt;0,OFFSET(TblMagic[[#This Row],[Active Harmony]],-1,0)-1,0))</f>
        <v>0</v>
      </c>
      <c r="AG110" s="57">
        <f ca="1">IF(TblMagic[[#This Row],[Miner''s Sight]],12,IF(OFFSET(TblMagic[[#This Row],[Active Miner''s Sight]],-1,0)&gt;0,OFFSET(TblMagic[[#This Row],[Active Miner''s Sight]],-1,0)-1,0))</f>
        <v>0</v>
      </c>
      <c r="AH110" s="57">
        <f ca="1">IF(TblMagic[[#This Row],[Mechanical Genius]],12,IF(OFFSET(TblMagic[[#This Row],[Active Mechanical Genius]],-1,0)&gt;0,OFFSET(TblMagic[[#This Row],[Active Mechanical Genius]],-1,0)-1,0))</f>
        <v>0</v>
      </c>
      <c r="AI110" s="57">
        <f ca="1">IF(TblMagic[[#This Row],[Death and Decay]],12,IF(OFFSET(TblMagic[[#This Row],[Active DnD]],-1,0)&gt;0,OFFSET(TblMagic[[#This Row],[Active DnD]],-1,0)-1,0))</f>
        <v>0</v>
      </c>
      <c r="AJ110" s="57">
        <f ca="1">IF(TblMagic[[#This Row],[Killing Rage / Bloodrage / Crusade]],12,IF(OFFSET(TblMagic[[#This Row],[Active Warsong / Killing Rage / Bloodrage]],-1,0)&gt;0,OFFSET(TblMagic[[#This Row],[Active Warsong / Killing Rage / Bloodrage]],-1,0)-1,0))</f>
        <v>0</v>
      </c>
      <c r="AK110" s="57">
        <f ca="1">IF(TblMagic[[#This Row],[Gaia''s Blessing]],12,IF(OFFSET(TblMagic[[#This Row],[Active Gaia''s Blessing]],-1,0)&gt;0,OFFSET(TblMagic[[#This Row],[Active Gaia''s Blessing]],-1,0)-1,0))</f>
        <v>0</v>
      </c>
      <c r="AL110" s="57">
        <f ca="1">IF(TblMagic[[#This Row],[Howling]],12,IF(OFFSET(TblMagic[[#This Row],[Active Howling]],-1,0)&gt;0,OFFSET(TblMagic[[#This Row],[Active Howling]],-1,0)-1,0))</f>
        <v>0</v>
      </c>
      <c r="AM110" s="57">
        <f ca="1">IF(TblMagic[[#This Row],[Arcane Infusion]],12,IF(OFFSET(TblMagic[[#This Row],[Active Arc Infusion]],-1,0)&gt;0,OFFSET(TblMagic[[#This Row],[Active Arc Infusion]],-1,0)-1,0))</f>
        <v>0</v>
      </c>
      <c r="AN110" s="57">
        <f ca="1">IF(TblMagic[[#This Row],[Alchemists Flame]],12,IF(OFFSET(TblMagic[[#This Row],[Active Alchemists Flame]],-1,0)&gt;0,OFFSET(TblMagic[[#This Row],[Active Alchemists Flame]],-1,0)-1,0))</f>
        <v>0</v>
      </c>
      <c r="AO110" s="57">
        <f ca="1">IF(TblMagic[[#This Row],[Nightfall]],12,IF(OFFSET(TblMagic[[#This Row],[Active Nightfall]],-1,0)&gt;0,OFFSET(TblMagic[[#This Row],[Active Nightfall]],-1,0)-1,0))</f>
        <v>0</v>
      </c>
      <c r="AP110" s="57">
        <f ca="1">IF(TblMagic[[#This Row],[Favorable Terrain]],12,IF(OFFSET(TblMagic[[#This Row],[Active Favorable Terrain]],-1,0)&gt;0,OFFSET(TblMagic[[#This Row],[Active Favorable Terrain]],-1,0)-1,0))</f>
        <v>0</v>
      </c>
      <c r="AQ110" s="57">
        <f ca="1">IF(TblMagic[[#This Row],[Infernal Command]],12,IF(OFFSET(TblMagic[[#This Row],[Active Infernal Command]],-1,0)&gt;0,OFFSET(TblMagic[[#This Row],[Active Infernal Command]],-1,0)-1,0))</f>
        <v>0</v>
      </c>
    </row>
    <row r="111" spans="1:43" x14ac:dyDescent="0.2">
      <c r="A111" s="137">
        <f>TblRezone[[#This Row],[Hour]]</f>
        <v>108</v>
      </c>
      <c r="B111" s="154">
        <f ca="1">TblConstr[[#This Row],[Land]]</f>
        <v>50</v>
      </c>
      <c r="C111" s="94">
        <f ca="1">TblProd[[#This Row],[Mana]]</f>
        <v>0</v>
      </c>
      <c r="D111" s="156">
        <f ca="1">MIN(1,OFFSET(TblMagic[[#This Row],[Wiz str]],-1,0)+0.04+ROUNDDOWN(10*OFFSET(TblMili[[#This Row],[WG''s]],-1,0),0)+ tech_2_7*OFFSET(TblTech[[#This Row],[2-7]],-1,0) + tech_5_6*OFFSET(TblTech[[#This Row],[5-6]],-1,0) )-TblMagic[[#This Row],[Wiz str cost]]</f>
        <v>1</v>
      </c>
      <c r="E111" s="159">
        <f ca="1">OFFSET(TblMagic[[#This Row],[Time]],-1,0)+1/24</f>
        <v>46324.458333333074</v>
      </c>
      <c r="F111" s="156">
        <f ca="1">TblImps[[#This Row],[Population]]</f>
        <v>1</v>
      </c>
      <c r="G111" s="218"/>
      <c r="H111" s="218"/>
      <c r="I111" s="218"/>
      <c r="J111" s="218"/>
      <c r="K111" s="405"/>
      <c r="L111" s="218"/>
      <c r="M111" s="218"/>
      <c r="N111" s="218"/>
      <c r="O111" s="218"/>
      <c r="P111" s="218"/>
      <c r="Q111" s="218"/>
      <c r="R111" s="218"/>
      <c r="S111" s="218"/>
      <c r="T111" s="218"/>
      <c r="U111" s="218"/>
      <c r="V111" s="218"/>
      <c r="W111" s="218"/>
      <c r="X111" s="142"/>
      <c r="Y11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1" s="156">
        <f>SUMIF(TblMagic[[#This Row],[Gaia''s Watch]:[Useless spell]],1)*0.05</f>
        <v>0</v>
      </c>
      <c r="AA111" s="142"/>
      <c r="AB111" s="57">
        <f ca="1">IF(TblMagic[[#This Row],[Gaia''s Watch]],12,IF(OFFSET(TblMagic[[#This Row],[Active Gaia''s Watch]],-1,0)&gt;0,OFFSET(TblMagic[[#This Row],[Active Gaia''s Watch]],-1,0)-1,0))</f>
        <v>0</v>
      </c>
      <c r="AC111" s="57">
        <f ca="1">IF(TblMagic[[#This Row],[Mining Strength]],12,IF(OFFSET(TblMagic[[#This Row],[Active Mining Strength]],-1,0)&gt;0,OFFSET(TblMagic[[#This Row],[Active Mining Strength]],-1,0)-1,0))</f>
        <v>0</v>
      </c>
      <c r="AD111" s="57">
        <f ca="1">IF(TblMagic[[#This Row],[Ares Call]],12,IF(OFFSET(TblMagic[[#This Row],[Active Ares Call]],-1,0)&gt;0,OFFSET(TblMagic[[#This Row],[Active Ares Call]],-1,0)-1,0))</f>
        <v>0</v>
      </c>
      <c r="AE111" s="57">
        <f ca="1">IF(TblMagic[[#This Row],[Midas Touch]],12,IF(OFFSET(TblMagic[[#This Row],[Active Midas Touch]],-1,0)&gt;0,OFFSET(TblMagic[[#This Row],[Active Midas Touch]],-1,0)-1,0))</f>
        <v>0</v>
      </c>
      <c r="AF111" s="57">
        <f ca="1">IF(TblMagic[[#This Row],[Harmony]],12,IF(OFFSET(TblMagic[[#This Row],[Active Harmony]],-1,0)&gt;0,OFFSET(TblMagic[[#This Row],[Active Harmony]],-1,0)-1,0))</f>
        <v>0</v>
      </c>
      <c r="AG111" s="57">
        <f ca="1">IF(TblMagic[[#This Row],[Miner''s Sight]],12,IF(OFFSET(TblMagic[[#This Row],[Active Miner''s Sight]],-1,0)&gt;0,OFFSET(TblMagic[[#This Row],[Active Miner''s Sight]],-1,0)-1,0))</f>
        <v>0</v>
      </c>
      <c r="AH111" s="57">
        <f ca="1">IF(TblMagic[[#This Row],[Mechanical Genius]],12,IF(OFFSET(TblMagic[[#This Row],[Active Mechanical Genius]],-1,0)&gt;0,OFFSET(TblMagic[[#This Row],[Active Mechanical Genius]],-1,0)-1,0))</f>
        <v>0</v>
      </c>
      <c r="AI111" s="57">
        <f ca="1">IF(TblMagic[[#This Row],[Death and Decay]],12,IF(OFFSET(TblMagic[[#This Row],[Active DnD]],-1,0)&gt;0,OFFSET(TblMagic[[#This Row],[Active DnD]],-1,0)-1,0))</f>
        <v>0</v>
      </c>
      <c r="AJ111" s="57">
        <f ca="1">IF(TblMagic[[#This Row],[Killing Rage / Bloodrage / Crusade]],12,IF(OFFSET(TblMagic[[#This Row],[Active Warsong / Killing Rage / Bloodrage]],-1,0)&gt;0,OFFSET(TblMagic[[#This Row],[Active Warsong / Killing Rage / Bloodrage]],-1,0)-1,0))</f>
        <v>0</v>
      </c>
      <c r="AK111" s="57">
        <f ca="1">IF(TblMagic[[#This Row],[Gaia''s Blessing]],12,IF(OFFSET(TblMagic[[#This Row],[Active Gaia''s Blessing]],-1,0)&gt;0,OFFSET(TblMagic[[#This Row],[Active Gaia''s Blessing]],-1,0)-1,0))</f>
        <v>0</v>
      </c>
      <c r="AL111" s="57">
        <f ca="1">IF(TblMagic[[#This Row],[Howling]],12,IF(OFFSET(TblMagic[[#This Row],[Active Howling]],-1,0)&gt;0,OFFSET(TblMagic[[#This Row],[Active Howling]],-1,0)-1,0))</f>
        <v>0</v>
      </c>
      <c r="AM111" s="57">
        <f ca="1">IF(TblMagic[[#This Row],[Arcane Infusion]],12,IF(OFFSET(TblMagic[[#This Row],[Active Arc Infusion]],-1,0)&gt;0,OFFSET(TblMagic[[#This Row],[Active Arc Infusion]],-1,0)-1,0))</f>
        <v>0</v>
      </c>
      <c r="AN111" s="57">
        <f ca="1">IF(TblMagic[[#This Row],[Alchemists Flame]],12,IF(OFFSET(TblMagic[[#This Row],[Active Alchemists Flame]],-1,0)&gt;0,OFFSET(TblMagic[[#This Row],[Active Alchemists Flame]],-1,0)-1,0))</f>
        <v>0</v>
      </c>
      <c r="AO111" s="57">
        <f ca="1">IF(TblMagic[[#This Row],[Nightfall]],12,IF(OFFSET(TblMagic[[#This Row],[Active Nightfall]],-1,0)&gt;0,OFFSET(TblMagic[[#This Row],[Active Nightfall]],-1,0)-1,0))</f>
        <v>0</v>
      </c>
      <c r="AP111" s="57">
        <f ca="1">IF(TblMagic[[#This Row],[Favorable Terrain]],12,IF(OFFSET(TblMagic[[#This Row],[Active Favorable Terrain]],-1,0)&gt;0,OFFSET(TblMagic[[#This Row],[Active Favorable Terrain]],-1,0)-1,0))</f>
        <v>0</v>
      </c>
      <c r="AQ111" s="57">
        <f ca="1">IF(TblMagic[[#This Row],[Infernal Command]],12,IF(OFFSET(TblMagic[[#This Row],[Active Infernal Command]],-1,0)&gt;0,OFFSET(TblMagic[[#This Row],[Active Infernal Command]],-1,0)-1,0))</f>
        <v>0</v>
      </c>
    </row>
    <row r="112" spans="1:43" x14ac:dyDescent="0.2">
      <c r="A112" s="137">
        <f>TblRezone[[#This Row],[Hour]]</f>
        <v>109</v>
      </c>
      <c r="B112" s="154">
        <f ca="1">TblConstr[[#This Row],[Land]]</f>
        <v>50</v>
      </c>
      <c r="C112" s="94">
        <f ca="1">TblProd[[#This Row],[Mana]]</f>
        <v>0</v>
      </c>
      <c r="D112" s="156">
        <f ca="1">MIN(1,OFFSET(TblMagic[[#This Row],[Wiz str]],-1,0)+0.04+ROUNDDOWN(10*OFFSET(TblMili[[#This Row],[WG''s]],-1,0),0)+ tech_2_7*OFFSET(TblTech[[#This Row],[2-7]],-1,0) + tech_5_6*OFFSET(TblTech[[#This Row],[5-6]],-1,0) )-TblMagic[[#This Row],[Wiz str cost]]</f>
        <v>1</v>
      </c>
      <c r="E112" s="159">
        <f ca="1">OFFSET(TblMagic[[#This Row],[Time]],-1,0)+1/24</f>
        <v>46324.499999999738</v>
      </c>
      <c r="F112" s="156">
        <f ca="1">TblImps[[#This Row],[Population]]</f>
        <v>1</v>
      </c>
      <c r="G112" s="218"/>
      <c r="H112" s="218"/>
      <c r="I112" s="218"/>
      <c r="J112" s="218"/>
      <c r="K112" s="405"/>
      <c r="L112" s="218"/>
      <c r="M112" s="218"/>
      <c r="N112" s="218"/>
      <c r="O112" s="218"/>
      <c r="P112" s="218"/>
      <c r="Q112" s="218"/>
      <c r="R112" s="218"/>
      <c r="S112" s="218"/>
      <c r="T112" s="218"/>
      <c r="U112" s="218"/>
      <c r="V112" s="218"/>
      <c r="W112" s="218"/>
      <c r="X112" s="142"/>
      <c r="Y11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2" s="156">
        <f>SUMIF(TblMagic[[#This Row],[Gaia''s Watch]:[Useless spell]],1)*0.05</f>
        <v>0</v>
      </c>
      <c r="AA112" s="142"/>
      <c r="AB112" s="57">
        <f ca="1">IF(TblMagic[[#This Row],[Gaia''s Watch]],12,IF(OFFSET(TblMagic[[#This Row],[Active Gaia''s Watch]],-1,0)&gt;0,OFFSET(TblMagic[[#This Row],[Active Gaia''s Watch]],-1,0)-1,0))</f>
        <v>0</v>
      </c>
      <c r="AC112" s="57">
        <f ca="1">IF(TblMagic[[#This Row],[Mining Strength]],12,IF(OFFSET(TblMagic[[#This Row],[Active Mining Strength]],-1,0)&gt;0,OFFSET(TblMagic[[#This Row],[Active Mining Strength]],-1,0)-1,0))</f>
        <v>0</v>
      </c>
      <c r="AD112" s="57">
        <f ca="1">IF(TblMagic[[#This Row],[Ares Call]],12,IF(OFFSET(TblMagic[[#This Row],[Active Ares Call]],-1,0)&gt;0,OFFSET(TblMagic[[#This Row],[Active Ares Call]],-1,0)-1,0))</f>
        <v>0</v>
      </c>
      <c r="AE112" s="57">
        <f ca="1">IF(TblMagic[[#This Row],[Midas Touch]],12,IF(OFFSET(TblMagic[[#This Row],[Active Midas Touch]],-1,0)&gt;0,OFFSET(TblMagic[[#This Row],[Active Midas Touch]],-1,0)-1,0))</f>
        <v>0</v>
      </c>
      <c r="AF112" s="57">
        <f ca="1">IF(TblMagic[[#This Row],[Harmony]],12,IF(OFFSET(TblMagic[[#This Row],[Active Harmony]],-1,0)&gt;0,OFFSET(TblMagic[[#This Row],[Active Harmony]],-1,0)-1,0))</f>
        <v>0</v>
      </c>
      <c r="AG112" s="57">
        <f ca="1">IF(TblMagic[[#This Row],[Miner''s Sight]],12,IF(OFFSET(TblMagic[[#This Row],[Active Miner''s Sight]],-1,0)&gt;0,OFFSET(TblMagic[[#This Row],[Active Miner''s Sight]],-1,0)-1,0))</f>
        <v>0</v>
      </c>
      <c r="AH112" s="57">
        <f ca="1">IF(TblMagic[[#This Row],[Mechanical Genius]],12,IF(OFFSET(TblMagic[[#This Row],[Active Mechanical Genius]],-1,0)&gt;0,OFFSET(TblMagic[[#This Row],[Active Mechanical Genius]],-1,0)-1,0))</f>
        <v>0</v>
      </c>
      <c r="AI112" s="57">
        <f ca="1">IF(TblMagic[[#This Row],[Death and Decay]],12,IF(OFFSET(TblMagic[[#This Row],[Active DnD]],-1,0)&gt;0,OFFSET(TblMagic[[#This Row],[Active DnD]],-1,0)-1,0))</f>
        <v>0</v>
      </c>
      <c r="AJ112" s="57">
        <f ca="1">IF(TblMagic[[#This Row],[Killing Rage / Bloodrage / Crusade]],12,IF(OFFSET(TblMagic[[#This Row],[Active Warsong / Killing Rage / Bloodrage]],-1,0)&gt;0,OFFSET(TblMagic[[#This Row],[Active Warsong / Killing Rage / Bloodrage]],-1,0)-1,0))</f>
        <v>0</v>
      </c>
      <c r="AK112" s="57">
        <f ca="1">IF(TblMagic[[#This Row],[Gaia''s Blessing]],12,IF(OFFSET(TblMagic[[#This Row],[Active Gaia''s Blessing]],-1,0)&gt;0,OFFSET(TblMagic[[#This Row],[Active Gaia''s Blessing]],-1,0)-1,0))</f>
        <v>0</v>
      </c>
      <c r="AL112" s="57">
        <f ca="1">IF(TblMagic[[#This Row],[Howling]],12,IF(OFFSET(TblMagic[[#This Row],[Active Howling]],-1,0)&gt;0,OFFSET(TblMagic[[#This Row],[Active Howling]],-1,0)-1,0))</f>
        <v>0</v>
      </c>
      <c r="AM112" s="57">
        <f ca="1">IF(TblMagic[[#This Row],[Arcane Infusion]],12,IF(OFFSET(TblMagic[[#This Row],[Active Arc Infusion]],-1,0)&gt;0,OFFSET(TblMagic[[#This Row],[Active Arc Infusion]],-1,0)-1,0))</f>
        <v>0</v>
      </c>
      <c r="AN112" s="57">
        <f ca="1">IF(TblMagic[[#This Row],[Alchemists Flame]],12,IF(OFFSET(TblMagic[[#This Row],[Active Alchemists Flame]],-1,0)&gt;0,OFFSET(TblMagic[[#This Row],[Active Alchemists Flame]],-1,0)-1,0))</f>
        <v>0</v>
      </c>
      <c r="AO112" s="57">
        <f ca="1">IF(TblMagic[[#This Row],[Nightfall]],12,IF(OFFSET(TblMagic[[#This Row],[Active Nightfall]],-1,0)&gt;0,OFFSET(TblMagic[[#This Row],[Active Nightfall]],-1,0)-1,0))</f>
        <v>0</v>
      </c>
      <c r="AP112" s="57">
        <f ca="1">IF(TblMagic[[#This Row],[Favorable Terrain]],12,IF(OFFSET(TblMagic[[#This Row],[Active Favorable Terrain]],-1,0)&gt;0,OFFSET(TblMagic[[#This Row],[Active Favorable Terrain]],-1,0)-1,0))</f>
        <v>0</v>
      </c>
      <c r="AQ112" s="57">
        <f ca="1">IF(TblMagic[[#This Row],[Infernal Command]],12,IF(OFFSET(TblMagic[[#This Row],[Active Infernal Command]],-1,0)&gt;0,OFFSET(TblMagic[[#This Row],[Active Infernal Command]],-1,0)-1,0))</f>
        <v>0</v>
      </c>
    </row>
    <row r="113" spans="1:43" x14ac:dyDescent="0.2">
      <c r="A113" s="137">
        <f>TblRezone[[#This Row],[Hour]]</f>
        <v>110</v>
      </c>
      <c r="B113" s="154">
        <f ca="1">TblConstr[[#This Row],[Land]]</f>
        <v>50</v>
      </c>
      <c r="C113" s="94">
        <f ca="1">TblProd[[#This Row],[Mana]]</f>
        <v>0</v>
      </c>
      <c r="D113" s="156">
        <f ca="1">MIN(1,OFFSET(TblMagic[[#This Row],[Wiz str]],-1,0)+0.04+ROUNDDOWN(10*OFFSET(TblMili[[#This Row],[WG''s]],-1,0),0)+ tech_2_7*OFFSET(TblTech[[#This Row],[2-7]],-1,0) + tech_5_6*OFFSET(TblTech[[#This Row],[5-6]],-1,0) )-TblMagic[[#This Row],[Wiz str cost]]</f>
        <v>1</v>
      </c>
      <c r="E113" s="159">
        <f ca="1">OFFSET(TblMagic[[#This Row],[Time]],-1,0)+1/24</f>
        <v>46324.541666666402</v>
      </c>
      <c r="F113" s="156">
        <f ca="1">TblImps[[#This Row],[Population]]</f>
        <v>1</v>
      </c>
      <c r="G113" s="218"/>
      <c r="H113" s="218"/>
      <c r="I113" s="218"/>
      <c r="J113" s="218"/>
      <c r="K113" s="405"/>
      <c r="L113" s="218"/>
      <c r="M113" s="218"/>
      <c r="N113" s="218"/>
      <c r="O113" s="218"/>
      <c r="P113" s="218"/>
      <c r="Q113" s="218"/>
      <c r="R113" s="218"/>
      <c r="S113" s="218"/>
      <c r="T113" s="218"/>
      <c r="U113" s="218"/>
      <c r="V113" s="218"/>
      <c r="W113" s="218"/>
      <c r="X113" s="142"/>
      <c r="Y11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3" s="156">
        <f>SUMIF(TblMagic[[#This Row],[Gaia''s Watch]:[Useless spell]],1)*0.05</f>
        <v>0</v>
      </c>
      <c r="AA113" s="142"/>
      <c r="AB113" s="57">
        <f ca="1">IF(TblMagic[[#This Row],[Gaia''s Watch]],12,IF(OFFSET(TblMagic[[#This Row],[Active Gaia''s Watch]],-1,0)&gt;0,OFFSET(TblMagic[[#This Row],[Active Gaia''s Watch]],-1,0)-1,0))</f>
        <v>0</v>
      </c>
      <c r="AC113" s="57">
        <f ca="1">IF(TblMagic[[#This Row],[Mining Strength]],12,IF(OFFSET(TblMagic[[#This Row],[Active Mining Strength]],-1,0)&gt;0,OFFSET(TblMagic[[#This Row],[Active Mining Strength]],-1,0)-1,0))</f>
        <v>0</v>
      </c>
      <c r="AD113" s="57">
        <f ca="1">IF(TblMagic[[#This Row],[Ares Call]],12,IF(OFFSET(TblMagic[[#This Row],[Active Ares Call]],-1,0)&gt;0,OFFSET(TblMagic[[#This Row],[Active Ares Call]],-1,0)-1,0))</f>
        <v>0</v>
      </c>
      <c r="AE113" s="57">
        <f ca="1">IF(TblMagic[[#This Row],[Midas Touch]],12,IF(OFFSET(TblMagic[[#This Row],[Active Midas Touch]],-1,0)&gt;0,OFFSET(TblMagic[[#This Row],[Active Midas Touch]],-1,0)-1,0))</f>
        <v>0</v>
      </c>
      <c r="AF113" s="57">
        <f ca="1">IF(TblMagic[[#This Row],[Harmony]],12,IF(OFFSET(TblMagic[[#This Row],[Active Harmony]],-1,0)&gt;0,OFFSET(TblMagic[[#This Row],[Active Harmony]],-1,0)-1,0))</f>
        <v>0</v>
      </c>
      <c r="AG113" s="57">
        <f ca="1">IF(TblMagic[[#This Row],[Miner''s Sight]],12,IF(OFFSET(TblMagic[[#This Row],[Active Miner''s Sight]],-1,0)&gt;0,OFFSET(TblMagic[[#This Row],[Active Miner''s Sight]],-1,0)-1,0))</f>
        <v>0</v>
      </c>
      <c r="AH113" s="57">
        <f ca="1">IF(TblMagic[[#This Row],[Mechanical Genius]],12,IF(OFFSET(TblMagic[[#This Row],[Active Mechanical Genius]],-1,0)&gt;0,OFFSET(TblMagic[[#This Row],[Active Mechanical Genius]],-1,0)-1,0))</f>
        <v>0</v>
      </c>
      <c r="AI113" s="57">
        <f ca="1">IF(TblMagic[[#This Row],[Death and Decay]],12,IF(OFFSET(TblMagic[[#This Row],[Active DnD]],-1,0)&gt;0,OFFSET(TblMagic[[#This Row],[Active DnD]],-1,0)-1,0))</f>
        <v>0</v>
      </c>
      <c r="AJ113" s="57">
        <f ca="1">IF(TblMagic[[#This Row],[Killing Rage / Bloodrage / Crusade]],12,IF(OFFSET(TblMagic[[#This Row],[Active Warsong / Killing Rage / Bloodrage]],-1,0)&gt;0,OFFSET(TblMagic[[#This Row],[Active Warsong / Killing Rage / Bloodrage]],-1,0)-1,0))</f>
        <v>0</v>
      </c>
      <c r="AK113" s="57">
        <f ca="1">IF(TblMagic[[#This Row],[Gaia''s Blessing]],12,IF(OFFSET(TblMagic[[#This Row],[Active Gaia''s Blessing]],-1,0)&gt;0,OFFSET(TblMagic[[#This Row],[Active Gaia''s Blessing]],-1,0)-1,0))</f>
        <v>0</v>
      </c>
      <c r="AL113" s="57">
        <f ca="1">IF(TblMagic[[#This Row],[Howling]],12,IF(OFFSET(TblMagic[[#This Row],[Active Howling]],-1,0)&gt;0,OFFSET(TblMagic[[#This Row],[Active Howling]],-1,0)-1,0))</f>
        <v>0</v>
      </c>
      <c r="AM113" s="57">
        <f ca="1">IF(TblMagic[[#This Row],[Arcane Infusion]],12,IF(OFFSET(TblMagic[[#This Row],[Active Arc Infusion]],-1,0)&gt;0,OFFSET(TblMagic[[#This Row],[Active Arc Infusion]],-1,0)-1,0))</f>
        <v>0</v>
      </c>
      <c r="AN113" s="57">
        <f ca="1">IF(TblMagic[[#This Row],[Alchemists Flame]],12,IF(OFFSET(TblMagic[[#This Row],[Active Alchemists Flame]],-1,0)&gt;0,OFFSET(TblMagic[[#This Row],[Active Alchemists Flame]],-1,0)-1,0))</f>
        <v>0</v>
      </c>
      <c r="AO113" s="57">
        <f ca="1">IF(TblMagic[[#This Row],[Nightfall]],12,IF(OFFSET(TblMagic[[#This Row],[Active Nightfall]],-1,0)&gt;0,OFFSET(TblMagic[[#This Row],[Active Nightfall]],-1,0)-1,0))</f>
        <v>0</v>
      </c>
      <c r="AP113" s="57">
        <f ca="1">IF(TblMagic[[#This Row],[Favorable Terrain]],12,IF(OFFSET(TblMagic[[#This Row],[Active Favorable Terrain]],-1,0)&gt;0,OFFSET(TblMagic[[#This Row],[Active Favorable Terrain]],-1,0)-1,0))</f>
        <v>0</v>
      </c>
      <c r="AQ113" s="57">
        <f ca="1">IF(TblMagic[[#This Row],[Infernal Command]],12,IF(OFFSET(TblMagic[[#This Row],[Active Infernal Command]],-1,0)&gt;0,OFFSET(TblMagic[[#This Row],[Active Infernal Command]],-1,0)-1,0))</f>
        <v>0</v>
      </c>
    </row>
    <row r="114" spans="1:43" x14ac:dyDescent="0.2">
      <c r="A114" s="137">
        <f>TblRezone[[#This Row],[Hour]]</f>
        <v>111</v>
      </c>
      <c r="B114" s="154">
        <f ca="1">TblConstr[[#This Row],[Land]]</f>
        <v>50</v>
      </c>
      <c r="C114" s="94">
        <f ca="1">TblProd[[#This Row],[Mana]]</f>
        <v>0</v>
      </c>
      <c r="D114" s="156">
        <f ca="1">MIN(1,OFFSET(TblMagic[[#This Row],[Wiz str]],-1,0)+0.04+ROUNDDOWN(10*OFFSET(TblMili[[#This Row],[WG''s]],-1,0),0)+ tech_2_7*OFFSET(TblTech[[#This Row],[2-7]],-1,0) + tech_5_6*OFFSET(TblTech[[#This Row],[5-6]],-1,0) )-TblMagic[[#This Row],[Wiz str cost]]</f>
        <v>1</v>
      </c>
      <c r="E114" s="159">
        <f ca="1">OFFSET(TblMagic[[#This Row],[Time]],-1,0)+1/24</f>
        <v>46324.583333333067</v>
      </c>
      <c r="F114" s="156">
        <f ca="1">TblImps[[#This Row],[Population]]</f>
        <v>1</v>
      </c>
      <c r="G114" s="218"/>
      <c r="H114" s="218"/>
      <c r="I114" s="218"/>
      <c r="J114" s="218"/>
      <c r="K114" s="405"/>
      <c r="L114" s="218"/>
      <c r="M114" s="218"/>
      <c r="N114" s="218"/>
      <c r="O114" s="218"/>
      <c r="P114" s="218"/>
      <c r="Q114" s="218"/>
      <c r="R114" s="218"/>
      <c r="S114" s="218"/>
      <c r="T114" s="218"/>
      <c r="U114" s="218"/>
      <c r="V114" s="218"/>
      <c r="W114" s="218"/>
      <c r="X114" s="142"/>
      <c r="Y11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4" s="156">
        <f>SUMIF(TblMagic[[#This Row],[Gaia''s Watch]:[Useless spell]],1)*0.05</f>
        <v>0</v>
      </c>
      <c r="AA114" s="142"/>
      <c r="AB114" s="57">
        <f ca="1">IF(TblMagic[[#This Row],[Gaia''s Watch]],12,IF(OFFSET(TblMagic[[#This Row],[Active Gaia''s Watch]],-1,0)&gt;0,OFFSET(TblMagic[[#This Row],[Active Gaia''s Watch]],-1,0)-1,0))</f>
        <v>0</v>
      </c>
      <c r="AC114" s="57">
        <f ca="1">IF(TblMagic[[#This Row],[Mining Strength]],12,IF(OFFSET(TblMagic[[#This Row],[Active Mining Strength]],-1,0)&gt;0,OFFSET(TblMagic[[#This Row],[Active Mining Strength]],-1,0)-1,0))</f>
        <v>0</v>
      </c>
      <c r="AD114" s="57">
        <f ca="1">IF(TblMagic[[#This Row],[Ares Call]],12,IF(OFFSET(TblMagic[[#This Row],[Active Ares Call]],-1,0)&gt;0,OFFSET(TblMagic[[#This Row],[Active Ares Call]],-1,0)-1,0))</f>
        <v>0</v>
      </c>
      <c r="AE114" s="57">
        <f ca="1">IF(TblMagic[[#This Row],[Midas Touch]],12,IF(OFFSET(TblMagic[[#This Row],[Active Midas Touch]],-1,0)&gt;0,OFFSET(TblMagic[[#This Row],[Active Midas Touch]],-1,0)-1,0))</f>
        <v>0</v>
      </c>
      <c r="AF114" s="57">
        <f ca="1">IF(TblMagic[[#This Row],[Harmony]],12,IF(OFFSET(TblMagic[[#This Row],[Active Harmony]],-1,0)&gt;0,OFFSET(TblMagic[[#This Row],[Active Harmony]],-1,0)-1,0))</f>
        <v>0</v>
      </c>
      <c r="AG114" s="57">
        <f ca="1">IF(TblMagic[[#This Row],[Miner''s Sight]],12,IF(OFFSET(TblMagic[[#This Row],[Active Miner''s Sight]],-1,0)&gt;0,OFFSET(TblMagic[[#This Row],[Active Miner''s Sight]],-1,0)-1,0))</f>
        <v>0</v>
      </c>
      <c r="AH114" s="57">
        <f ca="1">IF(TblMagic[[#This Row],[Mechanical Genius]],12,IF(OFFSET(TblMagic[[#This Row],[Active Mechanical Genius]],-1,0)&gt;0,OFFSET(TblMagic[[#This Row],[Active Mechanical Genius]],-1,0)-1,0))</f>
        <v>0</v>
      </c>
      <c r="AI114" s="57">
        <f ca="1">IF(TblMagic[[#This Row],[Death and Decay]],12,IF(OFFSET(TblMagic[[#This Row],[Active DnD]],-1,0)&gt;0,OFFSET(TblMagic[[#This Row],[Active DnD]],-1,0)-1,0))</f>
        <v>0</v>
      </c>
      <c r="AJ114" s="57">
        <f ca="1">IF(TblMagic[[#This Row],[Killing Rage / Bloodrage / Crusade]],12,IF(OFFSET(TblMagic[[#This Row],[Active Warsong / Killing Rage / Bloodrage]],-1,0)&gt;0,OFFSET(TblMagic[[#This Row],[Active Warsong / Killing Rage / Bloodrage]],-1,0)-1,0))</f>
        <v>0</v>
      </c>
      <c r="AK114" s="57">
        <f ca="1">IF(TblMagic[[#This Row],[Gaia''s Blessing]],12,IF(OFFSET(TblMagic[[#This Row],[Active Gaia''s Blessing]],-1,0)&gt;0,OFFSET(TblMagic[[#This Row],[Active Gaia''s Blessing]],-1,0)-1,0))</f>
        <v>0</v>
      </c>
      <c r="AL114" s="57">
        <f ca="1">IF(TblMagic[[#This Row],[Howling]],12,IF(OFFSET(TblMagic[[#This Row],[Active Howling]],-1,0)&gt;0,OFFSET(TblMagic[[#This Row],[Active Howling]],-1,0)-1,0))</f>
        <v>0</v>
      </c>
      <c r="AM114" s="57">
        <f ca="1">IF(TblMagic[[#This Row],[Arcane Infusion]],12,IF(OFFSET(TblMagic[[#This Row],[Active Arc Infusion]],-1,0)&gt;0,OFFSET(TblMagic[[#This Row],[Active Arc Infusion]],-1,0)-1,0))</f>
        <v>0</v>
      </c>
      <c r="AN114" s="57">
        <f ca="1">IF(TblMagic[[#This Row],[Alchemists Flame]],12,IF(OFFSET(TblMagic[[#This Row],[Active Alchemists Flame]],-1,0)&gt;0,OFFSET(TblMagic[[#This Row],[Active Alchemists Flame]],-1,0)-1,0))</f>
        <v>0</v>
      </c>
      <c r="AO114" s="57">
        <f ca="1">IF(TblMagic[[#This Row],[Nightfall]],12,IF(OFFSET(TblMagic[[#This Row],[Active Nightfall]],-1,0)&gt;0,OFFSET(TblMagic[[#This Row],[Active Nightfall]],-1,0)-1,0))</f>
        <v>0</v>
      </c>
      <c r="AP114" s="57">
        <f ca="1">IF(TblMagic[[#This Row],[Favorable Terrain]],12,IF(OFFSET(TblMagic[[#This Row],[Active Favorable Terrain]],-1,0)&gt;0,OFFSET(TblMagic[[#This Row],[Active Favorable Terrain]],-1,0)-1,0))</f>
        <v>0</v>
      </c>
      <c r="AQ114" s="57">
        <f ca="1">IF(TblMagic[[#This Row],[Infernal Command]],12,IF(OFFSET(TblMagic[[#This Row],[Active Infernal Command]],-1,0)&gt;0,OFFSET(TblMagic[[#This Row],[Active Infernal Command]],-1,0)-1,0))</f>
        <v>0</v>
      </c>
    </row>
    <row r="115" spans="1:43" x14ac:dyDescent="0.2">
      <c r="A115" s="137">
        <f>TblRezone[[#This Row],[Hour]]</f>
        <v>112</v>
      </c>
      <c r="B115" s="154">
        <f ca="1">TblConstr[[#This Row],[Land]]</f>
        <v>50</v>
      </c>
      <c r="C115" s="94">
        <f ca="1">TblProd[[#This Row],[Mana]]</f>
        <v>0</v>
      </c>
      <c r="D115" s="156">
        <f ca="1">MIN(1,OFFSET(TblMagic[[#This Row],[Wiz str]],-1,0)+0.04+ROUNDDOWN(10*OFFSET(TblMili[[#This Row],[WG''s]],-1,0),0)+ tech_2_7*OFFSET(TblTech[[#This Row],[2-7]],-1,0) + tech_5_6*OFFSET(TblTech[[#This Row],[5-6]],-1,0) )-TblMagic[[#This Row],[Wiz str cost]]</f>
        <v>1</v>
      </c>
      <c r="E115" s="159">
        <f ca="1">OFFSET(TblMagic[[#This Row],[Time]],-1,0)+1/24</f>
        <v>46324.624999999731</v>
      </c>
      <c r="F115" s="156">
        <f ca="1">TblImps[[#This Row],[Population]]</f>
        <v>1</v>
      </c>
      <c r="G115" s="218"/>
      <c r="H115" s="218"/>
      <c r="I115" s="218"/>
      <c r="J115" s="218"/>
      <c r="K115" s="405"/>
      <c r="L115" s="218"/>
      <c r="M115" s="218"/>
      <c r="N115" s="218"/>
      <c r="O115" s="218"/>
      <c r="P115" s="218"/>
      <c r="Q115" s="218"/>
      <c r="R115" s="218"/>
      <c r="S115" s="218"/>
      <c r="T115" s="218"/>
      <c r="U115" s="218"/>
      <c r="V115" s="218"/>
      <c r="W115" s="218"/>
      <c r="X115" s="142"/>
      <c r="Y11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5" s="156">
        <f>SUMIF(TblMagic[[#This Row],[Gaia''s Watch]:[Useless spell]],1)*0.05</f>
        <v>0</v>
      </c>
      <c r="AA115" s="142"/>
      <c r="AB115" s="57">
        <f ca="1">IF(TblMagic[[#This Row],[Gaia''s Watch]],12,IF(OFFSET(TblMagic[[#This Row],[Active Gaia''s Watch]],-1,0)&gt;0,OFFSET(TblMagic[[#This Row],[Active Gaia''s Watch]],-1,0)-1,0))</f>
        <v>0</v>
      </c>
      <c r="AC115" s="57">
        <f ca="1">IF(TblMagic[[#This Row],[Mining Strength]],12,IF(OFFSET(TblMagic[[#This Row],[Active Mining Strength]],-1,0)&gt;0,OFFSET(TblMagic[[#This Row],[Active Mining Strength]],-1,0)-1,0))</f>
        <v>0</v>
      </c>
      <c r="AD115" s="57">
        <f ca="1">IF(TblMagic[[#This Row],[Ares Call]],12,IF(OFFSET(TblMagic[[#This Row],[Active Ares Call]],-1,0)&gt;0,OFFSET(TblMagic[[#This Row],[Active Ares Call]],-1,0)-1,0))</f>
        <v>0</v>
      </c>
      <c r="AE115" s="57">
        <f ca="1">IF(TblMagic[[#This Row],[Midas Touch]],12,IF(OFFSET(TblMagic[[#This Row],[Active Midas Touch]],-1,0)&gt;0,OFFSET(TblMagic[[#This Row],[Active Midas Touch]],-1,0)-1,0))</f>
        <v>0</v>
      </c>
      <c r="AF115" s="57">
        <f ca="1">IF(TblMagic[[#This Row],[Harmony]],12,IF(OFFSET(TblMagic[[#This Row],[Active Harmony]],-1,0)&gt;0,OFFSET(TblMagic[[#This Row],[Active Harmony]],-1,0)-1,0))</f>
        <v>0</v>
      </c>
      <c r="AG115" s="57">
        <f ca="1">IF(TblMagic[[#This Row],[Miner''s Sight]],12,IF(OFFSET(TblMagic[[#This Row],[Active Miner''s Sight]],-1,0)&gt;0,OFFSET(TblMagic[[#This Row],[Active Miner''s Sight]],-1,0)-1,0))</f>
        <v>0</v>
      </c>
      <c r="AH115" s="57">
        <f ca="1">IF(TblMagic[[#This Row],[Mechanical Genius]],12,IF(OFFSET(TblMagic[[#This Row],[Active Mechanical Genius]],-1,0)&gt;0,OFFSET(TblMagic[[#This Row],[Active Mechanical Genius]],-1,0)-1,0))</f>
        <v>0</v>
      </c>
      <c r="AI115" s="57">
        <f ca="1">IF(TblMagic[[#This Row],[Death and Decay]],12,IF(OFFSET(TblMagic[[#This Row],[Active DnD]],-1,0)&gt;0,OFFSET(TblMagic[[#This Row],[Active DnD]],-1,0)-1,0))</f>
        <v>0</v>
      </c>
      <c r="AJ115" s="57">
        <f ca="1">IF(TblMagic[[#This Row],[Killing Rage / Bloodrage / Crusade]],12,IF(OFFSET(TblMagic[[#This Row],[Active Warsong / Killing Rage / Bloodrage]],-1,0)&gt;0,OFFSET(TblMagic[[#This Row],[Active Warsong / Killing Rage / Bloodrage]],-1,0)-1,0))</f>
        <v>0</v>
      </c>
      <c r="AK115" s="57">
        <f ca="1">IF(TblMagic[[#This Row],[Gaia''s Blessing]],12,IF(OFFSET(TblMagic[[#This Row],[Active Gaia''s Blessing]],-1,0)&gt;0,OFFSET(TblMagic[[#This Row],[Active Gaia''s Blessing]],-1,0)-1,0))</f>
        <v>0</v>
      </c>
      <c r="AL115" s="57">
        <f ca="1">IF(TblMagic[[#This Row],[Howling]],12,IF(OFFSET(TblMagic[[#This Row],[Active Howling]],-1,0)&gt;0,OFFSET(TblMagic[[#This Row],[Active Howling]],-1,0)-1,0))</f>
        <v>0</v>
      </c>
      <c r="AM115" s="57">
        <f ca="1">IF(TblMagic[[#This Row],[Arcane Infusion]],12,IF(OFFSET(TblMagic[[#This Row],[Active Arc Infusion]],-1,0)&gt;0,OFFSET(TblMagic[[#This Row],[Active Arc Infusion]],-1,0)-1,0))</f>
        <v>0</v>
      </c>
      <c r="AN115" s="57">
        <f ca="1">IF(TblMagic[[#This Row],[Alchemists Flame]],12,IF(OFFSET(TblMagic[[#This Row],[Active Alchemists Flame]],-1,0)&gt;0,OFFSET(TblMagic[[#This Row],[Active Alchemists Flame]],-1,0)-1,0))</f>
        <v>0</v>
      </c>
      <c r="AO115" s="57">
        <f ca="1">IF(TblMagic[[#This Row],[Nightfall]],12,IF(OFFSET(TblMagic[[#This Row],[Active Nightfall]],-1,0)&gt;0,OFFSET(TblMagic[[#This Row],[Active Nightfall]],-1,0)-1,0))</f>
        <v>0</v>
      </c>
      <c r="AP115" s="57">
        <f ca="1">IF(TblMagic[[#This Row],[Favorable Terrain]],12,IF(OFFSET(TblMagic[[#This Row],[Active Favorable Terrain]],-1,0)&gt;0,OFFSET(TblMagic[[#This Row],[Active Favorable Terrain]],-1,0)-1,0))</f>
        <v>0</v>
      </c>
      <c r="AQ115" s="57">
        <f ca="1">IF(TblMagic[[#This Row],[Infernal Command]],12,IF(OFFSET(TblMagic[[#This Row],[Active Infernal Command]],-1,0)&gt;0,OFFSET(TblMagic[[#This Row],[Active Infernal Command]],-1,0)-1,0))</f>
        <v>0</v>
      </c>
    </row>
    <row r="116" spans="1:43" x14ac:dyDescent="0.2">
      <c r="A116" s="137">
        <f>TblRezone[[#This Row],[Hour]]</f>
        <v>113</v>
      </c>
      <c r="B116" s="154">
        <f ca="1">TblConstr[[#This Row],[Land]]</f>
        <v>50</v>
      </c>
      <c r="C116" s="94">
        <f ca="1">TblProd[[#This Row],[Mana]]</f>
        <v>0</v>
      </c>
      <c r="D116" s="156">
        <f ca="1">MIN(1,OFFSET(TblMagic[[#This Row],[Wiz str]],-1,0)+0.04+ROUNDDOWN(10*OFFSET(TblMili[[#This Row],[WG''s]],-1,0),0)+ tech_2_7*OFFSET(TblTech[[#This Row],[2-7]],-1,0) + tech_5_6*OFFSET(TblTech[[#This Row],[5-6]],-1,0) )-TblMagic[[#This Row],[Wiz str cost]]</f>
        <v>1</v>
      </c>
      <c r="E116" s="159">
        <f ca="1">OFFSET(TblMagic[[#This Row],[Time]],-1,0)+1/24</f>
        <v>46324.666666666395</v>
      </c>
      <c r="F116" s="156">
        <f ca="1">TblImps[[#This Row],[Population]]</f>
        <v>1</v>
      </c>
      <c r="G116" s="218"/>
      <c r="H116" s="218"/>
      <c r="I116" s="218"/>
      <c r="J116" s="218"/>
      <c r="K116" s="405"/>
      <c r="L116" s="218"/>
      <c r="M116" s="218"/>
      <c r="N116" s="218"/>
      <c r="O116" s="218"/>
      <c r="P116" s="218"/>
      <c r="Q116" s="218"/>
      <c r="R116" s="218"/>
      <c r="S116" s="218"/>
      <c r="T116" s="218"/>
      <c r="U116" s="218"/>
      <c r="V116" s="218"/>
      <c r="W116" s="218"/>
      <c r="X116" s="142"/>
      <c r="Y11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6" s="156">
        <f>SUMIF(TblMagic[[#This Row],[Gaia''s Watch]:[Useless spell]],1)*0.05</f>
        <v>0</v>
      </c>
      <c r="AA116" s="142"/>
      <c r="AB116" s="57">
        <f ca="1">IF(TblMagic[[#This Row],[Gaia''s Watch]],12,IF(OFFSET(TblMagic[[#This Row],[Active Gaia''s Watch]],-1,0)&gt;0,OFFSET(TblMagic[[#This Row],[Active Gaia''s Watch]],-1,0)-1,0))</f>
        <v>0</v>
      </c>
      <c r="AC116" s="57">
        <f ca="1">IF(TblMagic[[#This Row],[Mining Strength]],12,IF(OFFSET(TblMagic[[#This Row],[Active Mining Strength]],-1,0)&gt;0,OFFSET(TblMagic[[#This Row],[Active Mining Strength]],-1,0)-1,0))</f>
        <v>0</v>
      </c>
      <c r="AD116" s="57">
        <f ca="1">IF(TblMagic[[#This Row],[Ares Call]],12,IF(OFFSET(TblMagic[[#This Row],[Active Ares Call]],-1,0)&gt;0,OFFSET(TblMagic[[#This Row],[Active Ares Call]],-1,0)-1,0))</f>
        <v>0</v>
      </c>
      <c r="AE116" s="57">
        <f ca="1">IF(TblMagic[[#This Row],[Midas Touch]],12,IF(OFFSET(TblMagic[[#This Row],[Active Midas Touch]],-1,0)&gt;0,OFFSET(TblMagic[[#This Row],[Active Midas Touch]],-1,0)-1,0))</f>
        <v>0</v>
      </c>
      <c r="AF116" s="57">
        <f ca="1">IF(TblMagic[[#This Row],[Harmony]],12,IF(OFFSET(TblMagic[[#This Row],[Active Harmony]],-1,0)&gt;0,OFFSET(TblMagic[[#This Row],[Active Harmony]],-1,0)-1,0))</f>
        <v>0</v>
      </c>
      <c r="AG116" s="57">
        <f ca="1">IF(TblMagic[[#This Row],[Miner''s Sight]],12,IF(OFFSET(TblMagic[[#This Row],[Active Miner''s Sight]],-1,0)&gt;0,OFFSET(TblMagic[[#This Row],[Active Miner''s Sight]],-1,0)-1,0))</f>
        <v>0</v>
      </c>
      <c r="AH116" s="57">
        <f ca="1">IF(TblMagic[[#This Row],[Mechanical Genius]],12,IF(OFFSET(TblMagic[[#This Row],[Active Mechanical Genius]],-1,0)&gt;0,OFFSET(TblMagic[[#This Row],[Active Mechanical Genius]],-1,0)-1,0))</f>
        <v>0</v>
      </c>
      <c r="AI116" s="57">
        <f ca="1">IF(TblMagic[[#This Row],[Death and Decay]],12,IF(OFFSET(TblMagic[[#This Row],[Active DnD]],-1,0)&gt;0,OFFSET(TblMagic[[#This Row],[Active DnD]],-1,0)-1,0))</f>
        <v>0</v>
      </c>
      <c r="AJ116" s="57">
        <f ca="1">IF(TblMagic[[#This Row],[Killing Rage / Bloodrage / Crusade]],12,IF(OFFSET(TblMagic[[#This Row],[Active Warsong / Killing Rage / Bloodrage]],-1,0)&gt;0,OFFSET(TblMagic[[#This Row],[Active Warsong / Killing Rage / Bloodrage]],-1,0)-1,0))</f>
        <v>0</v>
      </c>
      <c r="AK116" s="57">
        <f ca="1">IF(TblMagic[[#This Row],[Gaia''s Blessing]],12,IF(OFFSET(TblMagic[[#This Row],[Active Gaia''s Blessing]],-1,0)&gt;0,OFFSET(TblMagic[[#This Row],[Active Gaia''s Blessing]],-1,0)-1,0))</f>
        <v>0</v>
      </c>
      <c r="AL116" s="57">
        <f ca="1">IF(TblMagic[[#This Row],[Howling]],12,IF(OFFSET(TblMagic[[#This Row],[Active Howling]],-1,0)&gt;0,OFFSET(TblMagic[[#This Row],[Active Howling]],-1,0)-1,0))</f>
        <v>0</v>
      </c>
      <c r="AM116" s="57">
        <f ca="1">IF(TblMagic[[#This Row],[Arcane Infusion]],12,IF(OFFSET(TblMagic[[#This Row],[Active Arc Infusion]],-1,0)&gt;0,OFFSET(TblMagic[[#This Row],[Active Arc Infusion]],-1,0)-1,0))</f>
        <v>0</v>
      </c>
      <c r="AN116" s="57">
        <f ca="1">IF(TblMagic[[#This Row],[Alchemists Flame]],12,IF(OFFSET(TblMagic[[#This Row],[Active Alchemists Flame]],-1,0)&gt;0,OFFSET(TblMagic[[#This Row],[Active Alchemists Flame]],-1,0)-1,0))</f>
        <v>0</v>
      </c>
      <c r="AO116" s="57">
        <f ca="1">IF(TblMagic[[#This Row],[Nightfall]],12,IF(OFFSET(TblMagic[[#This Row],[Active Nightfall]],-1,0)&gt;0,OFFSET(TblMagic[[#This Row],[Active Nightfall]],-1,0)-1,0))</f>
        <v>0</v>
      </c>
      <c r="AP116" s="57">
        <f ca="1">IF(TblMagic[[#This Row],[Favorable Terrain]],12,IF(OFFSET(TblMagic[[#This Row],[Active Favorable Terrain]],-1,0)&gt;0,OFFSET(TblMagic[[#This Row],[Active Favorable Terrain]],-1,0)-1,0))</f>
        <v>0</v>
      </c>
      <c r="AQ116" s="57">
        <f ca="1">IF(TblMagic[[#This Row],[Infernal Command]],12,IF(OFFSET(TblMagic[[#This Row],[Active Infernal Command]],-1,0)&gt;0,OFFSET(TblMagic[[#This Row],[Active Infernal Command]],-1,0)-1,0))</f>
        <v>0</v>
      </c>
    </row>
    <row r="117" spans="1:43" x14ac:dyDescent="0.2">
      <c r="A117" s="137">
        <f>TblRezone[[#This Row],[Hour]]</f>
        <v>114</v>
      </c>
      <c r="B117" s="154">
        <f ca="1">TblConstr[[#This Row],[Land]]</f>
        <v>50</v>
      </c>
      <c r="C117" s="94">
        <f ca="1">TblProd[[#This Row],[Mana]]</f>
        <v>0</v>
      </c>
      <c r="D117" s="156">
        <f ca="1">MIN(1,OFFSET(TblMagic[[#This Row],[Wiz str]],-1,0)+0.04+ROUNDDOWN(10*OFFSET(TblMili[[#This Row],[WG''s]],-1,0),0)+ tech_2_7*OFFSET(TblTech[[#This Row],[2-7]],-1,0) + tech_5_6*OFFSET(TblTech[[#This Row],[5-6]],-1,0) )-TblMagic[[#This Row],[Wiz str cost]]</f>
        <v>1</v>
      </c>
      <c r="E117" s="159">
        <f ca="1">OFFSET(TblMagic[[#This Row],[Time]],-1,0)+1/24</f>
        <v>46324.708333333059</v>
      </c>
      <c r="F117" s="156">
        <f ca="1">TblImps[[#This Row],[Population]]</f>
        <v>1</v>
      </c>
      <c r="G117" s="218"/>
      <c r="H117" s="218"/>
      <c r="I117" s="218"/>
      <c r="J117" s="218"/>
      <c r="K117" s="405"/>
      <c r="L117" s="218"/>
      <c r="M117" s="218"/>
      <c r="N117" s="218"/>
      <c r="O117" s="218"/>
      <c r="P117" s="218"/>
      <c r="Q117" s="218"/>
      <c r="R117" s="218"/>
      <c r="S117" s="218"/>
      <c r="T117" s="218"/>
      <c r="U117" s="218"/>
      <c r="V117" s="218"/>
      <c r="W117" s="218"/>
      <c r="X117" s="142"/>
      <c r="Y11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7" s="156">
        <f>SUMIF(TblMagic[[#This Row],[Gaia''s Watch]:[Useless spell]],1)*0.05</f>
        <v>0</v>
      </c>
      <c r="AA117" s="142"/>
      <c r="AB117" s="57">
        <f ca="1">IF(TblMagic[[#This Row],[Gaia''s Watch]],12,IF(OFFSET(TblMagic[[#This Row],[Active Gaia''s Watch]],-1,0)&gt;0,OFFSET(TblMagic[[#This Row],[Active Gaia''s Watch]],-1,0)-1,0))</f>
        <v>0</v>
      </c>
      <c r="AC117" s="57">
        <f ca="1">IF(TblMagic[[#This Row],[Mining Strength]],12,IF(OFFSET(TblMagic[[#This Row],[Active Mining Strength]],-1,0)&gt;0,OFFSET(TblMagic[[#This Row],[Active Mining Strength]],-1,0)-1,0))</f>
        <v>0</v>
      </c>
      <c r="AD117" s="57">
        <f ca="1">IF(TblMagic[[#This Row],[Ares Call]],12,IF(OFFSET(TblMagic[[#This Row],[Active Ares Call]],-1,0)&gt;0,OFFSET(TblMagic[[#This Row],[Active Ares Call]],-1,0)-1,0))</f>
        <v>0</v>
      </c>
      <c r="AE117" s="57">
        <f ca="1">IF(TblMagic[[#This Row],[Midas Touch]],12,IF(OFFSET(TblMagic[[#This Row],[Active Midas Touch]],-1,0)&gt;0,OFFSET(TblMagic[[#This Row],[Active Midas Touch]],-1,0)-1,0))</f>
        <v>0</v>
      </c>
      <c r="AF117" s="57">
        <f ca="1">IF(TblMagic[[#This Row],[Harmony]],12,IF(OFFSET(TblMagic[[#This Row],[Active Harmony]],-1,0)&gt;0,OFFSET(TblMagic[[#This Row],[Active Harmony]],-1,0)-1,0))</f>
        <v>0</v>
      </c>
      <c r="AG117" s="57">
        <f ca="1">IF(TblMagic[[#This Row],[Miner''s Sight]],12,IF(OFFSET(TblMagic[[#This Row],[Active Miner''s Sight]],-1,0)&gt;0,OFFSET(TblMagic[[#This Row],[Active Miner''s Sight]],-1,0)-1,0))</f>
        <v>0</v>
      </c>
      <c r="AH117" s="57">
        <f ca="1">IF(TblMagic[[#This Row],[Mechanical Genius]],12,IF(OFFSET(TblMagic[[#This Row],[Active Mechanical Genius]],-1,0)&gt;0,OFFSET(TblMagic[[#This Row],[Active Mechanical Genius]],-1,0)-1,0))</f>
        <v>0</v>
      </c>
      <c r="AI117" s="57">
        <f ca="1">IF(TblMagic[[#This Row],[Death and Decay]],12,IF(OFFSET(TblMagic[[#This Row],[Active DnD]],-1,0)&gt;0,OFFSET(TblMagic[[#This Row],[Active DnD]],-1,0)-1,0))</f>
        <v>0</v>
      </c>
      <c r="AJ117" s="57">
        <f ca="1">IF(TblMagic[[#This Row],[Killing Rage / Bloodrage / Crusade]],12,IF(OFFSET(TblMagic[[#This Row],[Active Warsong / Killing Rage / Bloodrage]],-1,0)&gt;0,OFFSET(TblMagic[[#This Row],[Active Warsong / Killing Rage / Bloodrage]],-1,0)-1,0))</f>
        <v>0</v>
      </c>
      <c r="AK117" s="57">
        <f ca="1">IF(TblMagic[[#This Row],[Gaia''s Blessing]],12,IF(OFFSET(TblMagic[[#This Row],[Active Gaia''s Blessing]],-1,0)&gt;0,OFFSET(TblMagic[[#This Row],[Active Gaia''s Blessing]],-1,0)-1,0))</f>
        <v>0</v>
      </c>
      <c r="AL117" s="57">
        <f ca="1">IF(TblMagic[[#This Row],[Howling]],12,IF(OFFSET(TblMagic[[#This Row],[Active Howling]],-1,0)&gt;0,OFFSET(TblMagic[[#This Row],[Active Howling]],-1,0)-1,0))</f>
        <v>0</v>
      </c>
      <c r="AM117" s="57">
        <f ca="1">IF(TblMagic[[#This Row],[Arcane Infusion]],12,IF(OFFSET(TblMagic[[#This Row],[Active Arc Infusion]],-1,0)&gt;0,OFFSET(TblMagic[[#This Row],[Active Arc Infusion]],-1,0)-1,0))</f>
        <v>0</v>
      </c>
      <c r="AN117" s="57">
        <f ca="1">IF(TblMagic[[#This Row],[Alchemists Flame]],12,IF(OFFSET(TblMagic[[#This Row],[Active Alchemists Flame]],-1,0)&gt;0,OFFSET(TblMagic[[#This Row],[Active Alchemists Flame]],-1,0)-1,0))</f>
        <v>0</v>
      </c>
      <c r="AO117" s="57">
        <f ca="1">IF(TblMagic[[#This Row],[Nightfall]],12,IF(OFFSET(TblMagic[[#This Row],[Active Nightfall]],-1,0)&gt;0,OFFSET(TblMagic[[#This Row],[Active Nightfall]],-1,0)-1,0))</f>
        <v>0</v>
      </c>
      <c r="AP117" s="57">
        <f ca="1">IF(TblMagic[[#This Row],[Favorable Terrain]],12,IF(OFFSET(TblMagic[[#This Row],[Active Favorable Terrain]],-1,0)&gt;0,OFFSET(TblMagic[[#This Row],[Active Favorable Terrain]],-1,0)-1,0))</f>
        <v>0</v>
      </c>
      <c r="AQ117" s="57">
        <f ca="1">IF(TblMagic[[#This Row],[Infernal Command]],12,IF(OFFSET(TblMagic[[#This Row],[Active Infernal Command]],-1,0)&gt;0,OFFSET(TblMagic[[#This Row],[Active Infernal Command]],-1,0)-1,0))</f>
        <v>0</v>
      </c>
    </row>
    <row r="118" spans="1:43" x14ac:dyDescent="0.2">
      <c r="A118" s="137">
        <f>TblRezone[[#This Row],[Hour]]</f>
        <v>115</v>
      </c>
      <c r="B118" s="154">
        <f ca="1">TblConstr[[#This Row],[Land]]</f>
        <v>50</v>
      </c>
      <c r="C118" s="94">
        <f ca="1">TblProd[[#This Row],[Mana]]</f>
        <v>0</v>
      </c>
      <c r="D118" s="156">
        <f ca="1">MIN(1,OFFSET(TblMagic[[#This Row],[Wiz str]],-1,0)+0.04+ROUNDDOWN(10*OFFSET(TblMili[[#This Row],[WG''s]],-1,0),0)+ tech_2_7*OFFSET(TblTech[[#This Row],[2-7]],-1,0) + tech_5_6*OFFSET(TblTech[[#This Row],[5-6]],-1,0) )-TblMagic[[#This Row],[Wiz str cost]]</f>
        <v>1</v>
      </c>
      <c r="E118" s="159">
        <f ca="1">OFFSET(TblMagic[[#This Row],[Time]],-1,0)+1/24</f>
        <v>46324.749999999724</v>
      </c>
      <c r="F118" s="156">
        <f ca="1">TblImps[[#This Row],[Population]]</f>
        <v>1</v>
      </c>
      <c r="G118" s="218"/>
      <c r="H118" s="218"/>
      <c r="I118" s="218"/>
      <c r="J118" s="218"/>
      <c r="K118" s="405"/>
      <c r="L118" s="218"/>
      <c r="M118" s="218"/>
      <c r="N118" s="218"/>
      <c r="O118" s="218"/>
      <c r="P118" s="218"/>
      <c r="Q118" s="218"/>
      <c r="R118" s="218"/>
      <c r="S118" s="218"/>
      <c r="T118" s="218"/>
      <c r="U118" s="218"/>
      <c r="V118" s="218"/>
      <c r="W118" s="218"/>
      <c r="X118" s="142"/>
      <c r="Y11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8" s="156">
        <f>SUMIF(TblMagic[[#This Row],[Gaia''s Watch]:[Useless spell]],1)*0.05</f>
        <v>0</v>
      </c>
      <c r="AA118" s="142"/>
      <c r="AB118" s="57">
        <f ca="1">IF(TblMagic[[#This Row],[Gaia''s Watch]],12,IF(OFFSET(TblMagic[[#This Row],[Active Gaia''s Watch]],-1,0)&gt;0,OFFSET(TblMagic[[#This Row],[Active Gaia''s Watch]],-1,0)-1,0))</f>
        <v>0</v>
      </c>
      <c r="AC118" s="57">
        <f ca="1">IF(TblMagic[[#This Row],[Mining Strength]],12,IF(OFFSET(TblMagic[[#This Row],[Active Mining Strength]],-1,0)&gt;0,OFFSET(TblMagic[[#This Row],[Active Mining Strength]],-1,0)-1,0))</f>
        <v>0</v>
      </c>
      <c r="AD118" s="57">
        <f ca="1">IF(TblMagic[[#This Row],[Ares Call]],12,IF(OFFSET(TblMagic[[#This Row],[Active Ares Call]],-1,0)&gt;0,OFFSET(TblMagic[[#This Row],[Active Ares Call]],-1,0)-1,0))</f>
        <v>0</v>
      </c>
      <c r="AE118" s="57">
        <f ca="1">IF(TblMagic[[#This Row],[Midas Touch]],12,IF(OFFSET(TblMagic[[#This Row],[Active Midas Touch]],-1,0)&gt;0,OFFSET(TblMagic[[#This Row],[Active Midas Touch]],-1,0)-1,0))</f>
        <v>0</v>
      </c>
      <c r="AF118" s="57">
        <f ca="1">IF(TblMagic[[#This Row],[Harmony]],12,IF(OFFSET(TblMagic[[#This Row],[Active Harmony]],-1,0)&gt;0,OFFSET(TblMagic[[#This Row],[Active Harmony]],-1,0)-1,0))</f>
        <v>0</v>
      </c>
      <c r="AG118" s="57">
        <f ca="1">IF(TblMagic[[#This Row],[Miner''s Sight]],12,IF(OFFSET(TblMagic[[#This Row],[Active Miner''s Sight]],-1,0)&gt;0,OFFSET(TblMagic[[#This Row],[Active Miner''s Sight]],-1,0)-1,0))</f>
        <v>0</v>
      </c>
      <c r="AH118" s="57">
        <f ca="1">IF(TblMagic[[#This Row],[Mechanical Genius]],12,IF(OFFSET(TblMagic[[#This Row],[Active Mechanical Genius]],-1,0)&gt;0,OFFSET(TblMagic[[#This Row],[Active Mechanical Genius]],-1,0)-1,0))</f>
        <v>0</v>
      </c>
      <c r="AI118" s="57">
        <f ca="1">IF(TblMagic[[#This Row],[Death and Decay]],12,IF(OFFSET(TblMagic[[#This Row],[Active DnD]],-1,0)&gt;0,OFFSET(TblMagic[[#This Row],[Active DnD]],-1,0)-1,0))</f>
        <v>0</v>
      </c>
      <c r="AJ118" s="57">
        <f ca="1">IF(TblMagic[[#This Row],[Killing Rage / Bloodrage / Crusade]],12,IF(OFFSET(TblMagic[[#This Row],[Active Warsong / Killing Rage / Bloodrage]],-1,0)&gt;0,OFFSET(TblMagic[[#This Row],[Active Warsong / Killing Rage / Bloodrage]],-1,0)-1,0))</f>
        <v>0</v>
      </c>
      <c r="AK118" s="57">
        <f ca="1">IF(TblMagic[[#This Row],[Gaia''s Blessing]],12,IF(OFFSET(TblMagic[[#This Row],[Active Gaia''s Blessing]],-1,0)&gt;0,OFFSET(TblMagic[[#This Row],[Active Gaia''s Blessing]],-1,0)-1,0))</f>
        <v>0</v>
      </c>
      <c r="AL118" s="57">
        <f ca="1">IF(TblMagic[[#This Row],[Howling]],12,IF(OFFSET(TblMagic[[#This Row],[Active Howling]],-1,0)&gt;0,OFFSET(TblMagic[[#This Row],[Active Howling]],-1,0)-1,0))</f>
        <v>0</v>
      </c>
      <c r="AM118" s="57">
        <f ca="1">IF(TblMagic[[#This Row],[Arcane Infusion]],12,IF(OFFSET(TblMagic[[#This Row],[Active Arc Infusion]],-1,0)&gt;0,OFFSET(TblMagic[[#This Row],[Active Arc Infusion]],-1,0)-1,0))</f>
        <v>0</v>
      </c>
      <c r="AN118" s="57">
        <f ca="1">IF(TblMagic[[#This Row],[Alchemists Flame]],12,IF(OFFSET(TblMagic[[#This Row],[Active Alchemists Flame]],-1,0)&gt;0,OFFSET(TblMagic[[#This Row],[Active Alchemists Flame]],-1,0)-1,0))</f>
        <v>0</v>
      </c>
      <c r="AO118" s="57">
        <f ca="1">IF(TblMagic[[#This Row],[Nightfall]],12,IF(OFFSET(TblMagic[[#This Row],[Active Nightfall]],-1,0)&gt;0,OFFSET(TblMagic[[#This Row],[Active Nightfall]],-1,0)-1,0))</f>
        <v>0</v>
      </c>
      <c r="AP118" s="57">
        <f ca="1">IF(TblMagic[[#This Row],[Favorable Terrain]],12,IF(OFFSET(TblMagic[[#This Row],[Active Favorable Terrain]],-1,0)&gt;0,OFFSET(TblMagic[[#This Row],[Active Favorable Terrain]],-1,0)-1,0))</f>
        <v>0</v>
      </c>
      <c r="AQ118" s="57">
        <f ca="1">IF(TblMagic[[#This Row],[Infernal Command]],12,IF(OFFSET(TblMagic[[#This Row],[Active Infernal Command]],-1,0)&gt;0,OFFSET(TblMagic[[#This Row],[Active Infernal Command]],-1,0)-1,0))</f>
        <v>0</v>
      </c>
    </row>
    <row r="119" spans="1:43" x14ac:dyDescent="0.2">
      <c r="A119" s="137">
        <f>TblRezone[[#This Row],[Hour]]</f>
        <v>116</v>
      </c>
      <c r="B119" s="154">
        <f ca="1">TblConstr[[#This Row],[Land]]</f>
        <v>50</v>
      </c>
      <c r="C119" s="94">
        <f ca="1">TblProd[[#This Row],[Mana]]</f>
        <v>0</v>
      </c>
      <c r="D119" s="156">
        <f ca="1">MIN(1,OFFSET(TblMagic[[#This Row],[Wiz str]],-1,0)+0.04+ROUNDDOWN(10*OFFSET(TblMili[[#This Row],[WG''s]],-1,0),0)+ tech_2_7*OFFSET(TblTech[[#This Row],[2-7]],-1,0) + tech_5_6*OFFSET(TblTech[[#This Row],[5-6]],-1,0) )-TblMagic[[#This Row],[Wiz str cost]]</f>
        <v>1</v>
      </c>
      <c r="E119" s="159">
        <f ca="1">OFFSET(TblMagic[[#This Row],[Time]],-1,0)+1/24</f>
        <v>46324.791666666388</v>
      </c>
      <c r="F119" s="156">
        <f ca="1">TblImps[[#This Row],[Population]]</f>
        <v>1</v>
      </c>
      <c r="G119" s="218"/>
      <c r="H119" s="218"/>
      <c r="I119" s="218"/>
      <c r="J119" s="218"/>
      <c r="K119" s="405"/>
      <c r="L119" s="218"/>
      <c r="M119" s="218"/>
      <c r="N119" s="218"/>
      <c r="O119" s="218"/>
      <c r="P119" s="218"/>
      <c r="Q119" s="218"/>
      <c r="R119" s="218"/>
      <c r="S119" s="218"/>
      <c r="T119" s="218"/>
      <c r="U119" s="218"/>
      <c r="V119" s="218"/>
      <c r="W119" s="218"/>
      <c r="X119" s="142"/>
      <c r="Y11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9" s="156">
        <f>SUMIF(TblMagic[[#This Row],[Gaia''s Watch]:[Useless spell]],1)*0.05</f>
        <v>0</v>
      </c>
      <c r="AA119" s="142"/>
      <c r="AB119" s="57">
        <f ca="1">IF(TblMagic[[#This Row],[Gaia''s Watch]],12,IF(OFFSET(TblMagic[[#This Row],[Active Gaia''s Watch]],-1,0)&gt;0,OFFSET(TblMagic[[#This Row],[Active Gaia''s Watch]],-1,0)-1,0))</f>
        <v>0</v>
      </c>
      <c r="AC119" s="57">
        <f ca="1">IF(TblMagic[[#This Row],[Mining Strength]],12,IF(OFFSET(TblMagic[[#This Row],[Active Mining Strength]],-1,0)&gt;0,OFFSET(TblMagic[[#This Row],[Active Mining Strength]],-1,0)-1,0))</f>
        <v>0</v>
      </c>
      <c r="AD119" s="57">
        <f ca="1">IF(TblMagic[[#This Row],[Ares Call]],12,IF(OFFSET(TblMagic[[#This Row],[Active Ares Call]],-1,0)&gt;0,OFFSET(TblMagic[[#This Row],[Active Ares Call]],-1,0)-1,0))</f>
        <v>0</v>
      </c>
      <c r="AE119" s="57">
        <f ca="1">IF(TblMagic[[#This Row],[Midas Touch]],12,IF(OFFSET(TblMagic[[#This Row],[Active Midas Touch]],-1,0)&gt;0,OFFSET(TblMagic[[#This Row],[Active Midas Touch]],-1,0)-1,0))</f>
        <v>0</v>
      </c>
      <c r="AF119" s="57">
        <f ca="1">IF(TblMagic[[#This Row],[Harmony]],12,IF(OFFSET(TblMagic[[#This Row],[Active Harmony]],-1,0)&gt;0,OFFSET(TblMagic[[#This Row],[Active Harmony]],-1,0)-1,0))</f>
        <v>0</v>
      </c>
      <c r="AG119" s="57">
        <f ca="1">IF(TblMagic[[#This Row],[Miner''s Sight]],12,IF(OFFSET(TblMagic[[#This Row],[Active Miner''s Sight]],-1,0)&gt;0,OFFSET(TblMagic[[#This Row],[Active Miner''s Sight]],-1,0)-1,0))</f>
        <v>0</v>
      </c>
      <c r="AH119" s="57">
        <f ca="1">IF(TblMagic[[#This Row],[Mechanical Genius]],12,IF(OFFSET(TblMagic[[#This Row],[Active Mechanical Genius]],-1,0)&gt;0,OFFSET(TblMagic[[#This Row],[Active Mechanical Genius]],-1,0)-1,0))</f>
        <v>0</v>
      </c>
      <c r="AI119" s="57">
        <f ca="1">IF(TblMagic[[#This Row],[Death and Decay]],12,IF(OFFSET(TblMagic[[#This Row],[Active DnD]],-1,0)&gt;0,OFFSET(TblMagic[[#This Row],[Active DnD]],-1,0)-1,0))</f>
        <v>0</v>
      </c>
      <c r="AJ119" s="57">
        <f ca="1">IF(TblMagic[[#This Row],[Killing Rage / Bloodrage / Crusade]],12,IF(OFFSET(TblMagic[[#This Row],[Active Warsong / Killing Rage / Bloodrage]],-1,0)&gt;0,OFFSET(TblMagic[[#This Row],[Active Warsong / Killing Rage / Bloodrage]],-1,0)-1,0))</f>
        <v>0</v>
      </c>
      <c r="AK119" s="57">
        <f ca="1">IF(TblMagic[[#This Row],[Gaia''s Blessing]],12,IF(OFFSET(TblMagic[[#This Row],[Active Gaia''s Blessing]],-1,0)&gt;0,OFFSET(TblMagic[[#This Row],[Active Gaia''s Blessing]],-1,0)-1,0))</f>
        <v>0</v>
      </c>
      <c r="AL119" s="57">
        <f ca="1">IF(TblMagic[[#This Row],[Howling]],12,IF(OFFSET(TblMagic[[#This Row],[Active Howling]],-1,0)&gt;0,OFFSET(TblMagic[[#This Row],[Active Howling]],-1,0)-1,0))</f>
        <v>0</v>
      </c>
      <c r="AM119" s="57">
        <f ca="1">IF(TblMagic[[#This Row],[Arcane Infusion]],12,IF(OFFSET(TblMagic[[#This Row],[Active Arc Infusion]],-1,0)&gt;0,OFFSET(TblMagic[[#This Row],[Active Arc Infusion]],-1,0)-1,0))</f>
        <v>0</v>
      </c>
      <c r="AN119" s="57">
        <f ca="1">IF(TblMagic[[#This Row],[Alchemists Flame]],12,IF(OFFSET(TblMagic[[#This Row],[Active Alchemists Flame]],-1,0)&gt;0,OFFSET(TblMagic[[#This Row],[Active Alchemists Flame]],-1,0)-1,0))</f>
        <v>0</v>
      </c>
      <c r="AO119" s="57">
        <f ca="1">IF(TblMagic[[#This Row],[Nightfall]],12,IF(OFFSET(TblMagic[[#This Row],[Active Nightfall]],-1,0)&gt;0,OFFSET(TblMagic[[#This Row],[Active Nightfall]],-1,0)-1,0))</f>
        <v>0</v>
      </c>
      <c r="AP119" s="57">
        <f ca="1">IF(TblMagic[[#This Row],[Favorable Terrain]],12,IF(OFFSET(TblMagic[[#This Row],[Active Favorable Terrain]],-1,0)&gt;0,OFFSET(TblMagic[[#This Row],[Active Favorable Terrain]],-1,0)-1,0))</f>
        <v>0</v>
      </c>
      <c r="AQ119" s="57">
        <f ca="1">IF(TblMagic[[#This Row],[Infernal Command]],12,IF(OFFSET(TblMagic[[#This Row],[Active Infernal Command]],-1,0)&gt;0,OFFSET(TblMagic[[#This Row],[Active Infernal Command]],-1,0)-1,0))</f>
        <v>0</v>
      </c>
    </row>
    <row r="120" spans="1:43" x14ac:dyDescent="0.2">
      <c r="A120" s="137">
        <f>TblRezone[[#This Row],[Hour]]</f>
        <v>117</v>
      </c>
      <c r="B120" s="154">
        <f ca="1">TblConstr[[#This Row],[Land]]</f>
        <v>50</v>
      </c>
      <c r="C120" s="94">
        <f ca="1">TblProd[[#This Row],[Mana]]</f>
        <v>0</v>
      </c>
      <c r="D120" s="156">
        <f ca="1">MIN(1,OFFSET(TblMagic[[#This Row],[Wiz str]],-1,0)+0.04+ROUNDDOWN(10*OFFSET(TblMili[[#This Row],[WG''s]],-1,0),0)+ tech_2_7*OFFSET(TblTech[[#This Row],[2-7]],-1,0) + tech_5_6*OFFSET(TblTech[[#This Row],[5-6]],-1,0) )-TblMagic[[#This Row],[Wiz str cost]]</f>
        <v>1</v>
      </c>
      <c r="E120" s="159">
        <f ca="1">OFFSET(TblMagic[[#This Row],[Time]],-1,0)+1/24</f>
        <v>46324.833333333052</v>
      </c>
      <c r="F120" s="156">
        <f ca="1">TblImps[[#This Row],[Population]]</f>
        <v>1</v>
      </c>
      <c r="G120" s="218"/>
      <c r="H120" s="218"/>
      <c r="I120" s="218"/>
      <c r="J120" s="218"/>
      <c r="K120" s="405"/>
      <c r="L120" s="218"/>
      <c r="M120" s="218"/>
      <c r="N120" s="218"/>
      <c r="O120" s="218"/>
      <c r="P120" s="218"/>
      <c r="Q120" s="218"/>
      <c r="R120" s="218"/>
      <c r="S120" s="218"/>
      <c r="T120" s="218"/>
      <c r="U120" s="218"/>
      <c r="V120" s="218"/>
      <c r="W120" s="218"/>
      <c r="X120" s="142"/>
      <c r="Y12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0" s="156">
        <f>SUMIF(TblMagic[[#This Row],[Gaia''s Watch]:[Useless spell]],1)*0.05</f>
        <v>0</v>
      </c>
      <c r="AA120" s="142"/>
      <c r="AB120" s="57">
        <f ca="1">IF(TblMagic[[#This Row],[Gaia''s Watch]],12,IF(OFFSET(TblMagic[[#This Row],[Active Gaia''s Watch]],-1,0)&gt;0,OFFSET(TblMagic[[#This Row],[Active Gaia''s Watch]],-1,0)-1,0))</f>
        <v>0</v>
      </c>
      <c r="AC120" s="57">
        <f ca="1">IF(TblMagic[[#This Row],[Mining Strength]],12,IF(OFFSET(TblMagic[[#This Row],[Active Mining Strength]],-1,0)&gt;0,OFFSET(TblMagic[[#This Row],[Active Mining Strength]],-1,0)-1,0))</f>
        <v>0</v>
      </c>
      <c r="AD120" s="57">
        <f ca="1">IF(TblMagic[[#This Row],[Ares Call]],12,IF(OFFSET(TblMagic[[#This Row],[Active Ares Call]],-1,0)&gt;0,OFFSET(TblMagic[[#This Row],[Active Ares Call]],-1,0)-1,0))</f>
        <v>0</v>
      </c>
      <c r="AE120" s="57">
        <f ca="1">IF(TblMagic[[#This Row],[Midas Touch]],12,IF(OFFSET(TblMagic[[#This Row],[Active Midas Touch]],-1,0)&gt;0,OFFSET(TblMagic[[#This Row],[Active Midas Touch]],-1,0)-1,0))</f>
        <v>0</v>
      </c>
      <c r="AF120" s="57">
        <f ca="1">IF(TblMagic[[#This Row],[Harmony]],12,IF(OFFSET(TblMagic[[#This Row],[Active Harmony]],-1,0)&gt;0,OFFSET(TblMagic[[#This Row],[Active Harmony]],-1,0)-1,0))</f>
        <v>0</v>
      </c>
      <c r="AG120" s="57">
        <f ca="1">IF(TblMagic[[#This Row],[Miner''s Sight]],12,IF(OFFSET(TblMagic[[#This Row],[Active Miner''s Sight]],-1,0)&gt;0,OFFSET(TblMagic[[#This Row],[Active Miner''s Sight]],-1,0)-1,0))</f>
        <v>0</v>
      </c>
      <c r="AH120" s="57">
        <f ca="1">IF(TblMagic[[#This Row],[Mechanical Genius]],12,IF(OFFSET(TblMagic[[#This Row],[Active Mechanical Genius]],-1,0)&gt;0,OFFSET(TblMagic[[#This Row],[Active Mechanical Genius]],-1,0)-1,0))</f>
        <v>0</v>
      </c>
      <c r="AI120" s="57">
        <f ca="1">IF(TblMagic[[#This Row],[Death and Decay]],12,IF(OFFSET(TblMagic[[#This Row],[Active DnD]],-1,0)&gt;0,OFFSET(TblMagic[[#This Row],[Active DnD]],-1,0)-1,0))</f>
        <v>0</v>
      </c>
      <c r="AJ120" s="57">
        <f ca="1">IF(TblMagic[[#This Row],[Killing Rage / Bloodrage / Crusade]],12,IF(OFFSET(TblMagic[[#This Row],[Active Warsong / Killing Rage / Bloodrage]],-1,0)&gt;0,OFFSET(TblMagic[[#This Row],[Active Warsong / Killing Rage / Bloodrage]],-1,0)-1,0))</f>
        <v>0</v>
      </c>
      <c r="AK120" s="57">
        <f ca="1">IF(TblMagic[[#This Row],[Gaia''s Blessing]],12,IF(OFFSET(TblMagic[[#This Row],[Active Gaia''s Blessing]],-1,0)&gt;0,OFFSET(TblMagic[[#This Row],[Active Gaia''s Blessing]],-1,0)-1,0))</f>
        <v>0</v>
      </c>
      <c r="AL120" s="57">
        <f ca="1">IF(TblMagic[[#This Row],[Howling]],12,IF(OFFSET(TblMagic[[#This Row],[Active Howling]],-1,0)&gt;0,OFFSET(TblMagic[[#This Row],[Active Howling]],-1,0)-1,0))</f>
        <v>0</v>
      </c>
      <c r="AM120" s="57">
        <f ca="1">IF(TblMagic[[#This Row],[Arcane Infusion]],12,IF(OFFSET(TblMagic[[#This Row],[Active Arc Infusion]],-1,0)&gt;0,OFFSET(TblMagic[[#This Row],[Active Arc Infusion]],-1,0)-1,0))</f>
        <v>0</v>
      </c>
      <c r="AN120" s="57">
        <f ca="1">IF(TblMagic[[#This Row],[Alchemists Flame]],12,IF(OFFSET(TblMagic[[#This Row],[Active Alchemists Flame]],-1,0)&gt;0,OFFSET(TblMagic[[#This Row],[Active Alchemists Flame]],-1,0)-1,0))</f>
        <v>0</v>
      </c>
      <c r="AO120" s="57">
        <f ca="1">IF(TblMagic[[#This Row],[Nightfall]],12,IF(OFFSET(TblMagic[[#This Row],[Active Nightfall]],-1,0)&gt;0,OFFSET(TblMagic[[#This Row],[Active Nightfall]],-1,0)-1,0))</f>
        <v>0</v>
      </c>
      <c r="AP120" s="57">
        <f ca="1">IF(TblMagic[[#This Row],[Favorable Terrain]],12,IF(OFFSET(TblMagic[[#This Row],[Active Favorable Terrain]],-1,0)&gt;0,OFFSET(TblMagic[[#This Row],[Active Favorable Terrain]],-1,0)-1,0))</f>
        <v>0</v>
      </c>
      <c r="AQ120" s="57">
        <f ca="1">IF(TblMagic[[#This Row],[Infernal Command]],12,IF(OFFSET(TblMagic[[#This Row],[Active Infernal Command]],-1,0)&gt;0,OFFSET(TblMagic[[#This Row],[Active Infernal Command]],-1,0)-1,0))</f>
        <v>0</v>
      </c>
    </row>
    <row r="121" spans="1:43" x14ac:dyDescent="0.2">
      <c r="A121" s="137">
        <f>TblRezone[[#This Row],[Hour]]</f>
        <v>118</v>
      </c>
      <c r="B121" s="154">
        <f ca="1">TblConstr[[#This Row],[Land]]</f>
        <v>50</v>
      </c>
      <c r="C121" s="94">
        <f ca="1">TblProd[[#This Row],[Mana]]</f>
        <v>0</v>
      </c>
      <c r="D121" s="156">
        <f ca="1">MIN(1,OFFSET(TblMagic[[#This Row],[Wiz str]],-1,0)+0.04+ROUNDDOWN(10*OFFSET(TblMili[[#This Row],[WG''s]],-1,0),0)+ tech_2_7*OFFSET(TblTech[[#This Row],[2-7]],-1,0) + tech_5_6*OFFSET(TblTech[[#This Row],[5-6]],-1,0) )-TblMagic[[#This Row],[Wiz str cost]]</f>
        <v>1</v>
      </c>
      <c r="E121" s="159">
        <f ca="1">OFFSET(TblMagic[[#This Row],[Time]],-1,0)+1/24</f>
        <v>46324.874999999716</v>
      </c>
      <c r="F121" s="156">
        <f ca="1">TblImps[[#This Row],[Population]]</f>
        <v>1</v>
      </c>
      <c r="G121" s="218"/>
      <c r="H121" s="218"/>
      <c r="I121" s="218"/>
      <c r="J121" s="218"/>
      <c r="K121" s="405"/>
      <c r="L121" s="218"/>
      <c r="M121" s="218"/>
      <c r="N121" s="218"/>
      <c r="O121" s="218"/>
      <c r="P121" s="218"/>
      <c r="Q121" s="218"/>
      <c r="R121" s="218"/>
      <c r="S121" s="218"/>
      <c r="T121" s="218"/>
      <c r="U121" s="218"/>
      <c r="V121" s="218"/>
      <c r="W121" s="218"/>
      <c r="X121" s="142"/>
      <c r="Y12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1" s="156">
        <f>SUMIF(TblMagic[[#This Row],[Gaia''s Watch]:[Useless spell]],1)*0.05</f>
        <v>0</v>
      </c>
      <c r="AA121" s="142"/>
      <c r="AB121" s="57">
        <f ca="1">IF(TblMagic[[#This Row],[Gaia''s Watch]],12,IF(OFFSET(TblMagic[[#This Row],[Active Gaia''s Watch]],-1,0)&gt;0,OFFSET(TblMagic[[#This Row],[Active Gaia''s Watch]],-1,0)-1,0))</f>
        <v>0</v>
      </c>
      <c r="AC121" s="57">
        <f ca="1">IF(TblMagic[[#This Row],[Mining Strength]],12,IF(OFFSET(TblMagic[[#This Row],[Active Mining Strength]],-1,0)&gt;0,OFFSET(TblMagic[[#This Row],[Active Mining Strength]],-1,0)-1,0))</f>
        <v>0</v>
      </c>
      <c r="AD121" s="57">
        <f ca="1">IF(TblMagic[[#This Row],[Ares Call]],12,IF(OFFSET(TblMagic[[#This Row],[Active Ares Call]],-1,0)&gt;0,OFFSET(TblMagic[[#This Row],[Active Ares Call]],-1,0)-1,0))</f>
        <v>0</v>
      </c>
      <c r="AE121" s="57">
        <f ca="1">IF(TblMagic[[#This Row],[Midas Touch]],12,IF(OFFSET(TblMagic[[#This Row],[Active Midas Touch]],-1,0)&gt;0,OFFSET(TblMagic[[#This Row],[Active Midas Touch]],-1,0)-1,0))</f>
        <v>0</v>
      </c>
      <c r="AF121" s="57">
        <f ca="1">IF(TblMagic[[#This Row],[Harmony]],12,IF(OFFSET(TblMagic[[#This Row],[Active Harmony]],-1,0)&gt;0,OFFSET(TblMagic[[#This Row],[Active Harmony]],-1,0)-1,0))</f>
        <v>0</v>
      </c>
      <c r="AG121" s="57">
        <f ca="1">IF(TblMagic[[#This Row],[Miner''s Sight]],12,IF(OFFSET(TblMagic[[#This Row],[Active Miner''s Sight]],-1,0)&gt;0,OFFSET(TblMagic[[#This Row],[Active Miner''s Sight]],-1,0)-1,0))</f>
        <v>0</v>
      </c>
      <c r="AH121" s="57">
        <f ca="1">IF(TblMagic[[#This Row],[Mechanical Genius]],12,IF(OFFSET(TblMagic[[#This Row],[Active Mechanical Genius]],-1,0)&gt;0,OFFSET(TblMagic[[#This Row],[Active Mechanical Genius]],-1,0)-1,0))</f>
        <v>0</v>
      </c>
      <c r="AI121" s="57">
        <f ca="1">IF(TblMagic[[#This Row],[Death and Decay]],12,IF(OFFSET(TblMagic[[#This Row],[Active DnD]],-1,0)&gt;0,OFFSET(TblMagic[[#This Row],[Active DnD]],-1,0)-1,0))</f>
        <v>0</v>
      </c>
      <c r="AJ121" s="57">
        <f ca="1">IF(TblMagic[[#This Row],[Killing Rage / Bloodrage / Crusade]],12,IF(OFFSET(TblMagic[[#This Row],[Active Warsong / Killing Rage / Bloodrage]],-1,0)&gt;0,OFFSET(TblMagic[[#This Row],[Active Warsong / Killing Rage / Bloodrage]],-1,0)-1,0))</f>
        <v>0</v>
      </c>
      <c r="AK121" s="57">
        <f ca="1">IF(TblMagic[[#This Row],[Gaia''s Blessing]],12,IF(OFFSET(TblMagic[[#This Row],[Active Gaia''s Blessing]],-1,0)&gt;0,OFFSET(TblMagic[[#This Row],[Active Gaia''s Blessing]],-1,0)-1,0))</f>
        <v>0</v>
      </c>
      <c r="AL121" s="57">
        <f ca="1">IF(TblMagic[[#This Row],[Howling]],12,IF(OFFSET(TblMagic[[#This Row],[Active Howling]],-1,0)&gt;0,OFFSET(TblMagic[[#This Row],[Active Howling]],-1,0)-1,0))</f>
        <v>0</v>
      </c>
      <c r="AM121" s="57">
        <f ca="1">IF(TblMagic[[#This Row],[Arcane Infusion]],12,IF(OFFSET(TblMagic[[#This Row],[Active Arc Infusion]],-1,0)&gt;0,OFFSET(TblMagic[[#This Row],[Active Arc Infusion]],-1,0)-1,0))</f>
        <v>0</v>
      </c>
      <c r="AN121" s="57">
        <f ca="1">IF(TblMagic[[#This Row],[Alchemists Flame]],12,IF(OFFSET(TblMagic[[#This Row],[Active Alchemists Flame]],-1,0)&gt;0,OFFSET(TblMagic[[#This Row],[Active Alchemists Flame]],-1,0)-1,0))</f>
        <v>0</v>
      </c>
      <c r="AO121" s="57">
        <f ca="1">IF(TblMagic[[#This Row],[Nightfall]],12,IF(OFFSET(TblMagic[[#This Row],[Active Nightfall]],-1,0)&gt;0,OFFSET(TblMagic[[#This Row],[Active Nightfall]],-1,0)-1,0))</f>
        <v>0</v>
      </c>
      <c r="AP121" s="57">
        <f ca="1">IF(TblMagic[[#This Row],[Favorable Terrain]],12,IF(OFFSET(TblMagic[[#This Row],[Active Favorable Terrain]],-1,0)&gt;0,OFFSET(TblMagic[[#This Row],[Active Favorable Terrain]],-1,0)-1,0))</f>
        <v>0</v>
      </c>
      <c r="AQ121" s="57">
        <f ca="1">IF(TblMagic[[#This Row],[Infernal Command]],12,IF(OFFSET(TblMagic[[#This Row],[Active Infernal Command]],-1,0)&gt;0,OFFSET(TblMagic[[#This Row],[Active Infernal Command]],-1,0)-1,0))</f>
        <v>0</v>
      </c>
    </row>
    <row r="122" spans="1:43" x14ac:dyDescent="0.2">
      <c r="A122" s="137">
        <f>TblRezone[[#This Row],[Hour]]</f>
        <v>119</v>
      </c>
      <c r="B122" s="154">
        <f ca="1">TblConstr[[#This Row],[Land]]</f>
        <v>50</v>
      </c>
      <c r="C122" s="94">
        <f ca="1">TblProd[[#This Row],[Mana]]</f>
        <v>0</v>
      </c>
      <c r="D122" s="156">
        <f ca="1">MIN(1,OFFSET(TblMagic[[#This Row],[Wiz str]],-1,0)+0.04+ROUNDDOWN(10*OFFSET(TblMili[[#This Row],[WG''s]],-1,0),0)+ tech_2_7*OFFSET(TblTech[[#This Row],[2-7]],-1,0) + tech_5_6*OFFSET(TblTech[[#This Row],[5-6]],-1,0) )-TblMagic[[#This Row],[Wiz str cost]]</f>
        <v>1</v>
      </c>
      <c r="E122" s="159">
        <f ca="1">OFFSET(TblMagic[[#This Row],[Time]],-1,0)+1/24</f>
        <v>46324.91666666638</v>
      </c>
      <c r="F122" s="156">
        <f ca="1">TblImps[[#This Row],[Population]]</f>
        <v>1</v>
      </c>
      <c r="G122" s="218"/>
      <c r="H122" s="218"/>
      <c r="I122" s="218"/>
      <c r="J122" s="218"/>
      <c r="K122" s="405"/>
      <c r="L122" s="218"/>
      <c r="M122" s="218"/>
      <c r="N122" s="218"/>
      <c r="O122" s="218"/>
      <c r="P122" s="218"/>
      <c r="Q122" s="218"/>
      <c r="R122" s="218"/>
      <c r="S122" s="218"/>
      <c r="T122" s="218"/>
      <c r="U122" s="218"/>
      <c r="V122" s="218"/>
      <c r="W122" s="218"/>
      <c r="X122" s="142"/>
      <c r="Y12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2" s="156">
        <f>SUMIF(TblMagic[[#This Row],[Gaia''s Watch]:[Useless spell]],1)*0.05</f>
        <v>0</v>
      </c>
      <c r="AA122" s="142"/>
      <c r="AB122" s="57">
        <f ca="1">IF(TblMagic[[#This Row],[Gaia''s Watch]],12,IF(OFFSET(TblMagic[[#This Row],[Active Gaia''s Watch]],-1,0)&gt;0,OFFSET(TblMagic[[#This Row],[Active Gaia''s Watch]],-1,0)-1,0))</f>
        <v>0</v>
      </c>
      <c r="AC122" s="57">
        <f ca="1">IF(TblMagic[[#This Row],[Mining Strength]],12,IF(OFFSET(TblMagic[[#This Row],[Active Mining Strength]],-1,0)&gt;0,OFFSET(TblMagic[[#This Row],[Active Mining Strength]],-1,0)-1,0))</f>
        <v>0</v>
      </c>
      <c r="AD122" s="57">
        <f ca="1">IF(TblMagic[[#This Row],[Ares Call]],12,IF(OFFSET(TblMagic[[#This Row],[Active Ares Call]],-1,0)&gt;0,OFFSET(TblMagic[[#This Row],[Active Ares Call]],-1,0)-1,0))</f>
        <v>0</v>
      </c>
      <c r="AE122" s="57">
        <f ca="1">IF(TblMagic[[#This Row],[Midas Touch]],12,IF(OFFSET(TblMagic[[#This Row],[Active Midas Touch]],-1,0)&gt;0,OFFSET(TblMagic[[#This Row],[Active Midas Touch]],-1,0)-1,0))</f>
        <v>0</v>
      </c>
      <c r="AF122" s="57">
        <f ca="1">IF(TblMagic[[#This Row],[Harmony]],12,IF(OFFSET(TblMagic[[#This Row],[Active Harmony]],-1,0)&gt;0,OFFSET(TblMagic[[#This Row],[Active Harmony]],-1,0)-1,0))</f>
        <v>0</v>
      </c>
      <c r="AG122" s="57">
        <f ca="1">IF(TblMagic[[#This Row],[Miner''s Sight]],12,IF(OFFSET(TblMagic[[#This Row],[Active Miner''s Sight]],-1,0)&gt;0,OFFSET(TblMagic[[#This Row],[Active Miner''s Sight]],-1,0)-1,0))</f>
        <v>0</v>
      </c>
      <c r="AH122" s="57">
        <f ca="1">IF(TblMagic[[#This Row],[Mechanical Genius]],12,IF(OFFSET(TblMagic[[#This Row],[Active Mechanical Genius]],-1,0)&gt;0,OFFSET(TblMagic[[#This Row],[Active Mechanical Genius]],-1,0)-1,0))</f>
        <v>0</v>
      </c>
      <c r="AI122" s="57">
        <f ca="1">IF(TblMagic[[#This Row],[Death and Decay]],12,IF(OFFSET(TblMagic[[#This Row],[Active DnD]],-1,0)&gt;0,OFFSET(TblMagic[[#This Row],[Active DnD]],-1,0)-1,0))</f>
        <v>0</v>
      </c>
      <c r="AJ122" s="57">
        <f ca="1">IF(TblMagic[[#This Row],[Killing Rage / Bloodrage / Crusade]],12,IF(OFFSET(TblMagic[[#This Row],[Active Warsong / Killing Rage / Bloodrage]],-1,0)&gt;0,OFFSET(TblMagic[[#This Row],[Active Warsong / Killing Rage / Bloodrage]],-1,0)-1,0))</f>
        <v>0</v>
      </c>
      <c r="AK122" s="57">
        <f ca="1">IF(TblMagic[[#This Row],[Gaia''s Blessing]],12,IF(OFFSET(TblMagic[[#This Row],[Active Gaia''s Blessing]],-1,0)&gt;0,OFFSET(TblMagic[[#This Row],[Active Gaia''s Blessing]],-1,0)-1,0))</f>
        <v>0</v>
      </c>
      <c r="AL122" s="57">
        <f ca="1">IF(TblMagic[[#This Row],[Howling]],12,IF(OFFSET(TblMagic[[#This Row],[Active Howling]],-1,0)&gt;0,OFFSET(TblMagic[[#This Row],[Active Howling]],-1,0)-1,0))</f>
        <v>0</v>
      </c>
      <c r="AM122" s="57">
        <f ca="1">IF(TblMagic[[#This Row],[Arcane Infusion]],12,IF(OFFSET(TblMagic[[#This Row],[Active Arc Infusion]],-1,0)&gt;0,OFFSET(TblMagic[[#This Row],[Active Arc Infusion]],-1,0)-1,0))</f>
        <v>0</v>
      </c>
      <c r="AN122" s="57">
        <f ca="1">IF(TblMagic[[#This Row],[Alchemists Flame]],12,IF(OFFSET(TblMagic[[#This Row],[Active Alchemists Flame]],-1,0)&gt;0,OFFSET(TblMagic[[#This Row],[Active Alchemists Flame]],-1,0)-1,0))</f>
        <v>0</v>
      </c>
      <c r="AO122" s="57">
        <f ca="1">IF(TblMagic[[#This Row],[Nightfall]],12,IF(OFFSET(TblMagic[[#This Row],[Active Nightfall]],-1,0)&gt;0,OFFSET(TblMagic[[#This Row],[Active Nightfall]],-1,0)-1,0))</f>
        <v>0</v>
      </c>
      <c r="AP122" s="57">
        <f ca="1">IF(TblMagic[[#This Row],[Favorable Terrain]],12,IF(OFFSET(TblMagic[[#This Row],[Active Favorable Terrain]],-1,0)&gt;0,OFFSET(TblMagic[[#This Row],[Active Favorable Terrain]],-1,0)-1,0))</f>
        <v>0</v>
      </c>
      <c r="AQ122" s="57">
        <f ca="1">IF(TblMagic[[#This Row],[Infernal Command]],12,IF(OFFSET(TblMagic[[#This Row],[Active Infernal Command]],-1,0)&gt;0,OFFSET(TblMagic[[#This Row],[Active Infernal Command]],-1,0)-1,0))</f>
        <v>0</v>
      </c>
    </row>
    <row r="123" spans="1:43" x14ac:dyDescent="0.2">
      <c r="A123" s="137">
        <f>TblRezone[[#This Row],[Hour]]</f>
        <v>120</v>
      </c>
      <c r="B123" s="154">
        <f ca="1">TblConstr[[#This Row],[Land]]</f>
        <v>50</v>
      </c>
      <c r="C123" s="94">
        <f ca="1">TblProd[[#This Row],[Mana]]</f>
        <v>0</v>
      </c>
      <c r="D123" s="156">
        <f ca="1">MIN(1,OFFSET(TblMagic[[#This Row],[Wiz str]],-1,0)+0.04+ROUNDDOWN(10*OFFSET(TblMili[[#This Row],[WG''s]],-1,0),0)+ tech_2_7*OFFSET(TblTech[[#This Row],[2-7]],-1,0) + tech_5_6*OFFSET(TblTech[[#This Row],[5-6]],-1,0) )-TblMagic[[#This Row],[Wiz str cost]]</f>
        <v>1</v>
      </c>
      <c r="E123" s="159">
        <f ca="1">OFFSET(TblMagic[[#This Row],[Time]],-1,0)+1/24</f>
        <v>46324.958333333045</v>
      </c>
      <c r="F123" s="156">
        <f ca="1">TblImps[[#This Row],[Population]]</f>
        <v>1</v>
      </c>
      <c r="G123" s="218"/>
      <c r="H123" s="218"/>
      <c r="I123" s="218"/>
      <c r="J123" s="218"/>
      <c r="K123" s="405"/>
      <c r="L123" s="218"/>
      <c r="M123" s="218"/>
      <c r="N123" s="218"/>
      <c r="O123" s="218"/>
      <c r="P123" s="218"/>
      <c r="Q123" s="218"/>
      <c r="R123" s="218"/>
      <c r="S123" s="218"/>
      <c r="T123" s="218"/>
      <c r="U123" s="218"/>
      <c r="V123" s="218"/>
      <c r="W123" s="218"/>
      <c r="X123" s="142"/>
      <c r="Y12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3" s="156">
        <f>SUMIF(TblMagic[[#This Row],[Gaia''s Watch]:[Useless spell]],1)*0.05</f>
        <v>0</v>
      </c>
      <c r="AA123" s="142"/>
      <c r="AB123" s="57">
        <f ca="1">IF(TblMagic[[#This Row],[Gaia''s Watch]],12,IF(OFFSET(TblMagic[[#This Row],[Active Gaia''s Watch]],-1,0)&gt;0,OFFSET(TblMagic[[#This Row],[Active Gaia''s Watch]],-1,0)-1,0))</f>
        <v>0</v>
      </c>
      <c r="AC123" s="57">
        <f ca="1">IF(TblMagic[[#This Row],[Mining Strength]],12,IF(OFFSET(TblMagic[[#This Row],[Active Mining Strength]],-1,0)&gt;0,OFFSET(TblMagic[[#This Row],[Active Mining Strength]],-1,0)-1,0))</f>
        <v>0</v>
      </c>
      <c r="AD123" s="57">
        <f ca="1">IF(TblMagic[[#This Row],[Ares Call]],12,IF(OFFSET(TblMagic[[#This Row],[Active Ares Call]],-1,0)&gt;0,OFFSET(TblMagic[[#This Row],[Active Ares Call]],-1,0)-1,0))</f>
        <v>0</v>
      </c>
      <c r="AE123" s="57">
        <f ca="1">IF(TblMagic[[#This Row],[Midas Touch]],12,IF(OFFSET(TblMagic[[#This Row],[Active Midas Touch]],-1,0)&gt;0,OFFSET(TblMagic[[#This Row],[Active Midas Touch]],-1,0)-1,0))</f>
        <v>0</v>
      </c>
      <c r="AF123" s="57">
        <f ca="1">IF(TblMagic[[#This Row],[Harmony]],12,IF(OFFSET(TblMagic[[#This Row],[Active Harmony]],-1,0)&gt;0,OFFSET(TblMagic[[#This Row],[Active Harmony]],-1,0)-1,0))</f>
        <v>0</v>
      </c>
      <c r="AG123" s="57">
        <f ca="1">IF(TblMagic[[#This Row],[Miner''s Sight]],12,IF(OFFSET(TblMagic[[#This Row],[Active Miner''s Sight]],-1,0)&gt;0,OFFSET(TblMagic[[#This Row],[Active Miner''s Sight]],-1,0)-1,0))</f>
        <v>0</v>
      </c>
      <c r="AH123" s="57">
        <f ca="1">IF(TblMagic[[#This Row],[Mechanical Genius]],12,IF(OFFSET(TblMagic[[#This Row],[Active Mechanical Genius]],-1,0)&gt;0,OFFSET(TblMagic[[#This Row],[Active Mechanical Genius]],-1,0)-1,0))</f>
        <v>0</v>
      </c>
      <c r="AI123" s="57">
        <f ca="1">IF(TblMagic[[#This Row],[Death and Decay]],12,IF(OFFSET(TblMagic[[#This Row],[Active DnD]],-1,0)&gt;0,OFFSET(TblMagic[[#This Row],[Active DnD]],-1,0)-1,0))</f>
        <v>0</v>
      </c>
      <c r="AJ123" s="57">
        <f ca="1">IF(TblMagic[[#This Row],[Killing Rage / Bloodrage / Crusade]],12,IF(OFFSET(TblMagic[[#This Row],[Active Warsong / Killing Rage / Bloodrage]],-1,0)&gt;0,OFFSET(TblMagic[[#This Row],[Active Warsong / Killing Rage / Bloodrage]],-1,0)-1,0))</f>
        <v>0</v>
      </c>
      <c r="AK123" s="57">
        <f ca="1">IF(TblMagic[[#This Row],[Gaia''s Blessing]],12,IF(OFFSET(TblMagic[[#This Row],[Active Gaia''s Blessing]],-1,0)&gt;0,OFFSET(TblMagic[[#This Row],[Active Gaia''s Blessing]],-1,0)-1,0))</f>
        <v>0</v>
      </c>
      <c r="AL123" s="57">
        <f ca="1">IF(TblMagic[[#This Row],[Howling]],12,IF(OFFSET(TblMagic[[#This Row],[Active Howling]],-1,0)&gt;0,OFFSET(TblMagic[[#This Row],[Active Howling]],-1,0)-1,0))</f>
        <v>0</v>
      </c>
      <c r="AM123" s="57">
        <f ca="1">IF(TblMagic[[#This Row],[Arcane Infusion]],12,IF(OFFSET(TblMagic[[#This Row],[Active Arc Infusion]],-1,0)&gt;0,OFFSET(TblMagic[[#This Row],[Active Arc Infusion]],-1,0)-1,0))</f>
        <v>0</v>
      </c>
      <c r="AN123" s="57">
        <f ca="1">IF(TblMagic[[#This Row],[Alchemists Flame]],12,IF(OFFSET(TblMagic[[#This Row],[Active Alchemists Flame]],-1,0)&gt;0,OFFSET(TblMagic[[#This Row],[Active Alchemists Flame]],-1,0)-1,0))</f>
        <v>0</v>
      </c>
      <c r="AO123" s="57">
        <f ca="1">IF(TblMagic[[#This Row],[Nightfall]],12,IF(OFFSET(TblMagic[[#This Row],[Active Nightfall]],-1,0)&gt;0,OFFSET(TblMagic[[#This Row],[Active Nightfall]],-1,0)-1,0))</f>
        <v>0</v>
      </c>
      <c r="AP123" s="57">
        <f ca="1">IF(TblMagic[[#This Row],[Favorable Terrain]],12,IF(OFFSET(TblMagic[[#This Row],[Active Favorable Terrain]],-1,0)&gt;0,OFFSET(TblMagic[[#This Row],[Active Favorable Terrain]],-1,0)-1,0))</f>
        <v>0</v>
      </c>
      <c r="AQ123" s="57">
        <f ca="1">IF(TblMagic[[#This Row],[Infernal Command]],12,IF(OFFSET(TblMagic[[#This Row],[Active Infernal Command]],-1,0)&gt;0,OFFSET(TblMagic[[#This Row],[Active Infernal Command]],-1,0)-1,0))</f>
        <v>0</v>
      </c>
    </row>
    <row r="124" spans="1:43" x14ac:dyDescent="0.2">
      <c r="A124" s="137">
        <f>TblRezone[[#This Row],[Hour]]</f>
        <v>121</v>
      </c>
      <c r="B124" s="154">
        <f ca="1">TblConstr[[#This Row],[Land]]</f>
        <v>50</v>
      </c>
      <c r="C124" s="94">
        <f ca="1">TblProd[[#This Row],[Mana]]</f>
        <v>0</v>
      </c>
      <c r="D124" s="156">
        <f ca="1">MIN(1,OFFSET(TblMagic[[#This Row],[Wiz str]],-1,0)+0.04+ROUNDDOWN(10*OFFSET(TblMili[[#This Row],[WG''s]],-1,0),0)+ tech_2_7*OFFSET(TblTech[[#This Row],[2-7]],-1,0) + tech_5_6*OFFSET(TblTech[[#This Row],[5-6]],-1,0) )-TblMagic[[#This Row],[Wiz str cost]]</f>
        <v>1</v>
      </c>
      <c r="E124" s="159">
        <f ca="1">OFFSET(TblMagic[[#This Row],[Time]],-1,0)+1/24</f>
        <v>46324.999999999709</v>
      </c>
      <c r="F124" s="156">
        <f ca="1">TblImps[[#This Row],[Population]]</f>
        <v>1</v>
      </c>
      <c r="G124" s="218"/>
      <c r="H124" s="218"/>
      <c r="I124" s="218"/>
      <c r="J124" s="218"/>
      <c r="K124" s="405"/>
      <c r="L124" s="218"/>
      <c r="M124" s="218"/>
      <c r="N124" s="218"/>
      <c r="O124" s="218"/>
      <c r="P124" s="218"/>
      <c r="Q124" s="218"/>
      <c r="R124" s="218"/>
      <c r="S124" s="218"/>
      <c r="T124" s="218"/>
      <c r="U124" s="218"/>
      <c r="V124" s="218"/>
      <c r="W124" s="218"/>
      <c r="X124" s="142"/>
      <c r="Y12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4" s="156">
        <f>SUMIF(TblMagic[[#This Row],[Gaia''s Watch]:[Useless spell]],1)*0.05</f>
        <v>0</v>
      </c>
      <c r="AA124" s="142"/>
      <c r="AB124" s="57">
        <f ca="1">IF(TblMagic[[#This Row],[Gaia''s Watch]],12,IF(OFFSET(TblMagic[[#This Row],[Active Gaia''s Watch]],-1,0)&gt;0,OFFSET(TblMagic[[#This Row],[Active Gaia''s Watch]],-1,0)-1,0))</f>
        <v>0</v>
      </c>
      <c r="AC124" s="57">
        <f ca="1">IF(TblMagic[[#This Row],[Mining Strength]],12,IF(OFFSET(TblMagic[[#This Row],[Active Mining Strength]],-1,0)&gt;0,OFFSET(TblMagic[[#This Row],[Active Mining Strength]],-1,0)-1,0))</f>
        <v>0</v>
      </c>
      <c r="AD124" s="57">
        <f ca="1">IF(TblMagic[[#This Row],[Ares Call]],12,IF(OFFSET(TblMagic[[#This Row],[Active Ares Call]],-1,0)&gt;0,OFFSET(TblMagic[[#This Row],[Active Ares Call]],-1,0)-1,0))</f>
        <v>0</v>
      </c>
      <c r="AE124" s="57">
        <f ca="1">IF(TblMagic[[#This Row],[Midas Touch]],12,IF(OFFSET(TblMagic[[#This Row],[Active Midas Touch]],-1,0)&gt;0,OFFSET(TblMagic[[#This Row],[Active Midas Touch]],-1,0)-1,0))</f>
        <v>0</v>
      </c>
      <c r="AF124" s="57">
        <f ca="1">IF(TblMagic[[#This Row],[Harmony]],12,IF(OFFSET(TblMagic[[#This Row],[Active Harmony]],-1,0)&gt;0,OFFSET(TblMagic[[#This Row],[Active Harmony]],-1,0)-1,0))</f>
        <v>0</v>
      </c>
      <c r="AG124" s="57">
        <f ca="1">IF(TblMagic[[#This Row],[Miner''s Sight]],12,IF(OFFSET(TblMagic[[#This Row],[Active Miner''s Sight]],-1,0)&gt;0,OFFSET(TblMagic[[#This Row],[Active Miner''s Sight]],-1,0)-1,0))</f>
        <v>0</v>
      </c>
      <c r="AH124" s="57">
        <f ca="1">IF(TblMagic[[#This Row],[Mechanical Genius]],12,IF(OFFSET(TblMagic[[#This Row],[Active Mechanical Genius]],-1,0)&gt;0,OFFSET(TblMagic[[#This Row],[Active Mechanical Genius]],-1,0)-1,0))</f>
        <v>0</v>
      </c>
      <c r="AI124" s="57">
        <f ca="1">IF(TblMagic[[#This Row],[Death and Decay]],12,IF(OFFSET(TblMagic[[#This Row],[Active DnD]],-1,0)&gt;0,OFFSET(TblMagic[[#This Row],[Active DnD]],-1,0)-1,0))</f>
        <v>0</v>
      </c>
      <c r="AJ124" s="57">
        <f ca="1">IF(TblMagic[[#This Row],[Killing Rage / Bloodrage / Crusade]],12,IF(OFFSET(TblMagic[[#This Row],[Active Warsong / Killing Rage / Bloodrage]],-1,0)&gt;0,OFFSET(TblMagic[[#This Row],[Active Warsong / Killing Rage / Bloodrage]],-1,0)-1,0))</f>
        <v>0</v>
      </c>
      <c r="AK124" s="57">
        <f ca="1">IF(TblMagic[[#This Row],[Gaia''s Blessing]],12,IF(OFFSET(TblMagic[[#This Row],[Active Gaia''s Blessing]],-1,0)&gt;0,OFFSET(TblMagic[[#This Row],[Active Gaia''s Blessing]],-1,0)-1,0))</f>
        <v>0</v>
      </c>
      <c r="AL124" s="57">
        <f ca="1">IF(TblMagic[[#This Row],[Howling]],12,IF(OFFSET(TblMagic[[#This Row],[Active Howling]],-1,0)&gt;0,OFFSET(TblMagic[[#This Row],[Active Howling]],-1,0)-1,0))</f>
        <v>0</v>
      </c>
      <c r="AM124" s="57">
        <f ca="1">IF(TblMagic[[#This Row],[Arcane Infusion]],12,IF(OFFSET(TblMagic[[#This Row],[Active Arc Infusion]],-1,0)&gt;0,OFFSET(TblMagic[[#This Row],[Active Arc Infusion]],-1,0)-1,0))</f>
        <v>0</v>
      </c>
      <c r="AN124" s="57">
        <f ca="1">IF(TblMagic[[#This Row],[Alchemists Flame]],12,IF(OFFSET(TblMagic[[#This Row],[Active Alchemists Flame]],-1,0)&gt;0,OFFSET(TblMagic[[#This Row],[Active Alchemists Flame]],-1,0)-1,0))</f>
        <v>0</v>
      </c>
      <c r="AO124" s="57">
        <f ca="1">IF(TblMagic[[#This Row],[Nightfall]],12,IF(OFFSET(TblMagic[[#This Row],[Active Nightfall]],-1,0)&gt;0,OFFSET(TblMagic[[#This Row],[Active Nightfall]],-1,0)-1,0))</f>
        <v>0</v>
      </c>
      <c r="AP124" s="57">
        <f ca="1">IF(TblMagic[[#This Row],[Favorable Terrain]],12,IF(OFFSET(TblMagic[[#This Row],[Active Favorable Terrain]],-1,0)&gt;0,OFFSET(TblMagic[[#This Row],[Active Favorable Terrain]],-1,0)-1,0))</f>
        <v>0</v>
      </c>
      <c r="AQ124" s="57">
        <f ca="1">IF(TblMagic[[#This Row],[Infernal Command]],12,IF(OFFSET(TblMagic[[#This Row],[Active Infernal Command]],-1,0)&gt;0,OFFSET(TblMagic[[#This Row],[Active Infernal Command]],-1,0)-1,0))</f>
        <v>0</v>
      </c>
    </row>
    <row r="125" spans="1:43" x14ac:dyDescent="0.2">
      <c r="A125" s="137">
        <f>TblRezone[[#This Row],[Hour]]</f>
        <v>122</v>
      </c>
      <c r="B125" s="154">
        <f ca="1">TblConstr[[#This Row],[Land]]</f>
        <v>50</v>
      </c>
      <c r="C125" s="94">
        <f ca="1">TblProd[[#This Row],[Mana]]</f>
        <v>0</v>
      </c>
      <c r="D125" s="156">
        <f ca="1">MIN(1,OFFSET(TblMagic[[#This Row],[Wiz str]],-1,0)+0.04+ROUNDDOWN(10*OFFSET(TblMili[[#This Row],[WG''s]],-1,0),0)+ tech_2_7*OFFSET(TblTech[[#This Row],[2-7]],-1,0) + tech_5_6*OFFSET(TblTech[[#This Row],[5-6]],-1,0) )-TblMagic[[#This Row],[Wiz str cost]]</f>
        <v>1</v>
      </c>
      <c r="E125" s="159">
        <f ca="1">OFFSET(TblMagic[[#This Row],[Time]],-1,0)+1/24</f>
        <v>46325.041666666373</v>
      </c>
      <c r="F125" s="156">
        <f ca="1">TblImps[[#This Row],[Population]]</f>
        <v>1</v>
      </c>
      <c r="G125" s="218"/>
      <c r="H125" s="218"/>
      <c r="I125" s="218"/>
      <c r="J125" s="218"/>
      <c r="K125" s="405"/>
      <c r="L125" s="218"/>
      <c r="M125" s="218"/>
      <c r="N125" s="218"/>
      <c r="O125" s="218"/>
      <c r="P125" s="218"/>
      <c r="Q125" s="218"/>
      <c r="R125" s="218"/>
      <c r="S125" s="218"/>
      <c r="T125" s="218"/>
      <c r="U125" s="218"/>
      <c r="V125" s="218"/>
      <c r="W125" s="218"/>
      <c r="X125" s="142"/>
      <c r="Y12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5" s="156">
        <f>SUMIF(TblMagic[[#This Row],[Gaia''s Watch]:[Useless spell]],1)*0.05</f>
        <v>0</v>
      </c>
      <c r="AA125" s="142"/>
      <c r="AB125" s="57">
        <f ca="1">IF(TblMagic[[#This Row],[Gaia''s Watch]],12,IF(OFFSET(TblMagic[[#This Row],[Active Gaia''s Watch]],-1,0)&gt;0,OFFSET(TblMagic[[#This Row],[Active Gaia''s Watch]],-1,0)-1,0))</f>
        <v>0</v>
      </c>
      <c r="AC125" s="57">
        <f ca="1">IF(TblMagic[[#This Row],[Mining Strength]],12,IF(OFFSET(TblMagic[[#This Row],[Active Mining Strength]],-1,0)&gt;0,OFFSET(TblMagic[[#This Row],[Active Mining Strength]],-1,0)-1,0))</f>
        <v>0</v>
      </c>
      <c r="AD125" s="57">
        <f ca="1">IF(TblMagic[[#This Row],[Ares Call]],12,IF(OFFSET(TblMagic[[#This Row],[Active Ares Call]],-1,0)&gt;0,OFFSET(TblMagic[[#This Row],[Active Ares Call]],-1,0)-1,0))</f>
        <v>0</v>
      </c>
      <c r="AE125" s="57">
        <f ca="1">IF(TblMagic[[#This Row],[Midas Touch]],12,IF(OFFSET(TblMagic[[#This Row],[Active Midas Touch]],-1,0)&gt;0,OFFSET(TblMagic[[#This Row],[Active Midas Touch]],-1,0)-1,0))</f>
        <v>0</v>
      </c>
      <c r="AF125" s="57">
        <f ca="1">IF(TblMagic[[#This Row],[Harmony]],12,IF(OFFSET(TblMagic[[#This Row],[Active Harmony]],-1,0)&gt;0,OFFSET(TblMagic[[#This Row],[Active Harmony]],-1,0)-1,0))</f>
        <v>0</v>
      </c>
      <c r="AG125" s="57">
        <f ca="1">IF(TblMagic[[#This Row],[Miner''s Sight]],12,IF(OFFSET(TblMagic[[#This Row],[Active Miner''s Sight]],-1,0)&gt;0,OFFSET(TblMagic[[#This Row],[Active Miner''s Sight]],-1,0)-1,0))</f>
        <v>0</v>
      </c>
      <c r="AH125" s="57">
        <f ca="1">IF(TblMagic[[#This Row],[Mechanical Genius]],12,IF(OFFSET(TblMagic[[#This Row],[Active Mechanical Genius]],-1,0)&gt;0,OFFSET(TblMagic[[#This Row],[Active Mechanical Genius]],-1,0)-1,0))</f>
        <v>0</v>
      </c>
      <c r="AI125" s="57">
        <f ca="1">IF(TblMagic[[#This Row],[Death and Decay]],12,IF(OFFSET(TblMagic[[#This Row],[Active DnD]],-1,0)&gt;0,OFFSET(TblMagic[[#This Row],[Active DnD]],-1,0)-1,0))</f>
        <v>0</v>
      </c>
      <c r="AJ125" s="57">
        <f ca="1">IF(TblMagic[[#This Row],[Killing Rage / Bloodrage / Crusade]],12,IF(OFFSET(TblMagic[[#This Row],[Active Warsong / Killing Rage / Bloodrage]],-1,0)&gt;0,OFFSET(TblMagic[[#This Row],[Active Warsong / Killing Rage / Bloodrage]],-1,0)-1,0))</f>
        <v>0</v>
      </c>
      <c r="AK125" s="57">
        <f ca="1">IF(TblMagic[[#This Row],[Gaia''s Blessing]],12,IF(OFFSET(TblMagic[[#This Row],[Active Gaia''s Blessing]],-1,0)&gt;0,OFFSET(TblMagic[[#This Row],[Active Gaia''s Blessing]],-1,0)-1,0))</f>
        <v>0</v>
      </c>
      <c r="AL125" s="57">
        <f ca="1">IF(TblMagic[[#This Row],[Howling]],12,IF(OFFSET(TblMagic[[#This Row],[Active Howling]],-1,0)&gt;0,OFFSET(TblMagic[[#This Row],[Active Howling]],-1,0)-1,0))</f>
        <v>0</v>
      </c>
      <c r="AM125" s="57">
        <f ca="1">IF(TblMagic[[#This Row],[Arcane Infusion]],12,IF(OFFSET(TblMagic[[#This Row],[Active Arc Infusion]],-1,0)&gt;0,OFFSET(TblMagic[[#This Row],[Active Arc Infusion]],-1,0)-1,0))</f>
        <v>0</v>
      </c>
      <c r="AN125" s="57">
        <f ca="1">IF(TblMagic[[#This Row],[Alchemists Flame]],12,IF(OFFSET(TblMagic[[#This Row],[Active Alchemists Flame]],-1,0)&gt;0,OFFSET(TblMagic[[#This Row],[Active Alchemists Flame]],-1,0)-1,0))</f>
        <v>0</v>
      </c>
      <c r="AO125" s="57">
        <f ca="1">IF(TblMagic[[#This Row],[Nightfall]],12,IF(OFFSET(TblMagic[[#This Row],[Active Nightfall]],-1,0)&gt;0,OFFSET(TblMagic[[#This Row],[Active Nightfall]],-1,0)-1,0))</f>
        <v>0</v>
      </c>
      <c r="AP125" s="57">
        <f ca="1">IF(TblMagic[[#This Row],[Favorable Terrain]],12,IF(OFFSET(TblMagic[[#This Row],[Active Favorable Terrain]],-1,0)&gt;0,OFFSET(TblMagic[[#This Row],[Active Favorable Terrain]],-1,0)-1,0))</f>
        <v>0</v>
      </c>
      <c r="AQ125" s="57">
        <f ca="1">IF(TblMagic[[#This Row],[Infernal Command]],12,IF(OFFSET(TblMagic[[#This Row],[Active Infernal Command]],-1,0)&gt;0,OFFSET(TblMagic[[#This Row],[Active Infernal Command]],-1,0)-1,0))</f>
        <v>0</v>
      </c>
    </row>
    <row r="126" spans="1:43" x14ac:dyDescent="0.2">
      <c r="A126" s="137">
        <f>TblRezone[[#This Row],[Hour]]</f>
        <v>123</v>
      </c>
      <c r="B126" s="154">
        <f ca="1">TblConstr[[#This Row],[Land]]</f>
        <v>50</v>
      </c>
      <c r="C126" s="94">
        <f ca="1">TblProd[[#This Row],[Mana]]</f>
        <v>0</v>
      </c>
      <c r="D126" s="156">
        <f ca="1">MIN(1,OFFSET(TblMagic[[#This Row],[Wiz str]],-1,0)+0.04+ROUNDDOWN(10*OFFSET(TblMili[[#This Row],[WG''s]],-1,0),0)+ tech_2_7*OFFSET(TblTech[[#This Row],[2-7]],-1,0) + tech_5_6*OFFSET(TblTech[[#This Row],[5-6]],-1,0) )-TblMagic[[#This Row],[Wiz str cost]]</f>
        <v>1</v>
      </c>
      <c r="E126" s="159">
        <f ca="1">OFFSET(TblMagic[[#This Row],[Time]],-1,0)+1/24</f>
        <v>46325.083333333037</v>
      </c>
      <c r="F126" s="156">
        <f ca="1">TblImps[[#This Row],[Population]]</f>
        <v>1</v>
      </c>
      <c r="G126" s="218"/>
      <c r="H126" s="218"/>
      <c r="I126" s="218"/>
      <c r="J126" s="218"/>
      <c r="K126" s="405"/>
      <c r="L126" s="218"/>
      <c r="M126" s="218"/>
      <c r="N126" s="218"/>
      <c r="O126" s="218"/>
      <c r="P126" s="218"/>
      <c r="Q126" s="218"/>
      <c r="R126" s="218"/>
      <c r="S126" s="218"/>
      <c r="T126" s="218"/>
      <c r="U126" s="218"/>
      <c r="V126" s="218"/>
      <c r="W126" s="218"/>
      <c r="X126" s="142"/>
      <c r="Y12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6" s="156">
        <f>SUMIF(TblMagic[[#This Row],[Gaia''s Watch]:[Useless spell]],1)*0.05</f>
        <v>0</v>
      </c>
      <c r="AA126" s="142"/>
      <c r="AB126" s="57">
        <f ca="1">IF(TblMagic[[#This Row],[Gaia''s Watch]],12,IF(OFFSET(TblMagic[[#This Row],[Active Gaia''s Watch]],-1,0)&gt;0,OFFSET(TblMagic[[#This Row],[Active Gaia''s Watch]],-1,0)-1,0))</f>
        <v>0</v>
      </c>
      <c r="AC126" s="57">
        <f ca="1">IF(TblMagic[[#This Row],[Mining Strength]],12,IF(OFFSET(TblMagic[[#This Row],[Active Mining Strength]],-1,0)&gt;0,OFFSET(TblMagic[[#This Row],[Active Mining Strength]],-1,0)-1,0))</f>
        <v>0</v>
      </c>
      <c r="AD126" s="57">
        <f ca="1">IF(TblMagic[[#This Row],[Ares Call]],12,IF(OFFSET(TblMagic[[#This Row],[Active Ares Call]],-1,0)&gt;0,OFFSET(TblMagic[[#This Row],[Active Ares Call]],-1,0)-1,0))</f>
        <v>0</v>
      </c>
      <c r="AE126" s="57">
        <f ca="1">IF(TblMagic[[#This Row],[Midas Touch]],12,IF(OFFSET(TblMagic[[#This Row],[Active Midas Touch]],-1,0)&gt;0,OFFSET(TblMagic[[#This Row],[Active Midas Touch]],-1,0)-1,0))</f>
        <v>0</v>
      </c>
      <c r="AF126" s="57">
        <f ca="1">IF(TblMagic[[#This Row],[Harmony]],12,IF(OFFSET(TblMagic[[#This Row],[Active Harmony]],-1,0)&gt;0,OFFSET(TblMagic[[#This Row],[Active Harmony]],-1,0)-1,0))</f>
        <v>0</v>
      </c>
      <c r="AG126" s="57">
        <f ca="1">IF(TblMagic[[#This Row],[Miner''s Sight]],12,IF(OFFSET(TblMagic[[#This Row],[Active Miner''s Sight]],-1,0)&gt;0,OFFSET(TblMagic[[#This Row],[Active Miner''s Sight]],-1,0)-1,0))</f>
        <v>0</v>
      </c>
      <c r="AH126" s="57">
        <f ca="1">IF(TblMagic[[#This Row],[Mechanical Genius]],12,IF(OFFSET(TblMagic[[#This Row],[Active Mechanical Genius]],-1,0)&gt;0,OFFSET(TblMagic[[#This Row],[Active Mechanical Genius]],-1,0)-1,0))</f>
        <v>0</v>
      </c>
      <c r="AI126" s="57">
        <f ca="1">IF(TblMagic[[#This Row],[Death and Decay]],12,IF(OFFSET(TblMagic[[#This Row],[Active DnD]],-1,0)&gt;0,OFFSET(TblMagic[[#This Row],[Active DnD]],-1,0)-1,0))</f>
        <v>0</v>
      </c>
      <c r="AJ126" s="57">
        <f ca="1">IF(TblMagic[[#This Row],[Killing Rage / Bloodrage / Crusade]],12,IF(OFFSET(TblMagic[[#This Row],[Active Warsong / Killing Rage / Bloodrage]],-1,0)&gt;0,OFFSET(TblMagic[[#This Row],[Active Warsong / Killing Rage / Bloodrage]],-1,0)-1,0))</f>
        <v>0</v>
      </c>
      <c r="AK126" s="57">
        <f ca="1">IF(TblMagic[[#This Row],[Gaia''s Blessing]],12,IF(OFFSET(TblMagic[[#This Row],[Active Gaia''s Blessing]],-1,0)&gt;0,OFFSET(TblMagic[[#This Row],[Active Gaia''s Blessing]],-1,0)-1,0))</f>
        <v>0</v>
      </c>
      <c r="AL126" s="57">
        <f ca="1">IF(TblMagic[[#This Row],[Howling]],12,IF(OFFSET(TblMagic[[#This Row],[Active Howling]],-1,0)&gt;0,OFFSET(TblMagic[[#This Row],[Active Howling]],-1,0)-1,0))</f>
        <v>0</v>
      </c>
      <c r="AM126" s="57">
        <f ca="1">IF(TblMagic[[#This Row],[Arcane Infusion]],12,IF(OFFSET(TblMagic[[#This Row],[Active Arc Infusion]],-1,0)&gt;0,OFFSET(TblMagic[[#This Row],[Active Arc Infusion]],-1,0)-1,0))</f>
        <v>0</v>
      </c>
      <c r="AN126" s="57">
        <f ca="1">IF(TblMagic[[#This Row],[Alchemists Flame]],12,IF(OFFSET(TblMagic[[#This Row],[Active Alchemists Flame]],-1,0)&gt;0,OFFSET(TblMagic[[#This Row],[Active Alchemists Flame]],-1,0)-1,0))</f>
        <v>0</v>
      </c>
      <c r="AO126" s="57">
        <f ca="1">IF(TblMagic[[#This Row],[Nightfall]],12,IF(OFFSET(TblMagic[[#This Row],[Active Nightfall]],-1,0)&gt;0,OFFSET(TblMagic[[#This Row],[Active Nightfall]],-1,0)-1,0))</f>
        <v>0</v>
      </c>
      <c r="AP126" s="57">
        <f ca="1">IF(TblMagic[[#This Row],[Favorable Terrain]],12,IF(OFFSET(TblMagic[[#This Row],[Active Favorable Terrain]],-1,0)&gt;0,OFFSET(TblMagic[[#This Row],[Active Favorable Terrain]],-1,0)-1,0))</f>
        <v>0</v>
      </c>
      <c r="AQ126" s="57">
        <f ca="1">IF(TblMagic[[#This Row],[Infernal Command]],12,IF(OFFSET(TblMagic[[#This Row],[Active Infernal Command]],-1,0)&gt;0,OFFSET(TblMagic[[#This Row],[Active Infernal Command]],-1,0)-1,0))</f>
        <v>0</v>
      </c>
    </row>
    <row r="127" spans="1:43" x14ac:dyDescent="0.2">
      <c r="A127" s="137">
        <f>TblRezone[[#This Row],[Hour]]</f>
        <v>124</v>
      </c>
      <c r="B127" s="154">
        <f ca="1">TblConstr[[#This Row],[Land]]</f>
        <v>50</v>
      </c>
      <c r="C127" s="94">
        <f ca="1">TblProd[[#This Row],[Mana]]</f>
        <v>0</v>
      </c>
      <c r="D127" s="156">
        <f ca="1">MIN(1,OFFSET(TblMagic[[#This Row],[Wiz str]],-1,0)+0.04+ROUNDDOWN(10*OFFSET(TblMili[[#This Row],[WG''s]],-1,0),0)+ tech_2_7*OFFSET(TblTech[[#This Row],[2-7]],-1,0) + tech_5_6*OFFSET(TblTech[[#This Row],[5-6]],-1,0) )-TblMagic[[#This Row],[Wiz str cost]]</f>
        <v>1</v>
      </c>
      <c r="E127" s="159">
        <f ca="1">OFFSET(TblMagic[[#This Row],[Time]],-1,0)+1/24</f>
        <v>46325.124999999702</v>
      </c>
      <c r="F127" s="156">
        <f ca="1">TblImps[[#This Row],[Population]]</f>
        <v>1</v>
      </c>
      <c r="G127" s="218"/>
      <c r="H127" s="218"/>
      <c r="I127" s="218"/>
      <c r="J127" s="218"/>
      <c r="K127" s="405"/>
      <c r="L127" s="218"/>
      <c r="M127" s="218"/>
      <c r="N127" s="218"/>
      <c r="O127" s="218"/>
      <c r="P127" s="218"/>
      <c r="Q127" s="218"/>
      <c r="R127" s="218"/>
      <c r="S127" s="218"/>
      <c r="T127" s="218"/>
      <c r="U127" s="218"/>
      <c r="V127" s="218"/>
      <c r="W127" s="218"/>
      <c r="X127" s="142"/>
      <c r="Y12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7" s="156">
        <f>SUMIF(TblMagic[[#This Row],[Gaia''s Watch]:[Useless spell]],1)*0.05</f>
        <v>0</v>
      </c>
      <c r="AA127" s="142"/>
      <c r="AB127" s="57">
        <f ca="1">IF(TblMagic[[#This Row],[Gaia''s Watch]],12,IF(OFFSET(TblMagic[[#This Row],[Active Gaia''s Watch]],-1,0)&gt;0,OFFSET(TblMagic[[#This Row],[Active Gaia''s Watch]],-1,0)-1,0))</f>
        <v>0</v>
      </c>
      <c r="AC127" s="57">
        <f ca="1">IF(TblMagic[[#This Row],[Mining Strength]],12,IF(OFFSET(TblMagic[[#This Row],[Active Mining Strength]],-1,0)&gt;0,OFFSET(TblMagic[[#This Row],[Active Mining Strength]],-1,0)-1,0))</f>
        <v>0</v>
      </c>
      <c r="AD127" s="57">
        <f ca="1">IF(TblMagic[[#This Row],[Ares Call]],12,IF(OFFSET(TblMagic[[#This Row],[Active Ares Call]],-1,0)&gt;0,OFFSET(TblMagic[[#This Row],[Active Ares Call]],-1,0)-1,0))</f>
        <v>0</v>
      </c>
      <c r="AE127" s="57">
        <f ca="1">IF(TblMagic[[#This Row],[Midas Touch]],12,IF(OFFSET(TblMagic[[#This Row],[Active Midas Touch]],-1,0)&gt;0,OFFSET(TblMagic[[#This Row],[Active Midas Touch]],-1,0)-1,0))</f>
        <v>0</v>
      </c>
      <c r="AF127" s="57">
        <f ca="1">IF(TblMagic[[#This Row],[Harmony]],12,IF(OFFSET(TblMagic[[#This Row],[Active Harmony]],-1,0)&gt;0,OFFSET(TblMagic[[#This Row],[Active Harmony]],-1,0)-1,0))</f>
        <v>0</v>
      </c>
      <c r="AG127" s="57">
        <f ca="1">IF(TblMagic[[#This Row],[Miner''s Sight]],12,IF(OFFSET(TblMagic[[#This Row],[Active Miner''s Sight]],-1,0)&gt;0,OFFSET(TblMagic[[#This Row],[Active Miner''s Sight]],-1,0)-1,0))</f>
        <v>0</v>
      </c>
      <c r="AH127" s="57">
        <f ca="1">IF(TblMagic[[#This Row],[Mechanical Genius]],12,IF(OFFSET(TblMagic[[#This Row],[Active Mechanical Genius]],-1,0)&gt;0,OFFSET(TblMagic[[#This Row],[Active Mechanical Genius]],-1,0)-1,0))</f>
        <v>0</v>
      </c>
      <c r="AI127" s="57">
        <f ca="1">IF(TblMagic[[#This Row],[Death and Decay]],12,IF(OFFSET(TblMagic[[#This Row],[Active DnD]],-1,0)&gt;0,OFFSET(TblMagic[[#This Row],[Active DnD]],-1,0)-1,0))</f>
        <v>0</v>
      </c>
      <c r="AJ127" s="57">
        <f ca="1">IF(TblMagic[[#This Row],[Killing Rage / Bloodrage / Crusade]],12,IF(OFFSET(TblMagic[[#This Row],[Active Warsong / Killing Rage / Bloodrage]],-1,0)&gt;0,OFFSET(TblMagic[[#This Row],[Active Warsong / Killing Rage / Bloodrage]],-1,0)-1,0))</f>
        <v>0</v>
      </c>
      <c r="AK127" s="57">
        <f ca="1">IF(TblMagic[[#This Row],[Gaia''s Blessing]],12,IF(OFFSET(TblMagic[[#This Row],[Active Gaia''s Blessing]],-1,0)&gt;0,OFFSET(TblMagic[[#This Row],[Active Gaia''s Blessing]],-1,0)-1,0))</f>
        <v>0</v>
      </c>
      <c r="AL127" s="57">
        <f ca="1">IF(TblMagic[[#This Row],[Howling]],12,IF(OFFSET(TblMagic[[#This Row],[Active Howling]],-1,0)&gt;0,OFFSET(TblMagic[[#This Row],[Active Howling]],-1,0)-1,0))</f>
        <v>0</v>
      </c>
      <c r="AM127" s="57">
        <f ca="1">IF(TblMagic[[#This Row],[Arcane Infusion]],12,IF(OFFSET(TblMagic[[#This Row],[Active Arc Infusion]],-1,0)&gt;0,OFFSET(TblMagic[[#This Row],[Active Arc Infusion]],-1,0)-1,0))</f>
        <v>0</v>
      </c>
      <c r="AN127" s="57">
        <f ca="1">IF(TblMagic[[#This Row],[Alchemists Flame]],12,IF(OFFSET(TblMagic[[#This Row],[Active Alchemists Flame]],-1,0)&gt;0,OFFSET(TblMagic[[#This Row],[Active Alchemists Flame]],-1,0)-1,0))</f>
        <v>0</v>
      </c>
      <c r="AO127" s="57">
        <f ca="1">IF(TblMagic[[#This Row],[Nightfall]],12,IF(OFFSET(TblMagic[[#This Row],[Active Nightfall]],-1,0)&gt;0,OFFSET(TblMagic[[#This Row],[Active Nightfall]],-1,0)-1,0))</f>
        <v>0</v>
      </c>
      <c r="AP127" s="57">
        <f ca="1">IF(TblMagic[[#This Row],[Favorable Terrain]],12,IF(OFFSET(TblMagic[[#This Row],[Active Favorable Terrain]],-1,0)&gt;0,OFFSET(TblMagic[[#This Row],[Active Favorable Terrain]],-1,0)-1,0))</f>
        <v>0</v>
      </c>
      <c r="AQ127" s="57">
        <f ca="1">IF(TblMagic[[#This Row],[Infernal Command]],12,IF(OFFSET(TblMagic[[#This Row],[Active Infernal Command]],-1,0)&gt;0,OFFSET(TblMagic[[#This Row],[Active Infernal Command]],-1,0)-1,0))</f>
        <v>0</v>
      </c>
    </row>
    <row r="128" spans="1:43" x14ac:dyDescent="0.2">
      <c r="A128" s="137">
        <f>TblRezone[[#This Row],[Hour]]</f>
        <v>125</v>
      </c>
      <c r="B128" s="154">
        <f ca="1">TblConstr[[#This Row],[Land]]</f>
        <v>50</v>
      </c>
      <c r="C128" s="94">
        <f ca="1">TblProd[[#This Row],[Mana]]</f>
        <v>0</v>
      </c>
      <c r="D128" s="156">
        <f ca="1">MIN(1,OFFSET(TblMagic[[#This Row],[Wiz str]],-1,0)+0.04+ROUNDDOWN(10*OFFSET(TblMili[[#This Row],[WG''s]],-1,0),0)+ tech_2_7*OFFSET(TblTech[[#This Row],[2-7]],-1,0) + tech_5_6*OFFSET(TblTech[[#This Row],[5-6]],-1,0) )-TblMagic[[#This Row],[Wiz str cost]]</f>
        <v>1</v>
      </c>
      <c r="E128" s="159">
        <f ca="1">OFFSET(TblMagic[[#This Row],[Time]],-1,0)+1/24</f>
        <v>46325.166666666366</v>
      </c>
      <c r="F128" s="156">
        <f ca="1">TblImps[[#This Row],[Population]]</f>
        <v>1</v>
      </c>
      <c r="G128" s="218"/>
      <c r="H128" s="218"/>
      <c r="I128" s="218"/>
      <c r="J128" s="218"/>
      <c r="K128" s="405"/>
      <c r="L128" s="218"/>
      <c r="M128" s="218"/>
      <c r="N128" s="218"/>
      <c r="O128" s="218"/>
      <c r="P128" s="218"/>
      <c r="Q128" s="218"/>
      <c r="R128" s="218"/>
      <c r="S128" s="218"/>
      <c r="T128" s="218"/>
      <c r="U128" s="218"/>
      <c r="V128" s="218"/>
      <c r="W128" s="218"/>
      <c r="X128" s="142"/>
      <c r="Y12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8" s="156">
        <f>SUMIF(TblMagic[[#This Row],[Gaia''s Watch]:[Useless spell]],1)*0.05</f>
        <v>0</v>
      </c>
      <c r="AA128" s="142"/>
      <c r="AB128" s="57">
        <f ca="1">IF(TblMagic[[#This Row],[Gaia''s Watch]],12,IF(OFFSET(TblMagic[[#This Row],[Active Gaia''s Watch]],-1,0)&gt;0,OFFSET(TblMagic[[#This Row],[Active Gaia''s Watch]],-1,0)-1,0))</f>
        <v>0</v>
      </c>
      <c r="AC128" s="57">
        <f ca="1">IF(TblMagic[[#This Row],[Mining Strength]],12,IF(OFFSET(TblMagic[[#This Row],[Active Mining Strength]],-1,0)&gt;0,OFFSET(TblMagic[[#This Row],[Active Mining Strength]],-1,0)-1,0))</f>
        <v>0</v>
      </c>
      <c r="AD128" s="57">
        <f ca="1">IF(TblMagic[[#This Row],[Ares Call]],12,IF(OFFSET(TblMagic[[#This Row],[Active Ares Call]],-1,0)&gt;0,OFFSET(TblMagic[[#This Row],[Active Ares Call]],-1,0)-1,0))</f>
        <v>0</v>
      </c>
      <c r="AE128" s="57">
        <f ca="1">IF(TblMagic[[#This Row],[Midas Touch]],12,IF(OFFSET(TblMagic[[#This Row],[Active Midas Touch]],-1,0)&gt;0,OFFSET(TblMagic[[#This Row],[Active Midas Touch]],-1,0)-1,0))</f>
        <v>0</v>
      </c>
      <c r="AF128" s="57">
        <f ca="1">IF(TblMagic[[#This Row],[Harmony]],12,IF(OFFSET(TblMagic[[#This Row],[Active Harmony]],-1,0)&gt;0,OFFSET(TblMagic[[#This Row],[Active Harmony]],-1,0)-1,0))</f>
        <v>0</v>
      </c>
      <c r="AG128" s="57">
        <f ca="1">IF(TblMagic[[#This Row],[Miner''s Sight]],12,IF(OFFSET(TblMagic[[#This Row],[Active Miner''s Sight]],-1,0)&gt;0,OFFSET(TblMagic[[#This Row],[Active Miner''s Sight]],-1,0)-1,0))</f>
        <v>0</v>
      </c>
      <c r="AH128" s="57">
        <f ca="1">IF(TblMagic[[#This Row],[Mechanical Genius]],12,IF(OFFSET(TblMagic[[#This Row],[Active Mechanical Genius]],-1,0)&gt;0,OFFSET(TblMagic[[#This Row],[Active Mechanical Genius]],-1,0)-1,0))</f>
        <v>0</v>
      </c>
      <c r="AI128" s="57">
        <f ca="1">IF(TblMagic[[#This Row],[Death and Decay]],12,IF(OFFSET(TblMagic[[#This Row],[Active DnD]],-1,0)&gt;0,OFFSET(TblMagic[[#This Row],[Active DnD]],-1,0)-1,0))</f>
        <v>0</v>
      </c>
      <c r="AJ128" s="57">
        <f ca="1">IF(TblMagic[[#This Row],[Killing Rage / Bloodrage / Crusade]],12,IF(OFFSET(TblMagic[[#This Row],[Active Warsong / Killing Rage / Bloodrage]],-1,0)&gt;0,OFFSET(TblMagic[[#This Row],[Active Warsong / Killing Rage / Bloodrage]],-1,0)-1,0))</f>
        <v>0</v>
      </c>
      <c r="AK128" s="57">
        <f ca="1">IF(TblMagic[[#This Row],[Gaia''s Blessing]],12,IF(OFFSET(TblMagic[[#This Row],[Active Gaia''s Blessing]],-1,0)&gt;0,OFFSET(TblMagic[[#This Row],[Active Gaia''s Blessing]],-1,0)-1,0))</f>
        <v>0</v>
      </c>
      <c r="AL128" s="57">
        <f ca="1">IF(TblMagic[[#This Row],[Howling]],12,IF(OFFSET(TblMagic[[#This Row],[Active Howling]],-1,0)&gt;0,OFFSET(TblMagic[[#This Row],[Active Howling]],-1,0)-1,0))</f>
        <v>0</v>
      </c>
      <c r="AM128" s="57">
        <f ca="1">IF(TblMagic[[#This Row],[Arcane Infusion]],12,IF(OFFSET(TblMagic[[#This Row],[Active Arc Infusion]],-1,0)&gt;0,OFFSET(TblMagic[[#This Row],[Active Arc Infusion]],-1,0)-1,0))</f>
        <v>0</v>
      </c>
      <c r="AN128" s="57">
        <f ca="1">IF(TblMagic[[#This Row],[Alchemists Flame]],12,IF(OFFSET(TblMagic[[#This Row],[Active Alchemists Flame]],-1,0)&gt;0,OFFSET(TblMagic[[#This Row],[Active Alchemists Flame]],-1,0)-1,0))</f>
        <v>0</v>
      </c>
      <c r="AO128" s="57">
        <f ca="1">IF(TblMagic[[#This Row],[Nightfall]],12,IF(OFFSET(TblMagic[[#This Row],[Active Nightfall]],-1,0)&gt;0,OFFSET(TblMagic[[#This Row],[Active Nightfall]],-1,0)-1,0))</f>
        <v>0</v>
      </c>
      <c r="AP128" s="57">
        <f ca="1">IF(TblMagic[[#This Row],[Favorable Terrain]],12,IF(OFFSET(TblMagic[[#This Row],[Active Favorable Terrain]],-1,0)&gt;0,OFFSET(TblMagic[[#This Row],[Active Favorable Terrain]],-1,0)-1,0))</f>
        <v>0</v>
      </c>
      <c r="AQ128" s="57">
        <f ca="1">IF(TblMagic[[#This Row],[Infernal Command]],12,IF(OFFSET(TblMagic[[#This Row],[Active Infernal Command]],-1,0)&gt;0,OFFSET(TblMagic[[#This Row],[Active Infernal Command]],-1,0)-1,0))</f>
        <v>0</v>
      </c>
    </row>
    <row r="129" spans="1:43" x14ac:dyDescent="0.2">
      <c r="A129" s="137">
        <f>TblRezone[[#This Row],[Hour]]</f>
        <v>126</v>
      </c>
      <c r="B129" s="154">
        <f ca="1">TblConstr[[#This Row],[Land]]</f>
        <v>50</v>
      </c>
      <c r="C129" s="94">
        <f ca="1">TblProd[[#This Row],[Mana]]</f>
        <v>0</v>
      </c>
      <c r="D129" s="156">
        <f ca="1">MIN(1,OFFSET(TblMagic[[#This Row],[Wiz str]],-1,0)+0.04+ROUNDDOWN(10*OFFSET(TblMili[[#This Row],[WG''s]],-1,0),0)+ tech_2_7*OFFSET(TblTech[[#This Row],[2-7]],-1,0) + tech_5_6*OFFSET(TblTech[[#This Row],[5-6]],-1,0) )-TblMagic[[#This Row],[Wiz str cost]]</f>
        <v>1</v>
      </c>
      <c r="E129" s="159">
        <f ca="1">OFFSET(TblMagic[[#This Row],[Time]],-1,0)+1/24</f>
        <v>46325.20833333303</v>
      </c>
      <c r="F129" s="156">
        <f ca="1">TblImps[[#This Row],[Population]]</f>
        <v>1</v>
      </c>
      <c r="G129" s="218"/>
      <c r="H129" s="218"/>
      <c r="I129" s="218"/>
      <c r="J129" s="218"/>
      <c r="K129" s="405"/>
      <c r="L129" s="218"/>
      <c r="M129" s="218"/>
      <c r="N129" s="218"/>
      <c r="O129" s="218"/>
      <c r="P129" s="218"/>
      <c r="Q129" s="218"/>
      <c r="R129" s="218"/>
      <c r="S129" s="218"/>
      <c r="T129" s="218"/>
      <c r="U129" s="218"/>
      <c r="V129" s="218"/>
      <c r="W129" s="218"/>
      <c r="X129" s="142"/>
      <c r="Y12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9" s="156">
        <f>SUMIF(TblMagic[[#This Row],[Gaia''s Watch]:[Useless spell]],1)*0.05</f>
        <v>0</v>
      </c>
      <c r="AA129" s="142"/>
      <c r="AB129" s="57">
        <f ca="1">IF(TblMagic[[#This Row],[Gaia''s Watch]],12,IF(OFFSET(TblMagic[[#This Row],[Active Gaia''s Watch]],-1,0)&gt;0,OFFSET(TblMagic[[#This Row],[Active Gaia''s Watch]],-1,0)-1,0))</f>
        <v>0</v>
      </c>
      <c r="AC129" s="57">
        <f ca="1">IF(TblMagic[[#This Row],[Mining Strength]],12,IF(OFFSET(TblMagic[[#This Row],[Active Mining Strength]],-1,0)&gt;0,OFFSET(TblMagic[[#This Row],[Active Mining Strength]],-1,0)-1,0))</f>
        <v>0</v>
      </c>
      <c r="AD129" s="57">
        <f ca="1">IF(TblMagic[[#This Row],[Ares Call]],12,IF(OFFSET(TblMagic[[#This Row],[Active Ares Call]],-1,0)&gt;0,OFFSET(TblMagic[[#This Row],[Active Ares Call]],-1,0)-1,0))</f>
        <v>0</v>
      </c>
      <c r="AE129" s="57">
        <f ca="1">IF(TblMagic[[#This Row],[Midas Touch]],12,IF(OFFSET(TblMagic[[#This Row],[Active Midas Touch]],-1,0)&gt;0,OFFSET(TblMagic[[#This Row],[Active Midas Touch]],-1,0)-1,0))</f>
        <v>0</v>
      </c>
      <c r="AF129" s="57">
        <f ca="1">IF(TblMagic[[#This Row],[Harmony]],12,IF(OFFSET(TblMagic[[#This Row],[Active Harmony]],-1,0)&gt;0,OFFSET(TblMagic[[#This Row],[Active Harmony]],-1,0)-1,0))</f>
        <v>0</v>
      </c>
      <c r="AG129" s="57">
        <f ca="1">IF(TblMagic[[#This Row],[Miner''s Sight]],12,IF(OFFSET(TblMagic[[#This Row],[Active Miner''s Sight]],-1,0)&gt;0,OFFSET(TblMagic[[#This Row],[Active Miner''s Sight]],-1,0)-1,0))</f>
        <v>0</v>
      </c>
      <c r="AH129" s="57">
        <f ca="1">IF(TblMagic[[#This Row],[Mechanical Genius]],12,IF(OFFSET(TblMagic[[#This Row],[Active Mechanical Genius]],-1,0)&gt;0,OFFSET(TblMagic[[#This Row],[Active Mechanical Genius]],-1,0)-1,0))</f>
        <v>0</v>
      </c>
      <c r="AI129" s="57">
        <f ca="1">IF(TblMagic[[#This Row],[Death and Decay]],12,IF(OFFSET(TblMagic[[#This Row],[Active DnD]],-1,0)&gt;0,OFFSET(TblMagic[[#This Row],[Active DnD]],-1,0)-1,0))</f>
        <v>0</v>
      </c>
      <c r="AJ129" s="57">
        <f ca="1">IF(TblMagic[[#This Row],[Killing Rage / Bloodrage / Crusade]],12,IF(OFFSET(TblMagic[[#This Row],[Active Warsong / Killing Rage / Bloodrage]],-1,0)&gt;0,OFFSET(TblMagic[[#This Row],[Active Warsong / Killing Rage / Bloodrage]],-1,0)-1,0))</f>
        <v>0</v>
      </c>
      <c r="AK129" s="57">
        <f ca="1">IF(TblMagic[[#This Row],[Gaia''s Blessing]],12,IF(OFFSET(TblMagic[[#This Row],[Active Gaia''s Blessing]],-1,0)&gt;0,OFFSET(TblMagic[[#This Row],[Active Gaia''s Blessing]],-1,0)-1,0))</f>
        <v>0</v>
      </c>
      <c r="AL129" s="57">
        <f ca="1">IF(TblMagic[[#This Row],[Howling]],12,IF(OFFSET(TblMagic[[#This Row],[Active Howling]],-1,0)&gt;0,OFFSET(TblMagic[[#This Row],[Active Howling]],-1,0)-1,0))</f>
        <v>0</v>
      </c>
      <c r="AM129" s="57">
        <f ca="1">IF(TblMagic[[#This Row],[Arcane Infusion]],12,IF(OFFSET(TblMagic[[#This Row],[Active Arc Infusion]],-1,0)&gt;0,OFFSET(TblMagic[[#This Row],[Active Arc Infusion]],-1,0)-1,0))</f>
        <v>0</v>
      </c>
      <c r="AN129" s="57">
        <f ca="1">IF(TblMagic[[#This Row],[Alchemists Flame]],12,IF(OFFSET(TblMagic[[#This Row],[Active Alchemists Flame]],-1,0)&gt;0,OFFSET(TblMagic[[#This Row],[Active Alchemists Flame]],-1,0)-1,0))</f>
        <v>0</v>
      </c>
      <c r="AO129" s="57">
        <f ca="1">IF(TblMagic[[#This Row],[Nightfall]],12,IF(OFFSET(TblMagic[[#This Row],[Active Nightfall]],-1,0)&gt;0,OFFSET(TblMagic[[#This Row],[Active Nightfall]],-1,0)-1,0))</f>
        <v>0</v>
      </c>
      <c r="AP129" s="57">
        <f ca="1">IF(TblMagic[[#This Row],[Favorable Terrain]],12,IF(OFFSET(TblMagic[[#This Row],[Active Favorable Terrain]],-1,0)&gt;0,OFFSET(TblMagic[[#This Row],[Active Favorable Terrain]],-1,0)-1,0))</f>
        <v>0</v>
      </c>
      <c r="AQ129" s="57">
        <f ca="1">IF(TblMagic[[#This Row],[Infernal Command]],12,IF(OFFSET(TblMagic[[#This Row],[Active Infernal Command]],-1,0)&gt;0,OFFSET(TblMagic[[#This Row],[Active Infernal Command]],-1,0)-1,0))</f>
        <v>0</v>
      </c>
    </row>
    <row r="130" spans="1:43" x14ac:dyDescent="0.2">
      <c r="A130" s="137">
        <f>TblRezone[[#This Row],[Hour]]</f>
        <v>127</v>
      </c>
      <c r="B130" s="154">
        <f ca="1">TblConstr[[#This Row],[Land]]</f>
        <v>50</v>
      </c>
      <c r="C130" s="94">
        <f ca="1">TblProd[[#This Row],[Mana]]</f>
        <v>0</v>
      </c>
      <c r="D130" s="156">
        <f ca="1">MIN(1,OFFSET(TblMagic[[#This Row],[Wiz str]],-1,0)+0.04+ROUNDDOWN(10*OFFSET(TblMili[[#This Row],[WG''s]],-1,0),0)+ tech_2_7*OFFSET(TblTech[[#This Row],[2-7]],-1,0) + tech_5_6*OFFSET(TblTech[[#This Row],[5-6]],-1,0) )-TblMagic[[#This Row],[Wiz str cost]]</f>
        <v>1</v>
      </c>
      <c r="E130" s="159">
        <f ca="1">OFFSET(TblMagic[[#This Row],[Time]],-1,0)+1/24</f>
        <v>46325.249999999694</v>
      </c>
      <c r="F130" s="156">
        <f ca="1">TblImps[[#This Row],[Population]]</f>
        <v>1</v>
      </c>
      <c r="G130" s="218"/>
      <c r="H130" s="218"/>
      <c r="I130" s="218"/>
      <c r="J130" s="218"/>
      <c r="K130" s="405"/>
      <c r="L130" s="218"/>
      <c r="M130" s="218"/>
      <c r="N130" s="218"/>
      <c r="O130" s="218"/>
      <c r="P130" s="218"/>
      <c r="Q130" s="218"/>
      <c r="R130" s="218"/>
      <c r="S130" s="218"/>
      <c r="T130" s="218"/>
      <c r="U130" s="218"/>
      <c r="V130" s="218"/>
      <c r="W130" s="218"/>
      <c r="X130" s="142"/>
      <c r="Y13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0" s="156">
        <f>SUMIF(TblMagic[[#This Row],[Gaia''s Watch]:[Useless spell]],1)*0.05</f>
        <v>0</v>
      </c>
      <c r="AA130" s="142"/>
      <c r="AB130" s="57">
        <f ca="1">IF(TblMagic[[#This Row],[Gaia''s Watch]],12,IF(OFFSET(TblMagic[[#This Row],[Active Gaia''s Watch]],-1,0)&gt;0,OFFSET(TblMagic[[#This Row],[Active Gaia''s Watch]],-1,0)-1,0))</f>
        <v>0</v>
      </c>
      <c r="AC130" s="57">
        <f ca="1">IF(TblMagic[[#This Row],[Mining Strength]],12,IF(OFFSET(TblMagic[[#This Row],[Active Mining Strength]],-1,0)&gt;0,OFFSET(TblMagic[[#This Row],[Active Mining Strength]],-1,0)-1,0))</f>
        <v>0</v>
      </c>
      <c r="AD130" s="57">
        <f ca="1">IF(TblMagic[[#This Row],[Ares Call]],12,IF(OFFSET(TblMagic[[#This Row],[Active Ares Call]],-1,0)&gt;0,OFFSET(TblMagic[[#This Row],[Active Ares Call]],-1,0)-1,0))</f>
        <v>0</v>
      </c>
      <c r="AE130" s="57">
        <f ca="1">IF(TblMagic[[#This Row],[Midas Touch]],12,IF(OFFSET(TblMagic[[#This Row],[Active Midas Touch]],-1,0)&gt;0,OFFSET(TblMagic[[#This Row],[Active Midas Touch]],-1,0)-1,0))</f>
        <v>0</v>
      </c>
      <c r="AF130" s="57">
        <f ca="1">IF(TblMagic[[#This Row],[Harmony]],12,IF(OFFSET(TblMagic[[#This Row],[Active Harmony]],-1,0)&gt;0,OFFSET(TblMagic[[#This Row],[Active Harmony]],-1,0)-1,0))</f>
        <v>0</v>
      </c>
      <c r="AG130" s="57">
        <f ca="1">IF(TblMagic[[#This Row],[Miner''s Sight]],12,IF(OFFSET(TblMagic[[#This Row],[Active Miner''s Sight]],-1,0)&gt;0,OFFSET(TblMagic[[#This Row],[Active Miner''s Sight]],-1,0)-1,0))</f>
        <v>0</v>
      </c>
      <c r="AH130" s="57">
        <f ca="1">IF(TblMagic[[#This Row],[Mechanical Genius]],12,IF(OFFSET(TblMagic[[#This Row],[Active Mechanical Genius]],-1,0)&gt;0,OFFSET(TblMagic[[#This Row],[Active Mechanical Genius]],-1,0)-1,0))</f>
        <v>0</v>
      </c>
      <c r="AI130" s="57">
        <f ca="1">IF(TblMagic[[#This Row],[Death and Decay]],12,IF(OFFSET(TblMagic[[#This Row],[Active DnD]],-1,0)&gt;0,OFFSET(TblMagic[[#This Row],[Active DnD]],-1,0)-1,0))</f>
        <v>0</v>
      </c>
      <c r="AJ130" s="57">
        <f ca="1">IF(TblMagic[[#This Row],[Killing Rage / Bloodrage / Crusade]],12,IF(OFFSET(TblMagic[[#This Row],[Active Warsong / Killing Rage / Bloodrage]],-1,0)&gt;0,OFFSET(TblMagic[[#This Row],[Active Warsong / Killing Rage / Bloodrage]],-1,0)-1,0))</f>
        <v>0</v>
      </c>
      <c r="AK130" s="57">
        <f ca="1">IF(TblMagic[[#This Row],[Gaia''s Blessing]],12,IF(OFFSET(TblMagic[[#This Row],[Active Gaia''s Blessing]],-1,0)&gt;0,OFFSET(TblMagic[[#This Row],[Active Gaia''s Blessing]],-1,0)-1,0))</f>
        <v>0</v>
      </c>
      <c r="AL130" s="57">
        <f ca="1">IF(TblMagic[[#This Row],[Howling]],12,IF(OFFSET(TblMagic[[#This Row],[Active Howling]],-1,0)&gt;0,OFFSET(TblMagic[[#This Row],[Active Howling]],-1,0)-1,0))</f>
        <v>0</v>
      </c>
      <c r="AM130" s="57">
        <f ca="1">IF(TblMagic[[#This Row],[Arcane Infusion]],12,IF(OFFSET(TblMagic[[#This Row],[Active Arc Infusion]],-1,0)&gt;0,OFFSET(TblMagic[[#This Row],[Active Arc Infusion]],-1,0)-1,0))</f>
        <v>0</v>
      </c>
      <c r="AN130" s="57">
        <f ca="1">IF(TblMagic[[#This Row],[Alchemists Flame]],12,IF(OFFSET(TblMagic[[#This Row],[Active Alchemists Flame]],-1,0)&gt;0,OFFSET(TblMagic[[#This Row],[Active Alchemists Flame]],-1,0)-1,0))</f>
        <v>0</v>
      </c>
      <c r="AO130" s="57">
        <f ca="1">IF(TblMagic[[#This Row],[Nightfall]],12,IF(OFFSET(TblMagic[[#This Row],[Active Nightfall]],-1,0)&gt;0,OFFSET(TblMagic[[#This Row],[Active Nightfall]],-1,0)-1,0))</f>
        <v>0</v>
      </c>
      <c r="AP130" s="57">
        <f ca="1">IF(TblMagic[[#This Row],[Favorable Terrain]],12,IF(OFFSET(TblMagic[[#This Row],[Active Favorable Terrain]],-1,0)&gt;0,OFFSET(TblMagic[[#This Row],[Active Favorable Terrain]],-1,0)-1,0))</f>
        <v>0</v>
      </c>
      <c r="AQ130" s="57">
        <f ca="1">IF(TblMagic[[#This Row],[Infernal Command]],12,IF(OFFSET(TblMagic[[#This Row],[Active Infernal Command]],-1,0)&gt;0,OFFSET(TblMagic[[#This Row],[Active Infernal Command]],-1,0)-1,0))</f>
        <v>0</v>
      </c>
    </row>
    <row r="131" spans="1:43" x14ac:dyDescent="0.2">
      <c r="A131" s="137">
        <f>TblRezone[[#This Row],[Hour]]</f>
        <v>128</v>
      </c>
      <c r="B131" s="154">
        <f ca="1">TblConstr[[#This Row],[Land]]</f>
        <v>50</v>
      </c>
      <c r="C131" s="94">
        <f ca="1">TblProd[[#This Row],[Mana]]</f>
        <v>0</v>
      </c>
      <c r="D131" s="156">
        <f ca="1">MIN(1,OFFSET(TblMagic[[#This Row],[Wiz str]],-1,0)+0.04+ROUNDDOWN(10*OFFSET(TblMili[[#This Row],[WG''s]],-1,0),0)+ tech_2_7*OFFSET(TblTech[[#This Row],[2-7]],-1,0) + tech_5_6*OFFSET(TblTech[[#This Row],[5-6]],-1,0) )-TblMagic[[#This Row],[Wiz str cost]]</f>
        <v>1</v>
      </c>
      <c r="E131" s="159">
        <f ca="1">OFFSET(TblMagic[[#This Row],[Time]],-1,0)+1/24</f>
        <v>46325.291666666359</v>
      </c>
      <c r="F131" s="156">
        <f ca="1">TblImps[[#This Row],[Population]]</f>
        <v>1</v>
      </c>
      <c r="G131" s="218"/>
      <c r="H131" s="218"/>
      <c r="I131" s="218"/>
      <c r="J131" s="218"/>
      <c r="K131" s="405"/>
      <c r="L131" s="218"/>
      <c r="M131" s="218"/>
      <c r="N131" s="218"/>
      <c r="O131" s="218"/>
      <c r="P131" s="218"/>
      <c r="Q131" s="218"/>
      <c r="R131" s="218"/>
      <c r="S131" s="218"/>
      <c r="T131" s="218"/>
      <c r="U131" s="218"/>
      <c r="V131" s="218"/>
      <c r="W131" s="218"/>
      <c r="X131" s="142"/>
      <c r="Y13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1" s="156">
        <f>SUMIF(TblMagic[[#This Row],[Gaia''s Watch]:[Useless spell]],1)*0.05</f>
        <v>0</v>
      </c>
      <c r="AA131" s="142"/>
      <c r="AB131" s="57">
        <f ca="1">IF(TblMagic[[#This Row],[Gaia''s Watch]],12,IF(OFFSET(TblMagic[[#This Row],[Active Gaia''s Watch]],-1,0)&gt;0,OFFSET(TblMagic[[#This Row],[Active Gaia''s Watch]],-1,0)-1,0))</f>
        <v>0</v>
      </c>
      <c r="AC131" s="57">
        <f ca="1">IF(TblMagic[[#This Row],[Mining Strength]],12,IF(OFFSET(TblMagic[[#This Row],[Active Mining Strength]],-1,0)&gt;0,OFFSET(TblMagic[[#This Row],[Active Mining Strength]],-1,0)-1,0))</f>
        <v>0</v>
      </c>
      <c r="AD131" s="57">
        <f ca="1">IF(TblMagic[[#This Row],[Ares Call]],12,IF(OFFSET(TblMagic[[#This Row],[Active Ares Call]],-1,0)&gt;0,OFFSET(TblMagic[[#This Row],[Active Ares Call]],-1,0)-1,0))</f>
        <v>0</v>
      </c>
      <c r="AE131" s="57">
        <f ca="1">IF(TblMagic[[#This Row],[Midas Touch]],12,IF(OFFSET(TblMagic[[#This Row],[Active Midas Touch]],-1,0)&gt;0,OFFSET(TblMagic[[#This Row],[Active Midas Touch]],-1,0)-1,0))</f>
        <v>0</v>
      </c>
      <c r="AF131" s="57">
        <f ca="1">IF(TblMagic[[#This Row],[Harmony]],12,IF(OFFSET(TblMagic[[#This Row],[Active Harmony]],-1,0)&gt;0,OFFSET(TblMagic[[#This Row],[Active Harmony]],-1,0)-1,0))</f>
        <v>0</v>
      </c>
      <c r="AG131" s="57">
        <f ca="1">IF(TblMagic[[#This Row],[Miner''s Sight]],12,IF(OFFSET(TblMagic[[#This Row],[Active Miner''s Sight]],-1,0)&gt;0,OFFSET(TblMagic[[#This Row],[Active Miner''s Sight]],-1,0)-1,0))</f>
        <v>0</v>
      </c>
      <c r="AH131" s="57">
        <f ca="1">IF(TblMagic[[#This Row],[Mechanical Genius]],12,IF(OFFSET(TblMagic[[#This Row],[Active Mechanical Genius]],-1,0)&gt;0,OFFSET(TblMagic[[#This Row],[Active Mechanical Genius]],-1,0)-1,0))</f>
        <v>0</v>
      </c>
      <c r="AI131" s="57">
        <f ca="1">IF(TblMagic[[#This Row],[Death and Decay]],12,IF(OFFSET(TblMagic[[#This Row],[Active DnD]],-1,0)&gt;0,OFFSET(TblMagic[[#This Row],[Active DnD]],-1,0)-1,0))</f>
        <v>0</v>
      </c>
      <c r="AJ131" s="57">
        <f ca="1">IF(TblMagic[[#This Row],[Killing Rage / Bloodrage / Crusade]],12,IF(OFFSET(TblMagic[[#This Row],[Active Warsong / Killing Rage / Bloodrage]],-1,0)&gt;0,OFFSET(TblMagic[[#This Row],[Active Warsong / Killing Rage / Bloodrage]],-1,0)-1,0))</f>
        <v>0</v>
      </c>
      <c r="AK131" s="57">
        <f ca="1">IF(TblMagic[[#This Row],[Gaia''s Blessing]],12,IF(OFFSET(TblMagic[[#This Row],[Active Gaia''s Blessing]],-1,0)&gt;0,OFFSET(TblMagic[[#This Row],[Active Gaia''s Blessing]],-1,0)-1,0))</f>
        <v>0</v>
      </c>
      <c r="AL131" s="57">
        <f ca="1">IF(TblMagic[[#This Row],[Howling]],12,IF(OFFSET(TblMagic[[#This Row],[Active Howling]],-1,0)&gt;0,OFFSET(TblMagic[[#This Row],[Active Howling]],-1,0)-1,0))</f>
        <v>0</v>
      </c>
      <c r="AM131" s="57">
        <f ca="1">IF(TblMagic[[#This Row],[Arcane Infusion]],12,IF(OFFSET(TblMagic[[#This Row],[Active Arc Infusion]],-1,0)&gt;0,OFFSET(TblMagic[[#This Row],[Active Arc Infusion]],-1,0)-1,0))</f>
        <v>0</v>
      </c>
      <c r="AN131" s="57">
        <f ca="1">IF(TblMagic[[#This Row],[Alchemists Flame]],12,IF(OFFSET(TblMagic[[#This Row],[Active Alchemists Flame]],-1,0)&gt;0,OFFSET(TblMagic[[#This Row],[Active Alchemists Flame]],-1,0)-1,0))</f>
        <v>0</v>
      </c>
      <c r="AO131" s="57">
        <f ca="1">IF(TblMagic[[#This Row],[Nightfall]],12,IF(OFFSET(TblMagic[[#This Row],[Active Nightfall]],-1,0)&gt;0,OFFSET(TblMagic[[#This Row],[Active Nightfall]],-1,0)-1,0))</f>
        <v>0</v>
      </c>
      <c r="AP131" s="57">
        <f ca="1">IF(TblMagic[[#This Row],[Favorable Terrain]],12,IF(OFFSET(TblMagic[[#This Row],[Active Favorable Terrain]],-1,0)&gt;0,OFFSET(TblMagic[[#This Row],[Active Favorable Terrain]],-1,0)-1,0))</f>
        <v>0</v>
      </c>
      <c r="AQ131" s="57">
        <f ca="1">IF(TblMagic[[#This Row],[Infernal Command]],12,IF(OFFSET(TblMagic[[#This Row],[Active Infernal Command]],-1,0)&gt;0,OFFSET(TblMagic[[#This Row],[Active Infernal Command]],-1,0)-1,0))</f>
        <v>0</v>
      </c>
    </row>
    <row r="132" spans="1:43" x14ac:dyDescent="0.2">
      <c r="A132" s="137">
        <f>TblRezone[[#This Row],[Hour]]</f>
        <v>129</v>
      </c>
      <c r="B132" s="154">
        <f ca="1">TblConstr[[#This Row],[Land]]</f>
        <v>50</v>
      </c>
      <c r="C132" s="94">
        <f ca="1">TblProd[[#This Row],[Mana]]</f>
        <v>0</v>
      </c>
      <c r="D132" s="156">
        <f ca="1">MIN(1,OFFSET(TblMagic[[#This Row],[Wiz str]],-1,0)+0.04+ROUNDDOWN(10*OFFSET(TblMili[[#This Row],[WG''s]],-1,0),0)+ tech_2_7*OFFSET(TblTech[[#This Row],[2-7]],-1,0) + tech_5_6*OFFSET(TblTech[[#This Row],[5-6]],-1,0) )-TblMagic[[#This Row],[Wiz str cost]]</f>
        <v>1</v>
      </c>
      <c r="E132" s="159">
        <f ca="1">OFFSET(TblMagic[[#This Row],[Time]],-1,0)+1/24</f>
        <v>46325.333333333023</v>
      </c>
      <c r="F132" s="156">
        <f ca="1">TblImps[[#This Row],[Population]]</f>
        <v>1</v>
      </c>
      <c r="G132" s="218"/>
      <c r="H132" s="218"/>
      <c r="I132" s="218"/>
      <c r="J132" s="218"/>
      <c r="K132" s="405"/>
      <c r="L132" s="218"/>
      <c r="M132" s="218"/>
      <c r="N132" s="218"/>
      <c r="O132" s="218"/>
      <c r="P132" s="218"/>
      <c r="Q132" s="218"/>
      <c r="R132" s="218"/>
      <c r="S132" s="218"/>
      <c r="T132" s="218"/>
      <c r="U132" s="218"/>
      <c r="V132" s="218"/>
      <c r="W132" s="218"/>
      <c r="X132" s="142"/>
      <c r="Y13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2" s="156">
        <f>SUMIF(TblMagic[[#This Row],[Gaia''s Watch]:[Useless spell]],1)*0.05</f>
        <v>0</v>
      </c>
      <c r="AA132" s="142"/>
      <c r="AB132" s="57">
        <f ca="1">IF(TblMagic[[#This Row],[Gaia''s Watch]],12,IF(OFFSET(TblMagic[[#This Row],[Active Gaia''s Watch]],-1,0)&gt;0,OFFSET(TblMagic[[#This Row],[Active Gaia''s Watch]],-1,0)-1,0))</f>
        <v>0</v>
      </c>
      <c r="AC132" s="57">
        <f ca="1">IF(TblMagic[[#This Row],[Mining Strength]],12,IF(OFFSET(TblMagic[[#This Row],[Active Mining Strength]],-1,0)&gt;0,OFFSET(TblMagic[[#This Row],[Active Mining Strength]],-1,0)-1,0))</f>
        <v>0</v>
      </c>
      <c r="AD132" s="57">
        <f ca="1">IF(TblMagic[[#This Row],[Ares Call]],12,IF(OFFSET(TblMagic[[#This Row],[Active Ares Call]],-1,0)&gt;0,OFFSET(TblMagic[[#This Row],[Active Ares Call]],-1,0)-1,0))</f>
        <v>0</v>
      </c>
      <c r="AE132" s="57">
        <f ca="1">IF(TblMagic[[#This Row],[Midas Touch]],12,IF(OFFSET(TblMagic[[#This Row],[Active Midas Touch]],-1,0)&gt;0,OFFSET(TblMagic[[#This Row],[Active Midas Touch]],-1,0)-1,0))</f>
        <v>0</v>
      </c>
      <c r="AF132" s="57">
        <f ca="1">IF(TblMagic[[#This Row],[Harmony]],12,IF(OFFSET(TblMagic[[#This Row],[Active Harmony]],-1,0)&gt;0,OFFSET(TblMagic[[#This Row],[Active Harmony]],-1,0)-1,0))</f>
        <v>0</v>
      </c>
      <c r="AG132" s="57">
        <f ca="1">IF(TblMagic[[#This Row],[Miner''s Sight]],12,IF(OFFSET(TblMagic[[#This Row],[Active Miner''s Sight]],-1,0)&gt;0,OFFSET(TblMagic[[#This Row],[Active Miner''s Sight]],-1,0)-1,0))</f>
        <v>0</v>
      </c>
      <c r="AH132" s="57">
        <f ca="1">IF(TblMagic[[#This Row],[Mechanical Genius]],12,IF(OFFSET(TblMagic[[#This Row],[Active Mechanical Genius]],-1,0)&gt;0,OFFSET(TblMagic[[#This Row],[Active Mechanical Genius]],-1,0)-1,0))</f>
        <v>0</v>
      </c>
      <c r="AI132" s="57">
        <f ca="1">IF(TblMagic[[#This Row],[Death and Decay]],12,IF(OFFSET(TblMagic[[#This Row],[Active DnD]],-1,0)&gt;0,OFFSET(TblMagic[[#This Row],[Active DnD]],-1,0)-1,0))</f>
        <v>0</v>
      </c>
      <c r="AJ132" s="57">
        <f ca="1">IF(TblMagic[[#This Row],[Killing Rage / Bloodrage / Crusade]],12,IF(OFFSET(TblMagic[[#This Row],[Active Warsong / Killing Rage / Bloodrage]],-1,0)&gt;0,OFFSET(TblMagic[[#This Row],[Active Warsong / Killing Rage / Bloodrage]],-1,0)-1,0))</f>
        <v>0</v>
      </c>
      <c r="AK132" s="57">
        <f ca="1">IF(TblMagic[[#This Row],[Gaia''s Blessing]],12,IF(OFFSET(TblMagic[[#This Row],[Active Gaia''s Blessing]],-1,0)&gt;0,OFFSET(TblMagic[[#This Row],[Active Gaia''s Blessing]],-1,0)-1,0))</f>
        <v>0</v>
      </c>
      <c r="AL132" s="57">
        <f ca="1">IF(TblMagic[[#This Row],[Howling]],12,IF(OFFSET(TblMagic[[#This Row],[Active Howling]],-1,0)&gt;0,OFFSET(TblMagic[[#This Row],[Active Howling]],-1,0)-1,0))</f>
        <v>0</v>
      </c>
      <c r="AM132" s="57">
        <f ca="1">IF(TblMagic[[#This Row],[Arcane Infusion]],12,IF(OFFSET(TblMagic[[#This Row],[Active Arc Infusion]],-1,0)&gt;0,OFFSET(TblMagic[[#This Row],[Active Arc Infusion]],-1,0)-1,0))</f>
        <v>0</v>
      </c>
      <c r="AN132" s="57">
        <f ca="1">IF(TblMagic[[#This Row],[Alchemists Flame]],12,IF(OFFSET(TblMagic[[#This Row],[Active Alchemists Flame]],-1,0)&gt;0,OFFSET(TblMagic[[#This Row],[Active Alchemists Flame]],-1,0)-1,0))</f>
        <v>0</v>
      </c>
      <c r="AO132" s="57">
        <f ca="1">IF(TblMagic[[#This Row],[Nightfall]],12,IF(OFFSET(TblMagic[[#This Row],[Active Nightfall]],-1,0)&gt;0,OFFSET(TblMagic[[#This Row],[Active Nightfall]],-1,0)-1,0))</f>
        <v>0</v>
      </c>
      <c r="AP132" s="57">
        <f ca="1">IF(TblMagic[[#This Row],[Favorable Terrain]],12,IF(OFFSET(TblMagic[[#This Row],[Active Favorable Terrain]],-1,0)&gt;0,OFFSET(TblMagic[[#This Row],[Active Favorable Terrain]],-1,0)-1,0))</f>
        <v>0</v>
      </c>
      <c r="AQ132" s="57">
        <f ca="1">IF(TblMagic[[#This Row],[Infernal Command]],12,IF(OFFSET(TblMagic[[#This Row],[Active Infernal Command]],-1,0)&gt;0,OFFSET(TblMagic[[#This Row],[Active Infernal Command]],-1,0)-1,0))</f>
        <v>0</v>
      </c>
    </row>
    <row r="133" spans="1:43" x14ac:dyDescent="0.2">
      <c r="A133" s="137">
        <f>TblRezone[[#This Row],[Hour]]</f>
        <v>130</v>
      </c>
      <c r="B133" s="154">
        <f ca="1">TblConstr[[#This Row],[Land]]</f>
        <v>50</v>
      </c>
      <c r="C133" s="94">
        <f ca="1">TblProd[[#This Row],[Mana]]</f>
        <v>0</v>
      </c>
      <c r="D133" s="156">
        <f ca="1">MIN(1,OFFSET(TblMagic[[#This Row],[Wiz str]],-1,0)+0.04+ROUNDDOWN(10*OFFSET(TblMili[[#This Row],[WG''s]],-1,0),0)+ tech_2_7*OFFSET(TblTech[[#This Row],[2-7]],-1,0) + tech_5_6*OFFSET(TblTech[[#This Row],[5-6]],-1,0) )-TblMagic[[#This Row],[Wiz str cost]]</f>
        <v>1</v>
      </c>
      <c r="E133" s="159">
        <f ca="1">OFFSET(TblMagic[[#This Row],[Time]],-1,0)+1/24</f>
        <v>46325.374999999687</v>
      </c>
      <c r="F133" s="156">
        <f ca="1">TblImps[[#This Row],[Population]]</f>
        <v>1</v>
      </c>
      <c r="G133" s="218"/>
      <c r="H133" s="218"/>
      <c r="I133" s="218"/>
      <c r="J133" s="218"/>
      <c r="K133" s="405"/>
      <c r="L133" s="218"/>
      <c r="M133" s="218"/>
      <c r="N133" s="218"/>
      <c r="O133" s="218"/>
      <c r="P133" s="218"/>
      <c r="Q133" s="218"/>
      <c r="R133" s="218"/>
      <c r="S133" s="218"/>
      <c r="T133" s="218"/>
      <c r="U133" s="218"/>
      <c r="V133" s="218"/>
      <c r="W133" s="218"/>
      <c r="X133" s="142"/>
      <c r="Y13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3" s="156">
        <f>SUMIF(TblMagic[[#This Row],[Gaia''s Watch]:[Useless spell]],1)*0.05</f>
        <v>0</v>
      </c>
      <c r="AA133" s="142"/>
      <c r="AB133" s="57">
        <f ca="1">IF(TblMagic[[#This Row],[Gaia''s Watch]],12,IF(OFFSET(TblMagic[[#This Row],[Active Gaia''s Watch]],-1,0)&gt;0,OFFSET(TblMagic[[#This Row],[Active Gaia''s Watch]],-1,0)-1,0))</f>
        <v>0</v>
      </c>
      <c r="AC133" s="57">
        <f ca="1">IF(TblMagic[[#This Row],[Mining Strength]],12,IF(OFFSET(TblMagic[[#This Row],[Active Mining Strength]],-1,0)&gt;0,OFFSET(TblMagic[[#This Row],[Active Mining Strength]],-1,0)-1,0))</f>
        <v>0</v>
      </c>
      <c r="AD133" s="57">
        <f ca="1">IF(TblMagic[[#This Row],[Ares Call]],12,IF(OFFSET(TblMagic[[#This Row],[Active Ares Call]],-1,0)&gt;0,OFFSET(TblMagic[[#This Row],[Active Ares Call]],-1,0)-1,0))</f>
        <v>0</v>
      </c>
      <c r="AE133" s="57">
        <f ca="1">IF(TblMagic[[#This Row],[Midas Touch]],12,IF(OFFSET(TblMagic[[#This Row],[Active Midas Touch]],-1,0)&gt;0,OFFSET(TblMagic[[#This Row],[Active Midas Touch]],-1,0)-1,0))</f>
        <v>0</v>
      </c>
      <c r="AF133" s="57">
        <f ca="1">IF(TblMagic[[#This Row],[Harmony]],12,IF(OFFSET(TblMagic[[#This Row],[Active Harmony]],-1,0)&gt;0,OFFSET(TblMagic[[#This Row],[Active Harmony]],-1,0)-1,0))</f>
        <v>0</v>
      </c>
      <c r="AG133" s="57">
        <f ca="1">IF(TblMagic[[#This Row],[Miner''s Sight]],12,IF(OFFSET(TblMagic[[#This Row],[Active Miner''s Sight]],-1,0)&gt;0,OFFSET(TblMagic[[#This Row],[Active Miner''s Sight]],-1,0)-1,0))</f>
        <v>0</v>
      </c>
      <c r="AH133" s="57">
        <f ca="1">IF(TblMagic[[#This Row],[Mechanical Genius]],12,IF(OFFSET(TblMagic[[#This Row],[Active Mechanical Genius]],-1,0)&gt;0,OFFSET(TblMagic[[#This Row],[Active Mechanical Genius]],-1,0)-1,0))</f>
        <v>0</v>
      </c>
      <c r="AI133" s="57">
        <f ca="1">IF(TblMagic[[#This Row],[Death and Decay]],12,IF(OFFSET(TblMagic[[#This Row],[Active DnD]],-1,0)&gt;0,OFFSET(TblMagic[[#This Row],[Active DnD]],-1,0)-1,0))</f>
        <v>0</v>
      </c>
      <c r="AJ133" s="57">
        <f ca="1">IF(TblMagic[[#This Row],[Killing Rage / Bloodrage / Crusade]],12,IF(OFFSET(TblMagic[[#This Row],[Active Warsong / Killing Rage / Bloodrage]],-1,0)&gt;0,OFFSET(TblMagic[[#This Row],[Active Warsong / Killing Rage / Bloodrage]],-1,0)-1,0))</f>
        <v>0</v>
      </c>
      <c r="AK133" s="57">
        <f ca="1">IF(TblMagic[[#This Row],[Gaia''s Blessing]],12,IF(OFFSET(TblMagic[[#This Row],[Active Gaia''s Blessing]],-1,0)&gt;0,OFFSET(TblMagic[[#This Row],[Active Gaia''s Blessing]],-1,0)-1,0))</f>
        <v>0</v>
      </c>
      <c r="AL133" s="57">
        <f ca="1">IF(TblMagic[[#This Row],[Howling]],12,IF(OFFSET(TblMagic[[#This Row],[Active Howling]],-1,0)&gt;0,OFFSET(TblMagic[[#This Row],[Active Howling]],-1,0)-1,0))</f>
        <v>0</v>
      </c>
      <c r="AM133" s="57">
        <f ca="1">IF(TblMagic[[#This Row],[Arcane Infusion]],12,IF(OFFSET(TblMagic[[#This Row],[Active Arc Infusion]],-1,0)&gt;0,OFFSET(TblMagic[[#This Row],[Active Arc Infusion]],-1,0)-1,0))</f>
        <v>0</v>
      </c>
      <c r="AN133" s="57">
        <f ca="1">IF(TblMagic[[#This Row],[Alchemists Flame]],12,IF(OFFSET(TblMagic[[#This Row],[Active Alchemists Flame]],-1,0)&gt;0,OFFSET(TblMagic[[#This Row],[Active Alchemists Flame]],-1,0)-1,0))</f>
        <v>0</v>
      </c>
      <c r="AO133" s="57">
        <f ca="1">IF(TblMagic[[#This Row],[Nightfall]],12,IF(OFFSET(TblMagic[[#This Row],[Active Nightfall]],-1,0)&gt;0,OFFSET(TblMagic[[#This Row],[Active Nightfall]],-1,0)-1,0))</f>
        <v>0</v>
      </c>
      <c r="AP133" s="57">
        <f ca="1">IF(TblMagic[[#This Row],[Favorable Terrain]],12,IF(OFFSET(TblMagic[[#This Row],[Active Favorable Terrain]],-1,0)&gt;0,OFFSET(TblMagic[[#This Row],[Active Favorable Terrain]],-1,0)-1,0))</f>
        <v>0</v>
      </c>
      <c r="AQ133" s="57">
        <f ca="1">IF(TblMagic[[#This Row],[Infernal Command]],12,IF(OFFSET(TblMagic[[#This Row],[Active Infernal Command]],-1,0)&gt;0,OFFSET(TblMagic[[#This Row],[Active Infernal Command]],-1,0)-1,0))</f>
        <v>0</v>
      </c>
    </row>
    <row r="134" spans="1:43" x14ac:dyDescent="0.2">
      <c r="A134" s="137">
        <f>TblRezone[[#This Row],[Hour]]</f>
        <v>131</v>
      </c>
      <c r="B134" s="154">
        <f ca="1">TblConstr[[#This Row],[Land]]</f>
        <v>50</v>
      </c>
      <c r="C134" s="94">
        <f ca="1">TblProd[[#This Row],[Mana]]</f>
        <v>0</v>
      </c>
      <c r="D134" s="156">
        <f ca="1">MIN(1,OFFSET(TblMagic[[#This Row],[Wiz str]],-1,0)+0.04+ROUNDDOWN(10*OFFSET(TblMili[[#This Row],[WG''s]],-1,0),0)+ tech_2_7*OFFSET(TblTech[[#This Row],[2-7]],-1,0) + tech_5_6*OFFSET(TblTech[[#This Row],[5-6]],-1,0) )-TblMagic[[#This Row],[Wiz str cost]]</f>
        <v>1</v>
      </c>
      <c r="E134" s="159">
        <f ca="1">OFFSET(TblMagic[[#This Row],[Time]],-1,0)+1/24</f>
        <v>46325.416666666351</v>
      </c>
      <c r="F134" s="156">
        <f ca="1">TblImps[[#This Row],[Population]]</f>
        <v>1</v>
      </c>
      <c r="G134" s="218"/>
      <c r="H134" s="218"/>
      <c r="I134" s="218"/>
      <c r="J134" s="218"/>
      <c r="K134" s="405"/>
      <c r="L134" s="218"/>
      <c r="M134" s="218"/>
      <c r="N134" s="218"/>
      <c r="O134" s="218"/>
      <c r="P134" s="218"/>
      <c r="Q134" s="218"/>
      <c r="R134" s="218"/>
      <c r="S134" s="218"/>
      <c r="T134" s="218"/>
      <c r="U134" s="218"/>
      <c r="V134" s="218"/>
      <c r="W134" s="218"/>
      <c r="X134" s="142"/>
      <c r="Y13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4" s="156">
        <f>SUMIF(TblMagic[[#This Row],[Gaia''s Watch]:[Useless spell]],1)*0.05</f>
        <v>0</v>
      </c>
      <c r="AA134" s="142"/>
      <c r="AB134" s="57">
        <f ca="1">IF(TblMagic[[#This Row],[Gaia''s Watch]],12,IF(OFFSET(TblMagic[[#This Row],[Active Gaia''s Watch]],-1,0)&gt;0,OFFSET(TblMagic[[#This Row],[Active Gaia''s Watch]],-1,0)-1,0))</f>
        <v>0</v>
      </c>
      <c r="AC134" s="57">
        <f ca="1">IF(TblMagic[[#This Row],[Mining Strength]],12,IF(OFFSET(TblMagic[[#This Row],[Active Mining Strength]],-1,0)&gt;0,OFFSET(TblMagic[[#This Row],[Active Mining Strength]],-1,0)-1,0))</f>
        <v>0</v>
      </c>
      <c r="AD134" s="57">
        <f ca="1">IF(TblMagic[[#This Row],[Ares Call]],12,IF(OFFSET(TblMagic[[#This Row],[Active Ares Call]],-1,0)&gt;0,OFFSET(TblMagic[[#This Row],[Active Ares Call]],-1,0)-1,0))</f>
        <v>0</v>
      </c>
      <c r="AE134" s="57">
        <f ca="1">IF(TblMagic[[#This Row],[Midas Touch]],12,IF(OFFSET(TblMagic[[#This Row],[Active Midas Touch]],-1,0)&gt;0,OFFSET(TblMagic[[#This Row],[Active Midas Touch]],-1,0)-1,0))</f>
        <v>0</v>
      </c>
      <c r="AF134" s="57">
        <f ca="1">IF(TblMagic[[#This Row],[Harmony]],12,IF(OFFSET(TblMagic[[#This Row],[Active Harmony]],-1,0)&gt;0,OFFSET(TblMagic[[#This Row],[Active Harmony]],-1,0)-1,0))</f>
        <v>0</v>
      </c>
      <c r="AG134" s="57">
        <f ca="1">IF(TblMagic[[#This Row],[Miner''s Sight]],12,IF(OFFSET(TblMagic[[#This Row],[Active Miner''s Sight]],-1,0)&gt;0,OFFSET(TblMagic[[#This Row],[Active Miner''s Sight]],-1,0)-1,0))</f>
        <v>0</v>
      </c>
      <c r="AH134" s="57">
        <f ca="1">IF(TblMagic[[#This Row],[Mechanical Genius]],12,IF(OFFSET(TblMagic[[#This Row],[Active Mechanical Genius]],-1,0)&gt;0,OFFSET(TblMagic[[#This Row],[Active Mechanical Genius]],-1,0)-1,0))</f>
        <v>0</v>
      </c>
      <c r="AI134" s="57">
        <f ca="1">IF(TblMagic[[#This Row],[Death and Decay]],12,IF(OFFSET(TblMagic[[#This Row],[Active DnD]],-1,0)&gt;0,OFFSET(TblMagic[[#This Row],[Active DnD]],-1,0)-1,0))</f>
        <v>0</v>
      </c>
      <c r="AJ134" s="57">
        <f ca="1">IF(TblMagic[[#This Row],[Killing Rage / Bloodrage / Crusade]],12,IF(OFFSET(TblMagic[[#This Row],[Active Warsong / Killing Rage / Bloodrage]],-1,0)&gt;0,OFFSET(TblMagic[[#This Row],[Active Warsong / Killing Rage / Bloodrage]],-1,0)-1,0))</f>
        <v>0</v>
      </c>
      <c r="AK134" s="57">
        <f ca="1">IF(TblMagic[[#This Row],[Gaia''s Blessing]],12,IF(OFFSET(TblMagic[[#This Row],[Active Gaia''s Blessing]],-1,0)&gt;0,OFFSET(TblMagic[[#This Row],[Active Gaia''s Blessing]],-1,0)-1,0))</f>
        <v>0</v>
      </c>
      <c r="AL134" s="57">
        <f ca="1">IF(TblMagic[[#This Row],[Howling]],12,IF(OFFSET(TblMagic[[#This Row],[Active Howling]],-1,0)&gt;0,OFFSET(TblMagic[[#This Row],[Active Howling]],-1,0)-1,0))</f>
        <v>0</v>
      </c>
      <c r="AM134" s="57">
        <f ca="1">IF(TblMagic[[#This Row],[Arcane Infusion]],12,IF(OFFSET(TblMagic[[#This Row],[Active Arc Infusion]],-1,0)&gt;0,OFFSET(TblMagic[[#This Row],[Active Arc Infusion]],-1,0)-1,0))</f>
        <v>0</v>
      </c>
      <c r="AN134" s="57">
        <f ca="1">IF(TblMagic[[#This Row],[Alchemists Flame]],12,IF(OFFSET(TblMagic[[#This Row],[Active Alchemists Flame]],-1,0)&gt;0,OFFSET(TblMagic[[#This Row],[Active Alchemists Flame]],-1,0)-1,0))</f>
        <v>0</v>
      </c>
      <c r="AO134" s="57">
        <f ca="1">IF(TblMagic[[#This Row],[Nightfall]],12,IF(OFFSET(TblMagic[[#This Row],[Active Nightfall]],-1,0)&gt;0,OFFSET(TblMagic[[#This Row],[Active Nightfall]],-1,0)-1,0))</f>
        <v>0</v>
      </c>
      <c r="AP134" s="57">
        <f ca="1">IF(TblMagic[[#This Row],[Favorable Terrain]],12,IF(OFFSET(TblMagic[[#This Row],[Active Favorable Terrain]],-1,0)&gt;0,OFFSET(TblMagic[[#This Row],[Active Favorable Terrain]],-1,0)-1,0))</f>
        <v>0</v>
      </c>
      <c r="AQ134" s="57">
        <f ca="1">IF(TblMagic[[#This Row],[Infernal Command]],12,IF(OFFSET(TblMagic[[#This Row],[Active Infernal Command]],-1,0)&gt;0,OFFSET(TblMagic[[#This Row],[Active Infernal Command]],-1,0)-1,0))</f>
        <v>0</v>
      </c>
    </row>
    <row r="135" spans="1:43" x14ac:dyDescent="0.2">
      <c r="A135" s="137">
        <f>TblRezone[[#This Row],[Hour]]</f>
        <v>132</v>
      </c>
      <c r="B135" s="154">
        <f ca="1">TblConstr[[#This Row],[Land]]</f>
        <v>50</v>
      </c>
      <c r="C135" s="94">
        <f ca="1">TblProd[[#This Row],[Mana]]</f>
        <v>0</v>
      </c>
      <c r="D135" s="156">
        <f ca="1">MIN(1,OFFSET(TblMagic[[#This Row],[Wiz str]],-1,0)+0.04+ROUNDDOWN(10*OFFSET(TblMili[[#This Row],[WG''s]],-1,0),0)+ tech_2_7*OFFSET(TblTech[[#This Row],[2-7]],-1,0) + tech_5_6*OFFSET(TblTech[[#This Row],[5-6]],-1,0) )-TblMagic[[#This Row],[Wiz str cost]]</f>
        <v>1</v>
      </c>
      <c r="E135" s="159">
        <f ca="1">OFFSET(TblMagic[[#This Row],[Time]],-1,0)+1/24</f>
        <v>46325.458333333016</v>
      </c>
      <c r="F135" s="156">
        <f ca="1">TblImps[[#This Row],[Population]]</f>
        <v>1</v>
      </c>
      <c r="G135" s="218"/>
      <c r="H135" s="218"/>
      <c r="I135" s="218"/>
      <c r="J135" s="218"/>
      <c r="K135" s="405"/>
      <c r="L135" s="218"/>
      <c r="M135" s="218"/>
      <c r="N135" s="218"/>
      <c r="O135" s="218"/>
      <c r="P135" s="218"/>
      <c r="Q135" s="218"/>
      <c r="R135" s="218"/>
      <c r="S135" s="218"/>
      <c r="T135" s="218"/>
      <c r="U135" s="218"/>
      <c r="V135" s="218"/>
      <c r="W135" s="218"/>
      <c r="X135" s="142"/>
      <c r="Y13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5" s="156">
        <f>SUMIF(TblMagic[[#This Row],[Gaia''s Watch]:[Useless spell]],1)*0.05</f>
        <v>0</v>
      </c>
      <c r="AA135" s="142"/>
      <c r="AB135" s="57">
        <f ca="1">IF(TblMagic[[#This Row],[Gaia''s Watch]],12,IF(OFFSET(TblMagic[[#This Row],[Active Gaia''s Watch]],-1,0)&gt;0,OFFSET(TblMagic[[#This Row],[Active Gaia''s Watch]],-1,0)-1,0))</f>
        <v>0</v>
      </c>
      <c r="AC135" s="57">
        <f ca="1">IF(TblMagic[[#This Row],[Mining Strength]],12,IF(OFFSET(TblMagic[[#This Row],[Active Mining Strength]],-1,0)&gt;0,OFFSET(TblMagic[[#This Row],[Active Mining Strength]],-1,0)-1,0))</f>
        <v>0</v>
      </c>
      <c r="AD135" s="57">
        <f ca="1">IF(TblMagic[[#This Row],[Ares Call]],12,IF(OFFSET(TblMagic[[#This Row],[Active Ares Call]],-1,0)&gt;0,OFFSET(TblMagic[[#This Row],[Active Ares Call]],-1,0)-1,0))</f>
        <v>0</v>
      </c>
      <c r="AE135" s="57">
        <f ca="1">IF(TblMagic[[#This Row],[Midas Touch]],12,IF(OFFSET(TblMagic[[#This Row],[Active Midas Touch]],-1,0)&gt;0,OFFSET(TblMagic[[#This Row],[Active Midas Touch]],-1,0)-1,0))</f>
        <v>0</v>
      </c>
      <c r="AF135" s="57">
        <f ca="1">IF(TblMagic[[#This Row],[Harmony]],12,IF(OFFSET(TblMagic[[#This Row],[Active Harmony]],-1,0)&gt;0,OFFSET(TblMagic[[#This Row],[Active Harmony]],-1,0)-1,0))</f>
        <v>0</v>
      </c>
      <c r="AG135" s="57">
        <f ca="1">IF(TblMagic[[#This Row],[Miner''s Sight]],12,IF(OFFSET(TblMagic[[#This Row],[Active Miner''s Sight]],-1,0)&gt;0,OFFSET(TblMagic[[#This Row],[Active Miner''s Sight]],-1,0)-1,0))</f>
        <v>0</v>
      </c>
      <c r="AH135" s="57">
        <f ca="1">IF(TblMagic[[#This Row],[Mechanical Genius]],12,IF(OFFSET(TblMagic[[#This Row],[Active Mechanical Genius]],-1,0)&gt;0,OFFSET(TblMagic[[#This Row],[Active Mechanical Genius]],-1,0)-1,0))</f>
        <v>0</v>
      </c>
      <c r="AI135" s="57">
        <f ca="1">IF(TblMagic[[#This Row],[Death and Decay]],12,IF(OFFSET(TblMagic[[#This Row],[Active DnD]],-1,0)&gt;0,OFFSET(TblMagic[[#This Row],[Active DnD]],-1,0)-1,0))</f>
        <v>0</v>
      </c>
      <c r="AJ135" s="57">
        <f ca="1">IF(TblMagic[[#This Row],[Killing Rage / Bloodrage / Crusade]],12,IF(OFFSET(TblMagic[[#This Row],[Active Warsong / Killing Rage / Bloodrage]],-1,0)&gt;0,OFFSET(TblMagic[[#This Row],[Active Warsong / Killing Rage / Bloodrage]],-1,0)-1,0))</f>
        <v>0</v>
      </c>
      <c r="AK135" s="57">
        <f ca="1">IF(TblMagic[[#This Row],[Gaia''s Blessing]],12,IF(OFFSET(TblMagic[[#This Row],[Active Gaia''s Blessing]],-1,0)&gt;0,OFFSET(TblMagic[[#This Row],[Active Gaia''s Blessing]],-1,0)-1,0))</f>
        <v>0</v>
      </c>
      <c r="AL135" s="57">
        <f ca="1">IF(TblMagic[[#This Row],[Howling]],12,IF(OFFSET(TblMagic[[#This Row],[Active Howling]],-1,0)&gt;0,OFFSET(TblMagic[[#This Row],[Active Howling]],-1,0)-1,0))</f>
        <v>0</v>
      </c>
      <c r="AM135" s="57">
        <f ca="1">IF(TblMagic[[#This Row],[Arcane Infusion]],12,IF(OFFSET(TblMagic[[#This Row],[Active Arc Infusion]],-1,0)&gt;0,OFFSET(TblMagic[[#This Row],[Active Arc Infusion]],-1,0)-1,0))</f>
        <v>0</v>
      </c>
      <c r="AN135" s="57">
        <f ca="1">IF(TblMagic[[#This Row],[Alchemists Flame]],12,IF(OFFSET(TblMagic[[#This Row],[Active Alchemists Flame]],-1,0)&gt;0,OFFSET(TblMagic[[#This Row],[Active Alchemists Flame]],-1,0)-1,0))</f>
        <v>0</v>
      </c>
      <c r="AO135" s="57">
        <f ca="1">IF(TblMagic[[#This Row],[Nightfall]],12,IF(OFFSET(TblMagic[[#This Row],[Active Nightfall]],-1,0)&gt;0,OFFSET(TblMagic[[#This Row],[Active Nightfall]],-1,0)-1,0))</f>
        <v>0</v>
      </c>
      <c r="AP135" s="57">
        <f ca="1">IF(TblMagic[[#This Row],[Favorable Terrain]],12,IF(OFFSET(TblMagic[[#This Row],[Active Favorable Terrain]],-1,0)&gt;0,OFFSET(TblMagic[[#This Row],[Active Favorable Terrain]],-1,0)-1,0))</f>
        <v>0</v>
      </c>
      <c r="AQ135" s="57">
        <f ca="1">IF(TblMagic[[#This Row],[Infernal Command]],12,IF(OFFSET(TblMagic[[#This Row],[Active Infernal Command]],-1,0)&gt;0,OFFSET(TblMagic[[#This Row],[Active Infernal Command]],-1,0)-1,0))</f>
        <v>0</v>
      </c>
    </row>
    <row r="136" spans="1:43" x14ac:dyDescent="0.2">
      <c r="A136" s="137">
        <f>TblRezone[[#This Row],[Hour]]</f>
        <v>133</v>
      </c>
      <c r="B136" s="154">
        <f ca="1">TblConstr[[#This Row],[Land]]</f>
        <v>50</v>
      </c>
      <c r="C136" s="94">
        <f ca="1">TblProd[[#This Row],[Mana]]</f>
        <v>0</v>
      </c>
      <c r="D136" s="156">
        <f ca="1">MIN(1,OFFSET(TblMagic[[#This Row],[Wiz str]],-1,0)+0.04+ROUNDDOWN(10*OFFSET(TblMili[[#This Row],[WG''s]],-1,0),0)+ tech_2_7*OFFSET(TblTech[[#This Row],[2-7]],-1,0) + tech_5_6*OFFSET(TblTech[[#This Row],[5-6]],-1,0) )-TblMagic[[#This Row],[Wiz str cost]]</f>
        <v>1</v>
      </c>
      <c r="E136" s="159">
        <f ca="1">OFFSET(TblMagic[[#This Row],[Time]],-1,0)+1/24</f>
        <v>46325.49999999968</v>
      </c>
      <c r="F136" s="156">
        <f ca="1">TblImps[[#This Row],[Population]]</f>
        <v>1</v>
      </c>
      <c r="G136" s="218"/>
      <c r="H136" s="218"/>
      <c r="I136" s="218"/>
      <c r="J136" s="218"/>
      <c r="K136" s="405"/>
      <c r="L136" s="218"/>
      <c r="M136" s="218"/>
      <c r="N136" s="218"/>
      <c r="O136" s="218"/>
      <c r="P136" s="218"/>
      <c r="Q136" s="218"/>
      <c r="R136" s="218"/>
      <c r="S136" s="218"/>
      <c r="T136" s="218"/>
      <c r="U136" s="218"/>
      <c r="V136" s="218"/>
      <c r="W136" s="218"/>
      <c r="X136" s="142"/>
      <c r="Y13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6" s="156">
        <f>SUMIF(TblMagic[[#This Row],[Gaia''s Watch]:[Useless spell]],1)*0.05</f>
        <v>0</v>
      </c>
      <c r="AA136" s="142"/>
      <c r="AB136" s="57">
        <f ca="1">IF(TblMagic[[#This Row],[Gaia''s Watch]],12,IF(OFFSET(TblMagic[[#This Row],[Active Gaia''s Watch]],-1,0)&gt;0,OFFSET(TblMagic[[#This Row],[Active Gaia''s Watch]],-1,0)-1,0))</f>
        <v>0</v>
      </c>
      <c r="AC136" s="57">
        <f ca="1">IF(TblMagic[[#This Row],[Mining Strength]],12,IF(OFFSET(TblMagic[[#This Row],[Active Mining Strength]],-1,0)&gt;0,OFFSET(TblMagic[[#This Row],[Active Mining Strength]],-1,0)-1,0))</f>
        <v>0</v>
      </c>
      <c r="AD136" s="57">
        <f ca="1">IF(TblMagic[[#This Row],[Ares Call]],12,IF(OFFSET(TblMagic[[#This Row],[Active Ares Call]],-1,0)&gt;0,OFFSET(TblMagic[[#This Row],[Active Ares Call]],-1,0)-1,0))</f>
        <v>0</v>
      </c>
      <c r="AE136" s="57">
        <f ca="1">IF(TblMagic[[#This Row],[Midas Touch]],12,IF(OFFSET(TblMagic[[#This Row],[Active Midas Touch]],-1,0)&gt;0,OFFSET(TblMagic[[#This Row],[Active Midas Touch]],-1,0)-1,0))</f>
        <v>0</v>
      </c>
      <c r="AF136" s="57">
        <f ca="1">IF(TblMagic[[#This Row],[Harmony]],12,IF(OFFSET(TblMagic[[#This Row],[Active Harmony]],-1,0)&gt;0,OFFSET(TblMagic[[#This Row],[Active Harmony]],-1,0)-1,0))</f>
        <v>0</v>
      </c>
      <c r="AG136" s="57">
        <f ca="1">IF(TblMagic[[#This Row],[Miner''s Sight]],12,IF(OFFSET(TblMagic[[#This Row],[Active Miner''s Sight]],-1,0)&gt;0,OFFSET(TblMagic[[#This Row],[Active Miner''s Sight]],-1,0)-1,0))</f>
        <v>0</v>
      </c>
      <c r="AH136" s="57">
        <f ca="1">IF(TblMagic[[#This Row],[Mechanical Genius]],12,IF(OFFSET(TblMagic[[#This Row],[Active Mechanical Genius]],-1,0)&gt;0,OFFSET(TblMagic[[#This Row],[Active Mechanical Genius]],-1,0)-1,0))</f>
        <v>0</v>
      </c>
      <c r="AI136" s="57">
        <f ca="1">IF(TblMagic[[#This Row],[Death and Decay]],12,IF(OFFSET(TblMagic[[#This Row],[Active DnD]],-1,0)&gt;0,OFFSET(TblMagic[[#This Row],[Active DnD]],-1,0)-1,0))</f>
        <v>0</v>
      </c>
      <c r="AJ136" s="57">
        <f ca="1">IF(TblMagic[[#This Row],[Killing Rage / Bloodrage / Crusade]],12,IF(OFFSET(TblMagic[[#This Row],[Active Warsong / Killing Rage / Bloodrage]],-1,0)&gt;0,OFFSET(TblMagic[[#This Row],[Active Warsong / Killing Rage / Bloodrage]],-1,0)-1,0))</f>
        <v>0</v>
      </c>
      <c r="AK136" s="57">
        <f ca="1">IF(TblMagic[[#This Row],[Gaia''s Blessing]],12,IF(OFFSET(TblMagic[[#This Row],[Active Gaia''s Blessing]],-1,0)&gt;0,OFFSET(TblMagic[[#This Row],[Active Gaia''s Blessing]],-1,0)-1,0))</f>
        <v>0</v>
      </c>
      <c r="AL136" s="57">
        <f ca="1">IF(TblMagic[[#This Row],[Howling]],12,IF(OFFSET(TblMagic[[#This Row],[Active Howling]],-1,0)&gt;0,OFFSET(TblMagic[[#This Row],[Active Howling]],-1,0)-1,0))</f>
        <v>0</v>
      </c>
      <c r="AM136" s="57">
        <f ca="1">IF(TblMagic[[#This Row],[Arcane Infusion]],12,IF(OFFSET(TblMagic[[#This Row],[Active Arc Infusion]],-1,0)&gt;0,OFFSET(TblMagic[[#This Row],[Active Arc Infusion]],-1,0)-1,0))</f>
        <v>0</v>
      </c>
      <c r="AN136" s="57">
        <f ca="1">IF(TblMagic[[#This Row],[Alchemists Flame]],12,IF(OFFSET(TblMagic[[#This Row],[Active Alchemists Flame]],-1,0)&gt;0,OFFSET(TblMagic[[#This Row],[Active Alchemists Flame]],-1,0)-1,0))</f>
        <v>0</v>
      </c>
      <c r="AO136" s="57">
        <f ca="1">IF(TblMagic[[#This Row],[Nightfall]],12,IF(OFFSET(TblMagic[[#This Row],[Active Nightfall]],-1,0)&gt;0,OFFSET(TblMagic[[#This Row],[Active Nightfall]],-1,0)-1,0))</f>
        <v>0</v>
      </c>
      <c r="AP136" s="57">
        <f ca="1">IF(TblMagic[[#This Row],[Favorable Terrain]],12,IF(OFFSET(TblMagic[[#This Row],[Active Favorable Terrain]],-1,0)&gt;0,OFFSET(TblMagic[[#This Row],[Active Favorable Terrain]],-1,0)-1,0))</f>
        <v>0</v>
      </c>
      <c r="AQ136" s="57">
        <f ca="1">IF(TblMagic[[#This Row],[Infernal Command]],12,IF(OFFSET(TblMagic[[#This Row],[Active Infernal Command]],-1,0)&gt;0,OFFSET(TblMagic[[#This Row],[Active Infernal Command]],-1,0)-1,0))</f>
        <v>0</v>
      </c>
    </row>
    <row r="1269" spans="3:4" x14ac:dyDescent="0.2">
      <c r="C1269" s="531" t="s">
        <v>314</v>
      </c>
      <c r="D1269" s="487"/>
    </row>
    <row r="1270" spans="3:4" x14ac:dyDescent="0.2">
      <c r="C1270" s="28">
        <f>Overview!E17</f>
        <v>0</v>
      </c>
      <c r="D1270" s="28"/>
    </row>
  </sheetData>
  <mergeCells count="2">
    <mergeCell ref="C1269:D1269"/>
    <mergeCell ref="O1:O2"/>
  </mergeCells>
  <phoneticPr fontId="0" type="noConversion"/>
  <conditionalFormatting sqref="Z18614:AO29782 B12459:C20616 AP18583:IX29751 AP8199:IX8199 B8250:AO8250">
    <cfRule type="expression" dxfId="270" priority="18" stopIfTrue="1">
      <formula>ROW()-2=#REF!</formula>
    </cfRule>
  </conditionalFormatting>
  <conditionalFormatting sqref="A1269:XFD1270">
    <cfRule type="expression" dxfId="269" priority="19" stopIfTrue="1">
      <formula>$C$1270&gt;144</formula>
    </cfRule>
  </conditionalFormatting>
  <conditionalFormatting sqref="A4:AQ136">
    <cfRule type="expression" dxfId="268" priority="1" stopIfTrue="1">
      <formula>ROW()-3=$C$1270</formula>
    </cfRule>
    <cfRule type="expression" dxfId="267" priority="2" stopIfTrue="1">
      <formula>OR(ROW()-3=$C$1270,A4&lt;0)</formula>
    </cfRule>
    <cfRule type="expression" dxfId="266" priority="3">
      <formula>$A4=49</formula>
    </cfRule>
    <cfRule type="expression" dxfId="265" priority="7">
      <formula>ROUND(($A4-1)/12,0)=INT($A4-1)/12</formula>
    </cfRule>
  </conditionalFormatting>
  <conditionalFormatting sqref="A2:N2 A1:S1 U1:XFD1 P2:XFD2 A3:XFD3">
    <cfRule type="expression" dxfId="264" priority="15">
      <formula>$C$1270&lt;0</formula>
    </cfRule>
  </conditionalFormatting>
  <conditionalFormatting sqref="G4:W136">
    <cfRule type="expression" dxfId="263" priority="12">
      <formula>INDEX($AB4:$AQ4, COLUMN()-COLUMN($G$1)+1)&gt;0</formula>
    </cfRule>
  </conditionalFormatting>
  <dataValidations count="1">
    <dataValidation type="whole" operator="equal" allowBlank="1" showInputMessage="1" showErrorMessage="1" sqref="G4:W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4"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G4:W136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45" customWidth="1"/>
    <col min="2" max="2" width="7.7109375" style="45" customWidth="1"/>
    <col min="3" max="3" width="13.5703125" style="45" customWidth="1"/>
    <col min="4" max="4" width="12.5703125" style="45" customWidth="1"/>
    <col min="5" max="5" width="3.28515625" style="45" customWidth="1"/>
    <col min="6" max="6" width="10.5703125" style="45" customWidth="1"/>
    <col min="7" max="7" width="11.42578125" style="45" customWidth="1"/>
    <col min="8" max="8" width="21.7109375" style="45" customWidth="1"/>
    <col min="9" max="9" width="68.140625" style="45" customWidth="1"/>
    <col min="10" max="10" width="3.5703125" style="45" customWidth="1"/>
    <col min="11" max="11" width="8.5703125" style="57" customWidth="1"/>
    <col min="12" max="12" width="9.85546875" style="45" customWidth="1"/>
    <col min="13" max="78" width="5.7109375" style="45" customWidth="1"/>
    <col min="79" max="79" width="16.28515625" style="45" customWidth="1"/>
    <col min="80" max="16384" width="30.42578125" style="45"/>
  </cols>
  <sheetData>
    <row r="1" spans="1:79" x14ac:dyDescent="0.2">
      <c r="F1" s="265">
        <f ca="1">(INDIRECT("D" &amp; (INDIRECT("A4")+2)) &gt;= INDIRECT("E" &amp; (INDIRECT("A5")+2)))*1</f>
        <v>1</v>
      </c>
    </row>
    <row r="2" spans="1:79" ht="15.75" x14ac:dyDescent="0.25">
      <c r="E2" s="177" t="s">
        <v>994</v>
      </c>
      <c r="F2" s="281">
        <f>IFERROR(SMALL(TblTech[Activate @ hour],1),0)</f>
        <v>0</v>
      </c>
      <c r="G2" s="45" t="s">
        <v>1054</v>
      </c>
      <c r="M2" s="266">
        <f>INDEX(TblTech[[Activate @ hour]:[Number]],MATCH(TblTech[[#Headers],[1-1]],TblTech[[Number]:[Number]],0),1)</f>
        <v>0</v>
      </c>
      <c r="N2" s="266">
        <f>INDEX(TblTech[[Activate @ hour]:[Number]],MATCH(TblTech[[#Headers],[1-2]],TblTech[[Number]:[Number]],0),1)</f>
        <v>0</v>
      </c>
      <c r="O2" s="266">
        <f>INDEX(TblTech[[Activate @ hour]:[Number]],MATCH(TblTech[[#Headers],[1-3]],TblTech[[Number]:[Number]],0),1)</f>
        <v>0</v>
      </c>
      <c r="P2" s="266">
        <f>INDEX(TblTech[[Activate @ hour]:[Number]],MATCH(TblTech[[#Headers],[1-4]],TblTech[[Number]:[Number]],0),1)</f>
        <v>0</v>
      </c>
      <c r="Q2" s="266">
        <f>INDEX(TblTech[[Activate @ hour]:[Number]],MATCH(TblTech[[#Headers],[1-5]],TblTech[[Number]:[Number]],0),1)</f>
        <v>0</v>
      </c>
      <c r="R2" s="266">
        <f>INDEX(TblTech[[Activate @ hour]:[Number]],MATCH(TblTech[[#Headers],[1-6]],TblTech[[Number]:[Number]],0),1)</f>
        <v>0</v>
      </c>
      <c r="S2" s="266">
        <f>INDEX(TblTech[[Activate @ hour]:[Number]],MATCH(TblTech[[#Headers],[1-7]],TblTech[[Number]:[Number]],0),1)</f>
        <v>0</v>
      </c>
      <c r="T2" s="266">
        <f>INDEX(TblTech[[Activate @ hour]:[Number]],MATCH(TblTech[[#Headers],[1-8]],TblTech[[Number]:[Number]],0),1)</f>
        <v>0</v>
      </c>
      <c r="U2" s="266">
        <f>INDEX(TblTech[[Activate @ hour]:[Number]],MATCH(TblTech[[#Headers],[1-9]],TblTech[[Number]:[Number]],0),1)</f>
        <v>0</v>
      </c>
      <c r="V2" s="266">
        <f>INDEX(TblTech[[Activate @ hour]:[Number]],MATCH(TblTech[[#Headers],[1-10]],TblTech[[Number]:[Number]],0),1)</f>
        <v>0</v>
      </c>
      <c r="W2" s="266">
        <f>INDEX(TblTech[[Activate @ hour]:[Number]],MATCH(TblTech[[#Headers],[1-11]],TblTech[[Number]:[Number]],0),1)</f>
        <v>0</v>
      </c>
      <c r="X2" s="266">
        <f>INDEX(TblTech[[Activate @ hour]:[Number]],MATCH(TblTech[[#Headers],[2-1]],TblTech[[Number]:[Number]],0),1)</f>
        <v>0</v>
      </c>
      <c r="Y2" s="266">
        <f>INDEX(TblTech[[Activate @ hour]:[Number]],MATCH(TblTech[[#Headers],[2-2]],TblTech[[Number]:[Number]],0),1)</f>
        <v>0</v>
      </c>
      <c r="Z2" s="266">
        <f>INDEX(TblTech[[Activate @ hour]:[Number]],MATCH(TblTech[[#Headers],[2-3]],TblTech[[Number]:[Number]],0),1)</f>
        <v>0</v>
      </c>
      <c r="AA2" s="266">
        <f>INDEX(TblTech[[Activate @ hour]:[Number]],MATCH(TblTech[[#Headers],[2-4]],TblTech[[Number]:[Number]],0),1)</f>
        <v>0</v>
      </c>
      <c r="AB2" s="266">
        <f>INDEX(TblTech[[Activate @ hour]:[Number]],MATCH(TblTech[[#Headers],[2-5]],TblTech[[Number]:[Number]],0),1)</f>
        <v>0</v>
      </c>
      <c r="AC2" s="266">
        <f>INDEX(TblTech[[Activate @ hour]:[Number]],MATCH(TblTech[[#Headers],[2-6]],TblTech[[Number]:[Number]],0),1)</f>
        <v>0</v>
      </c>
      <c r="AD2" s="266">
        <f>INDEX(TblTech[[Activate @ hour]:[Number]],MATCH(TblTech[[#Headers],[2-7]],TblTech[[Number]:[Number]],0),1)</f>
        <v>0</v>
      </c>
      <c r="AE2" s="266">
        <f>INDEX(TblTech[[Activate @ hour]:[Number]],MATCH(TblTech[[#Headers],[2-8]],TblTech[[Number]:[Number]],0),1)</f>
        <v>0</v>
      </c>
      <c r="AF2" s="266">
        <f>INDEX(TblTech[[Activate @ hour]:[Number]],MATCH(TblTech[[#Headers],[2-9]],TblTech[[Number]:[Number]],0),1)</f>
        <v>0</v>
      </c>
      <c r="AG2" s="266">
        <f>INDEX(TblTech[[Activate @ hour]:[Number]],MATCH(TblTech[[#Headers],[2-10]],TblTech[[Number]:[Number]],0),1)</f>
        <v>0</v>
      </c>
      <c r="AH2" s="266">
        <f>INDEX(TblTech[[Activate @ hour]:[Number]],MATCH(TblTech[[#Headers],[3-1]],TblTech[[Number]:[Number]],0),1)</f>
        <v>0</v>
      </c>
      <c r="AI2" s="266">
        <f>INDEX(TblTech[[Activate @ hour]:[Number]],MATCH(TblTech[[#Headers],[3-2]],TblTech[[Number]:[Number]],0),1)</f>
        <v>0</v>
      </c>
      <c r="AJ2" s="266">
        <f>INDEX(TblTech[[Activate @ hour]:[Number]],MATCH(TblTech[[#Headers],[3-3]],TblTech[[Number]:[Number]],0),1)</f>
        <v>0</v>
      </c>
      <c r="AK2" s="266">
        <f>INDEX(TblTech[[Activate @ hour]:[Number]],MATCH(TblTech[[#Headers],[3-4]],TblTech[[Number]:[Number]],0),1)</f>
        <v>0</v>
      </c>
      <c r="AL2" s="266">
        <f>INDEX(TblTech[[Activate @ hour]:[Number]],MATCH(TblTech[[#Headers],[3-5]],TblTech[[Number]:[Number]],0),1)</f>
        <v>0</v>
      </c>
      <c r="AM2" s="266">
        <f>INDEX(TblTech[[Activate @ hour]:[Number]],MATCH(TblTech[[#Headers],[3-6]],TblTech[[Number]:[Number]],0),1)</f>
        <v>0</v>
      </c>
      <c r="AN2" s="266">
        <f>INDEX(TblTech[[Activate @ hour]:[Number]],MATCH(TblTech[[#Headers],[3-7]],TblTech[[Number]:[Number]],0),1)</f>
        <v>0</v>
      </c>
      <c r="AO2" s="266">
        <f>INDEX(TblTech[[Activate @ hour]:[Number]],MATCH(TblTech[[#Headers],[3-8]],TblTech[[Number]:[Number]],0),1)</f>
        <v>0</v>
      </c>
      <c r="AP2" s="266">
        <f>INDEX(TblTech[[Activate @ hour]:[Number]],MATCH(TblTech[[#Headers],[3-9]],TblTech[[Number]:[Number]],0),1)</f>
        <v>0</v>
      </c>
      <c r="AQ2" s="266">
        <f>INDEX(TblTech[[Activate @ hour]:[Number]],MATCH(TblTech[[#Headers],[4-1]],TblTech[[Number]:[Number]],0),1)</f>
        <v>0</v>
      </c>
      <c r="AR2" s="266">
        <f>INDEX(TblTech[[Activate @ hour]:[Number]],MATCH(TblTech[[#Headers],[4-2]],TblTech[[Number]:[Number]],0),1)</f>
        <v>0</v>
      </c>
      <c r="AS2" s="266">
        <f>INDEX(TblTech[[Activate @ hour]:[Number]],MATCH(TblTech[[#Headers],[4-3]],TblTech[[Number]:[Number]],0),1)</f>
        <v>0</v>
      </c>
      <c r="AT2" s="266">
        <f>INDEX(TblTech[[Activate @ hour]:[Number]],MATCH(TblTech[[#Headers],[4-4]],TblTech[[Number]:[Number]],0),1)</f>
        <v>0</v>
      </c>
      <c r="AU2" s="266">
        <f>INDEX(TblTech[[Activate @ hour]:[Number]],MATCH(TblTech[[#Headers],[4-5]],TblTech[[Number]:[Number]],0),1)</f>
        <v>0</v>
      </c>
      <c r="AV2" s="266">
        <f>INDEX(TblTech[[Activate @ hour]:[Number]],MATCH(TblTech[[#Headers],[4-6]],TblTech[[Number]:[Number]],0),1)</f>
        <v>0</v>
      </c>
      <c r="AW2" s="266">
        <f>INDEX(TblTech[[Activate @ hour]:[Number]],MATCH(TblTech[[#Headers],[4-7]],TblTech[[Number]:[Number]],0),1)</f>
        <v>0</v>
      </c>
      <c r="AX2" s="266">
        <f>INDEX(TblTech[[Activate @ hour]:[Number]],MATCH(TblTech[[#Headers],[4-8]],TblTech[[Number]:[Number]],0),1)</f>
        <v>0</v>
      </c>
      <c r="AY2" s="266">
        <f>INDEX(TblTech[[Activate @ hour]:[Number]],MATCH(TblTech[[#Headers],[5-1]],TblTech[[Number]:[Number]],0),1)</f>
        <v>0</v>
      </c>
      <c r="AZ2" s="266">
        <f>INDEX(TblTech[[Activate @ hour]:[Number]],MATCH(TblTech[[#Headers],[5-2]],TblTech[[Number]:[Number]],0),1)</f>
        <v>0</v>
      </c>
      <c r="BA2" s="266">
        <f>INDEX(TblTech[[Activate @ hour]:[Number]],MATCH(TblTech[[#Headers],[5-3]],TblTech[[Number]:[Number]],0),1)</f>
        <v>0</v>
      </c>
      <c r="BB2" s="266">
        <f>INDEX(TblTech[[Activate @ hour]:[Number]],MATCH(TblTech[[#Headers],[5-4]],TblTech[[Number]:[Number]],0),1)</f>
        <v>0</v>
      </c>
      <c r="BC2" s="266">
        <f>INDEX(TblTech[[Activate @ hour]:[Number]],MATCH(TblTech[[#Headers],[5-5]],TblTech[[Number]:[Number]],0),1)</f>
        <v>0</v>
      </c>
      <c r="BD2" s="266">
        <f>INDEX(TblTech[[Activate @ hour]:[Number]],MATCH(TblTech[[#Headers],[5-6]],TblTech[[Number]:[Number]],0),1)</f>
        <v>0</v>
      </c>
      <c r="BE2" s="266">
        <f>INDEX(TblTech[[Activate @ hour]:[Number]],MATCH(TblTech[[#Headers],[5-7]],TblTech[[Number]:[Number]],0),1)</f>
        <v>0</v>
      </c>
      <c r="BF2" s="266">
        <f>INDEX(TblTech[[Activate @ hour]:[Number]],MATCH(TblTech[[#Headers],[6-1]],TblTech[[Number]:[Number]],0),1)</f>
        <v>0</v>
      </c>
      <c r="BG2" s="266">
        <f>INDEX(TblTech[[Activate @ hour]:[Number]],MATCH(TblTech[[#Headers],[6-2]],TblTech[[Number]:[Number]],0),1)</f>
        <v>0</v>
      </c>
      <c r="BH2" s="266">
        <f>INDEX(TblTech[[Activate @ hour]:[Number]],MATCH(TblTech[[#Headers],[6-3]],TblTech[[Number]:[Number]],0),1)</f>
        <v>0</v>
      </c>
      <c r="BI2" s="266">
        <f>INDEX(TblTech[[Activate @ hour]:[Number]],MATCH(TblTech[[#Headers],[6-4]],TblTech[[Number]:[Number]],0),1)</f>
        <v>0</v>
      </c>
      <c r="BJ2" s="266">
        <f>INDEX(TblTech[[Activate @ hour]:[Number]],MATCH(TblTech[[#Headers],[6-5]],TblTech[[Number]:[Number]],0),1)</f>
        <v>0</v>
      </c>
      <c r="BK2" s="266">
        <f>INDEX(TblTech[[Activate @ hour]:[Number]],MATCH(TblTech[[#Headers],[6-6]],TblTech[[Number]:[Number]],0),1)</f>
        <v>0</v>
      </c>
      <c r="BL2" s="266">
        <f>INDEX(TblTech[[Activate @ hour]:[Number]],MATCH(TblTech[[#Headers],[7-1]],TblTech[[Number]:[Number]],0),1)</f>
        <v>0</v>
      </c>
      <c r="BM2" s="266">
        <f>INDEX(TblTech[[Activate @ hour]:[Number]],MATCH(TblTech[[#Headers],[7-2]],TblTech[[Number]:[Number]],0),1)</f>
        <v>0</v>
      </c>
      <c r="BN2" s="266">
        <f>INDEX(TblTech[[Activate @ hour]:[Number]],MATCH(TblTech[[#Headers],[7-3]],TblTech[[Number]:[Number]],0),1)</f>
        <v>0</v>
      </c>
      <c r="BO2" s="266">
        <f>INDEX(TblTech[[Activate @ hour]:[Number]],MATCH(TblTech[[#Headers],[7-4]],TblTech[[Number]:[Number]],0),1)</f>
        <v>0</v>
      </c>
      <c r="BP2" s="266">
        <f>INDEX(TblTech[[Activate @ hour]:[Number]],MATCH(TblTech[[#Headers],[7-5]],TblTech[[Number]:[Number]],0),1)</f>
        <v>0</v>
      </c>
      <c r="BQ2" s="266">
        <f>INDEX(TblTech[[Activate @ hour]:[Number]],MATCH(TblTech[[#Headers],[8-1]],TblTech[[Number]:[Number]],0),1)</f>
        <v>0</v>
      </c>
      <c r="BR2" s="266">
        <f>INDEX(TblTech[[Activate @ hour]:[Number]],MATCH(TblTech[[#Headers],[8-2]],TblTech[[Number]:[Number]],0),1)</f>
        <v>0</v>
      </c>
      <c r="BS2" s="266">
        <f>INDEX(TblTech[[Activate @ hour]:[Number]],MATCH(TblTech[[#Headers],[8-3]],TblTech[[Number]:[Number]],0),1)</f>
        <v>0</v>
      </c>
      <c r="BT2" s="266">
        <f>INDEX(TblTech[[Activate @ hour]:[Number]],MATCH(TblTech[[#Headers],[8-4]],TblTech[[Number]:[Number]],0),1)</f>
        <v>0</v>
      </c>
      <c r="BU2" s="266">
        <f>INDEX(TblTech[[Activate @ hour]:[Number]],MATCH(TblTech[[#Headers],[9-1]],TblTech[[Number]:[Number]],0),1)</f>
        <v>0</v>
      </c>
      <c r="BV2" s="266">
        <f>INDEX(TblTech[[Activate @ hour]:[Number]],MATCH(TblTech[[#Headers],[9-2]],TblTech[[Number]:[Number]],0),1)</f>
        <v>0</v>
      </c>
      <c r="BW2" s="266">
        <f>INDEX(TblTech[[Activate @ hour]:[Number]],MATCH(TblTech[[#Headers],[9-3]],TblTech[[Number]:[Number]],0),1)</f>
        <v>0</v>
      </c>
      <c r="BX2" s="266">
        <f>INDEX(TblTech[[Activate @ hour]:[Number]],MATCH(TblTech[[#Headers],[10-1]],TblTech[[Number]:[Number]],0),1)</f>
        <v>0</v>
      </c>
      <c r="BY2" s="266">
        <f>INDEX(TblTech[[Activate @ hour]:[Number]],MATCH(TblTech[[#Headers],[10-2]],TblTech[[Number]:[Number]],0),1)</f>
        <v>0</v>
      </c>
      <c r="BZ2" s="266">
        <f>INDEX(TblTech[[Activate @ hour]:[Number]],MATCH(TblTech[[#Headers],[11-1]],TblTech[[Number]:[Number]],0),1)</f>
        <v>0</v>
      </c>
    </row>
    <row r="3" spans="1:79" s="267" customFormat="1" ht="33.75" customHeight="1" x14ac:dyDescent="0.2">
      <c r="A3" s="267" t="s">
        <v>0</v>
      </c>
      <c r="B3" s="267" t="s">
        <v>1</v>
      </c>
      <c r="C3" s="267" t="s">
        <v>370</v>
      </c>
      <c r="D3" s="267" t="s">
        <v>33</v>
      </c>
      <c r="E3" s="267" t="s">
        <v>765</v>
      </c>
      <c r="F3" s="267" t="s">
        <v>995</v>
      </c>
      <c r="G3" s="267" t="s">
        <v>924</v>
      </c>
      <c r="H3" s="267" t="s">
        <v>966</v>
      </c>
      <c r="I3" s="267" t="s">
        <v>967</v>
      </c>
      <c r="J3" s="267" t="s">
        <v>766</v>
      </c>
      <c r="K3" s="243" t="s">
        <v>767</v>
      </c>
      <c r="L3" s="267" t="s">
        <v>925</v>
      </c>
      <c r="M3" s="213" t="s">
        <v>536</v>
      </c>
      <c r="N3" s="213" t="s">
        <v>538</v>
      </c>
      <c r="O3" s="213" t="s">
        <v>539</v>
      </c>
      <c r="P3" s="213" t="s">
        <v>541</v>
      </c>
      <c r="Q3" s="213" t="s">
        <v>542</v>
      </c>
      <c r="R3" s="213" t="s">
        <v>543</v>
      </c>
      <c r="S3" s="213" t="s">
        <v>544</v>
      </c>
      <c r="T3" s="213" t="s">
        <v>545</v>
      </c>
      <c r="U3" s="213" t="s">
        <v>546</v>
      </c>
      <c r="V3" s="213" t="s">
        <v>548</v>
      </c>
      <c r="W3" s="213" t="s">
        <v>550</v>
      </c>
      <c r="X3" s="213" t="s">
        <v>551</v>
      </c>
      <c r="Y3" s="213" t="s">
        <v>552</v>
      </c>
      <c r="Z3" s="213" t="s">
        <v>553</v>
      </c>
      <c r="AA3" s="213" t="s">
        <v>555</v>
      </c>
      <c r="AB3" s="213" t="s">
        <v>556</v>
      </c>
      <c r="AC3" s="213" t="s">
        <v>557</v>
      </c>
      <c r="AD3" s="213" t="s">
        <v>559</v>
      </c>
      <c r="AE3" s="213" t="s">
        <v>561</v>
      </c>
      <c r="AF3" s="213" t="s">
        <v>562</v>
      </c>
      <c r="AG3" s="213" t="s">
        <v>563</v>
      </c>
      <c r="AH3" s="213" t="s">
        <v>565</v>
      </c>
      <c r="AI3" s="213" t="s">
        <v>567</v>
      </c>
      <c r="AJ3" s="213" t="s">
        <v>569</v>
      </c>
      <c r="AK3" s="213" t="s">
        <v>570</v>
      </c>
      <c r="AL3" s="213" t="s">
        <v>571</v>
      </c>
      <c r="AM3" s="213" t="s">
        <v>572</v>
      </c>
      <c r="AN3" s="213" t="s">
        <v>573</v>
      </c>
      <c r="AO3" s="213" t="s">
        <v>574</v>
      </c>
      <c r="AP3" s="213" t="s">
        <v>575</v>
      </c>
      <c r="AQ3" s="213" t="s">
        <v>576</v>
      </c>
      <c r="AR3" s="213" t="s">
        <v>577</v>
      </c>
      <c r="AS3" s="213" t="s">
        <v>578</v>
      </c>
      <c r="AT3" s="213" t="s">
        <v>579</v>
      </c>
      <c r="AU3" s="213" t="s">
        <v>580</v>
      </c>
      <c r="AV3" s="213" t="s">
        <v>581</v>
      </c>
      <c r="AW3" s="213" t="s">
        <v>583</v>
      </c>
      <c r="AX3" s="213" t="s">
        <v>584</v>
      </c>
      <c r="AY3" s="213" t="s">
        <v>585</v>
      </c>
      <c r="AZ3" s="213" t="s">
        <v>586</v>
      </c>
      <c r="BA3" s="213" t="s">
        <v>587</v>
      </c>
      <c r="BB3" s="213" t="s">
        <v>588</v>
      </c>
      <c r="BC3" s="213" t="s">
        <v>589</v>
      </c>
      <c r="BD3" s="213" t="s">
        <v>590</v>
      </c>
      <c r="BE3" s="213" t="s">
        <v>591</v>
      </c>
      <c r="BF3" s="213" t="s">
        <v>592</v>
      </c>
      <c r="BG3" s="213" t="s">
        <v>593</v>
      </c>
      <c r="BH3" s="213" t="s">
        <v>595</v>
      </c>
      <c r="BI3" s="213" t="s">
        <v>596</v>
      </c>
      <c r="BJ3" s="213" t="s">
        <v>598</v>
      </c>
      <c r="BK3" s="213" t="s">
        <v>599</v>
      </c>
      <c r="BL3" s="213" t="s">
        <v>600</v>
      </c>
      <c r="BM3" s="213" t="s">
        <v>602</v>
      </c>
      <c r="BN3" s="213" t="s">
        <v>604</v>
      </c>
      <c r="BO3" s="213" t="s">
        <v>605</v>
      </c>
      <c r="BP3" s="213" t="s">
        <v>606</v>
      </c>
      <c r="BQ3" s="213" t="s">
        <v>608</v>
      </c>
      <c r="BR3" s="213" t="s">
        <v>609</v>
      </c>
      <c r="BS3" s="213" t="s">
        <v>611</v>
      </c>
      <c r="BT3" s="213" t="s">
        <v>613</v>
      </c>
      <c r="BU3" s="213" t="s">
        <v>614</v>
      </c>
      <c r="BV3" s="213" t="s">
        <v>616</v>
      </c>
      <c r="BW3" s="213" t="s">
        <v>617</v>
      </c>
      <c r="BX3" s="213" t="s">
        <v>618</v>
      </c>
      <c r="BY3" s="213" t="s">
        <v>620</v>
      </c>
      <c r="BZ3" s="213" t="s">
        <v>621</v>
      </c>
      <c r="CA3" s="213" t="s">
        <v>675</v>
      </c>
    </row>
    <row r="4" spans="1:79" x14ac:dyDescent="0.2">
      <c r="A4" s="268">
        <f>TblRezone[[#This Row],[Hour]]</f>
        <v>1</v>
      </c>
      <c r="B4" s="269">
        <f ca="1">TblExplore[[#This Row],[Land-DB]]</f>
        <v>50</v>
      </c>
      <c r="C4" s="270">
        <f ca="1">TblProd[[#This Row],[Techpoints]]</f>
        <v>0</v>
      </c>
      <c r="D4" s="270">
        <f ca="1">TblProd[[#This Row],[Required]]</f>
        <v>3750</v>
      </c>
      <c r="E4" s="271"/>
      <c r="F4" s="272"/>
      <c r="G4" s="273" t="s">
        <v>536</v>
      </c>
      <c r="H4" s="274" t="s">
        <v>676</v>
      </c>
      <c r="I4" s="273" t="s">
        <v>537</v>
      </c>
      <c r="J4" s="269"/>
      <c r="K4" s="93">
        <f>TblTech[[#This Row],[Sum of tech]]</f>
        <v>0</v>
      </c>
      <c r="L4" s="275">
        <f>COUNTIF(TblTech[[#This Row],[1-1]:[11-1]],1)</f>
        <v>0</v>
      </c>
      <c r="M4" s="276" cm="1">
        <f t="array" ref="M4">IF(AND(M$2&lt;&gt;0,TblTech[[#This Row],[Hour]:[Hour]]&gt;=M$2),1,0)</f>
        <v>0</v>
      </c>
      <c r="N4" s="276" cm="1">
        <f t="array" ref="N4">IF(AND(N$2&lt;&gt;0,TblTech[[#This Row],[Hour]:[Hour]]&gt;=N$2),1,0)</f>
        <v>0</v>
      </c>
      <c r="O4" s="276" cm="1">
        <f t="array" ref="O4">IF(AND(O$2&lt;&gt;0,TblTech[[#This Row],[Hour]:[Hour]]&gt;=O$2),1,0)</f>
        <v>0</v>
      </c>
      <c r="P4" s="276" cm="1">
        <f t="array" ref="P4">IF(AND(P$2&lt;&gt;0,TblTech[[#This Row],[Hour]:[Hour]]&gt;=P$2),1,0)</f>
        <v>0</v>
      </c>
      <c r="Q4" s="276" cm="1">
        <f t="array" ref="Q4">IF(AND(Q$2&lt;&gt;0,TblTech[[#This Row],[Hour]:[Hour]]&gt;=Q$2),1,0)</f>
        <v>0</v>
      </c>
      <c r="R4" s="276" cm="1">
        <f t="array" ref="R4">IF(AND(R$2&lt;&gt;0,TblTech[[#This Row],[Hour]:[Hour]]&gt;=R$2),1,0)</f>
        <v>0</v>
      </c>
      <c r="S4" s="276" cm="1">
        <f t="array" ref="S4">IF(AND(S$2&lt;&gt;0,TblTech[[#This Row],[Hour]:[Hour]]&gt;=S$2),1,0)</f>
        <v>0</v>
      </c>
      <c r="T4" s="276" cm="1">
        <f t="array" ref="T4">IF(AND(T$2&lt;&gt;0,TblTech[[#This Row],[Hour]:[Hour]]&gt;=T$2),1,0)</f>
        <v>0</v>
      </c>
      <c r="U4" s="276" cm="1">
        <f t="array" ref="U4">IF(AND(U$2&lt;&gt;0,TblTech[[#This Row],[Hour]:[Hour]]&gt;=U$2),1,0)</f>
        <v>0</v>
      </c>
      <c r="V4" s="276" cm="1">
        <f t="array" ref="V4">IF(AND(V$2&lt;&gt;0,TblTech[[#This Row],[Hour]:[Hour]]&gt;=V$2),1,0)</f>
        <v>0</v>
      </c>
      <c r="W4" s="276" cm="1">
        <f t="array" ref="W4">IF(AND(W$2&lt;&gt;0,TblTech[[#This Row],[Hour]:[Hour]]&gt;=W$2),1,0)</f>
        <v>0</v>
      </c>
      <c r="X4" s="276" cm="1">
        <f t="array" ref="X4">IF(AND(X$2&lt;&gt;0,TblTech[[#This Row],[Hour]:[Hour]]&gt;=X$2),1,0)</f>
        <v>0</v>
      </c>
      <c r="Y4" s="276" cm="1">
        <f t="array" ref="Y4">IF(AND(Y$2&lt;&gt;0,TblTech[[#This Row],[Hour]:[Hour]]&gt;=Y$2),1,0)</f>
        <v>0</v>
      </c>
      <c r="Z4" s="276" cm="1">
        <f t="array" ref="Z4">IF(AND(Z$2&lt;&gt;0,TblTech[[#This Row],[Hour]:[Hour]]&gt;=Z$2),1,0)</f>
        <v>0</v>
      </c>
      <c r="AA4" s="276" cm="1">
        <f t="array" ref="AA4">IF(AND(AA$2&lt;&gt;0,TblTech[[#This Row],[Hour]:[Hour]]&gt;=AA$2),1,0)</f>
        <v>0</v>
      </c>
      <c r="AB4" s="276" cm="1">
        <f t="array" ref="AB4">IF(AND(AB$2&lt;&gt;0,TblTech[[#This Row],[Hour]:[Hour]]&gt;=AB$2),1,0)</f>
        <v>0</v>
      </c>
      <c r="AC4" s="276" cm="1">
        <f t="array" ref="AC4">IF(AND(AC$2&lt;&gt;0,TblTech[[#This Row],[Hour]:[Hour]]&gt;=AC$2),1,0)</f>
        <v>0</v>
      </c>
      <c r="AD4" s="276" cm="1">
        <f t="array" ref="AD4">IF(AND(AD$2&lt;&gt;0,TblTech[[#This Row],[Hour]:[Hour]]&gt;=AD$2),1,0)</f>
        <v>0</v>
      </c>
      <c r="AE4" s="276" cm="1">
        <f t="array" ref="AE4">IF(AND(AE$2&lt;&gt;0,TblTech[[#This Row],[Hour]:[Hour]]&gt;=AE$2),1,0)</f>
        <v>0</v>
      </c>
      <c r="AF4" s="276" cm="1">
        <f t="array" ref="AF4">IF(AND(AF$2&lt;&gt;0,TblTech[[#This Row],[Hour]:[Hour]]&gt;=AF$2),1,0)</f>
        <v>0</v>
      </c>
      <c r="AG4" s="276" cm="1">
        <f t="array" ref="AG4">IF(AND(AG$2&lt;&gt;0,TblTech[[#This Row],[Hour]:[Hour]]&gt;=AG$2),1,0)</f>
        <v>0</v>
      </c>
      <c r="AH4" s="276" cm="1">
        <f t="array" ref="AH4">IF(AND(AH$2&lt;&gt;0,TblTech[[#This Row],[Hour]:[Hour]]&gt;=AH$2),1,0)</f>
        <v>0</v>
      </c>
      <c r="AI4" s="276" cm="1">
        <f t="array" ref="AI4">IF(AND(AI$2&lt;&gt;0,TblTech[[#This Row],[Hour]:[Hour]]&gt;=AI$2),1,0)</f>
        <v>0</v>
      </c>
      <c r="AJ4" s="276" cm="1">
        <f t="array" ref="AJ4">IF(AND(AJ$2&lt;&gt;0,TblTech[[#This Row],[Hour]:[Hour]]&gt;=AJ$2),1,0)</f>
        <v>0</v>
      </c>
      <c r="AK4" s="276" cm="1">
        <f t="array" ref="AK4">IF(AND(AK$2&lt;&gt;0,TblTech[[#This Row],[Hour]:[Hour]]&gt;=AK$2),1,0)</f>
        <v>0</v>
      </c>
      <c r="AL4" s="276" cm="1">
        <f t="array" ref="AL4">IF(AND(AL$2&lt;&gt;0,TblTech[[#This Row],[Hour]:[Hour]]&gt;=AL$2),1,0)</f>
        <v>0</v>
      </c>
      <c r="AM4" s="276" cm="1">
        <f t="array" ref="AM4">IF(AND(AM$2&lt;&gt;0,TblTech[[#This Row],[Hour]:[Hour]]&gt;=AM$2),1,0)</f>
        <v>0</v>
      </c>
      <c r="AN4" s="276" cm="1">
        <f t="array" ref="AN4">IF(AND(AN$2&lt;&gt;0,TblTech[[#This Row],[Hour]:[Hour]]&gt;=AN$2),1,0)</f>
        <v>0</v>
      </c>
      <c r="AO4" s="276" cm="1">
        <f t="array" ref="AO4">IF(AND(AO$2&lt;&gt;0,TblTech[[#This Row],[Hour]:[Hour]]&gt;=AO$2),1,0)</f>
        <v>0</v>
      </c>
      <c r="AP4" s="276" cm="1">
        <f t="array" ref="AP4">IF(AND(AP$2&lt;&gt;0,TblTech[[#This Row],[Hour]:[Hour]]&gt;=AP$2),1,0)</f>
        <v>0</v>
      </c>
      <c r="AQ4" s="276" cm="1">
        <f t="array" ref="AQ4">IF(AND(AQ$2&lt;&gt;0,TblTech[[#This Row],[Hour]:[Hour]]&gt;=AQ$2),1,0)</f>
        <v>0</v>
      </c>
      <c r="AR4" s="276" cm="1">
        <f t="array" ref="AR4">IF(AND(AR$2&lt;&gt;0,TblTech[[#This Row],[Hour]:[Hour]]&gt;=AR$2),1,0)</f>
        <v>0</v>
      </c>
      <c r="AS4" s="276" cm="1">
        <f t="array" ref="AS4">IF(AND(AS$2&lt;&gt;0,TblTech[[#This Row],[Hour]:[Hour]]&gt;=AS$2),1,0)</f>
        <v>0</v>
      </c>
      <c r="AT4" s="276" cm="1">
        <f t="array" ref="AT4">IF(AND(AT$2&lt;&gt;0,TblTech[[#This Row],[Hour]:[Hour]]&gt;=AT$2),1,0)</f>
        <v>0</v>
      </c>
      <c r="AU4" s="276" cm="1">
        <f t="array" ref="AU4">IF(AND(AU$2&lt;&gt;0,TblTech[[#This Row],[Hour]:[Hour]]&gt;=AU$2),1,0)</f>
        <v>0</v>
      </c>
      <c r="AV4" s="276" cm="1">
        <f t="array" ref="AV4">IF(AND(AV$2&lt;&gt;0,TblTech[[#This Row],[Hour]:[Hour]]&gt;=AV$2),1,0)</f>
        <v>0</v>
      </c>
      <c r="AW4" s="276" cm="1">
        <f t="array" ref="AW4">IF(AND(AW$2&lt;&gt;0,TblTech[[#This Row],[Hour]:[Hour]]&gt;=AW$2),1,0)</f>
        <v>0</v>
      </c>
      <c r="AX4" s="276" cm="1">
        <f t="array" ref="AX4">IF(AND(AX$2&lt;&gt;0,TblTech[[#This Row],[Hour]:[Hour]]&gt;=AX$2),1,0)</f>
        <v>0</v>
      </c>
      <c r="AY4" s="276" cm="1">
        <f t="array" ref="AY4">IF(AND(AY$2&lt;&gt;0,TblTech[[#This Row],[Hour]:[Hour]]&gt;=AY$2),1,0)</f>
        <v>0</v>
      </c>
      <c r="AZ4" s="276" cm="1">
        <f t="array" ref="AZ4">IF(AND(AZ$2&lt;&gt;0,TblTech[[#This Row],[Hour]:[Hour]]&gt;=AZ$2),1,0)</f>
        <v>0</v>
      </c>
      <c r="BA4" s="276" cm="1">
        <f t="array" ref="BA4">IF(AND(BA$2&lt;&gt;0,TblTech[[#This Row],[Hour]:[Hour]]&gt;=BA$2),1,0)</f>
        <v>0</v>
      </c>
      <c r="BB4" s="276" cm="1">
        <f t="array" ref="BB4">IF(AND(BB$2&lt;&gt;0,TblTech[[#This Row],[Hour]:[Hour]]&gt;=BB$2),1,0)</f>
        <v>0</v>
      </c>
      <c r="BC4" s="276" cm="1">
        <f t="array" ref="BC4">IF(AND(BC$2&lt;&gt;0,TblTech[[#This Row],[Hour]:[Hour]]&gt;=BC$2),1,0)</f>
        <v>0</v>
      </c>
      <c r="BD4" s="276" cm="1">
        <f t="array" ref="BD4">IF(AND(BD$2&lt;&gt;0,TblTech[[#This Row],[Hour]:[Hour]]&gt;=BD$2),1,0)</f>
        <v>0</v>
      </c>
      <c r="BE4" s="276" cm="1">
        <f t="array" ref="BE4">IF(AND(BE$2&lt;&gt;0,TblTech[[#This Row],[Hour]:[Hour]]&gt;=BE$2),1,0)</f>
        <v>0</v>
      </c>
      <c r="BF4" s="276" cm="1">
        <f t="array" ref="BF4">IF(AND(BF$2&lt;&gt;0,TblTech[[#This Row],[Hour]:[Hour]]&gt;=BF$2),1,0)</f>
        <v>0</v>
      </c>
      <c r="BG4" s="276" cm="1">
        <f t="array" ref="BG4">IF(AND(BG$2&lt;&gt;0,TblTech[[#This Row],[Hour]:[Hour]]&gt;=BG$2),1,0)</f>
        <v>0</v>
      </c>
      <c r="BH4" s="276" cm="1">
        <f t="array" ref="BH4">IF(AND(BH$2&lt;&gt;0,TblTech[[#This Row],[Hour]:[Hour]]&gt;=BH$2),1,0)</f>
        <v>0</v>
      </c>
      <c r="BI4" s="276" cm="1">
        <f t="array" ref="BI4">IF(AND(BI$2&lt;&gt;0,TblTech[[#This Row],[Hour]:[Hour]]&gt;=BI$2),1,0)</f>
        <v>0</v>
      </c>
      <c r="BJ4" s="276" cm="1">
        <f t="array" ref="BJ4">IF(AND(BJ$2&lt;&gt;0,TblTech[[#This Row],[Hour]:[Hour]]&gt;=BJ$2),1,0)</f>
        <v>0</v>
      </c>
      <c r="BK4" s="276" cm="1">
        <f t="array" ref="BK4">IF(AND(BK$2&lt;&gt;0,TblTech[[#This Row],[Hour]:[Hour]]&gt;=BK$2),1,0)</f>
        <v>0</v>
      </c>
      <c r="BL4" s="276" cm="1">
        <f t="array" ref="BL4">IF(AND(BL$2&lt;&gt;0,TblTech[[#This Row],[Hour]:[Hour]]&gt;=BL$2),1,0)</f>
        <v>0</v>
      </c>
      <c r="BM4" s="276" cm="1">
        <f t="array" ref="BM4">IF(AND(BM$2&lt;&gt;0,TblTech[[#This Row],[Hour]:[Hour]]&gt;=BM$2),1,0)</f>
        <v>0</v>
      </c>
      <c r="BN4" s="276" cm="1">
        <f t="array" ref="BN4">IF(AND(BN$2&lt;&gt;0,TblTech[[#This Row],[Hour]:[Hour]]&gt;=BN$2),1,0)</f>
        <v>0</v>
      </c>
      <c r="BO4" s="276" cm="1">
        <f t="array" ref="BO4">IF(AND(BO$2&lt;&gt;0,TblTech[[#This Row],[Hour]:[Hour]]&gt;=BO$2),1,0)</f>
        <v>0</v>
      </c>
      <c r="BP4" s="276" cm="1">
        <f t="array" ref="BP4">IF(AND(BP$2&lt;&gt;0,TblTech[[#This Row],[Hour]:[Hour]]&gt;=BP$2),1,0)</f>
        <v>0</v>
      </c>
      <c r="BQ4" s="276" cm="1">
        <f t="array" ref="BQ4">IF(AND(BQ$2&lt;&gt;0,TblTech[[#This Row],[Hour]:[Hour]]&gt;=BQ$2),1,0)</f>
        <v>0</v>
      </c>
      <c r="BR4" s="276" cm="1">
        <f t="array" ref="BR4">IF(AND(BR$2&lt;&gt;0,TblTech[[#This Row],[Hour]:[Hour]]&gt;=BR$2),1,0)</f>
        <v>0</v>
      </c>
      <c r="BS4" s="276" cm="1">
        <f t="array" ref="BS4">IF(AND(BS$2&lt;&gt;0,TblTech[[#This Row],[Hour]:[Hour]]&gt;=BS$2),1,0)</f>
        <v>0</v>
      </c>
      <c r="BT4" s="276" cm="1">
        <f t="array" ref="BT4">IF(AND(BT$2&lt;&gt;0,TblTech[[#This Row],[Hour]:[Hour]]&gt;=BT$2),1,0)</f>
        <v>0</v>
      </c>
      <c r="BU4" s="276" cm="1">
        <f t="array" ref="BU4">IF(AND(BU$2&lt;&gt;0,TblTech[[#This Row],[Hour]:[Hour]]&gt;=BU$2),1,0)</f>
        <v>0</v>
      </c>
      <c r="BV4" s="276" cm="1">
        <f t="array" ref="BV4">IF(AND(BV$2&lt;&gt;0,TblTech[[#This Row],[Hour]:[Hour]]&gt;=BV$2),1,0)</f>
        <v>0</v>
      </c>
      <c r="BW4" s="276" cm="1">
        <f t="array" ref="BW4">IF(AND(BW$2&lt;&gt;0,TblTech[[#This Row],[Hour]:[Hour]]&gt;=BW$2),1,0)</f>
        <v>0</v>
      </c>
      <c r="BX4" s="276" cm="1">
        <f t="array" ref="BX4">IF(AND(BX$2&lt;&gt;0,TblTech[[#This Row],[Hour]:[Hour]]&gt;=BX$2),1,0)</f>
        <v>0</v>
      </c>
      <c r="BY4" s="276" cm="1">
        <f t="array" ref="BY4">IF(AND(BY$2&lt;&gt;0,TblTech[[#This Row],[Hour]:[Hour]]&gt;=BY$2),1,0)</f>
        <v>0</v>
      </c>
      <c r="BZ4" s="276" cm="1">
        <f t="array" ref="BZ4">IF(AND(BZ$2&lt;&gt;0,TblTech[[#This Row],[Hour]:[Hour]]&gt;=BZ$2),1,0)</f>
        <v>0</v>
      </c>
      <c r="CA4" s="377">
        <f>IFERROR(INDEX($H$4:$H$79,MATCH(INDEX(TblTech[[#Headers],[1-1]:[11-1]],1,MATCH(TblTech[[#This Row],[Hour]],$M$2:$BZ$2,0)),$G$4:$G$79,0)),)</f>
        <v>0</v>
      </c>
    </row>
    <row r="5" spans="1:79" x14ac:dyDescent="0.2">
      <c r="A5" s="268">
        <f>TblRezone[[#This Row],[Hour]]</f>
        <v>2</v>
      </c>
      <c r="B5" s="269">
        <f ca="1">TblExplore[[#This Row],[Land-DB]]</f>
        <v>50</v>
      </c>
      <c r="C5" s="270">
        <f ca="1">TblProd[[#This Row],[Techpoints]]</f>
        <v>0</v>
      </c>
      <c r="D5" s="270">
        <f ca="1">TblProd[[#This Row],[Required]]</f>
        <v>3750</v>
      </c>
      <c r="E5" s="271"/>
      <c r="F5" s="272"/>
      <c r="G5" s="273" t="s">
        <v>538</v>
      </c>
      <c r="H5" s="274" t="s">
        <v>677</v>
      </c>
      <c r="I5" s="273" t="s">
        <v>1086</v>
      </c>
      <c r="J5" s="269"/>
      <c r="K5" s="93">
        <f ca="1">IF(TblTech[[#This Row],[Sum of tech]]&lt;&gt;OFFSET(TblTech[[#This Row],[Sum of tech]],-1,0),1,0)</f>
        <v>0</v>
      </c>
      <c r="L5" s="275">
        <f>COUNTIF(TblTech[[#This Row],[1-1]:[11-1]],1)</f>
        <v>0</v>
      </c>
      <c r="M5" s="276" cm="1">
        <f t="array" ref="M5">IF(AND(M$2&lt;&gt;0,TblTech[[#This Row],[Hour]:[Hour]]&gt;=M$2),1,0)</f>
        <v>0</v>
      </c>
      <c r="N5" s="276" cm="1">
        <f t="array" ref="N5">IF(AND(N$2&lt;&gt;0,TblTech[[#This Row],[Hour]:[Hour]]&gt;=N$2),1,0)</f>
        <v>0</v>
      </c>
      <c r="O5" s="276" cm="1">
        <f t="array" ref="O5">IF(AND(O$2&lt;&gt;0,TblTech[[#This Row],[Hour]:[Hour]]&gt;=O$2),1,0)</f>
        <v>0</v>
      </c>
      <c r="P5" s="276" cm="1">
        <f t="array" ref="P5">IF(AND(P$2&lt;&gt;0,TblTech[[#This Row],[Hour]:[Hour]]&gt;=P$2),1,0)</f>
        <v>0</v>
      </c>
      <c r="Q5" s="276" cm="1">
        <f t="array" ref="Q5">IF(AND(Q$2&lt;&gt;0,TblTech[[#This Row],[Hour]:[Hour]]&gt;=Q$2),1,0)</f>
        <v>0</v>
      </c>
      <c r="R5" s="276" cm="1">
        <f t="array" ref="R5">IF(AND(R$2&lt;&gt;0,TblTech[[#This Row],[Hour]:[Hour]]&gt;=R$2),1,0)</f>
        <v>0</v>
      </c>
      <c r="S5" s="276" cm="1">
        <f t="array" ref="S5">IF(AND(S$2&lt;&gt;0,TblTech[[#This Row],[Hour]:[Hour]]&gt;=S$2),1,0)</f>
        <v>0</v>
      </c>
      <c r="T5" s="276" cm="1">
        <f t="array" ref="T5">IF(AND(T$2&lt;&gt;0,TblTech[[#This Row],[Hour]:[Hour]]&gt;=T$2),1,0)</f>
        <v>0</v>
      </c>
      <c r="U5" s="276" cm="1">
        <f t="array" ref="U5">IF(AND(U$2&lt;&gt;0,TblTech[[#This Row],[Hour]:[Hour]]&gt;=U$2),1,0)</f>
        <v>0</v>
      </c>
      <c r="V5" s="276" cm="1">
        <f t="array" ref="V5">IF(AND(V$2&lt;&gt;0,TblTech[[#This Row],[Hour]:[Hour]]&gt;=V$2),1,0)</f>
        <v>0</v>
      </c>
      <c r="W5" s="276" cm="1">
        <f t="array" ref="W5">IF(AND(W$2&lt;&gt;0,TblTech[[#This Row],[Hour]:[Hour]]&gt;=W$2),1,0)</f>
        <v>0</v>
      </c>
      <c r="X5" s="276" cm="1">
        <f t="array" ref="X5">IF(AND(X$2&lt;&gt;0,TblTech[[#This Row],[Hour]:[Hour]]&gt;=X$2),1,0)</f>
        <v>0</v>
      </c>
      <c r="Y5" s="276" cm="1">
        <f t="array" ref="Y5">IF(AND(Y$2&lt;&gt;0,TblTech[[#This Row],[Hour]:[Hour]]&gt;=Y$2),1,0)</f>
        <v>0</v>
      </c>
      <c r="Z5" s="276" cm="1">
        <f t="array" ref="Z5">IF(AND(Z$2&lt;&gt;0,TblTech[[#This Row],[Hour]:[Hour]]&gt;=Z$2),1,0)</f>
        <v>0</v>
      </c>
      <c r="AA5" s="276" cm="1">
        <f t="array" ref="AA5">IF(AND(AA$2&lt;&gt;0,TblTech[[#This Row],[Hour]:[Hour]]&gt;=AA$2),1,0)</f>
        <v>0</v>
      </c>
      <c r="AB5" s="276" cm="1">
        <f t="array" ref="AB5">IF(AND(AB$2&lt;&gt;0,TblTech[[#This Row],[Hour]:[Hour]]&gt;=AB$2),1,0)</f>
        <v>0</v>
      </c>
      <c r="AC5" s="276" cm="1">
        <f t="array" ref="AC5">IF(AND(AC$2&lt;&gt;0,TblTech[[#This Row],[Hour]:[Hour]]&gt;=AC$2),1,0)</f>
        <v>0</v>
      </c>
      <c r="AD5" s="276" cm="1">
        <f t="array" ref="AD5">IF(AND(AD$2&lt;&gt;0,TblTech[[#This Row],[Hour]:[Hour]]&gt;=AD$2),1,0)</f>
        <v>0</v>
      </c>
      <c r="AE5" s="276" cm="1">
        <f t="array" ref="AE5">IF(AND(AE$2&lt;&gt;0,TblTech[[#This Row],[Hour]:[Hour]]&gt;=AE$2),1,0)</f>
        <v>0</v>
      </c>
      <c r="AF5" s="276" cm="1">
        <f t="array" ref="AF5">IF(AND(AF$2&lt;&gt;0,TblTech[[#This Row],[Hour]:[Hour]]&gt;=AF$2),1,0)</f>
        <v>0</v>
      </c>
      <c r="AG5" s="276" cm="1">
        <f t="array" ref="AG5">IF(AND(AG$2&lt;&gt;0,TblTech[[#This Row],[Hour]:[Hour]]&gt;=AG$2),1,0)</f>
        <v>0</v>
      </c>
      <c r="AH5" s="276" cm="1">
        <f t="array" ref="AH5">IF(AND(AH$2&lt;&gt;0,TblTech[[#This Row],[Hour]:[Hour]]&gt;=AH$2),1,0)</f>
        <v>0</v>
      </c>
      <c r="AI5" s="276" cm="1">
        <f t="array" ref="AI5">IF(AND(AI$2&lt;&gt;0,TblTech[[#This Row],[Hour]:[Hour]]&gt;=AI$2),1,0)</f>
        <v>0</v>
      </c>
      <c r="AJ5" s="276" cm="1">
        <f t="array" ref="AJ5">IF(AND(AJ$2&lt;&gt;0,TblTech[[#This Row],[Hour]:[Hour]]&gt;=AJ$2),1,0)</f>
        <v>0</v>
      </c>
      <c r="AK5" s="276" cm="1">
        <f t="array" ref="AK5">IF(AND(AK$2&lt;&gt;0,TblTech[[#This Row],[Hour]:[Hour]]&gt;=AK$2),1,0)</f>
        <v>0</v>
      </c>
      <c r="AL5" s="276" cm="1">
        <f t="array" ref="AL5">IF(AND(AL$2&lt;&gt;0,TblTech[[#This Row],[Hour]:[Hour]]&gt;=AL$2),1,0)</f>
        <v>0</v>
      </c>
      <c r="AM5" s="276" cm="1">
        <f t="array" ref="AM5">IF(AND(AM$2&lt;&gt;0,TblTech[[#This Row],[Hour]:[Hour]]&gt;=AM$2),1,0)</f>
        <v>0</v>
      </c>
      <c r="AN5" s="276" cm="1">
        <f t="array" ref="AN5">IF(AND(AN$2&lt;&gt;0,TblTech[[#This Row],[Hour]:[Hour]]&gt;=AN$2),1,0)</f>
        <v>0</v>
      </c>
      <c r="AO5" s="276" cm="1">
        <f t="array" ref="AO5">IF(AND(AO$2&lt;&gt;0,TblTech[[#This Row],[Hour]:[Hour]]&gt;=AO$2),1,0)</f>
        <v>0</v>
      </c>
      <c r="AP5" s="276" cm="1">
        <f t="array" ref="AP5">IF(AND(AP$2&lt;&gt;0,TblTech[[#This Row],[Hour]:[Hour]]&gt;=AP$2),1,0)</f>
        <v>0</v>
      </c>
      <c r="AQ5" s="276" cm="1">
        <f t="array" ref="AQ5">IF(AND(AQ$2&lt;&gt;0,TblTech[[#This Row],[Hour]:[Hour]]&gt;=AQ$2),1,0)</f>
        <v>0</v>
      </c>
      <c r="AR5" s="276" cm="1">
        <f t="array" ref="AR5">IF(AND(AR$2&lt;&gt;0,TblTech[[#This Row],[Hour]:[Hour]]&gt;=AR$2),1,0)</f>
        <v>0</v>
      </c>
      <c r="AS5" s="276" cm="1">
        <f t="array" ref="AS5">IF(AND(AS$2&lt;&gt;0,TblTech[[#This Row],[Hour]:[Hour]]&gt;=AS$2),1,0)</f>
        <v>0</v>
      </c>
      <c r="AT5" s="276" cm="1">
        <f t="array" ref="AT5">IF(AND(AT$2&lt;&gt;0,TblTech[[#This Row],[Hour]:[Hour]]&gt;=AT$2),1,0)</f>
        <v>0</v>
      </c>
      <c r="AU5" s="276" cm="1">
        <f t="array" ref="AU5">IF(AND(AU$2&lt;&gt;0,TblTech[[#This Row],[Hour]:[Hour]]&gt;=AU$2),1,0)</f>
        <v>0</v>
      </c>
      <c r="AV5" s="276" cm="1">
        <f t="array" ref="AV5">IF(AND(AV$2&lt;&gt;0,TblTech[[#This Row],[Hour]:[Hour]]&gt;=AV$2),1,0)</f>
        <v>0</v>
      </c>
      <c r="AW5" s="276" cm="1">
        <f t="array" ref="AW5">IF(AND(AW$2&lt;&gt;0,TblTech[[#This Row],[Hour]:[Hour]]&gt;=AW$2),1,0)</f>
        <v>0</v>
      </c>
      <c r="AX5" s="276" cm="1">
        <f t="array" ref="AX5">IF(AND(AX$2&lt;&gt;0,TblTech[[#This Row],[Hour]:[Hour]]&gt;=AX$2),1,0)</f>
        <v>0</v>
      </c>
      <c r="AY5" s="276" cm="1">
        <f t="array" ref="AY5">IF(AND(AY$2&lt;&gt;0,TblTech[[#This Row],[Hour]:[Hour]]&gt;=AY$2),1,0)</f>
        <v>0</v>
      </c>
      <c r="AZ5" s="276" cm="1">
        <f t="array" ref="AZ5">IF(AND(AZ$2&lt;&gt;0,TblTech[[#This Row],[Hour]:[Hour]]&gt;=AZ$2),1,0)</f>
        <v>0</v>
      </c>
      <c r="BA5" s="276" cm="1">
        <f t="array" ref="BA5">IF(AND(BA$2&lt;&gt;0,TblTech[[#This Row],[Hour]:[Hour]]&gt;=BA$2),1,0)</f>
        <v>0</v>
      </c>
      <c r="BB5" s="276" cm="1">
        <f t="array" ref="BB5">IF(AND(BB$2&lt;&gt;0,TblTech[[#This Row],[Hour]:[Hour]]&gt;=BB$2),1,0)</f>
        <v>0</v>
      </c>
      <c r="BC5" s="276" cm="1">
        <f t="array" ref="BC5">IF(AND(BC$2&lt;&gt;0,TblTech[[#This Row],[Hour]:[Hour]]&gt;=BC$2),1,0)</f>
        <v>0</v>
      </c>
      <c r="BD5" s="276" cm="1">
        <f t="array" ref="BD5">IF(AND(BD$2&lt;&gt;0,TblTech[[#This Row],[Hour]:[Hour]]&gt;=BD$2),1,0)</f>
        <v>0</v>
      </c>
      <c r="BE5" s="276" cm="1">
        <f t="array" ref="BE5">IF(AND(BE$2&lt;&gt;0,TblTech[[#This Row],[Hour]:[Hour]]&gt;=BE$2),1,0)</f>
        <v>0</v>
      </c>
      <c r="BF5" s="276" cm="1">
        <f t="array" ref="BF5">IF(AND(BF$2&lt;&gt;0,TblTech[[#This Row],[Hour]:[Hour]]&gt;=BF$2),1,0)</f>
        <v>0</v>
      </c>
      <c r="BG5" s="276" cm="1">
        <f t="array" ref="BG5">IF(AND(BG$2&lt;&gt;0,TblTech[[#This Row],[Hour]:[Hour]]&gt;=BG$2),1,0)</f>
        <v>0</v>
      </c>
      <c r="BH5" s="276" cm="1">
        <f t="array" ref="BH5">IF(AND(BH$2&lt;&gt;0,TblTech[[#This Row],[Hour]:[Hour]]&gt;=BH$2),1,0)</f>
        <v>0</v>
      </c>
      <c r="BI5" s="276" cm="1">
        <f t="array" ref="BI5">IF(AND(BI$2&lt;&gt;0,TblTech[[#This Row],[Hour]:[Hour]]&gt;=BI$2),1,0)</f>
        <v>0</v>
      </c>
      <c r="BJ5" s="276" cm="1">
        <f t="array" ref="BJ5">IF(AND(BJ$2&lt;&gt;0,TblTech[[#This Row],[Hour]:[Hour]]&gt;=BJ$2),1,0)</f>
        <v>0</v>
      </c>
      <c r="BK5" s="276" cm="1">
        <f t="array" ref="BK5">IF(AND(BK$2&lt;&gt;0,TblTech[[#This Row],[Hour]:[Hour]]&gt;=BK$2),1,0)</f>
        <v>0</v>
      </c>
      <c r="BL5" s="276" cm="1">
        <f t="array" ref="BL5">IF(AND(BL$2&lt;&gt;0,TblTech[[#This Row],[Hour]:[Hour]]&gt;=BL$2),1,0)</f>
        <v>0</v>
      </c>
      <c r="BM5" s="276" cm="1">
        <f t="array" ref="BM5">IF(AND(BM$2&lt;&gt;0,TblTech[[#This Row],[Hour]:[Hour]]&gt;=BM$2),1,0)</f>
        <v>0</v>
      </c>
      <c r="BN5" s="276" cm="1">
        <f t="array" ref="BN5">IF(AND(BN$2&lt;&gt;0,TblTech[[#This Row],[Hour]:[Hour]]&gt;=BN$2),1,0)</f>
        <v>0</v>
      </c>
      <c r="BO5" s="276" cm="1">
        <f t="array" ref="BO5">IF(AND(BO$2&lt;&gt;0,TblTech[[#This Row],[Hour]:[Hour]]&gt;=BO$2),1,0)</f>
        <v>0</v>
      </c>
      <c r="BP5" s="276" cm="1">
        <f t="array" ref="BP5">IF(AND(BP$2&lt;&gt;0,TblTech[[#This Row],[Hour]:[Hour]]&gt;=BP$2),1,0)</f>
        <v>0</v>
      </c>
      <c r="BQ5" s="276" cm="1">
        <f t="array" ref="BQ5">IF(AND(BQ$2&lt;&gt;0,TblTech[[#This Row],[Hour]:[Hour]]&gt;=BQ$2),1,0)</f>
        <v>0</v>
      </c>
      <c r="BR5" s="276" cm="1">
        <f t="array" ref="BR5">IF(AND(BR$2&lt;&gt;0,TblTech[[#This Row],[Hour]:[Hour]]&gt;=BR$2),1,0)</f>
        <v>0</v>
      </c>
      <c r="BS5" s="276" cm="1">
        <f t="array" ref="BS5">IF(AND(BS$2&lt;&gt;0,TblTech[[#This Row],[Hour]:[Hour]]&gt;=BS$2),1,0)</f>
        <v>0</v>
      </c>
      <c r="BT5" s="276" cm="1">
        <f t="array" ref="BT5">IF(AND(BT$2&lt;&gt;0,TblTech[[#This Row],[Hour]:[Hour]]&gt;=BT$2),1,0)</f>
        <v>0</v>
      </c>
      <c r="BU5" s="276" cm="1">
        <f t="array" ref="BU5">IF(AND(BU$2&lt;&gt;0,TblTech[[#This Row],[Hour]:[Hour]]&gt;=BU$2),1,0)</f>
        <v>0</v>
      </c>
      <c r="BV5" s="276" cm="1">
        <f t="array" ref="BV5">IF(AND(BV$2&lt;&gt;0,TblTech[[#This Row],[Hour]:[Hour]]&gt;=BV$2),1,0)</f>
        <v>0</v>
      </c>
      <c r="BW5" s="276" cm="1">
        <f t="array" ref="BW5">IF(AND(BW$2&lt;&gt;0,TblTech[[#This Row],[Hour]:[Hour]]&gt;=BW$2),1,0)</f>
        <v>0</v>
      </c>
      <c r="BX5" s="276" cm="1">
        <f t="array" ref="BX5">IF(AND(BX$2&lt;&gt;0,TblTech[[#This Row],[Hour]:[Hour]]&gt;=BX$2),1,0)</f>
        <v>0</v>
      </c>
      <c r="BY5" s="276" cm="1">
        <f t="array" ref="BY5">IF(AND(BY$2&lt;&gt;0,TblTech[[#This Row],[Hour]:[Hour]]&gt;=BY$2),1,0)</f>
        <v>0</v>
      </c>
      <c r="BZ5" s="276" cm="1">
        <f t="array" ref="BZ5">IF(AND(BZ$2&lt;&gt;0,TblTech[[#This Row],[Hour]:[Hour]]&gt;=BZ$2),1,0)</f>
        <v>0</v>
      </c>
      <c r="CA5" s="377">
        <f>IFERROR(INDEX($H$4:$H$79,MATCH(INDEX(TblTech[[#Headers],[1-1]:[11-1]],1,MATCH(TblTech[[#This Row],[Hour]],$M$2:$BZ$2,0)),$G$4:$G$79,0)),)</f>
        <v>0</v>
      </c>
    </row>
    <row r="6" spans="1:79" x14ac:dyDescent="0.2">
      <c r="A6" s="268">
        <f>TblRezone[[#This Row],[Hour]]</f>
        <v>3</v>
      </c>
      <c r="B6" s="269">
        <f ca="1">TblExplore[[#This Row],[Land-DB]]</f>
        <v>50</v>
      </c>
      <c r="C6" s="270">
        <f ca="1">TblProd[[#This Row],[Techpoints]]</f>
        <v>0</v>
      </c>
      <c r="D6" s="270">
        <f ca="1">TblProd[[#This Row],[Required]]</f>
        <v>3750</v>
      </c>
      <c r="E6" s="271"/>
      <c r="F6" s="272"/>
      <c r="G6" s="273" t="s">
        <v>539</v>
      </c>
      <c r="H6" s="274" t="s">
        <v>678</v>
      </c>
      <c r="I6" s="273" t="s">
        <v>540</v>
      </c>
      <c r="J6" s="269"/>
      <c r="K6" s="93">
        <f ca="1">IF(TblTech[[#This Row],[Sum of tech]]&lt;&gt;OFFSET(TblTech[[#This Row],[Sum of tech]],-1,0),1,0)</f>
        <v>0</v>
      </c>
      <c r="L6" s="275">
        <f>COUNTIF(TblTech[[#This Row],[1-1]:[11-1]],1)</f>
        <v>0</v>
      </c>
      <c r="M6" s="276" cm="1">
        <f t="array" ref="M6">IF(AND(M$2&lt;&gt;0,TblTech[[#This Row],[Hour]:[Hour]]&gt;=M$2),1,0)</f>
        <v>0</v>
      </c>
      <c r="N6" s="276" cm="1">
        <f t="array" ref="N6">IF(AND(N$2&lt;&gt;0,TblTech[[#This Row],[Hour]:[Hour]]&gt;=N$2),1,0)</f>
        <v>0</v>
      </c>
      <c r="O6" s="276" cm="1">
        <f t="array" ref="O6">IF(AND(O$2&lt;&gt;0,TblTech[[#This Row],[Hour]:[Hour]]&gt;=O$2),1,0)</f>
        <v>0</v>
      </c>
      <c r="P6" s="276" cm="1">
        <f t="array" ref="P6">IF(AND(P$2&lt;&gt;0,TblTech[[#This Row],[Hour]:[Hour]]&gt;=P$2),1,0)</f>
        <v>0</v>
      </c>
      <c r="Q6" s="276" cm="1">
        <f t="array" ref="Q6">IF(AND(Q$2&lt;&gt;0,TblTech[[#This Row],[Hour]:[Hour]]&gt;=Q$2),1,0)</f>
        <v>0</v>
      </c>
      <c r="R6" s="276" cm="1">
        <f t="array" ref="R6">IF(AND(R$2&lt;&gt;0,TblTech[[#This Row],[Hour]:[Hour]]&gt;=R$2),1,0)</f>
        <v>0</v>
      </c>
      <c r="S6" s="276" cm="1">
        <f t="array" ref="S6">IF(AND(S$2&lt;&gt;0,TblTech[[#This Row],[Hour]:[Hour]]&gt;=S$2),1,0)</f>
        <v>0</v>
      </c>
      <c r="T6" s="276" cm="1">
        <f t="array" ref="T6">IF(AND(T$2&lt;&gt;0,TblTech[[#This Row],[Hour]:[Hour]]&gt;=T$2),1,0)</f>
        <v>0</v>
      </c>
      <c r="U6" s="276" cm="1">
        <f t="array" ref="U6">IF(AND(U$2&lt;&gt;0,TblTech[[#This Row],[Hour]:[Hour]]&gt;=U$2),1,0)</f>
        <v>0</v>
      </c>
      <c r="V6" s="276" cm="1">
        <f t="array" ref="V6">IF(AND(V$2&lt;&gt;0,TblTech[[#This Row],[Hour]:[Hour]]&gt;=V$2),1,0)</f>
        <v>0</v>
      </c>
      <c r="W6" s="276" cm="1">
        <f t="array" ref="W6">IF(AND(W$2&lt;&gt;0,TblTech[[#This Row],[Hour]:[Hour]]&gt;=W$2),1,0)</f>
        <v>0</v>
      </c>
      <c r="X6" s="276" cm="1">
        <f t="array" ref="X6">IF(AND(X$2&lt;&gt;0,TblTech[[#This Row],[Hour]:[Hour]]&gt;=X$2),1,0)</f>
        <v>0</v>
      </c>
      <c r="Y6" s="276" cm="1">
        <f t="array" ref="Y6">IF(AND(Y$2&lt;&gt;0,TblTech[[#This Row],[Hour]:[Hour]]&gt;=Y$2),1,0)</f>
        <v>0</v>
      </c>
      <c r="Z6" s="276" cm="1">
        <f t="array" ref="Z6">IF(AND(Z$2&lt;&gt;0,TblTech[[#This Row],[Hour]:[Hour]]&gt;=Z$2),1,0)</f>
        <v>0</v>
      </c>
      <c r="AA6" s="276" cm="1">
        <f t="array" ref="AA6">IF(AND(AA$2&lt;&gt;0,TblTech[[#This Row],[Hour]:[Hour]]&gt;=AA$2),1,0)</f>
        <v>0</v>
      </c>
      <c r="AB6" s="276" cm="1">
        <f t="array" ref="AB6">IF(AND(AB$2&lt;&gt;0,TblTech[[#This Row],[Hour]:[Hour]]&gt;=AB$2),1,0)</f>
        <v>0</v>
      </c>
      <c r="AC6" s="276" cm="1">
        <f t="array" ref="AC6">IF(AND(AC$2&lt;&gt;0,TblTech[[#This Row],[Hour]:[Hour]]&gt;=AC$2),1,0)</f>
        <v>0</v>
      </c>
      <c r="AD6" s="276" cm="1">
        <f t="array" ref="AD6">IF(AND(AD$2&lt;&gt;0,TblTech[[#This Row],[Hour]:[Hour]]&gt;=AD$2),1,0)</f>
        <v>0</v>
      </c>
      <c r="AE6" s="276" cm="1">
        <f t="array" ref="AE6">IF(AND(AE$2&lt;&gt;0,TblTech[[#This Row],[Hour]:[Hour]]&gt;=AE$2),1,0)</f>
        <v>0</v>
      </c>
      <c r="AF6" s="276" cm="1">
        <f t="array" ref="AF6">IF(AND(AF$2&lt;&gt;0,TblTech[[#This Row],[Hour]:[Hour]]&gt;=AF$2),1,0)</f>
        <v>0</v>
      </c>
      <c r="AG6" s="276" cm="1">
        <f t="array" ref="AG6">IF(AND(AG$2&lt;&gt;0,TblTech[[#This Row],[Hour]:[Hour]]&gt;=AG$2),1,0)</f>
        <v>0</v>
      </c>
      <c r="AH6" s="276" cm="1">
        <f t="array" ref="AH6">IF(AND(AH$2&lt;&gt;0,TblTech[[#This Row],[Hour]:[Hour]]&gt;=AH$2),1,0)</f>
        <v>0</v>
      </c>
      <c r="AI6" s="276" cm="1">
        <f t="array" ref="AI6">IF(AND(AI$2&lt;&gt;0,TblTech[[#This Row],[Hour]:[Hour]]&gt;=AI$2),1,0)</f>
        <v>0</v>
      </c>
      <c r="AJ6" s="276" cm="1">
        <f t="array" ref="AJ6">IF(AND(AJ$2&lt;&gt;0,TblTech[[#This Row],[Hour]:[Hour]]&gt;=AJ$2),1,0)</f>
        <v>0</v>
      </c>
      <c r="AK6" s="276" cm="1">
        <f t="array" ref="AK6">IF(AND(AK$2&lt;&gt;0,TblTech[[#This Row],[Hour]:[Hour]]&gt;=AK$2),1,0)</f>
        <v>0</v>
      </c>
      <c r="AL6" s="276" cm="1">
        <f t="array" ref="AL6">IF(AND(AL$2&lt;&gt;0,TblTech[[#This Row],[Hour]:[Hour]]&gt;=AL$2),1,0)</f>
        <v>0</v>
      </c>
      <c r="AM6" s="276" cm="1">
        <f t="array" ref="AM6">IF(AND(AM$2&lt;&gt;0,TblTech[[#This Row],[Hour]:[Hour]]&gt;=AM$2),1,0)</f>
        <v>0</v>
      </c>
      <c r="AN6" s="276" cm="1">
        <f t="array" ref="AN6">IF(AND(AN$2&lt;&gt;0,TblTech[[#This Row],[Hour]:[Hour]]&gt;=AN$2),1,0)</f>
        <v>0</v>
      </c>
      <c r="AO6" s="276" cm="1">
        <f t="array" ref="AO6">IF(AND(AO$2&lt;&gt;0,TblTech[[#This Row],[Hour]:[Hour]]&gt;=AO$2),1,0)</f>
        <v>0</v>
      </c>
      <c r="AP6" s="276" cm="1">
        <f t="array" ref="AP6">IF(AND(AP$2&lt;&gt;0,TblTech[[#This Row],[Hour]:[Hour]]&gt;=AP$2),1,0)</f>
        <v>0</v>
      </c>
      <c r="AQ6" s="276" cm="1">
        <f t="array" ref="AQ6">IF(AND(AQ$2&lt;&gt;0,TblTech[[#This Row],[Hour]:[Hour]]&gt;=AQ$2),1,0)</f>
        <v>0</v>
      </c>
      <c r="AR6" s="276" cm="1">
        <f t="array" ref="AR6">IF(AND(AR$2&lt;&gt;0,TblTech[[#This Row],[Hour]:[Hour]]&gt;=AR$2),1,0)</f>
        <v>0</v>
      </c>
      <c r="AS6" s="276" cm="1">
        <f t="array" ref="AS6">IF(AND(AS$2&lt;&gt;0,TblTech[[#This Row],[Hour]:[Hour]]&gt;=AS$2),1,0)</f>
        <v>0</v>
      </c>
      <c r="AT6" s="276" cm="1">
        <f t="array" ref="AT6">IF(AND(AT$2&lt;&gt;0,TblTech[[#This Row],[Hour]:[Hour]]&gt;=AT$2),1,0)</f>
        <v>0</v>
      </c>
      <c r="AU6" s="276" cm="1">
        <f t="array" ref="AU6">IF(AND(AU$2&lt;&gt;0,TblTech[[#This Row],[Hour]:[Hour]]&gt;=AU$2),1,0)</f>
        <v>0</v>
      </c>
      <c r="AV6" s="276" cm="1">
        <f t="array" ref="AV6">IF(AND(AV$2&lt;&gt;0,TblTech[[#This Row],[Hour]:[Hour]]&gt;=AV$2),1,0)</f>
        <v>0</v>
      </c>
      <c r="AW6" s="276" cm="1">
        <f t="array" ref="AW6">IF(AND(AW$2&lt;&gt;0,TblTech[[#This Row],[Hour]:[Hour]]&gt;=AW$2),1,0)</f>
        <v>0</v>
      </c>
      <c r="AX6" s="276" cm="1">
        <f t="array" ref="AX6">IF(AND(AX$2&lt;&gt;0,TblTech[[#This Row],[Hour]:[Hour]]&gt;=AX$2),1,0)</f>
        <v>0</v>
      </c>
      <c r="AY6" s="276" cm="1">
        <f t="array" ref="AY6">IF(AND(AY$2&lt;&gt;0,TblTech[[#This Row],[Hour]:[Hour]]&gt;=AY$2),1,0)</f>
        <v>0</v>
      </c>
      <c r="AZ6" s="276" cm="1">
        <f t="array" ref="AZ6">IF(AND(AZ$2&lt;&gt;0,TblTech[[#This Row],[Hour]:[Hour]]&gt;=AZ$2),1,0)</f>
        <v>0</v>
      </c>
      <c r="BA6" s="276" cm="1">
        <f t="array" ref="BA6">IF(AND(BA$2&lt;&gt;0,TblTech[[#This Row],[Hour]:[Hour]]&gt;=BA$2),1,0)</f>
        <v>0</v>
      </c>
      <c r="BB6" s="276" cm="1">
        <f t="array" ref="BB6">IF(AND(BB$2&lt;&gt;0,TblTech[[#This Row],[Hour]:[Hour]]&gt;=BB$2),1,0)</f>
        <v>0</v>
      </c>
      <c r="BC6" s="276" cm="1">
        <f t="array" ref="BC6">IF(AND(BC$2&lt;&gt;0,TblTech[[#This Row],[Hour]:[Hour]]&gt;=BC$2),1,0)</f>
        <v>0</v>
      </c>
      <c r="BD6" s="276" cm="1">
        <f t="array" ref="BD6">IF(AND(BD$2&lt;&gt;0,TblTech[[#This Row],[Hour]:[Hour]]&gt;=BD$2),1,0)</f>
        <v>0</v>
      </c>
      <c r="BE6" s="276" cm="1">
        <f t="array" ref="BE6">IF(AND(BE$2&lt;&gt;0,TblTech[[#This Row],[Hour]:[Hour]]&gt;=BE$2),1,0)</f>
        <v>0</v>
      </c>
      <c r="BF6" s="276" cm="1">
        <f t="array" ref="BF6">IF(AND(BF$2&lt;&gt;0,TblTech[[#This Row],[Hour]:[Hour]]&gt;=BF$2),1,0)</f>
        <v>0</v>
      </c>
      <c r="BG6" s="276" cm="1">
        <f t="array" ref="BG6">IF(AND(BG$2&lt;&gt;0,TblTech[[#This Row],[Hour]:[Hour]]&gt;=BG$2),1,0)</f>
        <v>0</v>
      </c>
      <c r="BH6" s="276" cm="1">
        <f t="array" ref="BH6">IF(AND(BH$2&lt;&gt;0,TblTech[[#This Row],[Hour]:[Hour]]&gt;=BH$2),1,0)</f>
        <v>0</v>
      </c>
      <c r="BI6" s="276" cm="1">
        <f t="array" ref="BI6">IF(AND(BI$2&lt;&gt;0,TblTech[[#This Row],[Hour]:[Hour]]&gt;=BI$2),1,0)</f>
        <v>0</v>
      </c>
      <c r="BJ6" s="276" cm="1">
        <f t="array" ref="BJ6">IF(AND(BJ$2&lt;&gt;0,TblTech[[#This Row],[Hour]:[Hour]]&gt;=BJ$2),1,0)</f>
        <v>0</v>
      </c>
      <c r="BK6" s="276" cm="1">
        <f t="array" ref="BK6">IF(AND(BK$2&lt;&gt;0,TblTech[[#This Row],[Hour]:[Hour]]&gt;=BK$2),1,0)</f>
        <v>0</v>
      </c>
      <c r="BL6" s="276" cm="1">
        <f t="array" ref="BL6">IF(AND(BL$2&lt;&gt;0,TblTech[[#This Row],[Hour]:[Hour]]&gt;=BL$2),1,0)</f>
        <v>0</v>
      </c>
      <c r="BM6" s="276" cm="1">
        <f t="array" ref="BM6">IF(AND(BM$2&lt;&gt;0,TblTech[[#This Row],[Hour]:[Hour]]&gt;=BM$2),1,0)</f>
        <v>0</v>
      </c>
      <c r="BN6" s="276" cm="1">
        <f t="array" ref="BN6">IF(AND(BN$2&lt;&gt;0,TblTech[[#This Row],[Hour]:[Hour]]&gt;=BN$2),1,0)</f>
        <v>0</v>
      </c>
      <c r="BO6" s="276" cm="1">
        <f t="array" ref="BO6">IF(AND(BO$2&lt;&gt;0,TblTech[[#This Row],[Hour]:[Hour]]&gt;=BO$2),1,0)</f>
        <v>0</v>
      </c>
      <c r="BP6" s="276" cm="1">
        <f t="array" ref="BP6">IF(AND(BP$2&lt;&gt;0,TblTech[[#This Row],[Hour]:[Hour]]&gt;=BP$2),1,0)</f>
        <v>0</v>
      </c>
      <c r="BQ6" s="276" cm="1">
        <f t="array" ref="BQ6">IF(AND(BQ$2&lt;&gt;0,TblTech[[#This Row],[Hour]:[Hour]]&gt;=BQ$2),1,0)</f>
        <v>0</v>
      </c>
      <c r="BR6" s="276" cm="1">
        <f t="array" ref="BR6">IF(AND(BR$2&lt;&gt;0,TblTech[[#This Row],[Hour]:[Hour]]&gt;=BR$2),1,0)</f>
        <v>0</v>
      </c>
      <c r="BS6" s="276" cm="1">
        <f t="array" ref="BS6">IF(AND(BS$2&lt;&gt;0,TblTech[[#This Row],[Hour]:[Hour]]&gt;=BS$2),1,0)</f>
        <v>0</v>
      </c>
      <c r="BT6" s="276" cm="1">
        <f t="array" ref="BT6">IF(AND(BT$2&lt;&gt;0,TblTech[[#This Row],[Hour]:[Hour]]&gt;=BT$2),1,0)</f>
        <v>0</v>
      </c>
      <c r="BU6" s="276" cm="1">
        <f t="array" ref="BU6">IF(AND(BU$2&lt;&gt;0,TblTech[[#This Row],[Hour]:[Hour]]&gt;=BU$2),1,0)</f>
        <v>0</v>
      </c>
      <c r="BV6" s="276" cm="1">
        <f t="array" ref="BV6">IF(AND(BV$2&lt;&gt;0,TblTech[[#This Row],[Hour]:[Hour]]&gt;=BV$2),1,0)</f>
        <v>0</v>
      </c>
      <c r="BW6" s="276" cm="1">
        <f t="array" ref="BW6">IF(AND(BW$2&lt;&gt;0,TblTech[[#This Row],[Hour]:[Hour]]&gt;=BW$2),1,0)</f>
        <v>0</v>
      </c>
      <c r="BX6" s="276" cm="1">
        <f t="array" ref="BX6">IF(AND(BX$2&lt;&gt;0,TblTech[[#This Row],[Hour]:[Hour]]&gt;=BX$2),1,0)</f>
        <v>0</v>
      </c>
      <c r="BY6" s="276" cm="1">
        <f t="array" ref="BY6">IF(AND(BY$2&lt;&gt;0,TblTech[[#This Row],[Hour]:[Hour]]&gt;=BY$2),1,0)</f>
        <v>0</v>
      </c>
      <c r="BZ6" s="276" cm="1">
        <f t="array" ref="BZ6">IF(AND(BZ$2&lt;&gt;0,TblTech[[#This Row],[Hour]:[Hour]]&gt;=BZ$2),1,0)</f>
        <v>0</v>
      </c>
      <c r="CA6" s="377">
        <f>IFERROR(INDEX($H$4:$H$79,MATCH(INDEX(TblTech[[#Headers],[1-1]:[11-1]],1,MATCH(TblTech[[#This Row],[Hour]],$M$2:$BZ$2,0)),$G$4:$G$79,0)),)</f>
        <v>0</v>
      </c>
    </row>
    <row r="7" spans="1:79" x14ac:dyDescent="0.2">
      <c r="A7" s="268">
        <f>TblRezone[[#This Row],[Hour]]</f>
        <v>4</v>
      </c>
      <c r="B7" s="269">
        <f ca="1">TblExplore[[#This Row],[Land-DB]]</f>
        <v>50</v>
      </c>
      <c r="C7" s="270">
        <f ca="1">TblProd[[#This Row],[Techpoints]]</f>
        <v>0</v>
      </c>
      <c r="D7" s="270">
        <f ca="1">TblProd[[#This Row],[Required]]</f>
        <v>3750</v>
      </c>
      <c r="E7" s="271"/>
      <c r="F7" s="272"/>
      <c r="G7" s="273" t="s">
        <v>541</v>
      </c>
      <c r="H7" s="274" t="s">
        <v>679</v>
      </c>
      <c r="I7" s="273" t="s">
        <v>1154</v>
      </c>
      <c r="J7" s="269"/>
      <c r="K7" s="93">
        <f ca="1">IF(TblTech[[#This Row],[Sum of tech]]&lt;&gt;OFFSET(TblTech[[#This Row],[Sum of tech]],-1,0),1,0)</f>
        <v>0</v>
      </c>
      <c r="L7" s="275">
        <f>COUNTIF(TblTech[[#This Row],[1-1]:[11-1]],1)</f>
        <v>0</v>
      </c>
      <c r="M7" s="276" cm="1">
        <f t="array" ref="M7">IF(AND(M$2&lt;&gt;0,TblTech[[#This Row],[Hour]:[Hour]]&gt;=M$2),1,0)</f>
        <v>0</v>
      </c>
      <c r="N7" s="276" cm="1">
        <f t="array" ref="N7">IF(AND(N$2&lt;&gt;0,TblTech[[#This Row],[Hour]:[Hour]]&gt;=N$2),1,0)</f>
        <v>0</v>
      </c>
      <c r="O7" s="276" cm="1">
        <f t="array" ref="O7">IF(AND(O$2&lt;&gt;0,TblTech[[#This Row],[Hour]:[Hour]]&gt;=O$2),1,0)</f>
        <v>0</v>
      </c>
      <c r="P7" s="276" cm="1">
        <f t="array" ref="P7">IF(AND(P$2&lt;&gt;0,TblTech[[#This Row],[Hour]:[Hour]]&gt;=P$2),1,0)</f>
        <v>0</v>
      </c>
      <c r="Q7" s="276" cm="1">
        <f t="array" ref="Q7">IF(AND(Q$2&lt;&gt;0,TblTech[[#This Row],[Hour]:[Hour]]&gt;=Q$2),1,0)</f>
        <v>0</v>
      </c>
      <c r="R7" s="276" cm="1">
        <f t="array" ref="R7">IF(AND(R$2&lt;&gt;0,TblTech[[#This Row],[Hour]:[Hour]]&gt;=R$2),1,0)</f>
        <v>0</v>
      </c>
      <c r="S7" s="276" cm="1">
        <f t="array" ref="S7">IF(AND(S$2&lt;&gt;0,TblTech[[#This Row],[Hour]:[Hour]]&gt;=S$2),1,0)</f>
        <v>0</v>
      </c>
      <c r="T7" s="276" cm="1">
        <f t="array" ref="T7">IF(AND(T$2&lt;&gt;0,TblTech[[#This Row],[Hour]:[Hour]]&gt;=T$2),1,0)</f>
        <v>0</v>
      </c>
      <c r="U7" s="276" cm="1">
        <f t="array" ref="U7">IF(AND(U$2&lt;&gt;0,TblTech[[#This Row],[Hour]:[Hour]]&gt;=U$2),1,0)</f>
        <v>0</v>
      </c>
      <c r="V7" s="276" cm="1">
        <f t="array" ref="V7">IF(AND(V$2&lt;&gt;0,TblTech[[#This Row],[Hour]:[Hour]]&gt;=V$2),1,0)</f>
        <v>0</v>
      </c>
      <c r="W7" s="276" cm="1">
        <f t="array" ref="W7">IF(AND(W$2&lt;&gt;0,TblTech[[#This Row],[Hour]:[Hour]]&gt;=W$2),1,0)</f>
        <v>0</v>
      </c>
      <c r="X7" s="276" cm="1">
        <f t="array" ref="X7">IF(AND(X$2&lt;&gt;0,TblTech[[#This Row],[Hour]:[Hour]]&gt;=X$2),1,0)</f>
        <v>0</v>
      </c>
      <c r="Y7" s="276" cm="1">
        <f t="array" ref="Y7">IF(AND(Y$2&lt;&gt;0,TblTech[[#This Row],[Hour]:[Hour]]&gt;=Y$2),1,0)</f>
        <v>0</v>
      </c>
      <c r="Z7" s="276" cm="1">
        <f t="array" ref="Z7">IF(AND(Z$2&lt;&gt;0,TblTech[[#This Row],[Hour]:[Hour]]&gt;=Z$2),1,0)</f>
        <v>0</v>
      </c>
      <c r="AA7" s="276" cm="1">
        <f t="array" ref="AA7">IF(AND(AA$2&lt;&gt;0,TblTech[[#This Row],[Hour]:[Hour]]&gt;=AA$2),1,0)</f>
        <v>0</v>
      </c>
      <c r="AB7" s="276" cm="1">
        <f t="array" ref="AB7">IF(AND(AB$2&lt;&gt;0,TblTech[[#This Row],[Hour]:[Hour]]&gt;=AB$2),1,0)</f>
        <v>0</v>
      </c>
      <c r="AC7" s="276" cm="1">
        <f t="array" ref="AC7">IF(AND(AC$2&lt;&gt;0,TblTech[[#This Row],[Hour]:[Hour]]&gt;=AC$2),1,0)</f>
        <v>0</v>
      </c>
      <c r="AD7" s="276" cm="1">
        <f t="array" ref="AD7">IF(AND(AD$2&lt;&gt;0,TblTech[[#This Row],[Hour]:[Hour]]&gt;=AD$2),1,0)</f>
        <v>0</v>
      </c>
      <c r="AE7" s="276" cm="1">
        <f t="array" ref="AE7">IF(AND(AE$2&lt;&gt;0,TblTech[[#This Row],[Hour]:[Hour]]&gt;=AE$2),1,0)</f>
        <v>0</v>
      </c>
      <c r="AF7" s="276" cm="1">
        <f t="array" ref="AF7">IF(AND(AF$2&lt;&gt;0,TblTech[[#This Row],[Hour]:[Hour]]&gt;=AF$2),1,0)</f>
        <v>0</v>
      </c>
      <c r="AG7" s="276" cm="1">
        <f t="array" ref="AG7">IF(AND(AG$2&lt;&gt;0,TblTech[[#This Row],[Hour]:[Hour]]&gt;=AG$2),1,0)</f>
        <v>0</v>
      </c>
      <c r="AH7" s="276" cm="1">
        <f t="array" ref="AH7">IF(AND(AH$2&lt;&gt;0,TblTech[[#This Row],[Hour]:[Hour]]&gt;=AH$2),1,0)</f>
        <v>0</v>
      </c>
      <c r="AI7" s="276" cm="1">
        <f t="array" ref="AI7">IF(AND(AI$2&lt;&gt;0,TblTech[[#This Row],[Hour]:[Hour]]&gt;=AI$2),1,0)</f>
        <v>0</v>
      </c>
      <c r="AJ7" s="276" cm="1">
        <f t="array" ref="AJ7">IF(AND(AJ$2&lt;&gt;0,TblTech[[#This Row],[Hour]:[Hour]]&gt;=AJ$2),1,0)</f>
        <v>0</v>
      </c>
      <c r="AK7" s="276" cm="1">
        <f t="array" ref="AK7">IF(AND(AK$2&lt;&gt;0,TblTech[[#This Row],[Hour]:[Hour]]&gt;=AK$2),1,0)</f>
        <v>0</v>
      </c>
      <c r="AL7" s="276" cm="1">
        <f t="array" ref="AL7">IF(AND(AL$2&lt;&gt;0,TblTech[[#This Row],[Hour]:[Hour]]&gt;=AL$2),1,0)</f>
        <v>0</v>
      </c>
      <c r="AM7" s="276" cm="1">
        <f t="array" ref="AM7">IF(AND(AM$2&lt;&gt;0,TblTech[[#This Row],[Hour]:[Hour]]&gt;=AM$2),1,0)</f>
        <v>0</v>
      </c>
      <c r="AN7" s="276" cm="1">
        <f t="array" ref="AN7">IF(AND(AN$2&lt;&gt;0,TblTech[[#This Row],[Hour]:[Hour]]&gt;=AN$2),1,0)</f>
        <v>0</v>
      </c>
      <c r="AO7" s="276" cm="1">
        <f t="array" ref="AO7">IF(AND(AO$2&lt;&gt;0,TblTech[[#This Row],[Hour]:[Hour]]&gt;=AO$2),1,0)</f>
        <v>0</v>
      </c>
      <c r="AP7" s="276" cm="1">
        <f t="array" ref="AP7">IF(AND(AP$2&lt;&gt;0,TblTech[[#This Row],[Hour]:[Hour]]&gt;=AP$2),1,0)</f>
        <v>0</v>
      </c>
      <c r="AQ7" s="276" cm="1">
        <f t="array" ref="AQ7">IF(AND(AQ$2&lt;&gt;0,TblTech[[#This Row],[Hour]:[Hour]]&gt;=AQ$2),1,0)</f>
        <v>0</v>
      </c>
      <c r="AR7" s="276" cm="1">
        <f t="array" ref="AR7">IF(AND(AR$2&lt;&gt;0,TblTech[[#This Row],[Hour]:[Hour]]&gt;=AR$2),1,0)</f>
        <v>0</v>
      </c>
      <c r="AS7" s="276" cm="1">
        <f t="array" ref="AS7">IF(AND(AS$2&lt;&gt;0,TblTech[[#This Row],[Hour]:[Hour]]&gt;=AS$2),1,0)</f>
        <v>0</v>
      </c>
      <c r="AT7" s="276" cm="1">
        <f t="array" ref="AT7">IF(AND(AT$2&lt;&gt;0,TblTech[[#This Row],[Hour]:[Hour]]&gt;=AT$2),1,0)</f>
        <v>0</v>
      </c>
      <c r="AU7" s="276" cm="1">
        <f t="array" ref="AU7">IF(AND(AU$2&lt;&gt;0,TblTech[[#This Row],[Hour]:[Hour]]&gt;=AU$2),1,0)</f>
        <v>0</v>
      </c>
      <c r="AV7" s="276" cm="1">
        <f t="array" ref="AV7">IF(AND(AV$2&lt;&gt;0,TblTech[[#This Row],[Hour]:[Hour]]&gt;=AV$2),1,0)</f>
        <v>0</v>
      </c>
      <c r="AW7" s="276" cm="1">
        <f t="array" ref="AW7">IF(AND(AW$2&lt;&gt;0,TblTech[[#This Row],[Hour]:[Hour]]&gt;=AW$2),1,0)</f>
        <v>0</v>
      </c>
      <c r="AX7" s="276" cm="1">
        <f t="array" ref="AX7">IF(AND(AX$2&lt;&gt;0,TblTech[[#This Row],[Hour]:[Hour]]&gt;=AX$2),1,0)</f>
        <v>0</v>
      </c>
      <c r="AY7" s="276" cm="1">
        <f t="array" ref="AY7">IF(AND(AY$2&lt;&gt;0,TblTech[[#This Row],[Hour]:[Hour]]&gt;=AY$2),1,0)</f>
        <v>0</v>
      </c>
      <c r="AZ7" s="276" cm="1">
        <f t="array" ref="AZ7">IF(AND(AZ$2&lt;&gt;0,TblTech[[#This Row],[Hour]:[Hour]]&gt;=AZ$2),1,0)</f>
        <v>0</v>
      </c>
      <c r="BA7" s="276" cm="1">
        <f t="array" ref="BA7">IF(AND(BA$2&lt;&gt;0,TblTech[[#This Row],[Hour]:[Hour]]&gt;=BA$2),1,0)</f>
        <v>0</v>
      </c>
      <c r="BB7" s="276" cm="1">
        <f t="array" ref="BB7">IF(AND(BB$2&lt;&gt;0,TblTech[[#This Row],[Hour]:[Hour]]&gt;=BB$2),1,0)</f>
        <v>0</v>
      </c>
      <c r="BC7" s="276" cm="1">
        <f t="array" ref="BC7">IF(AND(BC$2&lt;&gt;0,TblTech[[#This Row],[Hour]:[Hour]]&gt;=BC$2),1,0)</f>
        <v>0</v>
      </c>
      <c r="BD7" s="276" cm="1">
        <f t="array" ref="BD7">IF(AND(BD$2&lt;&gt;0,TblTech[[#This Row],[Hour]:[Hour]]&gt;=BD$2),1,0)</f>
        <v>0</v>
      </c>
      <c r="BE7" s="276" cm="1">
        <f t="array" ref="BE7">IF(AND(BE$2&lt;&gt;0,TblTech[[#This Row],[Hour]:[Hour]]&gt;=BE$2),1,0)</f>
        <v>0</v>
      </c>
      <c r="BF7" s="276" cm="1">
        <f t="array" ref="BF7">IF(AND(BF$2&lt;&gt;0,TblTech[[#This Row],[Hour]:[Hour]]&gt;=BF$2),1,0)</f>
        <v>0</v>
      </c>
      <c r="BG7" s="276" cm="1">
        <f t="array" ref="BG7">IF(AND(BG$2&lt;&gt;0,TblTech[[#This Row],[Hour]:[Hour]]&gt;=BG$2),1,0)</f>
        <v>0</v>
      </c>
      <c r="BH7" s="276" cm="1">
        <f t="array" ref="BH7">IF(AND(BH$2&lt;&gt;0,TblTech[[#This Row],[Hour]:[Hour]]&gt;=BH$2),1,0)</f>
        <v>0</v>
      </c>
      <c r="BI7" s="276" cm="1">
        <f t="array" ref="BI7">IF(AND(BI$2&lt;&gt;0,TblTech[[#This Row],[Hour]:[Hour]]&gt;=BI$2),1,0)</f>
        <v>0</v>
      </c>
      <c r="BJ7" s="276" cm="1">
        <f t="array" ref="BJ7">IF(AND(BJ$2&lt;&gt;0,TblTech[[#This Row],[Hour]:[Hour]]&gt;=BJ$2),1,0)</f>
        <v>0</v>
      </c>
      <c r="BK7" s="276" cm="1">
        <f t="array" ref="BK7">IF(AND(BK$2&lt;&gt;0,TblTech[[#This Row],[Hour]:[Hour]]&gt;=BK$2),1,0)</f>
        <v>0</v>
      </c>
      <c r="BL7" s="276" cm="1">
        <f t="array" ref="BL7">IF(AND(BL$2&lt;&gt;0,TblTech[[#This Row],[Hour]:[Hour]]&gt;=BL$2),1,0)</f>
        <v>0</v>
      </c>
      <c r="BM7" s="276" cm="1">
        <f t="array" ref="BM7">IF(AND(BM$2&lt;&gt;0,TblTech[[#This Row],[Hour]:[Hour]]&gt;=BM$2),1,0)</f>
        <v>0</v>
      </c>
      <c r="BN7" s="276" cm="1">
        <f t="array" ref="BN7">IF(AND(BN$2&lt;&gt;0,TblTech[[#This Row],[Hour]:[Hour]]&gt;=BN$2),1,0)</f>
        <v>0</v>
      </c>
      <c r="BO7" s="276" cm="1">
        <f t="array" ref="BO7">IF(AND(BO$2&lt;&gt;0,TblTech[[#This Row],[Hour]:[Hour]]&gt;=BO$2),1,0)</f>
        <v>0</v>
      </c>
      <c r="BP7" s="276" cm="1">
        <f t="array" ref="BP7">IF(AND(BP$2&lt;&gt;0,TblTech[[#This Row],[Hour]:[Hour]]&gt;=BP$2),1,0)</f>
        <v>0</v>
      </c>
      <c r="BQ7" s="276" cm="1">
        <f t="array" ref="BQ7">IF(AND(BQ$2&lt;&gt;0,TblTech[[#This Row],[Hour]:[Hour]]&gt;=BQ$2),1,0)</f>
        <v>0</v>
      </c>
      <c r="BR7" s="276" cm="1">
        <f t="array" ref="BR7">IF(AND(BR$2&lt;&gt;0,TblTech[[#This Row],[Hour]:[Hour]]&gt;=BR$2),1,0)</f>
        <v>0</v>
      </c>
      <c r="BS7" s="276" cm="1">
        <f t="array" ref="BS7">IF(AND(BS$2&lt;&gt;0,TblTech[[#This Row],[Hour]:[Hour]]&gt;=BS$2),1,0)</f>
        <v>0</v>
      </c>
      <c r="BT7" s="276" cm="1">
        <f t="array" ref="BT7">IF(AND(BT$2&lt;&gt;0,TblTech[[#This Row],[Hour]:[Hour]]&gt;=BT$2),1,0)</f>
        <v>0</v>
      </c>
      <c r="BU7" s="276" cm="1">
        <f t="array" ref="BU7">IF(AND(BU$2&lt;&gt;0,TblTech[[#This Row],[Hour]:[Hour]]&gt;=BU$2),1,0)</f>
        <v>0</v>
      </c>
      <c r="BV7" s="276" cm="1">
        <f t="array" ref="BV7">IF(AND(BV$2&lt;&gt;0,TblTech[[#This Row],[Hour]:[Hour]]&gt;=BV$2),1,0)</f>
        <v>0</v>
      </c>
      <c r="BW7" s="276" cm="1">
        <f t="array" ref="BW7">IF(AND(BW$2&lt;&gt;0,TblTech[[#This Row],[Hour]:[Hour]]&gt;=BW$2),1,0)</f>
        <v>0</v>
      </c>
      <c r="BX7" s="276" cm="1">
        <f t="array" ref="BX7">IF(AND(BX$2&lt;&gt;0,TblTech[[#This Row],[Hour]:[Hour]]&gt;=BX$2),1,0)</f>
        <v>0</v>
      </c>
      <c r="BY7" s="276" cm="1">
        <f t="array" ref="BY7">IF(AND(BY$2&lt;&gt;0,TblTech[[#This Row],[Hour]:[Hour]]&gt;=BY$2),1,0)</f>
        <v>0</v>
      </c>
      <c r="BZ7" s="276" cm="1">
        <f t="array" ref="BZ7">IF(AND(BZ$2&lt;&gt;0,TblTech[[#This Row],[Hour]:[Hour]]&gt;=BZ$2),1,0)</f>
        <v>0</v>
      </c>
      <c r="CA7" s="377">
        <f>IFERROR(INDEX($H$4:$H$79,MATCH(INDEX(TblTech[[#Headers],[1-1]:[11-1]],1,MATCH(TblTech[[#This Row],[Hour]],$M$2:$BZ$2,0)),$G$4:$G$79,0)),)</f>
        <v>0</v>
      </c>
    </row>
    <row r="8" spans="1:79" x14ac:dyDescent="0.2">
      <c r="A8" s="268">
        <f>TblRezone[[#This Row],[Hour]]</f>
        <v>5</v>
      </c>
      <c r="B8" s="269">
        <f ca="1">TblExplore[[#This Row],[Land-DB]]</f>
        <v>50</v>
      </c>
      <c r="C8" s="270">
        <f ca="1">TblProd[[#This Row],[Techpoints]]</f>
        <v>0</v>
      </c>
      <c r="D8" s="270">
        <f ca="1">TblProd[[#This Row],[Required]]</f>
        <v>3750</v>
      </c>
      <c r="E8" s="271"/>
      <c r="F8" s="272"/>
      <c r="G8" s="273" t="s">
        <v>542</v>
      </c>
      <c r="H8" s="274" t="s">
        <v>680</v>
      </c>
      <c r="I8" s="273" t="s">
        <v>1084</v>
      </c>
      <c r="J8" s="269"/>
      <c r="K8" s="93">
        <f ca="1">IF(TblTech[[#This Row],[Sum of tech]]&lt;&gt;OFFSET(TblTech[[#This Row],[Sum of tech]],-1,0),1,0)</f>
        <v>0</v>
      </c>
      <c r="L8" s="275">
        <f>COUNTIF(TblTech[[#This Row],[1-1]:[11-1]],1)</f>
        <v>0</v>
      </c>
      <c r="M8" s="276" cm="1">
        <f t="array" ref="M8">IF(AND(M$2&lt;&gt;0,TblTech[[#This Row],[Hour]:[Hour]]&gt;=M$2),1,0)</f>
        <v>0</v>
      </c>
      <c r="N8" s="276" cm="1">
        <f t="array" ref="N8">IF(AND(N$2&lt;&gt;0,TblTech[[#This Row],[Hour]:[Hour]]&gt;=N$2),1,0)</f>
        <v>0</v>
      </c>
      <c r="O8" s="276" cm="1">
        <f t="array" ref="O8">IF(AND(O$2&lt;&gt;0,TblTech[[#This Row],[Hour]:[Hour]]&gt;=O$2),1,0)</f>
        <v>0</v>
      </c>
      <c r="P8" s="276" cm="1">
        <f t="array" ref="P8">IF(AND(P$2&lt;&gt;0,TblTech[[#This Row],[Hour]:[Hour]]&gt;=P$2),1,0)</f>
        <v>0</v>
      </c>
      <c r="Q8" s="276" cm="1">
        <f t="array" ref="Q8">IF(AND(Q$2&lt;&gt;0,TblTech[[#This Row],[Hour]:[Hour]]&gt;=Q$2),1,0)</f>
        <v>0</v>
      </c>
      <c r="R8" s="276" cm="1">
        <f t="array" ref="R8">IF(AND(R$2&lt;&gt;0,TblTech[[#This Row],[Hour]:[Hour]]&gt;=R$2),1,0)</f>
        <v>0</v>
      </c>
      <c r="S8" s="276" cm="1">
        <f t="array" ref="S8">IF(AND(S$2&lt;&gt;0,TblTech[[#This Row],[Hour]:[Hour]]&gt;=S$2),1,0)</f>
        <v>0</v>
      </c>
      <c r="T8" s="276" cm="1">
        <f t="array" ref="T8">IF(AND(T$2&lt;&gt;0,TblTech[[#This Row],[Hour]:[Hour]]&gt;=T$2),1,0)</f>
        <v>0</v>
      </c>
      <c r="U8" s="276" cm="1">
        <f t="array" ref="U8">IF(AND(U$2&lt;&gt;0,TblTech[[#This Row],[Hour]:[Hour]]&gt;=U$2),1,0)</f>
        <v>0</v>
      </c>
      <c r="V8" s="276" cm="1">
        <f t="array" ref="V8">IF(AND(V$2&lt;&gt;0,TblTech[[#This Row],[Hour]:[Hour]]&gt;=V$2),1,0)</f>
        <v>0</v>
      </c>
      <c r="W8" s="276" cm="1">
        <f t="array" ref="W8">IF(AND(W$2&lt;&gt;0,TblTech[[#This Row],[Hour]:[Hour]]&gt;=W$2),1,0)</f>
        <v>0</v>
      </c>
      <c r="X8" s="276" cm="1">
        <f t="array" ref="X8">IF(AND(X$2&lt;&gt;0,TblTech[[#This Row],[Hour]:[Hour]]&gt;=X$2),1,0)</f>
        <v>0</v>
      </c>
      <c r="Y8" s="276" cm="1">
        <f t="array" ref="Y8">IF(AND(Y$2&lt;&gt;0,TblTech[[#This Row],[Hour]:[Hour]]&gt;=Y$2),1,0)</f>
        <v>0</v>
      </c>
      <c r="Z8" s="276" cm="1">
        <f t="array" ref="Z8">IF(AND(Z$2&lt;&gt;0,TblTech[[#This Row],[Hour]:[Hour]]&gt;=Z$2),1,0)</f>
        <v>0</v>
      </c>
      <c r="AA8" s="276" cm="1">
        <f t="array" ref="AA8">IF(AND(AA$2&lt;&gt;0,TblTech[[#This Row],[Hour]:[Hour]]&gt;=AA$2),1,0)</f>
        <v>0</v>
      </c>
      <c r="AB8" s="276" cm="1">
        <f t="array" ref="AB8">IF(AND(AB$2&lt;&gt;0,TblTech[[#This Row],[Hour]:[Hour]]&gt;=AB$2),1,0)</f>
        <v>0</v>
      </c>
      <c r="AC8" s="276" cm="1">
        <f t="array" ref="AC8">IF(AND(AC$2&lt;&gt;0,TblTech[[#This Row],[Hour]:[Hour]]&gt;=AC$2),1,0)</f>
        <v>0</v>
      </c>
      <c r="AD8" s="276" cm="1">
        <f t="array" ref="AD8">IF(AND(AD$2&lt;&gt;0,TblTech[[#This Row],[Hour]:[Hour]]&gt;=AD$2),1,0)</f>
        <v>0</v>
      </c>
      <c r="AE8" s="276" cm="1">
        <f t="array" ref="AE8">IF(AND(AE$2&lt;&gt;0,TblTech[[#This Row],[Hour]:[Hour]]&gt;=AE$2),1,0)</f>
        <v>0</v>
      </c>
      <c r="AF8" s="276" cm="1">
        <f t="array" ref="AF8">IF(AND(AF$2&lt;&gt;0,TblTech[[#This Row],[Hour]:[Hour]]&gt;=AF$2),1,0)</f>
        <v>0</v>
      </c>
      <c r="AG8" s="276" cm="1">
        <f t="array" ref="AG8">IF(AND(AG$2&lt;&gt;0,TblTech[[#This Row],[Hour]:[Hour]]&gt;=AG$2),1,0)</f>
        <v>0</v>
      </c>
      <c r="AH8" s="276" cm="1">
        <f t="array" ref="AH8">IF(AND(AH$2&lt;&gt;0,TblTech[[#This Row],[Hour]:[Hour]]&gt;=AH$2),1,0)</f>
        <v>0</v>
      </c>
      <c r="AI8" s="276" cm="1">
        <f t="array" ref="AI8">IF(AND(AI$2&lt;&gt;0,TblTech[[#This Row],[Hour]:[Hour]]&gt;=AI$2),1,0)</f>
        <v>0</v>
      </c>
      <c r="AJ8" s="276" cm="1">
        <f t="array" ref="AJ8">IF(AND(AJ$2&lt;&gt;0,TblTech[[#This Row],[Hour]:[Hour]]&gt;=AJ$2),1,0)</f>
        <v>0</v>
      </c>
      <c r="AK8" s="276" cm="1">
        <f t="array" ref="AK8">IF(AND(AK$2&lt;&gt;0,TblTech[[#This Row],[Hour]:[Hour]]&gt;=AK$2),1,0)</f>
        <v>0</v>
      </c>
      <c r="AL8" s="276" cm="1">
        <f t="array" ref="AL8">IF(AND(AL$2&lt;&gt;0,TblTech[[#This Row],[Hour]:[Hour]]&gt;=AL$2),1,0)</f>
        <v>0</v>
      </c>
      <c r="AM8" s="276" cm="1">
        <f t="array" ref="AM8">IF(AND(AM$2&lt;&gt;0,TblTech[[#This Row],[Hour]:[Hour]]&gt;=AM$2),1,0)</f>
        <v>0</v>
      </c>
      <c r="AN8" s="276" cm="1">
        <f t="array" ref="AN8">IF(AND(AN$2&lt;&gt;0,TblTech[[#This Row],[Hour]:[Hour]]&gt;=AN$2),1,0)</f>
        <v>0</v>
      </c>
      <c r="AO8" s="276" cm="1">
        <f t="array" ref="AO8">IF(AND(AO$2&lt;&gt;0,TblTech[[#This Row],[Hour]:[Hour]]&gt;=AO$2),1,0)</f>
        <v>0</v>
      </c>
      <c r="AP8" s="276" cm="1">
        <f t="array" ref="AP8">IF(AND(AP$2&lt;&gt;0,TblTech[[#This Row],[Hour]:[Hour]]&gt;=AP$2),1,0)</f>
        <v>0</v>
      </c>
      <c r="AQ8" s="276" cm="1">
        <f t="array" ref="AQ8">IF(AND(AQ$2&lt;&gt;0,TblTech[[#This Row],[Hour]:[Hour]]&gt;=AQ$2),1,0)</f>
        <v>0</v>
      </c>
      <c r="AR8" s="276" cm="1">
        <f t="array" ref="AR8">IF(AND(AR$2&lt;&gt;0,TblTech[[#This Row],[Hour]:[Hour]]&gt;=AR$2),1,0)</f>
        <v>0</v>
      </c>
      <c r="AS8" s="276" cm="1">
        <f t="array" ref="AS8">IF(AND(AS$2&lt;&gt;0,TblTech[[#This Row],[Hour]:[Hour]]&gt;=AS$2),1,0)</f>
        <v>0</v>
      </c>
      <c r="AT8" s="276" cm="1">
        <f t="array" ref="AT8">IF(AND(AT$2&lt;&gt;0,TblTech[[#This Row],[Hour]:[Hour]]&gt;=AT$2),1,0)</f>
        <v>0</v>
      </c>
      <c r="AU8" s="276" cm="1">
        <f t="array" ref="AU8">IF(AND(AU$2&lt;&gt;0,TblTech[[#This Row],[Hour]:[Hour]]&gt;=AU$2),1,0)</f>
        <v>0</v>
      </c>
      <c r="AV8" s="276" cm="1">
        <f t="array" ref="AV8">IF(AND(AV$2&lt;&gt;0,TblTech[[#This Row],[Hour]:[Hour]]&gt;=AV$2),1,0)</f>
        <v>0</v>
      </c>
      <c r="AW8" s="276" cm="1">
        <f t="array" ref="AW8">IF(AND(AW$2&lt;&gt;0,TblTech[[#This Row],[Hour]:[Hour]]&gt;=AW$2),1,0)</f>
        <v>0</v>
      </c>
      <c r="AX8" s="276" cm="1">
        <f t="array" ref="AX8">IF(AND(AX$2&lt;&gt;0,TblTech[[#This Row],[Hour]:[Hour]]&gt;=AX$2),1,0)</f>
        <v>0</v>
      </c>
      <c r="AY8" s="276" cm="1">
        <f t="array" ref="AY8">IF(AND(AY$2&lt;&gt;0,TblTech[[#This Row],[Hour]:[Hour]]&gt;=AY$2),1,0)</f>
        <v>0</v>
      </c>
      <c r="AZ8" s="276" cm="1">
        <f t="array" ref="AZ8">IF(AND(AZ$2&lt;&gt;0,TblTech[[#This Row],[Hour]:[Hour]]&gt;=AZ$2),1,0)</f>
        <v>0</v>
      </c>
      <c r="BA8" s="276" cm="1">
        <f t="array" ref="BA8">IF(AND(BA$2&lt;&gt;0,TblTech[[#This Row],[Hour]:[Hour]]&gt;=BA$2),1,0)</f>
        <v>0</v>
      </c>
      <c r="BB8" s="276" cm="1">
        <f t="array" ref="BB8">IF(AND(BB$2&lt;&gt;0,TblTech[[#This Row],[Hour]:[Hour]]&gt;=BB$2),1,0)</f>
        <v>0</v>
      </c>
      <c r="BC8" s="276" cm="1">
        <f t="array" ref="BC8">IF(AND(BC$2&lt;&gt;0,TblTech[[#This Row],[Hour]:[Hour]]&gt;=BC$2),1,0)</f>
        <v>0</v>
      </c>
      <c r="BD8" s="276" cm="1">
        <f t="array" ref="BD8">IF(AND(BD$2&lt;&gt;0,TblTech[[#This Row],[Hour]:[Hour]]&gt;=BD$2),1,0)</f>
        <v>0</v>
      </c>
      <c r="BE8" s="276" cm="1">
        <f t="array" ref="BE8">IF(AND(BE$2&lt;&gt;0,TblTech[[#This Row],[Hour]:[Hour]]&gt;=BE$2),1,0)</f>
        <v>0</v>
      </c>
      <c r="BF8" s="276" cm="1">
        <f t="array" ref="BF8">IF(AND(BF$2&lt;&gt;0,TblTech[[#This Row],[Hour]:[Hour]]&gt;=BF$2),1,0)</f>
        <v>0</v>
      </c>
      <c r="BG8" s="276" cm="1">
        <f t="array" ref="BG8">IF(AND(BG$2&lt;&gt;0,TblTech[[#This Row],[Hour]:[Hour]]&gt;=BG$2),1,0)</f>
        <v>0</v>
      </c>
      <c r="BH8" s="276" cm="1">
        <f t="array" ref="BH8">IF(AND(BH$2&lt;&gt;0,TblTech[[#This Row],[Hour]:[Hour]]&gt;=BH$2),1,0)</f>
        <v>0</v>
      </c>
      <c r="BI8" s="276" cm="1">
        <f t="array" ref="BI8">IF(AND(BI$2&lt;&gt;0,TblTech[[#This Row],[Hour]:[Hour]]&gt;=BI$2),1,0)</f>
        <v>0</v>
      </c>
      <c r="BJ8" s="276" cm="1">
        <f t="array" ref="BJ8">IF(AND(BJ$2&lt;&gt;0,TblTech[[#This Row],[Hour]:[Hour]]&gt;=BJ$2),1,0)</f>
        <v>0</v>
      </c>
      <c r="BK8" s="276" cm="1">
        <f t="array" ref="BK8">IF(AND(BK$2&lt;&gt;0,TblTech[[#This Row],[Hour]:[Hour]]&gt;=BK$2),1,0)</f>
        <v>0</v>
      </c>
      <c r="BL8" s="276" cm="1">
        <f t="array" ref="BL8">IF(AND(BL$2&lt;&gt;0,TblTech[[#This Row],[Hour]:[Hour]]&gt;=BL$2),1,0)</f>
        <v>0</v>
      </c>
      <c r="BM8" s="276" cm="1">
        <f t="array" ref="BM8">IF(AND(BM$2&lt;&gt;0,TblTech[[#This Row],[Hour]:[Hour]]&gt;=BM$2),1,0)</f>
        <v>0</v>
      </c>
      <c r="BN8" s="276" cm="1">
        <f t="array" ref="BN8">IF(AND(BN$2&lt;&gt;0,TblTech[[#This Row],[Hour]:[Hour]]&gt;=BN$2),1,0)</f>
        <v>0</v>
      </c>
      <c r="BO8" s="276" cm="1">
        <f t="array" ref="BO8">IF(AND(BO$2&lt;&gt;0,TblTech[[#This Row],[Hour]:[Hour]]&gt;=BO$2),1,0)</f>
        <v>0</v>
      </c>
      <c r="BP8" s="276" cm="1">
        <f t="array" ref="BP8">IF(AND(BP$2&lt;&gt;0,TblTech[[#This Row],[Hour]:[Hour]]&gt;=BP$2),1,0)</f>
        <v>0</v>
      </c>
      <c r="BQ8" s="276" cm="1">
        <f t="array" ref="BQ8">IF(AND(BQ$2&lt;&gt;0,TblTech[[#This Row],[Hour]:[Hour]]&gt;=BQ$2),1,0)</f>
        <v>0</v>
      </c>
      <c r="BR8" s="276" cm="1">
        <f t="array" ref="BR8">IF(AND(BR$2&lt;&gt;0,TblTech[[#This Row],[Hour]:[Hour]]&gt;=BR$2),1,0)</f>
        <v>0</v>
      </c>
      <c r="BS8" s="276" cm="1">
        <f t="array" ref="BS8">IF(AND(BS$2&lt;&gt;0,TblTech[[#This Row],[Hour]:[Hour]]&gt;=BS$2),1,0)</f>
        <v>0</v>
      </c>
      <c r="BT8" s="276" cm="1">
        <f t="array" ref="BT8">IF(AND(BT$2&lt;&gt;0,TblTech[[#This Row],[Hour]:[Hour]]&gt;=BT$2),1,0)</f>
        <v>0</v>
      </c>
      <c r="BU8" s="276" cm="1">
        <f t="array" ref="BU8">IF(AND(BU$2&lt;&gt;0,TblTech[[#This Row],[Hour]:[Hour]]&gt;=BU$2),1,0)</f>
        <v>0</v>
      </c>
      <c r="BV8" s="276" cm="1">
        <f t="array" ref="BV8">IF(AND(BV$2&lt;&gt;0,TblTech[[#This Row],[Hour]:[Hour]]&gt;=BV$2),1,0)</f>
        <v>0</v>
      </c>
      <c r="BW8" s="276" cm="1">
        <f t="array" ref="BW8">IF(AND(BW$2&lt;&gt;0,TblTech[[#This Row],[Hour]:[Hour]]&gt;=BW$2),1,0)</f>
        <v>0</v>
      </c>
      <c r="BX8" s="276" cm="1">
        <f t="array" ref="BX8">IF(AND(BX$2&lt;&gt;0,TblTech[[#This Row],[Hour]:[Hour]]&gt;=BX$2),1,0)</f>
        <v>0</v>
      </c>
      <c r="BY8" s="276" cm="1">
        <f t="array" ref="BY8">IF(AND(BY$2&lt;&gt;0,TblTech[[#This Row],[Hour]:[Hour]]&gt;=BY$2),1,0)</f>
        <v>0</v>
      </c>
      <c r="BZ8" s="276" cm="1">
        <f t="array" ref="BZ8">IF(AND(BZ$2&lt;&gt;0,TblTech[[#This Row],[Hour]:[Hour]]&gt;=BZ$2),1,0)</f>
        <v>0</v>
      </c>
      <c r="CA8" s="377">
        <f>IFERROR(INDEX($H$4:$H$79,MATCH(INDEX(TblTech[[#Headers],[1-1]:[11-1]],1,MATCH(TblTech[[#This Row],[Hour]],$M$2:$BZ$2,0)),$G$4:$G$79,0)),)</f>
        <v>0</v>
      </c>
    </row>
    <row r="9" spans="1:79" x14ac:dyDescent="0.2">
      <c r="A9" s="268">
        <f>TblRezone[[#This Row],[Hour]]</f>
        <v>6</v>
      </c>
      <c r="B9" s="269">
        <f ca="1">TblExplore[[#This Row],[Land-DB]]</f>
        <v>50</v>
      </c>
      <c r="C9" s="270">
        <f ca="1">TblProd[[#This Row],[Techpoints]]</f>
        <v>0</v>
      </c>
      <c r="D9" s="270">
        <f ca="1">TblProd[[#This Row],[Required]]</f>
        <v>3750</v>
      </c>
      <c r="E9" s="271"/>
      <c r="F9" s="272"/>
      <c r="G9" s="273" t="s">
        <v>543</v>
      </c>
      <c r="H9" s="274" t="s">
        <v>691</v>
      </c>
      <c r="I9" s="273" t="s">
        <v>558</v>
      </c>
      <c r="J9" s="269"/>
      <c r="K9" s="93">
        <f ca="1">IF(TblTech[[#This Row],[Sum of tech]]&lt;&gt;OFFSET(TblTech[[#This Row],[Sum of tech]],-1,0),1,0)</f>
        <v>0</v>
      </c>
      <c r="L9" s="275">
        <f>COUNTIF(TblTech[[#This Row],[1-1]:[11-1]],1)</f>
        <v>0</v>
      </c>
      <c r="M9" s="276" cm="1">
        <f t="array" ref="M9">IF(AND(M$2&lt;&gt;0,TblTech[[#This Row],[Hour]:[Hour]]&gt;=M$2),1,0)</f>
        <v>0</v>
      </c>
      <c r="N9" s="276" cm="1">
        <f t="array" ref="N9">IF(AND(N$2&lt;&gt;0,TblTech[[#This Row],[Hour]:[Hour]]&gt;=N$2),1,0)</f>
        <v>0</v>
      </c>
      <c r="O9" s="276" cm="1">
        <f t="array" ref="O9">IF(AND(O$2&lt;&gt;0,TblTech[[#This Row],[Hour]:[Hour]]&gt;=O$2),1,0)</f>
        <v>0</v>
      </c>
      <c r="P9" s="276" cm="1">
        <f t="array" ref="P9">IF(AND(P$2&lt;&gt;0,TblTech[[#This Row],[Hour]:[Hour]]&gt;=P$2),1,0)</f>
        <v>0</v>
      </c>
      <c r="Q9" s="276" cm="1">
        <f t="array" ref="Q9">IF(AND(Q$2&lt;&gt;0,TblTech[[#This Row],[Hour]:[Hour]]&gt;=Q$2),1,0)</f>
        <v>0</v>
      </c>
      <c r="R9" s="276" cm="1">
        <f t="array" ref="R9">IF(AND(R$2&lt;&gt;0,TblTech[[#This Row],[Hour]:[Hour]]&gt;=R$2),1,0)</f>
        <v>0</v>
      </c>
      <c r="S9" s="276" cm="1">
        <f t="array" ref="S9">IF(AND(S$2&lt;&gt;0,TblTech[[#This Row],[Hour]:[Hour]]&gt;=S$2),1,0)</f>
        <v>0</v>
      </c>
      <c r="T9" s="276" cm="1">
        <f t="array" ref="T9">IF(AND(T$2&lt;&gt;0,TblTech[[#This Row],[Hour]:[Hour]]&gt;=T$2),1,0)</f>
        <v>0</v>
      </c>
      <c r="U9" s="276" cm="1">
        <f t="array" ref="U9">IF(AND(U$2&lt;&gt;0,TblTech[[#This Row],[Hour]:[Hour]]&gt;=U$2),1,0)</f>
        <v>0</v>
      </c>
      <c r="V9" s="276" cm="1">
        <f t="array" ref="V9">IF(AND(V$2&lt;&gt;0,TblTech[[#This Row],[Hour]:[Hour]]&gt;=V$2),1,0)</f>
        <v>0</v>
      </c>
      <c r="W9" s="276" cm="1">
        <f t="array" ref="W9">IF(AND(W$2&lt;&gt;0,TblTech[[#This Row],[Hour]:[Hour]]&gt;=W$2),1,0)</f>
        <v>0</v>
      </c>
      <c r="X9" s="276" cm="1">
        <f t="array" ref="X9">IF(AND(X$2&lt;&gt;0,TblTech[[#This Row],[Hour]:[Hour]]&gt;=X$2),1,0)</f>
        <v>0</v>
      </c>
      <c r="Y9" s="276" cm="1">
        <f t="array" ref="Y9">IF(AND(Y$2&lt;&gt;0,TblTech[[#This Row],[Hour]:[Hour]]&gt;=Y$2),1,0)</f>
        <v>0</v>
      </c>
      <c r="Z9" s="276" cm="1">
        <f t="array" ref="Z9">IF(AND(Z$2&lt;&gt;0,TblTech[[#This Row],[Hour]:[Hour]]&gt;=Z$2),1,0)</f>
        <v>0</v>
      </c>
      <c r="AA9" s="276" cm="1">
        <f t="array" ref="AA9">IF(AND(AA$2&lt;&gt;0,TblTech[[#This Row],[Hour]:[Hour]]&gt;=AA$2),1,0)</f>
        <v>0</v>
      </c>
      <c r="AB9" s="276" cm="1">
        <f t="array" ref="AB9">IF(AND(AB$2&lt;&gt;0,TblTech[[#This Row],[Hour]:[Hour]]&gt;=AB$2),1,0)</f>
        <v>0</v>
      </c>
      <c r="AC9" s="276" cm="1">
        <f t="array" ref="AC9">IF(AND(AC$2&lt;&gt;0,TblTech[[#This Row],[Hour]:[Hour]]&gt;=AC$2),1,0)</f>
        <v>0</v>
      </c>
      <c r="AD9" s="276" cm="1">
        <f t="array" ref="AD9">IF(AND(AD$2&lt;&gt;0,TblTech[[#This Row],[Hour]:[Hour]]&gt;=AD$2),1,0)</f>
        <v>0</v>
      </c>
      <c r="AE9" s="276" cm="1">
        <f t="array" ref="AE9">IF(AND(AE$2&lt;&gt;0,TblTech[[#This Row],[Hour]:[Hour]]&gt;=AE$2),1,0)</f>
        <v>0</v>
      </c>
      <c r="AF9" s="276" cm="1">
        <f t="array" ref="AF9">IF(AND(AF$2&lt;&gt;0,TblTech[[#This Row],[Hour]:[Hour]]&gt;=AF$2),1,0)</f>
        <v>0</v>
      </c>
      <c r="AG9" s="276" cm="1">
        <f t="array" ref="AG9">IF(AND(AG$2&lt;&gt;0,TblTech[[#This Row],[Hour]:[Hour]]&gt;=AG$2),1,0)</f>
        <v>0</v>
      </c>
      <c r="AH9" s="276" cm="1">
        <f t="array" ref="AH9">IF(AND(AH$2&lt;&gt;0,TblTech[[#This Row],[Hour]:[Hour]]&gt;=AH$2),1,0)</f>
        <v>0</v>
      </c>
      <c r="AI9" s="276" cm="1">
        <f t="array" ref="AI9">IF(AND(AI$2&lt;&gt;0,TblTech[[#This Row],[Hour]:[Hour]]&gt;=AI$2),1,0)</f>
        <v>0</v>
      </c>
      <c r="AJ9" s="276" cm="1">
        <f t="array" ref="AJ9">IF(AND(AJ$2&lt;&gt;0,TblTech[[#This Row],[Hour]:[Hour]]&gt;=AJ$2),1,0)</f>
        <v>0</v>
      </c>
      <c r="AK9" s="276" cm="1">
        <f t="array" ref="AK9">IF(AND(AK$2&lt;&gt;0,TblTech[[#This Row],[Hour]:[Hour]]&gt;=AK$2),1,0)</f>
        <v>0</v>
      </c>
      <c r="AL9" s="276" cm="1">
        <f t="array" ref="AL9">IF(AND(AL$2&lt;&gt;0,TblTech[[#This Row],[Hour]:[Hour]]&gt;=AL$2),1,0)</f>
        <v>0</v>
      </c>
      <c r="AM9" s="276" cm="1">
        <f t="array" ref="AM9">IF(AND(AM$2&lt;&gt;0,TblTech[[#This Row],[Hour]:[Hour]]&gt;=AM$2),1,0)</f>
        <v>0</v>
      </c>
      <c r="AN9" s="276" cm="1">
        <f t="array" ref="AN9">IF(AND(AN$2&lt;&gt;0,TblTech[[#This Row],[Hour]:[Hour]]&gt;=AN$2),1,0)</f>
        <v>0</v>
      </c>
      <c r="AO9" s="276" cm="1">
        <f t="array" ref="AO9">IF(AND(AO$2&lt;&gt;0,TblTech[[#This Row],[Hour]:[Hour]]&gt;=AO$2),1,0)</f>
        <v>0</v>
      </c>
      <c r="AP9" s="276" cm="1">
        <f t="array" ref="AP9">IF(AND(AP$2&lt;&gt;0,TblTech[[#This Row],[Hour]:[Hour]]&gt;=AP$2),1,0)</f>
        <v>0</v>
      </c>
      <c r="AQ9" s="276" cm="1">
        <f t="array" ref="AQ9">IF(AND(AQ$2&lt;&gt;0,TblTech[[#This Row],[Hour]:[Hour]]&gt;=AQ$2),1,0)</f>
        <v>0</v>
      </c>
      <c r="AR9" s="276" cm="1">
        <f t="array" ref="AR9">IF(AND(AR$2&lt;&gt;0,TblTech[[#This Row],[Hour]:[Hour]]&gt;=AR$2),1,0)</f>
        <v>0</v>
      </c>
      <c r="AS9" s="276" cm="1">
        <f t="array" ref="AS9">IF(AND(AS$2&lt;&gt;0,TblTech[[#This Row],[Hour]:[Hour]]&gt;=AS$2),1,0)</f>
        <v>0</v>
      </c>
      <c r="AT9" s="276" cm="1">
        <f t="array" ref="AT9">IF(AND(AT$2&lt;&gt;0,TblTech[[#This Row],[Hour]:[Hour]]&gt;=AT$2),1,0)</f>
        <v>0</v>
      </c>
      <c r="AU9" s="276" cm="1">
        <f t="array" ref="AU9">IF(AND(AU$2&lt;&gt;0,TblTech[[#This Row],[Hour]:[Hour]]&gt;=AU$2),1,0)</f>
        <v>0</v>
      </c>
      <c r="AV9" s="276" cm="1">
        <f t="array" ref="AV9">IF(AND(AV$2&lt;&gt;0,TblTech[[#This Row],[Hour]:[Hour]]&gt;=AV$2),1,0)</f>
        <v>0</v>
      </c>
      <c r="AW9" s="276" cm="1">
        <f t="array" ref="AW9">IF(AND(AW$2&lt;&gt;0,TblTech[[#This Row],[Hour]:[Hour]]&gt;=AW$2),1,0)</f>
        <v>0</v>
      </c>
      <c r="AX9" s="276" cm="1">
        <f t="array" ref="AX9">IF(AND(AX$2&lt;&gt;0,TblTech[[#This Row],[Hour]:[Hour]]&gt;=AX$2),1,0)</f>
        <v>0</v>
      </c>
      <c r="AY9" s="276" cm="1">
        <f t="array" ref="AY9">IF(AND(AY$2&lt;&gt;0,TblTech[[#This Row],[Hour]:[Hour]]&gt;=AY$2),1,0)</f>
        <v>0</v>
      </c>
      <c r="AZ9" s="276" cm="1">
        <f t="array" ref="AZ9">IF(AND(AZ$2&lt;&gt;0,TblTech[[#This Row],[Hour]:[Hour]]&gt;=AZ$2),1,0)</f>
        <v>0</v>
      </c>
      <c r="BA9" s="276" cm="1">
        <f t="array" ref="BA9">IF(AND(BA$2&lt;&gt;0,TblTech[[#This Row],[Hour]:[Hour]]&gt;=BA$2),1,0)</f>
        <v>0</v>
      </c>
      <c r="BB9" s="276" cm="1">
        <f t="array" ref="BB9">IF(AND(BB$2&lt;&gt;0,TblTech[[#This Row],[Hour]:[Hour]]&gt;=BB$2),1,0)</f>
        <v>0</v>
      </c>
      <c r="BC9" s="276" cm="1">
        <f t="array" ref="BC9">IF(AND(BC$2&lt;&gt;0,TblTech[[#This Row],[Hour]:[Hour]]&gt;=BC$2),1,0)</f>
        <v>0</v>
      </c>
      <c r="BD9" s="276" cm="1">
        <f t="array" ref="BD9">IF(AND(BD$2&lt;&gt;0,TblTech[[#This Row],[Hour]:[Hour]]&gt;=BD$2),1,0)</f>
        <v>0</v>
      </c>
      <c r="BE9" s="276" cm="1">
        <f t="array" ref="BE9">IF(AND(BE$2&lt;&gt;0,TblTech[[#This Row],[Hour]:[Hour]]&gt;=BE$2),1,0)</f>
        <v>0</v>
      </c>
      <c r="BF9" s="276" cm="1">
        <f t="array" ref="BF9">IF(AND(BF$2&lt;&gt;0,TblTech[[#This Row],[Hour]:[Hour]]&gt;=BF$2),1,0)</f>
        <v>0</v>
      </c>
      <c r="BG9" s="276" cm="1">
        <f t="array" ref="BG9">IF(AND(BG$2&lt;&gt;0,TblTech[[#This Row],[Hour]:[Hour]]&gt;=BG$2),1,0)</f>
        <v>0</v>
      </c>
      <c r="BH9" s="276" cm="1">
        <f t="array" ref="BH9">IF(AND(BH$2&lt;&gt;0,TblTech[[#This Row],[Hour]:[Hour]]&gt;=BH$2),1,0)</f>
        <v>0</v>
      </c>
      <c r="BI9" s="276" cm="1">
        <f t="array" ref="BI9">IF(AND(BI$2&lt;&gt;0,TblTech[[#This Row],[Hour]:[Hour]]&gt;=BI$2),1,0)</f>
        <v>0</v>
      </c>
      <c r="BJ9" s="276" cm="1">
        <f t="array" ref="BJ9">IF(AND(BJ$2&lt;&gt;0,TblTech[[#This Row],[Hour]:[Hour]]&gt;=BJ$2),1,0)</f>
        <v>0</v>
      </c>
      <c r="BK9" s="276" cm="1">
        <f t="array" ref="BK9">IF(AND(BK$2&lt;&gt;0,TblTech[[#This Row],[Hour]:[Hour]]&gt;=BK$2),1,0)</f>
        <v>0</v>
      </c>
      <c r="BL9" s="276" cm="1">
        <f t="array" ref="BL9">IF(AND(BL$2&lt;&gt;0,TblTech[[#This Row],[Hour]:[Hour]]&gt;=BL$2),1,0)</f>
        <v>0</v>
      </c>
      <c r="BM9" s="276" cm="1">
        <f t="array" ref="BM9">IF(AND(BM$2&lt;&gt;0,TblTech[[#This Row],[Hour]:[Hour]]&gt;=BM$2),1,0)</f>
        <v>0</v>
      </c>
      <c r="BN9" s="276" cm="1">
        <f t="array" ref="BN9">IF(AND(BN$2&lt;&gt;0,TblTech[[#This Row],[Hour]:[Hour]]&gt;=BN$2),1,0)</f>
        <v>0</v>
      </c>
      <c r="BO9" s="276" cm="1">
        <f t="array" ref="BO9">IF(AND(BO$2&lt;&gt;0,TblTech[[#This Row],[Hour]:[Hour]]&gt;=BO$2),1,0)</f>
        <v>0</v>
      </c>
      <c r="BP9" s="276" cm="1">
        <f t="array" ref="BP9">IF(AND(BP$2&lt;&gt;0,TblTech[[#This Row],[Hour]:[Hour]]&gt;=BP$2),1,0)</f>
        <v>0</v>
      </c>
      <c r="BQ9" s="276" cm="1">
        <f t="array" ref="BQ9">IF(AND(BQ$2&lt;&gt;0,TblTech[[#This Row],[Hour]:[Hour]]&gt;=BQ$2),1,0)</f>
        <v>0</v>
      </c>
      <c r="BR9" s="276" cm="1">
        <f t="array" ref="BR9">IF(AND(BR$2&lt;&gt;0,TblTech[[#This Row],[Hour]:[Hour]]&gt;=BR$2),1,0)</f>
        <v>0</v>
      </c>
      <c r="BS9" s="276" cm="1">
        <f t="array" ref="BS9">IF(AND(BS$2&lt;&gt;0,TblTech[[#This Row],[Hour]:[Hour]]&gt;=BS$2),1,0)</f>
        <v>0</v>
      </c>
      <c r="BT9" s="276" cm="1">
        <f t="array" ref="BT9">IF(AND(BT$2&lt;&gt;0,TblTech[[#This Row],[Hour]:[Hour]]&gt;=BT$2),1,0)</f>
        <v>0</v>
      </c>
      <c r="BU9" s="276" cm="1">
        <f t="array" ref="BU9">IF(AND(BU$2&lt;&gt;0,TblTech[[#This Row],[Hour]:[Hour]]&gt;=BU$2),1,0)</f>
        <v>0</v>
      </c>
      <c r="BV9" s="276" cm="1">
        <f t="array" ref="BV9">IF(AND(BV$2&lt;&gt;0,TblTech[[#This Row],[Hour]:[Hour]]&gt;=BV$2),1,0)</f>
        <v>0</v>
      </c>
      <c r="BW9" s="276" cm="1">
        <f t="array" ref="BW9">IF(AND(BW$2&lt;&gt;0,TblTech[[#This Row],[Hour]:[Hour]]&gt;=BW$2),1,0)</f>
        <v>0</v>
      </c>
      <c r="BX9" s="276" cm="1">
        <f t="array" ref="BX9">IF(AND(BX$2&lt;&gt;0,TblTech[[#This Row],[Hour]:[Hour]]&gt;=BX$2),1,0)</f>
        <v>0</v>
      </c>
      <c r="BY9" s="276" cm="1">
        <f t="array" ref="BY9">IF(AND(BY$2&lt;&gt;0,TblTech[[#This Row],[Hour]:[Hour]]&gt;=BY$2),1,0)</f>
        <v>0</v>
      </c>
      <c r="BZ9" s="276" cm="1">
        <f t="array" ref="BZ9">IF(AND(BZ$2&lt;&gt;0,TblTech[[#This Row],[Hour]:[Hour]]&gt;=BZ$2),1,0)</f>
        <v>0</v>
      </c>
      <c r="CA9" s="377">
        <f>IFERROR(INDEX($H$4:$H$79,MATCH(INDEX(TblTech[[#Headers],[1-1]:[11-1]],1,MATCH(TblTech[[#This Row],[Hour]],$M$2:$BZ$2,0)),$G$4:$G$79,0)),)</f>
        <v>0</v>
      </c>
    </row>
    <row r="10" spans="1:79" x14ac:dyDescent="0.2">
      <c r="A10" s="268">
        <f>TblRezone[[#This Row],[Hour]]</f>
        <v>7</v>
      </c>
      <c r="B10" s="269">
        <f ca="1">TblExplore[[#This Row],[Land-DB]]</f>
        <v>50</v>
      </c>
      <c r="C10" s="270">
        <f ca="1">TblProd[[#This Row],[Techpoints]]</f>
        <v>0</v>
      </c>
      <c r="D10" s="270">
        <f ca="1">TblProd[[#This Row],[Required]]</f>
        <v>3750</v>
      </c>
      <c r="E10" s="271"/>
      <c r="F10" s="272"/>
      <c r="G10" s="273" t="s">
        <v>544</v>
      </c>
      <c r="H10" s="274" t="s">
        <v>719</v>
      </c>
      <c r="I10" s="273" t="s">
        <v>1155</v>
      </c>
      <c r="J10" s="269"/>
      <c r="K10" s="93">
        <f ca="1">IF(TblTech[[#This Row],[Sum of tech]]&lt;&gt;OFFSET(TblTech[[#This Row],[Sum of tech]],-1,0),1,0)</f>
        <v>0</v>
      </c>
      <c r="L10" s="275">
        <f>COUNTIF(TblTech[[#This Row],[1-1]:[11-1]],1)</f>
        <v>0</v>
      </c>
      <c r="M10" s="276" cm="1">
        <f t="array" ref="M10">IF(AND(M$2&lt;&gt;0,TblTech[[#This Row],[Hour]:[Hour]]&gt;=M$2),1,0)</f>
        <v>0</v>
      </c>
      <c r="N10" s="276" cm="1">
        <f t="array" ref="N10">IF(AND(N$2&lt;&gt;0,TblTech[[#This Row],[Hour]:[Hour]]&gt;=N$2),1,0)</f>
        <v>0</v>
      </c>
      <c r="O10" s="276" cm="1">
        <f t="array" ref="O10">IF(AND(O$2&lt;&gt;0,TblTech[[#This Row],[Hour]:[Hour]]&gt;=O$2),1,0)</f>
        <v>0</v>
      </c>
      <c r="P10" s="276" cm="1">
        <f t="array" ref="P10">IF(AND(P$2&lt;&gt;0,TblTech[[#This Row],[Hour]:[Hour]]&gt;=P$2),1,0)</f>
        <v>0</v>
      </c>
      <c r="Q10" s="276" cm="1">
        <f t="array" ref="Q10">IF(AND(Q$2&lt;&gt;0,TblTech[[#This Row],[Hour]:[Hour]]&gt;=Q$2),1,0)</f>
        <v>0</v>
      </c>
      <c r="R10" s="276" cm="1">
        <f t="array" ref="R10">IF(AND(R$2&lt;&gt;0,TblTech[[#This Row],[Hour]:[Hour]]&gt;=R$2),1,0)</f>
        <v>0</v>
      </c>
      <c r="S10" s="276" cm="1">
        <f t="array" ref="S10">IF(AND(S$2&lt;&gt;0,TblTech[[#This Row],[Hour]:[Hour]]&gt;=S$2),1,0)</f>
        <v>0</v>
      </c>
      <c r="T10" s="276" cm="1">
        <f t="array" ref="T10">IF(AND(T$2&lt;&gt;0,TblTech[[#This Row],[Hour]:[Hour]]&gt;=T$2),1,0)</f>
        <v>0</v>
      </c>
      <c r="U10" s="276" cm="1">
        <f t="array" ref="U10">IF(AND(U$2&lt;&gt;0,TblTech[[#This Row],[Hour]:[Hour]]&gt;=U$2),1,0)</f>
        <v>0</v>
      </c>
      <c r="V10" s="276" cm="1">
        <f t="array" ref="V10">IF(AND(V$2&lt;&gt;0,TblTech[[#This Row],[Hour]:[Hour]]&gt;=V$2),1,0)</f>
        <v>0</v>
      </c>
      <c r="W10" s="276" cm="1">
        <f t="array" ref="W10">IF(AND(W$2&lt;&gt;0,TblTech[[#This Row],[Hour]:[Hour]]&gt;=W$2),1,0)</f>
        <v>0</v>
      </c>
      <c r="X10" s="276" cm="1">
        <f t="array" ref="X10">IF(AND(X$2&lt;&gt;0,TblTech[[#This Row],[Hour]:[Hour]]&gt;=X$2),1,0)</f>
        <v>0</v>
      </c>
      <c r="Y10" s="276" cm="1">
        <f t="array" ref="Y10">IF(AND(Y$2&lt;&gt;0,TblTech[[#This Row],[Hour]:[Hour]]&gt;=Y$2),1,0)</f>
        <v>0</v>
      </c>
      <c r="Z10" s="276" cm="1">
        <f t="array" ref="Z10">IF(AND(Z$2&lt;&gt;0,TblTech[[#This Row],[Hour]:[Hour]]&gt;=Z$2),1,0)</f>
        <v>0</v>
      </c>
      <c r="AA10" s="276" cm="1">
        <f t="array" ref="AA10">IF(AND(AA$2&lt;&gt;0,TblTech[[#This Row],[Hour]:[Hour]]&gt;=AA$2),1,0)</f>
        <v>0</v>
      </c>
      <c r="AB10" s="276" cm="1">
        <f t="array" ref="AB10">IF(AND(AB$2&lt;&gt;0,TblTech[[#This Row],[Hour]:[Hour]]&gt;=AB$2),1,0)</f>
        <v>0</v>
      </c>
      <c r="AC10" s="276" cm="1">
        <f t="array" ref="AC10">IF(AND(AC$2&lt;&gt;0,TblTech[[#This Row],[Hour]:[Hour]]&gt;=AC$2),1,0)</f>
        <v>0</v>
      </c>
      <c r="AD10" s="276" cm="1">
        <f t="array" ref="AD10">IF(AND(AD$2&lt;&gt;0,TblTech[[#This Row],[Hour]:[Hour]]&gt;=AD$2),1,0)</f>
        <v>0</v>
      </c>
      <c r="AE10" s="276" cm="1">
        <f t="array" ref="AE10">IF(AND(AE$2&lt;&gt;0,TblTech[[#This Row],[Hour]:[Hour]]&gt;=AE$2),1,0)</f>
        <v>0</v>
      </c>
      <c r="AF10" s="276" cm="1">
        <f t="array" ref="AF10">IF(AND(AF$2&lt;&gt;0,TblTech[[#This Row],[Hour]:[Hour]]&gt;=AF$2),1,0)</f>
        <v>0</v>
      </c>
      <c r="AG10" s="276" cm="1">
        <f t="array" ref="AG10">IF(AND(AG$2&lt;&gt;0,TblTech[[#This Row],[Hour]:[Hour]]&gt;=AG$2),1,0)</f>
        <v>0</v>
      </c>
      <c r="AH10" s="276" cm="1">
        <f t="array" ref="AH10">IF(AND(AH$2&lt;&gt;0,TblTech[[#This Row],[Hour]:[Hour]]&gt;=AH$2),1,0)</f>
        <v>0</v>
      </c>
      <c r="AI10" s="276" cm="1">
        <f t="array" ref="AI10">IF(AND(AI$2&lt;&gt;0,TblTech[[#This Row],[Hour]:[Hour]]&gt;=AI$2),1,0)</f>
        <v>0</v>
      </c>
      <c r="AJ10" s="276" cm="1">
        <f t="array" ref="AJ10">IF(AND(AJ$2&lt;&gt;0,TblTech[[#This Row],[Hour]:[Hour]]&gt;=AJ$2),1,0)</f>
        <v>0</v>
      </c>
      <c r="AK10" s="276" cm="1">
        <f t="array" ref="AK10">IF(AND(AK$2&lt;&gt;0,TblTech[[#This Row],[Hour]:[Hour]]&gt;=AK$2),1,0)</f>
        <v>0</v>
      </c>
      <c r="AL10" s="276" cm="1">
        <f t="array" ref="AL10">IF(AND(AL$2&lt;&gt;0,TblTech[[#This Row],[Hour]:[Hour]]&gt;=AL$2),1,0)</f>
        <v>0</v>
      </c>
      <c r="AM10" s="276" cm="1">
        <f t="array" ref="AM10">IF(AND(AM$2&lt;&gt;0,TblTech[[#This Row],[Hour]:[Hour]]&gt;=AM$2),1,0)</f>
        <v>0</v>
      </c>
      <c r="AN10" s="276" cm="1">
        <f t="array" ref="AN10">IF(AND(AN$2&lt;&gt;0,TblTech[[#This Row],[Hour]:[Hour]]&gt;=AN$2),1,0)</f>
        <v>0</v>
      </c>
      <c r="AO10" s="276" cm="1">
        <f t="array" ref="AO10">IF(AND(AO$2&lt;&gt;0,TblTech[[#This Row],[Hour]:[Hour]]&gt;=AO$2),1,0)</f>
        <v>0</v>
      </c>
      <c r="AP10" s="276" cm="1">
        <f t="array" ref="AP10">IF(AND(AP$2&lt;&gt;0,TblTech[[#This Row],[Hour]:[Hour]]&gt;=AP$2),1,0)</f>
        <v>0</v>
      </c>
      <c r="AQ10" s="276" cm="1">
        <f t="array" ref="AQ10">IF(AND(AQ$2&lt;&gt;0,TblTech[[#This Row],[Hour]:[Hour]]&gt;=AQ$2),1,0)</f>
        <v>0</v>
      </c>
      <c r="AR10" s="276" cm="1">
        <f t="array" ref="AR10">IF(AND(AR$2&lt;&gt;0,TblTech[[#This Row],[Hour]:[Hour]]&gt;=AR$2),1,0)</f>
        <v>0</v>
      </c>
      <c r="AS10" s="276" cm="1">
        <f t="array" ref="AS10">IF(AND(AS$2&lt;&gt;0,TblTech[[#This Row],[Hour]:[Hour]]&gt;=AS$2),1,0)</f>
        <v>0</v>
      </c>
      <c r="AT10" s="276" cm="1">
        <f t="array" ref="AT10">IF(AND(AT$2&lt;&gt;0,TblTech[[#This Row],[Hour]:[Hour]]&gt;=AT$2),1,0)</f>
        <v>0</v>
      </c>
      <c r="AU10" s="276" cm="1">
        <f t="array" ref="AU10">IF(AND(AU$2&lt;&gt;0,TblTech[[#This Row],[Hour]:[Hour]]&gt;=AU$2),1,0)</f>
        <v>0</v>
      </c>
      <c r="AV10" s="276" cm="1">
        <f t="array" ref="AV10">IF(AND(AV$2&lt;&gt;0,TblTech[[#This Row],[Hour]:[Hour]]&gt;=AV$2),1,0)</f>
        <v>0</v>
      </c>
      <c r="AW10" s="276" cm="1">
        <f t="array" ref="AW10">IF(AND(AW$2&lt;&gt;0,TblTech[[#This Row],[Hour]:[Hour]]&gt;=AW$2),1,0)</f>
        <v>0</v>
      </c>
      <c r="AX10" s="276" cm="1">
        <f t="array" ref="AX10">IF(AND(AX$2&lt;&gt;0,TblTech[[#This Row],[Hour]:[Hour]]&gt;=AX$2),1,0)</f>
        <v>0</v>
      </c>
      <c r="AY10" s="276" cm="1">
        <f t="array" ref="AY10">IF(AND(AY$2&lt;&gt;0,TblTech[[#This Row],[Hour]:[Hour]]&gt;=AY$2),1,0)</f>
        <v>0</v>
      </c>
      <c r="AZ10" s="276" cm="1">
        <f t="array" ref="AZ10">IF(AND(AZ$2&lt;&gt;0,TblTech[[#This Row],[Hour]:[Hour]]&gt;=AZ$2),1,0)</f>
        <v>0</v>
      </c>
      <c r="BA10" s="276" cm="1">
        <f t="array" ref="BA10">IF(AND(BA$2&lt;&gt;0,TblTech[[#This Row],[Hour]:[Hour]]&gt;=BA$2),1,0)</f>
        <v>0</v>
      </c>
      <c r="BB10" s="276" cm="1">
        <f t="array" ref="BB10">IF(AND(BB$2&lt;&gt;0,TblTech[[#This Row],[Hour]:[Hour]]&gt;=BB$2),1,0)</f>
        <v>0</v>
      </c>
      <c r="BC10" s="276" cm="1">
        <f t="array" ref="BC10">IF(AND(BC$2&lt;&gt;0,TblTech[[#This Row],[Hour]:[Hour]]&gt;=BC$2),1,0)</f>
        <v>0</v>
      </c>
      <c r="BD10" s="276" cm="1">
        <f t="array" ref="BD10">IF(AND(BD$2&lt;&gt;0,TblTech[[#This Row],[Hour]:[Hour]]&gt;=BD$2),1,0)</f>
        <v>0</v>
      </c>
      <c r="BE10" s="276" cm="1">
        <f t="array" ref="BE10">IF(AND(BE$2&lt;&gt;0,TblTech[[#This Row],[Hour]:[Hour]]&gt;=BE$2),1,0)</f>
        <v>0</v>
      </c>
      <c r="BF10" s="276" cm="1">
        <f t="array" ref="BF10">IF(AND(BF$2&lt;&gt;0,TblTech[[#This Row],[Hour]:[Hour]]&gt;=BF$2),1,0)</f>
        <v>0</v>
      </c>
      <c r="BG10" s="276" cm="1">
        <f t="array" ref="BG10">IF(AND(BG$2&lt;&gt;0,TblTech[[#This Row],[Hour]:[Hour]]&gt;=BG$2),1,0)</f>
        <v>0</v>
      </c>
      <c r="BH10" s="276" cm="1">
        <f t="array" ref="BH10">IF(AND(BH$2&lt;&gt;0,TblTech[[#This Row],[Hour]:[Hour]]&gt;=BH$2),1,0)</f>
        <v>0</v>
      </c>
      <c r="BI10" s="276" cm="1">
        <f t="array" ref="BI10">IF(AND(BI$2&lt;&gt;0,TblTech[[#This Row],[Hour]:[Hour]]&gt;=BI$2),1,0)</f>
        <v>0</v>
      </c>
      <c r="BJ10" s="276" cm="1">
        <f t="array" ref="BJ10">IF(AND(BJ$2&lt;&gt;0,TblTech[[#This Row],[Hour]:[Hour]]&gt;=BJ$2),1,0)</f>
        <v>0</v>
      </c>
      <c r="BK10" s="276" cm="1">
        <f t="array" ref="BK10">IF(AND(BK$2&lt;&gt;0,TblTech[[#This Row],[Hour]:[Hour]]&gt;=BK$2),1,0)</f>
        <v>0</v>
      </c>
      <c r="BL10" s="276" cm="1">
        <f t="array" ref="BL10">IF(AND(BL$2&lt;&gt;0,TblTech[[#This Row],[Hour]:[Hour]]&gt;=BL$2),1,0)</f>
        <v>0</v>
      </c>
      <c r="BM10" s="276" cm="1">
        <f t="array" ref="BM10">IF(AND(BM$2&lt;&gt;0,TblTech[[#This Row],[Hour]:[Hour]]&gt;=BM$2),1,0)</f>
        <v>0</v>
      </c>
      <c r="BN10" s="276" cm="1">
        <f t="array" ref="BN10">IF(AND(BN$2&lt;&gt;0,TblTech[[#This Row],[Hour]:[Hour]]&gt;=BN$2),1,0)</f>
        <v>0</v>
      </c>
      <c r="BO10" s="276" cm="1">
        <f t="array" ref="BO10">IF(AND(BO$2&lt;&gt;0,TblTech[[#This Row],[Hour]:[Hour]]&gt;=BO$2),1,0)</f>
        <v>0</v>
      </c>
      <c r="BP10" s="276" cm="1">
        <f t="array" ref="BP10">IF(AND(BP$2&lt;&gt;0,TblTech[[#This Row],[Hour]:[Hour]]&gt;=BP$2),1,0)</f>
        <v>0</v>
      </c>
      <c r="BQ10" s="276" cm="1">
        <f t="array" ref="BQ10">IF(AND(BQ$2&lt;&gt;0,TblTech[[#This Row],[Hour]:[Hour]]&gt;=BQ$2),1,0)</f>
        <v>0</v>
      </c>
      <c r="BR10" s="276" cm="1">
        <f t="array" ref="BR10">IF(AND(BR$2&lt;&gt;0,TblTech[[#This Row],[Hour]:[Hour]]&gt;=BR$2),1,0)</f>
        <v>0</v>
      </c>
      <c r="BS10" s="276" cm="1">
        <f t="array" ref="BS10">IF(AND(BS$2&lt;&gt;0,TblTech[[#This Row],[Hour]:[Hour]]&gt;=BS$2),1,0)</f>
        <v>0</v>
      </c>
      <c r="BT10" s="276" cm="1">
        <f t="array" ref="BT10">IF(AND(BT$2&lt;&gt;0,TblTech[[#This Row],[Hour]:[Hour]]&gt;=BT$2),1,0)</f>
        <v>0</v>
      </c>
      <c r="BU10" s="276" cm="1">
        <f t="array" ref="BU10">IF(AND(BU$2&lt;&gt;0,TblTech[[#This Row],[Hour]:[Hour]]&gt;=BU$2),1,0)</f>
        <v>0</v>
      </c>
      <c r="BV10" s="276" cm="1">
        <f t="array" ref="BV10">IF(AND(BV$2&lt;&gt;0,TblTech[[#This Row],[Hour]:[Hour]]&gt;=BV$2),1,0)</f>
        <v>0</v>
      </c>
      <c r="BW10" s="276" cm="1">
        <f t="array" ref="BW10">IF(AND(BW$2&lt;&gt;0,TblTech[[#This Row],[Hour]:[Hour]]&gt;=BW$2),1,0)</f>
        <v>0</v>
      </c>
      <c r="BX10" s="276" cm="1">
        <f t="array" ref="BX10">IF(AND(BX$2&lt;&gt;0,TblTech[[#This Row],[Hour]:[Hour]]&gt;=BX$2),1,0)</f>
        <v>0</v>
      </c>
      <c r="BY10" s="276" cm="1">
        <f t="array" ref="BY10">IF(AND(BY$2&lt;&gt;0,TblTech[[#This Row],[Hour]:[Hour]]&gt;=BY$2),1,0)</f>
        <v>0</v>
      </c>
      <c r="BZ10" s="276" cm="1">
        <f t="array" ref="BZ10">IF(AND(BZ$2&lt;&gt;0,TblTech[[#This Row],[Hour]:[Hour]]&gt;=BZ$2),1,0)</f>
        <v>0</v>
      </c>
      <c r="CA10" s="377">
        <f>IFERROR(INDEX($H$4:$H$79,MATCH(INDEX(TblTech[[#Headers],[1-1]:[11-1]],1,MATCH(TblTech[[#This Row],[Hour]],$M$2:$BZ$2,0)),$G$4:$G$79,0)),)</f>
        <v>0</v>
      </c>
    </row>
    <row r="11" spans="1:79" x14ac:dyDescent="0.2">
      <c r="A11" s="268">
        <f>TblRezone[[#This Row],[Hour]]</f>
        <v>8</v>
      </c>
      <c r="B11" s="269">
        <f ca="1">TblExplore[[#This Row],[Land-DB]]</f>
        <v>50</v>
      </c>
      <c r="C11" s="270">
        <f ca="1">TblProd[[#This Row],[Techpoints]]</f>
        <v>0</v>
      </c>
      <c r="D11" s="270">
        <f ca="1">TblProd[[#This Row],[Required]]</f>
        <v>3750</v>
      </c>
      <c r="E11" s="271"/>
      <c r="F11" s="272"/>
      <c r="G11" s="273" t="s">
        <v>545</v>
      </c>
      <c r="H11" s="274" t="s">
        <v>683</v>
      </c>
      <c r="I11" s="273" t="s">
        <v>1040</v>
      </c>
      <c r="J11" s="269"/>
      <c r="K11" s="93">
        <f ca="1">IF(TblTech[[#This Row],[Sum of tech]]&lt;&gt;OFFSET(TblTech[[#This Row],[Sum of tech]],-1,0),1,0)</f>
        <v>0</v>
      </c>
      <c r="L11" s="275">
        <f>COUNTIF(TblTech[[#This Row],[1-1]:[11-1]],1)</f>
        <v>0</v>
      </c>
      <c r="M11" s="276" cm="1">
        <f t="array" ref="M11">IF(AND(M$2&lt;&gt;0,TblTech[[#This Row],[Hour]:[Hour]]&gt;=M$2),1,0)</f>
        <v>0</v>
      </c>
      <c r="N11" s="276" cm="1">
        <f t="array" ref="N11">IF(AND(N$2&lt;&gt;0,TblTech[[#This Row],[Hour]:[Hour]]&gt;=N$2),1,0)</f>
        <v>0</v>
      </c>
      <c r="O11" s="276" cm="1">
        <f t="array" ref="O11">IF(AND(O$2&lt;&gt;0,TblTech[[#This Row],[Hour]:[Hour]]&gt;=O$2),1,0)</f>
        <v>0</v>
      </c>
      <c r="P11" s="276" cm="1">
        <f t="array" ref="P11">IF(AND(P$2&lt;&gt;0,TblTech[[#This Row],[Hour]:[Hour]]&gt;=P$2),1,0)</f>
        <v>0</v>
      </c>
      <c r="Q11" s="276" cm="1">
        <f t="array" ref="Q11">IF(AND(Q$2&lt;&gt;0,TblTech[[#This Row],[Hour]:[Hour]]&gt;=Q$2),1,0)</f>
        <v>0</v>
      </c>
      <c r="R11" s="276" cm="1">
        <f t="array" ref="R11">IF(AND(R$2&lt;&gt;0,TblTech[[#This Row],[Hour]:[Hour]]&gt;=R$2),1,0)</f>
        <v>0</v>
      </c>
      <c r="S11" s="276" cm="1">
        <f t="array" ref="S11">IF(AND(S$2&lt;&gt;0,TblTech[[#This Row],[Hour]:[Hour]]&gt;=S$2),1,0)</f>
        <v>0</v>
      </c>
      <c r="T11" s="276" cm="1">
        <f t="array" ref="T11">IF(AND(T$2&lt;&gt;0,TblTech[[#This Row],[Hour]:[Hour]]&gt;=T$2),1,0)</f>
        <v>0</v>
      </c>
      <c r="U11" s="276" cm="1">
        <f t="array" ref="U11">IF(AND(U$2&lt;&gt;0,TblTech[[#This Row],[Hour]:[Hour]]&gt;=U$2),1,0)</f>
        <v>0</v>
      </c>
      <c r="V11" s="276" cm="1">
        <f t="array" ref="V11">IF(AND(V$2&lt;&gt;0,TblTech[[#This Row],[Hour]:[Hour]]&gt;=V$2),1,0)</f>
        <v>0</v>
      </c>
      <c r="W11" s="276" cm="1">
        <f t="array" ref="W11">IF(AND(W$2&lt;&gt;0,TblTech[[#This Row],[Hour]:[Hour]]&gt;=W$2),1,0)</f>
        <v>0</v>
      </c>
      <c r="X11" s="276" cm="1">
        <f t="array" ref="X11">IF(AND(X$2&lt;&gt;0,TblTech[[#This Row],[Hour]:[Hour]]&gt;=X$2),1,0)</f>
        <v>0</v>
      </c>
      <c r="Y11" s="276" cm="1">
        <f t="array" ref="Y11">IF(AND(Y$2&lt;&gt;0,TblTech[[#This Row],[Hour]:[Hour]]&gt;=Y$2),1,0)</f>
        <v>0</v>
      </c>
      <c r="Z11" s="276" cm="1">
        <f t="array" ref="Z11">IF(AND(Z$2&lt;&gt;0,TblTech[[#This Row],[Hour]:[Hour]]&gt;=Z$2),1,0)</f>
        <v>0</v>
      </c>
      <c r="AA11" s="276" cm="1">
        <f t="array" ref="AA11">IF(AND(AA$2&lt;&gt;0,TblTech[[#This Row],[Hour]:[Hour]]&gt;=AA$2),1,0)</f>
        <v>0</v>
      </c>
      <c r="AB11" s="276" cm="1">
        <f t="array" ref="AB11">IF(AND(AB$2&lt;&gt;0,TblTech[[#This Row],[Hour]:[Hour]]&gt;=AB$2),1,0)</f>
        <v>0</v>
      </c>
      <c r="AC11" s="276" cm="1">
        <f t="array" ref="AC11">IF(AND(AC$2&lt;&gt;0,TblTech[[#This Row],[Hour]:[Hour]]&gt;=AC$2),1,0)</f>
        <v>0</v>
      </c>
      <c r="AD11" s="276" cm="1">
        <f t="array" ref="AD11">IF(AND(AD$2&lt;&gt;0,TblTech[[#This Row],[Hour]:[Hour]]&gt;=AD$2),1,0)</f>
        <v>0</v>
      </c>
      <c r="AE11" s="276" cm="1">
        <f t="array" ref="AE11">IF(AND(AE$2&lt;&gt;0,TblTech[[#This Row],[Hour]:[Hour]]&gt;=AE$2),1,0)</f>
        <v>0</v>
      </c>
      <c r="AF11" s="276" cm="1">
        <f t="array" ref="AF11">IF(AND(AF$2&lt;&gt;0,TblTech[[#This Row],[Hour]:[Hour]]&gt;=AF$2),1,0)</f>
        <v>0</v>
      </c>
      <c r="AG11" s="276" cm="1">
        <f t="array" ref="AG11">IF(AND(AG$2&lt;&gt;0,TblTech[[#This Row],[Hour]:[Hour]]&gt;=AG$2),1,0)</f>
        <v>0</v>
      </c>
      <c r="AH11" s="276" cm="1">
        <f t="array" ref="AH11">IF(AND(AH$2&lt;&gt;0,TblTech[[#This Row],[Hour]:[Hour]]&gt;=AH$2),1,0)</f>
        <v>0</v>
      </c>
      <c r="AI11" s="276" cm="1">
        <f t="array" ref="AI11">IF(AND(AI$2&lt;&gt;0,TblTech[[#This Row],[Hour]:[Hour]]&gt;=AI$2),1,0)</f>
        <v>0</v>
      </c>
      <c r="AJ11" s="276" cm="1">
        <f t="array" ref="AJ11">IF(AND(AJ$2&lt;&gt;0,TblTech[[#This Row],[Hour]:[Hour]]&gt;=AJ$2),1,0)</f>
        <v>0</v>
      </c>
      <c r="AK11" s="276" cm="1">
        <f t="array" ref="AK11">IF(AND(AK$2&lt;&gt;0,TblTech[[#This Row],[Hour]:[Hour]]&gt;=AK$2),1,0)</f>
        <v>0</v>
      </c>
      <c r="AL11" s="276" cm="1">
        <f t="array" ref="AL11">IF(AND(AL$2&lt;&gt;0,TblTech[[#This Row],[Hour]:[Hour]]&gt;=AL$2),1,0)</f>
        <v>0</v>
      </c>
      <c r="AM11" s="276" cm="1">
        <f t="array" ref="AM11">IF(AND(AM$2&lt;&gt;0,TblTech[[#This Row],[Hour]:[Hour]]&gt;=AM$2),1,0)</f>
        <v>0</v>
      </c>
      <c r="AN11" s="276" cm="1">
        <f t="array" ref="AN11">IF(AND(AN$2&lt;&gt;0,TblTech[[#This Row],[Hour]:[Hour]]&gt;=AN$2),1,0)</f>
        <v>0</v>
      </c>
      <c r="AO11" s="276" cm="1">
        <f t="array" ref="AO11">IF(AND(AO$2&lt;&gt;0,TblTech[[#This Row],[Hour]:[Hour]]&gt;=AO$2),1,0)</f>
        <v>0</v>
      </c>
      <c r="AP11" s="276" cm="1">
        <f t="array" ref="AP11">IF(AND(AP$2&lt;&gt;0,TblTech[[#This Row],[Hour]:[Hour]]&gt;=AP$2),1,0)</f>
        <v>0</v>
      </c>
      <c r="AQ11" s="276" cm="1">
        <f t="array" ref="AQ11">IF(AND(AQ$2&lt;&gt;0,TblTech[[#This Row],[Hour]:[Hour]]&gt;=AQ$2),1,0)</f>
        <v>0</v>
      </c>
      <c r="AR11" s="276" cm="1">
        <f t="array" ref="AR11">IF(AND(AR$2&lt;&gt;0,TblTech[[#This Row],[Hour]:[Hour]]&gt;=AR$2),1,0)</f>
        <v>0</v>
      </c>
      <c r="AS11" s="276" cm="1">
        <f t="array" ref="AS11">IF(AND(AS$2&lt;&gt;0,TblTech[[#This Row],[Hour]:[Hour]]&gt;=AS$2),1,0)</f>
        <v>0</v>
      </c>
      <c r="AT11" s="276" cm="1">
        <f t="array" ref="AT11">IF(AND(AT$2&lt;&gt;0,TblTech[[#This Row],[Hour]:[Hour]]&gt;=AT$2),1,0)</f>
        <v>0</v>
      </c>
      <c r="AU11" s="276" cm="1">
        <f t="array" ref="AU11">IF(AND(AU$2&lt;&gt;0,TblTech[[#This Row],[Hour]:[Hour]]&gt;=AU$2),1,0)</f>
        <v>0</v>
      </c>
      <c r="AV11" s="276" cm="1">
        <f t="array" ref="AV11">IF(AND(AV$2&lt;&gt;0,TblTech[[#This Row],[Hour]:[Hour]]&gt;=AV$2),1,0)</f>
        <v>0</v>
      </c>
      <c r="AW11" s="276" cm="1">
        <f t="array" ref="AW11">IF(AND(AW$2&lt;&gt;0,TblTech[[#This Row],[Hour]:[Hour]]&gt;=AW$2),1,0)</f>
        <v>0</v>
      </c>
      <c r="AX11" s="276" cm="1">
        <f t="array" ref="AX11">IF(AND(AX$2&lt;&gt;0,TblTech[[#This Row],[Hour]:[Hour]]&gt;=AX$2),1,0)</f>
        <v>0</v>
      </c>
      <c r="AY11" s="276" cm="1">
        <f t="array" ref="AY11">IF(AND(AY$2&lt;&gt;0,TblTech[[#This Row],[Hour]:[Hour]]&gt;=AY$2),1,0)</f>
        <v>0</v>
      </c>
      <c r="AZ11" s="276" cm="1">
        <f t="array" ref="AZ11">IF(AND(AZ$2&lt;&gt;0,TblTech[[#This Row],[Hour]:[Hour]]&gt;=AZ$2),1,0)</f>
        <v>0</v>
      </c>
      <c r="BA11" s="276" cm="1">
        <f t="array" ref="BA11">IF(AND(BA$2&lt;&gt;0,TblTech[[#This Row],[Hour]:[Hour]]&gt;=BA$2),1,0)</f>
        <v>0</v>
      </c>
      <c r="BB11" s="276" cm="1">
        <f t="array" ref="BB11">IF(AND(BB$2&lt;&gt;0,TblTech[[#This Row],[Hour]:[Hour]]&gt;=BB$2),1,0)</f>
        <v>0</v>
      </c>
      <c r="BC11" s="276" cm="1">
        <f t="array" ref="BC11">IF(AND(BC$2&lt;&gt;0,TblTech[[#This Row],[Hour]:[Hour]]&gt;=BC$2),1,0)</f>
        <v>0</v>
      </c>
      <c r="BD11" s="276" cm="1">
        <f t="array" ref="BD11">IF(AND(BD$2&lt;&gt;0,TblTech[[#This Row],[Hour]:[Hour]]&gt;=BD$2),1,0)</f>
        <v>0</v>
      </c>
      <c r="BE11" s="276" cm="1">
        <f t="array" ref="BE11">IF(AND(BE$2&lt;&gt;0,TblTech[[#This Row],[Hour]:[Hour]]&gt;=BE$2),1,0)</f>
        <v>0</v>
      </c>
      <c r="BF11" s="276" cm="1">
        <f t="array" ref="BF11">IF(AND(BF$2&lt;&gt;0,TblTech[[#This Row],[Hour]:[Hour]]&gt;=BF$2),1,0)</f>
        <v>0</v>
      </c>
      <c r="BG11" s="276" cm="1">
        <f t="array" ref="BG11">IF(AND(BG$2&lt;&gt;0,TblTech[[#This Row],[Hour]:[Hour]]&gt;=BG$2),1,0)</f>
        <v>0</v>
      </c>
      <c r="BH11" s="276" cm="1">
        <f t="array" ref="BH11">IF(AND(BH$2&lt;&gt;0,TblTech[[#This Row],[Hour]:[Hour]]&gt;=BH$2),1,0)</f>
        <v>0</v>
      </c>
      <c r="BI11" s="276" cm="1">
        <f t="array" ref="BI11">IF(AND(BI$2&lt;&gt;0,TblTech[[#This Row],[Hour]:[Hour]]&gt;=BI$2),1,0)</f>
        <v>0</v>
      </c>
      <c r="BJ11" s="276" cm="1">
        <f t="array" ref="BJ11">IF(AND(BJ$2&lt;&gt;0,TblTech[[#This Row],[Hour]:[Hour]]&gt;=BJ$2),1,0)</f>
        <v>0</v>
      </c>
      <c r="BK11" s="276" cm="1">
        <f t="array" ref="BK11">IF(AND(BK$2&lt;&gt;0,TblTech[[#This Row],[Hour]:[Hour]]&gt;=BK$2),1,0)</f>
        <v>0</v>
      </c>
      <c r="BL11" s="276" cm="1">
        <f t="array" ref="BL11">IF(AND(BL$2&lt;&gt;0,TblTech[[#This Row],[Hour]:[Hour]]&gt;=BL$2),1,0)</f>
        <v>0</v>
      </c>
      <c r="BM11" s="276" cm="1">
        <f t="array" ref="BM11">IF(AND(BM$2&lt;&gt;0,TblTech[[#This Row],[Hour]:[Hour]]&gt;=BM$2),1,0)</f>
        <v>0</v>
      </c>
      <c r="BN11" s="276" cm="1">
        <f t="array" ref="BN11">IF(AND(BN$2&lt;&gt;0,TblTech[[#This Row],[Hour]:[Hour]]&gt;=BN$2),1,0)</f>
        <v>0</v>
      </c>
      <c r="BO11" s="276" cm="1">
        <f t="array" ref="BO11">IF(AND(BO$2&lt;&gt;0,TblTech[[#This Row],[Hour]:[Hour]]&gt;=BO$2),1,0)</f>
        <v>0</v>
      </c>
      <c r="BP11" s="276" cm="1">
        <f t="array" ref="BP11">IF(AND(BP$2&lt;&gt;0,TblTech[[#This Row],[Hour]:[Hour]]&gt;=BP$2),1,0)</f>
        <v>0</v>
      </c>
      <c r="BQ11" s="276" cm="1">
        <f t="array" ref="BQ11">IF(AND(BQ$2&lt;&gt;0,TblTech[[#This Row],[Hour]:[Hour]]&gt;=BQ$2),1,0)</f>
        <v>0</v>
      </c>
      <c r="BR11" s="276" cm="1">
        <f t="array" ref="BR11">IF(AND(BR$2&lt;&gt;0,TblTech[[#This Row],[Hour]:[Hour]]&gt;=BR$2),1,0)</f>
        <v>0</v>
      </c>
      <c r="BS11" s="276" cm="1">
        <f t="array" ref="BS11">IF(AND(BS$2&lt;&gt;0,TblTech[[#This Row],[Hour]:[Hour]]&gt;=BS$2),1,0)</f>
        <v>0</v>
      </c>
      <c r="BT11" s="276" cm="1">
        <f t="array" ref="BT11">IF(AND(BT$2&lt;&gt;0,TblTech[[#This Row],[Hour]:[Hour]]&gt;=BT$2),1,0)</f>
        <v>0</v>
      </c>
      <c r="BU11" s="276" cm="1">
        <f t="array" ref="BU11">IF(AND(BU$2&lt;&gt;0,TblTech[[#This Row],[Hour]:[Hour]]&gt;=BU$2),1,0)</f>
        <v>0</v>
      </c>
      <c r="BV11" s="276" cm="1">
        <f t="array" ref="BV11">IF(AND(BV$2&lt;&gt;0,TblTech[[#This Row],[Hour]:[Hour]]&gt;=BV$2),1,0)</f>
        <v>0</v>
      </c>
      <c r="BW11" s="276" cm="1">
        <f t="array" ref="BW11">IF(AND(BW$2&lt;&gt;0,TblTech[[#This Row],[Hour]:[Hour]]&gt;=BW$2),1,0)</f>
        <v>0</v>
      </c>
      <c r="BX11" s="276" cm="1">
        <f t="array" ref="BX11">IF(AND(BX$2&lt;&gt;0,TblTech[[#This Row],[Hour]:[Hour]]&gt;=BX$2),1,0)</f>
        <v>0</v>
      </c>
      <c r="BY11" s="276" cm="1">
        <f t="array" ref="BY11">IF(AND(BY$2&lt;&gt;0,TblTech[[#This Row],[Hour]:[Hour]]&gt;=BY$2),1,0)</f>
        <v>0</v>
      </c>
      <c r="BZ11" s="276" cm="1">
        <f t="array" ref="BZ11">IF(AND(BZ$2&lt;&gt;0,TblTech[[#This Row],[Hour]:[Hour]]&gt;=BZ$2),1,0)</f>
        <v>0</v>
      </c>
      <c r="CA11" s="377">
        <f>IFERROR(INDEX($H$4:$H$79,MATCH(INDEX(TblTech[[#Headers],[1-1]:[11-1]],1,MATCH(TblTech[[#This Row],[Hour]],$M$2:$BZ$2,0)),$G$4:$G$79,0)),)</f>
        <v>0</v>
      </c>
    </row>
    <row r="12" spans="1:79" x14ac:dyDescent="0.2">
      <c r="A12" s="268">
        <f>TblRezone[[#This Row],[Hour]]</f>
        <v>9</v>
      </c>
      <c r="B12" s="269">
        <f ca="1">TblExplore[[#This Row],[Land-DB]]</f>
        <v>50</v>
      </c>
      <c r="C12" s="270">
        <f ca="1">TblProd[[#This Row],[Techpoints]]</f>
        <v>0</v>
      </c>
      <c r="D12" s="270">
        <f ca="1">TblProd[[#This Row],[Required]]</f>
        <v>3750</v>
      </c>
      <c r="E12" s="271"/>
      <c r="F12" s="272"/>
      <c r="G12" s="273" t="s">
        <v>546</v>
      </c>
      <c r="H12" s="274" t="s">
        <v>701</v>
      </c>
      <c r="I12" s="273" t="s">
        <v>1159</v>
      </c>
      <c r="J12" s="269"/>
      <c r="K12" s="93">
        <f ca="1">IF(TblTech[[#This Row],[Sum of tech]]&lt;&gt;OFFSET(TblTech[[#This Row],[Sum of tech]],-1,0),1,0)</f>
        <v>0</v>
      </c>
      <c r="L12" s="275">
        <f>COUNTIF(TblTech[[#This Row],[1-1]:[11-1]],1)</f>
        <v>0</v>
      </c>
      <c r="M12" s="276" cm="1">
        <f t="array" ref="M12">IF(AND(M$2&lt;&gt;0,TblTech[[#This Row],[Hour]:[Hour]]&gt;=M$2),1,0)</f>
        <v>0</v>
      </c>
      <c r="N12" s="276" cm="1">
        <f t="array" ref="N12">IF(AND(N$2&lt;&gt;0,TblTech[[#This Row],[Hour]:[Hour]]&gt;=N$2),1,0)</f>
        <v>0</v>
      </c>
      <c r="O12" s="276" cm="1">
        <f t="array" ref="O12">IF(AND(O$2&lt;&gt;0,TblTech[[#This Row],[Hour]:[Hour]]&gt;=O$2),1,0)</f>
        <v>0</v>
      </c>
      <c r="P12" s="276" cm="1">
        <f t="array" ref="P12">IF(AND(P$2&lt;&gt;0,TblTech[[#This Row],[Hour]:[Hour]]&gt;=P$2),1,0)</f>
        <v>0</v>
      </c>
      <c r="Q12" s="276" cm="1">
        <f t="array" ref="Q12">IF(AND(Q$2&lt;&gt;0,TblTech[[#This Row],[Hour]:[Hour]]&gt;=Q$2),1,0)</f>
        <v>0</v>
      </c>
      <c r="R12" s="276" cm="1">
        <f t="array" ref="R12">IF(AND(R$2&lt;&gt;0,TblTech[[#This Row],[Hour]:[Hour]]&gt;=R$2),1,0)</f>
        <v>0</v>
      </c>
      <c r="S12" s="276" cm="1">
        <f t="array" ref="S12">IF(AND(S$2&lt;&gt;0,TblTech[[#This Row],[Hour]:[Hour]]&gt;=S$2),1,0)</f>
        <v>0</v>
      </c>
      <c r="T12" s="276" cm="1">
        <f t="array" ref="T12">IF(AND(T$2&lt;&gt;0,TblTech[[#This Row],[Hour]:[Hour]]&gt;=T$2),1,0)</f>
        <v>0</v>
      </c>
      <c r="U12" s="276" cm="1">
        <f t="array" ref="U12">IF(AND(U$2&lt;&gt;0,TblTech[[#This Row],[Hour]:[Hour]]&gt;=U$2),1,0)</f>
        <v>0</v>
      </c>
      <c r="V12" s="276" cm="1">
        <f t="array" ref="V12">IF(AND(V$2&lt;&gt;0,TblTech[[#This Row],[Hour]:[Hour]]&gt;=V$2),1,0)</f>
        <v>0</v>
      </c>
      <c r="W12" s="276" cm="1">
        <f t="array" ref="W12">IF(AND(W$2&lt;&gt;0,TblTech[[#This Row],[Hour]:[Hour]]&gt;=W$2),1,0)</f>
        <v>0</v>
      </c>
      <c r="X12" s="276" cm="1">
        <f t="array" ref="X12">IF(AND(X$2&lt;&gt;0,TblTech[[#This Row],[Hour]:[Hour]]&gt;=X$2),1,0)</f>
        <v>0</v>
      </c>
      <c r="Y12" s="276" cm="1">
        <f t="array" ref="Y12">IF(AND(Y$2&lt;&gt;0,TblTech[[#This Row],[Hour]:[Hour]]&gt;=Y$2),1,0)</f>
        <v>0</v>
      </c>
      <c r="Z12" s="276" cm="1">
        <f t="array" ref="Z12">IF(AND(Z$2&lt;&gt;0,TblTech[[#This Row],[Hour]:[Hour]]&gt;=Z$2),1,0)</f>
        <v>0</v>
      </c>
      <c r="AA12" s="276" cm="1">
        <f t="array" ref="AA12">IF(AND(AA$2&lt;&gt;0,TblTech[[#This Row],[Hour]:[Hour]]&gt;=AA$2),1,0)</f>
        <v>0</v>
      </c>
      <c r="AB12" s="276" cm="1">
        <f t="array" ref="AB12">IF(AND(AB$2&lt;&gt;0,TblTech[[#This Row],[Hour]:[Hour]]&gt;=AB$2),1,0)</f>
        <v>0</v>
      </c>
      <c r="AC12" s="276" cm="1">
        <f t="array" ref="AC12">IF(AND(AC$2&lt;&gt;0,TblTech[[#This Row],[Hour]:[Hour]]&gt;=AC$2),1,0)</f>
        <v>0</v>
      </c>
      <c r="AD12" s="276" cm="1">
        <f t="array" ref="AD12">IF(AND(AD$2&lt;&gt;0,TblTech[[#This Row],[Hour]:[Hour]]&gt;=AD$2),1,0)</f>
        <v>0</v>
      </c>
      <c r="AE12" s="276" cm="1">
        <f t="array" ref="AE12">IF(AND(AE$2&lt;&gt;0,TblTech[[#This Row],[Hour]:[Hour]]&gt;=AE$2),1,0)</f>
        <v>0</v>
      </c>
      <c r="AF12" s="276" cm="1">
        <f t="array" ref="AF12">IF(AND(AF$2&lt;&gt;0,TblTech[[#This Row],[Hour]:[Hour]]&gt;=AF$2),1,0)</f>
        <v>0</v>
      </c>
      <c r="AG12" s="276" cm="1">
        <f t="array" ref="AG12">IF(AND(AG$2&lt;&gt;0,TblTech[[#This Row],[Hour]:[Hour]]&gt;=AG$2),1,0)</f>
        <v>0</v>
      </c>
      <c r="AH12" s="276" cm="1">
        <f t="array" ref="AH12">IF(AND(AH$2&lt;&gt;0,TblTech[[#This Row],[Hour]:[Hour]]&gt;=AH$2),1,0)</f>
        <v>0</v>
      </c>
      <c r="AI12" s="276" cm="1">
        <f t="array" ref="AI12">IF(AND(AI$2&lt;&gt;0,TblTech[[#This Row],[Hour]:[Hour]]&gt;=AI$2),1,0)</f>
        <v>0</v>
      </c>
      <c r="AJ12" s="276" cm="1">
        <f t="array" ref="AJ12">IF(AND(AJ$2&lt;&gt;0,TblTech[[#This Row],[Hour]:[Hour]]&gt;=AJ$2),1,0)</f>
        <v>0</v>
      </c>
      <c r="AK12" s="276" cm="1">
        <f t="array" ref="AK12">IF(AND(AK$2&lt;&gt;0,TblTech[[#This Row],[Hour]:[Hour]]&gt;=AK$2),1,0)</f>
        <v>0</v>
      </c>
      <c r="AL12" s="276" cm="1">
        <f t="array" ref="AL12">IF(AND(AL$2&lt;&gt;0,TblTech[[#This Row],[Hour]:[Hour]]&gt;=AL$2),1,0)</f>
        <v>0</v>
      </c>
      <c r="AM12" s="276" cm="1">
        <f t="array" ref="AM12">IF(AND(AM$2&lt;&gt;0,TblTech[[#This Row],[Hour]:[Hour]]&gt;=AM$2),1,0)</f>
        <v>0</v>
      </c>
      <c r="AN12" s="276" cm="1">
        <f t="array" ref="AN12">IF(AND(AN$2&lt;&gt;0,TblTech[[#This Row],[Hour]:[Hour]]&gt;=AN$2),1,0)</f>
        <v>0</v>
      </c>
      <c r="AO12" s="276" cm="1">
        <f t="array" ref="AO12">IF(AND(AO$2&lt;&gt;0,TblTech[[#This Row],[Hour]:[Hour]]&gt;=AO$2),1,0)</f>
        <v>0</v>
      </c>
      <c r="AP12" s="276" cm="1">
        <f t="array" ref="AP12">IF(AND(AP$2&lt;&gt;0,TblTech[[#This Row],[Hour]:[Hour]]&gt;=AP$2),1,0)</f>
        <v>0</v>
      </c>
      <c r="AQ12" s="276" cm="1">
        <f t="array" ref="AQ12">IF(AND(AQ$2&lt;&gt;0,TblTech[[#This Row],[Hour]:[Hour]]&gt;=AQ$2),1,0)</f>
        <v>0</v>
      </c>
      <c r="AR12" s="276" cm="1">
        <f t="array" ref="AR12">IF(AND(AR$2&lt;&gt;0,TblTech[[#This Row],[Hour]:[Hour]]&gt;=AR$2),1,0)</f>
        <v>0</v>
      </c>
      <c r="AS12" s="276" cm="1">
        <f t="array" ref="AS12">IF(AND(AS$2&lt;&gt;0,TblTech[[#This Row],[Hour]:[Hour]]&gt;=AS$2),1,0)</f>
        <v>0</v>
      </c>
      <c r="AT12" s="276" cm="1">
        <f t="array" ref="AT12">IF(AND(AT$2&lt;&gt;0,TblTech[[#This Row],[Hour]:[Hour]]&gt;=AT$2),1,0)</f>
        <v>0</v>
      </c>
      <c r="AU12" s="276" cm="1">
        <f t="array" ref="AU12">IF(AND(AU$2&lt;&gt;0,TblTech[[#This Row],[Hour]:[Hour]]&gt;=AU$2),1,0)</f>
        <v>0</v>
      </c>
      <c r="AV12" s="276" cm="1">
        <f t="array" ref="AV12">IF(AND(AV$2&lt;&gt;0,TblTech[[#This Row],[Hour]:[Hour]]&gt;=AV$2),1,0)</f>
        <v>0</v>
      </c>
      <c r="AW12" s="276" cm="1">
        <f t="array" ref="AW12">IF(AND(AW$2&lt;&gt;0,TblTech[[#This Row],[Hour]:[Hour]]&gt;=AW$2),1,0)</f>
        <v>0</v>
      </c>
      <c r="AX12" s="276" cm="1">
        <f t="array" ref="AX12">IF(AND(AX$2&lt;&gt;0,TblTech[[#This Row],[Hour]:[Hour]]&gt;=AX$2),1,0)</f>
        <v>0</v>
      </c>
      <c r="AY12" s="276" cm="1">
        <f t="array" ref="AY12">IF(AND(AY$2&lt;&gt;0,TblTech[[#This Row],[Hour]:[Hour]]&gt;=AY$2),1,0)</f>
        <v>0</v>
      </c>
      <c r="AZ12" s="276" cm="1">
        <f t="array" ref="AZ12">IF(AND(AZ$2&lt;&gt;0,TblTech[[#This Row],[Hour]:[Hour]]&gt;=AZ$2),1,0)</f>
        <v>0</v>
      </c>
      <c r="BA12" s="276" cm="1">
        <f t="array" ref="BA12">IF(AND(BA$2&lt;&gt;0,TblTech[[#This Row],[Hour]:[Hour]]&gt;=BA$2),1,0)</f>
        <v>0</v>
      </c>
      <c r="BB12" s="276" cm="1">
        <f t="array" ref="BB12">IF(AND(BB$2&lt;&gt;0,TblTech[[#This Row],[Hour]:[Hour]]&gt;=BB$2),1,0)</f>
        <v>0</v>
      </c>
      <c r="BC12" s="276" cm="1">
        <f t="array" ref="BC12">IF(AND(BC$2&lt;&gt;0,TblTech[[#This Row],[Hour]:[Hour]]&gt;=BC$2),1,0)</f>
        <v>0</v>
      </c>
      <c r="BD12" s="276" cm="1">
        <f t="array" ref="BD12">IF(AND(BD$2&lt;&gt;0,TblTech[[#This Row],[Hour]:[Hour]]&gt;=BD$2),1,0)</f>
        <v>0</v>
      </c>
      <c r="BE12" s="276" cm="1">
        <f t="array" ref="BE12">IF(AND(BE$2&lt;&gt;0,TblTech[[#This Row],[Hour]:[Hour]]&gt;=BE$2),1,0)</f>
        <v>0</v>
      </c>
      <c r="BF12" s="276" cm="1">
        <f t="array" ref="BF12">IF(AND(BF$2&lt;&gt;0,TblTech[[#This Row],[Hour]:[Hour]]&gt;=BF$2),1,0)</f>
        <v>0</v>
      </c>
      <c r="BG12" s="276" cm="1">
        <f t="array" ref="BG12">IF(AND(BG$2&lt;&gt;0,TblTech[[#This Row],[Hour]:[Hour]]&gt;=BG$2),1,0)</f>
        <v>0</v>
      </c>
      <c r="BH12" s="276" cm="1">
        <f t="array" ref="BH12">IF(AND(BH$2&lt;&gt;0,TblTech[[#This Row],[Hour]:[Hour]]&gt;=BH$2),1,0)</f>
        <v>0</v>
      </c>
      <c r="BI12" s="276" cm="1">
        <f t="array" ref="BI12">IF(AND(BI$2&lt;&gt;0,TblTech[[#This Row],[Hour]:[Hour]]&gt;=BI$2),1,0)</f>
        <v>0</v>
      </c>
      <c r="BJ12" s="276" cm="1">
        <f t="array" ref="BJ12">IF(AND(BJ$2&lt;&gt;0,TblTech[[#This Row],[Hour]:[Hour]]&gt;=BJ$2),1,0)</f>
        <v>0</v>
      </c>
      <c r="BK12" s="276" cm="1">
        <f t="array" ref="BK12">IF(AND(BK$2&lt;&gt;0,TblTech[[#This Row],[Hour]:[Hour]]&gt;=BK$2),1,0)</f>
        <v>0</v>
      </c>
      <c r="BL12" s="276" cm="1">
        <f t="array" ref="BL12">IF(AND(BL$2&lt;&gt;0,TblTech[[#This Row],[Hour]:[Hour]]&gt;=BL$2),1,0)</f>
        <v>0</v>
      </c>
      <c r="BM12" s="276" cm="1">
        <f t="array" ref="BM12">IF(AND(BM$2&lt;&gt;0,TblTech[[#This Row],[Hour]:[Hour]]&gt;=BM$2),1,0)</f>
        <v>0</v>
      </c>
      <c r="BN12" s="276" cm="1">
        <f t="array" ref="BN12">IF(AND(BN$2&lt;&gt;0,TblTech[[#This Row],[Hour]:[Hour]]&gt;=BN$2),1,0)</f>
        <v>0</v>
      </c>
      <c r="BO12" s="276" cm="1">
        <f t="array" ref="BO12">IF(AND(BO$2&lt;&gt;0,TblTech[[#This Row],[Hour]:[Hour]]&gt;=BO$2),1,0)</f>
        <v>0</v>
      </c>
      <c r="BP12" s="276" cm="1">
        <f t="array" ref="BP12">IF(AND(BP$2&lt;&gt;0,TblTech[[#This Row],[Hour]:[Hour]]&gt;=BP$2),1,0)</f>
        <v>0</v>
      </c>
      <c r="BQ12" s="276" cm="1">
        <f t="array" ref="BQ12">IF(AND(BQ$2&lt;&gt;0,TblTech[[#This Row],[Hour]:[Hour]]&gt;=BQ$2),1,0)</f>
        <v>0</v>
      </c>
      <c r="BR12" s="276" cm="1">
        <f t="array" ref="BR12">IF(AND(BR$2&lt;&gt;0,TblTech[[#This Row],[Hour]:[Hour]]&gt;=BR$2),1,0)</f>
        <v>0</v>
      </c>
      <c r="BS12" s="276" cm="1">
        <f t="array" ref="BS12">IF(AND(BS$2&lt;&gt;0,TblTech[[#This Row],[Hour]:[Hour]]&gt;=BS$2),1,0)</f>
        <v>0</v>
      </c>
      <c r="BT12" s="276" cm="1">
        <f t="array" ref="BT12">IF(AND(BT$2&lt;&gt;0,TblTech[[#This Row],[Hour]:[Hour]]&gt;=BT$2),1,0)</f>
        <v>0</v>
      </c>
      <c r="BU12" s="276" cm="1">
        <f t="array" ref="BU12">IF(AND(BU$2&lt;&gt;0,TblTech[[#This Row],[Hour]:[Hour]]&gt;=BU$2),1,0)</f>
        <v>0</v>
      </c>
      <c r="BV12" s="276" cm="1">
        <f t="array" ref="BV12">IF(AND(BV$2&lt;&gt;0,TblTech[[#This Row],[Hour]:[Hour]]&gt;=BV$2),1,0)</f>
        <v>0</v>
      </c>
      <c r="BW12" s="276" cm="1">
        <f t="array" ref="BW12">IF(AND(BW$2&lt;&gt;0,TblTech[[#This Row],[Hour]:[Hour]]&gt;=BW$2),1,0)</f>
        <v>0</v>
      </c>
      <c r="BX12" s="276" cm="1">
        <f t="array" ref="BX12">IF(AND(BX$2&lt;&gt;0,TblTech[[#This Row],[Hour]:[Hour]]&gt;=BX$2),1,0)</f>
        <v>0</v>
      </c>
      <c r="BY12" s="276" cm="1">
        <f t="array" ref="BY12">IF(AND(BY$2&lt;&gt;0,TblTech[[#This Row],[Hour]:[Hour]]&gt;=BY$2),1,0)</f>
        <v>0</v>
      </c>
      <c r="BZ12" s="276" cm="1">
        <f t="array" ref="BZ12">IF(AND(BZ$2&lt;&gt;0,TblTech[[#This Row],[Hour]:[Hour]]&gt;=BZ$2),1,0)</f>
        <v>0</v>
      </c>
      <c r="CA12" s="377">
        <f>IFERROR(INDEX($H$4:$H$79,MATCH(INDEX(TblTech[[#Headers],[1-1]:[11-1]],1,MATCH(TblTech[[#This Row],[Hour]],$M$2:$BZ$2,0)),$G$4:$G$79,0)),)</f>
        <v>0</v>
      </c>
    </row>
    <row r="13" spans="1:79" x14ac:dyDescent="0.2">
      <c r="A13" s="268">
        <f>TblRezone[[#This Row],[Hour]]</f>
        <v>10</v>
      </c>
      <c r="B13" s="269">
        <f ca="1">TblExplore[[#This Row],[Land-DB]]</f>
        <v>50</v>
      </c>
      <c r="C13" s="270">
        <f ca="1">TblProd[[#This Row],[Techpoints]]</f>
        <v>0</v>
      </c>
      <c r="D13" s="270">
        <f ca="1">TblProd[[#This Row],[Required]]</f>
        <v>3750</v>
      </c>
      <c r="E13" s="271"/>
      <c r="F13" s="272"/>
      <c r="G13" s="273" t="s">
        <v>548</v>
      </c>
      <c r="H13" s="274" t="s">
        <v>684</v>
      </c>
      <c r="I13" s="273" t="s">
        <v>547</v>
      </c>
      <c r="J13" s="269"/>
      <c r="K13" s="93">
        <f ca="1">IF(TblTech[[#This Row],[Sum of tech]]&lt;&gt;OFFSET(TblTech[[#This Row],[Sum of tech]],-1,0),1,0)</f>
        <v>0</v>
      </c>
      <c r="L13" s="275">
        <f>COUNTIF(TblTech[[#This Row],[1-1]:[11-1]],1)</f>
        <v>0</v>
      </c>
      <c r="M13" s="276" cm="1">
        <f t="array" ref="M13">IF(AND(M$2&lt;&gt;0,TblTech[[#This Row],[Hour]:[Hour]]&gt;=M$2),1,0)</f>
        <v>0</v>
      </c>
      <c r="N13" s="276" cm="1">
        <f t="array" ref="N13">IF(AND(N$2&lt;&gt;0,TblTech[[#This Row],[Hour]:[Hour]]&gt;=N$2),1,0)</f>
        <v>0</v>
      </c>
      <c r="O13" s="276" cm="1">
        <f t="array" ref="O13">IF(AND(O$2&lt;&gt;0,TblTech[[#This Row],[Hour]:[Hour]]&gt;=O$2),1,0)</f>
        <v>0</v>
      </c>
      <c r="P13" s="276" cm="1">
        <f t="array" ref="P13">IF(AND(P$2&lt;&gt;0,TblTech[[#This Row],[Hour]:[Hour]]&gt;=P$2),1,0)</f>
        <v>0</v>
      </c>
      <c r="Q13" s="276" cm="1">
        <f t="array" ref="Q13">IF(AND(Q$2&lt;&gt;0,TblTech[[#This Row],[Hour]:[Hour]]&gt;=Q$2),1,0)</f>
        <v>0</v>
      </c>
      <c r="R13" s="276" cm="1">
        <f t="array" ref="R13">IF(AND(R$2&lt;&gt;0,TblTech[[#This Row],[Hour]:[Hour]]&gt;=R$2),1,0)</f>
        <v>0</v>
      </c>
      <c r="S13" s="276" cm="1">
        <f t="array" ref="S13">IF(AND(S$2&lt;&gt;0,TblTech[[#This Row],[Hour]:[Hour]]&gt;=S$2),1,0)</f>
        <v>0</v>
      </c>
      <c r="T13" s="276" cm="1">
        <f t="array" ref="T13">IF(AND(T$2&lt;&gt;0,TblTech[[#This Row],[Hour]:[Hour]]&gt;=T$2),1,0)</f>
        <v>0</v>
      </c>
      <c r="U13" s="276" cm="1">
        <f t="array" ref="U13">IF(AND(U$2&lt;&gt;0,TblTech[[#This Row],[Hour]:[Hour]]&gt;=U$2),1,0)</f>
        <v>0</v>
      </c>
      <c r="V13" s="276" cm="1">
        <f t="array" ref="V13">IF(AND(V$2&lt;&gt;0,TblTech[[#This Row],[Hour]:[Hour]]&gt;=V$2),1,0)</f>
        <v>0</v>
      </c>
      <c r="W13" s="276" cm="1">
        <f t="array" ref="W13">IF(AND(W$2&lt;&gt;0,TblTech[[#This Row],[Hour]:[Hour]]&gt;=W$2),1,0)</f>
        <v>0</v>
      </c>
      <c r="X13" s="276" cm="1">
        <f t="array" ref="X13">IF(AND(X$2&lt;&gt;0,TblTech[[#This Row],[Hour]:[Hour]]&gt;=X$2),1,0)</f>
        <v>0</v>
      </c>
      <c r="Y13" s="276" cm="1">
        <f t="array" ref="Y13">IF(AND(Y$2&lt;&gt;0,TblTech[[#This Row],[Hour]:[Hour]]&gt;=Y$2),1,0)</f>
        <v>0</v>
      </c>
      <c r="Z13" s="276" cm="1">
        <f t="array" ref="Z13">IF(AND(Z$2&lt;&gt;0,TblTech[[#This Row],[Hour]:[Hour]]&gt;=Z$2),1,0)</f>
        <v>0</v>
      </c>
      <c r="AA13" s="276" cm="1">
        <f t="array" ref="AA13">IF(AND(AA$2&lt;&gt;0,TblTech[[#This Row],[Hour]:[Hour]]&gt;=AA$2),1,0)</f>
        <v>0</v>
      </c>
      <c r="AB13" s="276" cm="1">
        <f t="array" ref="AB13">IF(AND(AB$2&lt;&gt;0,TblTech[[#This Row],[Hour]:[Hour]]&gt;=AB$2),1,0)</f>
        <v>0</v>
      </c>
      <c r="AC13" s="276" cm="1">
        <f t="array" ref="AC13">IF(AND(AC$2&lt;&gt;0,TblTech[[#This Row],[Hour]:[Hour]]&gt;=AC$2),1,0)</f>
        <v>0</v>
      </c>
      <c r="AD13" s="276" cm="1">
        <f t="array" ref="AD13">IF(AND(AD$2&lt;&gt;0,TblTech[[#This Row],[Hour]:[Hour]]&gt;=AD$2),1,0)</f>
        <v>0</v>
      </c>
      <c r="AE13" s="276" cm="1">
        <f t="array" ref="AE13">IF(AND(AE$2&lt;&gt;0,TblTech[[#This Row],[Hour]:[Hour]]&gt;=AE$2),1,0)</f>
        <v>0</v>
      </c>
      <c r="AF13" s="276" cm="1">
        <f t="array" ref="AF13">IF(AND(AF$2&lt;&gt;0,TblTech[[#This Row],[Hour]:[Hour]]&gt;=AF$2),1,0)</f>
        <v>0</v>
      </c>
      <c r="AG13" s="276" cm="1">
        <f t="array" ref="AG13">IF(AND(AG$2&lt;&gt;0,TblTech[[#This Row],[Hour]:[Hour]]&gt;=AG$2),1,0)</f>
        <v>0</v>
      </c>
      <c r="AH13" s="276" cm="1">
        <f t="array" ref="AH13">IF(AND(AH$2&lt;&gt;0,TblTech[[#This Row],[Hour]:[Hour]]&gt;=AH$2),1,0)</f>
        <v>0</v>
      </c>
      <c r="AI13" s="276" cm="1">
        <f t="array" ref="AI13">IF(AND(AI$2&lt;&gt;0,TblTech[[#This Row],[Hour]:[Hour]]&gt;=AI$2),1,0)</f>
        <v>0</v>
      </c>
      <c r="AJ13" s="276" cm="1">
        <f t="array" ref="AJ13">IF(AND(AJ$2&lt;&gt;0,TblTech[[#This Row],[Hour]:[Hour]]&gt;=AJ$2),1,0)</f>
        <v>0</v>
      </c>
      <c r="AK13" s="276" cm="1">
        <f t="array" ref="AK13">IF(AND(AK$2&lt;&gt;0,TblTech[[#This Row],[Hour]:[Hour]]&gt;=AK$2),1,0)</f>
        <v>0</v>
      </c>
      <c r="AL13" s="276" cm="1">
        <f t="array" ref="AL13">IF(AND(AL$2&lt;&gt;0,TblTech[[#This Row],[Hour]:[Hour]]&gt;=AL$2),1,0)</f>
        <v>0</v>
      </c>
      <c r="AM13" s="276" cm="1">
        <f t="array" ref="AM13">IF(AND(AM$2&lt;&gt;0,TblTech[[#This Row],[Hour]:[Hour]]&gt;=AM$2),1,0)</f>
        <v>0</v>
      </c>
      <c r="AN13" s="276" cm="1">
        <f t="array" ref="AN13">IF(AND(AN$2&lt;&gt;0,TblTech[[#This Row],[Hour]:[Hour]]&gt;=AN$2),1,0)</f>
        <v>0</v>
      </c>
      <c r="AO13" s="276" cm="1">
        <f t="array" ref="AO13">IF(AND(AO$2&lt;&gt;0,TblTech[[#This Row],[Hour]:[Hour]]&gt;=AO$2),1,0)</f>
        <v>0</v>
      </c>
      <c r="AP13" s="276" cm="1">
        <f t="array" ref="AP13">IF(AND(AP$2&lt;&gt;0,TblTech[[#This Row],[Hour]:[Hour]]&gt;=AP$2),1,0)</f>
        <v>0</v>
      </c>
      <c r="AQ13" s="276" cm="1">
        <f t="array" ref="AQ13">IF(AND(AQ$2&lt;&gt;0,TblTech[[#This Row],[Hour]:[Hour]]&gt;=AQ$2),1,0)</f>
        <v>0</v>
      </c>
      <c r="AR13" s="276" cm="1">
        <f t="array" ref="AR13">IF(AND(AR$2&lt;&gt;0,TblTech[[#This Row],[Hour]:[Hour]]&gt;=AR$2),1,0)</f>
        <v>0</v>
      </c>
      <c r="AS13" s="276" cm="1">
        <f t="array" ref="AS13">IF(AND(AS$2&lt;&gt;0,TblTech[[#This Row],[Hour]:[Hour]]&gt;=AS$2),1,0)</f>
        <v>0</v>
      </c>
      <c r="AT13" s="276" cm="1">
        <f t="array" ref="AT13">IF(AND(AT$2&lt;&gt;0,TblTech[[#This Row],[Hour]:[Hour]]&gt;=AT$2),1,0)</f>
        <v>0</v>
      </c>
      <c r="AU13" s="276" cm="1">
        <f t="array" ref="AU13">IF(AND(AU$2&lt;&gt;0,TblTech[[#This Row],[Hour]:[Hour]]&gt;=AU$2),1,0)</f>
        <v>0</v>
      </c>
      <c r="AV13" s="276" cm="1">
        <f t="array" ref="AV13">IF(AND(AV$2&lt;&gt;0,TblTech[[#This Row],[Hour]:[Hour]]&gt;=AV$2),1,0)</f>
        <v>0</v>
      </c>
      <c r="AW13" s="276" cm="1">
        <f t="array" ref="AW13">IF(AND(AW$2&lt;&gt;0,TblTech[[#This Row],[Hour]:[Hour]]&gt;=AW$2),1,0)</f>
        <v>0</v>
      </c>
      <c r="AX13" s="276" cm="1">
        <f t="array" ref="AX13">IF(AND(AX$2&lt;&gt;0,TblTech[[#This Row],[Hour]:[Hour]]&gt;=AX$2),1,0)</f>
        <v>0</v>
      </c>
      <c r="AY13" s="276" cm="1">
        <f t="array" ref="AY13">IF(AND(AY$2&lt;&gt;0,TblTech[[#This Row],[Hour]:[Hour]]&gt;=AY$2),1,0)</f>
        <v>0</v>
      </c>
      <c r="AZ13" s="276" cm="1">
        <f t="array" ref="AZ13">IF(AND(AZ$2&lt;&gt;0,TblTech[[#This Row],[Hour]:[Hour]]&gt;=AZ$2),1,0)</f>
        <v>0</v>
      </c>
      <c r="BA13" s="276" cm="1">
        <f t="array" ref="BA13">IF(AND(BA$2&lt;&gt;0,TblTech[[#This Row],[Hour]:[Hour]]&gt;=BA$2),1,0)</f>
        <v>0</v>
      </c>
      <c r="BB13" s="276" cm="1">
        <f t="array" ref="BB13">IF(AND(BB$2&lt;&gt;0,TblTech[[#This Row],[Hour]:[Hour]]&gt;=BB$2),1,0)</f>
        <v>0</v>
      </c>
      <c r="BC13" s="276" cm="1">
        <f t="array" ref="BC13">IF(AND(BC$2&lt;&gt;0,TblTech[[#This Row],[Hour]:[Hour]]&gt;=BC$2),1,0)</f>
        <v>0</v>
      </c>
      <c r="BD13" s="276" cm="1">
        <f t="array" ref="BD13">IF(AND(BD$2&lt;&gt;0,TblTech[[#This Row],[Hour]:[Hour]]&gt;=BD$2),1,0)</f>
        <v>0</v>
      </c>
      <c r="BE13" s="276" cm="1">
        <f t="array" ref="BE13">IF(AND(BE$2&lt;&gt;0,TblTech[[#This Row],[Hour]:[Hour]]&gt;=BE$2),1,0)</f>
        <v>0</v>
      </c>
      <c r="BF13" s="276" cm="1">
        <f t="array" ref="BF13">IF(AND(BF$2&lt;&gt;0,TblTech[[#This Row],[Hour]:[Hour]]&gt;=BF$2),1,0)</f>
        <v>0</v>
      </c>
      <c r="BG13" s="276" cm="1">
        <f t="array" ref="BG13">IF(AND(BG$2&lt;&gt;0,TblTech[[#This Row],[Hour]:[Hour]]&gt;=BG$2),1,0)</f>
        <v>0</v>
      </c>
      <c r="BH13" s="276" cm="1">
        <f t="array" ref="BH13">IF(AND(BH$2&lt;&gt;0,TblTech[[#This Row],[Hour]:[Hour]]&gt;=BH$2),1,0)</f>
        <v>0</v>
      </c>
      <c r="BI13" s="276" cm="1">
        <f t="array" ref="BI13">IF(AND(BI$2&lt;&gt;0,TblTech[[#This Row],[Hour]:[Hour]]&gt;=BI$2),1,0)</f>
        <v>0</v>
      </c>
      <c r="BJ13" s="276" cm="1">
        <f t="array" ref="BJ13">IF(AND(BJ$2&lt;&gt;0,TblTech[[#This Row],[Hour]:[Hour]]&gt;=BJ$2),1,0)</f>
        <v>0</v>
      </c>
      <c r="BK13" s="276" cm="1">
        <f t="array" ref="BK13">IF(AND(BK$2&lt;&gt;0,TblTech[[#This Row],[Hour]:[Hour]]&gt;=BK$2),1,0)</f>
        <v>0</v>
      </c>
      <c r="BL13" s="276" cm="1">
        <f t="array" ref="BL13">IF(AND(BL$2&lt;&gt;0,TblTech[[#This Row],[Hour]:[Hour]]&gt;=BL$2),1,0)</f>
        <v>0</v>
      </c>
      <c r="BM13" s="276" cm="1">
        <f t="array" ref="BM13">IF(AND(BM$2&lt;&gt;0,TblTech[[#This Row],[Hour]:[Hour]]&gt;=BM$2),1,0)</f>
        <v>0</v>
      </c>
      <c r="BN13" s="276" cm="1">
        <f t="array" ref="BN13">IF(AND(BN$2&lt;&gt;0,TblTech[[#This Row],[Hour]:[Hour]]&gt;=BN$2),1,0)</f>
        <v>0</v>
      </c>
      <c r="BO13" s="276" cm="1">
        <f t="array" ref="BO13">IF(AND(BO$2&lt;&gt;0,TblTech[[#This Row],[Hour]:[Hour]]&gt;=BO$2),1,0)</f>
        <v>0</v>
      </c>
      <c r="BP13" s="276" cm="1">
        <f t="array" ref="BP13">IF(AND(BP$2&lt;&gt;0,TblTech[[#This Row],[Hour]:[Hour]]&gt;=BP$2),1,0)</f>
        <v>0</v>
      </c>
      <c r="BQ13" s="276" cm="1">
        <f t="array" ref="BQ13">IF(AND(BQ$2&lt;&gt;0,TblTech[[#This Row],[Hour]:[Hour]]&gt;=BQ$2),1,0)</f>
        <v>0</v>
      </c>
      <c r="BR13" s="276" cm="1">
        <f t="array" ref="BR13">IF(AND(BR$2&lt;&gt;0,TblTech[[#This Row],[Hour]:[Hour]]&gt;=BR$2),1,0)</f>
        <v>0</v>
      </c>
      <c r="BS13" s="276" cm="1">
        <f t="array" ref="BS13">IF(AND(BS$2&lt;&gt;0,TblTech[[#This Row],[Hour]:[Hour]]&gt;=BS$2),1,0)</f>
        <v>0</v>
      </c>
      <c r="BT13" s="276" cm="1">
        <f t="array" ref="BT13">IF(AND(BT$2&lt;&gt;0,TblTech[[#This Row],[Hour]:[Hour]]&gt;=BT$2),1,0)</f>
        <v>0</v>
      </c>
      <c r="BU13" s="276" cm="1">
        <f t="array" ref="BU13">IF(AND(BU$2&lt;&gt;0,TblTech[[#This Row],[Hour]:[Hour]]&gt;=BU$2),1,0)</f>
        <v>0</v>
      </c>
      <c r="BV13" s="276" cm="1">
        <f t="array" ref="BV13">IF(AND(BV$2&lt;&gt;0,TblTech[[#This Row],[Hour]:[Hour]]&gt;=BV$2),1,0)</f>
        <v>0</v>
      </c>
      <c r="BW13" s="276" cm="1">
        <f t="array" ref="BW13">IF(AND(BW$2&lt;&gt;0,TblTech[[#This Row],[Hour]:[Hour]]&gt;=BW$2),1,0)</f>
        <v>0</v>
      </c>
      <c r="BX13" s="276" cm="1">
        <f t="array" ref="BX13">IF(AND(BX$2&lt;&gt;0,TblTech[[#This Row],[Hour]:[Hour]]&gt;=BX$2),1,0)</f>
        <v>0</v>
      </c>
      <c r="BY13" s="276" cm="1">
        <f t="array" ref="BY13">IF(AND(BY$2&lt;&gt;0,TblTech[[#This Row],[Hour]:[Hour]]&gt;=BY$2),1,0)</f>
        <v>0</v>
      </c>
      <c r="BZ13" s="276" cm="1">
        <f t="array" ref="BZ13">IF(AND(BZ$2&lt;&gt;0,TblTech[[#This Row],[Hour]:[Hour]]&gt;=BZ$2),1,0)</f>
        <v>0</v>
      </c>
      <c r="CA13" s="377">
        <f>IFERROR(INDEX($H$4:$H$79,MATCH(INDEX(TblTech[[#Headers],[1-1]:[11-1]],1,MATCH(TblTech[[#This Row],[Hour]],$M$2:$BZ$2,0)),$G$4:$G$79,0)),)</f>
        <v>0</v>
      </c>
    </row>
    <row r="14" spans="1:79" x14ac:dyDescent="0.2">
      <c r="A14" s="268">
        <f>TblRezone[[#This Row],[Hour]]</f>
        <v>11</v>
      </c>
      <c r="B14" s="269">
        <f ca="1">TblExplore[[#This Row],[Land-DB]]</f>
        <v>50</v>
      </c>
      <c r="C14" s="270">
        <f ca="1">TblProd[[#This Row],[Techpoints]]</f>
        <v>0</v>
      </c>
      <c r="D14" s="270">
        <f ca="1">TblProd[[#This Row],[Required]]</f>
        <v>3750</v>
      </c>
      <c r="E14" s="271"/>
      <c r="F14" s="272"/>
      <c r="G14" s="273" t="s">
        <v>550</v>
      </c>
      <c r="H14" s="274" t="s">
        <v>1048</v>
      </c>
      <c r="I14" s="273" t="s">
        <v>734</v>
      </c>
      <c r="J14" s="269"/>
      <c r="K14" s="93">
        <f ca="1">IF(TblTech[[#This Row],[Sum of tech]]&lt;&gt;OFFSET(TblTech[[#This Row],[Sum of tech]],-1,0),1,0)</f>
        <v>0</v>
      </c>
      <c r="L14" s="275">
        <f>COUNTIF(TblTech[[#This Row],[1-1]:[11-1]],1)</f>
        <v>0</v>
      </c>
      <c r="M14" s="276" cm="1">
        <f t="array" ref="M14">IF(AND(M$2&lt;&gt;0,TblTech[[#This Row],[Hour]:[Hour]]&gt;=M$2),1,0)</f>
        <v>0</v>
      </c>
      <c r="N14" s="276" cm="1">
        <f t="array" ref="N14">IF(AND(N$2&lt;&gt;0,TblTech[[#This Row],[Hour]:[Hour]]&gt;=N$2),1,0)</f>
        <v>0</v>
      </c>
      <c r="O14" s="276" cm="1">
        <f t="array" ref="O14">IF(AND(O$2&lt;&gt;0,TblTech[[#This Row],[Hour]:[Hour]]&gt;=O$2),1,0)</f>
        <v>0</v>
      </c>
      <c r="P14" s="276" cm="1">
        <f t="array" ref="P14">IF(AND(P$2&lt;&gt;0,TblTech[[#This Row],[Hour]:[Hour]]&gt;=P$2),1,0)</f>
        <v>0</v>
      </c>
      <c r="Q14" s="276" cm="1">
        <f t="array" ref="Q14">IF(AND(Q$2&lt;&gt;0,TblTech[[#This Row],[Hour]:[Hour]]&gt;=Q$2),1,0)</f>
        <v>0</v>
      </c>
      <c r="R14" s="276" cm="1">
        <f t="array" ref="R14">IF(AND(R$2&lt;&gt;0,TblTech[[#This Row],[Hour]:[Hour]]&gt;=R$2),1,0)</f>
        <v>0</v>
      </c>
      <c r="S14" s="276" cm="1">
        <f t="array" ref="S14">IF(AND(S$2&lt;&gt;0,TblTech[[#This Row],[Hour]:[Hour]]&gt;=S$2),1,0)</f>
        <v>0</v>
      </c>
      <c r="T14" s="276" cm="1">
        <f t="array" ref="T14">IF(AND(T$2&lt;&gt;0,TblTech[[#This Row],[Hour]:[Hour]]&gt;=T$2),1,0)</f>
        <v>0</v>
      </c>
      <c r="U14" s="276" cm="1">
        <f t="array" ref="U14">IF(AND(U$2&lt;&gt;0,TblTech[[#This Row],[Hour]:[Hour]]&gt;=U$2),1,0)</f>
        <v>0</v>
      </c>
      <c r="V14" s="276" cm="1">
        <f t="array" ref="V14">IF(AND(V$2&lt;&gt;0,TblTech[[#This Row],[Hour]:[Hour]]&gt;=V$2),1,0)</f>
        <v>0</v>
      </c>
      <c r="W14" s="276" cm="1">
        <f t="array" ref="W14">IF(AND(W$2&lt;&gt;0,TblTech[[#This Row],[Hour]:[Hour]]&gt;=W$2),1,0)</f>
        <v>0</v>
      </c>
      <c r="X14" s="276" cm="1">
        <f t="array" ref="X14">IF(AND(X$2&lt;&gt;0,TblTech[[#This Row],[Hour]:[Hour]]&gt;=X$2),1,0)</f>
        <v>0</v>
      </c>
      <c r="Y14" s="276" cm="1">
        <f t="array" ref="Y14">IF(AND(Y$2&lt;&gt;0,TblTech[[#This Row],[Hour]:[Hour]]&gt;=Y$2),1,0)</f>
        <v>0</v>
      </c>
      <c r="Z14" s="276" cm="1">
        <f t="array" ref="Z14">IF(AND(Z$2&lt;&gt;0,TblTech[[#This Row],[Hour]:[Hour]]&gt;=Z$2),1,0)</f>
        <v>0</v>
      </c>
      <c r="AA14" s="276" cm="1">
        <f t="array" ref="AA14">IF(AND(AA$2&lt;&gt;0,TblTech[[#This Row],[Hour]:[Hour]]&gt;=AA$2),1,0)</f>
        <v>0</v>
      </c>
      <c r="AB14" s="276" cm="1">
        <f t="array" ref="AB14">IF(AND(AB$2&lt;&gt;0,TblTech[[#This Row],[Hour]:[Hour]]&gt;=AB$2),1,0)</f>
        <v>0</v>
      </c>
      <c r="AC14" s="276" cm="1">
        <f t="array" ref="AC14">IF(AND(AC$2&lt;&gt;0,TblTech[[#This Row],[Hour]:[Hour]]&gt;=AC$2),1,0)</f>
        <v>0</v>
      </c>
      <c r="AD14" s="276" cm="1">
        <f t="array" ref="AD14">IF(AND(AD$2&lt;&gt;0,TblTech[[#This Row],[Hour]:[Hour]]&gt;=AD$2),1,0)</f>
        <v>0</v>
      </c>
      <c r="AE14" s="276" cm="1">
        <f t="array" ref="AE14">IF(AND(AE$2&lt;&gt;0,TblTech[[#This Row],[Hour]:[Hour]]&gt;=AE$2),1,0)</f>
        <v>0</v>
      </c>
      <c r="AF14" s="276" cm="1">
        <f t="array" ref="AF14">IF(AND(AF$2&lt;&gt;0,TblTech[[#This Row],[Hour]:[Hour]]&gt;=AF$2),1,0)</f>
        <v>0</v>
      </c>
      <c r="AG14" s="276" cm="1">
        <f t="array" ref="AG14">IF(AND(AG$2&lt;&gt;0,TblTech[[#This Row],[Hour]:[Hour]]&gt;=AG$2),1,0)</f>
        <v>0</v>
      </c>
      <c r="AH14" s="276" cm="1">
        <f t="array" ref="AH14">IF(AND(AH$2&lt;&gt;0,TblTech[[#This Row],[Hour]:[Hour]]&gt;=AH$2),1,0)</f>
        <v>0</v>
      </c>
      <c r="AI14" s="276" cm="1">
        <f t="array" ref="AI14">IF(AND(AI$2&lt;&gt;0,TblTech[[#This Row],[Hour]:[Hour]]&gt;=AI$2),1,0)</f>
        <v>0</v>
      </c>
      <c r="AJ14" s="276" cm="1">
        <f t="array" ref="AJ14">IF(AND(AJ$2&lt;&gt;0,TblTech[[#This Row],[Hour]:[Hour]]&gt;=AJ$2),1,0)</f>
        <v>0</v>
      </c>
      <c r="AK14" s="276" cm="1">
        <f t="array" ref="AK14">IF(AND(AK$2&lt;&gt;0,TblTech[[#This Row],[Hour]:[Hour]]&gt;=AK$2),1,0)</f>
        <v>0</v>
      </c>
      <c r="AL14" s="276" cm="1">
        <f t="array" ref="AL14">IF(AND(AL$2&lt;&gt;0,TblTech[[#This Row],[Hour]:[Hour]]&gt;=AL$2),1,0)</f>
        <v>0</v>
      </c>
      <c r="AM14" s="276" cm="1">
        <f t="array" ref="AM14">IF(AND(AM$2&lt;&gt;0,TblTech[[#This Row],[Hour]:[Hour]]&gt;=AM$2),1,0)</f>
        <v>0</v>
      </c>
      <c r="AN14" s="276" cm="1">
        <f t="array" ref="AN14">IF(AND(AN$2&lt;&gt;0,TblTech[[#This Row],[Hour]:[Hour]]&gt;=AN$2),1,0)</f>
        <v>0</v>
      </c>
      <c r="AO14" s="276" cm="1">
        <f t="array" ref="AO14">IF(AND(AO$2&lt;&gt;0,TblTech[[#This Row],[Hour]:[Hour]]&gt;=AO$2),1,0)</f>
        <v>0</v>
      </c>
      <c r="AP14" s="276" cm="1">
        <f t="array" ref="AP14">IF(AND(AP$2&lt;&gt;0,TblTech[[#This Row],[Hour]:[Hour]]&gt;=AP$2),1,0)</f>
        <v>0</v>
      </c>
      <c r="AQ14" s="276" cm="1">
        <f t="array" ref="AQ14">IF(AND(AQ$2&lt;&gt;0,TblTech[[#This Row],[Hour]:[Hour]]&gt;=AQ$2),1,0)</f>
        <v>0</v>
      </c>
      <c r="AR14" s="276" cm="1">
        <f t="array" ref="AR14">IF(AND(AR$2&lt;&gt;0,TblTech[[#This Row],[Hour]:[Hour]]&gt;=AR$2),1,0)</f>
        <v>0</v>
      </c>
      <c r="AS14" s="276" cm="1">
        <f t="array" ref="AS14">IF(AND(AS$2&lt;&gt;0,TblTech[[#This Row],[Hour]:[Hour]]&gt;=AS$2),1,0)</f>
        <v>0</v>
      </c>
      <c r="AT14" s="276" cm="1">
        <f t="array" ref="AT14">IF(AND(AT$2&lt;&gt;0,TblTech[[#This Row],[Hour]:[Hour]]&gt;=AT$2),1,0)</f>
        <v>0</v>
      </c>
      <c r="AU14" s="276" cm="1">
        <f t="array" ref="AU14">IF(AND(AU$2&lt;&gt;0,TblTech[[#This Row],[Hour]:[Hour]]&gt;=AU$2),1,0)</f>
        <v>0</v>
      </c>
      <c r="AV14" s="276" cm="1">
        <f t="array" ref="AV14">IF(AND(AV$2&lt;&gt;0,TblTech[[#This Row],[Hour]:[Hour]]&gt;=AV$2),1,0)</f>
        <v>0</v>
      </c>
      <c r="AW14" s="276" cm="1">
        <f t="array" ref="AW14">IF(AND(AW$2&lt;&gt;0,TblTech[[#This Row],[Hour]:[Hour]]&gt;=AW$2),1,0)</f>
        <v>0</v>
      </c>
      <c r="AX14" s="276" cm="1">
        <f t="array" ref="AX14">IF(AND(AX$2&lt;&gt;0,TblTech[[#This Row],[Hour]:[Hour]]&gt;=AX$2),1,0)</f>
        <v>0</v>
      </c>
      <c r="AY14" s="276" cm="1">
        <f t="array" ref="AY14">IF(AND(AY$2&lt;&gt;0,TblTech[[#This Row],[Hour]:[Hour]]&gt;=AY$2),1,0)</f>
        <v>0</v>
      </c>
      <c r="AZ14" s="276" cm="1">
        <f t="array" ref="AZ14">IF(AND(AZ$2&lt;&gt;0,TblTech[[#This Row],[Hour]:[Hour]]&gt;=AZ$2),1,0)</f>
        <v>0</v>
      </c>
      <c r="BA14" s="276" cm="1">
        <f t="array" ref="BA14">IF(AND(BA$2&lt;&gt;0,TblTech[[#This Row],[Hour]:[Hour]]&gt;=BA$2),1,0)</f>
        <v>0</v>
      </c>
      <c r="BB14" s="276" cm="1">
        <f t="array" ref="BB14">IF(AND(BB$2&lt;&gt;0,TblTech[[#This Row],[Hour]:[Hour]]&gt;=BB$2),1,0)</f>
        <v>0</v>
      </c>
      <c r="BC14" s="276" cm="1">
        <f t="array" ref="BC14">IF(AND(BC$2&lt;&gt;0,TblTech[[#This Row],[Hour]:[Hour]]&gt;=BC$2),1,0)</f>
        <v>0</v>
      </c>
      <c r="BD14" s="276" cm="1">
        <f t="array" ref="BD14">IF(AND(BD$2&lt;&gt;0,TblTech[[#This Row],[Hour]:[Hour]]&gt;=BD$2),1,0)</f>
        <v>0</v>
      </c>
      <c r="BE14" s="276" cm="1">
        <f t="array" ref="BE14">IF(AND(BE$2&lt;&gt;0,TblTech[[#This Row],[Hour]:[Hour]]&gt;=BE$2),1,0)</f>
        <v>0</v>
      </c>
      <c r="BF14" s="276" cm="1">
        <f t="array" ref="BF14">IF(AND(BF$2&lt;&gt;0,TblTech[[#This Row],[Hour]:[Hour]]&gt;=BF$2),1,0)</f>
        <v>0</v>
      </c>
      <c r="BG14" s="276" cm="1">
        <f t="array" ref="BG14">IF(AND(BG$2&lt;&gt;0,TblTech[[#This Row],[Hour]:[Hour]]&gt;=BG$2),1,0)</f>
        <v>0</v>
      </c>
      <c r="BH14" s="276" cm="1">
        <f t="array" ref="BH14">IF(AND(BH$2&lt;&gt;0,TblTech[[#This Row],[Hour]:[Hour]]&gt;=BH$2),1,0)</f>
        <v>0</v>
      </c>
      <c r="BI14" s="276" cm="1">
        <f t="array" ref="BI14">IF(AND(BI$2&lt;&gt;0,TblTech[[#This Row],[Hour]:[Hour]]&gt;=BI$2),1,0)</f>
        <v>0</v>
      </c>
      <c r="BJ14" s="276" cm="1">
        <f t="array" ref="BJ14">IF(AND(BJ$2&lt;&gt;0,TblTech[[#This Row],[Hour]:[Hour]]&gt;=BJ$2),1,0)</f>
        <v>0</v>
      </c>
      <c r="BK14" s="276" cm="1">
        <f t="array" ref="BK14">IF(AND(BK$2&lt;&gt;0,TblTech[[#This Row],[Hour]:[Hour]]&gt;=BK$2),1,0)</f>
        <v>0</v>
      </c>
      <c r="BL14" s="276" cm="1">
        <f t="array" ref="BL14">IF(AND(BL$2&lt;&gt;0,TblTech[[#This Row],[Hour]:[Hour]]&gt;=BL$2),1,0)</f>
        <v>0</v>
      </c>
      <c r="BM14" s="276" cm="1">
        <f t="array" ref="BM14">IF(AND(BM$2&lt;&gt;0,TblTech[[#This Row],[Hour]:[Hour]]&gt;=BM$2),1,0)</f>
        <v>0</v>
      </c>
      <c r="BN14" s="276" cm="1">
        <f t="array" ref="BN14">IF(AND(BN$2&lt;&gt;0,TblTech[[#This Row],[Hour]:[Hour]]&gt;=BN$2),1,0)</f>
        <v>0</v>
      </c>
      <c r="BO14" s="276" cm="1">
        <f t="array" ref="BO14">IF(AND(BO$2&lt;&gt;0,TblTech[[#This Row],[Hour]:[Hour]]&gt;=BO$2),1,0)</f>
        <v>0</v>
      </c>
      <c r="BP14" s="276" cm="1">
        <f t="array" ref="BP14">IF(AND(BP$2&lt;&gt;0,TblTech[[#This Row],[Hour]:[Hour]]&gt;=BP$2),1,0)</f>
        <v>0</v>
      </c>
      <c r="BQ14" s="276" cm="1">
        <f t="array" ref="BQ14">IF(AND(BQ$2&lt;&gt;0,TblTech[[#This Row],[Hour]:[Hour]]&gt;=BQ$2),1,0)</f>
        <v>0</v>
      </c>
      <c r="BR14" s="276" cm="1">
        <f t="array" ref="BR14">IF(AND(BR$2&lt;&gt;0,TblTech[[#This Row],[Hour]:[Hour]]&gt;=BR$2),1,0)</f>
        <v>0</v>
      </c>
      <c r="BS14" s="276" cm="1">
        <f t="array" ref="BS14">IF(AND(BS$2&lt;&gt;0,TblTech[[#This Row],[Hour]:[Hour]]&gt;=BS$2),1,0)</f>
        <v>0</v>
      </c>
      <c r="BT14" s="276" cm="1">
        <f t="array" ref="BT14">IF(AND(BT$2&lt;&gt;0,TblTech[[#This Row],[Hour]:[Hour]]&gt;=BT$2),1,0)</f>
        <v>0</v>
      </c>
      <c r="BU14" s="276" cm="1">
        <f t="array" ref="BU14">IF(AND(BU$2&lt;&gt;0,TblTech[[#This Row],[Hour]:[Hour]]&gt;=BU$2),1,0)</f>
        <v>0</v>
      </c>
      <c r="BV14" s="276" cm="1">
        <f t="array" ref="BV14">IF(AND(BV$2&lt;&gt;0,TblTech[[#This Row],[Hour]:[Hour]]&gt;=BV$2),1,0)</f>
        <v>0</v>
      </c>
      <c r="BW14" s="276" cm="1">
        <f t="array" ref="BW14">IF(AND(BW$2&lt;&gt;0,TblTech[[#This Row],[Hour]:[Hour]]&gt;=BW$2),1,0)</f>
        <v>0</v>
      </c>
      <c r="BX14" s="276" cm="1">
        <f t="array" ref="BX14">IF(AND(BX$2&lt;&gt;0,TblTech[[#This Row],[Hour]:[Hour]]&gt;=BX$2),1,0)</f>
        <v>0</v>
      </c>
      <c r="BY14" s="276" cm="1">
        <f t="array" ref="BY14">IF(AND(BY$2&lt;&gt;0,TblTech[[#This Row],[Hour]:[Hour]]&gt;=BY$2),1,0)</f>
        <v>0</v>
      </c>
      <c r="BZ14" s="276" cm="1">
        <f t="array" ref="BZ14">IF(AND(BZ$2&lt;&gt;0,TblTech[[#This Row],[Hour]:[Hour]]&gt;=BZ$2),1,0)</f>
        <v>0</v>
      </c>
      <c r="CA14" s="377">
        <f>IFERROR(INDEX($H$4:$H$79,MATCH(INDEX(TblTech[[#Headers],[1-1]:[11-1]],1,MATCH(TblTech[[#This Row],[Hour]],$M$2:$BZ$2,0)),$G$4:$G$79,0)),)</f>
        <v>0</v>
      </c>
    </row>
    <row r="15" spans="1:79" x14ac:dyDescent="0.2">
      <c r="A15" s="268">
        <f>TblRezone[[#This Row],[Hour]]</f>
        <v>12</v>
      </c>
      <c r="B15" s="269">
        <f ca="1">TblExplore[[#This Row],[Land-DB]]</f>
        <v>50</v>
      </c>
      <c r="C15" s="270">
        <f ca="1">TblProd[[#This Row],[Techpoints]]</f>
        <v>0</v>
      </c>
      <c r="D15" s="270">
        <f ca="1">TblProd[[#This Row],[Required]]</f>
        <v>3750</v>
      </c>
      <c r="E15" s="271"/>
      <c r="F15" s="272"/>
      <c r="G15" s="273"/>
      <c r="H15" s="274"/>
      <c r="I15" s="273"/>
      <c r="J15" s="269"/>
      <c r="K15" s="93">
        <f ca="1">IF(TblTech[[#This Row],[Sum of tech]]&lt;&gt;OFFSET(TblTech[[#This Row],[Sum of tech]],-1,0),1,0)</f>
        <v>0</v>
      </c>
      <c r="L15" s="275">
        <f>COUNTIF(TblTech[[#This Row],[1-1]:[11-1]],1)</f>
        <v>0</v>
      </c>
      <c r="M15" s="276" cm="1">
        <f t="array" ref="M15">IF(AND(M$2&lt;&gt;0,TblTech[[#This Row],[Hour]:[Hour]]&gt;=M$2),1,0)</f>
        <v>0</v>
      </c>
      <c r="N15" s="276" cm="1">
        <f t="array" ref="N15">IF(AND(N$2&lt;&gt;0,TblTech[[#This Row],[Hour]:[Hour]]&gt;=N$2),1,0)</f>
        <v>0</v>
      </c>
      <c r="O15" s="276" cm="1">
        <f t="array" ref="O15">IF(AND(O$2&lt;&gt;0,TblTech[[#This Row],[Hour]:[Hour]]&gt;=O$2),1,0)</f>
        <v>0</v>
      </c>
      <c r="P15" s="276" cm="1">
        <f t="array" ref="P15">IF(AND(P$2&lt;&gt;0,TblTech[[#This Row],[Hour]:[Hour]]&gt;=P$2),1,0)</f>
        <v>0</v>
      </c>
      <c r="Q15" s="276" cm="1">
        <f t="array" ref="Q15">IF(AND(Q$2&lt;&gt;0,TblTech[[#This Row],[Hour]:[Hour]]&gt;=Q$2),1,0)</f>
        <v>0</v>
      </c>
      <c r="R15" s="276" cm="1">
        <f t="array" ref="R15">IF(AND(R$2&lt;&gt;0,TblTech[[#This Row],[Hour]:[Hour]]&gt;=R$2),1,0)</f>
        <v>0</v>
      </c>
      <c r="S15" s="276" cm="1">
        <f t="array" ref="S15">IF(AND(S$2&lt;&gt;0,TblTech[[#This Row],[Hour]:[Hour]]&gt;=S$2),1,0)</f>
        <v>0</v>
      </c>
      <c r="T15" s="276" cm="1">
        <f t="array" ref="T15">IF(AND(T$2&lt;&gt;0,TblTech[[#This Row],[Hour]:[Hour]]&gt;=T$2),1,0)</f>
        <v>0</v>
      </c>
      <c r="U15" s="276" cm="1">
        <f t="array" ref="U15">IF(AND(U$2&lt;&gt;0,TblTech[[#This Row],[Hour]:[Hour]]&gt;=U$2),1,0)</f>
        <v>0</v>
      </c>
      <c r="V15" s="276" cm="1">
        <f t="array" ref="V15">IF(AND(V$2&lt;&gt;0,TblTech[[#This Row],[Hour]:[Hour]]&gt;=V$2),1,0)</f>
        <v>0</v>
      </c>
      <c r="W15" s="276" cm="1">
        <f t="array" ref="W15">IF(AND(W$2&lt;&gt;0,TblTech[[#This Row],[Hour]:[Hour]]&gt;=W$2),1,0)</f>
        <v>0</v>
      </c>
      <c r="X15" s="276" cm="1">
        <f t="array" ref="X15">IF(AND(X$2&lt;&gt;0,TblTech[[#This Row],[Hour]:[Hour]]&gt;=X$2),1,0)</f>
        <v>0</v>
      </c>
      <c r="Y15" s="276" cm="1">
        <f t="array" ref="Y15">IF(AND(Y$2&lt;&gt;0,TblTech[[#This Row],[Hour]:[Hour]]&gt;=Y$2),1,0)</f>
        <v>0</v>
      </c>
      <c r="Z15" s="276" cm="1">
        <f t="array" ref="Z15">IF(AND(Z$2&lt;&gt;0,TblTech[[#This Row],[Hour]:[Hour]]&gt;=Z$2),1,0)</f>
        <v>0</v>
      </c>
      <c r="AA15" s="276" cm="1">
        <f t="array" ref="AA15">IF(AND(AA$2&lt;&gt;0,TblTech[[#This Row],[Hour]:[Hour]]&gt;=AA$2),1,0)</f>
        <v>0</v>
      </c>
      <c r="AB15" s="276" cm="1">
        <f t="array" ref="AB15">IF(AND(AB$2&lt;&gt;0,TblTech[[#This Row],[Hour]:[Hour]]&gt;=AB$2),1,0)</f>
        <v>0</v>
      </c>
      <c r="AC15" s="276" cm="1">
        <f t="array" ref="AC15">IF(AND(AC$2&lt;&gt;0,TblTech[[#This Row],[Hour]:[Hour]]&gt;=AC$2),1,0)</f>
        <v>0</v>
      </c>
      <c r="AD15" s="276" cm="1">
        <f t="array" ref="AD15">IF(AND(AD$2&lt;&gt;0,TblTech[[#This Row],[Hour]:[Hour]]&gt;=AD$2),1,0)</f>
        <v>0</v>
      </c>
      <c r="AE15" s="276" cm="1">
        <f t="array" ref="AE15">IF(AND(AE$2&lt;&gt;0,TblTech[[#This Row],[Hour]:[Hour]]&gt;=AE$2),1,0)</f>
        <v>0</v>
      </c>
      <c r="AF15" s="276" cm="1">
        <f t="array" ref="AF15">IF(AND(AF$2&lt;&gt;0,TblTech[[#This Row],[Hour]:[Hour]]&gt;=AF$2),1,0)</f>
        <v>0</v>
      </c>
      <c r="AG15" s="276" cm="1">
        <f t="array" ref="AG15">IF(AND(AG$2&lt;&gt;0,TblTech[[#This Row],[Hour]:[Hour]]&gt;=AG$2),1,0)</f>
        <v>0</v>
      </c>
      <c r="AH15" s="276" cm="1">
        <f t="array" ref="AH15">IF(AND(AH$2&lt;&gt;0,TblTech[[#This Row],[Hour]:[Hour]]&gt;=AH$2),1,0)</f>
        <v>0</v>
      </c>
      <c r="AI15" s="276" cm="1">
        <f t="array" ref="AI15">IF(AND(AI$2&lt;&gt;0,TblTech[[#This Row],[Hour]:[Hour]]&gt;=AI$2),1,0)</f>
        <v>0</v>
      </c>
      <c r="AJ15" s="276" cm="1">
        <f t="array" ref="AJ15">IF(AND(AJ$2&lt;&gt;0,TblTech[[#This Row],[Hour]:[Hour]]&gt;=AJ$2),1,0)</f>
        <v>0</v>
      </c>
      <c r="AK15" s="276" cm="1">
        <f t="array" ref="AK15">IF(AND(AK$2&lt;&gt;0,TblTech[[#This Row],[Hour]:[Hour]]&gt;=AK$2),1,0)</f>
        <v>0</v>
      </c>
      <c r="AL15" s="276" cm="1">
        <f t="array" ref="AL15">IF(AND(AL$2&lt;&gt;0,TblTech[[#This Row],[Hour]:[Hour]]&gt;=AL$2),1,0)</f>
        <v>0</v>
      </c>
      <c r="AM15" s="276" cm="1">
        <f t="array" ref="AM15">IF(AND(AM$2&lt;&gt;0,TblTech[[#This Row],[Hour]:[Hour]]&gt;=AM$2),1,0)</f>
        <v>0</v>
      </c>
      <c r="AN15" s="276" cm="1">
        <f t="array" ref="AN15">IF(AND(AN$2&lt;&gt;0,TblTech[[#This Row],[Hour]:[Hour]]&gt;=AN$2),1,0)</f>
        <v>0</v>
      </c>
      <c r="AO15" s="276" cm="1">
        <f t="array" ref="AO15">IF(AND(AO$2&lt;&gt;0,TblTech[[#This Row],[Hour]:[Hour]]&gt;=AO$2),1,0)</f>
        <v>0</v>
      </c>
      <c r="AP15" s="276" cm="1">
        <f t="array" ref="AP15">IF(AND(AP$2&lt;&gt;0,TblTech[[#This Row],[Hour]:[Hour]]&gt;=AP$2),1,0)</f>
        <v>0</v>
      </c>
      <c r="AQ15" s="276" cm="1">
        <f t="array" ref="AQ15">IF(AND(AQ$2&lt;&gt;0,TblTech[[#This Row],[Hour]:[Hour]]&gt;=AQ$2),1,0)</f>
        <v>0</v>
      </c>
      <c r="AR15" s="276" cm="1">
        <f t="array" ref="AR15">IF(AND(AR$2&lt;&gt;0,TblTech[[#This Row],[Hour]:[Hour]]&gt;=AR$2),1,0)</f>
        <v>0</v>
      </c>
      <c r="AS15" s="276" cm="1">
        <f t="array" ref="AS15">IF(AND(AS$2&lt;&gt;0,TblTech[[#This Row],[Hour]:[Hour]]&gt;=AS$2),1,0)</f>
        <v>0</v>
      </c>
      <c r="AT15" s="276" cm="1">
        <f t="array" ref="AT15">IF(AND(AT$2&lt;&gt;0,TblTech[[#This Row],[Hour]:[Hour]]&gt;=AT$2),1,0)</f>
        <v>0</v>
      </c>
      <c r="AU15" s="276" cm="1">
        <f t="array" ref="AU15">IF(AND(AU$2&lt;&gt;0,TblTech[[#This Row],[Hour]:[Hour]]&gt;=AU$2),1,0)</f>
        <v>0</v>
      </c>
      <c r="AV15" s="276" cm="1">
        <f t="array" ref="AV15">IF(AND(AV$2&lt;&gt;0,TblTech[[#This Row],[Hour]:[Hour]]&gt;=AV$2),1,0)</f>
        <v>0</v>
      </c>
      <c r="AW15" s="276" cm="1">
        <f t="array" ref="AW15">IF(AND(AW$2&lt;&gt;0,TblTech[[#This Row],[Hour]:[Hour]]&gt;=AW$2),1,0)</f>
        <v>0</v>
      </c>
      <c r="AX15" s="276" cm="1">
        <f t="array" ref="AX15">IF(AND(AX$2&lt;&gt;0,TblTech[[#This Row],[Hour]:[Hour]]&gt;=AX$2),1,0)</f>
        <v>0</v>
      </c>
      <c r="AY15" s="276" cm="1">
        <f t="array" ref="AY15">IF(AND(AY$2&lt;&gt;0,TblTech[[#This Row],[Hour]:[Hour]]&gt;=AY$2),1,0)</f>
        <v>0</v>
      </c>
      <c r="AZ15" s="276" cm="1">
        <f t="array" ref="AZ15">IF(AND(AZ$2&lt;&gt;0,TblTech[[#This Row],[Hour]:[Hour]]&gt;=AZ$2),1,0)</f>
        <v>0</v>
      </c>
      <c r="BA15" s="276" cm="1">
        <f t="array" ref="BA15">IF(AND(BA$2&lt;&gt;0,TblTech[[#This Row],[Hour]:[Hour]]&gt;=BA$2),1,0)</f>
        <v>0</v>
      </c>
      <c r="BB15" s="276" cm="1">
        <f t="array" ref="BB15">IF(AND(BB$2&lt;&gt;0,TblTech[[#This Row],[Hour]:[Hour]]&gt;=BB$2),1,0)</f>
        <v>0</v>
      </c>
      <c r="BC15" s="276" cm="1">
        <f t="array" ref="BC15">IF(AND(BC$2&lt;&gt;0,TblTech[[#This Row],[Hour]:[Hour]]&gt;=BC$2),1,0)</f>
        <v>0</v>
      </c>
      <c r="BD15" s="276" cm="1">
        <f t="array" ref="BD15">IF(AND(BD$2&lt;&gt;0,TblTech[[#This Row],[Hour]:[Hour]]&gt;=BD$2),1,0)</f>
        <v>0</v>
      </c>
      <c r="BE15" s="276" cm="1">
        <f t="array" ref="BE15">IF(AND(BE$2&lt;&gt;0,TblTech[[#This Row],[Hour]:[Hour]]&gt;=BE$2),1,0)</f>
        <v>0</v>
      </c>
      <c r="BF15" s="276" cm="1">
        <f t="array" ref="BF15">IF(AND(BF$2&lt;&gt;0,TblTech[[#This Row],[Hour]:[Hour]]&gt;=BF$2),1,0)</f>
        <v>0</v>
      </c>
      <c r="BG15" s="276" cm="1">
        <f t="array" ref="BG15">IF(AND(BG$2&lt;&gt;0,TblTech[[#This Row],[Hour]:[Hour]]&gt;=BG$2),1,0)</f>
        <v>0</v>
      </c>
      <c r="BH15" s="276" cm="1">
        <f t="array" ref="BH15">IF(AND(BH$2&lt;&gt;0,TblTech[[#This Row],[Hour]:[Hour]]&gt;=BH$2),1,0)</f>
        <v>0</v>
      </c>
      <c r="BI15" s="276" cm="1">
        <f t="array" ref="BI15">IF(AND(BI$2&lt;&gt;0,TblTech[[#This Row],[Hour]:[Hour]]&gt;=BI$2),1,0)</f>
        <v>0</v>
      </c>
      <c r="BJ15" s="276" cm="1">
        <f t="array" ref="BJ15">IF(AND(BJ$2&lt;&gt;0,TblTech[[#This Row],[Hour]:[Hour]]&gt;=BJ$2),1,0)</f>
        <v>0</v>
      </c>
      <c r="BK15" s="276" cm="1">
        <f t="array" ref="BK15">IF(AND(BK$2&lt;&gt;0,TblTech[[#This Row],[Hour]:[Hour]]&gt;=BK$2),1,0)</f>
        <v>0</v>
      </c>
      <c r="BL15" s="276" cm="1">
        <f t="array" ref="BL15">IF(AND(BL$2&lt;&gt;0,TblTech[[#This Row],[Hour]:[Hour]]&gt;=BL$2),1,0)</f>
        <v>0</v>
      </c>
      <c r="BM15" s="276" cm="1">
        <f t="array" ref="BM15">IF(AND(BM$2&lt;&gt;0,TblTech[[#This Row],[Hour]:[Hour]]&gt;=BM$2),1,0)</f>
        <v>0</v>
      </c>
      <c r="BN15" s="276" cm="1">
        <f t="array" ref="BN15">IF(AND(BN$2&lt;&gt;0,TblTech[[#This Row],[Hour]:[Hour]]&gt;=BN$2),1,0)</f>
        <v>0</v>
      </c>
      <c r="BO15" s="276" cm="1">
        <f t="array" ref="BO15">IF(AND(BO$2&lt;&gt;0,TblTech[[#This Row],[Hour]:[Hour]]&gt;=BO$2),1,0)</f>
        <v>0</v>
      </c>
      <c r="BP15" s="276" cm="1">
        <f t="array" ref="BP15">IF(AND(BP$2&lt;&gt;0,TblTech[[#This Row],[Hour]:[Hour]]&gt;=BP$2),1,0)</f>
        <v>0</v>
      </c>
      <c r="BQ15" s="276" cm="1">
        <f t="array" ref="BQ15">IF(AND(BQ$2&lt;&gt;0,TblTech[[#This Row],[Hour]:[Hour]]&gt;=BQ$2),1,0)</f>
        <v>0</v>
      </c>
      <c r="BR15" s="276" cm="1">
        <f t="array" ref="BR15">IF(AND(BR$2&lt;&gt;0,TblTech[[#This Row],[Hour]:[Hour]]&gt;=BR$2),1,0)</f>
        <v>0</v>
      </c>
      <c r="BS15" s="276" cm="1">
        <f t="array" ref="BS15">IF(AND(BS$2&lt;&gt;0,TblTech[[#This Row],[Hour]:[Hour]]&gt;=BS$2),1,0)</f>
        <v>0</v>
      </c>
      <c r="BT15" s="276" cm="1">
        <f t="array" ref="BT15">IF(AND(BT$2&lt;&gt;0,TblTech[[#This Row],[Hour]:[Hour]]&gt;=BT$2),1,0)</f>
        <v>0</v>
      </c>
      <c r="BU15" s="276" cm="1">
        <f t="array" ref="BU15">IF(AND(BU$2&lt;&gt;0,TblTech[[#This Row],[Hour]:[Hour]]&gt;=BU$2),1,0)</f>
        <v>0</v>
      </c>
      <c r="BV15" s="276" cm="1">
        <f t="array" ref="BV15">IF(AND(BV$2&lt;&gt;0,TblTech[[#This Row],[Hour]:[Hour]]&gt;=BV$2),1,0)</f>
        <v>0</v>
      </c>
      <c r="BW15" s="276" cm="1">
        <f t="array" ref="BW15">IF(AND(BW$2&lt;&gt;0,TblTech[[#This Row],[Hour]:[Hour]]&gt;=BW$2),1,0)</f>
        <v>0</v>
      </c>
      <c r="BX15" s="276" cm="1">
        <f t="array" ref="BX15">IF(AND(BX$2&lt;&gt;0,TblTech[[#This Row],[Hour]:[Hour]]&gt;=BX$2),1,0)</f>
        <v>0</v>
      </c>
      <c r="BY15" s="276" cm="1">
        <f t="array" ref="BY15">IF(AND(BY$2&lt;&gt;0,TblTech[[#This Row],[Hour]:[Hour]]&gt;=BY$2),1,0)</f>
        <v>0</v>
      </c>
      <c r="BZ15" s="276" cm="1">
        <f t="array" ref="BZ15">IF(AND(BZ$2&lt;&gt;0,TblTech[[#This Row],[Hour]:[Hour]]&gt;=BZ$2),1,0)</f>
        <v>0</v>
      </c>
      <c r="CA15" s="377">
        <f>IFERROR(INDEX($H$4:$H$79,MATCH(INDEX(TblTech[[#Headers],[1-1]:[11-1]],1,MATCH(TblTech[[#This Row],[Hour]],$M$2:$BZ$2,0)),$G$4:$G$79,0)),)</f>
        <v>0</v>
      </c>
    </row>
    <row r="16" spans="1:79" x14ac:dyDescent="0.2">
      <c r="A16" s="268">
        <f>TblRezone[[#This Row],[Hour]]</f>
        <v>13</v>
      </c>
      <c r="B16" s="269">
        <f ca="1">TblExplore[[#This Row],[Land-DB]]</f>
        <v>50</v>
      </c>
      <c r="C16" s="270">
        <f ca="1">TblProd[[#This Row],[Techpoints]]</f>
        <v>0</v>
      </c>
      <c r="D16" s="270">
        <f ca="1">TblProd[[#This Row],[Required]]</f>
        <v>3750</v>
      </c>
      <c r="E16" s="271"/>
      <c r="F16" s="272"/>
      <c r="G16" s="273" t="s">
        <v>551</v>
      </c>
      <c r="H16" s="274" t="s">
        <v>686</v>
      </c>
      <c r="I16" s="273" t="s">
        <v>741</v>
      </c>
      <c r="J16" s="269"/>
      <c r="K16" s="93">
        <f ca="1">IF(TblTech[[#This Row],[Sum of tech]]&lt;&gt;OFFSET(TblTech[[#This Row],[Sum of tech]],-1,0),1,0)</f>
        <v>0</v>
      </c>
      <c r="L16" s="275">
        <f>COUNTIF(TblTech[[#This Row],[1-1]:[11-1]],1)</f>
        <v>0</v>
      </c>
      <c r="M16" s="276" cm="1">
        <f t="array" ref="M16">IF(AND(M$2&lt;&gt;0,TblTech[[#This Row],[Hour]:[Hour]]&gt;=M$2),1,0)</f>
        <v>0</v>
      </c>
      <c r="N16" s="276" cm="1">
        <f t="array" ref="N16">IF(AND(N$2&lt;&gt;0,TblTech[[#This Row],[Hour]:[Hour]]&gt;=N$2),1,0)</f>
        <v>0</v>
      </c>
      <c r="O16" s="276" cm="1">
        <f t="array" ref="O16">IF(AND(O$2&lt;&gt;0,TblTech[[#This Row],[Hour]:[Hour]]&gt;=O$2),1,0)</f>
        <v>0</v>
      </c>
      <c r="P16" s="276" cm="1">
        <f t="array" ref="P16">IF(AND(P$2&lt;&gt;0,TblTech[[#This Row],[Hour]:[Hour]]&gt;=P$2),1,0)</f>
        <v>0</v>
      </c>
      <c r="Q16" s="276" cm="1">
        <f t="array" ref="Q16">IF(AND(Q$2&lt;&gt;0,TblTech[[#This Row],[Hour]:[Hour]]&gt;=Q$2),1,0)</f>
        <v>0</v>
      </c>
      <c r="R16" s="276" cm="1">
        <f t="array" ref="R16">IF(AND(R$2&lt;&gt;0,TblTech[[#This Row],[Hour]:[Hour]]&gt;=R$2),1,0)</f>
        <v>0</v>
      </c>
      <c r="S16" s="276" cm="1">
        <f t="array" ref="S16">IF(AND(S$2&lt;&gt;0,TblTech[[#This Row],[Hour]:[Hour]]&gt;=S$2),1,0)</f>
        <v>0</v>
      </c>
      <c r="T16" s="276" cm="1">
        <f t="array" ref="T16">IF(AND(T$2&lt;&gt;0,TblTech[[#This Row],[Hour]:[Hour]]&gt;=T$2),1,0)</f>
        <v>0</v>
      </c>
      <c r="U16" s="276" cm="1">
        <f t="array" ref="U16">IF(AND(U$2&lt;&gt;0,TblTech[[#This Row],[Hour]:[Hour]]&gt;=U$2),1,0)</f>
        <v>0</v>
      </c>
      <c r="V16" s="276" cm="1">
        <f t="array" ref="V16">IF(AND(V$2&lt;&gt;0,TblTech[[#This Row],[Hour]:[Hour]]&gt;=V$2),1,0)</f>
        <v>0</v>
      </c>
      <c r="W16" s="276" cm="1">
        <f t="array" ref="W16">IF(AND(W$2&lt;&gt;0,TblTech[[#This Row],[Hour]:[Hour]]&gt;=W$2),1,0)</f>
        <v>0</v>
      </c>
      <c r="X16" s="276" cm="1">
        <f t="array" ref="X16">IF(AND(X$2&lt;&gt;0,TblTech[[#This Row],[Hour]:[Hour]]&gt;=X$2),1,0)</f>
        <v>0</v>
      </c>
      <c r="Y16" s="276" cm="1">
        <f t="array" ref="Y16">IF(AND(Y$2&lt;&gt;0,TblTech[[#This Row],[Hour]:[Hour]]&gt;=Y$2),1,0)</f>
        <v>0</v>
      </c>
      <c r="Z16" s="276" cm="1">
        <f t="array" ref="Z16">IF(AND(Z$2&lt;&gt;0,TblTech[[#This Row],[Hour]:[Hour]]&gt;=Z$2),1,0)</f>
        <v>0</v>
      </c>
      <c r="AA16" s="276" cm="1">
        <f t="array" ref="AA16">IF(AND(AA$2&lt;&gt;0,TblTech[[#This Row],[Hour]:[Hour]]&gt;=AA$2),1,0)</f>
        <v>0</v>
      </c>
      <c r="AB16" s="276" cm="1">
        <f t="array" ref="AB16">IF(AND(AB$2&lt;&gt;0,TblTech[[#This Row],[Hour]:[Hour]]&gt;=AB$2),1,0)</f>
        <v>0</v>
      </c>
      <c r="AC16" s="276" cm="1">
        <f t="array" ref="AC16">IF(AND(AC$2&lt;&gt;0,TblTech[[#This Row],[Hour]:[Hour]]&gt;=AC$2),1,0)</f>
        <v>0</v>
      </c>
      <c r="AD16" s="276" cm="1">
        <f t="array" ref="AD16">IF(AND(AD$2&lt;&gt;0,TblTech[[#This Row],[Hour]:[Hour]]&gt;=AD$2),1,0)</f>
        <v>0</v>
      </c>
      <c r="AE16" s="276" cm="1">
        <f t="array" ref="AE16">IF(AND(AE$2&lt;&gt;0,TblTech[[#This Row],[Hour]:[Hour]]&gt;=AE$2),1,0)</f>
        <v>0</v>
      </c>
      <c r="AF16" s="276" cm="1">
        <f t="array" ref="AF16">IF(AND(AF$2&lt;&gt;0,TblTech[[#This Row],[Hour]:[Hour]]&gt;=AF$2),1,0)</f>
        <v>0</v>
      </c>
      <c r="AG16" s="276" cm="1">
        <f t="array" ref="AG16">IF(AND(AG$2&lt;&gt;0,TblTech[[#This Row],[Hour]:[Hour]]&gt;=AG$2),1,0)</f>
        <v>0</v>
      </c>
      <c r="AH16" s="276" cm="1">
        <f t="array" ref="AH16">IF(AND(AH$2&lt;&gt;0,TblTech[[#This Row],[Hour]:[Hour]]&gt;=AH$2),1,0)</f>
        <v>0</v>
      </c>
      <c r="AI16" s="276" cm="1">
        <f t="array" ref="AI16">IF(AND(AI$2&lt;&gt;0,TblTech[[#This Row],[Hour]:[Hour]]&gt;=AI$2),1,0)</f>
        <v>0</v>
      </c>
      <c r="AJ16" s="276" cm="1">
        <f t="array" ref="AJ16">IF(AND(AJ$2&lt;&gt;0,TblTech[[#This Row],[Hour]:[Hour]]&gt;=AJ$2),1,0)</f>
        <v>0</v>
      </c>
      <c r="AK16" s="276" cm="1">
        <f t="array" ref="AK16">IF(AND(AK$2&lt;&gt;0,TblTech[[#This Row],[Hour]:[Hour]]&gt;=AK$2),1,0)</f>
        <v>0</v>
      </c>
      <c r="AL16" s="276" cm="1">
        <f t="array" ref="AL16">IF(AND(AL$2&lt;&gt;0,TblTech[[#This Row],[Hour]:[Hour]]&gt;=AL$2),1,0)</f>
        <v>0</v>
      </c>
      <c r="AM16" s="276" cm="1">
        <f t="array" ref="AM16">IF(AND(AM$2&lt;&gt;0,TblTech[[#This Row],[Hour]:[Hour]]&gt;=AM$2),1,0)</f>
        <v>0</v>
      </c>
      <c r="AN16" s="276" cm="1">
        <f t="array" ref="AN16">IF(AND(AN$2&lt;&gt;0,TblTech[[#This Row],[Hour]:[Hour]]&gt;=AN$2),1,0)</f>
        <v>0</v>
      </c>
      <c r="AO16" s="276" cm="1">
        <f t="array" ref="AO16">IF(AND(AO$2&lt;&gt;0,TblTech[[#This Row],[Hour]:[Hour]]&gt;=AO$2),1,0)</f>
        <v>0</v>
      </c>
      <c r="AP16" s="276" cm="1">
        <f t="array" ref="AP16">IF(AND(AP$2&lt;&gt;0,TblTech[[#This Row],[Hour]:[Hour]]&gt;=AP$2),1,0)</f>
        <v>0</v>
      </c>
      <c r="AQ16" s="276" cm="1">
        <f t="array" ref="AQ16">IF(AND(AQ$2&lt;&gt;0,TblTech[[#This Row],[Hour]:[Hour]]&gt;=AQ$2),1,0)</f>
        <v>0</v>
      </c>
      <c r="AR16" s="276" cm="1">
        <f t="array" ref="AR16">IF(AND(AR$2&lt;&gt;0,TblTech[[#This Row],[Hour]:[Hour]]&gt;=AR$2),1,0)</f>
        <v>0</v>
      </c>
      <c r="AS16" s="276" cm="1">
        <f t="array" ref="AS16">IF(AND(AS$2&lt;&gt;0,TblTech[[#This Row],[Hour]:[Hour]]&gt;=AS$2),1,0)</f>
        <v>0</v>
      </c>
      <c r="AT16" s="276" cm="1">
        <f t="array" ref="AT16">IF(AND(AT$2&lt;&gt;0,TblTech[[#This Row],[Hour]:[Hour]]&gt;=AT$2),1,0)</f>
        <v>0</v>
      </c>
      <c r="AU16" s="276" cm="1">
        <f t="array" ref="AU16">IF(AND(AU$2&lt;&gt;0,TblTech[[#This Row],[Hour]:[Hour]]&gt;=AU$2),1,0)</f>
        <v>0</v>
      </c>
      <c r="AV16" s="276" cm="1">
        <f t="array" ref="AV16">IF(AND(AV$2&lt;&gt;0,TblTech[[#This Row],[Hour]:[Hour]]&gt;=AV$2),1,0)</f>
        <v>0</v>
      </c>
      <c r="AW16" s="276" cm="1">
        <f t="array" ref="AW16">IF(AND(AW$2&lt;&gt;0,TblTech[[#This Row],[Hour]:[Hour]]&gt;=AW$2),1,0)</f>
        <v>0</v>
      </c>
      <c r="AX16" s="276" cm="1">
        <f t="array" ref="AX16">IF(AND(AX$2&lt;&gt;0,TblTech[[#This Row],[Hour]:[Hour]]&gt;=AX$2),1,0)</f>
        <v>0</v>
      </c>
      <c r="AY16" s="276" cm="1">
        <f t="array" ref="AY16">IF(AND(AY$2&lt;&gt;0,TblTech[[#This Row],[Hour]:[Hour]]&gt;=AY$2),1,0)</f>
        <v>0</v>
      </c>
      <c r="AZ16" s="276" cm="1">
        <f t="array" ref="AZ16">IF(AND(AZ$2&lt;&gt;0,TblTech[[#This Row],[Hour]:[Hour]]&gt;=AZ$2),1,0)</f>
        <v>0</v>
      </c>
      <c r="BA16" s="276" cm="1">
        <f t="array" ref="BA16">IF(AND(BA$2&lt;&gt;0,TblTech[[#This Row],[Hour]:[Hour]]&gt;=BA$2),1,0)</f>
        <v>0</v>
      </c>
      <c r="BB16" s="276" cm="1">
        <f t="array" ref="BB16">IF(AND(BB$2&lt;&gt;0,TblTech[[#This Row],[Hour]:[Hour]]&gt;=BB$2),1,0)</f>
        <v>0</v>
      </c>
      <c r="BC16" s="276" cm="1">
        <f t="array" ref="BC16">IF(AND(BC$2&lt;&gt;0,TblTech[[#This Row],[Hour]:[Hour]]&gt;=BC$2),1,0)</f>
        <v>0</v>
      </c>
      <c r="BD16" s="276" cm="1">
        <f t="array" ref="BD16">IF(AND(BD$2&lt;&gt;0,TblTech[[#This Row],[Hour]:[Hour]]&gt;=BD$2),1,0)</f>
        <v>0</v>
      </c>
      <c r="BE16" s="276" cm="1">
        <f t="array" ref="BE16">IF(AND(BE$2&lt;&gt;0,TblTech[[#This Row],[Hour]:[Hour]]&gt;=BE$2),1,0)</f>
        <v>0</v>
      </c>
      <c r="BF16" s="276" cm="1">
        <f t="array" ref="BF16">IF(AND(BF$2&lt;&gt;0,TblTech[[#This Row],[Hour]:[Hour]]&gt;=BF$2),1,0)</f>
        <v>0</v>
      </c>
      <c r="BG16" s="276" cm="1">
        <f t="array" ref="BG16">IF(AND(BG$2&lt;&gt;0,TblTech[[#This Row],[Hour]:[Hour]]&gt;=BG$2),1,0)</f>
        <v>0</v>
      </c>
      <c r="BH16" s="276" cm="1">
        <f t="array" ref="BH16">IF(AND(BH$2&lt;&gt;0,TblTech[[#This Row],[Hour]:[Hour]]&gt;=BH$2),1,0)</f>
        <v>0</v>
      </c>
      <c r="BI16" s="276" cm="1">
        <f t="array" ref="BI16">IF(AND(BI$2&lt;&gt;0,TblTech[[#This Row],[Hour]:[Hour]]&gt;=BI$2),1,0)</f>
        <v>0</v>
      </c>
      <c r="BJ16" s="276" cm="1">
        <f t="array" ref="BJ16">IF(AND(BJ$2&lt;&gt;0,TblTech[[#This Row],[Hour]:[Hour]]&gt;=BJ$2),1,0)</f>
        <v>0</v>
      </c>
      <c r="BK16" s="276" cm="1">
        <f t="array" ref="BK16">IF(AND(BK$2&lt;&gt;0,TblTech[[#This Row],[Hour]:[Hour]]&gt;=BK$2),1,0)</f>
        <v>0</v>
      </c>
      <c r="BL16" s="276" cm="1">
        <f t="array" ref="BL16">IF(AND(BL$2&lt;&gt;0,TblTech[[#This Row],[Hour]:[Hour]]&gt;=BL$2),1,0)</f>
        <v>0</v>
      </c>
      <c r="BM16" s="276" cm="1">
        <f t="array" ref="BM16">IF(AND(BM$2&lt;&gt;0,TblTech[[#This Row],[Hour]:[Hour]]&gt;=BM$2),1,0)</f>
        <v>0</v>
      </c>
      <c r="BN16" s="276" cm="1">
        <f t="array" ref="BN16">IF(AND(BN$2&lt;&gt;0,TblTech[[#This Row],[Hour]:[Hour]]&gt;=BN$2),1,0)</f>
        <v>0</v>
      </c>
      <c r="BO16" s="276" cm="1">
        <f t="array" ref="BO16">IF(AND(BO$2&lt;&gt;0,TblTech[[#This Row],[Hour]:[Hour]]&gt;=BO$2),1,0)</f>
        <v>0</v>
      </c>
      <c r="BP16" s="276" cm="1">
        <f t="array" ref="BP16">IF(AND(BP$2&lt;&gt;0,TblTech[[#This Row],[Hour]:[Hour]]&gt;=BP$2),1,0)</f>
        <v>0</v>
      </c>
      <c r="BQ16" s="276" cm="1">
        <f t="array" ref="BQ16">IF(AND(BQ$2&lt;&gt;0,TblTech[[#This Row],[Hour]:[Hour]]&gt;=BQ$2),1,0)</f>
        <v>0</v>
      </c>
      <c r="BR16" s="276" cm="1">
        <f t="array" ref="BR16">IF(AND(BR$2&lt;&gt;0,TblTech[[#This Row],[Hour]:[Hour]]&gt;=BR$2),1,0)</f>
        <v>0</v>
      </c>
      <c r="BS16" s="276" cm="1">
        <f t="array" ref="BS16">IF(AND(BS$2&lt;&gt;0,TblTech[[#This Row],[Hour]:[Hour]]&gt;=BS$2),1,0)</f>
        <v>0</v>
      </c>
      <c r="BT16" s="276" cm="1">
        <f t="array" ref="BT16">IF(AND(BT$2&lt;&gt;0,TblTech[[#This Row],[Hour]:[Hour]]&gt;=BT$2),1,0)</f>
        <v>0</v>
      </c>
      <c r="BU16" s="276" cm="1">
        <f t="array" ref="BU16">IF(AND(BU$2&lt;&gt;0,TblTech[[#This Row],[Hour]:[Hour]]&gt;=BU$2),1,0)</f>
        <v>0</v>
      </c>
      <c r="BV16" s="276" cm="1">
        <f t="array" ref="BV16">IF(AND(BV$2&lt;&gt;0,TblTech[[#This Row],[Hour]:[Hour]]&gt;=BV$2),1,0)</f>
        <v>0</v>
      </c>
      <c r="BW16" s="276" cm="1">
        <f t="array" ref="BW16">IF(AND(BW$2&lt;&gt;0,TblTech[[#This Row],[Hour]:[Hour]]&gt;=BW$2),1,0)</f>
        <v>0</v>
      </c>
      <c r="BX16" s="276" cm="1">
        <f t="array" ref="BX16">IF(AND(BX$2&lt;&gt;0,TblTech[[#This Row],[Hour]:[Hour]]&gt;=BX$2),1,0)</f>
        <v>0</v>
      </c>
      <c r="BY16" s="276" cm="1">
        <f t="array" ref="BY16">IF(AND(BY$2&lt;&gt;0,TblTech[[#This Row],[Hour]:[Hour]]&gt;=BY$2),1,0)</f>
        <v>0</v>
      </c>
      <c r="BZ16" s="276" cm="1">
        <f t="array" ref="BZ16">IF(AND(BZ$2&lt;&gt;0,TblTech[[#This Row],[Hour]:[Hour]]&gt;=BZ$2),1,0)</f>
        <v>0</v>
      </c>
      <c r="CA16" s="377">
        <f>IFERROR(INDEX($H$4:$H$79,MATCH(INDEX(TblTech[[#Headers],[1-1]:[11-1]],1,MATCH(TblTech[[#This Row],[Hour]],$M$2:$BZ$2,0)),$G$4:$G$79,0)),)</f>
        <v>0</v>
      </c>
    </row>
    <row r="17" spans="1:79" x14ac:dyDescent="0.2">
      <c r="A17" s="268">
        <f>TblRezone[[#This Row],[Hour]]</f>
        <v>14</v>
      </c>
      <c r="B17" s="269">
        <f ca="1">TblExplore[[#This Row],[Land-DB]]</f>
        <v>50</v>
      </c>
      <c r="C17" s="270">
        <f ca="1">TblProd[[#This Row],[Techpoints]]</f>
        <v>0</v>
      </c>
      <c r="D17" s="270">
        <f ca="1">TblProd[[#This Row],[Required]]</f>
        <v>3750</v>
      </c>
      <c r="E17" s="271"/>
      <c r="F17" s="272"/>
      <c r="G17" s="273" t="s">
        <v>552</v>
      </c>
      <c r="H17" s="274" t="s">
        <v>687</v>
      </c>
      <c r="I17" s="273" t="s">
        <v>742</v>
      </c>
      <c r="J17" s="269"/>
      <c r="K17" s="93">
        <f ca="1">IF(TblTech[[#This Row],[Sum of tech]]&lt;&gt;OFFSET(TblTech[[#This Row],[Sum of tech]],-1,0),1,0)</f>
        <v>0</v>
      </c>
      <c r="L17" s="275">
        <f>COUNTIF(TblTech[[#This Row],[1-1]:[11-1]],1)</f>
        <v>0</v>
      </c>
      <c r="M17" s="276" cm="1">
        <f t="array" ref="M17">IF(AND(M$2&lt;&gt;0,TblTech[[#This Row],[Hour]:[Hour]]&gt;=M$2),1,0)</f>
        <v>0</v>
      </c>
      <c r="N17" s="276" cm="1">
        <f t="array" ref="N17">IF(AND(N$2&lt;&gt;0,TblTech[[#This Row],[Hour]:[Hour]]&gt;=N$2),1,0)</f>
        <v>0</v>
      </c>
      <c r="O17" s="276" cm="1">
        <f t="array" ref="O17">IF(AND(O$2&lt;&gt;0,TblTech[[#This Row],[Hour]:[Hour]]&gt;=O$2),1,0)</f>
        <v>0</v>
      </c>
      <c r="P17" s="276" cm="1">
        <f t="array" ref="P17">IF(AND(P$2&lt;&gt;0,TblTech[[#This Row],[Hour]:[Hour]]&gt;=P$2),1,0)</f>
        <v>0</v>
      </c>
      <c r="Q17" s="276" cm="1">
        <f t="array" ref="Q17">IF(AND(Q$2&lt;&gt;0,TblTech[[#This Row],[Hour]:[Hour]]&gt;=Q$2),1,0)</f>
        <v>0</v>
      </c>
      <c r="R17" s="276" cm="1">
        <f t="array" ref="R17">IF(AND(R$2&lt;&gt;0,TblTech[[#This Row],[Hour]:[Hour]]&gt;=R$2),1,0)</f>
        <v>0</v>
      </c>
      <c r="S17" s="276" cm="1">
        <f t="array" ref="S17">IF(AND(S$2&lt;&gt;0,TblTech[[#This Row],[Hour]:[Hour]]&gt;=S$2),1,0)</f>
        <v>0</v>
      </c>
      <c r="T17" s="276" cm="1">
        <f t="array" ref="T17">IF(AND(T$2&lt;&gt;0,TblTech[[#This Row],[Hour]:[Hour]]&gt;=T$2),1,0)</f>
        <v>0</v>
      </c>
      <c r="U17" s="276" cm="1">
        <f t="array" ref="U17">IF(AND(U$2&lt;&gt;0,TblTech[[#This Row],[Hour]:[Hour]]&gt;=U$2),1,0)</f>
        <v>0</v>
      </c>
      <c r="V17" s="276" cm="1">
        <f t="array" ref="V17">IF(AND(V$2&lt;&gt;0,TblTech[[#This Row],[Hour]:[Hour]]&gt;=V$2),1,0)</f>
        <v>0</v>
      </c>
      <c r="W17" s="276" cm="1">
        <f t="array" ref="W17">IF(AND(W$2&lt;&gt;0,TblTech[[#This Row],[Hour]:[Hour]]&gt;=W$2),1,0)</f>
        <v>0</v>
      </c>
      <c r="X17" s="276" cm="1">
        <f t="array" ref="X17">IF(AND(X$2&lt;&gt;0,TblTech[[#This Row],[Hour]:[Hour]]&gt;=X$2),1,0)</f>
        <v>0</v>
      </c>
      <c r="Y17" s="276" cm="1">
        <f t="array" ref="Y17">IF(AND(Y$2&lt;&gt;0,TblTech[[#This Row],[Hour]:[Hour]]&gt;=Y$2),1,0)</f>
        <v>0</v>
      </c>
      <c r="Z17" s="276" cm="1">
        <f t="array" ref="Z17">IF(AND(Z$2&lt;&gt;0,TblTech[[#This Row],[Hour]:[Hour]]&gt;=Z$2),1,0)</f>
        <v>0</v>
      </c>
      <c r="AA17" s="276" cm="1">
        <f t="array" ref="AA17">IF(AND(AA$2&lt;&gt;0,TblTech[[#This Row],[Hour]:[Hour]]&gt;=AA$2),1,0)</f>
        <v>0</v>
      </c>
      <c r="AB17" s="276" cm="1">
        <f t="array" ref="AB17">IF(AND(AB$2&lt;&gt;0,TblTech[[#This Row],[Hour]:[Hour]]&gt;=AB$2),1,0)</f>
        <v>0</v>
      </c>
      <c r="AC17" s="276" cm="1">
        <f t="array" ref="AC17">IF(AND(AC$2&lt;&gt;0,TblTech[[#This Row],[Hour]:[Hour]]&gt;=AC$2),1,0)</f>
        <v>0</v>
      </c>
      <c r="AD17" s="276" cm="1">
        <f t="array" ref="AD17">IF(AND(AD$2&lt;&gt;0,TblTech[[#This Row],[Hour]:[Hour]]&gt;=AD$2),1,0)</f>
        <v>0</v>
      </c>
      <c r="AE17" s="276" cm="1">
        <f t="array" ref="AE17">IF(AND(AE$2&lt;&gt;0,TblTech[[#This Row],[Hour]:[Hour]]&gt;=AE$2),1,0)</f>
        <v>0</v>
      </c>
      <c r="AF17" s="276" cm="1">
        <f t="array" ref="AF17">IF(AND(AF$2&lt;&gt;0,TblTech[[#This Row],[Hour]:[Hour]]&gt;=AF$2),1,0)</f>
        <v>0</v>
      </c>
      <c r="AG17" s="276" cm="1">
        <f t="array" ref="AG17">IF(AND(AG$2&lt;&gt;0,TblTech[[#This Row],[Hour]:[Hour]]&gt;=AG$2),1,0)</f>
        <v>0</v>
      </c>
      <c r="AH17" s="276" cm="1">
        <f t="array" ref="AH17">IF(AND(AH$2&lt;&gt;0,TblTech[[#This Row],[Hour]:[Hour]]&gt;=AH$2),1,0)</f>
        <v>0</v>
      </c>
      <c r="AI17" s="276" cm="1">
        <f t="array" ref="AI17">IF(AND(AI$2&lt;&gt;0,TblTech[[#This Row],[Hour]:[Hour]]&gt;=AI$2),1,0)</f>
        <v>0</v>
      </c>
      <c r="AJ17" s="276" cm="1">
        <f t="array" ref="AJ17">IF(AND(AJ$2&lt;&gt;0,TblTech[[#This Row],[Hour]:[Hour]]&gt;=AJ$2),1,0)</f>
        <v>0</v>
      </c>
      <c r="AK17" s="276" cm="1">
        <f t="array" ref="AK17">IF(AND(AK$2&lt;&gt;0,TblTech[[#This Row],[Hour]:[Hour]]&gt;=AK$2),1,0)</f>
        <v>0</v>
      </c>
      <c r="AL17" s="276" cm="1">
        <f t="array" ref="AL17">IF(AND(AL$2&lt;&gt;0,TblTech[[#This Row],[Hour]:[Hour]]&gt;=AL$2),1,0)</f>
        <v>0</v>
      </c>
      <c r="AM17" s="276" cm="1">
        <f t="array" ref="AM17">IF(AND(AM$2&lt;&gt;0,TblTech[[#This Row],[Hour]:[Hour]]&gt;=AM$2),1,0)</f>
        <v>0</v>
      </c>
      <c r="AN17" s="276" cm="1">
        <f t="array" ref="AN17">IF(AND(AN$2&lt;&gt;0,TblTech[[#This Row],[Hour]:[Hour]]&gt;=AN$2),1,0)</f>
        <v>0</v>
      </c>
      <c r="AO17" s="276" cm="1">
        <f t="array" ref="AO17">IF(AND(AO$2&lt;&gt;0,TblTech[[#This Row],[Hour]:[Hour]]&gt;=AO$2),1,0)</f>
        <v>0</v>
      </c>
      <c r="AP17" s="276" cm="1">
        <f t="array" ref="AP17">IF(AND(AP$2&lt;&gt;0,TblTech[[#This Row],[Hour]:[Hour]]&gt;=AP$2),1,0)</f>
        <v>0</v>
      </c>
      <c r="AQ17" s="276" cm="1">
        <f t="array" ref="AQ17">IF(AND(AQ$2&lt;&gt;0,TblTech[[#This Row],[Hour]:[Hour]]&gt;=AQ$2),1,0)</f>
        <v>0</v>
      </c>
      <c r="AR17" s="276" cm="1">
        <f t="array" ref="AR17">IF(AND(AR$2&lt;&gt;0,TblTech[[#This Row],[Hour]:[Hour]]&gt;=AR$2),1,0)</f>
        <v>0</v>
      </c>
      <c r="AS17" s="276" cm="1">
        <f t="array" ref="AS17">IF(AND(AS$2&lt;&gt;0,TblTech[[#This Row],[Hour]:[Hour]]&gt;=AS$2),1,0)</f>
        <v>0</v>
      </c>
      <c r="AT17" s="276" cm="1">
        <f t="array" ref="AT17">IF(AND(AT$2&lt;&gt;0,TblTech[[#This Row],[Hour]:[Hour]]&gt;=AT$2),1,0)</f>
        <v>0</v>
      </c>
      <c r="AU17" s="276" cm="1">
        <f t="array" ref="AU17">IF(AND(AU$2&lt;&gt;0,TblTech[[#This Row],[Hour]:[Hour]]&gt;=AU$2),1,0)</f>
        <v>0</v>
      </c>
      <c r="AV17" s="276" cm="1">
        <f t="array" ref="AV17">IF(AND(AV$2&lt;&gt;0,TblTech[[#This Row],[Hour]:[Hour]]&gt;=AV$2),1,0)</f>
        <v>0</v>
      </c>
      <c r="AW17" s="276" cm="1">
        <f t="array" ref="AW17">IF(AND(AW$2&lt;&gt;0,TblTech[[#This Row],[Hour]:[Hour]]&gt;=AW$2),1,0)</f>
        <v>0</v>
      </c>
      <c r="AX17" s="276" cm="1">
        <f t="array" ref="AX17">IF(AND(AX$2&lt;&gt;0,TblTech[[#This Row],[Hour]:[Hour]]&gt;=AX$2),1,0)</f>
        <v>0</v>
      </c>
      <c r="AY17" s="276" cm="1">
        <f t="array" ref="AY17">IF(AND(AY$2&lt;&gt;0,TblTech[[#This Row],[Hour]:[Hour]]&gt;=AY$2),1,0)</f>
        <v>0</v>
      </c>
      <c r="AZ17" s="276" cm="1">
        <f t="array" ref="AZ17">IF(AND(AZ$2&lt;&gt;0,TblTech[[#This Row],[Hour]:[Hour]]&gt;=AZ$2),1,0)</f>
        <v>0</v>
      </c>
      <c r="BA17" s="276" cm="1">
        <f t="array" ref="BA17">IF(AND(BA$2&lt;&gt;0,TblTech[[#This Row],[Hour]:[Hour]]&gt;=BA$2),1,0)</f>
        <v>0</v>
      </c>
      <c r="BB17" s="276" cm="1">
        <f t="array" ref="BB17">IF(AND(BB$2&lt;&gt;0,TblTech[[#This Row],[Hour]:[Hour]]&gt;=BB$2),1,0)</f>
        <v>0</v>
      </c>
      <c r="BC17" s="276" cm="1">
        <f t="array" ref="BC17">IF(AND(BC$2&lt;&gt;0,TblTech[[#This Row],[Hour]:[Hour]]&gt;=BC$2),1,0)</f>
        <v>0</v>
      </c>
      <c r="BD17" s="276" cm="1">
        <f t="array" ref="BD17">IF(AND(BD$2&lt;&gt;0,TblTech[[#This Row],[Hour]:[Hour]]&gt;=BD$2),1,0)</f>
        <v>0</v>
      </c>
      <c r="BE17" s="276" cm="1">
        <f t="array" ref="BE17">IF(AND(BE$2&lt;&gt;0,TblTech[[#This Row],[Hour]:[Hour]]&gt;=BE$2),1,0)</f>
        <v>0</v>
      </c>
      <c r="BF17" s="276" cm="1">
        <f t="array" ref="BF17">IF(AND(BF$2&lt;&gt;0,TblTech[[#This Row],[Hour]:[Hour]]&gt;=BF$2),1,0)</f>
        <v>0</v>
      </c>
      <c r="BG17" s="276" cm="1">
        <f t="array" ref="BG17">IF(AND(BG$2&lt;&gt;0,TblTech[[#This Row],[Hour]:[Hour]]&gt;=BG$2),1,0)</f>
        <v>0</v>
      </c>
      <c r="BH17" s="276" cm="1">
        <f t="array" ref="BH17">IF(AND(BH$2&lt;&gt;0,TblTech[[#This Row],[Hour]:[Hour]]&gt;=BH$2),1,0)</f>
        <v>0</v>
      </c>
      <c r="BI17" s="276" cm="1">
        <f t="array" ref="BI17">IF(AND(BI$2&lt;&gt;0,TblTech[[#This Row],[Hour]:[Hour]]&gt;=BI$2),1,0)</f>
        <v>0</v>
      </c>
      <c r="BJ17" s="276" cm="1">
        <f t="array" ref="BJ17">IF(AND(BJ$2&lt;&gt;0,TblTech[[#This Row],[Hour]:[Hour]]&gt;=BJ$2),1,0)</f>
        <v>0</v>
      </c>
      <c r="BK17" s="276" cm="1">
        <f t="array" ref="BK17">IF(AND(BK$2&lt;&gt;0,TblTech[[#This Row],[Hour]:[Hour]]&gt;=BK$2),1,0)</f>
        <v>0</v>
      </c>
      <c r="BL17" s="276" cm="1">
        <f t="array" ref="BL17">IF(AND(BL$2&lt;&gt;0,TblTech[[#This Row],[Hour]:[Hour]]&gt;=BL$2),1,0)</f>
        <v>0</v>
      </c>
      <c r="BM17" s="276" cm="1">
        <f t="array" ref="BM17">IF(AND(BM$2&lt;&gt;0,TblTech[[#This Row],[Hour]:[Hour]]&gt;=BM$2),1,0)</f>
        <v>0</v>
      </c>
      <c r="BN17" s="276" cm="1">
        <f t="array" ref="BN17">IF(AND(BN$2&lt;&gt;0,TblTech[[#This Row],[Hour]:[Hour]]&gt;=BN$2),1,0)</f>
        <v>0</v>
      </c>
      <c r="BO17" s="276" cm="1">
        <f t="array" ref="BO17">IF(AND(BO$2&lt;&gt;0,TblTech[[#This Row],[Hour]:[Hour]]&gt;=BO$2),1,0)</f>
        <v>0</v>
      </c>
      <c r="BP17" s="276" cm="1">
        <f t="array" ref="BP17">IF(AND(BP$2&lt;&gt;0,TblTech[[#This Row],[Hour]:[Hour]]&gt;=BP$2),1,0)</f>
        <v>0</v>
      </c>
      <c r="BQ17" s="276" cm="1">
        <f t="array" ref="BQ17">IF(AND(BQ$2&lt;&gt;0,TblTech[[#This Row],[Hour]:[Hour]]&gt;=BQ$2),1,0)</f>
        <v>0</v>
      </c>
      <c r="BR17" s="276" cm="1">
        <f t="array" ref="BR17">IF(AND(BR$2&lt;&gt;0,TblTech[[#This Row],[Hour]:[Hour]]&gt;=BR$2),1,0)</f>
        <v>0</v>
      </c>
      <c r="BS17" s="276" cm="1">
        <f t="array" ref="BS17">IF(AND(BS$2&lt;&gt;0,TblTech[[#This Row],[Hour]:[Hour]]&gt;=BS$2),1,0)</f>
        <v>0</v>
      </c>
      <c r="BT17" s="276" cm="1">
        <f t="array" ref="BT17">IF(AND(BT$2&lt;&gt;0,TblTech[[#This Row],[Hour]:[Hour]]&gt;=BT$2),1,0)</f>
        <v>0</v>
      </c>
      <c r="BU17" s="276" cm="1">
        <f t="array" ref="BU17">IF(AND(BU$2&lt;&gt;0,TblTech[[#This Row],[Hour]:[Hour]]&gt;=BU$2),1,0)</f>
        <v>0</v>
      </c>
      <c r="BV17" s="276" cm="1">
        <f t="array" ref="BV17">IF(AND(BV$2&lt;&gt;0,TblTech[[#This Row],[Hour]:[Hour]]&gt;=BV$2),1,0)</f>
        <v>0</v>
      </c>
      <c r="BW17" s="276" cm="1">
        <f t="array" ref="BW17">IF(AND(BW$2&lt;&gt;0,TblTech[[#This Row],[Hour]:[Hour]]&gt;=BW$2),1,0)</f>
        <v>0</v>
      </c>
      <c r="BX17" s="276" cm="1">
        <f t="array" ref="BX17">IF(AND(BX$2&lt;&gt;0,TblTech[[#This Row],[Hour]:[Hour]]&gt;=BX$2),1,0)</f>
        <v>0</v>
      </c>
      <c r="BY17" s="276" cm="1">
        <f t="array" ref="BY17">IF(AND(BY$2&lt;&gt;0,TblTech[[#This Row],[Hour]:[Hour]]&gt;=BY$2),1,0)</f>
        <v>0</v>
      </c>
      <c r="BZ17" s="276" cm="1">
        <f t="array" ref="BZ17">IF(AND(BZ$2&lt;&gt;0,TblTech[[#This Row],[Hour]:[Hour]]&gt;=BZ$2),1,0)</f>
        <v>0</v>
      </c>
      <c r="CA17" s="377">
        <f>IFERROR(INDEX($H$4:$H$79,MATCH(INDEX(TblTech[[#Headers],[1-1]:[11-1]],1,MATCH(TblTech[[#This Row],[Hour]],$M$2:$BZ$2,0)),$G$4:$G$79,0)),)</f>
        <v>0</v>
      </c>
    </row>
    <row r="18" spans="1:79" x14ac:dyDescent="0.2">
      <c r="A18" s="268">
        <f>TblRezone[[#This Row],[Hour]]</f>
        <v>15</v>
      </c>
      <c r="B18" s="269">
        <f ca="1">TblExplore[[#This Row],[Land-DB]]</f>
        <v>50</v>
      </c>
      <c r="C18" s="270">
        <f ca="1">TblProd[[#This Row],[Techpoints]]</f>
        <v>0</v>
      </c>
      <c r="D18" s="270">
        <f ca="1">TblProd[[#This Row],[Required]]</f>
        <v>3750</v>
      </c>
      <c r="E18" s="271"/>
      <c r="F18" s="272"/>
      <c r="G18" s="273" t="s">
        <v>553</v>
      </c>
      <c r="H18" s="274" t="s">
        <v>688</v>
      </c>
      <c r="I18" s="273" t="s">
        <v>1081</v>
      </c>
      <c r="J18" s="269"/>
      <c r="K18" s="93">
        <f ca="1">IF(TblTech[[#This Row],[Sum of tech]]&lt;&gt;OFFSET(TblTech[[#This Row],[Sum of tech]],-1,0),1,0)</f>
        <v>0</v>
      </c>
      <c r="L18" s="275">
        <f>COUNTIF(TblTech[[#This Row],[1-1]:[11-1]],1)</f>
        <v>0</v>
      </c>
      <c r="M18" s="276" cm="1">
        <f t="array" ref="M18">IF(AND(M$2&lt;&gt;0,TblTech[[#This Row],[Hour]:[Hour]]&gt;=M$2),1,0)</f>
        <v>0</v>
      </c>
      <c r="N18" s="276" cm="1">
        <f t="array" ref="N18">IF(AND(N$2&lt;&gt;0,TblTech[[#This Row],[Hour]:[Hour]]&gt;=N$2),1,0)</f>
        <v>0</v>
      </c>
      <c r="O18" s="276" cm="1">
        <f t="array" ref="O18">IF(AND(O$2&lt;&gt;0,TblTech[[#This Row],[Hour]:[Hour]]&gt;=O$2),1,0)</f>
        <v>0</v>
      </c>
      <c r="P18" s="276" cm="1">
        <f t="array" ref="P18">IF(AND(P$2&lt;&gt;0,TblTech[[#This Row],[Hour]:[Hour]]&gt;=P$2),1,0)</f>
        <v>0</v>
      </c>
      <c r="Q18" s="276" cm="1">
        <f t="array" ref="Q18">IF(AND(Q$2&lt;&gt;0,TblTech[[#This Row],[Hour]:[Hour]]&gt;=Q$2),1,0)</f>
        <v>0</v>
      </c>
      <c r="R18" s="276" cm="1">
        <f t="array" ref="R18">IF(AND(R$2&lt;&gt;0,TblTech[[#This Row],[Hour]:[Hour]]&gt;=R$2),1,0)</f>
        <v>0</v>
      </c>
      <c r="S18" s="276" cm="1">
        <f t="array" ref="S18">IF(AND(S$2&lt;&gt;0,TblTech[[#This Row],[Hour]:[Hour]]&gt;=S$2),1,0)</f>
        <v>0</v>
      </c>
      <c r="T18" s="276" cm="1">
        <f t="array" ref="T18">IF(AND(T$2&lt;&gt;0,TblTech[[#This Row],[Hour]:[Hour]]&gt;=T$2),1,0)</f>
        <v>0</v>
      </c>
      <c r="U18" s="276" cm="1">
        <f t="array" ref="U18">IF(AND(U$2&lt;&gt;0,TblTech[[#This Row],[Hour]:[Hour]]&gt;=U$2),1,0)</f>
        <v>0</v>
      </c>
      <c r="V18" s="276" cm="1">
        <f t="array" ref="V18">IF(AND(V$2&lt;&gt;0,TblTech[[#This Row],[Hour]:[Hour]]&gt;=V$2),1,0)</f>
        <v>0</v>
      </c>
      <c r="W18" s="276" cm="1">
        <f t="array" ref="W18">IF(AND(W$2&lt;&gt;0,TblTech[[#This Row],[Hour]:[Hour]]&gt;=W$2),1,0)</f>
        <v>0</v>
      </c>
      <c r="X18" s="276" cm="1">
        <f t="array" ref="X18">IF(AND(X$2&lt;&gt;0,TblTech[[#This Row],[Hour]:[Hour]]&gt;=X$2),1,0)</f>
        <v>0</v>
      </c>
      <c r="Y18" s="276" cm="1">
        <f t="array" ref="Y18">IF(AND(Y$2&lt;&gt;0,TblTech[[#This Row],[Hour]:[Hour]]&gt;=Y$2),1,0)</f>
        <v>0</v>
      </c>
      <c r="Z18" s="276" cm="1">
        <f t="array" ref="Z18">IF(AND(Z$2&lt;&gt;0,TblTech[[#This Row],[Hour]:[Hour]]&gt;=Z$2),1,0)</f>
        <v>0</v>
      </c>
      <c r="AA18" s="276" cm="1">
        <f t="array" ref="AA18">IF(AND(AA$2&lt;&gt;0,TblTech[[#This Row],[Hour]:[Hour]]&gt;=AA$2),1,0)</f>
        <v>0</v>
      </c>
      <c r="AB18" s="276" cm="1">
        <f t="array" ref="AB18">IF(AND(AB$2&lt;&gt;0,TblTech[[#This Row],[Hour]:[Hour]]&gt;=AB$2),1,0)</f>
        <v>0</v>
      </c>
      <c r="AC18" s="276" cm="1">
        <f t="array" ref="AC18">IF(AND(AC$2&lt;&gt;0,TblTech[[#This Row],[Hour]:[Hour]]&gt;=AC$2),1,0)</f>
        <v>0</v>
      </c>
      <c r="AD18" s="276" cm="1">
        <f t="array" ref="AD18">IF(AND(AD$2&lt;&gt;0,TblTech[[#This Row],[Hour]:[Hour]]&gt;=AD$2),1,0)</f>
        <v>0</v>
      </c>
      <c r="AE18" s="276" cm="1">
        <f t="array" ref="AE18">IF(AND(AE$2&lt;&gt;0,TblTech[[#This Row],[Hour]:[Hour]]&gt;=AE$2),1,0)</f>
        <v>0</v>
      </c>
      <c r="AF18" s="276" cm="1">
        <f t="array" ref="AF18">IF(AND(AF$2&lt;&gt;0,TblTech[[#This Row],[Hour]:[Hour]]&gt;=AF$2),1,0)</f>
        <v>0</v>
      </c>
      <c r="AG18" s="276" cm="1">
        <f t="array" ref="AG18">IF(AND(AG$2&lt;&gt;0,TblTech[[#This Row],[Hour]:[Hour]]&gt;=AG$2),1,0)</f>
        <v>0</v>
      </c>
      <c r="AH18" s="276" cm="1">
        <f t="array" ref="AH18">IF(AND(AH$2&lt;&gt;0,TblTech[[#This Row],[Hour]:[Hour]]&gt;=AH$2),1,0)</f>
        <v>0</v>
      </c>
      <c r="AI18" s="276" cm="1">
        <f t="array" ref="AI18">IF(AND(AI$2&lt;&gt;0,TblTech[[#This Row],[Hour]:[Hour]]&gt;=AI$2),1,0)</f>
        <v>0</v>
      </c>
      <c r="AJ18" s="276" cm="1">
        <f t="array" ref="AJ18">IF(AND(AJ$2&lt;&gt;0,TblTech[[#This Row],[Hour]:[Hour]]&gt;=AJ$2),1,0)</f>
        <v>0</v>
      </c>
      <c r="AK18" s="276" cm="1">
        <f t="array" ref="AK18">IF(AND(AK$2&lt;&gt;0,TblTech[[#This Row],[Hour]:[Hour]]&gt;=AK$2),1,0)</f>
        <v>0</v>
      </c>
      <c r="AL18" s="276" cm="1">
        <f t="array" ref="AL18">IF(AND(AL$2&lt;&gt;0,TblTech[[#This Row],[Hour]:[Hour]]&gt;=AL$2),1,0)</f>
        <v>0</v>
      </c>
      <c r="AM18" s="276" cm="1">
        <f t="array" ref="AM18">IF(AND(AM$2&lt;&gt;0,TblTech[[#This Row],[Hour]:[Hour]]&gt;=AM$2),1,0)</f>
        <v>0</v>
      </c>
      <c r="AN18" s="276" cm="1">
        <f t="array" ref="AN18">IF(AND(AN$2&lt;&gt;0,TblTech[[#This Row],[Hour]:[Hour]]&gt;=AN$2),1,0)</f>
        <v>0</v>
      </c>
      <c r="AO18" s="276" cm="1">
        <f t="array" ref="AO18">IF(AND(AO$2&lt;&gt;0,TblTech[[#This Row],[Hour]:[Hour]]&gt;=AO$2),1,0)</f>
        <v>0</v>
      </c>
      <c r="AP18" s="276" cm="1">
        <f t="array" ref="AP18">IF(AND(AP$2&lt;&gt;0,TblTech[[#This Row],[Hour]:[Hour]]&gt;=AP$2),1,0)</f>
        <v>0</v>
      </c>
      <c r="AQ18" s="276" cm="1">
        <f t="array" ref="AQ18">IF(AND(AQ$2&lt;&gt;0,TblTech[[#This Row],[Hour]:[Hour]]&gt;=AQ$2),1,0)</f>
        <v>0</v>
      </c>
      <c r="AR18" s="276" cm="1">
        <f t="array" ref="AR18">IF(AND(AR$2&lt;&gt;0,TblTech[[#This Row],[Hour]:[Hour]]&gt;=AR$2),1,0)</f>
        <v>0</v>
      </c>
      <c r="AS18" s="276" cm="1">
        <f t="array" ref="AS18">IF(AND(AS$2&lt;&gt;0,TblTech[[#This Row],[Hour]:[Hour]]&gt;=AS$2),1,0)</f>
        <v>0</v>
      </c>
      <c r="AT18" s="276" cm="1">
        <f t="array" ref="AT18">IF(AND(AT$2&lt;&gt;0,TblTech[[#This Row],[Hour]:[Hour]]&gt;=AT$2),1,0)</f>
        <v>0</v>
      </c>
      <c r="AU18" s="276" cm="1">
        <f t="array" ref="AU18">IF(AND(AU$2&lt;&gt;0,TblTech[[#This Row],[Hour]:[Hour]]&gt;=AU$2),1,0)</f>
        <v>0</v>
      </c>
      <c r="AV18" s="276" cm="1">
        <f t="array" ref="AV18">IF(AND(AV$2&lt;&gt;0,TblTech[[#This Row],[Hour]:[Hour]]&gt;=AV$2),1,0)</f>
        <v>0</v>
      </c>
      <c r="AW18" s="276" cm="1">
        <f t="array" ref="AW18">IF(AND(AW$2&lt;&gt;0,TblTech[[#This Row],[Hour]:[Hour]]&gt;=AW$2),1,0)</f>
        <v>0</v>
      </c>
      <c r="AX18" s="276" cm="1">
        <f t="array" ref="AX18">IF(AND(AX$2&lt;&gt;0,TblTech[[#This Row],[Hour]:[Hour]]&gt;=AX$2),1,0)</f>
        <v>0</v>
      </c>
      <c r="AY18" s="276" cm="1">
        <f t="array" ref="AY18">IF(AND(AY$2&lt;&gt;0,TblTech[[#This Row],[Hour]:[Hour]]&gt;=AY$2),1,0)</f>
        <v>0</v>
      </c>
      <c r="AZ18" s="276" cm="1">
        <f t="array" ref="AZ18">IF(AND(AZ$2&lt;&gt;0,TblTech[[#This Row],[Hour]:[Hour]]&gt;=AZ$2),1,0)</f>
        <v>0</v>
      </c>
      <c r="BA18" s="276" cm="1">
        <f t="array" ref="BA18">IF(AND(BA$2&lt;&gt;0,TblTech[[#This Row],[Hour]:[Hour]]&gt;=BA$2),1,0)</f>
        <v>0</v>
      </c>
      <c r="BB18" s="276" cm="1">
        <f t="array" ref="BB18">IF(AND(BB$2&lt;&gt;0,TblTech[[#This Row],[Hour]:[Hour]]&gt;=BB$2),1,0)</f>
        <v>0</v>
      </c>
      <c r="BC18" s="276" cm="1">
        <f t="array" ref="BC18">IF(AND(BC$2&lt;&gt;0,TblTech[[#This Row],[Hour]:[Hour]]&gt;=BC$2),1,0)</f>
        <v>0</v>
      </c>
      <c r="BD18" s="276" cm="1">
        <f t="array" ref="BD18">IF(AND(BD$2&lt;&gt;0,TblTech[[#This Row],[Hour]:[Hour]]&gt;=BD$2),1,0)</f>
        <v>0</v>
      </c>
      <c r="BE18" s="276" cm="1">
        <f t="array" ref="BE18">IF(AND(BE$2&lt;&gt;0,TblTech[[#This Row],[Hour]:[Hour]]&gt;=BE$2),1,0)</f>
        <v>0</v>
      </c>
      <c r="BF18" s="276" cm="1">
        <f t="array" ref="BF18">IF(AND(BF$2&lt;&gt;0,TblTech[[#This Row],[Hour]:[Hour]]&gt;=BF$2),1,0)</f>
        <v>0</v>
      </c>
      <c r="BG18" s="276" cm="1">
        <f t="array" ref="BG18">IF(AND(BG$2&lt;&gt;0,TblTech[[#This Row],[Hour]:[Hour]]&gt;=BG$2),1,0)</f>
        <v>0</v>
      </c>
      <c r="BH18" s="276" cm="1">
        <f t="array" ref="BH18">IF(AND(BH$2&lt;&gt;0,TblTech[[#This Row],[Hour]:[Hour]]&gt;=BH$2),1,0)</f>
        <v>0</v>
      </c>
      <c r="BI18" s="276" cm="1">
        <f t="array" ref="BI18">IF(AND(BI$2&lt;&gt;0,TblTech[[#This Row],[Hour]:[Hour]]&gt;=BI$2),1,0)</f>
        <v>0</v>
      </c>
      <c r="BJ18" s="276" cm="1">
        <f t="array" ref="BJ18">IF(AND(BJ$2&lt;&gt;0,TblTech[[#This Row],[Hour]:[Hour]]&gt;=BJ$2),1,0)</f>
        <v>0</v>
      </c>
      <c r="BK18" s="276" cm="1">
        <f t="array" ref="BK18">IF(AND(BK$2&lt;&gt;0,TblTech[[#This Row],[Hour]:[Hour]]&gt;=BK$2),1,0)</f>
        <v>0</v>
      </c>
      <c r="BL18" s="276" cm="1">
        <f t="array" ref="BL18">IF(AND(BL$2&lt;&gt;0,TblTech[[#This Row],[Hour]:[Hour]]&gt;=BL$2),1,0)</f>
        <v>0</v>
      </c>
      <c r="BM18" s="276" cm="1">
        <f t="array" ref="BM18">IF(AND(BM$2&lt;&gt;0,TblTech[[#This Row],[Hour]:[Hour]]&gt;=BM$2),1,0)</f>
        <v>0</v>
      </c>
      <c r="BN18" s="276" cm="1">
        <f t="array" ref="BN18">IF(AND(BN$2&lt;&gt;0,TblTech[[#This Row],[Hour]:[Hour]]&gt;=BN$2),1,0)</f>
        <v>0</v>
      </c>
      <c r="BO18" s="276" cm="1">
        <f t="array" ref="BO18">IF(AND(BO$2&lt;&gt;0,TblTech[[#This Row],[Hour]:[Hour]]&gt;=BO$2),1,0)</f>
        <v>0</v>
      </c>
      <c r="BP18" s="276" cm="1">
        <f t="array" ref="BP18">IF(AND(BP$2&lt;&gt;0,TblTech[[#This Row],[Hour]:[Hour]]&gt;=BP$2),1,0)</f>
        <v>0</v>
      </c>
      <c r="BQ18" s="276" cm="1">
        <f t="array" ref="BQ18">IF(AND(BQ$2&lt;&gt;0,TblTech[[#This Row],[Hour]:[Hour]]&gt;=BQ$2),1,0)</f>
        <v>0</v>
      </c>
      <c r="BR18" s="276" cm="1">
        <f t="array" ref="BR18">IF(AND(BR$2&lt;&gt;0,TblTech[[#This Row],[Hour]:[Hour]]&gt;=BR$2),1,0)</f>
        <v>0</v>
      </c>
      <c r="BS18" s="276" cm="1">
        <f t="array" ref="BS18">IF(AND(BS$2&lt;&gt;0,TblTech[[#This Row],[Hour]:[Hour]]&gt;=BS$2),1,0)</f>
        <v>0</v>
      </c>
      <c r="BT18" s="276" cm="1">
        <f t="array" ref="BT18">IF(AND(BT$2&lt;&gt;0,TblTech[[#This Row],[Hour]:[Hour]]&gt;=BT$2),1,0)</f>
        <v>0</v>
      </c>
      <c r="BU18" s="276" cm="1">
        <f t="array" ref="BU18">IF(AND(BU$2&lt;&gt;0,TblTech[[#This Row],[Hour]:[Hour]]&gt;=BU$2),1,0)</f>
        <v>0</v>
      </c>
      <c r="BV18" s="276" cm="1">
        <f t="array" ref="BV18">IF(AND(BV$2&lt;&gt;0,TblTech[[#This Row],[Hour]:[Hour]]&gt;=BV$2),1,0)</f>
        <v>0</v>
      </c>
      <c r="BW18" s="276" cm="1">
        <f t="array" ref="BW18">IF(AND(BW$2&lt;&gt;0,TblTech[[#This Row],[Hour]:[Hour]]&gt;=BW$2),1,0)</f>
        <v>0</v>
      </c>
      <c r="BX18" s="276" cm="1">
        <f t="array" ref="BX18">IF(AND(BX$2&lt;&gt;0,TblTech[[#This Row],[Hour]:[Hour]]&gt;=BX$2),1,0)</f>
        <v>0</v>
      </c>
      <c r="BY18" s="276" cm="1">
        <f t="array" ref="BY18">IF(AND(BY$2&lt;&gt;0,TblTech[[#This Row],[Hour]:[Hour]]&gt;=BY$2),1,0)</f>
        <v>0</v>
      </c>
      <c r="BZ18" s="276" cm="1">
        <f t="array" ref="BZ18">IF(AND(BZ$2&lt;&gt;0,TblTech[[#This Row],[Hour]:[Hour]]&gt;=BZ$2),1,0)</f>
        <v>0</v>
      </c>
      <c r="CA18" s="377">
        <f>IFERROR(INDEX($H$4:$H$79,MATCH(INDEX(TblTech[[#Headers],[1-1]:[11-1]],1,MATCH(TblTech[[#This Row],[Hour]],$M$2:$BZ$2,0)),$G$4:$G$79,0)),)</f>
        <v>0</v>
      </c>
    </row>
    <row r="19" spans="1:79" x14ac:dyDescent="0.2">
      <c r="A19" s="268">
        <f>TblRezone[[#This Row],[Hour]]</f>
        <v>16</v>
      </c>
      <c r="B19" s="269">
        <f ca="1">TblExplore[[#This Row],[Land-DB]]</f>
        <v>50</v>
      </c>
      <c r="C19" s="270">
        <f ca="1">TblProd[[#This Row],[Techpoints]]</f>
        <v>0</v>
      </c>
      <c r="D19" s="270">
        <f ca="1">TblProd[[#This Row],[Required]]</f>
        <v>3750</v>
      </c>
      <c r="E19" s="271"/>
      <c r="F19" s="272"/>
      <c r="G19" s="273" t="s">
        <v>555</v>
      </c>
      <c r="H19" s="274" t="s">
        <v>689</v>
      </c>
      <c r="I19" s="273" t="s">
        <v>1156</v>
      </c>
      <c r="J19" s="269"/>
      <c r="K19" s="93">
        <f ca="1">IF(TblTech[[#This Row],[Sum of tech]]&lt;&gt;OFFSET(TblTech[[#This Row],[Sum of tech]],-1,0),1,0)</f>
        <v>0</v>
      </c>
      <c r="L19" s="275">
        <f>COUNTIF(TblTech[[#This Row],[1-1]:[11-1]],1)</f>
        <v>0</v>
      </c>
      <c r="M19" s="276" cm="1">
        <f t="array" ref="M19">IF(AND(M$2&lt;&gt;0,TblTech[[#This Row],[Hour]:[Hour]]&gt;=M$2),1,0)</f>
        <v>0</v>
      </c>
      <c r="N19" s="276" cm="1">
        <f t="array" ref="N19">IF(AND(N$2&lt;&gt;0,TblTech[[#This Row],[Hour]:[Hour]]&gt;=N$2),1,0)</f>
        <v>0</v>
      </c>
      <c r="O19" s="276" cm="1">
        <f t="array" ref="O19">IF(AND(O$2&lt;&gt;0,TblTech[[#This Row],[Hour]:[Hour]]&gt;=O$2),1,0)</f>
        <v>0</v>
      </c>
      <c r="P19" s="276" cm="1">
        <f t="array" ref="P19">IF(AND(P$2&lt;&gt;0,TblTech[[#This Row],[Hour]:[Hour]]&gt;=P$2),1,0)</f>
        <v>0</v>
      </c>
      <c r="Q19" s="276" cm="1">
        <f t="array" ref="Q19">IF(AND(Q$2&lt;&gt;0,TblTech[[#This Row],[Hour]:[Hour]]&gt;=Q$2),1,0)</f>
        <v>0</v>
      </c>
      <c r="R19" s="276" cm="1">
        <f t="array" ref="R19">IF(AND(R$2&lt;&gt;0,TblTech[[#This Row],[Hour]:[Hour]]&gt;=R$2),1,0)</f>
        <v>0</v>
      </c>
      <c r="S19" s="276" cm="1">
        <f t="array" ref="S19">IF(AND(S$2&lt;&gt;0,TblTech[[#This Row],[Hour]:[Hour]]&gt;=S$2),1,0)</f>
        <v>0</v>
      </c>
      <c r="T19" s="276" cm="1">
        <f t="array" ref="T19">IF(AND(T$2&lt;&gt;0,TblTech[[#This Row],[Hour]:[Hour]]&gt;=T$2),1,0)</f>
        <v>0</v>
      </c>
      <c r="U19" s="276" cm="1">
        <f t="array" ref="U19">IF(AND(U$2&lt;&gt;0,TblTech[[#This Row],[Hour]:[Hour]]&gt;=U$2),1,0)</f>
        <v>0</v>
      </c>
      <c r="V19" s="276" cm="1">
        <f t="array" ref="V19">IF(AND(V$2&lt;&gt;0,TblTech[[#This Row],[Hour]:[Hour]]&gt;=V$2),1,0)</f>
        <v>0</v>
      </c>
      <c r="W19" s="276" cm="1">
        <f t="array" ref="W19">IF(AND(W$2&lt;&gt;0,TblTech[[#This Row],[Hour]:[Hour]]&gt;=W$2),1,0)</f>
        <v>0</v>
      </c>
      <c r="X19" s="276" cm="1">
        <f t="array" ref="X19">IF(AND(X$2&lt;&gt;0,TblTech[[#This Row],[Hour]:[Hour]]&gt;=X$2),1,0)</f>
        <v>0</v>
      </c>
      <c r="Y19" s="276" cm="1">
        <f t="array" ref="Y19">IF(AND(Y$2&lt;&gt;0,TblTech[[#This Row],[Hour]:[Hour]]&gt;=Y$2),1,0)</f>
        <v>0</v>
      </c>
      <c r="Z19" s="276" cm="1">
        <f t="array" ref="Z19">IF(AND(Z$2&lt;&gt;0,TblTech[[#This Row],[Hour]:[Hour]]&gt;=Z$2),1,0)</f>
        <v>0</v>
      </c>
      <c r="AA19" s="276" cm="1">
        <f t="array" ref="AA19">IF(AND(AA$2&lt;&gt;0,TblTech[[#This Row],[Hour]:[Hour]]&gt;=AA$2),1,0)</f>
        <v>0</v>
      </c>
      <c r="AB19" s="276" cm="1">
        <f t="array" ref="AB19">IF(AND(AB$2&lt;&gt;0,TblTech[[#This Row],[Hour]:[Hour]]&gt;=AB$2),1,0)</f>
        <v>0</v>
      </c>
      <c r="AC19" s="276" cm="1">
        <f t="array" ref="AC19">IF(AND(AC$2&lt;&gt;0,TblTech[[#This Row],[Hour]:[Hour]]&gt;=AC$2),1,0)</f>
        <v>0</v>
      </c>
      <c r="AD19" s="276" cm="1">
        <f t="array" ref="AD19">IF(AND(AD$2&lt;&gt;0,TblTech[[#This Row],[Hour]:[Hour]]&gt;=AD$2),1,0)</f>
        <v>0</v>
      </c>
      <c r="AE19" s="276" cm="1">
        <f t="array" ref="AE19">IF(AND(AE$2&lt;&gt;0,TblTech[[#This Row],[Hour]:[Hour]]&gt;=AE$2),1,0)</f>
        <v>0</v>
      </c>
      <c r="AF19" s="276" cm="1">
        <f t="array" ref="AF19">IF(AND(AF$2&lt;&gt;0,TblTech[[#This Row],[Hour]:[Hour]]&gt;=AF$2),1,0)</f>
        <v>0</v>
      </c>
      <c r="AG19" s="276" cm="1">
        <f t="array" ref="AG19">IF(AND(AG$2&lt;&gt;0,TblTech[[#This Row],[Hour]:[Hour]]&gt;=AG$2),1,0)</f>
        <v>0</v>
      </c>
      <c r="AH19" s="276" cm="1">
        <f t="array" ref="AH19">IF(AND(AH$2&lt;&gt;0,TblTech[[#This Row],[Hour]:[Hour]]&gt;=AH$2),1,0)</f>
        <v>0</v>
      </c>
      <c r="AI19" s="276" cm="1">
        <f t="array" ref="AI19">IF(AND(AI$2&lt;&gt;0,TblTech[[#This Row],[Hour]:[Hour]]&gt;=AI$2),1,0)</f>
        <v>0</v>
      </c>
      <c r="AJ19" s="276" cm="1">
        <f t="array" ref="AJ19">IF(AND(AJ$2&lt;&gt;0,TblTech[[#This Row],[Hour]:[Hour]]&gt;=AJ$2),1,0)</f>
        <v>0</v>
      </c>
      <c r="AK19" s="276" cm="1">
        <f t="array" ref="AK19">IF(AND(AK$2&lt;&gt;0,TblTech[[#This Row],[Hour]:[Hour]]&gt;=AK$2),1,0)</f>
        <v>0</v>
      </c>
      <c r="AL19" s="276" cm="1">
        <f t="array" ref="AL19">IF(AND(AL$2&lt;&gt;0,TblTech[[#This Row],[Hour]:[Hour]]&gt;=AL$2),1,0)</f>
        <v>0</v>
      </c>
      <c r="AM19" s="276" cm="1">
        <f t="array" ref="AM19">IF(AND(AM$2&lt;&gt;0,TblTech[[#This Row],[Hour]:[Hour]]&gt;=AM$2),1,0)</f>
        <v>0</v>
      </c>
      <c r="AN19" s="276" cm="1">
        <f t="array" ref="AN19">IF(AND(AN$2&lt;&gt;0,TblTech[[#This Row],[Hour]:[Hour]]&gt;=AN$2),1,0)</f>
        <v>0</v>
      </c>
      <c r="AO19" s="276" cm="1">
        <f t="array" ref="AO19">IF(AND(AO$2&lt;&gt;0,TblTech[[#This Row],[Hour]:[Hour]]&gt;=AO$2),1,0)</f>
        <v>0</v>
      </c>
      <c r="AP19" s="276" cm="1">
        <f t="array" ref="AP19">IF(AND(AP$2&lt;&gt;0,TblTech[[#This Row],[Hour]:[Hour]]&gt;=AP$2),1,0)</f>
        <v>0</v>
      </c>
      <c r="AQ19" s="276" cm="1">
        <f t="array" ref="AQ19">IF(AND(AQ$2&lt;&gt;0,TblTech[[#This Row],[Hour]:[Hour]]&gt;=AQ$2),1,0)</f>
        <v>0</v>
      </c>
      <c r="AR19" s="276" cm="1">
        <f t="array" ref="AR19">IF(AND(AR$2&lt;&gt;0,TblTech[[#This Row],[Hour]:[Hour]]&gt;=AR$2),1,0)</f>
        <v>0</v>
      </c>
      <c r="AS19" s="276" cm="1">
        <f t="array" ref="AS19">IF(AND(AS$2&lt;&gt;0,TblTech[[#This Row],[Hour]:[Hour]]&gt;=AS$2),1,0)</f>
        <v>0</v>
      </c>
      <c r="AT19" s="276" cm="1">
        <f t="array" ref="AT19">IF(AND(AT$2&lt;&gt;0,TblTech[[#This Row],[Hour]:[Hour]]&gt;=AT$2),1,0)</f>
        <v>0</v>
      </c>
      <c r="AU19" s="276" cm="1">
        <f t="array" ref="AU19">IF(AND(AU$2&lt;&gt;0,TblTech[[#This Row],[Hour]:[Hour]]&gt;=AU$2),1,0)</f>
        <v>0</v>
      </c>
      <c r="AV19" s="276" cm="1">
        <f t="array" ref="AV19">IF(AND(AV$2&lt;&gt;0,TblTech[[#This Row],[Hour]:[Hour]]&gt;=AV$2),1,0)</f>
        <v>0</v>
      </c>
      <c r="AW19" s="276" cm="1">
        <f t="array" ref="AW19">IF(AND(AW$2&lt;&gt;0,TblTech[[#This Row],[Hour]:[Hour]]&gt;=AW$2),1,0)</f>
        <v>0</v>
      </c>
      <c r="AX19" s="276" cm="1">
        <f t="array" ref="AX19">IF(AND(AX$2&lt;&gt;0,TblTech[[#This Row],[Hour]:[Hour]]&gt;=AX$2),1,0)</f>
        <v>0</v>
      </c>
      <c r="AY19" s="276" cm="1">
        <f t="array" ref="AY19">IF(AND(AY$2&lt;&gt;0,TblTech[[#This Row],[Hour]:[Hour]]&gt;=AY$2),1,0)</f>
        <v>0</v>
      </c>
      <c r="AZ19" s="276" cm="1">
        <f t="array" ref="AZ19">IF(AND(AZ$2&lt;&gt;0,TblTech[[#This Row],[Hour]:[Hour]]&gt;=AZ$2),1,0)</f>
        <v>0</v>
      </c>
      <c r="BA19" s="276" cm="1">
        <f t="array" ref="BA19">IF(AND(BA$2&lt;&gt;0,TblTech[[#This Row],[Hour]:[Hour]]&gt;=BA$2),1,0)</f>
        <v>0</v>
      </c>
      <c r="BB19" s="276" cm="1">
        <f t="array" ref="BB19">IF(AND(BB$2&lt;&gt;0,TblTech[[#This Row],[Hour]:[Hour]]&gt;=BB$2),1,0)</f>
        <v>0</v>
      </c>
      <c r="BC19" s="276" cm="1">
        <f t="array" ref="BC19">IF(AND(BC$2&lt;&gt;0,TblTech[[#This Row],[Hour]:[Hour]]&gt;=BC$2),1,0)</f>
        <v>0</v>
      </c>
      <c r="BD19" s="276" cm="1">
        <f t="array" ref="BD19">IF(AND(BD$2&lt;&gt;0,TblTech[[#This Row],[Hour]:[Hour]]&gt;=BD$2),1,0)</f>
        <v>0</v>
      </c>
      <c r="BE19" s="276" cm="1">
        <f t="array" ref="BE19">IF(AND(BE$2&lt;&gt;0,TblTech[[#This Row],[Hour]:[Hour]]&gt;=BE$2),1,0)</f>
        <v>0</v>
      </c>
      <c r="BF19" s="276" cm="1">
        <f t="array" ref="BF19">IF(AND(BF$2&lt;&gt;0,TblTech[[#This Row],[Hour]:[Hour]]&gt;=BF$2),1,0)</f>
        <v>0</v>
      </c>
      <c r="BG19" s="276" cm="1">
        <f t="array" ref="BG19">IF(AND(BG$2&lt;&gt;0,TblTech[[#This Row],[Hour]:[Hour]]&gt;=BG$2),1,0)</f>
        <v>0</v>
      </c>
      <c r="BH19" s="276" cm="1">
        <f t="array" ref="BH19">IF(AND(BH$2&lt;&gt;0,TblTech[[#This Row],[Hour]:[Hour]]&gt;=BH$2),1,0)</f>
        <v>0</v>
      </c>
      <c r="BI19" s="276" cm="1">
        <f t="array" ref="BI19">IF(AND(BI$2&lt;&gt;0,TblTech[[#This Row],[Hour]:[Hour]]&gt;=BI$2),1,0)</f>
        <v>0</v>
      </c>
      <c r="BJ19" s="276" cm="1">
        <f t="array" ref="BJ19">IF(AND(BJ$2&lt;&gt;0,TblTech[[#This Row],[Hour]:[Hour]]&gt;=BJ$2),1,0)</f>
        <v>0</v>
      </c>
      <c r="BK19" s="276" cm="1">
        <f t="array" ref="BK19">IF(AND(BK$2&lt;&gt;0,TblTech[[#This Row],[Hour]:[Hour]]&gt;=BK$2),1,0)</f>
        <v>0</v>
      </c>
      <c r="BL19" s="276" cm="1">
        <f t="array" ref="BL19">IF(AND(BL$2&lt;&gt;0,TblTech[[#This Row],[Hour]:[Hour]]&gt;=BL$2),1,0)</f>
        <v>0</v>
      </c>
      <c r="BM19" s="276" cm="1">
        <f t="array" ref="BM19">IF(AND(BM$2&lt;&gt;0,TblTech[[#This Row],[Hour]:[Hour]]&gt;=BM$2),1,0)</f>
        <v>0</v>
      </c>
      <c r="BN19" s="276" cm="1">
        <f t="array" ref="BN19">IF(AND(BN$2&lt;&gt;0,TblTech[[#This Row],[Hour]:[Hour]]&gt;=BN$2),1,0)</f>
        <v>0</v>
      </c>
      <c r="BO19" s="276" cm="1">
        <f t="array" ref="BO19">IF(AND(BO$2&lt;&gt;0,TblTech[[#This Row],[Hour]:[Hour]]&gt;=BO$2),1,0)</f>
        <v>0</v>
      </c>
      <c r="BP19" s="276" cm="1">
        <f t="array" ref="BP19">IF(AND(BP$2&lt;&gt;0,TblTech[[#This Row],[Hour]:[Hour]]&gt;=BP$2),1,0)</f>
        <v>0</v>
      </c>
      <c r="BQ19" s="276" cm="1">
        <f t="array" ref="BQ19">IF(AND(BQ$2&lt;&gt;0,TblTech[[#This Row],[Hour]:[Hour]]&gt;=BQ$2),1,0)</f>
        <v>0</v>
      </c>
      <c r="BR19" s="276" cm="1">
        <f t="array" ref="BR19">IF(AND(BR$2&lt;&gt;0,TblTech[[#This Row],[Hour]:[Hour]]&gt;=BR$2),1,0)</f>
        <v>0</v>
      </c>
      <c r="BS19" s="276" cm="1">
        <f t="array" ref="BS19">IF(AND(BS$2&lt;&gt;0,TblTech[[#This Row],[Hour]:[Hour]]&gt;=BS$2),1,0)</f>
        <v>0</v>
      </c>
      <c r="BT19" s="276" cm="1">
        <f t="array" ref="BT19">IF(AND(BT$2&lt;&gt;0,TblTech[[#This Row],[Hour]:[Hour]]&gt;=BT$2),1,0)</f>
        <v>0</v>
      </c>
      <c r="BU19" s="276" cm="1">
        <f t="array" ref="BU19">IF(AND(BU$2&lt;&gt;0,TblTech[[#This Row],[Hour]:[Hour]]&gt;=BU$2),1,0)</f>
        <v>0</v>
      </c>
      <c r="BV19" s="276" cm="1">
        <f t="array" ref="BV19">IF(AND(BV$2&lt;&gt;0,TblTech[[#This Row],[Hour]:[Hour]]&gt;=BV$2),1,0)</f>
        <v>0</v>
      </c>
      <c r="BW19" s="276" cm="1">
        <f t="array" ref="BW19">IF(AND(BW$2&lt;&gt;0,TblTech[[#This Row],[Hour]:[Hour]]&gt;=BW$2),1,0)</f>
        <v>0</v>
      </c>
      <c r="BX19" s="276" cm="1">
        <f t="array" ref="BX19">IF(AND(BX$2&lt;&gt;0,TblTech[[#This Row],[Hour]:[Hour]]&gt;=BX$2),1,0)</f>
        <v>0</v>
      </c>
      <c r="BY19" s="276" cm="1">
        <f t="array" ref="BY19">IF(AND(BY$2&lt;&gt;0,TblTech[[#This Row],[Hour]:[Hour]]&gt;=BY$2),1,0)</f>
        <v>0</v>
      </c>
      <c r="BZ19" s="276" cm="1">
        <f t="array" ref="BZ19">IF(AND(BZ$2&lt;&gt;0,TblTech[[#This Row],[Hour]:[Hour]]&gt;=BZ$2),1,0)</f>
        <v>0</v>
      </c>
      <c r="CA19" s="377">
        <f>IFERROR(INDEX($H$4:$H$79,MATCH(INDEX(TblTech[[#Headers],[1-1]:[11-1]],1,MATCH(TblTech[[#This Row],[Hour]],$M$2:$BZ$2,0)),$G$4:$G$79,0)),)</f>
        <v>0</v>
      </c>
    </row>
    <row r="20" spans="1:79" x14ac:dyDescent="0.2">
      <c r="A20" s="268">
        <f>TblRezone[[#This Row],[Hour]]</f>
        <v>17</v>
      </c>
      <c r="B20" s="269">
        <f ca="1">TblExplore[[#This Row],[Land-DB]]</f>
        <v>50</v>
      </c>
      <c r="C20" s="270">
        <f ca="1">TblProd[[#This Row],[Techpoints]]</f>
        <v>0</v>
      </c>
      <c r="D20" s="270">
        <f ca="1">TblProd[[#This Row],[Required]]</f>
        <v>3750</v>
      </c>
      <c r="E20" s="271"/>
      <c r="F20" s="272"/>
      <c r="G20" s="273" t="s">
        <v>556</v>
      </c>
      <c r="H20" s="274" t="s">
        <v>690</v>
      </c>
      <c r="I20" s="273" t="s">
        <v>1041</v>
      </c>
      <c r="J20" s="269"/>
      <c r="K20" s="93">
        <f ca="1">IF(TblTech[[#This Row],[Sum of tech]]&lt;&gt;OFFSET(TblTech[[#This Row],[Sum of tech]],-1,0),1,0)</f>
        <v>0</v>
      </c>
      <c r="L20" s="275">
        <f>COUNTIF(TblTech[[#This Row],[1-1]:[11-1]],1)</f>
        <v>0</v>
      </c>
      <c r="M20" s="276" cm="1">
        <f t="array" ref="M20">IF(AND(M$2&lt;&gt;0,TblTech[[#This Row],[Hour]:[Hour]]&gt;=M$2),1,0)</f>
        <v>0</v>
      </c>
      <c r="N20" s="276" cm="1">
        <f t="array" ref="N20">IF(AND(N$2&lt;&gt;0,TblTech[[#This Row],[Hour]:[Hour]]&gt;=N$2),1,0)</f>
        <v>0</v>
      </c>
      <c r="O20" s="276" cm="1">
        <f t="array" ref="O20">IF(AND(O$2&lt;&gt;0,TblTech[[#This Row],[Hour]:[Hour]]&gt;=O$2),1,0)</f>
        <v>0</v>
      </c>
      <c r="P20" s="276" cm="1">
        <f t="array" ref="P20">IF(AND(P$2&lt;&gt;0,TblTech[[#This Row],[Hour]:[Hour]]&gt;=P$2),1,0)</f>
        <v>0</v>
      </c>
      <c r="Q20" s="276" cm="1">
        <f t="array" ref="Q20">IF(AND(Q$2&lt;&gt;0,TblTech[[#This Row],[Hour]:[Hour]]&gt;=Q$2),1,0)</f>
        <v>0</v>
      </c>
      <c r="R20" s="276" cm="1">
        <f t="array" ref="R20">IF(AND(R$2&lt;&gt;0,TblTech[[#This Row],[Hour]:[Hour]]&gt;=R$2),1,0)</f>
        <v>0</v>
      </c>
      <c r="S20" s="276" cm="1">
        <f t="array" ref="S20">IF(AND(S$2&lt;&gt;0,TblTech[[#This Row],[Hour]:[Hour]]&gt;=S$2),1,0)</f>
        <v>0</v>
      </c>
      <c r="T20" s="276" cm="1">
        <f t="array" ref="T20">IF(AND(T$2&lt;&gt;0,TblTech[[#This Row],[Hour]:[Hour]]&gt;=T$2),1,0)</f>
        <v>0</v>
      </c>
      <c r="U20" s="276" cm="1">
        <f t="array" ref="U20">IF(AND(U$2&lt;&gt;0,TblTech[[#This Row],[Hour]:[Hour]]&gt;=U$2),1,0)</f>
        <v>0</v>
      </c>
      <c r="V20" s="276" cm="1">
        <f t="array" ref="V20">IF(AND(V$2&lt;&gt;0,TblTech[[#This Row],[Hour]:[Hour]]&gt;=V$2),1,0)</f>
        <v>0</v>
      </c>
      <c r="W20" s="276" cm="1">
        <f t="array" ref="W20">IF(AND(W$2&lt;&gt;0,TblTech[[#This Row],[Hour]:[Hour]]&gt;=W$2),1,0)</f>
        <v>0</v>
      </c>
      <c r="X20" s="276" cm="1">
        <f t="array" ref="X20">IF(AND(X$2&lt;&gt;0,TblTech[[#This Row],[Hour]:[Hour]]&gt;=X$2),1,0)</f>
        <v>0</v>
      </c>
      <c r="Y20" s="276" cm="1">
        <f t="array" ref="Y20">IF(AND(Y$2&lt;&gt;0,TblTech[[#This Row],[Hour]:[Hour]]&gt;=Y$2),1,0)</f>
        <v>0</v>
      </c>
      <c r="Z20" s="276" cm="1">
        <f t="array" ref="Z20">IF(AND(Z$2&lt;&gt;0,TblTech[[#This Row],[Hour]:[Hour]]&gt;=Z$2),1,0)</f>
        <v>0</v>
      </c>
      <c r="AA20" s="276" cm="1">
        <f t="array" ref="AA20">IF(AND(AA$2&lt;&gt;0,TblTech[[#This Row],[Hour]:[Hour]]&gt;=AA$2),1,0)</f>
        <v>0</v>
      </c>
      <c r="AB20" s="276" cm="1">
        <f t="array" ref="AB20">IF(AND(AB$2&lt;&gt;0,TblTech[[#This Row],[Hour]:[Hour]]&gt;=AB$2),1,0)</f>
        <v>0</v>
      </c>
      <c r="AC20" s="276" cm="1">
        <f t="array" ref="AC20">IF(AND(AC$2&lt;&gt;0,TblTech[[#This Row],[Hour]:[Hour]]&gt;=AC$2),1,0)</f>
        <v>0</v>
      </c>
      <c r="AD20" s="276" cm="1">
        <f t="array" ref="AD20">IF(AND(AD$2&lt;&gt;0,TblTech[[#This Row],[Hour]:[Hour]]&gt;=AD$2),1,0)</f>
        <v>0</v>
      </c>
      <c r="AE20" s="276" cm="1">
        <f t="array" ref="AE20">IF(AND(AE$2&lt;&gt;0,TblTech[[#This Row],[Hour]:[Hour]]&gt;=AE$2),1,0)</f>
        <v>0</v>
      </c>
      <c r="AF20" s="276" cm="1">
        <f t="array" ref="AF20">IF(AND(AF$2&lt;&gt;0,TblTech[[#This Row],[Hour]:[Hour]]&gt;=AF$2),1,0)</f>
        <v>0</v>
      </c>
      <c r="AG20" s="276" cm="1">
        <f t="array" ref="AG20">IF(AND(AG$2&lt;&gt;0,TblTech[[#This Row],[Hour]:[Hour]]&gt;=AG$2),1,0)</f>
        <v>0</v>
      </c>
      <c r="AH20" s="276" cm="1">
        <f t="array" ref="AH20">IF(AND(AH$2&lt;&gt;0,TblTech[[#This Row],[Hour]:[Hour]]&gt;=AH$2),1,0)</f>
        <v>0</v>
      </c>
      <c r="AI20" s="276" cm="1">
        <f t="array" ref="AI20">IF(AND(AI$2&lt;&gt;0,TblTech[[#This Row],[Hour]:[Hour]]&gt;=AI$2),1,0)</f>
        <v>0</v>
      </c>
      <c r="AJ20" s="276" cm="1">
        <f t="array" ref="AJ20">IF(AND(AJ$2&lt;&gt;0,TblTech[[#This Row],[Hour]:[Hour]]&gt;=AJ$2),1,0)</f>
        <v>0</v>
      </c>
      <c r="AK20" s="276" cm="1">
        <f t="array" ref="AK20">IF(AND(AK$2&lt;&gt;0,TblTech[[#This Row],[Hour]:[Hour]]&gt;=AK$2),1,0)</f>
        <v>0</v>
      </c>
      <c r="AL20" s="276" cm="1">
        <f t="array" ref="AL20">IF(AND(AL$2&lt;&gt;0,TblTech[[#This Row],[Hour]:[Hour]]&gt;=AL$2),1,0)</f>
        <v>0</v>
      </c>
      <c r="AM20" s="276" cm="1">
        <f t="array" ref="AM20">IF(AND(AM$2&lt;&gt;0,TblTech[[#This Row],[Hour]:[Hour]]&gt;=AM$2),1,0)</f>
        <v>0</v>
      </c>
      <c r="AN20" s="276" cm="1">
        <f t="array" ref="AN20">IF(AND(AN$2&lt;&gt;0,TblTech[[#This Row],[Hour]:[Hour]]&gt;=AN$2),1,0)</f>
        <v>0</v>
      </c>
      <c r="AO20" s="276" cm="1">
        <f t="array" ref="AO20">IF(AND(AO$2&lt;&gt;0,TblTech[[#This Row],[Hour]:[Hour]]&gt;=AO$2),1,0)</f>
        <v>0</v>
      </c>
      <c r="AP20" s="276" cm="1">
        <f t="array" ref="AP20">IF(AND(AP$2&lt;&gt;0,TblTech[[#This Row],[Hour]:[Hour]]&gt;=AP$2),1,0)</f>
        <v>0</v>
      </c>
      <c r="AQ20" s="276" cm="1">
        <f t="array" ref="AQ20">IF(AND(AQ$2&lt;&gt;0,TblTech[[#This Row],[Hour]:[Hour]]&gt;=AQ$2),1,0)</f>
        <v>0</v>
      </c>
      <c r="AR20" s="276" cm="1">
        <f t="array" ref="AR20">IF(AND(AR$2&lt;&gt;0,TblTech[[#This Row],[Hour]:[Hour]]&gt;=AR$2),1,0)</f>
        <v>0</v>
      </c>
      <c r="AS20" s="276" cm="1">
        <f t="array" ref="AS20">IF(AND(AS$2&lt;&gt;0,TblTech[[#This Row],[Hour]:[Hour]]&gt;=AS$2),1,0)</f>
        <v>0</v>
      </c>
      <c r="AT20" s="276" cm="1">
        <f t="array" ref="AT20">IF(AND(AT$2&lt;&gt;0,TblTech[[#This Row],[Hour]:[Hour]]&gt;=AT$2),1,0)</f>
        <v>0</v>
      </c>
      <c r="AU20" s="276" cm="1">
        <f t="array" ref="AU20">IF(AND(AU$2&lt;&gt;0,TblTech[[#This Row],[Hour]:[Hour]]&gt;=AU$2),1,0)</f>
        <v>0</v>
      </c>
      <c r="AV20" s="276" cm="1">
        <f t="array" ref="AV20">IF(AND(AV$2&lt;&gt;0,TblTech[[#This Row],[Hour]:[Hour]]&gt;=AV$2),1,0)</f>
        <v>0</v>
      </c>
      <c r="AW20" s="276" cm="1">
        <f t="array" ref="AW20">IF(AND(AW$2&lt;&gt;0,TblTech[[#This Row],[Hour]:[Hour]]&gt;=AW$2),1,0)</f>
        <v>0</v>
      </c>
      <c r="AX20" s="276" cm="1">
        <f t="array" ref="AX20">IF(AND(AX$2&lt;&gt;0,TblTech[[#This Row],[Hour]:[Hour]]&gt;=AX$2),1,0)</f>
        <v>0</v>
      </c>
      <c r="AY20" s="276" cm="1">
        <f t="array" ref="AY20">IF(AND(AY$2&lt;&gt;0,TblTech[[#This Row],[Hour]:[Hour]]&gt;=AY$2),1,0)</f>
        <v>0</v>
      </c>
      <c r="AZ20" s="276" cm="1">
        <f t="array" ref="AZ20">IF(AND(AZ$2&lt;&gt;0,TblTech[[#This Row],[Hour]:[Hour]]&gt;=AZ$2),1,0)</f>
        <v>0</v>
      </c>
      <c r="BA20" s="276" cm="1">
        <f t="array" ref="BA20">IF(AND(BA$2&lt;&gt;0,TblTech[[#This Row],[Hour]:[Hour]]&gt;=BA$2),1,0)</f>
        <v>0</v>
      </c>
      <c r="BB20" s="276" cm="1">
        <f t="array" ref="BB20">IF(AND(BB$2&lt;&gt;0,TblTech[[#This Row],[Hour]:[Hour]]&gt;=BB$2),1,0)</f>
        <v>0</v>
      </c>
      <c r="BC20" s="276" cm="1">
        <f t="array" ref="BC20">IF(AND(BC$2&lt;&gt;0,TblTech[[#This Row],[Hour]:[Hour]]&gt;=BC$2),1,0)</f>
        <v>0</v>
      </c>
      <c r="BD20" s="276" cm="1">
        <f t="array" ref="BD20">IF(AND(BD$2&lt;&gt;0,TblTech[[#This Row],[Hour]:[Hour]]&gt;=BD$2),1,0)</f>
        <v>0</v>
      </c>
      <c r="BE20" s="276" cm="1">
        <f t="array" ref="BE20">IF(AND(BE$2&lt;&gt;0,TblTech[[#This Row],[Hour]:[Hour]]&gt;=BE$2),1,0)</f>
        <v>0</v>
      </c>
      <c r="BF20" s="276" cm="1">
        <f t="array" ref="BF20">IF(AND(BF$2&lt;&gt;0,TblTech[[#This Row],[Hour]:[Hour]]&gt;=BF$2),1,0)</f>
        <v>0</v>
      </c>
      <c r="BG20" s="276" cm="1">
        <f t="array" ref="BG20">IF(AND(BG$2&lt;&gt;0,TblTech[[#This Row],[Hour]:[Hour]]&gt;=BG$2),1,0)</f>
        <v>0</v>
      </c>
      <c r="BH20" s="276" cm="1">
        <f t="array" ref="BH20">IF(AND(BH$2&lt;&gt;0,TblTech[[#This Row],[Hour]:[Hour]]&gt;=BH$2),1,0)</f>
        <v>0</v>
      </c>
      <c r="BI20" s="276" cm="1">
        <f t="array" ref="BI20">IF(AND(BI$2&lt;&gt;0,TblTech[[#This Row],[Hour]:[Hour]]&gt;=BI$2),1,0)</f>
        <v>0</v>
      </c>
      <c r="BJ20" s="276" cm="1">
        <f t="array" ref="BJ20">IF(AND(BJ$2&lt;&gt;0,TblTech[[#This Row],[Hour]:[Hour]]&gt;=BJ$2),1,0)</f>
        <v>0</v>
      </c>
      <c r="BK20" s="276" cm="1">
        <f t="array" ref="BK20">IF(AND(BK$2&lt;&gt;0,TblTech[[#This Row],[Hour]:[Hour]]&gt;=BK$2),1,0)</f>
        <v>0</v>
      </c>
      <c r="BL20" s="276" cm="1">
        <f t="array" ref="BL20">IF(AND(BL$2&lt;&gt;0,TblTech[[#This Row],[Hour]:[Hour]]&gt;=BL$2),1,0)</f>
        <v>0</v>
      </c>
      <c r="BM20" s="276" cm="1">
        <f t="array" ref="BM20">IF(AND(BM$2&lt;&gt;0,TblTech[[#This Row],[Hour]:[Hour]]&gt;=BM$2),1,0)</f>
        <v>0</v>
      </c>
      <c r="BN20" s="276" cm="1">
        <f t="array" ref="BN20">IF(AND(BN$2&lt;&gt;0,TblTech[[#This Row],[Hour]:[Hour]]&gt;=BN$2),1,0)</f>
        <v>0</v>
      </c>
      <c r="BO20" s="276" cm="1">
        <f t="array" ref="BO20">IF(AND(BO$2&lt;&gt;0,TblTech[[#This Row],[Hour]:[Hour]]&gt;=BO$2),1,0)</f>
        <v>0</v>
      </c>
      <c r="BP20" s="276" cm="1">
        <f t="array" ref="BP20">IF(AND(BP$2&lt;&gt;0,TblTech[[#This Row],[Hour]:[Hour]]&gt;=BP$2),1,0)</f>
        <v>0</v>
      </c>
      <c r="BQ20" s="276" cm="1">
        <f t="array" ref="BQ20">IF(AND(BQ$2&lt;&gt;0,TblTech[[#This Row],[Hour]:[Hour]]&gt;=BQ$2),1,0)</f>
        <v>0</v>
      </c>
      <c r="BR20" s="276" cm="1">
        <f t="array" ref="BR20">IF(AND(BR$2&lt;&gt;0,TblTech[[#This Row],[Hour]:[Hour]]&gt;=BR$2),1,0)</f>
        <v>0</v>
      </c>
      <c r="BS20" s="276" cm="1">
        <f t="array" ref="BS20">IF(AND(BS$2&lt;&gt;0,TblTech[[#This Row],[Hour]:[Hour]]&gt;=BS$2),1,0)</f>
        <v>0</v>
      </c>
      <c r="BT20" s="276" cm="1">
        <f t="array" ref="BT20">IF(AND(BT$2&lt;&gt;0,TblTech[[#This Row],[Hour]:[Hour]]&gt;=BT$2),1,0)</f>
        <v>0</v>
      </c>
      <c r="BU20" s="276" cm="1">
        <f t="array" ref="BU20">IF(AND(BU$2&lt;&gt;0,TblTech[[#This Row],[Hour]:[Hour]]&gt;=BU$2),1,0)</f>
        <v>0</v>
      </c>
      <c r="BV20" s="276" cm="1">
        <f t="array" ref="BV20">IF(AND(BV$2&lt;&gt;0,TblTech[[#This Row],[Hour]:[Hour]]&gt;=BV$2),1,0)</f>
        <v>0</v>
      </c>
      <c r="BW20" s="276" cm="1">
        <f t="array" ref="BW20">IF(AND(BW$2&lt;&gt;0,TblTech[[#This Row],[Hour]:[Hour]]&gt;=BW$2),1,0)</f>
        <v>0</v>
      </c>
      <c r="BX20" s="276" cm="1">
        <f t="array" ref="BX20">IF(AND(BX$2&lt;&gt;0,TblTech[[#This Row],[Hour]:[Hour]]&gt;=BX$2),1,0)</f>
        <v>0</v>
      </c>
      <c r="BY20" s="276" cm="1">
        <f t="array" ref="BY20">IF(AND(BY$2&lt;&gt;0,TblTech[[#This Row],[Hour]:[Hour]]&gt;=BY$2),1,0)</f>
        <v>0</v>
      </c>
      <c r="BZ20" s="276" cm="1">
        <f t="array" ref="BZ20">IF(AND(BZ$2&lt;&gt;0,TblTech[[#This Row],[Hour]:[Hour]]&gt;=BZ$2),1,0)</f>
        <v>0</v>
      </c>
      <c r="CA20" s="377">
        <f>IFERROR(INDEX($H$4:$H$79,MATCH(INDEX(TblTech[[#Headers],[1-1]:[11-1]],1,MATCH(TblTech[[#This Row],[Hour]],$M$2:$BZ$2,0)),$G$4:$G$79,0)),)</f>
        <v>0</v>
      </c>
    </row>
    <row r="21" spans="1:79" x14ac:dyDescent="0.2">
      <c r="A21" s="268">
        <f>TblRezone[[#This Row],[Hour]]</f>
        <v>18</v>
      </c>
      <c r="B21" s="269">
        <f ca="1">TblExplore[[#This Row],[Land-DB]]</f>
        <v>50</v>
      </c>
      <c r="C21" s="270">
        <f ca="1">TblProd[[#This Row],[Techpoints]]</f>
        <v>0</v>
      </c>
      <c r="D21" s="270">
        <f ca="1">TblProd[[#This Row],[Required]]</f>
        <v>3750</v>
      </c>
      <c r="E21" s="271"/>
      <c r="F21" s="272"/>
      <c r="G21" s="273" t="s">
        <v>557</v>
      </c>
      <c r="H21" s="274" t="s">
        <v>682</v>
      </c>
      <c r="I21" s="273" t="s">
        <v>1083</v>
      </c>
      <c r="J21" s="269"/>
      <c r="K21" s="93">
        <f ca="1">IF(TblTech[[#This Row],[Sum of tech]]&lt;&gt;OFFSET(TblTech[[#This Row],[Sum of tech]],-1,0),1,0)</f>
        <v>0</v>
      </c>
      <c r="L21" s="275">
        <f>COUNTIF(TblTech[[#This Row],[1-1]:[11-1]],1)</f>
        <v>0</v>
      </c>
      <c r="M21" s="276" cm="1">
        <f t="array" ref="M21">IF(AND(M$2&lt;&gt;0,TblTech[[#This Row],[Hour]:[Hour]]&gt;=M$2),1,0)</f>
        <v>0</v>
      </c>
      <c r="N21" s="276" cm="1">
        <f t="array" ref="N21">IF(AND(N$2&lt;&gt;0,TblTech[[#This Row],[Hour]:[Hour]]&gt;=N$2),1,0)</f>
        <v>0</v>
      </c>
      <c r="O21" s="276" cm="1">
        <f t="array" ref="O21">IF(AND(O$2&lt;&gt;0,TblTech[[#This Row],[Hour]:[Hour]]&gt;=O$2),1,0)</f>
        <v>0</v>
      </c>
      <c r="P21" s="276" cm="1">
        <f t="array" ref="P21">IF(AND(P$2&lt;&gt;0,TblTech[[#This Row],[Hour]:[Hour]]&gt;=P$2),1,0)</f>
        <v>0</v>
      </c>
      <c r="Q21" s="276" cm="1">
        <f t="array" ref="Q21">IF(AND(Q$2&lt;&gt;0,TblTech[[#This Row],[Hour]:[Hour]]&gt;=Q$2),1,0)</f>
        <v>0</v>
      </c>
      <c r="R21" s="276" cm="1">
        <f t="array" ref="R21">IF(AND(R$2&lt;&gt;0,TblTech[[#This Row],[Hour]:[Hour]]&gt;=R$2),1,0)</f>
        <v>0</v>
      </c>
      <c r="S21" s="276" cm="1">
        <f t="array" ref="S21">IF(AND(S$2&lt;&gt;0,TblTech[[#This Row],[Hour]:[Hour]]&gt;=S$2),1,0)</f>
        <v>0</v>
      </c>
      <c r="T21" s="276" cm="1">
        <f t="array" ref="T21">IF(AND(T$2&lt;&gt;0,TblTech[[#This Row],[Hour]:[Hour]]&gt;=T$2),1,0)</f>
        <v>0</v>
      </c>
      <c r="U21" s="276" cm="1">
        <f t="array" ref="U21">IF(AND(U$2&lt;&gt;0,TblTech[[#This Row],[Hour]:[Hour]]&gt;=U$2),1,0)</f>
        <v>0</v>
      </c>
      <c r="V21" s="276" cm="1">
        <f t="array" ref="V21">IF(AND(V$2&lt;&gt;0,TblTech[[#This Row],[Hour]:[Hour]]&gt;=V$2),1,0)</f>
        <v>0</v>
      </c>
      <c r="W21" s="276" cm="1">
        <f t="array" ref="W21">IF(AND(W$2&lt;&gt;0,TblTech[[#This Row],[Hour]:[Hour]]&gt;=W$2),1,0)</f>
        <v>0</v>
      </c>
      <c r="X21" s="276" cm="1">
        <f t="array" ref="X21">IF(AND(X$2&lt;&gt;0,TblTech[[#This Row],[Hour]:[Hour]]&gt;=X$2),1,0)</f>
        <v>0</v>
      </c>
      <c r="Y21" s="276" cm="1">
        <f t="array" ref="Y21">IF(AND(Y$2&lt;&gt;0,TblTech[[#This Row],[Hour]:[Hour]]&gt;=Y$2),1,0)</f>
        <v>0</v>
      </c>
      <c r="Z21" s="276" cm="1">
        <f t="array" ref="Z21">IF(AND(Z$2&lt;&gt;0,TblTech[[#This Row],[Hour]:[Hour]]&gt;=Z$2),1,0)</f>
        <v>0</v>
      </c>
      <c r="AA21" s="276" cm="1">
        <f t="array" ref="AA21">IF(AND(AA$2&lt;&gt;0,TblTech[[#This Row],[Hour]:[Hour]]&gt;=AA$2),1,0)</f>
        <v>0</v>
      </c>
      <c r="AB21" s="276" cm="1">
        <f t="array" ref="AB21">IF(AND(AB$2&lt;&gt;0,TblTech[[#This Row],[Hour]:[Hour]]&gt;=AB$2),1,0)</f>
        <v>0</v>
      </c>
      <c r="AC21" s="276" cm="1">
        <f t="array" ref="AC21">IF(AND(AC$2&lt;&gt;0,TblTech[[#This Row],[Hour]:[Hour]]&gt;=AC$2),1,0)</f>
        <v>0</v>
      </c>
      <c r="AD21" s="276" cm="1">
        <f t="array" ref="AD21">IF(AND(AD$2&lt;&gt;0,TblTech[[#This Row],[Hour]:[Hour]]&gt;=AD$2),1,0)</f>
        <v>0</v>
      </c>
      <c r="AE21" s="276" cm="1">
        <f t="array" ref="AE21">IF(AND(AE$2&lt;&gt;0,TblTech[[#This Row],[Hour]:[Hour]]&gt;=AE$2),1,0)</f>
        <v>0</v>
      </c>
      <c r="AF21" s="276" cm="1">
        <f t="array" ref="AF21">IF(AND(AF$2&lt;&gt;0,TblTech[[#This Row],[Hour]:[Hour]]&gt;=AF$2),1,0)</f>
        <v>0</v>
      </c>
      <c r="AG21" s="276" cm="1">
        <f t="array" ref="AG21">IF(AND(AG$2&lt;&gt;0,TblTech[[#This Row],[Hour]:[Hour]]&gt;=AG$2),1,0)</f>
        <v>0</v>
      </c>
      <c r="AH21" s="276" cm="1">
        <f t="array" ref="AH21">IF(AND(AH$2&lt;&gt;0,TblTech[[#This Row],[Hour]:[Hour]]&gt;=AH$2),1,0)</f>
        <v>0</v>
      </c>
      <c r="AI21" s="276" cm="1">
        <f t="array" ref="AI21">IF(AND(AI$2&lt;&gt;0,TblTech[[#This Row],[Hour]:[Hour]]&gt;=AI$2),1,0)</f>
        <v>0</v>
      </c>
      <c r="AJ21" s="276" cm="1">
        <f t="array" ref="AJ21">IF(AND(AJ$2&lt;&gt;0,TblTech[[#This Row],[Hour]:[Hour]]&gt;=AJ$2),1,0)</f>
        <v>0</v>
      </c>
      <c r="AK21" s="276" cm="1">
        <f t="array" ref="AK21">IF(AND(AK$2&lt;&gt;0,TblTech[[#This Row],[Hour]:[Hour]]&gt;=AK$2),1,0)</f>
        <v>0</v>
      </c>
      <c r="AL21" s="276" cm="1">
        <f t="array" ref="AL21">IF(AND(AL$2&lt;&gt;0,TblTech[[#This Row],[Hour]:[Hour]]&gt;=AL$2),1,0)</f>
        <v>0</v>
      </c>
      <c r="AM21" s="276" cm="1">
        <f t="array" ref="AM21">IF(AND(AM$2&lt;&gt;0,TblTech[[#This Row],[Hour]:[Hour]]&gt;=AM$2),1,0)</f>
        <v>0</v>
      </c>
      <c r="AN21" s="276" cm="1">
        <f t="array" ref="AN21">IF(AND(AN$2&lt;&gt;0,TblTech[[#This Row],[Hour]:[Hour]]&gt;=AN$2),1,0)</f>
        <v>0</v>
      </c>
      <c r="AO21" s="276" cm="1">
        <f t="array" ref="AO21">IF(AND(AO$2&lt;&gt;0,TblTech[[#This Row],[Hour]:[Hour]]&gt;=AO$2),1,0)</f>
        <v>0</v>
      </c>
      <c r="AP21" s="276" cm="1">
        <f t="array" ref="AP21">IF(AND(AP$2&lt;&gt;0,TblTech[[#This Row],[Hour]:[Hour]]&gt;=AP$2),1,0)</f>
        <v>0</v>
      </c>
      <c r="AQ21" s="276" cm="1">
        <f t="array" ref="AQ21">IF(AND(AQ$2&lt;&gt;0,TblTech[[#This Row],[Hour]:[Hour]]&gt;=AQ$2),1,0)</f>
        <v>0</v>
      </c>
      <c r="AR21" s="276" cm="1">
        <f t="array" ref="AR21">IF(AND(AR$2&lt;&gt;0,TblTech[[#This Row],[Hour]:[Hour]]&gt;=AR$2),1,0)</f>
        <v>0</v>
      </c>
      <c r="AS21" s="276" cm="1">
        <f t="array" ref="AS21">IF(AND(AS$2&lt;&gt;0,TblTech[[#This Row],[Hour]:[Hour]]&gt;=AS$2),1,0)</f>
        <v>0</v>
      </c>
      <c r="AT21" s="276" cm="1">
        <f t="array" ref="AT21">IF(AND(AT$2&lt;&gt;0,TblTech[[#This Row],[Hour]:[Hour]]&gt;=AT$2),1,0)</f>
        <v>0</v>
      </c>
      <c r="AU21" s="276" cm="1">
        <f t="array" ref="AU21">IF(AND(AU$2&lt;&gt;0,TblTech[[#This Row],[Hour]:[Hour]]&gt;=AU$2),1,0)</f>
        <v>0</v>
      </c>
      <c r="AV21" s="276" cm="1">
        <f t="array" ref="AV21">IF(AND(AV$2&lt;&gt;0,TblTech[[#This Row],[Hour]:[Hour]]&gt;=AV$2),1,0)</f>
        <v>0</v>
      </c>
      <c r="AW21" s="276" cm="1">
        <f t="array" ref="AW21">IF(AND(AW$2&lt;&gt;0,TblTech[[#This Row],[Hour]:[Hour]]&gt;=AW$2),1,0)</f>
        <v>0</v>
      </c>
      <c r="AX21" s="276" cm="1">
        <f t="array" ref="AX21">IF(AND(AX$2&lt;&gt;0,TblTech[[#This Row],[Hour]:[Hour]]&gt;=AX$2),1,0)</f>
        <v>0</v>
      </c>
      <c r="AY21" s="276" cm="1">
        <f t="array" ref="AY21">IF(AND(AY$2&lt;&gt;0,TblTech[[#This Row],[Hour]:[Hour]]&gt;=AY$2),1,0)</f>
        <v>0</v>
      </c>
      <c r="AZ21" s="276" cm="1">
        <f t="array" ref="AZ21">IF(AND(AZ$2&lt;&gt;0,TblTech[[#This Row],[Hour]:[Hour]]&gt;=AZ$2),1,0)</f>
        <v>0</v>
      </c>
      <c r="BA21" s="276" cm="1">
        <f t="array" ref="BA21">IF(AND(BA$2&lt;&gt;0,TblTech[[#This Row],[Hour]:[Hour]]&gt;=BA$2),1,0)</f>
        <v>0</v>
      </c>
      <c r="BB21" s="276" cm="1">
        <f t="array" ref="BB21">IF(AND(BB$2&lt;&gt;0,TblTech[[#This Row],[Hour]:[Hour]]&gt;=BB$2),1,0)</f>
        <v>0</v>
      </c>
      <c r="BC21" s="276" cm="1">
        <f t="array" ref="BC21">IF(AND(BC$2&lt;&gt;0,TblTech[[#This Row],[Hour]:[Hour]]&gt;=BC$2),1,0)</f>
        <v>0</v>
      </c>
      <c r="BD21" s="276" cm="1">
        <f t="array" ref="BD21">IF(AND(BD$2&lt;&gt;0,TblTech[[#This Row],[Hour]:[Hour]]&gt;=BD$2),1,0)</f>
        <v>0</v>
      </c>
      <c r="BE21" s="276" cm="1">
        <f t="array" ref="BE21">IF(AND(BE$2&lt;&gt;0,TblTech[[#This Row],[Hour]:[Hour]]&gt;=BE$2),1,0)</f>
        <v>0</v>
      </c>
      <c r="BF21" s="276" cm="1">
        <f t="array" ref="BF21">IF(AND(BF$2&lt;&gt;0,TblTech[[#This Row],[Hour]:[Hour]]&gt;=BF$2),1,0)</f>
        <v>0</v>
      </c>
      <c r="BG21" s="276" cm="1">
        <f t="array" ref="BG21">IF(AND(BG$2&lt;&gt;0,TblTech[[#This Row],[Hour]:[Hour]]&gt;=BG$2),1,0)</f>
        <v>0</v>
      </c>
      <c r="BH21" s="276" cm="1">
        <f t="array" ref="BH21">IF(AND(BH$2&lt;&gt;0,TblTech[[#This Row],[Hour]:[Hour]]&gt;=BH$2),1,0)</f>
        <v>0</v>
      </c>
      <c r="BI21" s="276" cm="1">
        <f t="array" ref="BI21">IF(AND(BI$2&lt;&gt;0,TblTech[[#This Row],[Hour]:[Hour]]&gt;=BI$2),1,0)</f>
        <v>0</v>
      </c>
      <c r="BJ21" s="276" cm="1">
        <f t="array" ref="BJ21">IF(AND(BJ$2&lt;&gt;0,TblTech[[#This Row],[Hour]:[Hour]]&gt;=BJ$2),1,0)</f>
        <v>0</v>
      </c>
      <c r="BK21" s="276" cm="1">
        <f t="array" ref="BK21">IF(AND(BK$2&lt;&gt;0,TblTech[[#This Row],[Hour]:[Hour]]&gt;=BK$2),1,0)</f>
        <v>0</v>
      </c>
      <c r="BL21" s="276" cm="1">
        <f t="array" ref="BL21">IF(AND(BL$2&lt;&gt;0,TblTech[[#This Row],[Hour]:[Hour]]&gt;=BL$2),1,0)</f>
        <v>0</v>
      </c>
      <c r="BM21" s="276" cm="1">
        <f t="array" ref="BM21">IF(AND(BM$2&lt;&gt;0,TblTech[[#This Row],[Hour]:[Hour]]&gt;=BM$2),1,0)</f>
        <v>0</v>
      </c>
      <c r="BN21" s="276" cm="1">
        <f t="array" ref="BN21">IF(AND(BN$2&lt;&gt;0,TblTech[[#This Row],[Hour]:[Hour]]&gt;=BN$2),1,0)</f>
        <v>0</v>
      </c>
      <c r="BO21" s="276" cm="1">
        <f t="array" ref="BO21">IF(AND(BO$2&lt;&gt;0,TblTech[[#This Row],[Hour]:[Hour]]&gt;=BO$2),1,0)</f>
        <v>0</v>
      </c>
      <c r="BP21" s="276" cm="1">
        <f t="array" ref="BP21">IF(AND(BP$2&lt;&gt;0,TblTech[[#This Row],[Hour]:[Hour]]&gt;=BP$2),1,0)</f>
        <v>0</v>
      </c>
      <c r="BQ21" s="276" cm="1">
        <f t="array" ref="BQ21">IF(AND(BQ$2&lt;&gt;0,TblTech[[#This Row],[Hour]:[Hour]]&gt;=BQ$2),1,0)</f>
        <v>0</v>
      </c>
      <c r="BR21" s="276" cm="1">
        <f t="array" ref="BR21">IF(AND(BR$2&lt;&gt;0,TblTech[[#This Row],[Hour]:[Hour]]&gt;=BR$2),1,0)</f>
        <v>0</v>
      </c>
      <c r="BS21" s="276" cm="1">
        <f t="array" ref="BS21">IF(AND(BS$2&lt;&gt;0,TblTech[[#This Row],[Hour]:[Hour]]&gt;=BS$2),1,0)</f>
        <v>0</v>
      </c>
      <c r="BT21" s="276" cm="1">
        <f t="array" ref="BT21">IF(AND(BT$2&lt;&gt;0,TblTech[[#This Row],[Hour]:[Hour]]&gt;=BT$2),1,0)</f>
        <v>0</v>
      </c>
      <c r="BU21" s="276" cm="1">
        <f t="array" ref="BU21">IF(AND(BU$2&lt;&gt;0,TblTech[[#This Row],[Hour]:[Hour]]&gt;=BU$2),1,0)</f>
        <v>0</v>
      </c>
      <c r="BV21" s="276" cm="1">
        <f t="array" ref="BV21">IF(AND(BV$2&lt;&gt;0,TblTech[[#This Row],[Hour]:[Hour]]&gt;=BV$2),1,0)</f>
        <v>0</v>
      </c>
      <c r="BW21" s="276" cm="1">
        <f t="array" ref="BW21">IF(AND(BW$2&lt;&gt;0,TblTech[[#This Row],[Hour]:[Hour]]&gt;=BW$2),1,0)</f>
        <v>0</v>
      </c>
      <c r="BX21" s="276" cm="1">
        <f t="array" ref="BX21">IF(AND(BX$2&lt;&gt;0,TblTech[[#This Row],[Hour]:[Hour]]&gt;=BX$2),1,0)</f>
        <v>0</v>
      </c>
      <c r="BY21" s="276" cm="1">
        <f t="array" ref="BY21">IF(AND(BY$2&lt;&gt;0,TblTech[[#This Row],[Hour]:[Hour]]&gt;=BY$2),1,0)</f>
        <v>0</v>
      </c>
      <c r="BZ21" s="276" cm="1">
        <f t="array" ref="BZ21">IF(AND(BZ$2&lt;&gt;0,TblTech[[#This Row],[Hour]:[Hour]]&gt;=BZ$2),1,0)</f>
        <v>0</v>
      </c>
      <c r="CA21" s="377">
        <f>IFERROR(INDEX($H$4:$H$79,MATCH(INDEX(TblTech[[#Headers],[1-1]:[11-1]],1,MATCH(TblTech[[#This Row],[Hour]],$M$2:$BZ$2,0)),$G$4:$G$79,0)),)</f>
        <v>0</v>
      </c>
    </row>
    <row r="22" spans="1:79" x14ac:dyDescent="0.2">
      <c r="A22" s="268">
        <f>TblRezone[[#This Row],[Hour]]</f>
        <v>19</v>
      </c>
      <c r="B22" s="269">
        <f ca="1">TblExplore[[#This Row],[Land-DB]]</f>
        <v>50</v>
      </c>
      <c r="C22" s="270">
        <f ca="1">TblProd[[#This Row],[Techpoints]]</f>
        <v>0</v>
      </c>
      <c r="D22" s="270">
        <f ca="1">TblProd[[#This Row],[Required]]</f>
        <v>3750</v>
      </c>
      <c r="E22" s="271"/>
      <c r="F22" s="272"/>
      <c r="G22" s="273" t="s">
        <v>559</v>
      </c>
      <c r="H22" s="274" t="s">
        <v>708</v>
      </c>
      <c r="I22" s="273" t="s">
        <v>1157</v>
      </c>
      <c r="J22" s="269"/>
      <c r="K22" s="93">
        <f ca="1">IF(TblTech[[#This Row],[Sum of tech]]&lt;&gt;OFFSET(TblTech[[#This Row],[Sum of tech]],-1,0),1,0)</f>
        <v>0</v>
      </c>
      <c r="L22" s="275">
        <f>COUNTIF(TblTech[[#This Row],[1-1]:[11-1]],1)</f>
        <v>0</v>
      </c>
      <c r="M22" s="276" cm="1">
        <f t="array" ref="M22">IF(AND(M$2&lt;&gt;0,TblTech[[#This Row],[Hour]:[Hour]]&gt;=M$2),1,0)</f>
        <v>0</v>
      </c>
      <c r="N22" s="276" cm="1">
        <f t="array" ref="N22">IF(AND(N$2&lt;&gt;0,TblTech[[#This Row],[Hour]:[Hour]]&gt;=N$2),1,0)</f>
        <v>0</v>
      </c>
      <c r="O22" s="276" cm="1">
        <f t="array" ref="O22">IF(AND(O$2&lt;&gt;0,TblTech[[#This Row],[Hour]:[Hour]]&gt;=O$2),1,0)</f>
        <v>0</v>
      </c>
      <c r="P22" s="276" cm="1">
        <f t="array" ref="P22">IF(AND(P$2&lt;&gt;0,TblTech[[#This Row],[Hour]:[Hour]]&gt;=P$2),1,0)</f>
        <v>0</v>
      </c>
      <c r="Q22" s="276" cm="1">
        <f t="array" ref="Q22">IF(AND(Q$2&lt;&gt;0,TblTech[[#This Row],[Hour]:[Hour]]&gt;=Q$2),1,0)</f>
        <v>0</v>
      </c>
      <c r="R22" s="276" cm="1">
        <f t="array" ref="R22">IF(AND(R$2&lt;&gt;0,TblTech[[#This Row],[Hour]:[Hour]]&gt;=R$2),1,0)</f>
        <v>0</v>
      </c>
      <c r="S22" s="276" cm="1">
        <f t="array" ref="S22">IF(AND(S$2&lt;&gt;0,TblTech[[#This Row],[Hour]:[Hour]]&gt;=S$2),1,0)</f>
        <v>0</v>
      </c>
      <c r="T22" s="276" cm="1">
        <f t="array" ref="T22">IF(AND(T$2&lt;&gt;0,TblTech[[#This Row],[Hour]:[Hour]]&gt;=T$2),1,0)</f>
        <v>0</v>
      </c>
      <c r="U22" s="276" cm="1">
        <f t="array" ref="U22">IF(AND(U$2&lt;&gt;0,TblTech[[#This Row],[Hour]:[Hour]]&gt;=U$2),1,0)</f>
        <v>0</v>
      </c>
      <c r="V22" s="276" cm="1">
        <f t="array" ref="V22">IF(AND(V$2&lt;&gt;0,TblTech[[#This Row],[Hour]:[Hour]]&gt;=V$2),1,0)</f>
        <v>0</v>
      </c>
      <c r="W22" s="276" cm="1">
        <f t="array" ref="W22">IF(AND(W$2&lt;&gt;0,TblTech[[#This Row],[Hour]:[Hour]]&gt;=W$2),1,0)</f>
        <v>0</v>
      </c>
      <c r="X22" s="276" cm="1">
        <f t="array" ref="X22">IF(AND(X$2&lt;&gt;0,TblTech[[#This Row],[Hour]:[Hour]]&gt;=X$2),1,0)</f>
        <v>0</v>
      </c>
      <c r="Y22" s="276" cm="1">
        <f t="array" ref="Y22">IF(AND(Y$2&lt;&gt;0,TblTech[[#This Row],[Hour]:[Hour]]&gt;=Y$2),1,0)</f>
        <v>0</v>
      </c>
      <c r="Z22" s="276" cm="1">
        <f t="array" ref="Z22">IF(AND(Z$2&lt;&gt;0,TblTech[[#This Row],[Hour]:[Hour]]&gt;=Z$2),1,0)</f>
        <v>0</v>
      </c>
      <c r="AA22" s="276" cm="1">
        <f t="array" ref="AA22">IF(AND(AA$2&lt;&gt;0,TblTech[[#This Row],[Hour]:[Hour]]&gt;=AA$2),1,0)</f>
        <v>0</v>
      </c>
      <c r="AB22" s="276" cm="1">
        <f t="array" ref="AB22">IF(AND(AB$2&lt;&gt;0,TblTech[[#This Row],[Hour]:[Hour]]&gt;=AB$2),1,0)</f>
        <v>0</v>
      </c>
      <c r="AC22" s="276" cm="1">
        <f t="array" ref="AC22">IF(AND(AC$2&lt;&gt;0,TblTech[[#This Row],[Hour]:[Hour]]&gt;=AC$2),1,0)</f>
        <v>0</v>
      </c>
      <c r="AD22" s="276" cm="1">
        <f t="array" ref="AD22">IF(AND(AD$2&lt;&gt;0,TblTech[[#This Row],[Hour]:[Hour]]&gt;=AD$2),1,0)</f>
        <v>0</v>
      </c>
      <c r="AE22" s="276" cm="1">
        <f t="array" ref="AE22">IF(AND(AE$2&lt;&gt;0,TblTech[[#This Row],[Hour]:[Hour]]&gt;=AE$2),1,0)</f>
        <v>0</v>
      </c>
      <c r="AF22" s="276" cm="1">
        <f t="array" ref="AF22">IF(AND(AF$2&lt;&gt;0,TblTech[[#This Row],[Hour]:[Hour]]&gt;=AF$2),1,0)</f>
        <v>0</v>
      </c>
      <c r="AG22" s="276" cm="1">
        <f t="array" ref="AG22">IF(AND(AG$2&lt;&gt;0,TblTech[[#This Row],[Hour]:[Hour]]&gt;=AG$2),1,0)</f>
        <v>0</v>
      </c>
      <c r="AH22" s="276" cm="1">
        <f t="array" ref="AH22">IF(AND(AH$2&lt;&gt;0,TblTech[[#This Row],[Hour]:[Hour]]&gt;=AH$2),1,0)</f>
        <v>0</v>
      </c>
      <c r="AI22" s="276" cm="1">
        <f t="array" ref="AI22">IF(AND(AI$2&lt;&gt;0,TblTech[[#This Row],[Hour]:[Hour]]&gt;=AI$2),1,0)</f>
        <v>0</v>
      </c>
      <c r="AJ22" s="276" cm="1">
        <f t="array" ref="AJ22">IF(AND(AJ$2&lt;&gt;0,TblTech[[#This Row],[Hour]:[Hour]]&gt;=AJ$2),1,0)</f>
        <v>0</v>
      </c>
      <c r="AK22" s="276" cm="1">
        <f t="array" ref="AK22">IF(AND(AK$2&lt;&gt;0,TblTech[[#This Row],[Hour]:[Hour]]&gt;=AK$2),1,0)</f>
        <v>0</v>
      </c>
      <c r="AL22" s="276" cm="1">
        <f t="array" ref="AL22">IF(AND(AL$2&lt;&gt;0,TblTech[[#This Row],[Hour]:[Hour]]&gt;=AL$2),1,0)</f>
        <v>0</v>
      </c>
      <c r="AM22" s="276" cm="1">
        <f t="array" ref="AM22">IF(AND(AM$2&lt;&gt;0,TblTech[[#This Row],[Hour]:[Hour]]&gt;=AM$2),1,0)</f>
        <v>0</v>
      </c>
      <c r="AN22" s="276" cm="1">
        <f t="array" ref="AN22">IF(AND(AN$2&lt;&gt;0,TblTech[[#This Row],[Hour]:[Hour]]&gt;=AN$2),1,0)</f>
        <v>0</v>
      </c>
      <c r="AO22" s="276" cm="1">
        <f t="array" ref="AO22">IF(AND(AO$2&lt;&gt;0,TblTech[[#This Row],[Hour]:[Hour]]&gt;=AO$2),1,0)</f>
        <v>0</v>
      </c>
      <c r="AP22" s="276" cm="1">
        <f t="array" ref="AP22">IF(AND(AP$2&lt;&gt;0,TblTech[[#This Row],[Hour]:[Hour]]&gt;=AP$2),1,0)</f>
        <v>0</v>
      </c>
      <c r="AQ22" s="276" cm="1">
        <f t="array" ref="AQ22">IF(AND(AQ$2&lt;&gt;0,TblTech[[#This Row],[Hour]:[Hour]]&gt;=AQ$2),1,0)</f>
        <v>0</v>
      </c>
      <c r="AR22" s="276" cm="1">
        <f t="array" ref="AR22">IF(AND(AR$2&lt;&gt;0,TblTech[[#This Row],[Hour]:[Hour]]&gt;=AR$2),1,0)</f>
        <v>0</v>
      </c>
      <c r="AS22" s="276" cm="1">
        <f t="array" ref="AS22">IF(AND(AS$2&lt;&gt;0,TblTech[[#This Row],[Hour]:[Hour]]&gt;=AS$2),1,0)</f>
        <v>0</v>
      </c>
      <c r="AT22" s="276" cm="1">
        <f t="array" ref="AT22">IF(AND(AT$2&lt;&gt;0,TblTech[[#This Row],[Hour]:[Hour]]&gt;=AT$2),1,0)</f>
        <v>0</v>
      </c>
      <c r="AU22" s="276" cm="1">
        <f t="array" ref="AU22">IF(AND(AU$2&lt;&gt;0,TblTech[[#This Row],[Hour]:[Hour]]&gt;=AU$2),1,0)</f>
        <v>0</v>
      </c>
      <c r="AV22" s="276" cm="1">
        <f t="array" ref="AV22">IF(AND(AV$2&lt;&gt;0,TblTech[[#This Row],[Hour]:[Hour]]&gt;=AV$2),1,0)</f>
        <v>0</v>
      </c>
      <c r="AW22" s="276" cm="1">
        <f t="array" ref="AW22">IF(AND(AW$2&lt;&gt;0,TblTech[[#This Row],[Hour]:[Hour]]&gt;=AW$2),1,0)</f>
        <v>0</v>
      </c>
      <c r="AX22" s="276" cm="1">
        <f t="array" ref="AX22">IF(AND(AX$2&lt;&gt;0,TblTech[[#This Row],[Hour]:[Hour]]&gt;=AX$2),1,0)</f>
        <v>0</v>
      </c>
      <c r="AY22" s="276" cm="1">
        <f t="array" ref="AY22">IF(AND(AY$2&lt;&gt;0,TblTech[[#This Row],[Hour]:[Hour]]&gt;=AY$2),1,0)</f>
        <v>0</v>
      </c>
      <c r="AZ22" s="276" cm="1">
        <f t="array" ref="AZ22">IF(AND(AZ$2&lt;&gt;0,TblTech[[#This Row],[Hour]:[Hour]]&gt;=AZ$2),1,0)</f>
        <v>0</v>
      </c>
      <c r="BA22" s="276" cm="1">
        <f t="array" ref="BA22">IF(AND(BA$2&lt;&gt;0,TblTech[[#This Row],[Hour]:[Hour]]&gt;=BA$2),1,0)</f>
        <v>0</v>
      </c>
      <c r="BB22" s="276" cm="1">
        <f t="array" ref="BB22">IF(AND(BB$2&lt;&gt;0,TblTech[[#This Row],[Hour]:[Hour]]&gt;=BB$2),1,0)</f>
        <v>0</v>
      </c>
      <c r="BC22" s="276" cm="1">
        <f t="array" ref="BC22">IF(AND(BC$2&lt;&gt;0,TblTech[[#This Row],[Hour]:[Hour]]&gt;=BC$2),1,0)</f>
        <v>0</v>
      </c>
      <c r="BD22" s="276" cm="1">
        <f t="array" ref="BD22">IF(AND(BD$2&lt;&gt;0,TblTech[[#This Row],[Hour]:[Hour]]&gt;=BD$2),1,0)</f>
        <v>0</v>
      </c>
      <c r="BE22" s="276" cm="1">
        <f t="array" ref="BE22">IF(AND(BE$2&lt;&gt;0,TblTech[[#This Row],[Hour]:[Hour]]&gt;=BE$2),1,0)</f>
        <v>0</v>
      </c>
      <c r="BF22" s="276" cm="1">
        <f t="array" ref="BF22">IF(AND(BF$2&lt;&gt;0,TblTech[[#This Row],[Hour]:[Hour]]&gt;=BF$2),1,0)</f>
        <v>0</v>
      </c>
      <c r="BG22" s="276" cm="1">
        <f t="array" ref="BG22">IF(AND(BG$2&lt;&gt;0,TblTech[[#This Row],[Hour]:[Hour]]&gt;=BG$2),1,0)</f>
        <v>0</v>
      </c>
      <c r="BH22" s="276" cm="1">
        <f t="array" ref="BH22">IF(AND(BH$2&lt;&gt;0,TblTech[[#This Row],[Hour]:[Hour]]&gt;=BH$2),1,0)</f>
        <v>0</v>
      </c>
      <c r="BI22" s="276" cm="1">
        <f t="array" ref="BI22">IF(AND(BI$2&lt;&gt;0,TblTech[[#This Row],[Hour]:[Hour]]&gt;=BI$2),1,0)</f>
        <v>0</v>
      </c>
      <c r="BJ22" s="276" cm="1">
        <f t="array" ref="BJ22">IF(AND(BJ$2&lt;&gt;0,TblTech[[#This Row],[Hour]:[Hour]]&gt;=BJ$2),1,0)</f>
        <v>0</v>
      </c>
      <c r="BK22" s="276" cm="1">
        <f t="array" ref="BK22">IF(AND(BK$2&lt;&gt;0,TblTech[[#This Row],[Hour]:[Hour]]&gt;=BK$2),1,0)</f>
        <v>0</v>
      </c>
      <c r="BL22" s="276" cm="1">
        <f t="array" ref="BL22">IF(AND(BL$2&lt;&gt;0,TblTech[[#This Row],[Hour]:[Hour]]&gt;=BL$2),1,0)</f>
        <v>0</v>
      </c>
      <c r="BM22" s="276" cm="1">
        <f t="array" ref="BM22">IF(AND(BM$2&lt;&gt;0,TblTech[[#This Row],[Hour]:[Hour]]&gt;=BM$2),1,0)</f>
        <v>0</v>
      </c>
      <c r="BN22" s="276" cm="1">
        <f t="array" ref="BN22">IF(AND(BN$2&lt;&gt;0,TblTech[[#This Row],[Hour]:[Hour]]&gt;=BN$2),1,0)</f>
        <v>0</v>
      </c>
      <c r="BO22" s="276" cm="1">
        <f t="array" ref="BO22">IF(AND(BO$2&lt;&gt;0,TblTech[[#This Row],[Hour]:[Hour]]&gt;=BO$2),1,0)</f>
        <v>0</v>
      </c>
      <c r="BP22" s="276" cm="1">
        <f t="array" ref="BP22">IF(AND(BP$2&lt;&gt;0,TblTech[[#This Row],[Hour]:[Hour]]&gt;=BP$2),1,0)</f>
        <v>0</v>
      </c>
      <c r="BQ22" s="276" cm="1">
        <f t="array" ref="BQ22">IF(AND(BQ$2&lt;&gt;0,TblTech[[#This Row],[Hour]:[Hour]]&gt;=BQ$2),1,0)</f>
        <v>0</v>
      </c>
      <c r="BR22" s="276" cm="1">
        <f t="array" ref="BR22">IF(AND(BR$2&lt;&gt;0,TblTech[[#This Row],[Hour]:[Hour]]&gt;=BR$2),1,0)</f>
        <v>0</v>
      </c>
      <c r="BS22" s="276" cm="1">
        <f t="array" ref="BS22">IF(AND(BS$2&lt;&gt;0,TblTech[[#This Row],[Hour]:[Hour]]&gt;=BS$2),1,0)</f>
        <v>0</v>
      </c>
      <c r="BT22" s="276" cm="1">
        <f t="array" ref="BT22">IF(AND(BT$2&lt;&gt;0,TblTech[[#This Row],[Hour]:[Hour]]&gt;=BT$2),1,0)</f>
        <v>0</v>
      </c>
      <c r="BU22" s="276" cm="1">
        <f t="array" ref="BU22">IF(AND(BU$2&lt;&gt;0,TblTech[[#This Row],[Hour]:[Hour]]&gt;=BU$2),1,0)</f>
        <v>0</v>
      </c>
      <c r="BV22" s="276" cm="1">
        <f t="array" ref="BV22">IF(AND(BV$2&lt;&gt;0,TblTech[[#This Row],[Hour]:[Hour]]&gt;=BV$2),1,0)</f>
        <v>0</v>
      </c>
      <c r="BW22" s="276" cm="1">
        <f t="array" ref="BW22">IF(AND(BW$2&lt;&gt;0,TblTech[[#This Row],[Hour]:[Hour]]&gt;=BW$2),1,0)</f>
        <v>0</v>
      </c>
      <c r="BX22" s="276" cm="1">
        <f t="array" ref="BX22">IF(AND(BX$2&lt;&gt;0,TblTech[[#This Row],[Hour]:[Hour]]&gt;=BX$2),1,0)</f>
        <v>0</v>
      </c>
      <c r="BY22" s="276" cm="1">
        <f t="array" ref="BY22">IF(AND(BY$2&lt;&gt;0,TblTech[[#This Row],[Hour]:[Hour]]&gt;=BY$2),1,0)</f>
        <v>0</v>
      </c>
      <c r="BZ22" s="276" cm="1">
        <f t="array" ref="BZ22">IF(AND(BZ$2&lt;&gt;0,TblTech[[#This Row],[Hour]:[Hour]]&gt;=BZ$2),1,0)</f>
        <v>0</v>
      </c>
      <c r="CA22" s="377">
        <f>IFERROR(INDEX($H$4:$H$79,MATCH(INDEX(TblTech[[#Headers],[1-1]:[11-1]],1,MATCH(TblTech[[#This Row],[Hour]],$M$2:$BZ$2,0)),$G$4:$G$79,0)),)</f>
        <v>0</v>
      </c>
    </row>
    <row r="23" spans="1:79" x14ac:dyDescent="0.2">
      <c r="A23" s="268">
        <f>TblRezone[[#This Row],[Hour]]</f>
        <v>20</v>
      </c>
      <c r="B23" s="269">
        <f ca="1">TblExplore[[#This Row],[Land-DB]]</f>
        <v>50</v>
      </c>
      <c r="C23" s="270">
        <f ca="1">TblProd[[#This Row],[Techpoints]]</f>
        <v>0</v>
      </c>
      <c r="D23" s="270">
        <f ca="1">TblProd[[#This Row],[Required]]</f>
        <v>3750</v>
      </c>
      <c r="E23" s="271"/>
      <c r="F23" s="272"/>
      <c r="G23" s="273" t="s">
        <v>561</v>
      </c>
      <c r="H23" s="274" t="s">
        <v>693</v>
      </c>
      <c r="I23" s="273" t="s">
        <v>735</v>
      </c>
      <c r="J23" s="269"/>
      <c r="K23" s="93">
        <f ca="1">IF(TblTech[[#This Row],[Sum of tech]]&lt;&gt;OFFSET(TblTech[[#This Row],[Sum of tech]],-1,0),1,0)</f>
        <v>0</v>
      </c>
      <c r="L23" s="275">
        <f>COUNTIF(TblTech[[#This Row],[1-1]:[11-1]],1)</f>
        <v>0</v>
      </c>
      <c r="M23" s="276" cm="1">
        <f t="array" ref="M23">IF(AND(M$2&lt;&gt;0,TblTech[[#This Row],[Hour]:[Hour]]&gt;=M$2),1,0)</f>
        <v>0</v>
      </c>
      <c r="N23" s="276" cm="1">
        <f t="array" ref="N23">IF(AND(N$2&lt;&gt;0,TblTech[[#This Row],[Hour]:[Hour]]&gt;=N$2),1,0)</f>
        <v>0</v>
      </c>
      <c r="O23" s="276" cm="1">
        <f t="array" ref="O23">IF(AND(O$2&lt;&gt;0,TblTech[[#This Row],[Hour]:[Hour]]&gt;=O$2),1,0)</f>
        <v>0</v>
      </c>
      <c r="P23" s="276" cm="1">
        <f t="array" ref="P23">IF(AND(P$2&lt;&gt;0,TblTech[[#This Row],[Hour]:[Hour]]&gt;=P$2),1,0)</f>
        <v>0</v>
      </c>
      <c r="Q23" s="276" cm="1">
        <f t="array" ref="Q23">IF(AND(Q$2&lt;&gt;0,TblTech[[#This Row],[Hour]:[Hour]]&gt;=Q$2),1,0)</f>
        <v>0</v>
      </c>
      <c r="R23" s="276" cm="1">
        <f t="array" ref="R23">IF(AND(R$2&lt;&gt;0,TblTech[[#This Row],[Hour]:[Hour]]&gt;=R$2),1,0)</f>
        <v>0</v>
      </c>
      <c r="S23" s="276" cm="1">
        <f t="array" ref="S23">IF(AND(S$2&lt;&gt;0,TblTech[[#This Row],[Hour]:[Hour]]&gt;=S$2),1,0)</f>
        <v>0</v>
      </c>
      <c r="T23" s="276" cm="1">
        <f t="array" ref="T23">IF(AND(T$2&lt;&gt;0,TblTech[[#This Row],[Hour]:[Hour]]&gt;=T$2),1,0)</f>
        <v>0</v>
      </c>
      <c r="U23" s="276" cm="1">
        <f t="array" ref="U23">IF(AND(U$2&lt;&gt;0,TblTech[[#This Row],[Hour]:[Hour]]&gt;=U$2),1,0)</f>
        <v>0</v>
      </c>
      <c r="V23" s="276" cm="1">
        <f t="array" ref="V23">IF(AND(V$2&lt;&gt;0,TblTech[[#This Row],[Hour]:[Hour]]&gt;=V$2),1,0)</f>
        <v>0</v>
      </c>
      <c r="W23" s="276" cm="1">
        <f t="array" ref="W23">IF(AND(W$2&lt;&gt;0,TblTech[[#This Row],[Hour]:[Hour]]&gt;=W$2),1,0)</f>
        <v>0</v>
      </c>
      <c r="X23" s="276" cm="1">
        <f t="array" ref="X23">IF(AND(X$2&lt;&gt;0,TblTech[[#This Row],[Hour]:[Hour]]&gt;=X$2),1,0)</f>
        <v>0</v>
      </c>
      <c r="Y23" s="276" cm="1">
        <f t="array" ref="Y23">IF(AND(Y$2&lt;&gt;0,TblTech[[#This Row],[Hour]:[Hour]]&gt;=Y$2),1,0)</f>
        <v>0</v>
      </c>
      <c r="Z23" s="276" cm="1">
        <f t="array" ref="Z23">IF(AND(Z$2&lt;&gt;0,TblTech[[#This Row],[Hour]:[Hour]]&gt;=Z$2),1,0)</f>
        <v>0</v>
      </c>
      <c r="AA23" s="276" cm="1">
        <f t="array" ref="AA23">IF(AND(AA$2&lt;&gt;0,TblTech[[#This Row],[Hour]:[Hour]]&gt;=AA$2),1,0)</f>
        <v>0</v>
      </c>
      <c r="AB23" s="276" cm="1">
        <f t="array" ref="AB23">IF(AND(AB$2&lt;&gt;0,TblTech[[#This Row],[Hour]:[Hour]]&gt;=AB$2),1,0)</f>
        <v>0</v>
      </c>
      <c r="AC23" s="276" cm="1">
        <f t="array" ref="AC23">IF(AND(AC$2&lt;&gt;0,TblTech[[#This Row],[Hour]:[Hour]]&gt;=AC$2),1,0)</f>
        <v>0</v>
      </c>
      <c r="AD23" s="276" cm="1">
        <f t="array" ref="AD23">IF(AND(AD$2&lt;&gt;0,TblTech[[#This Row],[Hour]:[Hour]]&gt;=AD$2),1,0)</f>
        <v>0</v>
      </c>
      <c r="AE23" s="276" cm="1">
        <f t="array" ref="AE23">IF(AND(AE$2&lt;&gt;0,TblTech[[#This Row],[Hour]:[Hour]]&gt;=AE$2),1,0)</f>
        <v>0</v>
      </c>
      <c r="AF23" s="276" cm="1">
        <f t="array" ref="AF23">IF(AND(AF$2&lt;&gt;0,TblTech[[#This Row],[Hour]:[Hour]]&gt;=AF$2),1,0)</f>
        <v>0</v>
      </c>
      <c r="AG23" s="276" cm="1">
        <f t="array" ref="AG23">IF(AND(AG$2&lt;&gt;0,TblTech[[#This Row],[Hour]:[Hour]]&gt;=AG$2),1,0)</f>
        <v>0</v>
      </c>
      <c r="AH23" s="276" cm="1">
        <f t="array" ref="AH23">IF(AND(AH$2&lt;&gt;0,TblTech[[#This Row],[Hour]:[Hour]]&gt;=AH$2),1,0)</f>
        <v>0</v>
      </c>
      <c r="AI23" s="276" cm="1">
        <f t="array" ref="AI23">IF(AND(AI$2&lt;&gt;0,TblTech[[#This Row],[Hour]:[Hour]]&gt;=AI$2),1,0)</f>
        <v>0</v>
      </c>
      <c r="AJ23" s="276" cm="1">
        <f t="array" ref="AJ23">IF(AND(AJ$2&lt;&gt;0,TblTech[[#This Row],[Hour]:[Hour]]&gt;=AJ$2),1,0)</f>
        <v>0</v>
      </c>
      <c r="AK23" s="276" cm="1">
        <f t="array" ref="AK23">IF(AND(AK$2&lt;&gt;0,TblTech[[#This Row],[Hour]:[Hour]]&gt;=AK$2),1,0)</f>
        <v>0</v>
      </c>
      <c r="AL23" s="276" cm="1">
        <f t="array" ref="AL23">IF(AND(AL$2&lt;&gt;0,TblTech[[#This Row],[Hour]:[Hour]]&gt;=AL$2),1,0)</f>
        <v>0</v>
      </c>
      <c r="AM23" s="276" cm="1">
        <f t="array" ref="AM23">IF(AND(AM$2&lt;&gt;0,TblTech[[#This Row],[Hour]:[Hour]]&gt;=AM$2),1,0)</f>
        <v>0</v>
      </c>
      <c r="AN23" s="276" cm="1">
        <f t="array" ref="AN23">IF(AND(AN$2&lt;&gt;0,TblTech[[#This Row],[Hour]:[Hour]]&gt;=AN$2),1,0)</f>
        <v>0</v>
      </c>
      <c r="AO23" s="276" cm="1">
        <f t="array" ref="AO23">IF(AND(AO$2&lt;&gt;0,TblTech[[#This Row],[Hour]:[Hour]]&gt;=AO$2),1,0)</f>
        <v>0</v>
      </c>
      <c r="AP23" s="276" cm="1">
        <f t="array" ref="AP23">IF(AND(AP$2&lt;&gt;0,TblTech[[#This Row],[Hour]:[Hour]]&gt;=AP$2),1,0)</f>
        <v>0</v>
      </c>
      <c r="AQ23" s="276" cm="1">
        <f t="array" ref="AQ23">IF(AND(AQ$2&lt;&gt;0,TblTech[[#This Row],[Hour]:[Hour]]&gt;=AQ$2),1,0)</f>
        <v>0</v>
      </c>
      <c r="AR23" s="276" cm="1">
        <f t="array" ref="AR23">IF(AND(AR$2&lt;&gt;0,TblTech[[#This Row],[Hour]:[Hour]]&gt;=AR$2),1,0)</f>
        <v>0</v>
      </c>
      <c r="AS23" s="276" cm="1">
        <f t="array" ref="AS23">IF(AND(AS$2&lt;&gt;0,TblTech[[#This Row],[Hour]:[Hour]]&gt;=AS$2),1,0)</f>
        <v>0</v>
      </c>
      <c r="AT23" s="276" cm="1">
        <f t="array" ref="AT23">IF(AND(AT$2&lt;&gt;0,TblTech[[#This Row],[Hour]:[Hour]]&gt;=AT$2),1,0)</f>
        <v>0</v>
      </c>
      <c r="AU23" s="276" cm="1">
        <f t="array" ref="AU23">IF(AND(AU$2&lt;&gt;0,TblTech[[#This Row],[Hour]:[Hour]]&gt;=AU$2),1,0)</f>
        <v>0</v>
      </c>
      <c r="AV23" s="276" cm="1">
        <f t="array" ref="AV23">IF(AND(AV$2&lt;&gt;0,TblTech[[#This Row],[Hour]:[Hour]]&gt;=AV$2),1,0)</f>
        <v>0</v>
      </c>
      <c r="AW23" s="276" cm="1">
        <f t="array" ref="AW23">IF(AND(AW$2&lt;&gt;0,TblTech[[#This Row],[Hour]:[Hour]]&gt;=AW$2),1,0)</f>
        <v>0</v>
      </c>
      <c r="AX23" s="276" cm="1">
        <f t="array" ref="AX23">IF(AND(AX$2&lt;&gt;0,TblTech[[#This Row],[Hour]:[Hour]]&gt;=AX$2),1,0)</f>
        <v>0</v>
      </c>
      <c r="AY23" s="276" cm="1">
        <f t="array" ref="AY23">IF(AND(AY$2&lt;&gt;0,TblTech[[#This Row],[Hour]:[Hour]]&gt;=AY$2),1,0)</f>
        <v>0</v>
      </c>
      <c r="AZ23" s="276" cm="1">
        <f t="array" ref="AZ23">IF(AND(AZ$2&lt;&gt;0,TblTech[[#This Row],[Hour]:[Hour]]&gt;=AZ$2),1,0)</f>
        <v>0</v>
      </c>
      <c r="BA23" s="276" cm="1">
        <f t="array" ref="BA23">IF(AND(BA$2&lt;&gt;0,TblTech[[#This Row],[Hour]:[Hour]]&gt;=BA$2),1,0)</f>
        <v>0</v>
      </c>
      <c r="BB23" s="276" cm="1">
        <f t="array" ref="BB23">IF(AND(BB$2&lt;&gt;0,TblTech[[#This Row],[Hour]:[Hour]]&gt;=BB$2),1,0)</f>
        <v>0</v>
      </c>
      <c r="BC23" s="276" cm="1">
        <f t="array" ref="BC23">IF(AND(BC$2&lt;&gt;0,TblTech[[#This Row],[Hour]:[Hour]]&gt;=BC$2),1,0)</f>
        <v>0</v>
      </c>
      <c r="BD23" s="276" cm="1">
        <f t="array" ref="BD23">IF(AND(BD$2&lt;&gt;0,TblTech[[#This Row],[Hour]:[Hour]]&gt;=BD$2),1,0)</f>
        <v>0</v>
      </c>
      <c r="BE23" s="276" cm="1">
        <f t="array" ref="BE23">IF(AND(BE$2&lt;&gt;0,TblTech[[#This Row],[Hour]:[Hour]]&gt;=BE$2),1,0)</f>
        <v>0</v>
      </c>
      <c r="BF23" s="276" cm="1">
        <f t="array" ref="BF23">IF(AND(BF$2&lt;&gt;0,TblTech[[#This Row],[Hour]:[Hour]]&gt;=BF$2),1,0)</f>
        <v>0</v>
      </c>
      <c r="BG23" s="276" cm="1">
        <f t="array" ref="BG23">IF(AND(BG$2&lt;&gt;0,TblTech[[#This Row],[Hour]:[Hour]]&gt;=BG$2),1,0)</f>
        <v>0</v>
      </c>
      <c r="BH23" s="276" cm="1">
        <f t="array" ref="BH23">IF(AND(BH$2&lt;&gt;0,TblTech[[#This Row],[Hour]:[Hour]]&gt;=BH$2),1,0)</f>
        <v>0</v>
      </c>
      <c r="BI23" s="276" cm="1">
        <f t="array" ref="BI23">IF(AND(BI$2&lt;&gt;0,TblTech[[#This Row],[Hour]:[Hour]]&gt;=BI$2),1,0)</f>
        <v>0</v>
      </c>
      <c r="BJ23" s="276" cm="1">
        <f t="array" ref="BJ23">IF(AND(BJ$2&lt;&gt;0,TblTech[[#This Row],[Hour]:[Hour]]&gt;=BJ$2),1,0)</f>
        <v>0</v>
      </c>
      <c r="BK23" s="276" cm="1">
        <f t="array" ref="BK23">IF(AND(BK$2&lt;&gt;0,TblTech[[#This Row],[Hour]:[Hour]]&gt;=BK$2),1,0)</f>
        <v>0</v>
      </c>
      <c r="BL23" s="276" cm="1">
        <f t="array" ref="BL23">IF(AND(BL$2&lt;&gt;0,TblTech[[#This Row],[Hour]:[Hour]]&gt;=BL$2),1,0)</f>
        <v>0</v>
      </c>
      <c r="BM23" s="276" cm="1">
        <f t="array" ref="BM23">IF(AND(BM$2&lt;&gt;0,TblTech[[#This Row],[Hour]:[Hour]]&gt;=BM$2),1,0)</f>
        <v>0</v>
      </c>
      <c r="BN23" s="276" cm="1">
        <f t="array" ref="BN23">IF(AND(BN$2&lt;&gt;0,TblTech[[#This Row],[Hour]:[Hour]]&gt;=BN$2),1,0)</f>
        <v>0</v>
      </c>
      <c r="BO23" s="276" cm="1">
        <f t="array" ref="BO23">IF(AND(BO$2&lt;&gt;0,TblTech[[#This Row],[Hour]:[Hour]]&gt;=BO$2),1,0)</f>
        <v>0</v>
      </c>
      <c r="BP23" s="276" cm="1">
        <f t="array" ref="BP23">IF(AND(BP$2&lt;&gt;0,TblTech[[#This Row],[Hour]:[Hour]]&gt;=BP$2),1,0)</f>
        <v>0</v>
      </c>
      <c r="BQ23" s="276" cm="1">
        <f t="array" ref="BQ23">IF(AND(BQ$2&lt;&gt;0,TblTech[[#This Row],[Hour]:[Hour]]&gt;=BQ$2),1,0)</f>
        <v>0</v>
      </c>
      <c r="BR23" s="276" cm="1">
        <f t="array" ref="BR23">IF(AND(BR$2&lt;&gt;0,TblTech[[#This Row],[Hour]:[Hour]]&gt;=BR$2),1,0)</f>
        <v>0</v>
      </c>
      <c r="BS23" s="276" cm="1">
        <f t="array" ref="BS23">IF(AND(BS$2&lt;&gt;0,TblTech[[#This Row],[Hour]:[Hour]]&gt;=BS$2),1,0)</f>
        <v>0</v>
      </c>
      <c r="BT23" s="276" cm="1">
        <f t="array" ref="BT23">IF(AND(BT$2&lt;&gt;0,TblTech[[#This Row],[Hour]:[Hour]]&gt;=BT$2),1,0)</f>
        <v>0</v>
      </c>
      <c r="BU23" s="276" cm="1">
        <f t="array" ref="BU23">IF(AND(BU$2&lt;&gt;0,TblTech[[#This Row],[Hour]:[Hour]]&gt;=BU$2),1,0)</f>
        <v>0</v>
      </c>
      <c r="BV23" s="276" cm="1">
        <f t="array" ref="BV23">IF(AND(BV$2&lt;&gt;0,TblTech[[#This Row],[Hour]:[Hour]]&gt;=BV$2),1,0)</f>
        <v>0</v>
      </c>
      <c r="BW23" s="276" cm="1">
        <f t="array" ref="BW23">IF(AND(BW$2&lt;&gt;0,TblTech[[#This Row],[Hour]:[Hour]]&gt;=BW$2),1,0)</f>
        <v>0</v>
      </c>
      <c r="BX23" s="276" cm="1">
        <f t="array" ref="BX23">IF(AND(BX$2&lt;&gt;0,TblTech[[#This Row],[Hour]:[Hour]]&gt;=BX$2),1,0)</f>
        <v>0</v>
      </c>
      <c r="BY23" s="276" cm="1">
        <f t="array" ref="BY23">IF(AND(BY$2&lt;&gt;0,TblTech[[#This Row],[Hour]:[Hour]]&gt;=BY$2),1,0)</f>
        <v>0</v>
      </c>
      <c r="BZ23" s="276" cm="1">
        <f t="array" ref="BZ23">IF(AND(BZ$2&lt;&gt;0,TblTech[[#This Row],[Hour]:[Hour]]&gt;=BZ$2),1,0)</f>
        <v>0</v>
      </c>
      <c r="CA23" s="377">
        <f>IFERROR(INDEX($H$4:$H$79,MATCH(INDEX(TblTech[[#Headers],[1-1]:[11-1]],1,MATCH(TblTech[[#This Row],[Hour]],$M$2:$BZ$2,0)),$G$4:$G$79,0)),)</f>
        <v>0</v>
      </c>
    </row>
    <row r="24" spans="1:79" x14ac:dyDescent="0.2">
      <c r="A24" s="268">
        <f>TblRezone[[#This Row],[Hour]]</f>
        <v>21</v>
      </c>
      <c r="B24" s="269">
        <f ca="1">TblExplore[[#This Row],[Land-DB]]</f>
        <v>50</v>
      </c>
      <c r="C24" s="270">
        <f ca="1">TblProd[[#This Row],[Techpoints]]</f>
        <v>0</v>
      </c>
      <c r="D24" s="270">
        <f ca="1">TblProd[[#This Row],[Required]]</f>
        <v>3750</v>
      </c>
      <c r="E24" s="271"/>
      <c r="F24" s="272"/>
      <c r="G24" s="273" t="s">
        <v>562</v>
      </c>
      <c r="H24" s="274" t="s">
        <v>694</v>
      </c>
      <c r="I24" s="273" t="s">
        <v>736</v>
      </c>
      <c r="J24" s="269"/>
      <c r="K24" s="93">
        <f ca="1">IF(TblTech[[#This Row],[Sum of tech]]&lt;&gt;OFFSET(TblTech[[#This Row],[Sum of tech]],-1,0),1,0)</f>
        <v>0</v>
      </c>
      <c r="L24" s="275">
        <f>COUNTIF(TblTech[[#This Row],[1-1]:[11-1]],1)</f>
        <v>0</v>
      </c>
      <c r="M24" s="276" cm="1">
        <f t="array" ref="M24">IF(AND(M$2&lt;&gt;0,TblTech[[#This Row],[Hour]:[Hour]]&gt;=M$2),1,0)</f>
        <v>0</v>
      </c>
      <c r="N24" s="276" cm="1">
        <f t="array" ref="N24">IF(AND(N$2&lt;&gt;0,TblTech[[#This Row],[Hour]:[Hour]]&gt;=N$2),1,0)</f>
        <v>0</v>
      </c>
      <c r="O24" s="276" cm="1">
        <f t="array" ref="O24">IF(AND(O$2&lt;&gt;0,TblTech[[#This Row],[Hour]:[Hour]]&gt;=O$2),1,0)</f>
        <v>0</v>
      </c>
      <c r="P24" s="276" cm="1">
        <f t="array" ref="P24">IF(AND(P$2&lt;&gt;0,TblTech[[#This Row],[Hour]:[Hour]]&gt;=P$2),1,0)</f>
        <v>0</v>
      </c>
      <c r="Q24" s="276" cm="1">
        <f t="array" ref="Q24">IF(AND(Q$2&lt;&gt;0,TblTech[[#This Row],[Hour]:[Hour]]&gt;=Q$2),1,0)</f>
        <v>0</v>
      </c>
      <c r="R24" s="276" cm="1">
        <f t="array" ref="R24">IF(AND(R$2&lt;&gt;0,TblTech[[#This Row],[Hour]:[Hour]]&gt;=R$2),1,0)</f>
        <v>0</v>
      </c>
      <c r="S24" s="276" cm="1">
        <f t="array" ref="S24">IF(AND(S$2&lt;&gt;0,TblTech[[#This Row],[Hour]:[Hour]]&gt;=S$2),1,0)</f>
        <v>0</v>
      </c>
      <c r="T24" s="276" cm="1">
        <f t="array" ref="T24">IF(AND(T$2&lt;&gt;0,TblTech[[#This Row],[Hour]:[Hour]]&gt;=T$2),1,0)</f>
        <v>0</v>
      </c>
      <c r="U24" s="276" cm="1">
        <f t="array" ref="U24">IF(AND(U$2&lt;&gt;0,TblTech[[#This Row],[Hour]:[Hour]]&gt;=U$2),1,0)</f>
        <v>0</v>
      </c>
      <c r="V24" s="276" cm="1">
        <f t="array" ref="V24">IF(AND(V$2&lt;&gt;0,TblTech[[#This Row],[Hour]:[Hour]]&gt;=V$2),1,0)</f>
        <v>0</v>
      </c>
      <c r="W24" s="276" cm="1">
        <f t="array" ref="W24">IF(AND(W$2&lt;&gt;0,TblTech[[#This Row],[Hour]:[Hour]]&gt;=W$2),1,0)</f>
        <v>0</v>
      </c>
      <c r="X24" s="276" cm="1">
        <f t="array" ref="X24">IF(AND(X$2&lt;&gt;0,TblTech[[#This Row],[Hour]:[Hour]]&gt;=X$2),1,0)</f>
        <v>0</v>
      </c>
      <c r="Y24" s="276" cm="1">
        <f t="array" ref="Y24">IF(AND(Y$2&lt;&gt;0,TblTech[[#This Row],[Hour]:[Hour]]&gt;=Y$2),1,0)</f>
        <v>0</v>
      </c>
      <c r="Z24" s="276" cm="1">
        <f t="array" ref="Z24">IF(AND(Z$2&lt;&gt;0,TblTech[[#This Row],[Hour]:[Hour]]&gt;=Z$2),1,0)</f>
        <v>0</v>
      </c>
      <c r="AA24" s="276" cm="1">
        <f t="array" ref="AA24">IF(AND(AA$2&lt;&gt;0,TblTech[[#This Row],[Hour]:[Hour]]&gt;=AA$2),1,0)</f>
        <v>0</v>
      </c>
      <c r="AB24" s="276" cm="1">
        <f t="array" ref="AB24">IF(AND(AB$2&lt;&gt;0,TblTech[[#This Row],[Hour]:[Hour]]&gt;=AB$2),1,0)</f>
        <v>0</v>
      </c>
      <c r="AC24" s="276" cm="1">
        <f t="array" ref="AC24">IF(AND(AC$2&lt;&gt;0,TblTech[[#This Row],[Hour]:[Hour]]&gt;=AC$2),1,0)</f>
        <v>0</v>
      </c>
      <c r="AD24" s="276" cm="1">
        <f t="array" ref="AD24">IF(AND(AD$2&lt;&gt;0,TblTech[[#This Row],[Hour]:[Hour]]&gt;=AD$2),1,0)</f>
        <v>0</v>
      </c>
      <c r="AE24" s="276" cm="1">
        <f t="array" ref="AE24">IF(AND(AE$2&lt;&gt;0,TblTech[[#This Row],[Hour]:[Hour]]&gt;=AE$2),1,0)</f>
        <v>0</v>
      </c>
      <c r="AF24" s="276" cm="1">
        <f t="array" ref="AF24">IF(AND(AF$2&lt;&gt;0,TblTech[[#This Row],[Hour]:[Hour]]&gt;=AF$2),1,0)</f>
        <v>0</v>
      </c>
      <c r="AG24" s="276" cm="1">
        <f t="array" ref="AG24">IF(AND(AG$2&lt;&gt;0,TblTech[[#This Row],[Hour]:[Hour]]&gt;=AG$2),1,0)</f>
        <v>0</v>
      </c>
      <c r="AH24" s="276" cm="1">
        <f t="array" ref="AH24">IF(AND(AH$2&lt;&gt;0,TblTech[[#This Row],[Hour]:[Hour]]&gt;=AH$2),1,0)</f>
        <v>0</v>
      </c>
      <c r="AI24" s="276" cm="1">
        <f t="array" ref="AI24">IF(AND(AI$2&lt;&gt;0,TblTech[[#This Row],[Hour]:[Hour]]&gt;=AI$2),1,0)</f>
        <v>0</v>
      </c>
      <c r="AJ24" s="276" cm="1">
        <f t="array" ref="AJ24">IF(AND(AJ$2&lt;&gt;0,TblTech[[#This Row],[Hour]:[Hour]]&gt;=AJ$2),1,0)</f>
        <v>0</v>
      </c>
      <c r="AK24" s="276" cm="1">
        <f t="array" ref="AK24">IF(AND(AK$2&lt;&gt;0,TblTech[[#This Row],[Hour]:[Hour]]&gt;=AK$2),1,0)</f>
        <v>0</v>
      </c>
      <c r="AL24" s="276" cm="1">
        <f t="array" ref="AL24">IF(AND(AL$2&lt;&gt;0,TblTech[[#This Row],[Hour]:[Hour]]&gt;=AL$2),1,0)</f>
        <v>0</v>
      </c>
      <c r="AM24" s="276" cm="1">
        <f t="array" ref="AM24">IF(AND(AM$2&lt;&gt;0,TblTech[[#This Row],[Hour]:[Hour]]&gt;=AM$2),1,0)</f>
        <v>0</v>
      </c>
      <c r="AN24" s="276" cm="1">
        <f t="array" ref="AN24">IF(AND(AN$2&lt;&gt;0,TblTech[[#This Row],[Hour]:[Hour]]&gt;=AN$2),1,0)</f>
        <v>0</v>
      </c>
      <c r="AO24" s="276" cm="1">
        <f t="array" ref="AO24">IF(AND(AO$2&lt;&gt;0,TblTech[[#This Row],[Hour]:[Hour]]&gt;=AO$2),1,0)</f>
        <v>0</v>
      </c>
      <c r="AP24" s="276" cm="1">
        <f t="array" ref="AP24">IF(AND(AP$2&lt;&gt;0,TblTech[[#This Row],[Hour]:[Hour]]&gt;=AP$2),1,0)</f>
        <v>0</v>
      </c>
      <c r="AQ24" s="276" cm="1">
        <f t="array" ref="AQ24">IF(AND(AQ$2&lt;&gt;0,TblTech[[#This Row],[Hour]:[Hour]]&gt;=AQ$2),1,0)</f>
        <v>0</v>
      </c>
      <c r="AR24" s="276" cm="1">
        <f t="array" ref="AR24">IF(AND(AR$2&lt;&gt;0,TblTech[[#This Row],[Hour]:[Hour]]&gt;=AR$2),1,0)</f>
        <v>0</v>
      </c>
      <c r="AS24" s="276" cm="1">
        <f t="array" ref="AS24">IF(AND(AS$2&lt;&gt;0,TblTech[[#This Row],[Hour]:[Hour]]&gt;=AS$2),1,0)</f>
        <v>0</v>
      </c>
      <c r="AT24" s="276" cm="1">
        <f t="array" ref="AT24">IF(AND(AT$2&lt;&gt;0,TblTech[[#This Row],[Hour]:[Hour]]&gt;=AT$2),1,0)</f>
        <v>0</v>
      </c>
      <c r="AU24" s="276" cm="1">
        <f t="array" ref="AU24">IF(AND(AU$2&lt;&gt;0,TblTech[[#This Row],[Hour]:[Hour]]&gt;=AU$2),1,0)</f>
        <v>0</v>
      </c>
      <c r="AV24" s="276" cm="1">
        <f t="array" ref="AV24">IF(AND(AV$2&lt;&gt;0,TblTech[[#This Row],[Hour]:[Hour]]&gt;=AV$2),1,0)</f>
        <v>0</v>
      </c>
      <c r="AW24" s="276" cm="1">
        <f t="array" ref="AW24">IF(AND(AW$2&lt;&gt;0,TblTech[[#This Row],[Hour]:[Hour]]&gt;=AW$2),1,0)</f>
        <v>0</v>
      </c>
      <c r="AX24" s="276" cm="1">
        <f t="array" ref="AX24">IF(AND(AX$2&lt;&gt;0,TblTech[[#This Row],[Hour]:[Hour]]&gt;=AX$2),1,0)</f>
        <v>0</v>
      </c>
      <c r="AY24" s="276" cm="1">
        <f t="array" ref="AY24">IF(AND(AY$2&lt;&gt;0,TblTech[[#This Row],[Hour]:[Hour]]&gt;=AY$2),1,0)</f>
        <v>0</v>
      </c>
      <c r="AZ24" s="276" cm="1">
        <f t="array" ref="AZ24">IF(AND(AZ$2&lt;&gt;0,TblTech[[#This Row],[Hour]:[Hour]]&gt;=AZ$2),1,0)</f>
        <v>0</v>
      </c>
      <c r="BA24" s="276" cm="1">
        <f t="array" ref="BA24">IF(AND(BA$2&lt;&gt;0,TblTech[[#This Row],[Hour]:[Hour]]&gt;=BA$2),1,0)</f>
        <v>0</v>
      </c>
      <c r="BB24" s="276" cm="1">
        <f t="array" ref="BB24">IF(AND(BB$2&lt;&gt;0,TblTech[[#This Row],[Hour]:[Hour]]&gt;=BB$2),1,0)</f>
        <v>0</v>
      </c>
      <c r="BC24" s="276" cm="1">
        <f t="array" ref="BC24">IF(AND(BC$2&lt;&gt;0,TblTech[[#This Row],[Hour]:[Hour]]&gt;=BC$2),1,0)</f>
        <v>0</v>
      </c>
      <c r="BD24" s="276" cm="1">
        <f t="array" ref="BD24">IF(AND(BD$2&lt;&gt;0,TblTech[[#This Row],[Hour]:[Hour]]&gt;=BD$2),1,0)</f>
        <v>0</v>
      </c>
      <c r="BE24" s="276" cm="1">
        <f t="array" ref="BE24">IF(AND(BE$2&lt;&gt;0,TblTech[[#This Row],[Hour]:[Hour]]&gt;=BE$2),1,0)</f>
        <v>0</v>
      </c>
      <c r="BF24" s="276" cm="1">
        <f t="array" ref="BF24">IF(AND(BF$2&lt;&gt;0,TblTech[[#This Row],[Hour]:[Hour]]&gt;=BF$2),1,0)</f>
        <v>0</v>
      </c>
      <c r="BG24" s="276" cm="1">
        <f t="array" ref="BG24">IF(AND(BG$2&lt;&gt;0,TblTech[[#This Row],[Hour]:[Hour]]&gt;=BG$2),1,0)</f>
        <v>0</v>
      </c>
      <c r="BH24" s="276" cm="1">
        <f t="array" ref="BH24">IF(AND(BH$2&lt;&gt;0,TblTech[[#This Row],[Hour]:[Hour]]&gt;=BH$2),1,0)</f>
        <v>0</v>
      </c>
      <c r="BI24" s="276" cm="1">
        <f t="array" ref="BI24">IF(AND(BI$2&lt;&gt;0,TblTech[[#This Row],[Hour]:[Hour]]&gt;=BI$2),1,0)</f>
        <v>0</v>
      </c>
      <c r="BJ24" s="276" cm="1">
        <f t="array" ref="BJ24">IF(AND(BJ$2&lt;&gt;0,TblTech[[#This Row],[Hour]:[Hour]]&gt;=BJ$2),1,0)</f>
        <v>0</v>
      </c>
      <c r="BK24" s="276" cm="1">
        <f t="array" ref="BK24">IF(AND(BK$2&lt;&gt;0,TblTech[[#This Row],[Hour]:[Hour]]&gt;=BK$2),1,0)</f>
        <v>0</v>
      </c>
      <c r="BL24" s="276" cm="1">
        <f t="array" ref="BL24">IF(AND(BL$2&lt;&gt;0,TblTech[[#This Row],[Hour]:[Hour]]&gt;=BL$2),1,0)</f>
        <v>0</v>
      </c>
      <c r="BM24" s="276" cm="1">
        <f t="array" ref="BM24">IF(AND(BM$2&lt;&gt;0,TblTech[[#This Row],[Hour]:[Hour]]&gt;=BM$2),1,0)</f>
        <v>0</v>
      </c>
      <c r="BN24" s="276" cm="1">
        <f t="array" ref="BN24">IF(AND(BN$2&lt;&gt;0,TblTech[[#This Row],[Hour]:[Hour]]&gt;=BN$2),1,0)</f>
        <v>0</v>
      </c>
      <c r="BO24" s="276" cm="1">
        <f t="array" ref="BO24">IF(AND(BO$2&lt;&gt;0,TblTech[[#This Row],[Hour]:[Hour]]&gt;=BO$2),1,0)</f>
        <v>0</v>
      </c>
      <c r="BP24" s="276" cm="1">
        <f t="array" ref="BP24">IF(AND(BP$2&lt;&gt;0,TblTech[[#This Row],[Hour]:[Hour]]&gt;=BP$2),1,0)</f>
        <v>0</v>
      </c>
      <c r="BQ24" s="276" cm="1">
        <f t="array" ref="BQ24">IF(AND(BQ$2&lt;&gt;0,TblTech[[#This Row],[Hour]:[Hour]]&gt;=BQ$2),1,0)</f>
        <v>0</v>
      </c>
      <c r="BR24" s="276" cm="1">
        <f t="array" ref="BR24">IF(AND(BR$2&lt;&gt;0,TblTech[[#This Row],[Hour]:[Hour]]&gt;=BR$2),1,0)</f>
        <v>0</v>
      </c>
      <c r="BS24" s="276" cm="1">
        <f t="array" ref="BS24">IF(AND(BS$2&lt;&gt;0,TblTech[[#This Row],[Hour]:[Hour]]&gt;=BS$2),1,0)</f>
        <v>0</v>
      </c>
      <c r="BT24" s="276" cm="1">
        <f t="array" ref="BT24">IF(AND(BT$2&lt;&gt;0,TblTech[[#This Row],[Hour]:[Hour]]&gt;=BT$2),1,0)</f>
        <v>0</v>
      </c>
      <c r="BU24" s="276" cm="1">
        <f t="array" ref="BU24">IF(AND(BU$2&lt;&gt;0,TblTech[[#This Row],[Hour]:[Hour]]&gt;=BU$2),1,0)</f>
        <v>0</v>
      </c>
      <c r="BV24" s="276" cm="1">
        <f t="array" ref="BV24">IF(AND(BV$2&lt;&gt;0,TblTech[[#This Row],[Hour]:[Hour]]&gt;=BV$2),1,0)</f>
        <v>0</v>
      </c>
      <c r="BW24" s="276" cm="1">
        <f t="array" ref="BW24">IF(AND(BW$2&lt;&gt;0,TblTech[[#This Row],[Hour]:[Hour]]&gt;=BW$2),1,0)</f>
        <v>0</v>
      </c>
      <c r="BX24" s="276" cm="1">
        <f t="array" ref="BX24">IF(AND(BX$2&lt;&gt;0,TblTech[[#This Row],[Hour]:[Hour]]&gt;=BX$2),1,0)</f>
        <v>0</v>
      </c>
      <c r="BY24" s="276" cm="1">
        <f t="array" ref="BY24">IF(AND(BY$2&lt;&gt;0,TblTech[[#This Row],[Hour]:[Hour]]&gt;=BY$2),1,0)</f>
        <v>0</v>
      </c>
      <c r="BZ24" s="276" cm="1">
        <f t="array" ref="BZ24">IF(AND(BZ$2&lt;&gt;0,TblTech[[#This Row],[Hour]:[Hour]]&gt;=BZ$2),1,0)</f>
        <v>0</v>
      </c>
      <c r="CA24" s="377">
        <f>IFERROR(INDEX($H$4:$H$79,MATCH(INDEX(TblTech[[#Headers],[1-1]:[11-1]],1,MATCH(TblTech[[#This Row],[Hour]],$M$2:$BZ$2,0)),$G$4:$G$79,0)),)</f>
        <v>0</v>
      </c>
    </row>
    <row r="25" spans="1:79" x14ac:dyDescent="0.2">
      <c r="A25" s="268">
        <f>TblRezone[[#This Row],[Hour]]</f>
        <v>22</v>
      </c>
      <c r="B25" s="269">
        <f ca="1">TblExplore[[#This Row],[Land-DB]]</f>
        <v>50</v>
      </c>
      <c r="C25" s="270">
        <f ca="1">TblProd[[#This Row],[Techpoints]]</f>
        <v>0</v>
      </c>
      <c r="D25" s="270">
        <f ca="1">TblProd[[#This Row],[Required]]</f>
        <v>3750</v>
      </c>
      <c r="E25" s="271"/>
      <c r="F25" s="272"/>
      <c r="G25" s="273" t="s">
        <v>563</v>
      </c>
      <c r="H25" s="274" t="s">
        <v>695</v>
      </c>
      <c r="I25" s="273" t="s">
        <v>564</v>
      </c>
      <c r="J25" s="269"/>
      <c r="K25" s="93">
        <f ca="1">IF(TblTech[[#This Row],[Sum of tech]]&lt;&gt;OFFSET(TblTech[[#This Row],[Sum of tech]],-1,0),1,0)</f>
        <v>0</v>
      </c>
      <c r="L25" s="275">
        <f>COUNTIF(TblTech[[#This Row],[1-1]:[11-1]],1)</f>
        <v>0</v>
      </c>
      <c r="M25" s="276" cm="1">
        <f t="array" ref="M25">IF(AND(M$2&lt;&gt;0,TblTech[[#This Row],[Hour]:[Hour]]&gt;=M$2),1,0)</f>
        <v>0</v>
      </c>
      <c r="N25" s="276" cm="1">
        <f t="array" ref="N25">IF(AND(N$2&lt;&gt;0,TblTech[[#This Row],[Hour]:[Hour]]&gt;=N$2),1,0)</f>
        <v>0</v>
      </c>
      <c r="O25" s="276" cm="1">
        <f t="array" ref="O25">IF(AND(O$2&lt;&gt;0,TblTech[[#This Row],[Hour]:[Hour]]&gt;=O$2),1,0)</f>
        <v>0</v>
      </c>
      <c r="P25" s="276" cm="1">
        <f t="array" ref="P25">IF(AND(P$2&lt;&gt;0,TblTech[[#This Row],[Hour]:[Hour]]&gt;=P$2),1,0)</f>
        <v>0</v>
      </c>
      <c r="Q25" s="276" cm="1">
        <f t="array" ref="Q25">IF(AND(Q$2&lt;&gt;0,TblTech[[#This Row],[Hour]:[Hour]]&gt;=Q$2),1,0)</f>
        <v>0</v>
      </c>
      <c r="R25" s="276" cm="1">
        <f t="array" ref="R25">IF(AND(R$2&lt;&gt;0,TblTech[[#This Row],[Hour]:[Hour]]&gt;=R$2),1,0)</f>
        <v>0</v>
      </c>
      <c r="S25" s="276" cm="1">
        <f t="array" ref="S25">IF(AND(S$2&lt;&gt;0,TblTech[[#This Row],[Hour]:[Hour]]&gt;=S$2),1,0)</f>
        <v>0</v>
      </c>
      <c r="T25" s="276" cm="1">
        <f t="array" ref="T25">IF(AND(T$2&lt;&gt;0,TblTech[[#This Row],[Hour]:[Hour]]&gt;=T$2),1,0)</f>
        <v>0</v>
      </c>
      <c r="U25" s="276" cm="1">
        <f t="array" ref="U25">IF(AND(U$2&lt;&gt;0,TblTech[[#This Row],[Hour]:[Hour]]&gt;=U$2),1,0)</f>
        <v>0</v>
      </c>
      <c r="V25" s="276" cm="1">
        <f t="array" ref="V25">IF(AND(V$2&lt;&gt;0,TblTech[[#This Row],[Hour]:[Hour]]&gt;=V$2),1,0)</f>
        <v>0</v>
      </c>
      <c r="W25" s="276" cm="1">
        <f t="array" ref="W25">IF(AND(W$2&lt;&gt;0,TblTech[[#This Row],[Hour]:[Hour]]&gt;=W$2),1,0)</f>
        <v>0</v>
      </c>
      <c r="X25" s="276" cm="1">
        <f t="array" ref="X25">IF(AND(X$2&lt;&gt;0,TblTech[[#This Row],[Hour]:[Hour]]&gt;=X$2),1,0)</f>
        <v>0</v>
      </c>
      <c r="Y25" s="276" cm="1">
        <f t="array" ref="Y25">IF(AND(Y$2&lt;&gt;0,TblTech[[#This Row],[Hour]:[Hour]]&gt;=Y$2),1,0)</f>
        <v>0</v>
      </c>
      <c r="Z25" s="276" cm="1">
        <f t="array" ref="Z25">IF(AND(Z$2&lt;&gt;0,TblTech[[#This Row],[Hour]:[Hour]]&gt;=Z$2),1,0)</f>
        <v>0</v>
      </c>
      <c r="AA25" s="276" cm="1">
        <f t="array" ref="AA25">IF(AND(AA$2&lt;&gt;0,TblTech[[#This Row],[Hour]:[Hour]]&gt;=AA$2),1,0)</f>
        <v>0</v>
      </c>
      <c r="AB25" s="276" cm="1">
        <f t="array" ref="AB25">IF(AND(AB$2&lt;&gt;0,TblTech[[#This Row],[Hour]:[Hour]]&gt;=AB$2),1,0)</f>
        <v>0</v>
      </c>
      <c r="AC25" s="276" cm="1">
        <f t="array" ref="AC25">IF(AND(AC$2&lt;&gt;0,TblTech[[#This Row],[Hour]:[Hour]]&gt;=AC$2),1,0)</f>
        <v>0</v>
      </c>
      <c r="AD25" s="276" cm="1">
        <f t="array" ref="AD25">IF(AND(AD$2&lt;&gt;0,TblTech[[#This Row],[Hour]:[Hour]]&gt;=AD$2),1,0)</f>
        <v>0</v>
      </c>
      <c r="AE25" s="276" cm="1">
        <f t="array" ref="AE25">IF(AND(AE$2&lt;&gt;0,TblTech[[#This Row],[Hour]:[Hour]]&gt;=AE$2),1,0)</f>
        <v>0</v>
      </c>
      <c r="AF25" s="276" cm="1">
        <f t="array" ref="AF25">IF(AND(AF$2&lt;&gt;0,TblTech[[#This Row],[Hour]:[Hour]]&gt;=AF$2),1,0)</f>
        <v>0</v>
      </c>
      <c r="AG25" s="276" cm="1">
        <f t="array" ref="AG25">IF(AND(AG$2&lt;&gt;0,TblTech[[#This Row],[Hour]:[Hour]]&gt;=AG$2),1,0)</f>
        <v>0</v>
      </c>
      <c r="AH25" s="276" cm="1">
        <f t="array" ref="AH25">IF(AND(AH$2&lt;&gt;0,TblTech[[#This Row],[Hour]:[Hour]]&gt;=AH$2),1,0)</f>
        <v>0</v>
      </c>
      <c r="AI25" s="276" cm="1">
        <f t="array" ref="AI25">IF(AND(AI$2&lt;&gt;0,TblTech[[#This Row],[Hour]:[Hour]]&gt;=AI$2),1,0)</f>
        <v>0</v>
      </c>
      <c r="AJ25" s="276" cm="1">
        <f t="array" ref="AJ25">IF(AND(AJ$2&lt;&gt;0,TblTech[[#This Row],[Hour]:[Hour]]&gt;=AJ$2),1,0)</f>
        <v>0</v>
      </c>
      <c r="AK25" s="276" cm="1">
        <f t="array" ref="AK25">IF(AND(AK$2&lt;&gt;0,TblTech[[#This Row],[Hour]:[Hour]]&gt;=AK$2),1,0)</f>
        <v>0</v>
      </c>
      <c r="AL25" s="276" cm="1">
        <f t="array" ref="AL25">IF(AND(AL$2&lt;&gt;0,TblTech[[#This Row],[Hour]:[Hour]]&gt;=AL$2),1,0)</f>
        <v>0</v>
      </c>
      <c r="AM25" s="276" cm="1">
        <f t="array" ref="AM25">IF(AND(AM$2&lt;&gt;0,TblTech[[#This Row],[Hour]:[Hour]]&gt;=AM$2),1,0)</f>
        <v>0</v>
      </c>
      <c r="AN25" s="276" cm="1">
        <f t="array" ref="AN25">IF(AND(AN$2&lt;&gt;0,TblTech[[#This Row],[Hour]:[Hour]]&gt;=AN$2),1,0)</f>
        <v>0</v>
      </c>
      <c r="AO25" s="276" cm="1">
        <f t="array" ref="AO25">IF(AND(AO$2&lt;&gt;0,TblTech[[#This Row],[Hour]:[Hour]]&gt;=AO$2),1,0)</f>
        <v>0</v>
      </c>
      <c r="AP25" s="276" cm="1">
        <f t="array" ref="AP25">IF(AND(AP$2&lt;&gt;0,TblTech[[#This Row],[Hour]:[Hour]]&gt;=AP$2),1,0)</f>
        <v>0</v>
      </c>
      <c r="AQ25" s="276" cm="1">
        <f t="array" ref="AQ25">IF(AND(AQ$2&lt;&gt;0,TblTech[[#This Row],[Hour]:[Hour]]&gt;=AQ$2),1,0)</f>
        <v>0</v>
      </c>
      <c r="AR25" s="276" cm="1">
        <f t="array" ref="AR25">IF(AND(AR$2&lt;&gt;0,TblTech[[#This Row],[Hour]:[Hour]]&gt;=AR$2),1,0)</f>
        <v>0</v>
      </c>
      <c r="AS25" s="276" cm="1">
        <f t="array" ref="AS25">IF(AND(AS$2&lt;&gt;0,TblTech[[#This Row],[Hour]:[Hour]]&gt;=AS$2),1,0)</f>
        <v>0</v>
      </c>
      <c r="AT25" s="276" cm="1">
        <f t="array" ref="AT25">IF(AND(AT$2&lt;&gt;0,TblTech[[#This Row],[Hour]:[Hour]]&gt;=AT$2),1,0)</f>
        <v>0</v>
      </c>
      <c r="AU25" s="276" cm="1">
        <f t="array" ref="AU25">IF(AND(AU$2&lt;&gt;0,TblTech[[#This Row],[Hour]:[Hour]]&gt;=AU$2),1,0)</f>
        <v>0</v>
      </c>
      <c r="AV25" s="276" cm="1">
        <f t="array" ref="AV25">IF(AND(AV$2&lt;&gt;0,TblTech[[#This Row],[Hour]:[Hour]]&gt;=AV$2),1,0)</f>
        <v>0</v>
      </c>
      <c r="AW25" s="276" cm="1">
        <f t="array" ref="AW25">IF(AND(AW$2&lt;&gt;0,TblTech[[#This Row],[Hour]:[Hour]]&gt;=AW$2),1,0)</f>
        <v>0</v>
      </c>
      <c r="AX25" s="276" cm="1">
        <f t="array" ref="AX25">IF(AND(AX$2&lt;&gt;0,TblTech[[#This Row],[Hour]:[Hour]]&gt;=AX$2),1,0)</f>
        <v>0</v>
      </c>
      <c r="AY25" s="276" cm="1">
        <f t="array" ref="AY25">IF(AND(AY$2&lt;&gt;0,TblTech[[#This Row],[Hour]:[Hour]]&gt;=AY$2),1,0)</f>
        <v>0</v>
      </c>
      <c r="AZ25" s="276" cm="1">
        <f t="array" ref="AZ25">IF(AND(AZ$2&lt;&gt;0,TblTech[[#This Row],[Hour]:[Hour]]&gt;=AZ$2),1,0)</f>
        <v>0</v>
      </c>
      <c r="BA25" s="276" cm="1">
        <f t="array" ref="BA25">IF(AND(BA$2&lt;&gt;0,TblTech[[#This Row],[Hour]:[Hour]]&gt;=BA$2),1,0)</f>
        <v>0</v>
      </c>
      <c r="BB25" s="276" cm="1">
        <f t="array" ref="BB25">IF(AND(BB$2&lt;&gt;0,TblTech[[#This Row],[Hour]:[Hour]]&gt;=BB$2),1,0)</f>
        <v>0</v>
      </c>
      <c r="BC25" s="276" cm="1">
        <f t="array" ref="BC25">IF(AND(BC$2&lt;&gt;0,TblTech[[#This Row],[Hour]:[Hour]]&gt;=BC$2),1,0)</f>
        <v>0</v>
      </c>
      <c r="BD25" s="276" cm="1">
        <f t="array" ref="BD25">IF(AND(BD$2&lt;&gt;0,TblTech[[#This Row],[Hour]:[Hour]]&gt;=BD$2),1,0)</f>
        <v>0</v>
      </c>
      <c r="BE25" s="276" cm="1">
        <f t="array" ref="BE25">IF(AND(BE$2&lt;&gt;0,TblTech[[#This Row],[Hour]:[Hour]]&gt;=BE$2),1,0)</f>
        <v>0</v>
      </c>
      <c r="BF25" s="276" cm="1">
        <f t="array" ref="BF25">IF(AND(BF$2&lt;&gt;0,TblTech[[#This Row],[Hour]:[Hour]]&gt;=BF$2),1,0)</f>
        <v>0</v>
      </c>
      <c r="BG25" s="276" cm="1">
        <f t="array" ref="BG25">IF(AND(BG$2&lt;&gt;0,TblTech[[#This Row],[Hour]:[Hour]]&gt;=BG$2),1,0)</f>
        <v>0</v>
      </c>
      <c r="BH25" s="276" cm="1">
        <f t="array" ref="BH25">IF(AND(BH$2&lt;&gt;0,TblTech[[#This Row],[Hour]:[Hour]]&gt;=BH$2),1,0)</f>
        <v>0</v>
      </c>
      <c r="BI25" s="276" cm="1">
        <f t="array" ref="BI25">IF(AND(BI$2&lt;&gt;0,TblTech[[#This Row],[Hour]:[Hour]]&gt;=BI$2),1,0)</f>
        <v>0</v>
      </c>
      <c r="BJ25" s="276" cm="1">
        <f t="array" ref="BJ25">IF(AND(BJ$2&lt;&gt;0,TblTech[[#This Row],[Hour]:[Hour]]&gt;=BJ$2),1,0)</f>
        <v>0</v>
      </c>
      <c r="BK25" s="276" cm="1">
        <f t="array" ref="BK25">IF(AND(BK$2&lt;&gt;0,TblTech[[#This Row],[Hour]:[Hour]]&gt;=BK$2),1,0)</f>
        <v>0</v>
      </c>
      <c r="BL25" s="276" cm="1">
        <f t="array" ref="BL25">IF(AND(BL$2&lt;&gt;0,TblTech[[#This Row],[Hour]:[Hour]]&gt;=BL$2),1,0)</f>
        <v>0</v>
      </c>
      <c r="BM25" s="276" cm="1">
        <f t="array" ref="BM25">IF(AND(BM$2&lt;&gt;0,TblTech[[#This Row],[Hour]:[Hour]]&gt;=BM$2),1,0)</f>
        <v>0</v>
      </c>
      <c r="BN25" s="276" cm="1">
        <f t="array" ref="BN25">IF(AND(BN$2&lt;&gt;0,TblTech[[#This Row],[Hour]:[Hour]]&gt;=BN$2),1,0)</f>
        <v>0</v>
      </c>
      <c r="BO25" s="276" cm="1">
        <f t="array" ref="BO25">IF(AND(BO$2&lt;&gt;0,TblTech[[#This Row],[Hour]:[Hour]]&gt;=BO$2),1,0)</f>
        <v>0</v>
      </c>
      <c r="BP25" s="276" cm="1">
        <f t="array" ref="BP25">IF(AND(BP$2&lt;&gt;0,TblTech[[#This Row],[Hour]:[Hour]]&gt;=BP$2),1,0)</f>
        <v>0</v>
      </c>
      <c r="BQ25" s="276" cm="1">
        <f t="array" ref="BQ25">IF(AND(BQ$2&lt;&gt;0,TblTech[[#This Row],[Hour]:[Hour]]&gt;=BQ$2),1,0)</f>
        <v>0</v>
      </c>
      <c r="BR25" s="276" cm="1">
        <f t="array" ref="BR25">IF(AND(BR$2&lt;&gt;0,TblTech[[#This Row],[Hour]:[Hour]]&gt;=BR$2),1,0)</f>
        <v>0</v>
      </c>
      <c r="BS25" s="276" cm="1">
        <f t="array" ref="BS25">IF(AND(BS$2&lt;&gt;0,TblTech[[#This Row],[Hour]:[Hour]]&gt;=BS$2),1,0)</f>
        <v>0</v>
      </c>
      <c r="BT25" s="276" cm="1">
        <f t="array" ref="BT25">IF(AND(BT$2&lt;&gt;0,TblTech[[#This Row],[Hour]:[Hour]]&gt;=BT$2),1,0)</f>
        <v>0</v>
      </c>
      <c r="BU25" s="276" cm="1">
        <f t="array" ref="BU25">IF(AND(BU$2&lt;&gt;0,TblTech[[#This Row],[Hour]:[Hour]]&gt;=BU$2),1,0)</f>
        <v>0</v>
      </c>
      <c r="BV25" s="276" cm="1">
        <f t="array" ref="BV25">IF(AND(BV$2&lt;&gt;0,TblTech[[#This Row],[Hour]:[Hour]]&gt;=BV$2),1,0)</f>
        <v>0</v>
      </c>
      <c r="BW25" s="276" cm="1">
        <f t="array" ref="BW25">IF(AND(BW$2&lt;&gt;0,TblTech[[#This Row],[Hour]:[Hour]]&gt;=BW$2),1,0)</f>
        <v>0</v>
      </c>
      <c r="BX25" s="276" cm="1">
        <f t="array" ref="BX25">IF(AND(BX$2&lt;&gt;0,TblTech[[#This Row],[Hour]:[Hour]]&gt;=BX$2),1,0)</f>
        <v>0</v>
      </c>
      <c r="BY25" s="276" cm="1">
        <f t="array" ref="BY25">IF(AND(BY$2&lt;&gt;0,TblTech[[#This Row],[Hour]:[Hour]]&gt;=BY$2),1,0)</f>
        <v>0</v>
      </c>
      <c r="BZ25" s="276" cm="1">
        <f t="array" ref="BZ25">IF(AND(BZ$2&lt;&gt;0,TblTech[[#This Row],[Hour]:[Hour]]&gt;=BZ$2),1,0)</f>
        <v>0</v>
      </c>
      <c r="CA25" s="377">
        <f>IFERROR(INDEX($H$4:$H$79,MATCH(INDEX(TblTech[[#Headers],[1-1]:[11-1]],1,MATCH(TblTech[[#This Row],[Hour]],$M$2:$BZ$2,0)),$G$4:$G$79,0)),)</f>
        <v>0</v>
      </c>
    </row>
    <row r="26" spans="1:79" x14ac:dyDescent="0.2">
      <c r="A26" s="268">
        <f>TblRezone[[#This Row],[Hour]]</f>
        <v>23</v>
      </c>
      <c r="B26" s="269">
        <f ca="1">TblExplore[[#This Row],[Land-DB]]</f>
        <v>50</v>
      </c>
      <c r="C26" s="270">
        <f ca="1">TblProd[[#This Row],[Techpoints]]</f>
        <v>0</v>
      </c>
      <c r="D26" s="270">
        <f ca="1">TblProd[[#This Row],[Required]]</f>
        <v>3750</v>
      </c>
      <c r="E26" s="271"/>
      <c r="F26" s="272"/>
      <c r="G26" s="273"/>
      <c r="H26" s="274"/>
      <c r="I26" s="273"/>
      <c r="J26" s="269"/>
      <c r="K26" s="93">
        <f ca="1">IF(TblTech[[#This Row],[Sum of tech]]&lt;&gt;OFFSET(TblTech[[#This Row],[Sum of tech]],-1,0),1,0)</f>
        <v>0</v>
      </c>
      <c r="L26" s="275">
        <f>COUNTIF(TblTech[[#This Row],[1-1]:[11-1]],1)</f>
        <v>0</v>
      </c>
      <c r="M26" s="276" cm="1">
        <f t="array" ref="M26">IF(AND(M$2&lt;&gt;0,TblTech[[#This Row],[Hour]:[Hour]]&gt;=M$2),1,0)</f>
        <v>0</v>
      </c>
      <c r="N26" s="276" cm="1">
        <f t="array" ref="N26">IF(AND(N$2&lt;&gt;0,TblTech[[#This Row],[Hour]:[Hour]]&gt;=N$2),1,0)</f>
        <v>0</v>
      </c>
      <c r="O26" s="276" cm="1">
        <f t="array" ref="O26">IF(AND(O$2&lt;&gt;0,TblTech[[#This Row],[Hour]:[Hour]]&gt;=O$2),1,0)</f>
        <v>0</v>
      </c>
      <c r="P26" s="276" cm="1">
        <f t="array" ref="P26">IF(AND(P$2&lt;&gt;0,TblTech[[#This Row],[Hour]:[Hour]]&gt;=P$2),1,0)</f>
        <v>0</v>
      </c>
      <c r="Q26" s="276" cm="1">
        <f t="array" ref="Q26">IF(AND(Q$2&lt;&gt;0,TblTech[[#This Row],[Hour]:[Hour]]&gt;=Q$2),1,0)</f>
        <v>0</v>
      </c>
      <c r="R26" s="276" cm="1">
        <f t="array" ref="R26">IF(AND(R$2&lt;&gt;0,TblTech[[#This Row],[Hour]:[Hour]]&gt;=R$2),1,0)</f>
        <v>0</v>
      </c>
      <c r="S26" s="276" cm="1">
        <f t="array" ref="S26">IF(AND(S$2&lt;&gt;0,TblTech[[#This Row],[Hour]:[Hour]]&gt;=S$2),1,0)</f>
        <v>0</v>
      </c>
      <c r="T26" s="276" cm="1">
        <f t="array" ref="T26">IF(AND(T$2&lt;&gt;0,TblTech[[#This Row],[Hour]:[Hour]]&gt;=T$2),1,0)</f>
        <v>0</v>
      </c>
      <c r="U26" s="276" cm="1">
        <f t="array" ref="U26">IF(AND(U$2&lt;&gt;0,TblTech[[#This Row],[Hour]:[Hour]]&gt;=U$2),1,0)</f>
        <v>0</v>
      </c>
      <c r="V26" s="276" cm="1">
        <f t="array" ref="V26">IF(AND(V$2&lt;&gt;0,TblTech[[#This Row],[Hour]:[Hour]]&gt;=V$2),1,0)</f>
        <v>0</v>
      </c>
      <c r="W26" s="276" cm="1">
        <f t="array" ref="W26">IF(AND(W$2&lt;&gt;0,TblTech[[#This Row],[Hour]:[Hour]]&gt;=W$2),1,0)</f>
        <v>0</v>
      </c>
      <c r="X26" s="276" cm="1">
        <f t="array" ref="X26">IF(AND(X$2&lt;&gt;0,TblTech[[#This Row],[Hour]:[Hour]]&gt;=X$2),1,0)</f>
        <v>0</v>
      </c>
      <c r="Y26" s="276" cm="1">
        <f t="array" ref="Y26">IF(AND(Y$2&lt;&gt;0,TblTech[[#This Row],[Hour]:[Hour]]&gt;=Y$2),1,0)</f>
        <v>0</v>
      </c>
      <c r="Z26" s="276" cm="1">
        <f t="array" ref="Z26">IF(AND(Z$2&lt;&gt;0,TblTech[[#This Row],[Hour]:[Hour]]&gt;=Z$2),1,0)</f>
        <v>0</v>
      </c>
      <c r="AA26" s="276" cm="1">
        <f t="array" ref="AA26">IF(AND(AA$2&lt;&gt;0,TblTech[[#This Row],[Hour]:[Hour]]&gt;=AA$2),1,0)</f>
        <v>0</v>
      </c>
      <c r="AB26" s="276" cm="1">
        <f t="array" ref="AB26">IF(AND(AB$2&lt;&gt;0,TblTech[[#This Row],[Hour]:[Hour]]&gt;=AB$2),1,0)</f>
        <v>0</v>
      </c>
      <c r="AC26" s="276" cm="1">
        <f t="array" ref="AC26">IF(AND(AC$2&lt;&gt;0,TblTech[[#This Row],[Hour]:[Hour]]&gt;=AC$2),1,0)</f>
        <v>0</v>
      </c>
      <c r="AD26" s="276" cm="1">
        <f t="array" ref="AD26">IF(AND(AD$2&lt;&gt;0,TblTech[[#This Row],[Hour]:[Hour]]&gt;=AD$2),1,0)</f>
        <v>0</v>
      </c>
      <c r="AE26" s="276" cm="1">
        <f t="array" ref="AE26">IF(AND(AE$2&lt;&gt;0,TblTech[[#This Row],[Hour]:[Hour]]&gt;=AE$2),1,0)</f>
        <v>0</v>
      </c>
      <c r="AF26" s="276" cm="1">
        <f t="array" ref="AF26">IF(AND(AF$2&lt;&gt;0,TblTech[[#This Row],[Hour]:[Hour]]&gt;=AF$2),1,0)</f>
        <v>0</v>
      </c>
      <c r="AG26" s="276" cm="1">
        <f t="array" ref="AG26">IF(AND(AG$2&lt;&gt;0,TblTech[[#This Row],[Hour]:[Hour]]&gt;=AG$2),1,0)</f>
        <v>0</v>
      </c>
      <c r="AH26" s="276" cm="1">
        <f t="array" ref="AH26">IF(AND(AH$2&lt;&gt;0,TblTech[[#This Row],[Hour]:[Hour]]&gt;=AH$2),1,0)</f>
        <v>0</v>
      </c>
      <c r="AI26" s="276" cm="1">
        <f t="array" ref="AI26">IF(AND(AI$2&lt;&gt;0,TblTech[[#This Row],[Hour]:[Hour]]&gt;=AI$2),1,0)</f>
        <v>0</v>
      </c>
      <c r="AJ26" s="276" cm="1">
        <f t="array" ref="AJ26">IF(AND(AJ$2&lt;&gt;0,TblTech[[#This Row],[Hour]:[Hour]]&gt;=AJ$2),1,0)</f>
        <v>0</v>
      </c>
      <c r="AK26" s="276" cm="1">
        <f t="array" ref="AK26">IF(AND(AK$2&lt;&gt;0,TblTech[[#This Row],[Hour]:[Hour]]&gt;=AK$2),1,0)</f>
        <v>0</v>
      </c>
      <c r="AL26" s="276" cm="1">
        <f t="array" ref="AL26">IF(AND(AL$2&lt;&gt;0,TblTech[[#This Row],[Hour]:[Hour]]&gt;=AL$2),1,0)</f>
        <v>0</v>
      </c>
      <c r="AM26" s="276" cm="1">
        <f t="array" ref="AM26">IF(AND(AM$2&lt;&gt;0,TblTech[[#This Row],[Hour]:[Hour]]&gt;=AM$2),1,0)</f>
        <v>0</v>
      </c>
      <c r="AN26" s="276" cm="1">
        <f t="array" ref="AN26">IF(AND(AN$2&lt;&gt;0,TblTech[[#This Row],[Hour]:[Hour]]&gt;=AN$2),1,0)</f>
        <v>0</v>
      </c>
      <c r="AO26" s="276" cm="1">
        <f t="array" ref="AO26">IF(AND(AO$2&lt;&gt;0,TblTech[[#This Row],[Hour]:[Hour]]&gt;=AO$2),1,0)</f>
        <v>0</v>
      </c>
      <c r="AP26" s="276" cm="1">
        <f t="array" ref="AP26">IF(AND(AP$2&lt;&gt;0,TblTech[[#This Row],[Hour]:[Hour]]&gt;=AP$2),1,0)</f>
        <v>0</v>
      </c>
      <c r="AQ26" s="276" cm="1">
        <f t="array" ref="AQ26">IF(AND(AQ$2&lt;&gt;0,TblTech[[#This Row],[Hour]:[Hour]]&gt;=AQ$2),1,0)</f>
        <v>0</v>
      </c>
      <c r="AR26" s="276" cm="1">
        <f t="array" ref="AR26">IF(AND(AR$2&lt;&gt;0,TblTech[[#This Row],[Hour]:[Hour]]&gt;=AR$2),1,0)</f>
        <v>0</v>
      </c>
      <c r="AS26" s="276" cm="1">
        <f t="array" ref="AS26">IF(AND(AS$2&lt;&gt;0,TblTech[[#This Row],[Hour]:[Hour]]&gt;=AS$2),1,0)</f>
        <v>0</v>
      </c>
      <c r="AT26" s="276" cm="1">
        <f t="array" ref="AT26">IF(AND(AT$2&lt;&gt;0,TblTech[[#This Row],[Hour]:[Hour]]&gt;=AT$2),1,0)</f>
        <v>0</v>
      </c>
      <c r="AU26" s="276" cm="1">
        <f t="array" ref="AU26">IF(AND(AU$2&lt;&gt;0,TblTech[[#This Row],[Hour]:[Hour]]&gt;=AU$2),1,0)</f>
        <v>0</v>
      </c>
      <c r="AV26" s="276" cm="1">
        <f t="array" ref="AV26">IF(AND(AV$2&lt;&gt;0,TblTech[[#This Row],[Hour]:[Hour]]&gt;=AV$2),1,0)</f>
        <v>0</v>
      </c>
      <c r="AW26" s="276" cm="1">
        <f t="array" ref="AW26">IF(AND(AW$2&lt;&gt;0,TblTech[[#This Row],[Hour]:[Hour]]&gt;=AW$2),1,0)</f>
        <v>0</v>
      </c>
      <c r="AX26" s="276" cm="1">
        <f t="array" ref="AX26">IF(AND(AX$2&lt;&gt;0,TblTech[[#This Row],[Hour]:[Hour]]&gt;=AX$2),1,0)</f>
        <v>0</v>
      </c>
      <c r="AY26" s="276" cm="1">
        <f t="array" ref="AY26">IF(AND(AY$2&lt;&gt;0,TblTech[[#This Row],[Hour]:[Hour]]&gt;=AY$2),1,0)</f>
        <v>0</v>
      </c>
      <c r="AZ26" s="276" cm="1">
        <f t="array" ref="AZ26">IF(AND(AZ$2&lt;&gt;0,TblTech[[#This Row],[Hour]:[Hour]]&gt;=AZ$2),1,0)</f>
        <v>0</v>
      </c>
      <c r="BA26" s="276" cm="1">
        <f t="array" ref="BA26">IF(AND(BA$2&lt;&gt;0,TblTech[[#This Row],[Hour]:[Hour]]&gt;=BA$2),1,0)</f>
        <v>0</v>
      </c>
      <c r="BB26" s="276" cm="1">
        <f t="array" ref="BB26">IF(AND(BB$2&lt;&gt;0,TblTech[[#This Row],[Hour]:[Hour]]&gt;=BB$2),1,0)</f>
        <v>0</v>
      </c>
      <c r="BC26" s="276" cm="1">
        <f t="array" ref="BC26">IF(AND(BC$2&lt;&gt;0,TblTech[[#This Row],[Hour]:[Hour]]&gt;=BC$2),1,0)</f>
        <v>0</v>
      </c>
      <c r="BD26" s="276" cm="1">
        <f t="array" ref="BD26">IF(AND(BD$2&lt;&gt;0,TblTech[[#This Row],[Hour]:[Hour]]&gt;=BD$2),1,0)</f>
        <v>0</v>
      </c>
      <c r="BE26" s="276" cm="1">
        <f t="array" ref="BE26">IF(AND(BE$2&lt;&gt;0,TblTech[[#This Row],[Hour]:[Hour]]&gt;=BE$2),1,0)</f>
        <v>0</v>
      </c>
      <c r="BF26" s="276" cm="1">
        <f t="array" ref="BF26">IF(AND(BF$2&lt;&gt;0,TblTech[[#This Row],[Hour]:[Hour]]&gt;=BF$2),1,0)</f>
        <v>0</v>
      </c>
      <c r="BG26" s="276" cm="1">
        <f t="array" ref="BG26">IF(AND(BG$2&lt;&gt;0,TblTech[[#This Row],[Hour]:[Hour]]&gt;=BG$2),1,0)</f>
        <v>0</v>
      </c>
      <c r="BH26" s="276" cm="1">
        <f t="array" ref="BH26">IF(AND(BH$2&lt;&gt;0,TblTech[[#This Row],[Hour]:[Hour]]&gt;=BH$2),1,0)</f>
        <v>0</v>
      </c>
      <c r="BI26" s="276" cm="1">
        <f t="array" ref="BI26">IF(AND(BI$2&lt;&gt;0,TblTech[[#This Row],[Hour]:[Hour]]&gt;=BI$2),1,0)</f>
        <v>0</v>
      </c>
      <c r="BJ26" s="276" cm="1">
        <f t="array" ref="BJ26">IF(AND(BJ$2&lt;&gt;0,TblTech[[#This Row],[Hour]:[Hour]]&gt;=BJ$2),1,0)</f>
        <v>0</v>
      </c>
      <c r="BK26" s="276" cm="1">
        <f t="array" ref="BK26">IF(AND(BK$2&lt;&gt;0,TblTech[[#This Row],[Hour]:[Hour]]&gt;=BK$2),1,0)</f>
        <v>0</v>
      </c>
      <c r="BL26" s="276" cm="1">
        <f t="array" ref="BL26">IF(AND(BL$2&lt;&gt;0,TblTech[[#This Row],[Hour]:[Hour]]&gt;=BL$2),1,0)</f>
        <v>0</v>
      </c>
      <c r="BM26" s="276" cm="1">
        <f t="array" ref="BM26">IF(AND(BM$2&lt;&gt;0,TblTech[[#This Row],[Hour]:[Hour]]&gt;=BM$2),1,0)</f>
        <v>0</v>
      </c>
      <c r="BN26" s="276" cm="1">
        <f t="array" ref="BN26">IF(AND(BN$2&lt;&gt;0,TblTech[[#This Row],[Hour]:[Hour]]&gt;=BN$2),1,0)</f>
        <v>0</v>
      </c>
      <c r="BO26" s="276" cm="1">
        <f t="array" ref="BO26">IF(AND(BO$2&lt;&gt;0,TblTech[[#This Row],[Hour]:[Hour]]&gt;=BO$2),1,0)</f>
        <v>0</v>
      </c>
      <c r="BP26" s="276" cm="1">
        <f t="array" ref="BP26">IF(AND(BP$2&lt;&gt;0,TblTech[[#This Row],[Hour]:[Hour]]&gt;=BP$2),1,0)</f>
        <v>0</v>
      </c>
      <c r="BQ26" s="276" cm="1">
        <f t="array" ref="BQ26">IF(AND(BQ$2&lt;&gt;0,TblTech[[#This Row],[Hour]:[Hour]]&gt;=BQ$2),1,0)</f>
        <v>0</v>
      </c>
      <c r="BR26" s="276" cm="1">
        <f t="array" ref="BR26">IF(AND(BR$2&lt;&gt;0,TblTech[[#This Row],[Hour]:[Hour]]&gt;=BR$2),1,0)</f>
        <v>0</v>
      </c>
      <c r="BS26" s="276" cm="1">
        <f t="array" ref="BS26">IF(AND(BS$2&lt;&gt;0,TblTech[[#This Row],[Hour]:[Hour]]&gt;=BS$2),1,0)</f>
        <v>0</v>
      </c>
      <c r="BT26" s="276" cm="1">
        <f t="array" ref="BT26">IF(AND(BT$2&lt;&gt;0,TblTech[[#This Row],[Hour]:[Hour]]&gt;=BT$2),1,0)</f>
        <v>0</v>
      </c>
      <c r="BU26" s="276" cm="1">
        <f t="array" ref="BU26">IF(AND(BU$2&lt;&gt;0,TblTech[[#This Row],[Hour]:[Hour]]&gt;=BU$2),1,0)</f>
        <v>0</v>
      </c>
      <c r="BV26" s="276" cm="1">
        <f t="array" ref="BV26">IF(AND(BV$2&lt;&gt;0,TblTech[[#This Row],[Hour]:[Hour]]&gt;=BV$2),1,0)</f>
        <v>0</v>
      </c>
      <c r="BW26" s="276" cm="1">
        <f t="array" ref="BW26">IF(AND(BW$2&lt;&gt;0,TblTech[[#This Row],[Hour]:[Hour]]&gt;=BW$2),1,0)</f>
        <v>0</v>
      </c>
      <c r="BX26" s="276" cm="1">
        <f t="array" ref="BX26">IF(AND(BX$2&lt;&gt;0,TblTech[[#This Row],[Hour]:[Hour]]&gt;=BX$2),1,0)</f>
        <v>0</v>
      </c>
      <c r="BY26" s="276" cm="1">
        <f t="array" ref="BY26">IF(AND(BY$2&lt;&gt;0,TblTech[[#This Row],[Hour]:[Hour]]&gt;=BY$2),1,0)</f>
        <v>0</v>
      </c>
      <c r="BZ26" s="276" cm="1">
        <f t="array" ref="BZ26">IF(AND(BZ$2&lt;&gt;0,TblTech[[#This Row],[Hour]:[Hour]]&gt;=BZ$2),1,0)</f>
        <v>0</v>
      </c>
      <c r="CA26" s="377">
        <f>IFERROR(INDEX($H$4:$H$79,MATCH(INDEX(TblTech[[#Headers],[1-1]:[11-1]],1,MATCH(TblTech[[#This Row],[Hour]],$M$2:$BZ$2,0)),$G$4:$G$79,0)),)</f>
        <v>0</v>
      </c>
    </row>
    <row r="27" spans="1:79" x14ac:dyDescent="0.2">
      <c r="A27" s="268">
        <f>TblRezone[[#This Row],[Hour]]</f>
        <v>24</v>
      </c>
      <c r="B27" s="269">
        <f ca="1">TblExplore[[#This Row],[Land-DB]]</f>
        <v>50</v>
      </c>
      <c r="C27" s="270">
        <f ca="1">TblProd[[#This Row],[Techpoints]]</f>
        <v>0</v>
      </c>
      <c r="D27" s="270">
        <f ca="1">TblProd[[#This Row],[Required]]</f>
        <v>3750</v>
      </c>
      <c r="E27" s="271"/>
      <c r="F27" s="272"/>
      <c r="G27" s="273" t="s">
        <v>565</v>
      </c>
      <c r="H27" s="274" t="s">
        <v>696</v>
      </c>
      <c r="I27" s="273" t="s">
        <v>566</v>
      </c>
      <c r="J27" s="269"/>
      <c r="K27" s="93">
        <f ca="1">IF(TblTech[[#This Row],[Sum of tech]]&lt;&gt;OFFSET(TblTech[[#This Row],[Sum of tech]],-1,0),1,0)</f>
        <v>0</v>
      </c>
      <c r="L27" s="275">
        <f>COUNTIF(TblTech[[#This Row],[1-1]:[11-1]],1)</f>
        <v>0</v>
      </c>
      <c r="M27" s="276" cm="1">
        <f t="array" ref="M27">IF(AND(M$2&lt;&gt;0,TblTech[[#This Row],[Hour]:[Hour]]&gt;=M$2),1,0)</f>
        <v>0</v>
      </c>
      <c r="N27" s="276" cm="1">
        <f t="array" ref="N27">IF(AND(N$2&lt;&gt;0,TblTech[[#This Row],[Hour]:[Hour]]&gt;=N$2),1,0)</f>
        <v>0</v>
      </c>
      <c r="O27" s="276" cm="1">
        <f t="array" ref="O27">IF(AND(O$2&lt;&gt;0,TblTech[[#This Row],[Hour]:[Hour]]&gt;=O$2),1,0)</f>
        <v>0</v>
      </c>
      <c r="P27" s="276" cm="1">
        <f t="array" ref="P27">IF(AND(P$2&lt;&gt;0,TblTech[[#This Row],[Hour]:[Hour]]&gt;=P$2),1,0)</f>
        <v>0</v>
      </c>
      <c r="Q27" s="276" cm="1">
        <f t="array" ref="Q27">IF(AND(Q$2&lt;&gt;0,TblTech[[#This Row],[Hour]:[Hour]]&gt;=Q$2),1,0)</f>
        <v>0</v>
      </c>
      <c r="R27" s="276" cm="1">
        <f t="array" ref="R27">IF(AND(R$2&lt;&gt;0,TblTech[[#This Row],[Hour]:[Hour]]&gt;=R$2),1,0)</f>
        <v>0</v>
      </c>
      <c r="S27" s="276" cm="1">
        <f t="array" ref="S27">IF(AND(S$2&lt;&gt;0,TblTech[[#This Row],[Hour]:[Hour]]&gt;=S$2),1,0)</f>
        <v>0</v>
      </c>
      <c r="T27" s="276" cm="1">
        <f t="array" ref="T27">IF(AND(T$2&lt;&gt;0,TblTech[[#This Row],[Hour]:[Hour]]&gt;=T$2),1,0)</f>
        <v>0</v>
      </c>
      <c r="U27" s="276" cm="1">
        <f t="array" ref="U27">IF(AND(U$2&lt;&gt;0,TblTech[[#This Row],[Hour]:[Hour]]&gt;=U$2),1,0)</f>
        <v>0</v>
      </c>
      <c r="V27" s="276" cm="1">
        <f t="array" ref="V27">IF(AND(V$2&lt;&gt;0,TblTech[[#This Row],[Hour]:[Hour]]&gt;=V$2),1,0)</f>
        <v>0</v>
      </c>
      <c r="W27" s="276" cm="1">
        <f t="array" ref="W27">IF(AND(W$2&lt;&gt;0,TblTech[[#This Row],[Hour]:[Hour]]&gt;=W$2),1,0)</f>
        <v>0</v>
      </c>
      <c r="X27" s="276" cm="1">
        <f t="array" ref="X27">IF(AND(X$2&lt;&gt;0,TblTech[[#This Row],[Hour]:[Hour]]&gt;=X$2),1,0)</f>
        <v>0</v>
      </c>
      <c r="Y27" s="276" cm="1">
        <f t="array" ref="Y27">IF(AND(Y$2&lt;&gt;0,TblTech[[#This Row],[Hour]:[Hour]]&gt;=Y$2),1,0)</f>
        <v>0</v>
      </c>
      <c r="Z27" s="276" cm="1">
        <f t="array" ref="Z27">IF(AND(Z$2&lt;&gt;0,TblTech[[#This Row],[Hour]:[Hour]]&gt;=Z$2),1,0)</f>
        <v>0</v>
      </c>
      <c r="AA27" s="276" cm="1">
        <f t="array" ref="AA27">IF(AND(AA$2&lt;&gt;0,TblTech[[#This Row],[Hour]:[Hour]]&gt;=AA$2),1,0)</f>
        <v>0</v>
      </c>
      <c r="AB27" s="276" cm="1">
        <f t="array" ref="AB27">IF(AND(AB$2&lt;&gt;0,TblTech[[#This Row],[Hour]:[Hour]]&gt;=AB$2),1,0)</f>
        <v>0</v>
      </c>
      <c r="AC27" s="276" cm="1">
        <f t="array" ref="AC27">IF(AND(AC$2&lt;&gt;0,TblTech[[#This Row],[Hour]:[Hour]]&gt;=AC$2),1,0)</f>
        <v>0</v>
      </c>
      <c r="AD27" s="276" cm="1">
        <f t="array" ref="AD27">IF(AND(AD$2&lt;&gt;0,TblTech[[#This Row],[Hour]:[Hour]]&gt;=AD$2),1,0)</f>
        <v>0</v>
      </c>
      <c r="AE27" s="276" cm="1">
        <f t="array" ref="AE27">IF(AND(AE$2&lt;&gt;0,TblTech[[#This Row],[Hour]:[Hour]]&gt;=AE$2),1,0)</f>
        <v>0</v>
      </c>
      <c r="AF27" s="276" cm="1">
        <f t="array" ref="AF27">IF(AND(AF$2&lt;&gt;0,TblTech[[#This Row],[Hour]:[Hour]]&gt;=AF$2),1,0)</f>
        <v>0</v>
      </c>
      <c r="AG27" s="276" cm="1">
        <f t="array" ref="AG27">IF(AND(AG$2&lt;&gt;0,TblTech[[#This Row],[Hour]:[Hour]]&gt;=AG$2),1,0)</f>
        <v>0</v>
      </c>
      <c r="AH27" s="276" cm="1">
        <f t="array" ref="AH27">IF(AND(AH$2&lt;&gt;0,TblTech[[#This Row],[Hour]:[Hour]]&gt;=AH$2),1,0)</f>
        <v>0</v>
      </c>
      <c r="AI27" s="276" cm="1">
        <f t="array" ref="AI27">IF(AND(AI$2&lt;&gt;0,TblTech[[#This Row],[Hour]:[Hour]]&gt;=AI$2),1,0)</f>
        <v>0</v>
      </c>
      <c r="AJ27" s="276" cm="1">
        <f t="array" ref="AJ27">IF(AND(AJ$2&lt;&gt;0,TblTech[[#This Row],[Hour]:[Hour]]&gt;=AJ$2),1,0)</f>
        <v>0</v>
      </c>
      <c r="AK27" s="276" cm="1">
        <f t="array" ref="AK27">IF(AND(AK$2&lt;&gt;0,TblTech[[#This Row],[Hour]:[Hour]]&gt;=AK$2),1,0)</f>
        <v>0</v>
      </c>
      <c r="AL27" s="276" cm="1">
        <f t="array" ref="AL27">IF(AND(AL$2&lt;&gt;0,TblTech[[#This Row],[Hour]:[Hour]]&gt;=AL$2),1,0)</f>
        <v>0</v>
      </c>
      <c r="AM27" s="276" cm="1">
        <f t="array" ref="AM27">IF(AND(AM$2&lt;&gt;0,TblTech[[#This Row],[Hour]:[Hour]]&gt;=AM$2),1,0)</f>
        <v>0</v>
      </c>
      <c r="AN27" s="276" cm="1">
        <f t="array" ref="AN27">IF(AND(AN$2&lt;&gt;0,TblTech[[#This Row],[Hour]:[Hour]]&gt;=AN$2),1,0)</f>
        <v>0</v>
      </c>
      <c r="AO27" s="276" cm="1">
        <f t="array" ref="AO27">IF(AND(AO$2&lt;&gt;0,TblTech[[#This Row],[Hour]:[Hour]]&gt;=AO$2),1,0)</f>
        <v>0</v>
      </c>
      <c r="AP27" s="276" cm="1">
        <f t="array" ref="AP27">IF(AND(AP$2&lt;&gt;0,TblTech[[#This Row],[Hour]:[Hour]]&gt;=AP$2),1,0)</f>
        <v>0</v>
      </c>
      <c r="AQ27" s="276" cm="1">
        <f t="array" ref="AQ27">IF(AND(AQ$2&lt;&gt;0,TblTech[[#This Row],[Hour]:[Hour]]&gt;=AQ$2),1,0)</f>
        <v>0</v>
      </c>
      <c r="AR27" s="276" cm="1">
        <f t="array" ref="AR27">IF(AND(AR$2&lt;&gt;0,TblTech[[#This Row],[Hour]:[Hour]]&gt;=AR$2),1,0)</f>
        <v>0</v>
      </c>
      <c r="AS27" s="276" cm="1">
        <f t="array" ref="AS27">IF(AND(AS$2&lt;&gt;0,TblTech[[#This Row],[Hour]:[Hour]]&gt;=AS$2),1,0)</f>
        <v>0</v>
      </c>
      <c r="AT27" s="276" cm="1">
        <f t="array" ref="AT27">IF(AND(AT$2&lt;&gt;0,TblTech[[#This Row],[Hour]:[Hour]]&gt;=AT$2),1,0)</f>
        <v>0</v>
      </c>
      <c r="AU27" s="276" cm="1">
        <f t="array" ref="AU27">IF(AND(AU$2&lt;&gt;0,TblTech[[#This Row],[Hour]:[Hour]]&gt;=AU$2),1,0)</f>
        <v>0</v>
      </c>
      <c r="AV27" s="276" cm="1">
        <f t="array" ref="AV27">IF(AND(AV$2&lt;&gt;0,TblTech[[#This Row],[Hour]:[Hour]]&gt;=AV$2),1,0)</f>
        <v>0</v>
      </c>
      <c r="AW27" s="276" cm="1">
        <f t="array" ref="AW27">IF(AND(AW$2&lt;&gt;0,TblTech[[#This Row],[Hour]:[Hour]]&gt;=AW$2),1,0)</f>
        <v>0</v>
      </c>
      <c r="AX27" s="276" cm="1">
        <f t="array" ref="AX27">IF(AND(AX$2&lt;&gt;0,TblTech[[#This Row],[Hour]:[Hour]]&gt;=AX$2),1,0)</f>
        <v>0</v>
      </c>
      <c r="AY27" s="276" cm="1">
        <f t="array" ref="AY27">IF(AND(AY$2&lt;&gt;0,TblTech[[#This Row],[Hour]:[Hour]]&gt;=AY$2),1,0)</f>
        <v>0</v>
      </c>
      <c r="AZ27" s="276" cm="1">
        <f t="array" ref="AZ27">IF(AND(AZ$2&lt;&gt;0,TblTech[[#This Row],[Hour]:[Hour]]&gt;=AZ$2),1,0)</f>
        <v>0</v>
      </c>
      <c r="BA27" s="276" cm="1">
        <f t="array" ref="BA27">IF(AND(BA$2&lt;&gt;0,TblTech[[#This Row],[Hour]:[Hour]]&gt;=BA$2),1,0)</f>
        <v>0</v>
      </c>
      <c r="BB27" s="276" cm="1">
        <f t="array" ref="BB27">IF(AND(BB$2&lt;&gt;0,TblTech[[#This Row],[Hour]:[Hour]]&gt;=BB$2),1,0)</f>
        <v>0</v>
      </c>
      <c r="BC27" s="276" cm="1">
        <f t="array" ref="BC27">IF(AND(BC$2&lt;&gt;0,TblTech[[#This Row],[Hour]:[Hour]]&gt;=BC$2),1,0)</f>
        <v>0</v>
      </c>
      <c r="BD27" s="276" cm="1">
        <f t="array" ref="BD27">IF(AND(BD$2&lt;&gt;0,TblTech[[#This Row],[Hour]:[Hour]]&gt;=BD$2),1,0)</f>
        <v>0</v>
      </c>
      <c r="BE27" s="276" cm="1">
        <f t="array" ref="BE27">IF(AND(BE$2&lt;&gt;0,TblTech[[#This Row],[Hour]:[Hour]]&gt;=BE$2),1,0)</f>
        <v>0</v>
      </c>
      <c r="BF27" s="276" cm="1">
        <f t="array" ref="BF27">IF(AND(BF$2&lt;&gt;0,TblTech[[#This Row],[Hour]:[Hour]]&gt;=BF$2),1,0)</f>
        <v>0</v>
      </c>
      <c r="BG27" s="276" cm="1">
        <f t="array" ref="BG27">IF(AND(BG$2&lt;&gt;0,TblTech[[#This Row],[Hour]:[Hour]]&gt;=BG$2),1,0)</f>
        <v>0</v>
      </c>
      <c r="BH27" s="276" cm="1">
        <f t="array" ref="BH27">IF(AND(BH$2&lt;&gt;0,TblTech[[#This Row],[Hour]:[Hour]]&gt;=BH$2),1,0)</f>
        <v>0</v>
      </c>
      <c r="BI27" s="276" cm="1">
        <f t="array" ref="BI27">IF(AND(BI$2&lt;&gt;0,TblTech[[#This Row],[Hour]:[Hour]]&gt;=BI$2),1,0)</f>
        <v>0</v>
      </c>
      <c r="BJ27" s="276" cm="1">
        <f t="array" ref="BJ27">IF(AND(BJ$2&lt;&gt;0,TblTech[[#This Row],[Hour]:[Hour]]&gt;=BJ$2),1,0)</f>
        <v>0</v>
      </c>
      <c r="BK27" s="276" cm="1">
        <f t="array" ref="BK27">IF(AND(BK$2&lt;&gt;0,TblTech[[#This Row],[Hour]:[Hour]]&gt;=BK$2),1,0)</f>
        <v>0</v>
      </c>
      <c r="BL27" s="276" cm="1">
        <f t="array" ref="BL27">IF(AND(BL$2&lt;&gt;0,TblTech[[#This Row],[Hour]:[Hour]]&gt;=BL$2),1,0)</f>
        <v>0</v>
      </c>
      <c r="BM27" s="276" cm="1">
        <f t="array" ref="BM27">IF(AND(BM$2&lt;&gt;0,TblTech[[#This Row],[Hour]:[Hour]]&gt;=BM$2),1,0)</f>
        <v>0</v>
      </c>
      <c r="BN27" s="276" cm="1">
        <f t="array" ref="BN27">IF(AND(BN$2&lt;&gt;0,TblTech[[#This Row],[Hour]:[Hour]]&gt;=BN$2),1,0)</f>
        <v>0</v>
      </c>
      <c r="BO27" s="276" cm="1">
        <f t="array" ref="BO27">IF(AND(BO$2&lt;&gt;0,TblTech[[#This Row],[Hour]:[Hour]]&gt;=BO$2),1,0)</f>
        <v>0</v>
      </c>
      <c r="BP27" s="276" cm="1">
        <f t="array" ref="BP27">IF(AND(BP$2&lt;&gt;0,TblTech[[#This Row],[Hour]:[Hour]]&gt;=BP$2),1,0)</f>
        <v>0</v>
      </c>
      <c r="BQ27" s="276" cm="1">
        <f t="array" ref="BQ27">IF(AND(BQ$2&lt;&gt;0,TblTech[[#This Row],[Hour]:[Hour]]&gt;=BQ$2),1,0)</f>
        <v>0</v>
      </c>
      <c r="BR27" s="276" cm="1">
        <f t="array" ref="BR27">IF(AND(BR$2&lt;&gt;0,TblTech[[#This Row],[Hour]:[Hour]]&gt;=BR$2),1,0)</f>
        <v>0</v>
      </c>
      <c r="BS27" s="276" cm="1">
        <f t="array" ref="BS27">IF(AND(BS$2&lt;&gt;0,TblTech[[#This Row],[Hour]:[Hour]]&gt;=BS$2),1,0)</f>
        <v>0</v>
      </c>
      <c r="BT27" s="276" cm="1">
        <f t="array" ref="BT27">IF(AND(BT$2&lt;&gt;0,TblTech[[#This Row],[Hour]:[Hour]]&gt;=BT$2),1,0)</f>
        <v>0</v>
      </c>
      <c r="BU27" s="276" cm="1">
        <f t="array" ref="BU27">IF(AND(BU$2&lt;&gt;0,TblTech[[#This Row],[Hour]:[Hour]]&gt;=BU$2),1,0)</f>
        <v>0</v>
      </c>
      <c r="BV27" s="276" cm="1">
        <f t="array" ref="BV27">IF(AND(BV$2&lt;&gt;0,TblTech[[#This Row],[Hour]:[Hour]]&gt;=BV$2),1,0)</f>
        <v>0</v>
      </c>
      <c r="BW27" s="276" cm="1">
        <f t="array" ref="BW27">IF(AND(BW$2&lt;&gt;0,TblTech[[#This Row],[Hour]:[Hour]]&gt;=BW$2),1,0)</f>
        <v>0</v>
      </c>
      <c r="BX27" s="276" cm="1">
        <f t="array" ref="BX27">IF(AND(BX$2&lt;&gt;0,TblTech[[#This Row],[Hour]:[Hour]]&gt;=BX$2),1,0)</f>
        <v>0</v>
      </c>
      <c r="BY27" s="276" cm="1">
        <f t="array" ref="BY27">IF(AND(BY$2&lt;&gt;0,TblTech[[#This Row],[Hour]:[Hour]]&gt;=BY$2),1,0)</f>
        <v>0</v>
      </c>
      <c r="BZ27" s="276" cm="1">
        <f t="array" ref="BZ27">IF(AND(BZ$2&lt;&gt;0,TblTech[[#This Row],[Hour]:[Hour]]&gt;=BZ$2),1,0)</f>
        <v>0</v>
      </c>
      <c r="CA27" s="377">
        <f>IFERROR(INDEX($H$4:$H$79,MATCH(INDEX(TblTech[[#Headers],[1-1]:[11-1]],1,MATCH(TblTech[[#This Row],[Hour]],$M$2:$BZ$2,0)),$G$4:$G$79,0)),)</f>
        <v>0</v>
      </c>
    </row>
    <row r="28" spans="1:79" x14ac:dyDescent="0.2">
      <c r="A28" s="268">
        <f>TblRezone[[#This Row],[Hour]]</f>
        <v>25</v>
      </c>
      <c r="B28" s="269">
        <f ca="1">TblExplore[[#This Row],[Land-DB]]</f>
        <v>50</v>
      </c>
      <c r="C28" s="270">
        <f ca="1">TblProd[[#This Row],[Techpoints]]</f>
        <v>0</v>
      </c>
      <c r="D28" s="270">
        <f ca="1">TblProd[[#This Row],[Required]]</f>
        <v>3750</v>
      </c>
      <c r="E28" s="271"/>
      <c r="F28" s="272"/>
      <c r="G28" s="273" t="s">
        <v>567</v>
      </c>
      <c r="H28" s="274" t="s">
        <v>697</v>
      </c>
      <c r="I28" s="273" t="s">
        <v>568</v>
      </c>
      <c r="J28" s="269"/>
      <c r="K28" s="93">
        <f ca="1">IF(TblTech[[#This Row],[Sum of tech]]&lt;&gt;OFFSET(TblTech[[#This Row],[Sum of tech]],-1,0),1,0)</f>
        <v>0</v>
      </c>
      <c r="L28" s="275">
        <f>COUNTIF(TblTech[[#This Row],[1-1]:[11-1]],1)</f>
        <v>0</v>
      </c>
      <c r="M28" s="276" cm="1">
        <f t="array" ref="M28">IF(AND(M$2&lt;&gt;0,TblTech[[#This Row],[Hour]:[Hour]]&gt;=M$2),1,0)</f>
        <v>0</v>
      </c>
      <c r="N28" s="276" cm="1">
        <f t="array" ref="N28">IF(AND(N$2&lt;&gt;0,TblTech[[#This Row],[Hour]:[Hour]]&gt;=N$2),1,0)</f>
        <v>0</v>
      </c>
      <c r="O28" s="276" cm="1">
        <f t="array" ref="O28">IF(AND(O$2&lt;&gt;0,TblTech[[#This Row],[Hour]:[Hour]]&gt;=O$2),1,0)</f>
        <v>0</v>
      </c>
      <c r="P28" s="276" cm="1">
        <f t="array" ref="P28">IF(AND(P$2&lt;&gt;0,TblTech[[#This Row],[Hour]:[Hour]]&gt;=P$2),1,0)</f>
        <v>0</v>
      </c>
      <c r="Q28" s="276" cm="1">
        <f t="array" ref="Q28">IF(AND(Q$2&lt;&gt;0,TblTech[[#This Row],[Hour]:[Hour]]&gt;=Q$2),1,0)</f>
        <v>0</v>
      </c>
      <c r="R28" s="276" cm="1">
        <f t="array" ref="R28">IF(AND(R$2&lt;&gt;0,TblTech[[#This Row],[Hour]:[Hour]]&gt;=R$2),1,0)</f>
        <v>0</v>
      </c>
      <c r="S28" s="276" cm="1">
        <f t="array" ref="S28">IF(AND(S$2&lt;&gt;0,TblTech[[#This Row],[Hour]:[Hour]]&gt;=S$2),1,0)</f>
        <v>0</v>
      </c>
      <c r="T28" s="276" cm="1">
        <f t="array" ref="T28">IF(AND(T$2&lt;&gt;0,TblTech[[#This Row],[Hour]:[Hour]]&gt;=T$2),1,0)</f>
        <v>0</v>
      </c>
      <c r="U28" s="276" cm="1">
        <f t="array" ref="U28">IF(AND(U$2&lt;&gt;0,TblTech[[#This Row],[Hour]:[Hour]]&gt;=U$2),1,0)</f>
        <v>0</v>
      </c>
      <c r="V28" s="276" cm="1">
        <f t="array" ref="V28">IF(AND(V$2&lt;&gt;0,TblTech[[#This Row],[Hour]:[Hour]]&gt;=V$2),1,0)</f>
        <v>0</v>
      </c>
      <c r="W28" s="276" cm="1">
        <f t="array" ref="W28">IF(AND(W$2&lt;&gt;0,TblTech[[#This Row],[Hour]:[Hour]]&gt;=W$2),1,0)</f>
        <v>0</v>
      </c>
      <c r="X28" s="276" cm="1">
        <f t="array" ref="X28">IF(AND(X$2&lt;&gt;0,TblTech[[#This Row],[Hour]:[Hour]]&gt;=X$2),1,0)</f>
        <v>0</v>
      </c>
      <c r="Y28" s="276" cm="1">
        <f t="array" ref="Y28">IF(AND(Y$2&lt;&gt;0,TblTech[[#This Row],[Hour]:[Hour]]&gt;=Y$2),1,0)</f>
        <v>0</v>
      </c>
      <c r="Z28" s="276" cm="1">
        <f t="array" ref="Z28">IF(AND(Z$2&lt;&gt;0,TblTech[[#This Row],[Hour]:[Hour]]&gt;=Z$2),1,0)</f>
        <v>0</v>
      </c>
      <c r="AA28" s="276" cm="1">
        <f t="array" ref="AA28">IF(AND(AA$2&lt;&gt;0,TblTech[[#This Row],[Hour]:[Hour]]&gt;=AA$2),1,0)</f>
        <v>0</v>
      </c>
      <c r="AB28" s="276" cm="1">
        <f t="array" ref="AB28">IF(AND(AB$2&lt;&gt;0,TblTech[[#This Row],[Hour]:[Hour]]&gt;=AB$2),1,0)</f>
        <v>0</v>
      </c>
      <c r="AC28" s="276" cm="1">
        <f t="array" ref="AC28">IF(AND(AC$2&lt;&gt;0,TblTech[[#This Row],[Hour]:[Hour]]&gt;=AC$2),1,0)</f>
        <v>0</v>
      </c>
      <c r="AD28" s="276" cm="1">
        <f t="array" ref="AD28">IF(AND(AD$2&lt;&gt;0,TblTech[[#This Row],[Hour]:[Hour]]&gt;=AD$2),1,0)</f>
        <v>0</v>
      </c>
      <c r="AE28" s="276" cm="1">
        <f t="array" ref="AE28">IF(AND(AE$2&lt;&gt;0,TblTech[[#This Row],[Hour]:[Hour]]&gt;=AE$2),1,0)</f>
        <v>0</v>
      </c>
      <c r="AF28" s="276" cm="1">
        <f t="array" ref="AF28">IF(AND(AF$2&lt;&gt;0,TblTech[[#This Row],[Hour]:[Hour]]&gt;=AF$2),1,0)</f>
        <v>0</v>
      </c>
      <c r="AG28" s="276" cm="1">
        <f t="array" ref="AG28">IF(AND(AG$2&lt;&gt;0,TblTech[[#This Row],[Hour]:[Hour]]&gt;=AG$2),1,0)</f>
        <v>0</v>
      </c>
      <c r="AH28" s="276" cm="1">
        <f t="array" ref="AH28">IF(AND(AH$2&lt;&gt;0,TblTech[[#This Row],[Hour]:[Hour]]&gt;=AH$2),1,0)</f>
        <v>0</v>
      </c>
      <c r="AI28" s="276" cm="1">
        <f t="array" ref="AI28">IF(AND(AI$2&lt;&gt;0,TblTech[[#This Row],[Hour]:[Hour]]&gt;=AI$2),1,0)</f>
        <v>0</v>
      </c>
      <c r="AJ28" s="276" cm="1">
        <f t="array" ref="AJ28">IF(AND(AJ$2&lt;&gt;0,TblTech[[#This Row],[Hour]:[Hour]]&gt;=AJ$2),1,0)</f>
        <v>0</v>
      </c>
      <c r="AK28" s="276" cm="1">
        <f t="array" ref="AK28">IF(AND(AK$2&lt;&gt;0,TblTech[[#This Row],[Hour]:[Hour]]&gt;=AK$2),1,0)</f>
        <v>0</v>
      </c>
      <c r="AL28" s="276" cm="1">
        <f t="array" ref="AL28">IF(AND(AL$2&lt;&gt;0,TblTech[[#This Row],[Hour]:[Hour]]&gt;=AL$2),1,0)</f>
        <v>0</v>
      </c>
      <c r="AM28" s="276" cm="1">
        <f t="array" ref="AM28">IF(AND(AM$2&lt;&gt;0,TblTech[[#This Row],[Hour]:[Hour]]&gt;=AM$2),1,0)</f>
        <v>0</v>
      </c>
      <c r="AN28" s="276" cm="1">
        <f t="array" ref="AN28">IF(AND(AN$2&lt;&gt;0,TblTech[[#This Row],[Hour]:[Hour]]&gt;=AN$2),1,0)</f>
        <v>0</v>
      </c>
      <c r="AO28" s="276" cm="1">
        <f t="array" ref="AO28">IF(AND(AO$2&lt;&gt;0,TblTech[[#This Row],[Hour]:[Hour]]&gt;=AO$2),1,0)</f>
        <v>0</v>
      </c>
      <c r="AP28" s="276" cm="1">
        <f t="array" ref="AP28">IF(AND(AP$2&lt;&gt;0,TblTech[[#This Row],[Hour]:[Hour]]&gt;=AP$2),1,0)</f>
        <v>0</v>
      </c>
      <c r="AQ28" s="276" cm="1">
        <f t="array" ref="AQ28">IF(AND(AQ$2&lt;&gt;0,TblTech[[#This Row],[Hour]:[Hour]]&gt;=AQ$2),1,0)</f>
        <v>0</v>
      </c>
      <c r="AR28" s="276" cm="1">
        <f t="array" ref="AR28">IF(AND(AR$2&lt;&gt;0,TblTech[[#This Row],[Hour]:[Hour]]&gt;=AR$2),1,0)</f>
        <v>0</v>
      </c>
      <c r="AS28" s="276" cm="1">
        <f t="array" ref="AS28">IF(AND(AS$2&lt;&gt;0,TblTech[[#This Row],[Hour]:[Hour]]&gt;=AS$2),1,0)</f>
        <v>0</v>
      </c>
      <c r="AT28" s="276" cm="1">
        <f t="array" ref="AT28">IF(AND(AT$2&lt;&gt;0,TblTech[[#This Row],[Hour]:[Hour]]&gt;=AT$2),1,0)</f>
        <v>0</v>
      </c>
      <c r="AU28" s="276" cm="1">
        <f t="array" ref="AU28">IF(AND(AU$2&lt;&gt;0,TblTech[[#This Row],[Hour]:[Hour]]&gt;=AU$2),1,0)</f>
        <v>0</v>
      </c>
      <c r="AV28" s="276" cm="1">
        <f t="array" ref="AV28">IF(AND(AV$2&lt;&gt;0,TblTech[[#This Row],[Hour]:[Hour]]&gt;=AV$2),1,0)</f>
        <v>0</v>
      </c>
      <c r="AW28" s="276" cm="1">
        <f t="array" ref="AW28">IF(AND(AW$2&lt;&gt;0,TblTech[[#This Row],[Hour]:[Hour]]&gt;=AW$2),1,0)</f>
        <v>0</v>
      </c>
      <c r="AX28" s="276" cm="1">
        <f t="array" ref="AX28">IF(AND(AX$2&lt;&gt;0,TblTech[[#This Row],[Hour]:[Hour]]&gt;=AX$2),1,0)</f>
        <v>0</v>
      </c>
      <c r="AY28" s="276" cm="1">
        <f t="array" ref="AY28">IF(AND(AY$2&lt;&gt;0,TblTech[[#This Row],[Hour]:[Hour]]&gt;=AY$2),1,0)</f>
        <v>0</v>
      </c>
      <c r="AZ28" s="276" cm="1">
        <f t="array" ref="AZ28">IF(AND(AZ$2&lt;&gt;0,TblTech[[#This Row],[Hour]:[Hour]]&gt;=AZ$2),1,0)</f>
        <v>0</v>
      </c>
      <c r="BA28" s="276" cm="1">
        <f t="array" ref="BA28">IF(AND(BA$2&lt;&gt;0,TblTech[[#This Row],[Hour]:[Hour]]&gt;=BA$2),1,0)</f>
        <v>0</v>
      </c>
      <c r="BB28" s="276" cm="1">
        <f t="array" ref="BB28">IF(AND(BB$2&lt;&gt;0,TblTech[[#This Row],[Hour]:[Hour]]&gt;=BB$2),1,0)</f>
        <v>0</v>
      </c>
      <c r="BC28" s="276" cm="1">
        <f t="array" ref="BC28">IF(AND(BC$2&lt;&gt;0,TblTech[[#This Row],[Hour]:[Hour]]&gt;=BC$2),1,0)</f>
        <v>0</v>
      </c>
      <c r="BD28" s="276" cm="1">
        <f t="array" ref="BD28">IF(AND(BD$2&lt;&gt;0,TblTech[[#This Row],[Hour]:[Hour]]&gt;=BD$2),1,0)</f>
        <v>0</v>
      </c>
      <c r="BE28" s="276" cm="1">
        <f t="array" ref="BE28">IF(AND(BE$2&lt;&gt;0,TblTech[[#This Row],[Hour]:[Hour]]&gt;=BE$2),1,0)</f>
        <v>0</v>
      </c>
      <c r="BF28" s="276" cm="1">
        <f t="array" ref="BF28">IF(AND(BF$2&lt;&gt;0,TblTech[[#This Row],[Hour]:[Hour]]&gt;=BF$2),1,0)</f>
        <v>0</v>
      </c>
      <c r="BG28" s="276" cm="1">
        <f t="array" ref="BG28">IF(AND(BG$2&lt;&gt;0,TblTech[[#This Row],[Hour]:[Hour]]&gt;=BG$2),1,0)</f>
        <v>0</v>
      </c>
      <c r="BH28" s="276" cm="1">
        <f t="array" ref="BH28">IF(AND(BH$2&lt;&gt;0,TblTech[[#This Row],[Hour]:[Hour]]&gt;=BH$2),1,0)</f>
        <v>0</v>
      </c>
      <c r="BI28" s="276" cm="1">
        <f t="array" ref="BI28">IF(AND(BI$2&lt;&gt;0,TblTech[[#This Row],[Hour]:[Hour]]&gt;=BI$2),1,0)</f>
        <v>0</v>
      </c>
      <c r="BJ28" s="276" cm="1">
        <f t="array" ref="BJ28">IF(AND(BJ$2&lt;&gt;0,TblTech[[#This Row],[Hour]:[Hour]]&gt;=BJ$2),1,0)</f>
        <v>0</v>
      </c>
      <c r="BK28" s="276" cm="1">
        <f t="array" ref="BK28">IF(AND(BK$2&lt;&gt;0,TblTech[[#This Row],[Hour]:[Hour]]&gt;=BK$2),1,0)</f>
        <v>0</v>
      </c>
      <c r="BL28" s="276" cm="1">
        <f t="array" ref="BL28">IF(AND(BL$2&lt;&gt;0,TblTech[[#This Row],[Hour]:[Hour]]&gt;=BL$2),1,0)</f>
        <v>0</v>
      </c>
      <c r="BM28" s="276" cm="1">
        <f t="array" ref="BM28">IF(AND(BM$2&lt;&gt;0,TblTech[[#This Row],[Hour]:[Hour]]&gt;=BM$2),1,0)</f>
        <v>0</v>
      </c>
      <c r="BN28" s="276" cm="1">
        <f t="array" ref="BN28">IF(AND(BN$2&lt;&gt;0,TblTech[[#This Row],[Hour]:[Hour]]&gt;=BN$2),1,0)</f>
        <v>0</v>
      </c>
      <c r="BO28" s="276" cm="1">
        <f t="array" ref="BO28">IF(AND(BO$2&lt;&gt;0,TblTech[[#This Row],[Hour]:[Hour]]&gt;=BO$2),1,0)</f>
        <v>0</v>
      </c>
      <c r="BP28" s="276" cm="1">
        <f t="array" ref="BP28">IF(AND(BP$2&lt;&gt;0,TblTech[[#This Row],[Hour]:[Hour]]&gt;=BP$2),1,0)</f>
        <v>0</v>
      </c>
      <c r="BQ28" s="276" cm="1">
        <f t="array" ref="BQ28">IF(AND(BQ$2&lt;&gt;0,TblTech[[#This Row],[Hour]:[Hour]]&gt;=BQ$2),1,0)</f>
        <v>0</v>
      </c>
      <c r="BR28" s="276" cm="1">
        <f t="array" ref="BR28">IF(AND(BR$2&lt;&gt;0,TblTech[[#This Row],[Hour]:[Hour]]&gt;=BR$2),1,0)</f>
        <v>0</v>
      </c>
      <c r="BS28" s="276" cm="1">
        <f t="array" ref="BS28">IF(AND(BS$2&lt;&gt;0,TblTech[[#This Row],[Hour]:[Hour]]&gt;=BS$2),1,0)</f>
        <v>0</v>
      </c>
      <c r="BT28" s="276" cm="1">
        <f t="array" ref="BT28">IF(AND(BT$2&lt;&gt;0,TblTech[[#This Row],[Hour]:[Hour]]&gt;=BT$2),1,0)</f>
        <v>0</v>
      </c>
      <c r="BU28" s="276" cm="1">
        <f t="array" ref="BU28">IF(AND(BU$2&lt;&gt;0,TblTech[[#This Row],[Hour]:[Hour]]&gt;=BU$2),1,0)</f>
        <v>0</v>
      </c>
      <c r="BV28" s="276" cm="1">
        <f t="array" ref="BV28">IF(AND(BV$2&lt;&gt;0,TblTech[[#This Row],[Hour]:[Hour]]&gt;=BV$2),1,0)</f>
        <v>0</v>
      </c>
      <c r="BW28" s="276" cm="1">
        <f t="array" ref="BW28">IF(AND(BW$2&lt;&gt;0,TblTech[[#This Row],[Hour]:[Hour]]&gt;=BW$2),1,0)</f>
        <v>0</v>
      </c>
      <c r="BX28" s="276" cm="1">
        <f t="array" ref="BX28">IF(AND(BX$2&lt;&gt;0,TblTech[[#This Row],[Hour]:[Hour]]&gt;=BX$2),1,0)</f>
        <v>0</v>
      </c>
      <c r="BY28" s="276" cm="1">
        <f t="array" ref="BY28">IF(AND(BY$2&lt;&gt;0,TblTech[[#This Row],[Hour]:[Hour]]&gt;=BY$2),1,0)</f>
        <v>0</v>
      </c>
      <c r="BZ28" s="276" cm="1">
        <f t="array" ref="BZ28">IF(AND(BZ$2&lt;&gt;0,TblTech[[#This Row],[Hour]:[Hour]]&gt;=BZ$2),1,0)</f>
        <v>0</v>
      </c>
      <c r="CA28" s="377">
        <f>IFERROR(INDEX($H$4:$H$79,MATCH(INDEX(TblTech[[#Headers],[1-1]:[11-1]],1,MATCH(TblTech[[#This Row],[Hour]],$M$2:$BZ$2,0)),$G$4:$G$79,0)),)</f>
        <v>0</v>
      </c>
    </row>
    <row r="29" spans="1:79" x14ac:dyDescent="0.2">
      <c r="A29" s="268">
        <f>TblRezone[[#This Row],[Hour]]</f>
        <v>26</v>
      </c>
      <c r="B29" s="269">
        <f ca="1">TblExplore[[#This Row],[Land-DB]]</f>
        <v>50</v>
      </c>
      <c r="C29" s="270">
        <f ca="1">TblProd[[#This Row],[Techpoints]]</f>
        <v>0</v>
      </c>
      <c r="D29" s="270">
        <f ca="1">TblProd[[#This Row],[Required]]</f>
        <v>3750</v>
      </c>
      <c r="E29" s="271"/>
      <c r="F29" s="272"/>
      <c r="G29" s="273" t="s">
        <v>569</v>
      </c>
      <c r="H29" s="274" t="s">
        <v>698</v>
      </c>
      <c r="I29" s="273" t="s">
        <v>1158</v>
      </c>
      <c r="J29" s="269"/>
      <c r="K29" s="93">
        <f ca="1">IF(TblTech[[#This Row],[Sum of tech]]&lt;&gt;OFFSET(TblTech[[#This Row],[Sum of tech]],-1,0),1,0)</f>
        <v>0</v>
      </c>
      <c r="L29" s="275">
        <f>COUNTIF(TblTech[[#This Row],[1-1]:[11-1]],1)</f>
        <v>0</v>
      </c>
      <c r="M29" s="276" cm="1">
        <f t="array" ref="M29">IF(AND(M$2&lt;&gt;0,TblTech[[#This Row],[Hour]:[Hour]]&gt;=M$2),1,0)</f>
        <v>0</v>
      </c>
      <c r="N29" s="276" cm="1">
        <f t="array" ref="N29">IF(AND(N$2&lt;&gt;0,TblTech[[#This Row],[Hour]:[Hour]]&gt;=N$2),1,0)</f>
        <v>0</v>
      </c>
      <c r="O29" s="276" cm="1">
        <f t="array" ref="O29">IF(AND(O$2&lt;&gt;0,TblTech[[#This Row],[Hour]:[Hour]]&gt;=O$2),1,0)</f>
        <v>0</v>
      </c>
      <c r="P29" s="276" cm="1">
        <f t="array" ref="P29">IF(AND(P$2&lt;&gt;0,TblTech[[#This Row],[Hour]:[Hour]]&gt;=P$2),1,0)</f>
        <v>0</v>
      </c>
      <c r="Q29" s="276" cm="1">
        <f t="array" ref="Q29">IF(AND(Q$2&lt;&gt;0,TblTech[[#This Row],[Hour]:[Hour]]&gt;=Q$2),1,0)</f>
        <v>0</v>
      </c>
      <c r="R29" s="276" cm="1">
        <f t="array" ref="R29">IF(AND(R$2&lt;&gt;0,TblTech[[#This Row],[Hour]:[Hour]]&gt;=R$2),1,0)</f>
        <v>0</v>
      </c>
      <c r="S29" s="276" cm="1">
        <f t="array" ref="S29">IF(AND(S$2&lt;&gt;0,TblTech[[#This Row],[Hour]:[Hour]]&gt;=S$2),1,0)</f>
        <v>0</v>
      </c>
      <c r="T29" s="276" cm="1">
        <f t="array" ref="T29">IF(AND(T$2&lt;&gt;0,TblTech[[#This Row],[Hour]:[Hour]]&gt;=T$2),1,0)</f>
        <v>0</v>
      </c>
      <c r="U29" s="276" cm="1">
        <f t="array" ref="U29">IF(AND(U$2&lt;&gt;0,TblTech[[#This Row],[Hour]:[Hour]]&gt;=U$2),1,0)</f>
        <v>0</v>
      </c>
      <c r="V29" s="276" cm="1">
        <f t="array" ref="V29">IF(AND(V$2&lt;&gt;0,TblTech[[#This Row],[Hour]:[Hour]]&gt;=V$2),1,0)</f>
        <v>0</v>
      </c>
      <c r="W29" s="276" cm="1">
        <f t="array" ref="W29">IF(AND(W$2&lt;&gt;0,TblTech[[#This Row],[Hour]:[Hour]]&gt;=W$2),1,0)</f>
        <v>0</v>
      </c>
      <c r="X29" s="276" cm="1">
        <f t="array" ref="X29">IF(AND(X$2&lt;&gt;0,TblTech[[#This Row],[Hour]:[Hour]]&gt;=X$2),1,0)</f>
        <v>0</v>
      </c>
      <c r="Y29" s="276" cm="1">
        <f t="array" ref="Y29">IF(AND(Y$2&lt;&gt;0,TblTech[[#This Row],[Hour]:[Hour]]&gt;=Y$2),1,0)</f>
        <v>0</v>
      </c>
      <c r="Z29" s="276" cm="1">
        <f t="array" ref="Z29">IF(AND(Z$2&lt;&gt;0,TblTech[[#This Row],[Hour]:[Hour]]&gt;=Z$2),1,0)</f>
        <v>0</v>
      </c>
      <c r="AA29" s="276" cm="1">
        <f t="array" ref="AA29">IF(AND(AA$2&lt;&gt;0,TblTech[[#This Row],[Hour]:[Hour]]&gt;=AA$2),1,0)</f>
        <v>0</v>
      </c>
      <c r="AB29" s="276" cm="1">
        <f t="array" ref="AB29">IF(AND(AB$2&lt;&gt;0,TblTech[[#This Row],[Hour]:[Hour]]&gt;=AB$2),1,0)</f>
        <v>0</v>
      </c>
      <c r="AC29" s="276" cm="1">
        <f t="array" ref="AC29">IF(AND(AC$2&lt;&gt;0,TblTech[[#This Row],[Hour]:[Hour]]&gt;=AC$2),1,0)</f>
        <v>0</v>
      </c>
      <c r="AD29" s="276" cm="1">
        <f t="array" ref="AD29">IF(AND(AD$2&lt;&gt;0,TblTech[[#This Row],[Hour]:[Hour]]&gt;=AD$2),1,0)</f>
        <v>0</v>
      </c>
      <c r="AE29" s="276" cm="1">
        <f t="array" ref="AE29">IF(AND(AE$2&lt;&gt;0,TblTech[[#This Row],[Hour]:[Hour]]&gt;=AE$2),1,0)</f>
        <v>0</v>
      </c>
      <c r="AF29" s="276" cm="1">
        <f t="array" ref="AF29">IF(AND(AF$2&lt;&gt;0,TblTech[[#This Row],[Hour]:[Hour]]&gt;=AF$2),1,0)</f>
        <v>0</v>
      </c>
      <c r="AG29" s="276" cm="1">
        <f t="array" ref="AG29">IF(AND(AG$2&lt;&gt;0,TblTech[[#This Row],[Hour]:[Hour]]&gt;=AG$2),1,0)</f>
        <v>0</v>
      </c>
      <c r="AH29" s="276" cm="1">
        <f t="array" ref="AH29">IF(AND(AH$2&lt;&gt;0,TblTech[[#This Row],[Hour]:[Hour]]&gt;=AH$2),1,0)</f>
        <v>0</v>
      </c>
      <c r="AI29" s="276" cm="1">
        <f t="array" ref="AI29">IF(AND(AI$2&lt;&gt;0,TblTech[[#This Row],[Hour]:[Hour]]&gt;=AI$2),1,0)</f>
        <v>0</v>
      </c>
      <c r="AJ29" s="276" cm="1">
        <f t="array" ref="AJ29">IF(AND(AJ$2&lt;&gt;0,TblTech[[#This Row],[Hour]:[Hour]]&gt;=AJ$2),1,0)</f>
        <v>0</v>
      </c>
      <c r="AK29" s="276" cm="1">
        <f t="array" ref="AK29">IF(AND(AK$2&lt;&gt;0,TblTech[[#This Row],[Hour]:[Hour]]&gt;=AK$2),1,0)</f>
        <v>0</v>
      </c>
      <c r="AL29" s="276" cm="1">
        <f t="array" ref="AL29">IF(AND(AL$2&lt;&gt;0,TblTech[[#This Row],[Hour]:[Hour]]&gt;=AL$2),1,0)</f>
        <v>0</v>
      </c>
      <c r="AM29" s="276" cm="1">
        <f t="array" ref="AM29">IF(AND(AM$2&lt;&gt;0,TblTech[[#This Row],[Hour]:[Hour]]&gt;=AM$2),1,0)</f>
        <v>0</v>
      </c>
      <c r="AN29" s="276" cm="1">
        <f t="array" ref="AN29">IF(AND(AN$2&lt;&gt;0,TblTech[[#This Row],[Hour]:[Hour]]&gt;=AN$2),1,0)</f>
        <v>0</v>
      </c>
      <c r="AO29" s="276" cm="1">
        <f t="array" ref="AO29">IF(AND(AO$2&lt;&gt;0,TblTech[[#This Row],[Hour]:[Hour]]&gt;=AO$2),1,0)</f>
        <v>0</v>
      </c>
      <c r="AP29" s="276" cm="1">
        <f t="array" ref="AP29">IF(AND(AP$2&lt;&gt;0,TblTech[[#This Row],[Hour]:[Hour]]&gt;=AP$2),1,0)</f>
        <v>0</v>
      </c>
      <c r="AQ29" s="276" cm="1">
        <f t="array" ref="AQ29">IF(AND(AQ$2&lt;&gt;0,TblTech[[#This Row],[Hour]:[Hour]]&gt;=AQ$2),1,0)</f>
        <v>0</v>
      </c>
      <c r="AR29" s="276" cm="1">
        <f t="array" ref="AR29">IF(AND(AR$2&lt;&gt;0,TblTech[[#This Row],[Hour]:[Hour]]&gt;=AR$2),1,0)</f>
        <v>0</v>
      </c>
      <c r="AS29" s="276" cm="1">
        <f t="array" ref="AS29">IF(AND(AS$2&lt;&gt;0,TblTech[[#This Row],[Hour]:[Hour]]&gt;=AS$2),1,0)</f>
        <v>0</v>
      </c>
      <c r="AT29" s="276" cm="1">
        <f t="array" ref="AT29">IF(AND(AT$2&lt;&gt;0,TblTech[[#This Row],[Hour]:[Hour]]&gt;=AT$2),1,0)</f>
        <v>0</v>
      </c>
      <c r="AU29" s="276" cm="1">
        <f t="array" ref="AU29">IF(AND(AU$2&lt;&gt;0,TblTech[[#This Row],[Hour]:[Hour]]&gt;=AU$2),1,0)</f>
        <v>0</v>
      </c>
      <c r="AV29" s="276" cm="1">
        <f t="array" ref="AV29">IF(AND(AV$2&lt;&gt;0,TblTech[[#This Row],[Hour]:[Hour]]&gt;=AV$2),1,0)</f>
        <v>0</v>
      </c>
      <c r="AW29" s="276" cm="1">
        <f t="array" ref="AW29">IF(AND(AW$2&lt;&gt;0,TblTech[[#This Row],[Hour]:[Hour]]&gt;=AW$2),1,0)</f>
        <v>0</v>
      </c>
      <c r="AX29" s="276" cm="1">
        <f t="array" ref="AX29">IF(AND(AX$2&lt;&gt;0,TblTech[[#This Row],[Hour]:[Hour]]&gt;=AX$2),1,0)</f>
        <v>0</v>
      </c>
      <c r="AY29" s="276" cm="1">
        <f t="array" ref="AY29">IF(AND(AY$2&lt;&gt;0,TblTech[[#This Row],[Hour]:[Hour]]&gt;=AY$2),1,0)</f>
        <v>0</v>
      </c>
      <c r="AZ29" s="276" cm="1">
        <f t="array" ref="AZ29">IF(AND(AZ$2&lt;&gt;0,TblTech[[#This Row],[Hour]:[Hour]]&gt;=AZ$2),1,0)</f>
        <v>0</v>
      </c>
      <c r="BA29" s="276" cm="1">
        <f t="array" ref="BA29">IF(AND(BA$2&lt;&gt;0,TblTech[[#This Row],[Hour]:[Hour]]&gt;=BA$2),1,0)</f>
        <v>0</v>
      </c>
      <c r="BB29" s="276" cm="1">
        <f t="array" ref="BB29">IF(AND(BB$2&lt;&gt;0,TblTech[[#This Row],[Hour]:[Hour]]&gt;=BB$2),1,0)</f>
        <v>0</v>
      </c>
      <c r="BC29" s="276" cm="1">
        <f t="array" ref="BC29">IF(AND(BC$2&lt;&gt;0,TblTech[[#This Row],[Hour]:[Hour]]&gt;=BC$2),1,0)</f>
        <v>0</v>
      </c>
      <c r="BD29" s="276" cm="1">
        <f t="array" ref="BD29">IF(AND(BD$2&lt;&gt;0,TblTech[[#This Row],[Hour]:[Hour]]&gt;=BD$2),1,0)</f>
        <v>0</v>
      </c>
      <c r="BE29" s="276" cm="1">
        <f t="array" ref="BE29">IF(AND(BE$2&lt;&gt;0,TblTech[[#This Row],[Hour]:[Hour]]&gt;=BE$2),1,0)</f>
        <v>0</v>
      </c>
      <c r="BF29" s="276" cm="1">
        <f t="array" ref="BF29">IF(AND(BF$2&lt;&gt;0,TblTech[[#This Row],[Hour]:[Hour]]&gt;=BF$2),1,0)</f>
        <v>0</v>
      </c>
      <c r="BG29" s="276" cm="1">
        <f t="array" ref="BG29">IF(AND(BG$2&lt;&gt;0,TblTech[[#This Row],[Hour]:[Hour]]&gt;=BG$2),1,0)</f>
        <v>0</v>
      </c>
      <c r="BH29" s="276" cm="1">
        <f t="array" ref="BH29">IF(AND(BH$2&lt;&gt;0,TblTech[[#This Row],[Hour]:[Hour]]&gt;=BH$2),1,0)</f>
        <v>0</v>
      </c>
      <c r="BI29" s="276" cm="1">
        <f t="array" ref="BI29">IF(AND(BI$2&lt;&gt;0,TblTech[[#This Row],[Hour]:[Hour]]&gt;=BI$2),1,0)</f>
        <v>0</v>
      </c>
      <c r="BJ29" s="276" cm="1">
        <f t="array" ref="BJ29">IF(AND(BJ$2&lt;&gt;0,TblTech[[#This Row],[Hour]:[Hour]]&gt;=BJ$2),1,0)</f>
        <v>0</v>
      </c>
      <c r="BK29" s="276" cm="1">
        <f t="array" ref="BK29">IF(AND(BK$2&lt;&gt;0,TblTech[[#This Row],[Hour]:[Hour]]&gt;=BK$2),1,0)</f>
        <v>0</v>
      </c>
      <c r="BL29" s="276" cm="1">
        <f t="array" ref="BL29">IF(AND(BL$2&lt;&gt;0,TblTech[[#This Row],[Hour]:[Hour]]&gt;=BL$2),1,0)</f>
        <v>0</v>
      </c>
      <c r="BM29" s="276" cm="1">
        <f t="array" ref="BM29">IF(AND(BM$2&lt;&gt;0,TblTech[[#This Row],[Hour]:[Hour]]&gt;=BM$2),1,0)</f>
        <v>0</v>
      </c>
      <c r="BN29" s="276" cm="1">
        <f t="array" ref="BN29">IF(AND(BN$2&lt;&gt;0,TblTech[[#This Row],[Hour]:[Hour]]&gt;=BN$2),1,0)</f>
        <v>0</v>
      </c>
      <c r="BO29" s="276" cm="1">
        <f t="array" ref="BO29">IF(AND(BO$2&lt;&gt;0,TblTech[[#This Row],[Hour]:[Hour]]&gt;=BO$2),1,0)</f>
        <v>0</v>
      </c>
      <c r="BP29" s="276" cm="1">
        <f t="array" ref="BP29">IF(AND(BP$2&lt;&gt;0,TblTech[[#This Row],[Hour]:[Hour]]&gt;=BP$2),1,0)</f>
        <v>0</v>
      </c>
      <c r="BQ29" s="276" cm="1">
        <f t="array" ref="BQ29">IF(AND(BQ$2&lt;&gt;0,TblTech[[#This Row],[Hour]:[Hour]]&gt;=BQ$2),1,0)</f>
        <v>0</v>
      </c>
      <c r="BR29" s="276" cm="1">
        <f t="array" ref="BR29">IF(AND(BR$2&lt;&gt;0,TblTech[[#This Row],[Hour]:[Hour]]&gt;=BR$2),1,0)</f>
        <v>0</v>
      </c>
      <c r="BS29" s="276" cm="1">
        <f t="array" ref="BS29">IF(AND(BS$2&lt;&gt;0,TblTech[[#This Row],[Hour]:[Hour]]&gt;=BS$2),1,0)</f>
        <v>0</v>
      </c>
      <c r="BT29" s="276" cm="1">
        <f t="array" ref="BT29">IF(AND(BT$2&lt;&gt;0,TblTech[[#This Row],[Hour]:[Hour]]&gt;=BT$2),1,0)</f>
        <v>0</v>
      </c>
      <c r="BU29" s="276" cm="1">
        <f t="array" ref="BU29">IF(AND(BU$2&lt;&gt;0,TblTech[[#This Row],[Hour]:[Hour]]&gt;=BU$2),1,0)</f>
        <v>0</v>
      </c>
      <c r="BV29" s="276" cm="1">
        <f t="array" ref="BV29">IF(AND(BV$2&lt;&gt;0,TblTech[[#This Row],[Hour]:[Hour]]&gt;=BV$2),1,0)</f>
        <v>0</v>
      </c>
      <c r="BW29" s="276" cm="1">
        <f t="array" ref="BW29">IF(AND(BW$2&lt;&gt;0,TblTech[[#This Row],[Hour]:[Hour]]&gt;=BW$2),1,0)</f>
        <v>0</v>
      </c>
      <c r="BX29" s="276" cm="1">
        <f t="array" ref="BX29">IF(AND(BX$2&lt;&gt;0,TblTech[[#This Row],[Hour]:[Hour]]&gt;=BX$2),1,0)</f>
        <v>0</v>
      </c>
      <c r="BY29" s="276" cm="1">
        <f t="array" ref="BY29">IF(AND(BY$2&lt;&gt;0,TblTech[[#This Row],[Hour]:[Hour]]&gt;=BY$2),1,0)</f>
        <v>0</v>
      </c>
      <c r="BZ29" s="276" cm="1">
        <f t="array" ref="BZ29">IF(AND(BZ$2&lt;&gt;0,TblTech[[#This Row],[Hour]:[Hour]]&gt;=BZ$2),1,0)</f>
        <v>0</v>
      </c>
      <c r="CA29" s="377">
        <f>IFERROR(INDEX($H$4:$H$79,MATCH(INDEX(TblTech[[#Headers],[1-1]:[11-1]],1,MATCH(TblTech[[#This Row],[Hour]],$M$2:$BZ$2,0)),$G$4:$G$79,0)),)</f>
        <v>0</v>
      </c>
    </row>
    <row r="30" spans="1:79" x14ac:dyDescent="0.2">
      <c r="A30" s="268">
        <f>TblRezone[[#This Row],[Hour]]</f>
        <v>27</v>
      </c>
      <c r="B30" s="269">
        <f ca="1">TblExplore[[#This Row],[Land-DB]]</f>
        <v>50</v>
      </c>
      <c r="C30" s="270">
        <f ca="1">TblProd[[#This Row],[Techpoints]]</f>
        <v>0</v>
      </c>
      <c r="D30" s="270">
        <f ca="1">TblProd[[#This Row],[Required]]</f>
        <v>3750</v>
      </c>
      <c r="E30" s="271"/>
      <c r="F30" s="272"/>
      <c r="G30" s="273" t="s">
        <v>570</v>
      </c>
      <c r="H30" s="274" t="s">
        <v>699</v>
      </c>
      <c r="I30" s="273" t="s">
        <v>1082</v>
      </c>
      <c r="J30" s="269"/>
      <c r="K30" s="93">
        <f ca="1">IF(TblTech[[#This Row],[Sum of tech]]&lt;&gt;OFFSET(TblTech[[#This Row],[Sum of tech]],-1,0),1,0)</f>
        <v>0</v>
      </c>
      <c r="L30" s="275">
        <f>COUNTIF(TblTech[[#This Row],[1-1]:[11-1]],1)</f>
        <v>0</v>
      </c>
      <c r="M30" s="276" cm="1">
        <f t="array" ref="M30">IF(AND(M$2&lt;&gt;0,TblTech[[#This Row],[Hour]:[Hour]]&gt;=M$2),1,0)</f>
        <v>0</v>
      </c>
      <c r="N30" s="276" cm="1">
        <f t="array" ref="N30">IF(AND(N$2&lt;&gt;0,TblTech[[#This Row],[Hour]:[Hour]]&gt;=N$2),1,0)</f>
        <v>0</v>
      </c>
      <c r="O30" s="276" cm="1">
        <f t="array" ref="O30">IF(AND(O$2&lt;&gt;0,TblTech[[#This Row],[Hour]:[Hour]]&gt;=O$2),1,0)</f>
        <v>0</v>
      </c>
      <c r="P30" s="276" cm="1">
        <f t="array" ref="P30">IF(AND(P$2&lt;&gt;0,TblTech[[#This Row],[Hour]:[Hour]]&gt;=P$2),1,0)</f>
        <v>0</v>
      </c>
      <c r="Q30" s="276" cm="1">
        <f t="array" ref="Q30">IF(AND(Q$2&lt;&gt;0,TblTech[[#This Row],[Hour]:[Hour]]&gt;=Q$2),1,0)</f>
        <v>0</v>
      </c>
      <c r="R30" s="276" cm="1">
        <f t="array" ref="R30">IF(AND(R$2&lt;&gt;0,TblTech[[#This Row],[Hour]:[Hour]]&gt;=R$2),1,0)</f>
        <v>0</v>
      </c>
      <c r="S30" s="276" cm="1">
        <f t="array" ref="S30">IF(AND(S$2&lt;&gt;0,TblTech[[#This Row],[Hour]:[Hour]]&gt;=S$2),1,0)</f>
        <v>0</v>
      </c>
      <c r="T30" s="276" cm="1">
        <f t="array" ref="T30">IF(AND(T$2&lt;&gt;0,TblTech[[#This Row],[Hour]:[Hour]]&gt;=T$2),1,0)</f>
        <v>0</v>
      </c>
      <c r="U30" s="276" cm="1">
        <f t="array" ref="U30">IF(AND(U$2&lt;&gt;0,TblTech[[#This Row],[Hour]:[Hour]]&gt;=U$2),1,0)</f>
        <v>0</v>
      </c>
      <c r="V30" s="276" cm="1">
        <f t="array" ref="V30">IF(AND(V$2&lt;&gt;0,TblTech[[#This Row],[Hour]:[Hour]]&gt;=V$2),1,0)</f>
        <v>0</v>
      </c>
      <c r="W30" s="276" cm="1">
        <f t="array" ref="W30">IF(AND(W$2&lt;&gt;0,TblTech[[#This Row],[Hour]:[Hour]]&gt;=W$2),1,0)</f>
        <v>0</v>
      </c>
      <c r="X30" s="276" cm="1">
        <f t="array" ref="X30">IF(AND(X$2&lt;&gt;0,TblTech[[#This Row],[Hour]:[Hour]]&gt;=X$2),1,0)</f>
        <v>0</v>
      </c>
      <c r="Y30" s="276" cm="1">
        <f t="array" ref="Y30">IF(AND(Y$2&lt;&gt;0,TblTech[[#This Row],[Hour]:[Hour]]&gt;=Y$2),1,0)</f>
        <v>0</v>
      </c>
      <c r="Z30" s="276" cm="1">
        <f t="array" ref="Z30">IF(AND(Z$2&lt;&gt;0,TblTech[[#This Row],[Hour]:[Hour]]&gt;=Z$2),1,0)</f>
        <v>0</v>
      </c>
      <c r="AA30" s="276" cm="1">
        <f t="array" ref="AA30">IF(AND(AA$2&lt;&gt;0,TblTech[[#This Row],[Hour]:[Hour]]&gt;=AA$2),1,0)</f>
        <v>0</v>
      </c>
      <c r="AB30" s="276" cm="1">
        <f t="array" ref="AB30">IF(AND(AB$2&lt;&gt;0,TblTech[[#This Row],[Hour]:[Hour]]&gt;=AB$2),1,0)</f>
        <v>0</v>
      </c>
      <c r="AC30" s="276" cm="1">
        <f t="array" ref="AC30">IF(AND(AC$2&lt;&gt;0,TblTech[[#This Row],[Hour]:[Hour]]&gt;=AC$2),1,0)</f>
        <v>0</v>
      </c>
      <c r="AD30" s="276" cm="1">
        <f t="array" ref="AD30">IF(AND(AD$2&lt;&gt;0,TblTech[[#This Row],[Hour]:[Hour]]&gt;=AD$2),1,0)</f>
        <v>0</v>
      </c>
      <c r="AE30" s="276" cm="1">
        <f t="array" ref="AE30">IF(AND(AE$2&lt;&gt;0,TblTech[[#This Row],[Hour]:[Hour]]&gt;=AE$2),1,0)</f>
        <v>0</v>
      </c>
      <c r="AF30" s="276" cm="1">
        <f t="array" ref="AF30">IF(AND(AF$2&lt;&gt;0,TblTech[[#This Row],[Hour]:[Hour]]&gt;=AF$2),1,0)</f>
        <v>0</v>
      </c>
      <c r="AG30" s="276" cm="1">
        <f t="array" ref="AG30">IF(AND(AG$2&lt;&gt;0,TblTech[[#This Row],[Hour]:[Hour]]&gt;=AG$2),1,0)</f>
        <v>0</v>
      </c>
      <c r="AH30" s="276" cm="1">
        <f t="array" ref="AH30">IF(AND(AH$2&lt;&gt;0,TblTech[[#This Row],[Hour]:[Hour]]&gt;=AH$2),1,0)</f>
        <v>0</v>
      </c>
      <c r="AI30" s="276" cm="1">
        <f t="array" ref="AI30">IF(AND(AI$2&lt;&gt;0,TblTech[[#This Row],[Hour]:[Hour]]&gt;=AI$2),1,0)</f>
        <v>0</v>
      </c>
      <c r="AJ30" s="276" cm="1">
        <f t="array" ref="AJ30">IF(AND(AJ$2&lt;&gt;0,TblTech[[#This Row],[Hour]:[Hour]]&gt;=AJ$2),1,0)</f>
        <v>0</v>
      </c>
      <c r="AK30" s="276" cm="1">
        <f t="array" ref="AK30">IF(AND(AK$2&lt;&gt;0,TblTech[[#This Row],[Hour]:[Hour]]&gt;=AK$2),1,0)</f>
        <v>0</v>
      </c>
      <c r="AL30" s="276" cm="1">
        <f t="array" ref="AL30">IF(AND(AL$2&lt;&gt;0,TblTech[[#This Row],[Hour]:[Hour]]&gt;=AL$2),1,0)</f>
        <v>0</v>
      </c>
      <c r="AM30" s="276" cm="1">
        <f t="array" ref="AM30">IF(AND(AM$2&lt;&gt;0,TblTech[[#This Row],[Hour]:[Hour]]&gt;=AM$2),1,0)</f>
        <v>0</v>
      </c>
      <c r="AN30" s="276" cm="1">
        <f t="array" ref="AN30">IF(AND(AN$2&lt;&gt;0,TblTech[[#This Row],[Hour]:[Hour]]&gt;=AN$2),1,0)</f>
        <v>0</v>
      </c>
      <c r="AO30" s="276" cm="1">
        <f t="array" ref="AO30">IF(AND(AO$2&lt;&gt;0,TblTech[[#This Row],[Hour]:[Hour]]&gt;=AO$2),1,0)</f>
        <v>0</v>
      </c>
      <c r="AP30" s="276" cm="1">
        <f t="array" ref="AP30">IF(AND(AP$2&lt;&gt;0,TblTech[[#This Row],[Hour]:[Hour]]&gt;=AP$2),1,0)</f>
        <v>0</v>
      </c>
      <c r="AQ30" s="276" cm="1">
        <f t="array" ref="AQ30">IF(AND(AQ$2&lt;&gt;0,TblTech[[#This Row],[Hour]:[Hour]]&gt;=AQ$2),1,0)</f>
        <v>0</v>
      </c>
      <c r="AR30" s="276" cm="1">
        <f t="array" ref="AR30">IF(AND(AR$2&lt;&gt;0,TblTech[[#This Row],[Hour]:[Hour]]&gt;=AR$2),1,0)</f>
        <v>0</v>
      </c>
      <c r="AS30" s="276" cm="1">
        <f t="array" ref="AS30">IF(AND(AS$2&lt;&gt;0,TblTech[[#This Row],[Hour]:[Hour]]&gt;=AS$2),1,0)</f>
        <v>0</v>
      </c>
      <c r="AT30" s="276" cm="1">
        <f t="array" ref="AT30">IF(AND(AT$2&lt;&gt;0,TblTech[[#This Row],[Hour]:[Hour]]&gt;=AT$2),1,0)</f>
        <v>0</v>
      </c>
      <c r="AU30" s="276" cm="1">
        <f t="array" ref="AU30">IF(AND(AU$2&lt;&gt;0,TblTech[[#This Row],[Hour]:[Hour]]&gt;=AU$2),1,0)</f>
        <v>0</v>
      </c>
      <c r="AV30" s="276" cm="1">
        <f t="array" ref="AV30">IF(AND(AV$2&lt;&gt;0,TblTech[[#This Row],[Hour]:[Hour]]&gt;=AV$2),1,0)</f>
        <v>0</v>
      </c>
      <c r="AW30" s="276" cm="1">
        <f t="array" ref="AW30">IF(AND(AW$2&lt;&gt;0,TblTech[[#This Row],[Hour]:[Hour]]&gt;=AW$2),1,0)</f>
        <v>0</v>
      </c>
      <c r="AX30" s="276" cm="1">
        <f t="array" ref="AX30">IF(AND(AX$2&lt;&gt;0,TblTech[[#This Row],[Hour]:[Hour]]&gt;=AX$2),1,0)</f>
        <v>0</v>
      </c>
      <c r="AY30" s="276" cm="1">
        <f t="array" ref="AY30">IF(AND(AY$2&lt;&gt;0,TblTech[[#This Row],[Hour]:[Hour]]&gt;=AY$2),1,0)</f>
        <v>0</v>
      </c>
      <c r="AZ30" s="276" cm="1">
        <f t="array" ref="AZ30">IF(AND(AZ$2&lt;&gt;0,TblTech[[#This Row],[Hour]:[Hour]]&gt;=AZ$2),1,0)</f>
        <v>0</v>
      </c>
      <c r="BA30" s="276" cm="1">
        <f t="array" ref="BA30">IF(AND(BA$2&lt;&gt;0,TblTech[[#This Row],[Hour]:[Hour]]&gt;=BA$2),1,0)</f>
        <v>0</v>
      </c>
      <c r="BB30" s="276" cm="1">
        <f t="array" ref="BB30">IF(AND(BB$2&lt;&gt;0,TblTech[[#This Row],[Hour]:[Hour]]&gt;=BB$2),1,0)</f>
        <v>0</v>
      </c>
      <c r="BC30" s="276" cm="1">
        <f t="array" ref="BC30">IF(AND(BC$2&lt;&gt;0,TblTech[[#This Row],[Hour]:[Hour]]&gt;=BC$2),1,0)</f>
        <v>0</v>
      </c>
      <c r="BD30" s="276" cm="1">
        <f t="array" ref="BD30">IF(AND(BD$2&lt;&gt;0,TblTech[[#This Row],[Hour]:[Hour]]&gt;=BD$2),1,0)</f>
        <v>0</v>
      </c>
      <c r="BE30" s="276" cm="1">
        <f t="array" ref="BE30">IF(AND(BE$2&lt;&gt;0,TblTech[[#This Row],[Hour]:[Hour]]&gt;=BE$2),1,0)</f>
        <v>0</v>
      </c>
      <c r="BF30" s="276" cm="1">
        <f t="array" ref="BF30">IF(AND(BF$2&lt;&gt;0,TblTech[[#This Row],[Hour]:[Hour]]&gt;=BF$2),1,0)</f>
        <v>0</v>
      </c>
      <c r="BG30" s="276" cm="1">
        <f t="array" ref="BG30">IF(AND(BG$2&lt;&gt;0,TblTech[[#This Row],[Hour]:[Hour]]&gt;=BG$2),1,0)</f>
        <v>0</v>
      </c>
      <c r="BH30" s="276" cm="1">
        <f t="array" ref="BH30">IF(AND(BH$2&lt;&gt;0,TblTech[[#This Row],[Hour]:[Hour]]&gt;=BH$2),1,0)</f>
        <v>0</v>
      </c>
      <c r="BI30" s="276" cm="1">
        <f t="array" ref="BI30">IF(AND(BI$2&lt;&gt;0,TblTech[[#This Row],[Hour]:[Hour]]&gt;=BI$2),1,0)</f>
        <v>0</v>
      </c>
      <c r="BJ30" s="276" cm="1">
        <f t="array" ref="BJ30">IF(AND(BJ$2&lt;&gt;0,TblTech[[#This Row],[Hour]:[Hour]]&gt;=BJ$2),1,0)</f>
        <v>0</v>
      </c>
      <c r="BK30" s="276" cm="1">
        <f t="array" ref="BK30">IF(AND(BK$2&lt;&gt;0,TblTech[[#This Row],[Hour]:[Hour]]&gt;=BK$2),1,0)</f>
        <v>0</v>
      </c>
      <c r="BL30" s="276" cm="1">
        <f t="array" ref="BL30">IF(AND(BL$2&lt;&gt;0,TblTech[[#This Row],[Hour]:[Hour]]&gt;=BL$2),1,0)</f>
        <v>0</v>
      </c>
      <c r="BM30" s="276" cm="1">
        <f t="array" ref="BM30">IF(AND(BM$2&lt;&gt;0,TblTech[[#This Row],[Hour]:[Hour]]&gt;=BM$2),1,0)</f>
        <v>0</v>
      </c>
      <c r="BN30" s="276" cm="1">
        <f t="array" ref="BN30">IF(AND(BN$2&lt;&gt;0,TblTech[[#This Row],[Hour]:[Hour]]&gt;=BN$2),1,0)</f>
        <v>0</v>
      </c>
      <c r="BO30" s="276" cm="1">
        <f t="array" ref="BO30">IF(AND(BO$2&lt;&gt;0,TblTech[[#This Row],[Hour]:[Hour]]&gt;=BO$2),1,0)</f>
        <v>0</v>
      </c>
      <c r="BP30" s="276" cm="1">
        <f t="array" ref="BP30">IF(AND(BP$2&lt;&gt;0,TblTech[[#This Row],[Hour]:[Hour]]&gt;=BP$2),1,0)</f>
        <v>0</v>
      </c>
      <c r="BQ30" s="276" cm="1">
        <f t="array" ref="BQ30">IF(AND(BQ$2&lt;&gt;0,TblTech[[#This Row],[Hour]:[Hour]]&gt;=BQ$2),1,0)</f>
        <v>0</v>
      </c>
      <c r="BR30" s="276" cm="1">
        <f t="array" ref="BR30">IF(AND(BR$2&lt;&gt;0,TblTech[[#This Row],[Hour]:[Hour]]&gt;=BR$2),1,0)</f>
        <v>0</v>
      </c>
      <c r="BS30" s="276" cm="1">
        <f t="array" ref="BS30">IF(AND(BS$2&lt;&gt;0,TblTech[[#This Row],[Hour]:[Hour]]&gt;=BS$2),1,0)</f>
        <v>0</v>
      </c>
      <c r="BT30" s="276" cm="1">
        <f t="array" ref="BT30">IF(AND(BT$2&lt;&gt;0,TblTech[[#This Row],[Hour]:[Hour]]&gt;=BT$2),1,0)</f>
        <v>0</v>
      </c>
      <c r="BU30" s="276" cm="1">
        <f t="array" ref="BU30">IF(AND(BU$2&lt;&gt;0,TblTech[[#This Row],[Hour]:[Hour]]&gt;=BU$2),1,0)</f>
        <v>0</v>
      </c>
      <c r="BV30" s="276" cm="1">
        <f t="array" ref="BV30">IF(AND(BV$2&lt;&gt;0,TblTech[[#This Row],[Hour]:[Hour]]&gt;=BV$2),1,0)</f>
        <v>0</v>
      </c>
      <c r="BW30" s="276" cm="1">
        <f t="array" ref="BW30">IF(AND(BW$2&lt;&gt;0,TblTech[[#This Row],[Hour]:[Hour]]&gt;=BW$2),1,0)</f>
        <v>0</v>
      </c>
      <c r="BX30" s="276" cm="1">
        <f t="array" ref="BX30">IF(AND(BX$2&lt;&gt;0,TblTech[[#This Row],[Hour]:[Hour]]&gt;=BX$2),1,0)</f>
        <v>0</v>
      </c>
      <c r="BY30" s="276" cm="1">
        <f t="array" ref="BY30">IF(AND(BY$2&lt;&gt;0,TblTech[[#This Row],[Hour]:[Hour]]&gt;=BY$2),1,0)</f>
        <v>0</v>
      </c>
      <c r="BZ30" s="276" cm="1">
        <f t="array" ref="BZ30">IF(AND(BZ$2&lt;&gt;0,TblTech[[#This Row],[Hour]:[Hour]]&gt;=BZ$2),1,0)</f>
        <v>0</v>
      </c>
      <c r="CA30" s="377">
        <f>IFERROR(INDEX($H$4:$H$79,MATCH(INDEX(TblTech[[#Headers],[1-1]:[11-1]],1,MATCH(TblTech[[#This Row],[Hour]],$M$2:$BZ$2,0)),$G$4:$G$79,0)),)</f>
        <v>0</v>
      </c>
    </row>
    <row r="31" spans="1:79" x14ac:dyDescent="0.2">
      <c r="A31" s="268">
        <f>TblRezone[[#This Row],[Hour]]</f>
        <v>28</v>
      </c>
      <c r="B31" s="269">
        <f ca="1">TblExplore[[#This Row],[Land-DB]]</f>
        <v>50</v>
      </c>
      <c r="C31" s="270">
        <f ca="1">TblProd[[#This Row],[Techpoints]]</f>
        <v>0</v>
      </c>
      <c r="D31" s="270">
        <f ca="1">TblProd[[#This Row],[Required]]</f>
        <v>3750</v>
      </c>
      <c r="E31" s="271"/>
      <c r="F31" s="272"/>
      <c r="G31" s="273" t="s">
        <v>571</v>
      </c>
      <c r="H31" s="274" t="s">
        <v>681</v>
      </c>
      <c r="I31" s="273" t="s">
        <v>1042</v>
      </c>
      <c r="J31" s="269"/>
      <c r="K31" s="93">
        <f ca="1">IF(TblTech[[#This Row],[Sum of tech]]&lt;&gt;OFFSET(TblTech[[#This Row],[Sum of tech]],-1,0),1,0)</f>
        <v>0</v>
      </c>
      <c r="L31" s="275">
        <f>COUNTIF(TblTech[[#This Row],[1-1]:[11-1]],1)</f>
        <v>0</v>
      </c>
      <c r="M31" s="276" cm="1">
        <f t="array" ref="M31">IF(AND(M$2&lt;&gt;0,TblTech[[#This Row],[Hour]:[Hour]]&gt;=M$2),1,0)</f>
        <v>0</v>
      </c>
      <c r="N31" s="276" cm="1">
        <f t="array" ref="N31">IF(AND(N$2&lt;&gt;0,TblTech[[#This Row],[Hour]:[Hour]]&gt;=N$2),1,0)</f>
        <v>0</v>
      </c>
      <c r="O31" s="276" cm="1">
        <f t="array" ref="O31">IF(AND(O$2&lt;&gt;0,TblTech[[#This Row],[Hour]:[Hour]]&gt;=O$2),1,0)</f>
        <v>0</v>
      </c>
      <c r="P31" s="276" cm="1">
        <f t="array" ref="P31">IF(AND(P$2&lt;&gt;0,TblTech[[#This Row],[Hour]:[Hour]]&gt;=P$2),1,0)</f>
        <v>0</v>
      </c>
      <c r="Q31" s="276" cm="1">
        <f t="array" ref="Q31">IF(AND(Q$2&lt;&gt;0,TblTech[[#This Row],[Hour]:[Hour]]&gt;=Q$2),1,0)</f>
        <v>0</v>
      </c>
      <c r="R31" s="276" cm="1">
        <f t="array" ref="R31">IF(AND(R$2&lt;&gt;0,TblTech[[#This Row],[Hour]:[Hour]]&gt;=R$2),1,0)</f>
        <v>0</v>
      </c>
      <c r="S31" s="276" cm="1">
        <f t="array" ref="S31">IF(AND(S$2&lt;&gt;0,TblTech[[#This Row],[Hour]:[Hour]]&gt;=S$2),1,0)</f>
        <v>0</v>
      </c>
      <c r="T31" s="276" cm="1">
        <f t="array" ref="T31">IF(AND(T$2&lt;&gt;0,TblTech[[#This Row],[Hour]:[Hour]]&gt;=T$2),1,0)</f>
        <v>0</v>
      </c>
      <c r="U31" s="276" cm="1">
        <f t="array" ref="U31">IF(AND(U$2&lt;&gt;0,TblTech[[#This Row],[Hour]:[Hour]]&gt;=U$2),1,0)</f>
        <v>0</v>
      </c>
      <c r="V31" s="276" cm="1">
        <f t="array" ref="V31">IF(AND(V$2&lt;&gt;0,TblTech[[#This Row],[Hour]:[Hour]]&gt;=V$2),1,0)</f>
        <v>0</v>
      </c>
      <c r="W31" s="276" cm="1">
        <f t="array" ref="W31">IF(AND(W$2&lt;&gt;0,TblTech[[#This Row],[Hour]:[Hour]]&gt;=W$2),1,0)</f>
        <v>0</v>
      </c>
      <c r="X31" s="276" cm="1">
        <f t="array" ref="X31">IF(AND(X$2&lt;&gt;0,TblTech[[#This Row],[Hour]:[Hour]]&gt;=X$2),1,0)</f>
        <v>0</v>
      </c>
      <c r="Y31" s="276" cm="1">
        <f t="array" ref="Y31">IF(AND(Y$2&lt;&gt;0,TblTech[[#This Row],[Hour]:[Hour]]&gt;=Y$2),1,0)</f>
        <v>0</v>
      </c>
      <c r="Z31" s="276" cm="1">
        <f t="array" ref="Z31">IF(AND(Z$2&lt;&gt;0,TblTech[[#This Row],[Hour]:[Hour]]&gt;=Z$2),1,0)</f>
        <v>0</v>
      </c>
      <c r="AA31" s="276" cm="1">
        <f t="array" ref="AA31">IF(AND(AA$2&lt;&gt;0,TblTech[[#This Row],[Hour]:[Hour]]&gt;=AA$2),1,0)</f>
        <v>0</v>
      </c>
      <c r="AB31" s="276" cm="1">
        <f t="array" ref="AB31">IF(AND(AB$2&lt;&gt;0,TblTech[[#This Row],[Hour]:[Hour]]&gt;=AB$2),1,0)</f>
        <v>0</v>
      </c>
      <c r="AC31" s="276" cm="1">
        <f t="array" ref="AC31">IF(AND(AC$2&lt;&gt;0,TblTech[[#This Row],[Hour]:[Hour]]&gt;=AC$2),1,0)</f>
        <v>0</v>
      </c>
      <c r="AD31" s="276" cm="1">
        <f t="array" ref="AD31">IF(AND(AD$2&lt;&gt;0,TblTech[[#This Row],[Hour]:[Hour]]&gt;=AD$2),1,0)</f>
        <v>0</v>
      </c>
      <c r="AE31" s="276" cm="1">
        <f t="array" ref="AE31">IF(AND(AE$2&lt;&gt;0,TblTech[[#This Row],[Hour]:[Hour]]&gt;=AE$2),1,0)</f>
        <v>0</v>
      </c>
      <c r="AF31" s="276" cm="1">
        <f t="array" ref="AF31">IF(AND(AF$2&lt;&gt;0,TblTech[[#This Row],[Hour]:[Hour]]&gt;=AF$2),1,0)</f>
        <v>0</v>
      </c>
      <c r="AG31" s="276" cm="1">
        <f t="array" ref="AG31">IF(AND(AG$2&lt;&gt;0,TblTech[[#This Row],[Hour]:[Hour]]&gt;=AG$2),1,0)</f>
        <v>0</v>
      </c>
      <c r="AH31" s="276" cm="1">
        <f t="array" ref="AH31">IF(AND(AH$2&lt;&gt;0,TblTech[[#This Row],[Hour]:[Hour]]&gt;=AH$2),1,0)</f>
        <v>0</v>
      </c>
      <c r="AI31" s="276" cm="1">
        <f t="array" ref="AI31">IF(AND(AI$2&lt;&gt;0,TblTech[[#This Row],[Hour]:[Hour]]&gt;=AI$2),1,0)</f>
        <v>0</v>
      </c>
      <c r="AJ31" s="276" cm="1">
        <f t="array" ref="AJ31">IF(AND(AJ$2&lt;&gt;0,TblTech[[#This Row],[Hour]:[Hour]]&gt;=AJ$2),1,0)</f>
        <v>0</v>
      </c>
      <c r="AK31" s="276" cm="1">
        <f t="array" ref="AK31">IF(AND(AK$2&lt;&gt;0,TblTech[[#This Row],[Hour]:[Hour]]&gt;=AK$2),1,0)</f>
        <v>0</v>
      </c>
      <c r="AL31" s="276" cm="1">
        <f t="array" ref="AL31">IF(AND(AL$2&lt;&gt;0,TblTech[[#This Row],[Hour]:[Hour]]&gt;=AL$2),1,0)</f>
        <v>0</v>
      </c>
      <c r="AM31" s="276" cm="1">
        <f t="array" ref="AM31">IF(AND(AM$2&lt;&gt;0,TblTech[[#This Row],[Hour]:[Hour]]&gt;=AM$2),1,0)</f>
        <v>0</v>
      </c>
      <c r="AN31" s="276" cm="1">
        <f t="array" ref="AN31">IF(AND(AN$2&lt;&gt;0,TblTech[[#This Row],[Hour]:[Hour]]&gt;=AN$2),1,0)</f>
        <v>0</v>
      </c>
      <c r="AO31" s="276" cm="1">
        <f t="array" ref="AO31">IF(AND(AO$2&lt;&gt;0,TblTech[[#This Row],[Hour]:[Hour]]&gt;=AO$2),1,0)</f>
        <v>0</v>
      </c>
      <c r="AP31" s="276" cm="1">
        <f t="array" ref="AP31">IF(AND(AP$2&lt;&gt;0,TblTech[[#This Row],[Hour]:[Hour]]&gt;=AP$2),1,0)</f>
        <v>0</v>
      </c>
      <c r="AQ31" s="276" cm="1">
        <f t="array" ref="AQ31">IF(AND(AQ$2&lt;&gt;0,TblTech[[#This Row],[Hour]:[Hour]]&gt;=AQ$2),1,0)</f>
        <v>0</v>
      </c>
      <c r="AR31" s="276" cm="1">
        <f t="array" ref="AR31">IF(AND(AR$2&lt;&gt;0,TblTech[[#This Row],[Hour]:[Hour]]&gt;=AR$2),1,0)</f>
        <v>0</v>
      </c>
      <c r="AS31" s="276" cm="1">
        <f t="array" ref="AS31">IF(AND(AS$2&lt;&gt;0,TblTech[[#This Row],[Hour]:[Hour]]&gt;=AS$2),1,0)</f>
        <v>0</v>
      </c>
      <c r="AT31" s="276" cm="1">
        <f t="array" ref="AT31">IF(AND(AT$2&lt;&gt;0,TblTech[[#This Row],[Hour]:[Hour]]&gt;=AT$2),1,0)</f>
        <v>0</v>
      </c>
      <c r="AU31" s="276" cm="1">
        <f t="array" ref="AU31">IF(AND(AU$2&lt;&gt;0,TblTech[[#This Row],[Hour]:[Hour]]&gt;=AU$2),1,0)</f>
        <v>0</v>
      </c>
      <c r="AV31" s="276" cm="1">
        <f t="array" ref="AV31">IF(AND(AV$2&lt;&gt;0,TblTech[[#This Row],[Hour]:[Hour]]&gt;=AV$2),1,0)</f>
        <v>0</v>
      </c>
      <c r="AW31" s="276" cm="1">
        <f t="array" ref="AW31">IF(AND(AW$2&lt;&gt;0,TblTech[[#This Row],[Hour]:[Hour]]&gt;=AW$2),1,0)</f>
        <v>0</v>
      </c>
      <c r="AX31" s="276" cm="1">
        <f t="array" ref="AX31">IF(AND(AX$2&lt;&gt;0,TblTech[[#This Row],[Hour]:[Hour]]&gt;=AX$2),1,0)</f>
        <v>0</v>
      </c>
      <c r="AY31" s="276" cm="1">
        <f t="array" ref="AY31">IF(AND(AY$2&lt;&gt;0,TblTech[[#This Row],[Hour]:[Hour]]&gt;=AY$2),1,0)</f>
        <v>0</v>
      </c>
      <c r="AZ31" s="276" cm="1">
        <f t="array" ref="AZ31">IF(AND(AZ$2&lt;&gt;0,TblTech[[#This Row],[Hour]:[Hour]]&gt;=AZ$2),1,0)</f>
        <v>0</v>
      </c>
      <c r="BA31" s="276" cm="1">
        <f t="array" ref="BA31">IF(AND(BA$2&lt;&gt;0,TblTech[[#This Row],[Hour]:[Hour]]&gt;=BA$2),1,0)</f>
        <v>0</v>
      </c>
      <c r="BB31" s="276" cm="1">
        <f t="array" ref="BB31">IF(AND(BB$2&lt;&gt;0,TblTech[[#This Row],[Hour]:[Hour]]&gt;=BB$2),1,0)</f>
        <v>0</v>
      </c>
      <c r="BC31" s="276" cm="1">
        <f t="array" ref="BC31">IF(AND(BC$2&lt;&gt;0,TblTech[[#This Row],[Hour]:[Hour]]&gt;=BC$2),1,0)</f>
        <v>0</v>
      </c>
      <c r="BD31" s="276" cm="1">
        <f t="array" ref="BD31">IF(AND(BD$2&lt;&gt;0,TblTech[[#This Row],[Hour]:[Hour]]&gt;=BD$2),1,0)</f>
        <v>0</v>
      </c>
      <c r="BE31" s="276" cm="1">
        <f t="array" ref="BE31">IF(AND(BE$2&lt;&gt;0,TblTech[[#This Row],[Hour]:[Hour]]&gt;=BE$2),1,0)</f>
        <v>0</v>
      </c>
      <c r="BF31" s="276" cm="1">
        <f t="array" ref="BF31">IF(AND(BF$2&lt;&gt;0,TblTech[[#This Row],[Hour]:[Hour]]&gt;=BF$2),1,0)</f>
        <v>0</v>
      </c>
      <c r="BG31" s="276" cm="1">
        <f t="array" ref="BG31">IF(AND(BG$2&lt;&gt;0,TblTech[[#This Row],[Hour]:[Hour]]&gt;=BG$2),1,0)</f>
        <v>0</v>
      </c>
      <c r="BH31" s="276" cm="1">
        <f t="array" ref="BH31">IF(AND(BH$2&lt;&gt;0,TblTech[[#This Row],[Hour]:[Hour]]&gt;=BH$2),1,0)</f>
        <v>0</v>
      </c>
      <c r="BI31" s="276" cm="1">
        <f t="array" ref="BI31">IF(AND(BI$2&lt;&gt;0,TblTech[[#This Row],[Hour]:[Hour]]&gt;=BI$2),1,0)</f>
        <v>0</v>
      </c>
      <c r="BJ31" s="276" cm="1">
        <f t="array" ref="BJ31">IF(AND(BJ$2&lt;&gt;0,TblTech[[#This Row],[Hour]:[Hour]]&gt;=BJ$2),1,0)</f>
        <v>0</v>
      </c>
      <c r="BK31" s="276" cm="1">
        <f t="array" ref="BK31">IF(AND(BK$2&lt;&gt;0,TblTech[[#This Row],[Hour]:[Hour]]&gt;=BK$2),1,0)</f>
        <v>0</v>
      </c>
      <c r="BL31" s="276" cm="1">
        <f t="array" ref="BL31">IF(AND(BL$2&lt;&gt;0,TblTech[[#This Row],[Hour]:[Hour]]&gt;=BL$2),1,0)</f>
        <v>0</v>
      </c>
      <c r="BM31" s="276" cm="1">
        <f t="array" ref="BM31">IF(AND(BM$2&lt;&gt;0,TblTech[[#This Row],[Hour]:[Hour]]&gt;=BM$2),1,0)</f>
        <v>0</v>
      </c>
      <c r="BN31" s="276" cm="1">
        <f t="array" ref="BN31">IF(AND(BN$2&lt;&gt;0,TblTech[[#This Row],[Hour]:[Hour]]&gt;=BN$2),1,0)</f>
        <v>0</v>
      </c>
      <c r="BO31" s="276" cm="1">
        <f t="array" ref="BO31">IF(AND(BO$2&lt;&gt;0,TblTech[[#This Row],[Hour]:[Hour]]&gt;=BO$2),1,0)</f>
        <v>0</v>
      </c>
      <c r="BP31" s="276" cm="1">
        <f t="array" ref="BP31">IF(AND(BP$2&lt;&gt;0,TblTech[[#This Row],[Hour]:[Hour]]&gt;=BP$2),1,0)</f>
        <v>0</v>
      </c>
      <c r="BQ31" s="276" cm="1">
        <f t="array" ref="BQ31">IF(AND(BQ$2&lt;&gt;0,TblTech[[#This Row],[Hour]:[Hour]]&gt;=BQ$2),1,0)</f>
        <v>0</v>
      </c>
      <c r="BR31" s="276" cm="1">
        <f t="array" ref="BR31">IF(AND(BR$2&lt;&gt;0,TblTech[[#This Row],[Hour]:[Hour]]&gt;=BR$2),1,0)</f>
        <v>0</v>
      </c>
      <c r="BS31" s="276" cm="1">
        <f t="array" ref="BS31">IF(AND(BS$2&lt;&gt;0,TblTech[[#This Row],[Hour]:[Hour]]&gt;=BS$2),1,0)</f>
        <v>0</v>
      </c>
      <c r="BT31" s="276" cm="1">
        <f t="array" ref="BT31">IF(AND(BT$2&lt;&gt;0,TblTech[[#This Row],[Hour]:[Hour]]&gt;=BT$2),1,0)</f>
        <v>0</v>
      </c>
      <c r="BU31" s="276" cm="1">
        <f t="array" ref="BU31">IF(AND(BU$2&lt;&gt;0,TblTech[[#This Row],[Hour]:[Hour]]&gt;=BU$2),1,0)</f>
        <v>0</v>
      </c>
      <c r="BV31" s="276" cm="1">
        <f t="array" ref="BV31">IF(AND(BV$2&lt;&gt;0,TblTech[[#This Row],[Hour]:[Hour]]&gt;=BV$2),1,0)</f>
        <v>0</v>
      </c>
      <c r="BW31" s="276" cm="1">
        <f t="array" ref="BW31">IF(AND(BW$2&lt;&gt;0,TblTech[[#This Row],[Hour]:[Hour]]&gt;=BW$2),1,0)</f>
        <v>0</v>
      </c>
      <c r="BX31" s="276" cm="1">
        <f t="array" ref="BX31">IF(AND(BX$2&lt;&gt;0,TblTech[[#This Row],[Hour]:[Hour]]&gt;=BX$2),1,0)</f>
        <v>0</v>
      </c>
      <c r="BY31" s="276" cm="1">
        <f t="array" ref="BY31">IF(AND(BY$2&lt;&gt;0,TblTech[[#This Row],[Hour]:[Hour]]&gt;=BY$2),1,0)</f>
        <v>0</v>
      </c>
      <c r="BZ31" s="276" cm="1">
        <f t="array" ref="BZ31">IF(AND(BZ$2&lt;&gt;0,TblTech[[#This Row],[Hour]:[Hour]]&gt;=BZ$2),1,0)</f>
        <v>0</v>
      </c>
      <c r="CA31" s="377">
        <f>IFERROR(INDEX($H$4:$H$79,MATCH(INDEX(TblTech[[#Headers],[1-1]:[11-1]],1,MATCH(TblTech[[#This Row],[Hour]],$M$2:$BZ$2,0)),$G$4:$G$79,0)),)</f>
        <v>0</v>
      </c>
    </row>
    <row r="32" spans="1:79" x14ac:dyDescent="0.2">
      <c r="A32" s="268">
        <f>TblRezone[[#This Row],[Hour]]</f>
        <v>29</v>
      </c>
      <c r="B32" s="269">
        <f ca="1">TblExplore[[#This Row],[Land-DB]]</f>
        <v>50</v>
      </c>
      <c r="C32" s="270">
        <f ca="1">TblProd[[#This Row],[Techpoints]]</f>
        <v>0</v>
      </c>
      <c r="D32" s="270">
        <f ca="1">TblProd[[#This Row],[Required]]</f>
        <v>3750</v>
      </c>
      <c r="E32" s="271"/>
      <c r="F32" s="272"/>
      <c r="G32" s="273" t="s">
        <v>572</v>
      </c>
      <c r="H32" s="274" t="s">
        <v>692</v>
      </c>
      <c r="I32" s="273" t="s">
        <v>560</v>
      </c>
      <c r="J32" s="269"/>
      <c r="K32" s="93">
        <f ca="1">IF(TblTech[[#This Row],[Sum of tech]]&lt;&gt;OFFSET(TblTech[[#This Row],[Sum of tech]],-1,0),1,0)</f>
        <v>0</v>
      </c>
      <c r="L32" s="275">
        <f>COUNTIF(TblTech[[#This Row],[1-1]:[11-1]],1)</f>
        <v>0</v>
      </c>
      <c r="M32" s="276" cm="1">
        <f t="array" ref="M32">IF(AND(M$2&lt;&gt;0,TblTech[[#This Row],[Hour]:[Hour]]&gt;=M$2),1,0)</f>
        <v>0</v>
      </c>
      <c r="N32" s="276" cm="1">
        <f t="array" ref="N32">IF(AND(N$2&lt;&gt;0,TblTech[[#This Row],[Hour]:[Hour]]&gt;=N$2),1,0)</f>
        <v>0</v>
      </c>
      <c r="O32" s="276" cm="1">
        <f t="array" ref="O32">IF(AND(O$2&lt;&gt;0,TblTech[[#This Row],[Hour]:[Hour]]&gt;=O$2),1,0)</f>
        <v>0</v>
      </c>
      <c r="P32" s="276" cm="1">
        <f t="array" ref="P32">IF(AND(P$2&lt;&gt;0,TblTech[[#This Row],[Hour]:[Hour]]&gt;=P$2),1,0)</f>
        <v>0</v>
      </c>
      <c r="Q32" s="276" cm="1">
        <f t="array" ref="Q32">IF(AND(Q$2&lt;&gt;0,TblTech[[#This Row],[Hour]:[Hour]]&gt;=Q$2),1,0)</f>
        <v>0</v>
      </c>
      <c r="R32" s="276" cm="1">
        <f t="array" ref="R32">IF(AND(R$2&lt;&gt;0,TblTech[[#This Row],[Hour]:[Hour]]&gt;=R$2),1,0)</f>
        <v>0</v>
      </c>
      <c r="S32" s="276" cm="1">
        <f t="array" ref="S32">IF(AND(S$2&lt;&gt;0,TblTech[[#This Row],[Hour]:[Hour]]&gt;=S$2),1,0)</f>
        <v>0</v>
      </c>
      <c r="T32" s="276" cm="1">
        <f t="array" ref="T32">IF(AND(T$2&lt;&gt;0,TblTech[[#This Row],[Hour]:[Hour]]&gt;=T$2),1,0)</f>
        <v>0</v>
      </c>
      <c r="U32" s="276" cm="1">
        <f t="array" ref="U32">IF(AND(U$2&lt;&gt;0,TblTech[[#This Row],[Hour]:[Hour]]&gt;=U$2),1,0)</f>
        <v>0</v>
      </c>
      <c r="V32" s="276" cm="1">
        <f t="array" ref="V32">IF(AND(V$2&lt;&gt;0,TblTech[[#This Row],[Hour]:[Hour]]&gt;=V$2),1,0)</f>
        <v>0</v>
      </c>
      <c r="W32" s="276" cm="1">
        <f t="array" ref="W32">IF(AND(W$2&lt;&gt;0,TblTech[[#This Row],[Hour]:[Hour]]&gt;=W$2),1,0)</f>
        <v>0</v>
      </c>
      <c r="X32" s="276" cm="1">
        <f t="array" ref="X32">IF(AND(X$2&lt;&gt;0,TblTech[[#This Row],[Hour]:[Hour]]&gt;=X$2),1,0)</f>
        <v>0</v>
      </c>
      <c r="Y32" s="276" cm="1">
        <f t="array" ref="Y32">IF(AND(Y$2&lt;&gt;0,TblTech[[#This Row],[Hour]:[Hour]]&gt;=Y$2),1,0)</f>
        <v>0</v>
      </c>
      <c r="Z32" s="276" cm="1">
        <f t="array" ref="Z32">IF(AND(Z$2&lt;&gt;0,TblTech[[#This Row],[Hour]:[Hour]]&gt;=Z$2),1,0)</f>
        <v>0</v>
      </c>
      <c r="AA32" s="276" cm="1">
        <f t="array" ref="AA32">IF(AND(AA$2&lt;&gt;0,TblTech[[#This Row],[Hour]:[Hour]]&gt;=AA$2),1,0)</f>
        <v>0</v>
      </c>
      <c r="AB32" s="276" cm="1">
        <f t="array" ref="AB32">IF(AND(AB$2&lt;&gt;0,TblTech[[#This Row],[Hour]:[Hour]]&gt;=AB$2),1,0)</f>
        <v>0</v>
      </c>
      <c r="AC32" s="276" cm="1">
        <f t="array" ref="AC32">IF(AND(AC$2&lt;&gt;0,TblTech[[#This Row],[Hour]:[Hour]]&gt;=AC$2),1,0)</f>
        <v>0</v>
      </c>
      <c r="AD32" s="276" cm="1">
        <f t="array" ref="AD32">IF(AND(AD$2&lt;&gt;0,TblTech[[#This Row],[Hour]:[Hour]]&gt;=AD$2),1,0)</f>
        <v>0</v>
      </c>
      <c r="AE32" s="276" cm="1">
        <f t="array" ref="AE32">IF(AND(AE$2&lt;&gt;0,TblTech[[#This Row],[Hour]:[Hour]]&gt;=AE$2),1,0)</f>
        <v>0</v>
      </c>
      <c r="AF32" s="276" cm="1">
        <f t="array" ref="AF32">IF(AND(AF$2&lt;&gt;0,TblTech[[#This Row],[Hour]:[Hour]]&gt;=AF$2),1,0)</f>
        <v>0</v>
      </c>
      <c r="AG32" s="276" cm="1">
        <f t="array" ref="AG32">IF(AND(AG$2&lt;&gt;0,TblTech[[#This Row],[Hour]:[Hour]]&gt;=AG$2),1,0)</f>
        <v>0</v>
      </c>
      <c r="AH32" s="276" cm="1">
        <f t="array" ref="AH32">IF(AND(AH$2&lt;&gt;0,TblTech[[#This Row],[Hour]:[Hour]]&gt;=AH$2),1,0)</f>
        <v>0</v>
      </c>
      <c r="AI32" s="276" cm="1">
        <f t="array" ref="AI32">IF(AND(AI$2&lt;&gt;0,TblTech[[#This Row],[Hour]:[Hour]]&gt;=AI$2),1,0)</f>
        <v>0</v>
      </c>
      <c r="AJ32" s="276" cm="1">
        <f t="array" ref="AJ32">IF(AND(AJ$2&lt;&gt;0,TblTech[[#This Row],[Hour]:[Hour]]&gt;=AJ$2),1,0)</f>
        <v>0</v>
      </c>
      <c r="AK32" s="276" cm="1">
        <f t="array" ref="AK32">IF(AND(AK$2&lt;&gt;0,TblTech[[#This Row],[Hour]:[Hour]]&gt;=AK$2),1,0)</f>
        <v>0</v>
      </c>
      <c r="AL32" s="276" cm="1">
        <f t="array" ref="AL32">IF(AND(AL$2&lt;&gt;0,TblTech[[#This Row],[Hour]:[Hour]]&gt;=AL$2),1,0)</f>
        <v>0</v>
      </c>
      <c r="AM32" s="276" cm="1">
        <f t="array" ref="AM32">IF(AND(AM$2&lt;&gt;0,TblTech[[#This Row],[Hour]:[Hour]]&gt;=AM$2),1,0)</f>
        <v>0</v>
      </c>
      <c r="AN32" s="276" cm="1">
        <f t="array" ref="AN32">IF(AND(AN$2&lt;&gt;0,TblTech[[#This Row],[Hour]:[Hour]]&gt;=AN$2),1,0)</f>
        <v>0</v>
      </c>
      <c r="AO32" s="276" cm="1">
        <f t="array" ref="AO32">IF(AND(AO$2&lt;&gt;0,TblTech[[#This Row],[Hour]:[Hour]]&gt;=AO$2),1,0)</f>
        <v>0</v>
      </c>
      <c r="AP32" s="276" cm="1">
        <f t="array" ref="AP32">IF(AND(AP$2&lt;&gt;0,TblTech[[#This Row],[Hour]:[Hour]]&gt;=AP$2),1,0)</f>
        <v>0</v>
      </c>
      <c r="AQ32" s="276" cm="1">
        <f t="array" ref="AQ32">IF(AND(AQ$2&lt;&gt;0,TblTech[[#This Row],[Hour]:[Hour]]&gt;=AQ$2),1,0)</f>
        <v>0</v>
      </c>
      <c r="AR32" s="276" cm="1">
        <f t="array" ref="AR32">IF(AND(AR$2&lt;&gt;0,TblTech[[#This Row],[Hour]:[Hour]]&gt;=AR$2),1,0)</f>
        <v>0</v>
      </c>
      <c r="AS32" s="276" cm="1">
        <f t="array" ref="AS32">IF(AND(AS$2&lt;&gt;0,TblTech[[#This Row],[Hour]:[Hour]]&gt;=AS$2),1,0)</f>
        <v>0</v>
      </c>
      <c r="AT32" s="276" cm="1">
        <f t="array" ref="AT32">IF(AND(AT$2&lt;&gt;0,TblTech[[#This Row],[Hour]:[Hour]]&gt;=AT$2),1,0)</f>
        <v>0</v>
      </c>
      <c r="AU32" s="276" cm="1">
        <f t="array" ref="AU32">IF(AND(AU$2&lt;&gt;0,TblTech[[#This Row],[Hour]:[Hour]]&gt;=AU$2),1,0)</f>
        <v>0</v>
      </c>
      <c r="AV32" s="276" cm="1">
        <f t="array" ref="AV32">IF(AND(AV$2&lt;&gt;0,TblTech[[#This Row],[Hour]:[Hour]]&gt;=AV$2),1,0)</f>
        <v>0</v>
      </c>
      <c r="AW32" s="276" cm="1">
        <f t="array" ref="AW32">IF(AND(AW$2&lt;&gt;0,TblTech[[#This Row],[Hour]:[Hour]]&gt;=AW$2),1,0)</f>
        <v>0</v>
      </c>
      <c r="AX32" s="276" cm="1">
        <f t="array" ref="AX32">IF(AND(AX$2&lt;&gt;0,TblTech[[#This Row],[Hour]:[Hour]]&gt;=AX$2),1,0)</f>
        <v>0</v>
      </c>
      <c r="AY32" s="276" cm="1">
        <f t="array" ref="AY32">IF(AND(AY$2&lt;&gt;0,TblTech[[#This Row],[Hour]:[Hour]]&gt;=AY$2),1,0)</f>
        <v>0</v>
      </c>
      <c r="AZ32" s="276" cm="1">
        <f t="array" ref="AZ32">IF(AND(AZ$2&lt;&gt;0,TblTech[[#This Row],[Hour]:[Hour]]&gt;=AZ$2),1,0)</f>
        <v>0</v>
      </c>
      <c r="BA32" s="276" cm="1">
        <f t="array" ref="BA32">IF(AND(BA$2&lt;&gt;0,TblTech[[#This Row],[Hour]:[Hour]]&gt;=BA$2),1,0)</f>
        <v>0</v>
      </c>
      <c r="BB32" s="276" cm="1">
        <f t="array" ref="BB32">IF(AND(BB$2&lt;&gt;0,TblTech[[#This Row],[Hour]:[Hour]]&gt;=BB$2),1,0)</f>
        <v>0</v>
      </c>
      <c r="BC32" s="276" cm="1">
        <f t="array" ref="BC32">IF(AND(BC$2&lt;&gt;0,TblTech[[#This Row],[Hour]:[Hour]]&gt;=BC$2),1,0)</f>
        <v>0</v>
      </c>
      <c r="BD32" s="276" cm="1">
        <f t="array" ref="BD32">IF(AND(BD$2&lt;&gt;0,TblTech[[#This Row],[Hour]:[Hour]]&gt;=BD$2),1,0)</f>
        <v>0</v>
      </c>
      <c r="BE32" s="276" cm="1">
        <f t="array" ref="BE32">IF(AND(BE$2&lt;&gt;0,TblTech[[#This Row],[Hour]:[Hour]]&gt;=BE$2),1,0)</f>
        <v>0</v>
      </c>
      <c r="BF32" s="276" cm="1">
        <f t="array" ref="BF32">IF(AND(BF$2&lt;&gt;0,TblTech[[#This Row],[Hour]:[Hour]]&gt;=BF$2),1,0)</f>
        <v>0</v>
      </c>
      <c r="BG32" s="276" cm="1">
        <f t="array" ref="BG32">IF(AND(BG$2&lt;&gt;0,TblTech[[#This Row],[Hour]:[Hour]]&gt;=BG$2),1,0)</f>
        <v>0</v>
      </c>
      <c r="BH32" s="276" cm="1">
        <f t="array" ref="BH32">IF(AND(BH$2&lt;&gt;0,TblTech[[#This Row],[Hour]:[Hour]]&gt;=BH$2),1,0)</f>
        <v>0</v>
      </c>
      <c r="BI32" s="276" cm="1">
        <f t="array" ref="BI32">IF(AND(BI$2&lt;&gt;0,TblTech[[#This Row],[Hour]:[Hour]]&gt;=BI$2),1,0)</f>
        <v>0</v>
      </c>
      <c r="BJ32" s="276" cm="1">
        <f t="array" ref="BJ32">IF(AND(BJ$2&lt;&gt;0,TblTech[[#This Row],[Hour]:[Hour]]&gt;=BJ$2),1,0)</f>
        <v>0</v>
      </c>
      <c r="BK32" s="276" cm="1">
        <f t="array" ref="BK32">IF(AND(BK$2&lt;&gt;0,TblTech[[#This Row],[Hour]:[Hour]]&gt;=BK$2),1,0)</f>
        <v>0</v>
      </c>
      <c r="BL32" s="276" cm="1">
        <f t="array" ref="BL32">IF(AND(BL$2&lt;&gt;0,TblTech[[#This Row],[Hour]:[Hour]]&gt;=BL$2),1,0)</f>
        <v>0</v>
      </c>
      <c r="BM32" s="276" cm="1">
        <f t="array" ref="BM32">IF(AND(BM$2&lt;&gt;0,TblTech[[#This Row],[Hour]:[Hour]]&gt;=BM$2),1,0)</f>
        <v>0</v>
      </c>
      <c r="BN32" s="276" cm="1">
        <f t="array" ref="BN32">IF(AND(BN$2&lt;&gt;0,TblTech[[#This Row],[Hour]:[Hour]]&gt;=BN$2),1,0)</f>
        <v>0</v>
      </c>
      <c r="BO32" s="276" cm="1">
        <f t="array" ref="BO32">IF(AND(BO$2&lt;&gt;0,TblTech[[#This Row],[Hour]:[Hour]]&gt;=BO$2),1,0)</f>
        <v>0</v>
      </c>
      <c r="BP32" s="276" cm="1">
        <f t="array" ref="BP32">IF(AND(BP$2&lt;&gt;0,TblTech[[#This Row],[Hour]:[Hour]]&gt;=BP$2),1,0)</f>
        <v>0</v>
      </c>
      <c r="BQ32" s="276" cm="1">
        <f t="array" ref="BQ32">IF(AND(BQ$2&lt;&gt;0,TblTech[[#This Row],[Hour]:[Hour]]&gt;=BQ$2),1,0)</f>
        <v>0</v>
      </c>
      <c r="BR32" s="276" cm="1">
        <f t="array" ref="BR32">IF(AND(BR$2&lt;&gt;0,TblTech[[#This Row],[Hour]:[Hour]]&gt;=BR$2),1,0)</f>
        <v>0</v>
      </c>
      <c r="BS32" s="276" cm="1">
        <f t="array" ref="BS32">IF(AND(BS$2&lt;&gt;0,TblTech[[#This Row],[Hour]:[Hour]]&gt;=BS$2),1,0)</f>
        <v>0</v>
      </c>
      <c r="BT32" s="276" cm="1">
        <f t="array" ref="BT32">IF(AND(BT$2&lt;&gt;0,TblTech[[#This Row],[Hour]:[Hour]]&gt;=BT$2),1,0)</f>
        <v>0</v>
      </c>
      <c r="BU32" s="276" cm="1">
        <f t="array" ref="BU32">IF(AND(BU$2&lt;&gt;0,TblTech[[#This Row],[Hour]:[Hour]]&gt;=BU$2),1,0)</f>
        <v>0</v>
      </c>
      <c r="BV32" s="276" cm="1">
        <f t="array" ref="BV32">IF(AND(BV$2&lt;&gt;0,TblTech[[#This Row],[Hour]:[Hour]]&gt;=BV$2),1,0)</f>
        <v>0</v>
      </c>
      <c r="BW32" s="276" cm="1">
        <f t="array" ref="BW32">IF(AND(BW$2&lt;&gt;0,TblTech[[#This Row],[Hour]:[Hour]]&gt;=BW$2),1,0)</f>
        <v>0</v>
      </c>
      <c r="BX32" s="276" cm="1">
        <f t="array" ref="BX32">IF(AND(BX$2&lt;&gt;0,TblTech[[#This Row],[Hour]:[Hour]]&gt;=BX$2),1,0)</f>
        <v>0</v>
      </c>
      <c r="BY32" s="276" cm="1">
        <f t="array" ref="BY32">IF(AND(BY$2&lt;&gt;0,TblTech[[#This Row],[Hour]:[Hour]]&gt;=BY$2),1,0)</f>
        <v>0</v>
      </c>
      <c r="BZ32" s="276" cm="1">
        <f t="array" ref="BZ32">IF(AND(BZ$2&lt;&gt;0,TblTech[[#This Row],[Hour]:[Hour]]&gt;=BZ$2),1,0)</f>
        <v>0</v>
      </c>
      <c r="CA32" s="377">
        <f>IFERROR(INDEX($H$4:$H$79,MATCH(INDEX(TblTech[[#Headers],[1-1]:[11-1]],1,MATCH(TblTech[[#This Row],[Hour]],$M$2:$BZ$2,0)),$G$4:$G$79,0)),)</f>
        <v>0</v>
      </c>
    </row>
    <row r="33" spans="1:79" x14ac:dyDescent="0.2">
      <c r="A33" s="268">
        <f>TblRezone[[#This Row],[Hour]]</f>
        <v>30</v>
      </c>
      <c r="B33" s="269">
        <f ca="1">TblExplore[[#This Row],[Land-DB]]</f>
        <v>50</v>
      </c>
      <c r="C33" s="270">
        <f ca="1">TblProd[[#This Row],[Techpoints]]</f>
        <v>0</v>
      </c>
      <c r="D33" s="270">
        <f ca="1">TblProd[[#This Row],[Required]]</f>
        <v>3750</v>
      </c>
      <c r="E33" s="271"/>
      <c r="F33" s="272"/>
      <c r="G33" s="273" t="s">
        <v>573</v>
      </c>
      <c r="H33" s="274" t="s">
        <v>700</v>
      </c>
      <c r="I33" s="273" t="s">
        <v>737</v>
      </c>
      <c r="J33" s="269"/>
      <c r="K33" s="93">
        <f ca="1">IF(TblTech[[#This Row],[Sum of tech]]&lt;&gt;OFFSET(TblTech[[#This Row],[Sum of tech]],-1,0),1,0)</f>
        <v>0</v>
      </c>
      <c r="L33" s="275">
        <f>COUNTIF(TblTech[[#This Row],[1-1]:[11-1]],1)</f>
        <v>0</v>
      </c>
      <c r="M33" s="276" cm="1">
        <f t="array" ref="M33">IF(AND(M$2&lt;&gt;0,TblTech[[#This Row],[Hour]:[Hour]]&gt;=M$2),1,0)</f>
        <v>0</v>
      </c>
      <c r="N33" s="276" cm="1">
        <f t="array" ref="N33">IF(AND(N$2&lt;&gt;0,TblTech[[#This Row],[Hour]:[Hour]]&gt;=N$2),1,0)</f>
        <v>0</v>
      </c>
      <c r="O33" s="276" cm="1">
        <f t="array" ref="O33">IF(AND(O$2&lt;&gt;0,TblTech[[#This Row],[Hour]:[Hour]]&gt;=O$2),1,0)</f>
        <v>0</v>
      </c>
      <c r="P33" s="276" cm="1">
        <f t="array" ref="P33">IF(AND(P$2&lt;&gt;0,TblTech[[#This Row],[Hour]:[Hour]]&gt;=P$2),1,0)</f>
        <v>0</v>
      </c>
      <c r="Q33" s="276" cm="1">
        <f t="array" ref="Q33">IF(AND(Q$2&lt;&gt;0,TblTech[[#This Row],[Hour]:[Hour]]&gt;=Q$2),1,0)</f>
        <v>0</v>
      </c>
      <c r="R33" s="276" cm="1">
        <f t="array" ref="R33">IF(AND(R$2&lt;&gt;0,TblTech[[#This Row],[Hour]:[Hour]]&gt;=R$2),1,0)</f>
        <v>0</v>
      </c>
      <c r="S33" s="276" cm="1">
        <f t="array" ref="S33">IF(AND(S$2&lt;&gt;0,TblTech[[#This Row],[Hour]:[Hour]]&gt;=S$2),1,0)</f>
        <v>0</v>
      </c>
      <c r="T33" s="276" cm="1">
        <f t="array" ref="T33">IF(AND(T$2&lt;&gt;0,TblTech[[#This Row],[Hour]:[Hour]]&gt;=T$2),1,0)</f>
        <v>0</v>
      </c>
      <c r="U33" s="276" cm="1">
        <f t="array" ref="U33">IF(AND(U$2&lt;&gt;0,TblTech[[#This Row],[Hour]:[Hour]]&gt;=U$2),1,0)</f>
        <v>0</v>
      </c>
      <c r="V33" s="276" cm="1">
        <f t="array" ref="V33">IF(AND(V$2&lt;&gt;0,TblTech[[#This Row],[Hour]:[Hour]]&gt;=V$2),1,0)</f>
        <v>0</v>
      </c>
      <c r="W33" s="276" cm="1">
        <f t="array" ref="W33">IF(AND(W$2&lt;&gt;0,TblTech[[#This Row],[Hour]:[Hour]]&gt;=W$2),1,0)</f>
        <v>0</v>
      </c>
      <c r="X33" s="276" cm="1">
        <f t="array" ref="X33">IF(AND(X$2&lt;&gt;0,TblTech[[#This Row],[Hour]:[Hour]]&gt;=X$2),1,0)</f>
        <v>0</v>
      </c>
      <c r="Y33" s="276" cm="1">
        <f t="array" ref="Y33">IF(AND(Y$2&lt;&gt;0,TblTech[[#This Row],[Hour]:[Hour]]&gt;=Y$2),1,0)</f>
        <v>0</v>
      </c>
      <c r="Z33" s="276" cm="1">
        <f t="array" ref="Z33">IF(AND(Z$2&lt;&gt;0,TblTech[[#This Row],[Hour]:[Hour]]&gt;=Z$2),1,0)</f>
        <v>0</v>
      </c>
      <c r="AA33" s="276" cm="1">
        <f t="array" ref="AA33">IF(AND(AA$2&lt;&gt;0,TblTech[[#This Row],[Hour]:[Hour]]&gt;=AA$2),1,0)</f>
        <v>0</v>
      </c>
      <c r="AB33" s="276" cm="1">
        <f t="array" ref="AB33">IF(AND(AB$2&lt;&gt;0,TblTech[[#This Row],[Hour]:[Hour]]&gt;=AB$2),1,0)</f>
        <v>0</v>
      </c>
      <c r="AC33" s="276" cm="1">
        <f t="array" ref="AC33">IF(AND(AC$2&lt;&gt;0,TblTech[[#This Row],[Hour]:[Hour]]&gt;=AC$2),1,0)</f>
        <v>0</v>
      </c>
      <c r="AD33" s="276" cm="1">
        <f t="array" ref="AD33">IF(AND(AD$2&lt;&gt;0,TblTech[[#This Row],[Hour]:[Hour]]&gt;=AD$2),1,0)</f>
        <v>0</v>
      </c>
      <c r="AE33" s="276" cm="1">
        <f t="array" ref="AE33">IF(AND(AE$2&lt;&gt;0,TblTech[[#This Row],[Hour]:[Hour]]&gt;=AE$2),1,0)</f>
        <v>0</v>
      </c>
      <c r="AF33" s="276" cm="1">
        <f t="array" ref="AF33">IF(AND(AF$2&lt;&gt;0,TblTech[[#This Row],[Hour]:[Hour]]&gt;=AF$2),1,0)</f>
        <v>0</v>
      </c>
      <c r="AG33" s="276" cm="1">
        <f t="array" ref="AG33">IF(AND(AG$2&lt;&gt;0,TblTech[[#This Row],[Hour]:[Hour]]&gt;=AG$2),1,0)</f>
        <v>0</v>
      </c>
      <c r="AH33" s="276" cm="1">
        <f t="array" ref="AH33">IF(AND(AH$2&lt;&gt;0,TblTech[[#This Row],[Hour]:[Hour]]&gt;=AH$2),1,0)</f>
        <v>0</v>
      </c>
      <c r="AI33" s="276" cm="1">
        <f t="array" ref="AI33">IF(AND(AI$2&lt;&gt;0,TblTech[[#This Row],[Hour]:[Hour]]&gt;=AI$2),1,0)</f>
        <v>0</v>
      </c>
      <c r="AJ33" s="276" cm="1">
        <f t="array" ref="AJ33">IF(AND(AJ$2&lt;&gt;0,TblTech[[#This Row],[Hour]:[Hour]]&gt;=AJ$2),1,0)</f>
        <v>0</v>
      </c>
      <c r="AK33" s="276" cm="1">
        <f t="array" ref="AK33">IF(AND(AK$2&lt;&gt;0,TblTech[[#This Row],[Hour]:[Hour]]&gt;=AK$2),1,0)</f>
        <v>0</v>
      </c>
      <c r="AL33" s="276" cm="1">
        <f t="array" ref="AL33">IF(AND(AL$2&lt;&gt;0,TblTech[[#This Row],[Hour]:[Hour]]&gt;=AL$2),1,0)</f>
        <v>0</v>
      </c>
      <c r="AM33" s="276" cm="1">
        <f t="array" ref="AM33">IF(AND(AM$2&lt;&gt;0,TblTech[[#This Row],[Hour]:[Hour]]&gt;=AM$2),1,0)</f>
        <v>0</v>
      </c>
      <c r="AN33" s="276" cm="1">
        <f t="array" ref="AN33">IF(AND(AN$2&lt;&gt;0,TblTech[[#This Row],[Hour]:[Hour]]&gt;=AN$2),1,0)</f>
        <v>0</v>
      </c>
      <c r="AO33" s="276" cm="1">
        <f t="array" ref="AO33">IF(AND(AO$2&lt;&gt;0,TblTech[[#This Row],[Hour]:[Hour]]&gt;=AO$2),1,0)</f>
        <v>0</v>
      </c>
      <c r="AP33" s="276" cm="1">
        <f t="array" ref="AP33">IF(AND(AP$2&lt;&gt;0,TblTech[[#This Row],[Hour]:[Hour]]&gt;=AP$2),1,0)</f>
        <v>0</v>
      </c>
      <c r="AQ33" s="276" cm="1">
        <f t="array" ref="AQ33">IF(AND(AQ$2&lt;&gt;0,TblTech[[#This Row],[Hour]:[Hour]]&gt;=AQ$2),1,0)</f>
        <v>0</v>
      </c>
      <c r="AR33" s="276" cm="1">
        <f t="array" ref="AR33">IF(AND(AR$2&lt;&gt;0,TblTech[[#This Row],[Hour]:[Hour]]&gt;=AR$2),1,0)</f>
        <v>0</v>
      </c>
      <c r="AS33" s="276" cm="1">
        <f t="array" ref="AS33">IF(AND(AS$2&lt;&gt;0,TblTech[[#This Row],[Hour]:[Hour]]&gt;=AS$2),1,0)</f>
        <v>0</v>
      </c>
      <c r="AT33" s="276" cm="1">
        <f t="array" ref="AT33">IF(AND(AT$2&lt;&gt;0,TblTech[[#This Row],[Hour]:[Hour]]&gt;=AT$2),1,0)</f>
        <v>0</v>
      </c>
      <c r="AU33" s="276" cm="1">
        <f t="array" ref="AU33">IF(AND(AU$2&lt;&gt;0,TblTech[[#This Row],[Hour]:[Hour]]&gt;=AU$2),1,0)</f>
        <v>0</v>
      </c>
      <c r="AV33" s="276" cm="1">
        <f t="array" ref="AV33">IF(AND(AV$2&lt;&gt;0,TblTech[[#This Row],[Hour]:[Hour]]&gt;=AV$2),1,0)</f>
        <v>0</v>
      </c>
      <c r="AW33" s="276" cm="1">
        <f t="array" ref="AW33">IF(AND(AW$2&lt;&gt;0,TblTech[[#This Row],[Hour]:[Hour]]&gt;=AW$2),1,0)</f>
        <v>0</v>
      </c>
      <c r="AX33" s="276" cm="1">
        <f t="array" ref="AX33">IF(AND(AX$2&lt;&gt;0,TblTech[[#This Row],[Hour]:[Hour]]&gt;=AX$2),1,0)</f>
        <v>0</v>
      </c>
      <c r="AY33" s="276" cm="1">
        <f t="array" ref="AY33">IF(AND(AY$2&lt;&gt;0,TblTech[[#This Row],[Hour]:[Hour]]&gt;=AY$2),1,0)</f>
        <v>0</v>
      </c>
      <c r="AZ33" s="276" cm="1">
        <f t="array" ref="AZ33">IF(AND(AZ$2&lt;&gt;0,TblTech[[#This Row],[Hour]:[Hour]]&gt;=AZ$2),1,0)</f>
        <v>0</v>
      </c>
      <c r="BA33" s="276" cm="1">
        <f t="array" ref="BA33">IF(AND(BA$2&lt;&gt;0,TblTech[[#This Row],[Hour]:[Hour]]&gt;=BA$2),1,0)</f>
        <v>0</v>
      </c>
      <c r="BB33" s="276" cm="1">
        <f t="array" ref="BB33">IF(AND(BB$2&lt;&gt;0,TblTech[[#This Row],[Hour]:[Hour]]&gt;=BB$2),1,0)</f>
        <v>0</v>
      </c>
      <c r="BC33" s="276" cm="1">
        <f t="array" ref="BC33">IF(AND(BC$2&lt;&gt;0,TblTech[[#This Row],[Hour]:[Hour]]&gt;=BC$2),1,0)</f>
        <v>0</v>
      </c>
      <c r="BD33" s="276" cm="1">
        <f t="array" ref="BD33">IF(AND(BD$2&lt;&gt;0,TblTech[[#This Row],[Hour]:[Hour]]&gt;=BD$2),1,0)</f>
        <v>0</v>
      </c>
      <c r="BE33" s="276" cm="1">
        <f t="array" ref="BE33">IF(AND(BE$2&lt;&gt;0,TblTech[[#This Row],[Hour]:[Hour]]&gt;=BE$2),1,0)</f>
        <v>0</v>
      </c>
      <c r="BF33" s="276" cm="1">
        <f t="array" ref="BF33">IF(AND(BF$2&lt;&gt;0,TblTech[[#This Row],[Hour]:[Hour]]&gt;=BF$2),1,0)</f>
        <v>0</v>
      </c>
      <c r="BG33" s="276" cm="1">
        <f t="array" ref="BG33">IF(AND(BG$2&lt;&gt;0,TblTech[[#This Row],[Hour]:[Hour]]&gt;=BG$2),1,0)</f>
        <v>0</v>
      </c>
      <c r="BH33" s="276" cm="1">
        <f t="array" ref="BH33">IF(AND(BH$2&lt;&gt;0,TblTech[[#This Row],[Hour]:[Hour]]&gt;=BH$2),1,0)</f>
        <v>0</v>
      </c>
      <c r="BI33" s="276" cm="1">
        <f t="array" ref="BI33">IF(AND(BI$2&lt;&gt;0,TblTech[[#This Row],[Hour]:[Hour]]&gt;=BI$2),1,0)</f>
        <v>0</v>
      </c>
      <c r="BJ33" s="276" cm="1">
        <f t="array" ref="BJ33">IF(AND(BJ$2&lt;&gt;0,TblTech[[#This Row],[Hour]:[Hour]]&gt;=BJ$2),1,0)</f>
        <v>0</v>
      </c>
      <c r="BK33" s="276" cm="1">
        <f t="array" ref="BK33">IF(AND(BK$2&lt;&gt;0,TblTech[[#This Row],[Hour]:[Hour]]&gt;=BK$2),1,0)</f>
        <v>0</v>
      </c>
      <c r="BL33" s="276" cm="1">
        <f t="array" ref="BL33">IF(AND(BL$2&lt;&gt;0,TblTech[[#This Row],[Hour]:[Hour]]&gt;=BL$2),1,0)</f>
        <v>0</v>
      </c>
      <c r="BM33" s="276" cm="1">
        <f t="array" ref="BM33">IF(AND(BM$2&lt;&gt;0,TblTech[[#This Row],[Hour]:[Hour]]&gt;=BM$2),1,0)</f>
        <v>0</v>
      </c>
      <c r="BN33" s="276" cm="1">
        <f t="array" ref="BN33">IF(AND(BN$2&lt;&gt;0,TblTech[[#This Row],[Hour]:[Hour]]&gt;=BN$2),1,0)</f>
        <v>0</v>
      </c>
      <c r="BO33" s="276" cm="1">
        <f t="array" ref="BO33">IF(AND(BO$2&lt;&gt;0,TblTech[[#This Row],[Hour]:[Hour]]&gt;=BO$2),1,0)</f>
        <v>0</v>
      </c>
      <c r="BP33" s="276" cm="1">
        <f t="array" ref="BP33">IF(AND(BP$2&lt;&gt;0,TblTech[[#This Row],[Hour]:[Hour]]&gt;=BP$2),1,0)</f>
        <v>0</v>
      </c>
      <c r="BQ33" s="276" cm="1">
        <f t="array" ref="BQ33">IF(AND(BQ$2&lt;&gt;0,TblTech[[#This Row],[Hour]:[Hour]]&gt;=BQ$2),1,0)</f>
        <v>0</v>
      </c>
      <c r="BR33" s="276" cm="1">
        <f t="array" ref="BR33">IF(AND(BR$2&lt;&gt;0,TblTech[[#This Row],[Hour]:[Hour]]&gt;=BR$2),1,0)</f>
        <v>0</v>
      </c>
      <c r="BS33" s="276" cm="1">
        <f t="array" ref="BS33">IF(AND(BS$2&lt;&gt;0,TblTech[[#This Row],[Hour]:[Hour]]&gt;=BS$2),1,0)</f>
        <v>0</v>
      </c>
      <c r="BT33" s="276" cm="1">
        <f t="array" ref="BT33">IF(AND(BT$2&lt;&gt;0,TblTech[[#This Row],[Hour]:[Hour]]&gt;=BT$2),1,0)</f>
        <v>0</v>
      </c>
      <c r="BU33" s="276" cm="1">
        <f t="array" ref="BU33">IF(AND(BU$2&lt;&gt;0,TblTech[[#This Row],[Hour]:[Hour]]&gt;=BU$2),1,0)</f>
        <v>0</v>
      </c>
      <c r="BV33" s="276" cm="1">
        <f t="array" ref="BV33">IF(AND(BV$2&lt;&gt;0,TblTech[[#This Row],[Hour]:[Hour]]&gt;=BV$2),1,0)</f>
        <v>0</v>
      </c>
      <c r="BW33" s="276" cm="1">
        <f t="array" ref="BW33">IF(AND(BW$2&lt;&gt;0,TblTech[[#This Row],[Hour]:[Hour]]&gt;=BW$2),1,0)</f>
        <v>0</v>
      </c>
      <c r="BX33" s="276" cm="1">
        <f t="array" ref="BX33">IF(AND(BX$2&lt;&gt;0,TblTech[[#This Row],[Hour]:[Hour]]&gt;=BX$2),1,0)</f>
        <v>0</v>
      </c>
      <c r="BY33" s="276" cm="1">
        <f t="array" ref="BY33">IF(AND(BY$2&lt;&gt;0,TblTech[[#This Row],[Hour]:[Hour]]&gt;=BY$2),1,0)</f>
        <v>0</v>
      </c>
      <c r="BZ33" s="276" cm="1">
        <f t="array" ref="BZ33">IF(AND(BZ$2&lt;&gt;0,TblTech[[#This Row],[Hour]:[Hour]]&gt;=BZ$2),1,0)</f>
        <v>0</v>
      </c>
      <c r="CA33" s="377">
        <f>IFERROR(INDEX($H$4:$H$79,MATCH(INDEX(TblTech[[#Headers],[1-1]:[11-1]],1,MATCH(TblTech[[#This Row],[Hour]],$M$2:$BZ$2,0)),$G$4:$G$79,0)),)</f>
        <v>0</v>
      </c>
    </row>
    <row r="34" spans="1:79" x14ac:dyDescent="0.2">
      <c r="A34" s="268">
        <f>TblRezone[[#This Row],[Hour]]</f>
        <v>31</v>
      </c>
      <c r="B34" s="269">
        <f ca="1">TblExplore[[#This Row],[Land-DB]]</f>
        <v>50</v>
      </c>
      <c r="C34" s="270">
        <f ca="1">TblProd[[#This Row],[Techpoints]]</f>
        <v>0</v>
      </c>
      <c r="D34" s="270">
        <f ca="1">TblProd[[#This Row],[Required]]</f>
        <v>3750</v>
      </c>
      <c r="E34" s="271"/>
      <c r="F34" s="272"/>
      <c r="G34" s="273" t="s">
        <v>574</v>
      </c>
      <c r="H34" s="274" t="s">
        <v>1111</v>
      </c>
      <c r="I34" s="273" t="s">
        <v>1112</v>
      </c>
      <c r="J34" s="269"/>
      <c r="K34" s="93">
        <f ca="1">IF(TblTech[[#This Row],[Sum of tech]]&lt;&gt;OFFSET(TblTech[[#This Row],[Sum of tech]],-1,0),1,0)</f>
        <v>0</v>
      </c>
      <c r="L34" s="275">
        <f>COUNTIF(TblTech[[#This Row],[1-1]:[11-1]],1)</f>
        <v>0</v>
      </c>
      <c r="M34" s="276" cm="1">
        <f t="array" ref="M34">IF(AND(M$2&lt;&gt;0,TblTech[[#This Row],[Hour]:[Hour]]&gt;=M$2),1,0)</f>
        <v>0</v>
      </c>
      <c r="N34" s="276" cm="1">
        <f t="array" ref="N34">IF(AND(N$2&lt;&gt;0,TblTech[[#This Row],[Hour]:[Hour]]&gt;=N$2),1,0)</f>
        <v>0</v>
      </c>
      <c r="O34" s="276" cm="1">
        <f t="array" ref="O34">IF(AND(O$2&lt;&gt;0,TblTech[[#This Row],[Hour]:[Hour]]&gt;=O$2),1,0)</f>
        <v>0</v>
      </c>
      <c r="P34" s="276" cm="1">
        <f t="array" ref="P34">IF(AND(P$2&lt;&gt;0,TblTech[[#This Row],[Hour]:[Hour]]&gt;=P$2),1,0)</f>
        <v>0</v>
      </c>
      <c r="Q34" s="276" cm="1">
        <f t="array" ref="Q34">IF(AND(Q$2&lt;&gt;0,TblTech[[#This Row],[Hour]:[Hour]]&gt;=Q$2),1,0)</f>
        <v>0</v>
      </c>
      <c r="R34" s="276" cm="1">
        <f t="array" ref="R34">IF(AND(R$2&lt;&gt;0,TblTech[[#This Row],[Hour]:[Hour]]&gt;=R$2),1,0)</f>
        <v>0</v>
      </c>
      <c r="S34" s="276" cm="1">
        <f t="array" ref="S34">IF(AND(S$2&lt;&gt;0,TblTech[[#This Row],[Hour]:[Hour]]&gt;=S$2),1,0)</f>
        <v>0</v>
      </c>
      <c r="T34" s="276" cm="1">
        <f t="array" ref="T34">IF(AND(T$2&lt;&gt;0,TblTech[[#This Row],[Hour]:[Hour]]&gt;=T$2),1,0)</f>
        <v>0</v>
      </c>
      <c r="U34" s="276" cm="1">
        <f t="array" ref="U34">IF(AND(U$2&lt;&gt;0,TblTech[[#This Row],[Hour]:[Hour]]&gt;=U$2),1,0)</f>
        <v>0</v>
      </c>
      <c r="V34" s="276" cm="1">
        <f t="array" ref="V34">IF(AND(V$2&lt;&gt;0,TblTech[[#This Row],[Hour]:[Hour]]&gt;=V$2),1,0)</f>
        <v>0</v>
      </c>
      <c r="W34" s="276" cm="1">
        <f t="array" ref="W34">IF(AND(W$2&lt;&gt;0,TblTech[[#This Row],[Hour]:[Hour]]&gt;=W$2),1,0)</f>
        <v>0</v>
      </c>
      <c r="X34" s="276" cm="1">
        <f t="array" ref="X34">IF(AND(X$2&lt;&gt;0,TblTech[[#This Row],[Hour]:[Hour]]&gt;=X$2),1,0)</f>
        <v>0</v>
      </c>
      <c r="Y34" s="276" cm="1">
        <f t="array" ref="Y34">IF(AND(Y$2&lt;&gt;0,TblTech[[#This Row],[Hour]:[Hour]]&gt;=Y$2),1,0)</f>
        <v>0</v>
      </c>
      <c r="Z34" s="276" cm="1">
        <f t="array" ref="Z34">IF(AND(Z$2&lt;&gt;0,TblTech[[#This Row],[Hour]:[Hour]]&gt;=Z$2),1,0)</f>
        <v>0</v>
      </c>
      <c r="AA34" s="276" cm="1">
        <f t="array" ref="AA34">IF(AND(AA$2&lt;&gt;0,TblTech[[#This Row],[Hour]:[Hour]]&gt;=AA$2),1,0)</f>
        <v>0</v>
      </c>
      <c r="AB34" s="276" cm="1">
        <f t="array" ref="AB34">IF(AND(AB$2&lt;&gt;0,TblTech[[#This Row],[Hour]:[Hour]]&gt;=AB$2),1,0)</f>
        <v>0</v>
      </c>
      <c r="AC34" s="276" cm="1">
        <f t="array" ref="AC34">IF(AND(AC$2&lt;&gt;0,TblTech[[#This Row],[Hour]:[Hour]]&gt;=AC$2),1,0)</f>
        <v>0</v>
      </c>
      <c r="AD34" s="276" cm="1">
        <f t="array" ref="AD34">IF(AND(AD$2&lt;&gt;0,TblTech[[#This Row],[Hour]:[Hour]]&gt;=AD$2),1,0)</f>
        <v>0</v>
      </c>
      <c r="AE34" s="276" cm="1">
        <f t="array" ref="AE34">IF(AND(AE$2&lt;&gt;0,TblTech[[#This Row],[Hour]:[Hour]]&gt;=AE$2),1,0)</f>
        <v>0</v>
      </c>
      <c r="AF34" s="276" cm="1">
        <f t="array" ref="AF34">IF(AND(AF$2&lt;&gt;0,TblTech[[#This Row],[Hour]:[Hour]]&gt;=AF$2),1,0)</f>
        <v>0</v>
      </c>
      <c r="AG34" s="276" cm="1">
        <f t="array" ref="AG34">IF(AND(AG$2&lt;&gt;0,TblTech[[#This Row],[Hour]:[Hour]]&gt;=AG$2),1,0)</f>
        <v>0</v>
      </c>
      <c r="AH34" s="276" cm="1">
        <f t="array" ref="AH34">IF(AND(AH$2&lt;&gt;0,TblTech[[#This Row],[Hour]:[Hour]]&gt;=AH$2),1,0)</f>
        <v>0</v>
      </c>
      <c r="AI34" s="276" cm="1">
        <f t="array" ref="AI34">IF(AND(AI$2&lt;&gt;0,TblTech[[#This Row],[Hour]:[Hour]]&gt;=AI$2),1,0)</f>
        <v>0</v>
      </c>
      <c r="AJ34" s="276" cm="1">
        <f t="array" ref="AJ34">IF(AND(AJ$2&lt;&gt;0,TblTech[[#This Row],[Hour]:[Hour]]&gt;=AJ$2),1,0)</f>
        <v>0</v>
      </c>
      <c r="AK34" s="276" cm="1">
        <f t="array" ref="AK34">IF(AND(AK$2&lt;&gt;0,TblTech[[#This Row],[Hour]:[Hour]]&gt;=AK$2),1,0)</f>
        <v>0</v>
      </c>
      <c r="AL34" s="276" cm="1">
        <f t="array" ref="AL34">IF(AND(AL$2&lt;&gt;0,TblTech[[#This Row],[Hour]:[Hour]]&gt;=AL$2),1,0)</f>
        <v>0</v>
      </c>
      <c r="AM34" s="276" cm="1">
        <f t="array" ref="AM34">IF(AND(AM$2&lt;&gt;0,TblTech[[#This Row],[Hour]:[Hour]]&gt;=AM$2),1,0)</f>
        <v>0</v>
      </c>
      <c r="AN34" s="276" cm="1">
        <f t="array" ref="AN34">IF(AND(AN$2&lt;&gt;0,TblTech[[#This Row],[Hour]:[Hour]]&gt;=AN$2),1,0)</f>
        <v>0</v>
      </c>
      <c r="AO34" s="276" cm="1">
        <f t="array" ref="AO34">IF(AND(AO$2&lt;&gt;0,TblTech[[#This Row],[Hour]:[Hour]]&gt;=AO$2),1,0)</f>
        <v>0</v>
      </c>
      <c r="AP34" s="276" cm="1">
        <f t="array" ref="AP34">IF(AND(AP$2&lt;&gt;0,TblTech[[#This Row],[Hour]:[Hour]]&gt;=AP$2),1,0)</f>
        <v>0</v>
      </c>
      <c r="AQ34" s="276" cm="1">
        <f t="array" ref="AQ34">IF(AND(AQ$2&lt;&gt;0,TblTech[[#This Row],[Hour]:[Hour]]&gt;=AQ$2),1,0)</f>
        <v>0</v>
      </c>
      <c r="AR34" s="276" cm="1">
        <f t="array" ref="AR34">IF(AND(AR$2&lt;&gt;0,TblTech[[#This Row],[Hour]:[Hour]]&gt;=AR$2),1,0)</f>
        <v>0</v>
      </c>
      <c r="AS34" s="276" cm="1">
        <f t="array" ref="AS34">IF(AND(AS$2&lt;&gt;0,TblTech[[#This Row],[Hour]:[Hour]]&gt;=AS$2),1,0)</f>
        <v>0</v>
      </c>
      <c r="AT34" s="276" cm="1">
        <f t="array" ref="AT34">IF(AND(AT$2&lt;&gt;0,TblTech[[#This Row],[Hour]:[Hour]]&gt;=AT$2),1,0)</f>
        <v>0</v>
      </c>
      <c r="AU34" s="276" cm="1">
        <f t="array" ref="AU34">IF(AND(AU$2&lt;&gt;0,TblTech[[#This Row],[Hour]:[Hour]]&gt;=AU$2),1,0)</f>
        <v>0</v>
      </c>
      <c r="AV34" s="276" cm="1">
        <f t="array" ref="AV34">IF(AND(AV$2&lt;&gt;0,TblTech[[#This Row],[Hour]:[Hour]]&gt;=AV$2),1,0)</f>
        <v>0</v>
      </c>
      <c r="AW34" s="276" cm="1">
        <f t="array" ref="AW34">IF(AND(AW$2&lt;&gt;0,TblTech[[#This Row],[Hour]:[Hour]]&gt;=AW$2),1,0)</f>
        <v>0</v>
      </c>
      <c r="AX34" s="276" cm="1">
        <f t="array" ref="AX34">IF(AND(AX$2&lt;&gt;0,TblTech[[#This Row],[Hour]:[Hour]]&gt;=AX$2),1,0)</f>
        <v>0</v>
      </c>
      <c r="AY34" s="276" cm="1">
        <f t="array" ref="AY34">IF(AND(AY$2&lt;&gt;0,TblTech[[#This Row],[Hour]:[Hour]]&gt;=AY$2),1,0)</f>
        <v>0</v>
      </c>
      <c r="AZ34" s="276" cm="1">
        <f t="array" ref="AZ34">IF(AND(AZ$2&lt;&gt;0,TblTech[[#This Row],[Hour]:[Hour]]&gt;=AZ$2),1,0)</f>
        <v>0</v>
      </c>
      <c r="BA34" s="276" cm="1">
        <f t="array" ref="BA34">IF(AND(BA$2&lt;&gt;0,TblTech[[#This Row],[Hour]:[Hour]]&gt;=BA$2),1,0)</f>
        <v>0</v>
      </c>
      <c r="BB34" s="276" cm="1">
        <f t="array" ref="BB34">IF(AND(BB$2&lt;&gt;0,TblTech[[#This Row],[Hour]:[Hour]]&gt;=BB$2),1,0)</f>
        <v>0</v>
      </c>
      <c r="BC34" s="276" cm="1">
        <f t="array" ref="BC34">IF(AND(BC$2&lt;&gt;0,TblTech[[#This Row],[Hour]:[Hour]]&gt;=BC$2),1,0)</f>
        <v>0</v>
      </c>
      <c r="BD34" s="276" cm="1">
        <f t="array" ref="BD34">IF(AND(BD$2&lt;&gt;0,TblTech[[#This Row],[Hour]:[Hour]]&gt;=BD$2),1,0)</f>
        <v>0</v>
      </c>
      <c r="BE34" s="276" cm="1">
        <f t="array" ref="BE34">IF(AND(BE$2&lt;&gt;0,TblTech[[#This Row],[Hour]:[Hour]]&gt;=BE$2),1,0)</f>
        <v>0</v>
      </c>
      <c r="BF34" s="276" cm="1">
        <f t="array" ref="BF34">IF(AND(BF$2&lt;&gt;0,TblTech[[#This Row],[Hour]:[Hour]]&gt;=BF$2),1,0)</f>
        <v>0</v>
      </c>
      <c r="BG34" s="276" cm="1">
        <f t="array" ref="BG34">IF(AND(BG$2&lt;&gt;0,TblTech[[#This Row],[Hour]:[Hour]]&gt;=BG$2),1,0)</f>
        <v>0</v>
      </c>
      <c r="BH34" s="276" cm="1">
        <f t="array" ref="BH34">IF(AND(BH$2&lt;&gt;0,TblTech[[#This Row],[Hour]:[Hour]]&gt;=BH$2),1,0)</f>
        <v>0</v>
      </c>
      <c r="BI34" s="276" cm="1">
        <f t="array" ref="BI34">IF(AND(BI$2&lt;&gt;0,TblTech[[#This Row],[Hour]:[Hour]]&gt;=BI$2),1,0)</f>
        <v>0</v>
      </c>
      <c r="BJ34" s="276" cm="1">
        <f t="array" ref="BJ34">IF(AND(BJ$2&lt;&gt;0,TblTech[[#This Row],[Hour]:[Hour]]&gt;=BJ$2),1,0)</f>
        <v>0</v>
      </c>
      <c r="BK34" s="276" cm="1">
        <f t="array" ref="BK34">IF(AND(BK$2&lt;&gt;0,TblTech[[#This Row],[Hour]:[Hour]]&gt;=BK$2),1,0)</f>
        <v>0</v>
      </c>
      <c r="BL34" s="276" cm="1">
        <f t="array" ref="BL34">IF(AND(BL$2&lt;&gt;0,TblTech[[#This Row],[Hour]:[Hour]]&gt;=BL$2),1,0)</f>
        <v>0</v>
      </c>
      <c r="BM34" s="276" cm="1">
        <f t="array" ref="BM34">IF(AND(BM$2&lt;&gt;0,TblTech[[#This Row],[Hour]:[Hour]]&gt;=BM$2),1,0)</f>
        <v>0</v>
      </c>
      <c r="BN34" s="276" cm="1">
        <f t="array" ref="BN34">IF(AND(BN$2&lt;&gt;0,TblTech[[#This Row],[Hour]:[Hour]]&gt;=BN$2),1,0)</f>
        <v>0</v>
      </c>
      <c r="BO34" s="276" cm="1">
        <f t="array" ref="BO34">IF(AND(BO$2&lt;&gt;0,TblTech[[#This Row],[Hour]:[Hour]]&gt;=BO$2),1,0)</f>
        <v>0</v>
      </c>
      <c r="BP34" s="276" cm="1">
        <f t="array" ref="BP34">IF(AND(BP$2&lt;&gt;0,TblTech[[#This Row],[Hour]:[Hour]]&gt;=BP$2),1,0)</f>
        <v>0</v>
      </c>
      <c r="BQ34" s="276" cm="1">
        <f t="array" ref="BQ34">IF(AND(BQ$2&lt;&gt;0,TblTech[[#This Row],[Hour]:[Hour]]&gt;=BQ$2),1,0)</f>
        <v>0</v>
      </c>
      <c r="BR34" s="276" cm="1">
        <f t="array" ref="BR34">IF(AND(BR$2&lt;&gt;0,TblTech[[#This Row],[Hour]:[Hour]]&gt;=BR$2),1,0)</f>
        <v>0</v>
      </c>
      <c r="BS34" s="276" cm="1">
        <f t="array" ref="BS34">IF(AND(BS$2&lt;&gt;0,TblTech[[#This Row],[Hour]:[Hour]]&gt;=BS$2),1,0)</f>
        <v>0</v>
      </c>
      <c r="BT34" s="276" cm="1">
        <f t="array" ref="BT34">IF(AND(BT$2&lt;&gt;0,TblTech[[#This Row],[Hour]:[Hour]]&gt;=BT$2),1,0)</f>
        <v>0</v>
      </c>
      <c r="BU34" s="276" cm="1">
        <f t="array" ref="BU34">IF(AND(BU$2&lt;&gt;0,TblTech[[#This Row],[Hour]:[Hour]]&gt;=BU$2),1,0)</f>
        <v>0</v>
      </c>
      <c r="BV34" s="276" cm="1">
        <f t="array" ref="BV34">IF(AND(BV$2&lt;&gt;0,TblTech[[#This Row],[Hour]:[Hour]]&gt;=BV$2),1,0)</f>
        <v>0</v>
      </c>
      <c r="BW34" s="276" cm="1">
        <f t="array" ref="BW34">IF(AND(BW$2&lt;&gt;0,TblTech[[#This Row],[Hour]:[Hour]]&gt;=BW$2),1,0)</f>
        <v>0</v>
      </c>
      <c r="BX34" s="276" cm="1">
        <f t="array" ref="BX34">IF(AND(BX$2&lt;&gt;0,TblTech[[#This Row],[Hour]:[Hour]]&gt;=BX$2),1,0)</f>
        <v>0</v>
      </c>
      <c r="BY34" s="276" cm="1">
        <f t="array" ref="BY34">IF(AND(BY$2&lt;&gt;0,TblTech[[#This Row],[Hour]:[Hour]]&gt;=BY$2),1,0)</f>
        <v>0</v>
      </c>
      <c r="BZ34" s="276" cm="1">
        <f t="array" ref="BZ34">IF(AND(BZ$2&lt;&gt;0,TblTech[[#This Row],[Hour]:[Hour]]&gt;=BZ$2),1,0)</f>
        <v>0</v>
      </c>
      <c r="CA34" s="377">
        <f>IFERROR(INDEX($H$4:$H$79,MATCH(INDEX(TblTech[[#Headers],[1-1]:[11-1]],1,MATCH(TblTech[[#This Row],[Hour]],$M$2:$BZ$2,0)),$G$4:$G$79,0)),)</f>
        <v>0</v>
      </c>
    </row>
    <row r="35" spans="1:79" x14ac:dyDescent="0.2">
      <c r="A35" s="268">
        <f>TblRezone[[#This Row],[Hour]]</f>
        <v>32</v>
      </c>
      <c r="B35" s="269">
        <f ca="1">TblExplore[[#This Row],[Land-DB]]</f>
        <v>50</v>
      </c>
      <c r="C35" s="270">
        <f ca="1">TblProd[[#This Row],[Techpoints]]</f>
        <v>0</v>
      </c>
      <c r="D35" s="270">
        <f ca="1">TblProd[[#This Row],[Required]]</f>
        <v>3750</v>
      </c>
      <c r="E35" s="271"/>
      <c r="F35" s="272"/>
      <c r="G35" s="273" t="s">
        <v>575</v>
      </c>
      <c r="H35" s="274" t="s">
        <v>685</v>
      </c>
      <c r="I35" s="273" t="s">
        <v>549</v>
      </c>
      <c r="J35" s="269"/>
      <c r="K35" s="93">
        <f ca="1">IF(TblTech[[#This Row],[Sum of tech]]&lt;&gt;OFFSET(TblTech[[#This Row],[Sum of tech]],-1,0),1,0)</f>
        <v>0</v>
      </c>
      <c r="L35" s="275">
        <f>COUNTIF(TblTech[[#This Row],[1-1]:[11-1]],1)</f>
        <v>0</v>
      </c>
      <c r="M35" s="276" cm="1">
        <f t="array" ref="M35">IF(AND(M$2&lt;&gt;0,TblTech[[#This Row],[Hour]:[Hour]]&gt;=M$2),1,0)</f>
        <v>0</v>
      </c>
      <c r="N35" s="276" cm="1">
        <f t="array" ref="N35">IF(AND(N$2&lt;&gt;0,TblTech[[#This Row],[Hour]:[Hour]]&gt;=N$2),1,0)</f>
        <v>0</v>
      </c>
      <c r="O35" s="276" cm="1">
        <f t="array" ref="O35">IF(AND(O$2&lt;&gt;0,TblTech[[#This Row],[Hour]:[Hour]]&gt;=O$2),1,0)</f>
        <v>0</v>
      </c>
      <c r="P35" s="276" cm="1">
        <f t="array" ref="P35">IF(AND(P$2&lt;&gt;0,TblTech[[#This Row],[Hour]:[Hour]]&gt;=P$2),1,0)</f>
        <v>0</v>
      </c>
      <c r="Q35" s="276" cm="1">
        <f t="array" ref="Q35">IF(AND(Q$2&lt;&gt;0,TblTech[[#This Row],[Hour]:[Hour]]&gt;=Q$2),1,0)</f>
        <v>0</v>
      </c>
      <c r="R35" s="276" cm="1">
        <f t="array" ref="R35">IF(AND(R$2&lt;&gt;0,TblTech[[#This Row],[Hour]:[Hour]]&gt;=R$2),1,0)</f>
        <v>0</v>
      </c>
      <c r="S35" s="276" cm="1">
        <f t="array" ref="S35">IF(AND(S$2&lt;&gt;0,TblTech[[#This Row],[Hour]:[Hour]]&gt;=S$2),1,0)</f>
        <v>0</v>
      </c>
      <c r="T35" s="276" cm="1">
        <f t="array" ref="T35">IF(AND(T$2&lt;&gt;0,TblTech[[#This Row],[Hour]:[Hour]]&gt;=T$2),1,0)</f>
        <v>0</v>
      </c>
      <c r="U35" s="276" cm="1">
        <f t="array" ref="U35">IF(AND(U$2&lt;&gt;0,TblTech[[#This Row],[Hour]:[Hour]]&gt;=U$2),1,0)</f>
        <v>0</v>
      </c>
      <c r="V35" s="276" cm="1">
        <f t="array" ref="V35">IF(AND(V$2&lt;&gt;0,TblTech[[#This Row],[Hour]:[Hour]]&gt;=V$2),1,0)</f>
        <v>0</v>
      </c>
      <c r="W35" s="276" cm="1">
        <f t="array" ref="W35">IF(AND(W$2&lt;&gt;0,TblTech[[#This Row],[Hour]:[Hour]]&gt;=W$2),1,0)</f>
        <v>0</v>
      </c>
      <c r="X35" s="276" cm="1">
        <f t="array" ref="X35">IF(AND(X$2&lt;&gt;0,TblTech[[#This Row],[Hour]:[Hour]]&gt;=X$2),1,0)</f>
        <v>0</v>
      </c>
      <c r="Y35" s="276" cm="1">
        <f t="array" ref="Y35">IF(AND(Y$2&lt;&gt;0,TblTech[[#This Row],[Hour]:[Hour]]&gt;=Y$2),1,0)</f>
        <v>0</v>
      </c>
      <c r="Z35" s="276" cm="1">
        <f t="array" ref="Z35">IF(AND(Z$2&lt;&gt;0,TblTech[[#This Row],[Hour]:[Hour]]&gt;=Z$2),1,0)</f>
        <v>0</v>
      </c>
      <c r="AA35" s="276" cm="1">
        <f t="array" ref="AA35">IF(AND(AA$2&lt;&gt;0,TblTech[[#This Row],[Hour]:[Hour]]&gt;=AA$2),1,0)</f>
        <v>0</v>
      </c>
      <c r="AB35" s="276" cm="1">
        <f t="array" ref="AB35">IF(AND(AB$2&lt;&gt;0,TblTech[[#This Row],[Hour]:[Hour]]&gt;=AB$2),1,0)</f>
        <v>0</v>
      </c>
      <c r="AC35" s="276" cm="1">
        <f t="array" ref="AC35">IF(AND(AC$2&lt;&gt;0,TblTech[[#This Row],[Hour]:[Hour]]&gt;=AC$2),1,0)</f>
        <v>0</v>
      </c>
      <c r="AD35" s="276" cm="1">
        <f t="array" ref="AD35">IF(AND(AD$2&lt;&gt;0,TblTech[[#This Row],[Hour]:[Hour]]&gt;=AD$2),1,0)</f>
        <v>0</v>
      </c>
      <c r="AE35" s="276" cm="1">
        <f t="array" ref="AE35">IF(AND(AE$2&lt;&gt;0,TblTech[[#This Row],[Hour]:[Hour]]&gt;=AE$2),1,0)</f>
        <v>0</v>
      </c>
      <c r="AF35" s="276" cm="1">
        <f t="array" ref="AF35">IF(AND(AF$2&lt;&gt;0,TblTech[[#This Row],[Hour]:[Hour]]&gt;=AF$2),1,0)</f>
        <v>0</v>
      </c>
      <c r="AG35" s="276" cm="1">
        <f t="array" ref="AG35">IF(AND(AG$2&lt;&gt;0,TblTech[[#This Row],[Hour]:[Hour]]&gt;=AG$2),1,0)</f>
        <v>0</v>
      </c>
      <c r="AH35" s="276" cm="1">
        <f t="array" ref="AH35">IF(AND(AH$2&lt;&gt;0,TblTech[[#This Row],[Hour]:[Hour]]&gt;=AH$2),1,0)</f>
        <v>0</v>
      </c>
      <c r="AI35" s="276" cm="1">
        <f t="array" ref="AI35">IF(AND(AI$2&lt;&gt;0,TblTech[[#This Row],[Hour]:[Hour]]&gt;=AI$2),1,0)</f>
        <v>0</v>
      </c>
      <c r="AJ35" s="276" cm="1">
        <f t="array" ref="AJ35">IF(AND(AJ$2&lt;&gt;0,TblTech[[#This Row],[Hour]:[Hour]]&gt;=AJ$2),1,0)</f>
        <v>0</v>
      </c>
      <c r="AK35" s="276" cm="1">
        <f t="array" ref="AK35">IF(AND(AK$2&lt;&gt;0,TblTech[[#This Row],[Hour]:[Hour]]&gt;=AK$2),1,0)</f>
        <v>0</v>
      </c>
      <c r="AL35" s="276" cm="1">
        <f t="array" ref="AL35">IF(AND(AL$2&lt;&gt;0,TblTech[[#This Row],[Hour]:[Hour]]&gt;=AL$2),1,0)</f>
        <v>0</v>
      </c>
      <c r="AM35" s="276" cm="1">
        <f t="array" ref="AM35">IF(AND(AM$2&lt;&gt;0,TblTech[[#This Row],[Hour]:[Hour]]&gt;=AM$2),1,0)</f>
        <v>0</v>
      </c>
      <c r="AN35" s="276" cm="1">
        <f t="array" ref="AN35">IF(AND(AN$2&lt;&gt;0,TblTech[[#This Row],[Hour]:[Hour]]&gt;=AN$2),1,0)</f>
        <v>0</v>
      </c>
      <c r="AO35" s="276" cm="1">
        <f t="array" ref="AO35">IF(AND(AO$2&lt;&gt;0,TblTech[[#This Row],[Hour]:[Hour]]&gt;=AO$2),1,0)</f>
        <v>0</v>
      </c>
      <c r="AP35" s="276" cm="1">
        <f t="array" ref="AP35">IF(AND(AP$2&lt;&gt;0,TblTech[[#This Row],[Hour]:[Hour]]&gt;=AP$2),1,0)</f>
        <v>0</v>
      </c>
      <c r="AQ35" s="276" cm="1">
        <f t="array" ref="AQ35">IF(AND(AQ$2&lt;&gt;0,TblTech[[#This Row],[Hour]:[Hour]]&gt;=AQ$2),1,0)</f>
        <v>0</v>
      </c>
      <c r="AR35" s="276" cm="1">
        <f t="array" ref="AR35">IF(AND(AR$2&lt;&gt;0,TblTech[[#This Row],[Hour]:[Hour]]&gt;=AR$2),1,0)</f>
        <v>0</v>
      </c>
      <c r="AS35" s="276" cm="1">
        <f t="array" ref="AS35">IF(AND(AS$2&lt;&gt;0,TblTech[[#This Row],[Hour]:[Hour]]&gt;=AS$2),1,0)</f>
        <v>0</v>
      </c>
      <c r="AT35" s="276" cm="1">
        <f t="array" ref="AT35">IF(AND(AT$2&lt;&gt;0,TblTech[[#This Row],[Hour]:[Hour]]&gt;=AT$2),1,0)</f>
        <v>0</v>
      </c>
      <c r="AU35" s="276" cm="1">
        <f t="array" ref="AU35">IF(AND(AU$2&lt;&gt;0,TblTech[[#This Row],[Hour]:[Hour]]&gt;=AU$2),1,0)</f>
        <v>0</v>
      </c>
      <c r="AV35" s="276" cm="1">
        <f t="array" ref="AV35">IF(AND(AV$2&lt;&gt;0,TblTech[[#This Row],[Hour]:[Hour]]&gt;=AV$2),1,0)</f>
        <v>0</v>
      </c>
      <c r="AW35" s="276" cm="1">
        <f t="array" ref="AW35">IF(AND(AW$2&lt;&gt;0,TblTech[[#This Row],[Hour]:[Hour]]&gt;=AW$2),1,0)</f>
        <v>0</v>
      </c>
      <c r="AX35" s="276" cm="1">
        <f t="array" ref="AX35">IF(AND(AX$2&lt;&gt;0,TblTech[[#This Row],[Hour]:[Hour]]&gt;=AX$2),1,0)</f>
        <v>0</v>
      </c>
      <c r="AY35" s="276" cm="1">
        <f t="array" ref="AY35">IF(AND(AY$2&lt;&gt;0,TblTech[[#This Row],[Hour]:[Hour]]&gt;=AY$2),1,0)</f>
        <v>0</v>
      </c>
      <c r="AZ35" s="276" cm="1">
        <f t="array" ref="AZ35">IF(AND(AZ$2&lt;&gt;0,TblTech[[#This Row],[Hour]:[Hour]]&gt;=AZ$2),1,0)</f>
        <v>0</v>
      </c>
      <c r="BA35" s="276" cm="1">
        <f t="array" ref="BA35">IF(AND(BA$2&lt;&gt;0,TblTech[[#This Row],[Hour]:[Hour]]&gt;=BA$2),1,0)</f>
        <v>0</v>
      </c>
      <c r="BB35" s="276" cm="1">
        <f t="array" ref="BB35">IF(AND(BB$2&lt;&gt;0,TblTech[[#This Row],[Hour]:[Hour]]&gt;=BB$2),1,0)</f>
        <v>0</v>
      </c>
      <c r="BC35" s="276" cm="1">
        <f t="array" ref="BC35">IF(AND(BC$2&lt;&gt;0,TblTech[[#This Row],[Hour]:[Hour]]&gt;=BC$2),1,0)</f>
        <v>0</v>
      </c>
      <c r="BD35" s="276" cm="1">
        <f t="array" ref="BD35">IF(AND(BD$2&lt;&gt;0,TblTech[[#This Row],[Hour]:[Hour]]&gt;=BD$2),1,0)</f>
        <v>0</v>
      </c>
      <c r="BE35" s="276" cm="1">
        <f t="array" ref="BE35">IF(AND(BE$2&lt;&gt;0,TblTech[[#This Row],[Hour]:[Hour]]&gt;=BE$2),1,0)</f>
        <v>0</v>
      </c>
      <c r="BF35" s="276" cm="1">
        <f t="array" ref="BF35">IF(AND(BF$2&lt;&gt;0,TblTech[[#This Row],[Hour]:[Hour]]&gt;=BF$2),1,0)</f>
        <v>0</v>
      </c>
      <c r="BG35" s="276" cm="1">
        <f t="array" ref="BG35">IF(AND(BG$2&lt;&gt;0,TblTech[[#This Row],[Hour]:[Hour]]&gt;=BG$2),1,0)</f>
        <v>0</v>
      </c>
      <c r="BH35" s="276" cm="1">
        <f t="array" ref="BH35">IF(AND(BH$2&lt;&gt;0,TblTech[[#This Row],[Hour]:[Hour]]&gt;=BH$2),1,0)</f>
        <v>0</v>
      </c>
      <c r="BI35" s="276" cm="1">
        <f t="array" ref="BI35">IF(AND(BI$2&lt;&gt;0,TblTech[[#This Row],[Hour]:[Hour]]&gt;=BI$2),1,0)</f>
        <v>0</v>
      </c>
      <c r="BJ35" s="276" cm="1">
        <f t="array" ref="BJ35">IF(AND(BJ$2&lt;&gt;0,TblTech[[#This Row],[Hour]:[Hour]]&gt;=BJ$2),1,0)</f>
        <v>0</v>
      </c>
      <c r="BK35" s="276" cm="1">
        <f t="array" ref="BK35">IF(AND(BK$2&lt;&gt;0,TblTech[[#This Row],[Hour]:[Hour]]&gt;=BK$2),1,0)</f>
        <v>0</v>
      </c>
      <c r="BL35" s="276" cm="1">
        <f t="array" ref="BL35">IF(AND(BL$2&lt;&gt;0,TblTech[[#This Row],[Hour]:[Hour]]&gt;=BL$2),1,0)</f>
        <v>0</v>
      </c>
      <c r="BM35" s="276" cm="1">
        <f t="array" ref="BM35">IF(AND(BM$2&lt;&gt;0,TblTech[[#This Row],[Hour]:[Hour]]&gt;=BM$2),1,0)</f>
        <v>0</v>
      </c>
      <c r="BN35" s="276" cm="1">
        <f t="array" ref="BN35">IF(AND(BN$2&lt;&gt;0,TblTech[[#This Row],[Hour]:[Hour]]&gt;=BN$2),1,0)</f>
        <v>0</v>
      </c>
      <c r="BO35" s="276" cm="1">
        <f t="array" ref="BO35">IF(AND(BO$2&lt;&gt;0,TblTech[[#This Row],[Hour]:[Hour]]&gt;=BO$2),1,0)</f>
        <v>0</v>
      </c>
      <c r="BP35" s="276" cm="1">
        <f t="array" ref="BP35">IF(AND(BP$2&lt;&gt;0,TblTech[[#This Row],[Hour]:[Hour]]&gt;=BP$2),1,0)</f>
        <v>0</v>
      </c>
      <c r="BQ35" s="276" cm="1">
        <f t="array" ref="BQ35">IF(AND(BQ$2&lt;&gt;0,TblTech[[#This Row],[Hour]:[Hour]]&gt;=BQ$2),1,0)</f>
        <v>0</v>
      </c>
      <c r="BR35" s="276" cm="1">
        <f t="array" ref="BR35">IF(AND(BR$2&lt;&gt;0,TblTech[[#This Row],[Hour]:[Hour]]&gt;=BR$2),1,0)</f>
        <v>0</v>
      </c>
      <c r="BS35" s="276" cm="1">
        <f t="array" ref="BS35">IF(AND(BS$2&lt;&gt;0,TblTech[[#This Row],[Hour]:[Hour]]&gt;=BS$2),1,0)</f>
        <v>0</v>
      </c>
      <c r="BT35" s="276" cm="1">
        <f t="array" ref="BT35">IF(AND(BT$2&lt;&gt;0,TblTech[[#This Row],[Hour]:[Hour]]&gt;=BT$2),1,0)</f>
        <v>0</v>
      </c>
      <c r="BU35" s="276" cm="1">
        <f t="array" ref="BU35">IF(AND(BU$2&lt;&gt;0,TblTech[[#This Row],[Hour]:[Hour]]&gt;=BU$2),1,0)</f>
        <v>0</v>
      </c>
      <c r="BV35" s="276" cm="1">
        <f t="array" ref="BV35">IF(AND(BV$2&lt;&gt;0,TblTech[[#This Row],[Hour]:[Hour]]&gt;=BV$2),1,0)</f>
        <v>0</v>
      </c>
      <c r="BW35" s="276" cm="1">
        <f t="array" ref="BW35">IF(AND(BW$2&lt;&gt;0,TblTech[[#This Row],[Hour]:[Hour]]&gt;=BW$2),1,0)</f>
        <v>0</v>
      </c>
      <c r="BX35" s="276" cm="1">
        <f t="array" ref="BX35">IF(AND(BX$2&lt;&gt;0,TblTech[[#This Row],[Hour]:[Hour]]&gt;=BX$2),1,0)</f>
        <v>0</v>
      </c>
      <c r="BY35" s="276" cm="1">
        <f t="array" ref="BY35">IF(AND(BY$2&lt;&gt;0,TblTech[[#This Row],[Hour]:[Hour]]&gt;=BY$2),1,0)</f>
        <v>0</v>
      </c>
      <c r="BZ35" s="276" cm="1">
        <f t="array" ref="BZ35">IF(AND(BZ$2&lt;&gt;0,TblTech[[#This Row],[Hour]:[Hour]]&gt;=BZ$2),1,0)</f>
        <v>0</v>
      </c>
      <c r="CA35" s="377">
        <f>IFERROR(INDEX($H$4:$H$79,MATCH(INDEX(TblTech[[#Headers],[1-1]:[11-1]],1,MATCH(TblTech[[#This Row],[Hour]],$M$2:$BZ$2,0)),$G$4:$G$79,0)),)</f>
        <v>0</v>
      </c>
    </row>
    <row r="36" spans="1:79" x14ac:dyDescent="0.2">
      <c r="A36" s="268">
        <f>TblRezone[[#This Row],[Hour]]</f>
        <v>33</v>
      </c>
      <c r="B36" s="269">
        <f ca="1">TblExplore[[#This Row],[Land-DB]]</f>
        <v>50</v>
      </c>
      <c r="C36" s="270">
        <f ca="1">TblProd[[#This Row],[Techpoints]]</f>
        <v>0</v>
      </c>
      <c r="D36" s="270">
        <f ca="1">TblProd[[#This Row],[Required]]</f>
        <v>3750</v>
      </c>
      <c r="E36" s="271"/>
      <c r="F36" s="272"/>
      <c r="G36" s="273"/>
      <c r="H36" s="274"/>
      <c r="I36" s="273"/>
      <c r="J36" s="269"/>
      <c r="K36" s="93">
        <f ca="1">IF(TblTech[[#This Row],[Sum of tech]]&lt;&gt;OFFSET(TblTech[[#This Row],[Sum of tech]],-1,0),1,0)</f>
        <v>0</v>
      </c>
      <c r="L36" s="275">
        <f>COUNTIF(TblTech[[#This Row],[1-1]:[11-1]],1)</f>
        <v>0</v>
      </c>
      <c r="M36" s="276" cm="1">
        <f t="array" ref="M36">IF(AND(M$2&lt;&gt;0,TblTech[[#This Row],[Hour]:[Hour]]&gt;=M$2),1,0)</f>
        <v>0</v>
      </c>
      <c r="N36" s="276" cm="1">
        <f t="array" ref="N36">IF(AND(N$2&lt;&gt;0,TblTech[[#This Row],[Hour]:[Hour]]&gt;=N$2),1,0)</f>
        <v>0</v>
      </c>
      <c r="O36" s="276" cm="1">
        <f t="array" ref="O36">IF(AND(O$2&lt;&gt;0,TblTech[[#This Row],[Hour]:[Hour]]&gt;=O$2),1,0)</f>
        <v>0</v>
      </c>
      <c r="P36" s="276" cm="1">
        <f t="array" ref="P36">IF(AND(P$2&lt;&gt;0,TblTech[[#This Row],[Hour]:[Hour]]&gt;=P$2),1,0)</f>
        <v>0</v>
      </c>
      <c r="Q36" s="276" cm="1">
        <f t="array" ref="Q36">IF(AND(Q$2&lt;&gt;0,TblTech[[#This Row],[Hour]:[Hour]]&gt;=Q$2),1,0)</f>
        <v>0</v>
      </c>
      <c r="R36" s="276" cm="1">
        <f t="array" ref="R36">IF(AND(R$2&lt;&gt;0,TblTech[[#This Row],[Hour]:[Hour]]&gt;=R$2),1,0)</f>
        <v>0</v>
      </c>
      <c r="S36" s="276" cm="1">
        <f t="array" ref="S36">IF(AND(S$2&lt;&gt;0,TblTech[[#This Row],[Hour]:[Hour]]&gt;=S$2),1,0)</f>
        <v>0</v>
      </c>
      <c r="T36" s="276" cm="1">
        <f t="array" ref="T36">IF(AND(T$2&lt;&gt;0,TblTech[[#This Row],[Hour]:[Hour]]&gt;=T$2),1,0)</f>
        <v>0</v>
      </c>
      <c r="U36" s="276" cm="1">
        <f t="array" ref="U36">IF(AND(U$2&lt;&gt;0,TblTech[[#This Row],[Hour]:[Hour]]&gt;=U$2),1,0)</f>
        <v>0</v>
      </c>
      <c r="V36" s="276" cm="1">
        <f t="array" ref="V36">IF(AND(V$2&lt;&gt;0,TblTech[[#This Row],[Hour]:[Hour]]&gt;=V$2),1,0)</f>
        <v>0</v>
      </c>
      <c r="W36" s="276" cm="1">
        <f t="array" ref="W36">IF(AND(W$2&lt;&gt;0,TblTech[[#This Row],[Hour]:[Hour]]&gt;=W$2),1,0)</f>
        <v>0</v>
      </c>
      <c r="X36" s="276" cm="1">
        <f t="array" ref="X36">IF(AND(X$2&lt;&gt;0,TblTech[[#This Row],[Hour]:[Hour]]&gt;=X$2),1,0)</f>
        <v>0</v>
      </c>
      <c r="Y36" s="276" cm="1">
        <f t="array" ref="Y36">IF(AND(Y$2&lt;&gt;0,TblTech[[#This Row],[Hour]:[Hour]]&gt;=Y$2),1,0)</f>
        <v>0</v>
      </c>
      <c r="Z36" s="276" cm="1">
        <f t="array" ref="Z36">IF(AND(Z$2&lt;&gt;0,TblTech[[#This Row],[Hour]:[Hour]]&gt;=Z$2),1,0)</f>
        <v>0</v>
      </c>
      <c r="AA36" s="276" cm="1">
        <f t="array" ref="AA36">IF(AND(AA$2&lt;&gt;0,TblTech[[#This Row],[Hour]:[Hour]]&gt;=AA$2),1,0)</f>
        <v>0</v>
      </c>
      <c r="AB36" s="276" cm="1">
        <f t="array" ref="AB36">IF(AND(AB$2&lt;&gt;0,TblTech[[#This Row],[Hour]:[Hour]]&gt;=AB$2),1,0)</f>
        <v>0</v>
      </c>
      <c r="AC36" s="276" cm="1">
        <f t="array" ref="AC36">IF(AND(AC$2&lt;&gt;0,TblTech[[#This Row],[Hour]:[Hour]]&gt;=AC$2),1,0)</f>
        <v>0</v>
      </c>
      <c r="AD36" s="276" cm="1">
        <f t="array" ref="AD36">IF(AND(AD$2&lt;&gt;0,TblTech[[#This Row],[Hour]:[Hour]]&gt;=AD$2),1,0)</f>
        <v>0</v>
      </c>
      <c r="AE36" s="276" cm="1">
        <f t="array" ref="AE36">IF(AND(AE$2&lt;&gt;0,TblTech[[#This Row],[Hour]:[Hour]]&gt;=AE$2),1,0)</f>
        <v>0</v>
      </c>
      <c r="AF36" s="276" cm="1">
        <f t="array" ref="AF36">IF(AND(AF$2&lt;&gt;0,TblTech[[#This Row],[Hour]:[Hour]]&gt;=AF$2),1,0)</f>
        <v>0</v>
      </c>
      <c r="AG36" s="276" cm="1">
        <f t="array" ref="AG36">IF(AND(AG$2&lt;&gt;0,TblTech[[#This Row],[Hour]:[Hour]]&gt;=AG$2),1,0)</f>
        <v>0</v>
      </c>
      <c r="AH36" s="276" cm="1">
        <f t="array" ref="AH36">IF(AND(AH$2&lt;&gt;0,TblTech[[#This Row],[Hour]:[Hour]]&gt;=AH$2),1,0)</f>
        <v>0</v>
      </c>
      <c r="AI36" s="276" cm="1">
        <f t="array" ref="AI36">IF(AND(AI$2&lt;&gt;0,TblTech[[#This Row],[Hour]:[Hour]]&gt;=AI$2),1,0)</f>
        <v>0</v>
      </c>
      <c r="AJ36" s="276" cm="1">
        <f t="array" ref="AJ36">IF(AND(AJ$2&lt;&gt;0,TblTech[[#This Row],[Hour]:[Hour]]&gt;=AJ$2),1,0)</f>
        <v>0</v>
      </c>
      <c r="AK36" s="276" cm="1">
        <f t="array" ref="AK36">IF(AND(AK$2&lt;&gt;0,TblTech[[#This Row],[Hour]:[Hour]]&gt;=AK$2),1,0)</f>
        <v>0</v>
      </c>
      <c r="AL36" s="276" cm="1">
        <f t="array" ref="AL36">IF(AND(AL$2&lt;&gt;0,TblTech[[#This Row],[Hour]:[Hour]]&gt;=AL$2),1,0)</f>
        <v>0</v>
      </c>
      <c r="AM36" s="276" cm="1">
        <f t="array" ref="AM36">IF(AND(AM$2&lt;&gt;0,TblTech[[#This Row],[Hour]:[Hour]]&gt;=AM$2),1,0)</f>
        <v>0</v>
      </c>
      <c r="AN36" s="276" cm="1">
        <f t="array" ref="AN36">IF(AND(AN$2&lt;&gt;0,TblTech[[#This Row],[Hour]:[Hour]]&gt;=AN$2),1,0)</f>
        <v>0</v>
      </c>
      <c r="AO36" s="276" cm="1">
        <f t="array" ref="AO36">IF(AND(AO$2&lt;&gt;0,TblTech[[#This Row],[Hour]:[Hour]]&gt;=AO$2),1,0)</f>
        <v>0</v>
      </c>
      <c r="AP36" s="276" cm="1">
        <f t="array" ref="AP36">IF(AND(AP$2&lt;&gt;0,TblTech[[#This Row],[Hour]:[Hour]]&gt;=AP$2),1,0)</f>
        <v>0</v>
      </c>
      <c r="AQ36" s="276" cm="1">
        <f t="array" ref="AQ36">IF(AND(AQ$2&lt;&gt;0,TblTech[[#This Row],[Hour]:[Hour]]&gt;=AQ$2),1,0)</f>
        <v>0</v>
      </c>
      <c r="AR36" s="276" cm="1">
        <f t="array" ref="AR36">IF(AND(AR$2&lt;&gt;0,TblTech[[#This Row],[Hour]:[Hour]]&gt;=AR$2),1,0)</f>
        <v>0</v>
      </c>
      <c r="AS36" s="276" cm="1">
        <f t="array" ref="AS36">IF(AND(AS$2&lt;&gt;0,TblTech[[#This Row],[Hour]:[Hour]]&gt;=AS$2),1,0)</f>
        <v>0</v>
      </c>
      <c r="AT36" s="276" cm="1">
        <f t="array" ref="AT36">IF(AND(AT$2&lt;&gt;0,TblTech[[#This Row],[Hour]:[Hour]]&gt;=AT$2),1,0)</f>
        <v>0</v>
      </c>
      <c r="AU36" s="276" cm="1">
        <f t="array" ref="AU36">IF(AND(AU$2&lt;&gt;0,TblTech[[#This Row],[Hour]:[Hour]]&gt;=AU$2),1,0)</f>
        <v>0</v>
      </c>
      <c r="AV36" s="276" cm="1">
        <f t="array" ref="AV36">IF(AND(AV$2&lt;&gt;0,TblTech[[#This Row],[Hour]:[Hour]]&gt;=AV$2),1,0)</f>
        <v>0</v>
      </c>
      <c r="AW36" s="276" cm="1">
        <f t="array" ref="AW36">IF(AND(AW$2&lt;&gt;0,TblTech[[#This Row],[Hour]:[Hour]]&gt;=AW$2),1,0)</f>
        <v>0</v>
      </c>
      <c r="AX36" s="276" cm="1">
        <f t="array" ref="AX36">IF(AND(AX$2&lt;&gt;0,TblTech[[#This Row],[Hour]:[Hour]]&gt;=AX$2),1,0)</f>
        <v>0</v>
      </c>
      <c r="AY36" s="276" cm="1">
        <f t="array" ref="AY36">IF(AND(AY$2&lt;&gt;0,TblTech[[#This Row],[Hour]:[Hour]]&gt;=AY$2),1,0)</f>
        <v>0</v>
      </c>
      <c r="AZ36" s="276" cm="1">
        <f t="array" ref="AZ36">IF(AND(AZ$2&lt;&gt;0,TblTech[[#This Row],[Hour]:[Hour]]&gt;=AZ$2),1,0)</f>
        <v>0</v>
      </c>
      <c r="BA36" s="276" cm="1">
        <f t="array" ref="BA36">IF(AND(BA$2&lt;&gt;0,TblTech[[#This Row],[Hour]:[Hour]]&gt;=BA$2),1,0)</f>
        <v>0</v>
      </c>
      <c r="BB36" s="276" cm="1">
        <f t="array" ref="BB36">IF(AND(BB$2&lt;&gt;0,TblTech[[#This Row],[Hour]:[Hour]]&gt;=BB$2),1,0)</f>
        <v>0</v>
      </c>
      <c r="BC36" s="276" cm="1">
        <f t="array" ref="BC36">IF(AND(BC$2&lt;&gt;0,TblTech[[#This Row],[Hour]:[Hour]]&gt;=BC$2),1,0)</f>
        <v>0</v>
      </c>
      <c r="BD36" s="276" cm="1">
        <f t="array" ref="BD36">IF(AND(BD$2&lt;&gt;0,TblTech[[#This Row],[Hour]:[Hour]]&gt;=BD$2),1,0)</f>
        <v>0</v>
      </c>
      <c r="BE36" s="276" cm="1">
        <f t="array" ref="BE36">IF(AND(BE$2&lt;&gt;0,TblTech[[#This Row],[Hour]:[Hour]]&gt;=BE$2),1,0)</f>
        <v>0</v>
      </c>
      <c r="BF36" s="276" cm="1">
        <f t="array" ref="BF36">IF(AND(BF$2&lt;&gt;0,TblTech[[#This Row],[Hour]:[Hour]]&gt;=BF$2),1,0)</f>
        <v>0</v>
      </c>
      <c r="BG36" s="276" cm="1">
        <f t="array" ref="BG36">IF(AND(BG$2&lt;&gt;0,TblTech[[#This Row],[Hour]:[Hour]]&gt;=BG$2),1,0)</f>
        <v>0</v>
      </c>
      <c r="BH36" s="276" cm="1">
        <f t="array" ref="BH36">IF(AND(BH$2&lt;&gt;0,TblTech[[#This Row],[Hour]:[Hour]]&gt;=BH$2),1,0)</f>
        <v>0</v>
      </c>
      <c r="BI36" s="276" cm="1">
        <f t="array" ref="BI36">IF(AND(BI$2&lt;&gt;0,TblTech[[#This Row],[Hour]:[Hour]]&gt;=BI$2),1,0)</f>
        <v>0</v>
      </c>
      <c r="BJ36" s="276" cm="1">
        <f t="array" ref="BJ36">IF(AND(BJ$2&lt;&gt;0,TblTech[[#This Row],[Hour]:[Hour]]&gt;=BJ$2),1,0)</f>
        <v>0</v>
      </c>
      <c r="BK36" s="276" cm="1">
        <f t="array" ref="BK36">IF(AND(BK$2&lt;&gt;0,TblTech[[#This Row],[Hour]:[Hour]]&gt;=BK$2),1,0)</f>
        <v>0</v>
      </c>
      <c r="BL36" s="276" cm="1">
        <f t="array" ref="BL36">IF(AND(BL$2&lt;&gt;0,TblTech[[#This Row],[Hour]:[Hour]]&gt;=BL$2),1,0)</f>
        <v>0</v>
      </c>
      <c r="BM36" s="276" cm="1">
        <f t="array" ref="BM36">IF(AND(BM$2&lt;&gt;0,TblTech[[#This Row],[Hour]:[Hour]]&gt;=BM$2),1,0)</f>
        <v>0</v>
      </c>
      <c r="BN36" s="276" cm="1">
        <f t="array" ref="BN36">IF(AND(BN$2&lt;&gt;0,TblTech[[#This Row],[Hour]:[Hour]]&gt;=BN$2),1,0)</f>
        <v>0</v>
      </c>
      <c r="BO36" s="276" cm="1">
        <f t="array" ref="BO36">IF(AND(BO$2&lt;&gt;0,TblTech[[#This Row],[Hour]:[Hour]]&gt;=BO$2),1,0)</f>
        <v>0</v>
      </c>
      <c r="BP36" s="276" cm="1">
        <f t="array" ref="BP36">IF(AND(BP$2&lt;&gt;0,TblTech[[#This Row],[Hour]:[Hour]]&gt;=BP$2),1,0)</f>
        <v>0</v>
      </c>
      <c r="BQ36" s="276" cm="1">
        <f t="array" ref="BQ36">IF(AND(BQ$2&lt;&gt;0,TblTech[[#This Row],[Hour]:[Hour]]&gt;=BQ$2),1,0)</f>
        <v>0</v>
      </c>
      <c r="BR36" s="276" cm="1">
        <f t="array" ref="BR36">IF(AND(BR$2&lt;&gt;0,TblTech[[#This Row],[Hour]:[Hour]]&gt;=BR$2),1,0)</f>
        <v>0</v>
      </c>
      <c r="BS36" s="276" cm="1">
        <f t="array" ref="BS36">IF(AND(BS$2&lt;&gt;0,TblTech[[#This Row],[Hour]:[Hour]]&gt;=BS$2),1,0)</f>
        <v>0</v>
      </c>
      <c r="BT36" s="276" cm="1">
        <f t="array" ref="BT36">IF(AND(BT$2&lt;&gt;0,TblTech[[#This Row],[Hour]:[Hour]]&gt;=BT$2),1,0)</f>
        <v>0</v>
      </c>
      <c r="BU36" s="276" cm="1">
        <f t="array" ref="BU36">IF(AND(BU$2&lt;&gt;0,TblTech[[#This Row],[Hour]:[Hour]]&gt;=BU$2),1,0)</f>
        <v>0</v>
      </c>
      <c r="BV36" s="276" cm="1">
        <f t="array" ref="BV36">IF(AND(BV$2&lt;&gt;0,TblTech[[#This Row],[Hour]:[Hour]]&gt;=BV$2),1,0)</f>
        <v>0</v>
      </c>
      <c r="BW36" s="276" cm="1">
        <f t="array" ref="BW36">IF(AND(BW$2&lt;&gt;0,TblTech[[#This Row],[Hour]:[Hour]]&gt;=BW$2),1,0)</f>
        <v>0</v>
      </c>
      <c r="BX36" s="276" cm="1">
        <f t="array" ref="BX36">IF(AND(BX$2&lt;&gt;0,TblTech[[#This Row],[Hour]:[Hour]]&gt;=BX$2),1,0)</f>
        <v>0</v>
      </c>
      <c r="BY36" s="276" cm="1">
        <f t="array" ref="BY36">IF(AND(BY$2&lt;&gt;0,TblTech[[#This Row],[Hour]:[Hour]]&gt;=BY$2),1,0)</f>
        <v>0</v>
      </c>
      <c r="BZ36" s="276" cm="1">
        <f t="array" ref="BZ36">IF(AND(BZ$2&lt;&gt;0,TblTech[[#This Row],[Hour]:[Hour]]&gt;=BZ$2),1,0)</f>
        <v>0</v>
      </c>
      <c r="CA36" s="377">
        <f>IFERROR(INDEX($H$4:$H$79,MATCH(INDEX(TblTech[[#Headers],[1-1]:[11-1]],1,MATCH(TblTech[[#This Row],[Hour]],$M$2:$BZ$2,0)),$G$4:$G$79,0)),)</f>
        <v>0</v>
      </c>
    </row>
    <row r="37" spans="1:79" x14ac:dyDescent="0.2">
      <c r="A37" s="268">
        <f>TblRezone[[#This Row],[Hour]]</f>
        <v>34</v>
      </c>
      <c r="B37" s="269">
        <f ca="1">TblExplore[[#This Row],[Land-DB]]</f>
        <v>50</v>
      </c>
      <c r="C37" s="270">
        <f ca="1">TblProd[[#This Row],[Techpoints]]</f>
        <v>0</v>
      </c>
      <c r="D37" s="270">
        <f ca="1">TblProd[[#This Row],[Required]]</f>
        <v>3750</v>
      </c>
      <c r="E37" s="271"/>
      <c r="F37" s="272"/>
      <c r="G37" s="273" t="s">
        <v>576</v>
      </c>
      <c r="H37" s="274" t="s">
        <v>702</v>
      </c>
      <c r="I37" s="273" t="s">
        <v>750</v>
      </c>
      <c r="J37" s="269"/>
      <c r="K37" s="93">
        <f ca="1">IF(TblTech[[#This Row],[Sum of tech]]&lt;&gt;OFFSET(TblTech[[#This Row],[Sum of tech]],-1,0),1,0)</f>
        <v>0</v>
      </c>
      <c r="L37" s="275">
        <f>COUNTIF(TblTech[[#This Row],[1-1]:[11-1]],1)</f>
        <v>0</v>
      </c>
      <c r="M37" s="276" cm="1">
        <f t="array" ref="M37">IF(AND(M$2&lt;&gt;0,TblTech[[#This Row],[Hour]:[Hour]]&gt;=M$2),1,0)</f>
        <v>0</v>
      </c>
      <c r="N37" s="276" cm="1">
        <f t="array" ref="N37">IF(AND(N$2&lt;&gt;0,TblTech[[#This Row],[Hour]:[Hour]]&gt;=N$2),1,0)</f>
        <v>0</v>
      </c>
      <c r="O37" s="276" cm="1">
        <f t="array" ref="O37">IF(AND(O$2&lt;&gt;0,TblTech[[#This Row],[Hour]:[Hour]]&gt;=O$2),1,0)</f>
        <v>0</v>
      </c>
      <c r="P37" s="276" cm="1">
        <f t="array" ref="P37">IF(AND(P$2&lt;&gt;0,TblTech[[#This Row],[Hour]:[Hour]]&gt;=P$2),1,0)</f>
        <v>0</v>
      </c>
      <c r="Q37" s="276" cm="1">
        <f t="array" ref="Q37">IF(AND(Q$2&lt;&gt;0,TblTech[[#This Row],[Hour]:[Hour]]&gt;=Q$2),1,0)</f>
        <v>0</v>
      </c>
      <c r="R37" s="276" cm="1">
        <f t="array" ref="R37">IF(AND(R$2&lt;&gt;0,TblTech[[#This Row],[Hour]:[Hour]]&gt;=R$2),1,0)</f>
        <v>0</v>
      </c>
      <c r="S37" s="276" cm="1">
        <f t="array" ref="S37">IF(AND(S$2&lt;&gt;0,TblTech[[#This Row],[Hour]:[Hour]]&gt;=S$2),1,0)</f>
        <v>0</v>
      </c>
      <c r="T37" s="276" cm="1">
        <f t="array" ref="T37">IF(AND(T$2&lt;&gt;0,TblTech[[#This Row],[Hour]:[Hour]]&gt;=T$2),1,0)</f>
        <v>0</v>
      </c>
      <c r="U37" s="276" cm="1">
        <f t="array" ref="U37">IF(AND(U$2&lt;&gt;0,TblTech[[#This Row],[Hour]:[Hour]]&gt;=U$2),1,0)</f>
        <v>0</v>
      </c>
      <c r="V37" s="276" cm="1">
        <f t="array" ref="V37">IF(AND(V$2&lt;&gt;0,TblTech[[#This Row],[Hour]:[Hour]]&gt;=V$2),1,0)</f>
        <v>0</v>
      </c>
      <c r="W37" s="276" cm="1">
        <f t="array" ref="W37">IF(AND(W$2&lt;&gt;0,TblTech[[#This Row],[Hour]:[Hour]]&gt;=W$2),1,0)</f>
        <v>0</v>
      </c>
      <c r="X37" s="276" cm="1">
        <f t="array" ref="X37">IF(AND(X$2&lt;&gt;0,TblTech[[#This Row],[Hour]:[Hour]]&gt;=X$2),1,0)</f>
        <v>0</v>
      </c>
      <c r="Y37" s="276" cm="1">
        <f t="array" ref="Y37">IF(AND(Y$2&lt;&gt;0,TblTech[[#This Row],[Hour]:[Hour]]&gt;=Y$2),1,0)</f>
        <v>0</v>
      </c>
      <c r="Z37" s="276" cm="1">
        <f t="array" ref="Z37">IF(AND(Z$2&lt;&gt;0,TblTech[[#This Row],[Hour]:[Hour]]&gt;=Z$2),1,0)</f>
        <v>0</v>
      </c>
      <c r="AA37" s="276" cm="1">
        <f t="array" ref="AA37">IF(AND(AA$2&lt;&gt;0,TblTech[[#This Row],[Hour]:[Hour]]&gt;=AA$2),1,0)</f>
        <v>0</v>
      </c>
      <c r="AB37" s="276" cm="1">
        <f t="array" ref="AB37">IF(AND(AB$2&lt;&gt;0,TblTech[[#This Row],[Hour]:[Hour]]&gt;=AB$2),1,0)</f>
        <v>0</v>
      </c>
      <c r="AC37" s="276" cm="1">
        <f t="array" ref="AC37">IF(AND(AC$2&lt;&gt;0,TblTech[[#This Row],[Hour]:[Hour]]&gt;=AC$2),1,0)</f>
        <v>0</v>
      </c>
      <c r="AD37" s="276" cm="1">
        <f t="array" ref="AD37">IF(AND(AD$2&lt;&gt;0,TblTech[[#This Row],[Hour]:[Hour]]&gt;=AD$2),1,0)</f>
        <v>0</v>
      </c>
      <c r="AE37" s="276" cm="1">
        <f t="array" ref="AE37">IF(AND(AE$2&lt;&gt;0,TblTech[[#This Row],[Hour]:[Hour]]&gt;=AE$2),1,0)</f>
        <v>0</v>
      </c>
      <c r="AF37" s="276" cm="1">
        <f t="array" ref="AF37">IF(AND(AF$2&lt;&gt;0,TblTech[[#This Row],[Hour]:[Hour]]&gt;=AF$2),1,0)</f>
        <v>0</v>
      </c>
      <c r="AG37" s="276" cm="1">
        <f t="array" ref="AG37">IF(AND(AG$2&lt;&gt;0,TblTech[[#This Row],[Hour]:[Hour]]&gt;=AG$2),1,0)</f>
        <v>0</v>
      </c>
      <c r="AH37" s="276" cm="1">
        <f t="array" ref="AH37">IF(AND(AH$2&lt;&gt;0,TblTech[[#This Row],[Hour]:[Hour]]&gt;=AH$2),1,0)</f>
        <v>0</v>
      </c>
      <c r="AI37" s="276" cm="1">
        <f t="array" ref="AI37">IF(AND(AI$2&lt;&gt;0,TblTech[[#This Row],[Hour]:[Hour]]&gt;=AI$2),1,0)</f>
        <v>0</v>
      </c>
      <c r="AJ37" s="276" cm="1">
        <f t="array" ref="AJ37">IF(AND(AJ$2&lt;&gt;0,TblTech[[#This Row],[Hour]:[Hour]]&gt;=AJ$2),1,0)</f>
        <v>0</v>
      </c>
      <c r="AK37" s="276" cm="1">
        <f t="array" ref="AK37">IF(AND(AK$2&lt;&gt;0,TblTech[[#This Row],[Hour]:[Hour]]&gt;=AK$2),1,0)</f>
        <v>0</v>
      </c>
      <c r="AL37" s="276" cm="1">
        <f t="array" ref="AL37">IF(AND(AL$2&lt;&gt;0,TblTech[[#This Row],[Hour]:[Hour]]&gt;=AL$2),1,0)</f>
        <v>0</v>
      </c>
      <c r="AM37" s="276" cm="1">
        <f t="array" ref="AM37">IF(AND(AM$2&lt;&gt;0,TblTech[[#This Row],[Hour]:[Hour]]&gt;=AM$2),1,0)</f>
        <v>0</v>
      </c>
      <c r="AN37" s="276" cm="1">
        <f t="array" ref="AN37">IF(AND(AN$2&lt;&gt;0,TblTech[[#This Row],[Hour]:[Hour]]&gt;=AN$2),1,0)</f>
        <v>0</v>
      </c>
      <c r="AO37" s="276" cm="1">
        <f t="array" ref="AO37">IF(AND(AO$2&lt;&gt;0,TblTech[[#This Row],[Hour]:[Hour]]&gt;=AO$2),1,0)</f>
        <v>0</v>
      </c>
      <c r="AP37" s="276" cm="1">
        <f t="array" ref="AP37">IF(AND(AP$2&lt;&gt;0,TblTech[[#This Row],[Hour]:[Hour]]&gt;=AP$2),1,0)</f>
        <v>0</v>
      </c>
      <c r="AQ37" s="276" cm="1">
        <f t="array" ref="AQ37">IF(AND(AQ$2&lt;&gt;0,TblTech[[#This Row],[Hour]:[Hour]]&gt;=AQ$2),1,0)</f>
        <v>0</v>
      </c>
      <c r="AR37" s="276" cm="1">
        <f t="array" ref="AR37">IF(AND(AR$2&lt;&gt;0,TblTech[[#This Row],[Hour]:[Hour]]&gt;=AR$2),1,0)</f>
        <v>0</v>
      </c>
      <c r="AS37" s="276" cm="1">
        <f t="array" ref="AS37">IF(AND(AS$2&lt;&gt;0,TblTech[[#This Row],[Hour]:[Hour]]&gt;=AS$2),1,0)</f>
        <v>0</v>
      </c>
      <c r="AT37" s="276" cm="1">
        <f t="array" ref="AT37">IF(AND(AT$2&lt;&gt;0,TblTech[[#This Row],[Hour]:[Hour]]&gt;=AT$2),1,0)</f>
        <v>0</v>
      </c>
      <c r="AU37" s="276" cm="1">
        <f t="array" ref="AU37">IF(AND(AU$2&lt;&gt;0,TblTech[[#This Row],[Hour]:[Hour]]&gt;=AU$2),1,0)</f>
        <v>0</v>
      </c>
      <c r="AV37" s="276" cm="1">
        <f t="array" ref="AV37">IF(AND(AV$2&lt;&gt;0,TblTech[[#This Row],[Hour]:[Hour]]&gt;=AV$2),1,0)</f>
        <v>0</v>
      </c>
      <c r="AW37" s="276" cm="1">
        <f t="array" ref="AW37">IF(AND(AW$2&lt;&gt;0,TblTech[[#This Row],[Hour]:[Hour]]&gt;=AW$2),1,0)</f>
        <v>0</v>
      </c>
      <c r="AX37" s="276" cm="1">
        <f t="array" ref="AX37">IF(AND(AX$2&lt;&gt;0,TblTech[[#This Row],[Hour]:[Hour]]&gt;=AX$2),1,0)</f>
        <v>0</v>
      </c>
      <c r="AY37" s="276" cm="1">
        <f t="array" ref="AY37">IF(AND(AY$2&lt;&gt;0,TblTech[[#This Row],[Hour]:[Hour]]&gt;=AY$2),1,0)</f>
        <v>0</v>
      </c>
      <c r="AZ37" s="276" cm="1">
        <f t="array" ref="AZ37">IF(AND(AZ$2&lt;&gt;0,TblTech[[#This Row],[Hour]:[Hour]]&gt;=AZ$2),1,0)</f>
        <v>0</v>
      </c>
      <c r="BA37" s="276" cm="1">
        <f t="array" ref="BA37">IF(AND(BA$2&lt;&gt;0,TblTech[[#This Row],[Hour]:[Hour]]&gt;=BA$2),1,0)</f>
        <v>0</v>
      </c>
      <c r="BB37" s="276" cm="1">
        <f t="array" ref="BB37">IF(AND(BB$2&lt;&gt;0,TblTech[[#This Row],[Hour]:[Hour]]&gt;=BB$2),1,0)</f>
        <v>0</v>
      </c>
      <c r="BC37" s="276" cm="1">
        <f t="array" ref="BC37">IF(AND(BC$2&lt;&gt;0,TblTech[[#This Row],[Hour]:[Hour]]&gt;=BC$2),1,0)</f>
        <v>0</v>
      </c>
      <c r="BD37" s="276" cm="1">
        <f t="array" ref="BD37">IF(AND(BD$2&lt;&gt;0,TblTech[[#This Row],[Hour]:[Hour]]&gt;=BD$2),1,0)</f>
        <v>0</v>
      </c>
      <c r="BE37" s="276" cm="1">
        <f t="array" ref="BE37">IF(AND(BE$2&lt;&gt;0,TblTech[[#This Row],[Hour]:[Hour]]&gt;=BE$2),1,0)</f>
        <v>0</v>
      </c>
      <c r="BF37" s="276" cm="1">
        <f t="array" ref="BF37">IF(AND(BF$2&lt;&gt;0,TblTech[[#This Row],[Hour]:[Hour]]&gt;=BF$2),1,0)</f>
        <v>0</v>
      </c>
      <c r="BG37" s="276" cm="1">
        <f t="array" ref="BG37">IF(AND(BG$2&lt;&gt;0,TblTech[[#This Row],[Hour]:[Hour]]&gt;=BG$2),1,0)</f>
        <v>0</v>
      </c>
      <c r="BH37" s="276" cm="1">
        <f t="array" ref="BH37">IF(AND(BH$2&lt;&gt;0,TblTech[[#This Row],[Hour]:[Hour]]&gt;=BH$2),1,0)</f>
        <v>0</v>
      </c>
      <c r="BI37" s="276" cm="1">
        <f t="array" ref="BI37">IF(AND(BI$2&lt;&gt;0,TblTech[[#This Row],[Hour]:[Hour]]&gt;=BI$2),1,0)</f>
        <v>0</v>
      </c>
      <c r="BJ37" s="276" cm="1">
        <f t="array" ref="BJ37">IF(AND(BJ$2&lt;&gt;0,TblTech[[#This Row],[Hour]:[Hour]]&gt;=BJ$2),1,0)</f>
        <v>0</v>
      </c>
      <c r="BK37" s="276" cm="1">
        <f t="array" ref="BK37">IF(AND(BK$2&lt;&gt;0,TblTech[[#This Row],[Hour]:[Hour]]&gt;=BK$2),1,0)</f>
        <v>0</v>
      </c>
      <c r="BL37" s="276" cm="1">
        <f t="array" ref="BL37">IF(AND(BL$2&lt;&gt;0,TblTech[[#This Row],[Hour]:[Hour]]&gt;=BL$2),1,0)</f>
        <v>0</v>
      </c>
      <c r="BM37" s="276" cm="1">
        <f t="array" ref="BM37">IF(AND(BM$2&lt;&gt;0,TblTech[[#This Row],[Hour]:[Hour]]&gt;=BM$2),1,0)</f>
        <v>0</v>
      </c>
      <c r="BN37" s="276" cm="1">
        <f t="array" ref="BN37">IF(AND(BN$2&lt;&gt;0,TblTech[[#This Row],[Hour]:[Hour]]&gt;=BN$2),1,0)</f>
        <v>0</v>
      </c>
      <c r="BO37" s="276" cm="1">
        <f t="array" ref="BO37">IF(AND(BO$2&lt;&gt;0,TblTech[[#This Row],[Hour]:[Hour]]&gt;=BO$2),1,0)</f>
        <v>0</v>
      </c>
      <c r="BP37" s="276" cm="1">
        <f t="array" ref="BP37">IF(AND(BP$2&lt;&gt;0,TblTech[[#This Row],[Hour]:[Hour]]&gt;=BP$2),1,0)</f>
        <v>0</v>
      </c>
      <c r="BQ37" s="276" cm="1">
        <f t="array" ref="BQ37">IF(AND(BQ$2&lt;&gt;0,TblTech[[#This Row],[Hour]:[Hour]]&gt;=BQ$2),1,0)</f>
        <v>0</v>
      </c>
      <c r="BR37" s="276" cm="1">
        <f t="array" ref="BR37">IF(AND(BR$2&lt;&gt;0,TblTech[[#This Row],[Hour]:[Hour]]&gt;=BR$2),1,0)</f>
        <v>0</v>
      </c>
      <c r="BS37" s="276" cm="1">
        <f t="array" ref="BS37">IF(AND(BS$2&lt;&gt;0,TblTech[[#This Row],[Hour]:[Hour]]&gt;=BS$2),1,0)</f>
        <v>0</v>
      </c>
      <c r="BT37" s="276" cm="1">
        <f t="array" ref="BT37">IF(AND(BT$2&lt;&gt;0,TblTech[[#This Row],[Hour]:[Hour]]&gt;=BT$2),1,0)</f>
        <v>0</v>
      </c>
      <c r="BU37" s="276" cm="1">
        <f t="array" ref="BU37">IF(AND(BU$2&lt;&gt;0,TblTech[[#This Row],[Hour]:[Hour]]&gt;=BU$2),1,0)</f>
        <v>0</v>
      </c>
      <c r="BV37" s="276" cm="1">
        <f t="array" ref="BV37">IF(AND(BV$2&lt;&gt;0,TblTech[[#This Row],[Hour]:[Hour]]&gt;=BV$2),1,0)</f>
        <v>0</v>
      </c>
      <c r="BW37" s="276" cm="1">
        <f t="array" ref="BW37">IF(AND(BW$2&lt;&gt;0,TblTech[[#This Row],[Hour]:[Hour]]&gt;=BW$2),1,0)</f>
        <v>0</v>
      </c>
      <c r="BX37" s="276" cm="1">
        <f t="array" ref="BX37">IF(AND(BX$2&lt;&gt;0,TblTech[[#This Row],[Hour]:[Hour]]&gt;=BX$2),1,0)</f>
        <v>0</v>
      </c>
      <c r="BY37" s="276" cm="1">
        <f t="array" ref="BY37">IF(AND(BY$2&lt;&gt;0,TblTech[[#This Row],[Hour]:[Hour]]&gt;=BY$2),1,0)</f>
        <v>0</v>
      </c>
      <c r="BZ37" s="276" cm="1">
        <f t="array" ref="BZ37">IF(AND(BZ$2&lt;&gt;0,TblTech[[#This Row],[Hour]:[Hour]]&gt;=BZ$2),1,0)</f>
        <v>0</v>
      </c>
      <c r="CA37" s="377">
        <f>IFERROR(INDEX($H$4:$H$79,MATCH(INDEX(TblTech[[#Headers],[1-1]:[11-1]],1,MATCH(TblTech[[#This Row],[Hour]],$M$2:$BZ$2,0)),$G$4:$G$79,0)),)</f>
        <v>0</v>
      </c>
    </row>
    <row r="38" spans="1:79" x14ac:dyDescent="0.2">
      <c r="A38" s="268">
        <f>TblRezone[[#This Row],[Hour]]</f>
        <v>35</v>
      </c>
      <c r="B38" s="269">
        <f ca="1">TblExplore[[#This Row],[Land-DB]]</f>
        <v>50</v>
      </c>
      <c r="C38" s="270">
        <f ca="1">TblProd[[#This Row],[Techpoints]]</f>
        <v>0</v>
      </c>
      <c r="D38" s="270">
        <f ca="1">TblProd[[#This Row],[Required]]</f>
        <v>3750</v>
      </c>
      <c r="E38" s="271"/>
      <c r="F38" s="272"/>
      <c r="G38" s="273" t="s">
        <v>577</v>
      </c>
      <c r="H38" s="274" t="s">
        <v>703</v>
      </c>
      <c r="I38" s="273" t="s">
        <v>624</v>
      </c>
      <c r="J38" s="269"/>
      <c r="K38" s="93">
        <f ca="1">IF(TblTech[[#This Row],[Sum of tech]]&lt;&gt;OFFSET(TblTech[[#This Row],[Sum of tech]],-1,0),1,0)</f>
        <v>0</v>
      </c>
      <c r="L38" s="275">
        <f>COUNTIF(TblTech[[#This Row],[1-1]:[11-1]],1)</f>
        <v>0</v>
      </c>
      <c r="M38" s="276" cm="1">
        <f t="array" ref="M38">IF(AND(M$2&lt;&gt;0,TblTech[[#This Row],[Hour]:[Hour]]&gt;=M$2),1,0)</f>
        <v>0</v>
      </c>
      <c r="N38" s="276" cm="1">
        <f t="array" ref="N38">IF(AND(N$2&lt;&gt;0,TblTech[[#This Row],[Hour]:[Hour]]&gt;=N$2),1,0)</f>
        <v>0</v>
      </c>
      <c r="O38" s="276" cm="1">
        <f t="array" ref="O38">IF(AND(O$2&lt;&gt;0,TblTech[[#This Row],[Hour]:[Hour]]&gt;=O$2),1,0)</f>
        <v>0</v>
      </c>
      <c r="P38" s="276" cm="1">
        <f t="array" ref="P38">IF(AND(P$2&lt;&gt;0,TblTech[[#This Row],[Hour]:[Hour]]&gt;=P$2),1,0)</f>
        <v>0</v>
      </c>
      <c r="Q38" s="276" cm="1">
        <f t="array" ref="Q38">IF(AND(Q$2&lt;&gt;0,TblTech[[#This Row],[Hour]:[Hour]]&gt;=Q$2),1,0)</f>
        <v>0</v>
      </c>
      <c r="R38" s="276" cm="1">
        <f t="array" ref="R38">IF(AND(R$2&lt;&gt;0,TblTech[[#This Row],[Hour]:[Hour]]&gt;=R$2),1,0)</f>
        <v>0</v>
      </c>
      <c r="S38" s="276" cm="1">
        <f t="array" ref="S38">IF(AND(S$2&lt;&gt;0,TblTech[[#This Row],[Hour]:[Hour]]&gt;=S$2),1,0)</f>
        <v>0</v>
      </c>
      <c r="T38" s="276" cm="1">
        <f t="array" ref="T38">IF(AND(T$2&lt;&gt;0,TblTech[[#This Row],[Hour]:[Hour]]&gt;=T$2),1,0)</f>
        <v>0</v>
      </c>
      <c r="U38" s="276" cm="1">
        <f t="array" ref="U38">IF(AND(U$2&lt;&gt;0,TblTech[[#This Row],[Hour]:[Hour]]&gt;=U$2),1,0)</f>
        <v>0</v>
      </c>
      <c r="V38" s="276" cm="1">
        <f t="array" ref="V38">IF(AND(V$2&lt;&gt;0,TblTech[[#This Row],[Hour]:[Hour]]&gt;=V$2),1,0)</f>
        <v>0</v>
      </c>
      <c r="W38" s="276" cm="1">
        <f t="array" ref="W38">IF(AND(W$2&lt;&gt;0,TblTech[[#This Row],[Hour]:[Hour]]&gt;=W$2),1,0)</f>
        <v>0</v>
      </c>
      <c r="X38" s="276" cm="1">
        <f t="array" ref="X38">IF(AND(X$2&lt;&gt;0,TblTech[[#This Row],[Hour]:[Hour]]&gt;=X$2),1,0)</f>
        <v>0</v>
      </c>
      <c r="Y38" s="276" cm="1">
        <f t="array" ref="Y38">IF(AND(Y$2&lt;&gt;0,TblTech[[#This Row],[Hour]:[Hour]]&gt;=Y$2),1,0)</f>
        <v>0</v>
      </c>
      <c r="Z38" s="276" cm="1">
        <f t="array" ref="Z38">IF(AND(Z$2&lt;&gt;0,TblTech[[#This Row],[Hour]:[Hour]]&gt;=Z$2),1,0)</f>
        <v>0</v>
      </c>
      <c r="AA38" s="276" cm="1">
        <f t="array" ref="AA38">IF(AND(AA$2&lt;&gt;0,TblTech[[#This Row],[Hour]:[Hour]]&gt;=AA$2),1,0)</f>
        <v>0</v>
      </c>
      <c r="AB38" s="276" cm="1">
        <f t="array" ref="AB38">IF(AND(AB$2&lt;&gt;0,TblTech[[#This Row],[Hour]:[Hour]]&gt;=AB$2),1,0)</f>
        <v>0</v>
      </c>
      <c r="AC38" s="276" cm="1">
        <f t="array" ref="AC38">IF(AND(AC$2&lt;&gt;0,TblTech[[#This Row],[Hour]:[Hour]]&gt;=AC$2),1,0)</f>
        <v>0</v>
      </c>
      <c r="AD38" s="276" cm="1">
        <f t="array" ref="AD38">IF(AND(AD$2&lt;&gt;0,TblTech[[#This Row],[Hour]:[Hour]]&gt;=AD$2),1,0)</f>
        <v>0</v>
      </c>
      <c r="AE38" s="276" cm="1">
        <f t="array" ref="AE38">IF(AND(AE$2&lt;&gt;0,TblTech[[#This Row],[Hour]:[Hour]]&gt;=AE$2),1,0)</f>
        <v>0</v>
      </c>
      <c r="AF38" s="276" cm="1">
        <f t="array" ref="AF38">IF(AND(AF$2&lt;&gt;0,TblTech[[#This Row],[Hour]:[Hour]]&gt;=AF$2),1,0)</f>
        <v>0</v>
      </c>
      <c r="AG38" s="276" cm="1">
        <f t="array" ref="AG38">IF(AND(AG$2&lt;&gt;0,TblTech[[#This Row],[Hour]:[Hour]]&gt;=AG$2),1,0)</f>
        <v>0</v>
      </c>
      <c r="AH38" s="276" cm="1">
        <f t="array" ref="AH38">IF(AND(AH$2&lt;&gt;0,TblTech[[#This Row],[Hour]:[Hour]]&gt;=AH$2),1,0)</f>
        <v>0</v>
      </c>
      <c r="AI38" s="276" cm="1">
        <f t="array" ref="AI38">IF(AND(AI$2&lt;&gt;0,TblTech[[#This Row],[Hour]:[Hour]]&gt;=AI$2),1,0)</f>
        <v>0</v>
      </c>
      <c r="AJ38" s="276" cm="1">
        <f t="array" ref="AJ38">IF(AND(AJ$2&lt;&gt;0,TblTech[[#This Row],[Hour]:[Hour]]&gt;=AJ$2),1,0)</f>
        <v>0</v>
      </c>
      <c r="AK38" s="276" cm="1">
        <f t="array" ref="AK38">IF(AND(AK$2&lt;&gt;0,TblTech[[#This Row],[Hour]:[Hour]]&gt;=AK$2),1,0)</f>
        <v>0</v>
      </c>
      <c r="AL38" s="276" cm="1">
        <f t="array" ref="AL38">IF(AND(AL$2&lt;&gt;0,TblTech[[#This Row],[Hour]:[Hour]]&gt;=AL$2),1,0)</f>
        <v>0</v>
      </c>
      <c r="AM38" s="276" cm="1">
        <f t="array" ref="AM38">IF(AND(AM$2&lt;&gt;0,TblTech[[#This Row],[Hour]:[Hour]]&gt;=AM$2),1,0)</f>
        <v>0</v>
      </c>
      <c r="AN38" s="276" cm="1">
        <f t="array" ref="AN38">IF(AND(AN$2&lt;&gt;0,TblTech[[#This Row],[Hour]:[Hour]]&gt;=AN$2),1,0)</f>
        <v>0</v>
      </c>
      <c r="AO38" s="276" cm="1">
        <f t="array" ref="AO38">IF(AND(AO$2&lt;&gt;0,TblTech[[#This Row],[Hour]:[Hour]]&gt;=AO$2),1,0)</f>
        <v>0</v>
      </c>
      <c r="AP38" s="276" cm="1">
        <f t="array" ref="AP38">IF(AND(AP$2&lt;&gt;0,TblTech[[#This Row],[Hour]:[Hour]]&gt;=AP$2),1,0)</f>
        <v>0</v>
      </c>
      <c r="AQ38" s="276" cm="1">
        <f t="array" ref="AQ38">IF(AND(AQ$2&lt;&gt;0,TblTech[[#This Row],[Hour]:[Hour]]&gt;=AQ$2),1,0)</f>
        <v>0</v>
      </c>
      <c r="AR38" s="276" cm="1">
        <f t="array" ref="AR38">IF(AND(AR$2&lt;&gt;0,TblTech[[#This Row],[Hour]:[Hour]]&gt;=AR$2),1,0)</f>
        <v>0</v>
      </c>
      <c r="AS38" s="276" cm="1">
        <f t="array" ref="AS38">IF(AND(AS$2&lt;&gt;0,TblTech[[#This Row],[Hour]:[Hour]]&gt;=AS$2),1,0)</f>
        <v>0</v>
      </c>
      <c r="AT38" s="276" cm="1">
        <f t="array" ref="AT38">IF(AND(AT$2&lt;&gt;0,TblTech[[#This Row],[Hour]:[Hour]]&gt;=AT$2),1,0)</f>
        <v>0</v>
      </c>
      <c r="AU38" s="276" cm="1">
        <f t="array" ref="AU38">IF(AND(AU$2&lt;&gt;0,TblTech[[#This Row],[Hour]:[Hour]]&gt;=AU$2),1,0)</f>
        <v>0</v>
      </c>
      <c r="AV38" s="276" cm="1">
        <f t="array" ref="AV38">IF(AND(AV$2&lt;&gt;0,TblTech[[#This Row],[Hour]:[Hour]]&gt;=AV$2),1,0)</f>
        <v>0</v>
      </c>
      <c r="AW38" s="276" cm="1">
        <f t="array" ref="AW38">IF(AND(AW$2&lt;&gt;0,TblTech[[#This Row],[Hour]:[Hour]]&gt;=AW$2),1,0)</f>
        <v>0</v>
      </c>
      <c r="AX38" s="276" cm="1">
        <f t="array" ref="AX38">IF(AND(AX$2&lt;&gt;0,TblTech[[#This Row],[Hour]:[Hour]]&gt;=AX$2),1,0)</f>
        <v>0</v>
      </c>
      <c r="AY38" s="276" cm="1">
        <f t="array" ref="AY38">IF(AND(AY$2&lt;&gt;0,TblTech[[#This Row],[Hour]:[Hour]]&gt;=AY$2),1,0)</f>
        <v>0</v>
      </c>
      <c r="AZ38" s="276" cm="1">
        <f t="array" ref="AZ38">IF(AND(AZ$2&lt;&gt;0,TblTech[[#This Row],[Hour]:[Hour]]&gt;=AZ$2),1,0)</f>
        <v>0</v>
      </c>
      <c r="BA38" s="276" cm="1">
        <f t="array" ref="BA38">IF(AND(BA$2&lt;&gt;0,TblTech[[#This Row],[Hour]:[Hour]]&gt;=BA$2),1,0)</f>
        <v>0</v>
      </c>
      <c r="BB38" s="276" cm="1">
        <f t="array" ref="BB38">IF(AND(BB$2&lt;&gt;0,TblTech[[#This Row],[Hour]:[Hour]]&gt;=BB$2),1,0)</f>
        <v>0</v>
      </c>
      <c r="BC38" s="276" cm="1">
        <f t="array" ref="BC38">IF(AND(BC$2&lt;&gt;0,TblTech[[#This Row],[Hour]:[Hour]]&gt;=BC$2),1,0)</f>
        <v>0</v>
      </c>
      <c r="BD38" s="276" cm="1">
        <f t="array" ref="BD38">IF(AND(BD$2&lt;&gt;0,TblTech[[#This Row],[Hour]:[Hour]]&gt;=BD$2),1,0)</f>
        <v>0</v>
      </c>
      <c r="BE38" s="276" cm="1">
        <f t="array" ref="BE38">IF(AND(BE$2&lt;&gt;0,TblTech[[#This Row],[Hour]:[Hour]]&gt;=BE$2),1,0)</f>
        <v>0</v>
      </c>
      <c r="BF38" s="276" cm="1">
        <f t="array" ref="BF38">IF(AND(BF$2&lt;&gt;0,TblTech[[#This Row],[Hour]:[Hour]]&gt;=BF$2),1,0)</f>
        <v>0</v>
      </c>
      <c r="BG38" s="276" cm="1">
        <f t="array" ref="BG38">IF(AND(BG$2&lt;&gt;0,TblTech[[#This Row],[Hour]:[Hour]]&gt;=BG$2),1,0)</f>
        <v>0</v>
      </c>
      <c r="BH38" s="276" cm="1">
        <f t="array" ref="BH38">IF(AND(BH$2&lt;&gt;0,TblTech[[#This Row],[Hour]:[Hour]]&gt;=BH$2),1,0)</f>
        <v>0</v>
      </c>
      <c r="BI38" s="276" cm="1">
        <f t="array" ref="BI38">IF(AND(BI$2&lt;&gt;0,TblTech[[#This Row],[Hour]:[Hour]]&gt;=BI$2),1,0)</f>
        <v>0</v>
      </c>
      <c r="BJ38" s="276" cm="1">
        <f t="array" ref="BJ38">IF(AND(BJ$2&lt;&gt;0,TblTech[[#This Row],[Hour]:[Hour]]&gt;=BJ$2),1,0)</f>
        <v>0</v>
      </c>
      <c r="BK38" s="276" cm="1">
        <f t="array" ref="BK38">IF(AND(BK$2&lt;&gt;0,TblTech[[#This Row],[Hour]:[Hour]]&gt;=BK$2),1,0)</f>
        <v>0</v>
      </c>
      <c r="BL38" s="276" cm="1">
        <f t="array" ref="BL38">IF(AND(BL$2&lt;&gt;0,TblTech[[#This Row],[Hour]:[Hour]]&gt;=BL$2),1,0)</f>
        <v>0</v>
      </c>
      <c r="BM38" s="276" cm="1">
        <f t="array" ref="BM38">IF(AND(BM$2&lt;&gt;0,TblTech[[#This Row],[Hour]:[Hour]]&gt;=BM$2),1,0)</f>
        <v>0</v>
      </c>
      <c r="BN38" s="276" cm="1">
        <f t="array" ref="BN38">IF(AND(BN$2&lt;&gt;0,TblTech[[#This Row],[Hour]:[Hour]]&gt;=BN$2),1,0)</f>
        <v>0</v>
      </c>
      <c r="BO38" s="276" cm="1">
        <f t="array" ref="BO38">IF(AND(BO$2&lt;&gt;0,TblTech[[#This Row],[Hour]:[Hour]]&gt;=BO$2),1,0)</f>
        <v>0</v>
      </c>
      <c r="BP38" s="276" cm="1">
        <f t="array" ref="BP38">IF(AND(BP$2&lt;&gt;0,TblTech[[#This Row],[Hour]:[Hour]]&gt;=BP$2),1,0)</f>
        <v>0</v>
      </c>
      <c r="BQ38" s="276" cm="1">
        <f t="array" ref="BQ38">IF(AND(BQ$2&lt;&gt;0,TblTech[[#This Row],[Hour]:[Hour]]&gt;=BQ$2),1,0)</f>
        <v>0</v>
      </c>
      <c r="BR38" s="276" cm="1">
        <f t="array" ref="BR38">IF(AND(BR$2&lt;&gt;0,TblTech[[#This Row],[Hour]:[Hour]]&gt;=BR$2),1,0)</f>
        <v>0</v>
      </c>
      <c r="BS38" s="276" cm="1">
        <f t="array" ref="BS38">IF(AND(BS$2&lt;&gt;0,TblTech[[#This Row],[Hour]:[Hour]]&gt;=BS$2),1,0)</f>
        <v>0</v>
      </c>
      <c r="BT38" s="276" cm="1">
        <f t="array" ref="BT38">IF(AND(BT$2&lt;&gt;0,TblTech[[#This Row],[Hour]:[Hour]]&gt;=BT$2),1,0)</f>
        <v>0</v>
      </c>
      <c r="BU38" s="276" cm="1">
        <f t="array" ref="BU38">IF(AND(BU$2&lt;&gt;0,TblTech[[#This Row],[Hour]:[Hour]]&gt;=BU$2),1,0)</f>
        <v>0</v>
      </c>
      <c r="BV38" s="276" cm="1">
        <f t="array" ref="BV38">IF(AND(BV$2&lt;&gt;0,TblTech[[#This Row],[Hour]:[Hour]]&gt;=BV$2),1,0)</f>
        <v>0</v>
      </c>
      <c r="BW38" s="276" cm="1">
        <f t="array" ref="BW38">IF(AND(BW$2&lt;&gt;0,TblTech[[#This Row],[Hour]:[Hour]]&gt;=BW$2),1,0)</f>
        <v>0</v>
      </c>
      <c r="BX38" s="276" cm="1">
        <f t="array" ref="BX38">IF(AND(BX$2&lt;&gt;0,TblTech[[#This Row],[Hour]:[Hour]]&gt;=BX$2),1,0)</f>
        <v>0</v>
      </c>
      <c r="BY38" s="276" cm="1">
        <f t="array" ref="BY38">IF(AND(BY$2&lt;&gt;0,TblTech[[#This Row],[Hour]:[Hour]]&gt;=BY$2),1,0)</f>
        <v>0</v>
      </c>
      <c r="BZ38" s="276" cm="1">
        <f t="array" ref="BZ38">IF(AND(BZ$2&lt;&gt;0,TblTech[[#This Row],[Hour]:[Hour]]&gt;=BZ$2),1,0)</f>
        <v>0</v>
      </c>
      <c r="CA38" s="377">
        <f>IFERROR(INDEX($H$4:$H$79,MATCH(INDEX(TblTech[[#Headers],[1-1]:[11-1]],1,MATCH(TblTech[[#This Row],[Hour]],$M$2:$BZ$2,0)),$G$4:$G$79,0)),)</f>
        <v>0</v>
      </c>
    </row>
    <row r="39" spans="1:79" x14ac:dyDescent="0.2">
      <c r="A39" s="268">
        <f>TblRezone[[#This Row],[Hour]]</f>
        <v>36</v>
      </c>
      <c r="B39" s="269">
        <f ca="1">TblExplore[[#This Row],[Land-DB]]</f>
        <v>50</v>
      </c>
      <c r="C39" s="270">
        <f ca="1">TblProd[[#This Row],[Techpoints]]</f>
        <v>0</v>
      </c>
      <c r="D39" s="270">
        <f ca="1">TblProd[[#This Row],[Required]]</f>
        <v>3750</v>
      </c>
      <c r="E39" s="271"/>
      <c r="F39" s="272"/>
      <c r="G39" s="273" t="s">
        <v>578</v>
      </c>
      <c r="H39" s="274" t="s">
        <v>704</v>
      </c>
      <c r="I39" s="273" t="s">
        <v>1043</v>
      </c>
      <c r="J39" s="269"/>
      <c r="K39" s="93">
        <f ca="1">IF(TblTech[[#This Row],[Sum of tech]]&lt;&gt;OFFSET(TblTech[[#This Row],[Sum of tech]],-1,0),1,0)</f>
        <v>0</v>
      </c>
      <c r="L39" s="275">
        <f>COUNTIF(TblTech[[#This Row],[1-1]:[11-1]],1)</f>
        <v>0</v>
      </c>
      <c r="M39" s="276" cm="1">
        <f t="array" ref="M39">IF(AND(M$2&lt;&gt;0,TblTech[[#This Row],[Hour]:[Hour]]&gt;=M$2),1,0)</f>
        <v>0</v>
      </c>
      <c r="N39" s="276" cm="1">
        <f t="array" ref="N39">IF(AND(N$2&lt;&gt;0,TblTech[[#This Row],[Hour]:[Hour]]&gt;=N$2),1,0)</f>
        <v>0</v>
      </c>
      <c r="O39" s="276" cm="1">
        <f t="array" ref="O39">IF(AND(O$2&lt;&gt;0,TblTech[[#This Row],[Hour]:[Hour]]&gt;=O$2),1,0)</f>
        <v>0</v>
      </c>
      <c r="P39" s="276" cm="1">
        <f t="array" ref="P39">IF(AND(P$2&lt;&gt;0,TblTech[[#This Row],[Hour]:[Hour]]&gt;=P$2),1,0)</f>
        <v>0</v>
      </c>
      <c r="Q39" s="276" cm="1">
        <f t="array" ref="Q39">IF(AND(Q$2&lt;&gt;0,TblTech[[#This Row],[Hour]:[Hour]]&gt;=Q$2),1,0)</f>
        <v>0</v>
      </c>
      <c r="R39" s="276" cm="1">
        <f t="array" ref="R39">IF(AND(R$2&lt;&gt;0,TblTech[[#This Row],[Hour]:[Hour]]&gt;=R$2),1,0)</f>
        <v>0</v>
      </c>
      <c r="S39" s="276" cm="1">
        <f t="array" ref="S39">IF(AND(S$2&lt;&gt;0,TblTech[[#This Row],[Hour]:[Hour]]&gt;=S$2),1,0)</f>
        <v>0</v>
      </c>
      <c r="T39" s="276" cm="1">
        <f t="array" ref="T39">IF(AND(T$2&lt;&gt;0,TblTech[[#This Row],[Hour]:[Hour]]&gt;=T$2),1,0)</f>
        <v>0</v>
      </c>
      <c r="U39" s="276" cm="1">
        <f t="array" ref="U39">IF(AND(U$2&lt;&gt;0,TblTech[[#This Row],[Hour]:[Hour]]&gt;=U$2),1,0)</f>
        <v>0</v>
      </c>
      <c r="V39" s="276" cm="1">
        <f t="array" ref="V39">IF(AND(V$2&lt;&gt;0,TblTech[[#This Row],[Hour]:[Hour]]&gt;=V$2),1,0)</f>
        <v>0</v>
      </c>
      <c r="W39" s="276" cm="1">
        <f t="array" ref="W39">IF(AND(W$2&lt;&gt;0,TblTech[[#This Row],[Hour]:[Hour]]&gt;=W$2),1,0)</f>
        <v>0</v>
      </c>
      <c r="X39" s="276" cm="1">
        <f t="array" ref="X39">IF(AND(X$2&lt;&gt;0,TblTech[[#This Row],[Hour]:[Hour]]&gt;=X$2),1,0)</f>
        <v>0</v>
      </c>
      <c r="Y39" s="276" cm="1">
        <f t="array" ref="Y39">IF(AND(Y$2&lt;&gt;0,TblTech[[#This Row],[Hour]:[Hour]]&gt;=Y$2),1,0)</f>
        <v>0</v>
      </c>
      <c r="Z39" s="276" cm="1">
        <f t="array" ref="Z39">IF(AND(Z$2&lt;&gt;0,TblTech[[#This Row],[Hour]:[Hour]]&gt;=Z$2),1,0)</f>
        <v>0</v>
      </c>
      <c r="AA39" s="276" cm="1">
        <f t="array" ref="AA39">IF(AND(AA$2&lt;&gt;0,TblTech[[#This Row],[Hour]:[Hour]]&gt;=AA$2),1,0)</f>
        <v>0</v>
      </c>
      <c r="AB39" s="276" cm="1">
        <f t="array" ref="AB39">IF(AND(AB$2&lt;&gt;0,TblTech[[#This Row],[Hour]:[Hour]]&gt;=AB$2),1,0)</f>
        <v>0</v>
      </c>
      <c r="AC39" s="276" cm="1">
        <f t="array" ref="AC39">IF(AND(AC$2&lt;&gt;0,TblTech[[#This Row],[Hour]:[Hour]]&gt;=AC$2),1,0)</f>
        <v>0</v>
      </c>
      <c r="AD39" s="276" cm="1">
        <f t="array" ref="AD39">IF(AND(AD$2&lt;&gt;0,TblTech[[#This Row],[Hour]:[Hour]]&gt;=AD$2),1,0)</f>
        <v>0</v>
      </c>
      <c r="AE39" s="276" cm="1">
        <f t="array" ref="AE39">IF(AND(AE$2&lt;&gt;0,TblTech[[#This Row],[Hour]:[Hour]]&gt;=AE$2),1,0)</f>
        <v>0</v>
      </c>
      <c r="AF39" s="276" cm="1">
        <f t="array" ref="AF39">IF(AND(AF$2&lt;&gt;0,TblTech[[#This Row],[Hour]:[Hour]]&gt;=AF$2),1,0)</f>
        <v>0</v>
      </c>
      <c r="AG39" s="276" cm="1">
        <f t="array" ref="AG39">IF(AND(AG$2&lt;&gt;0,TblTech[[#This Row],[Hour]:[Hour]]&gt;=AG$2),1,0)</f>
        <v>0</v>
      </c>
      <c r="AH39" s="276" cm="1">
        <f t="array" ref="AH39">IF(AND(AH$2&lt;&gt;0,TblTech[[#This Row],[Hour]:[Hour]]&gt;=AH$2),1,0)</f>
        <v>0</v>
      </c>
      <c r="AI39" s="276" cm="1">
        <f t="array" ref="AI39">IF(AND(AI$2&lt;&gt;0,TblTech[[#This Row],[Hour]:[Hour]]&gt;=AI$2),1,0)</f>
        <v>0</v>
      </c>
      <c r="AJ39" s="276" cm="1">
        <f t="array" ref="AJ39">IF(AND(AJ$2&lt;&gt;0,TblTech[[#This Row],[Hour]:[Hour]]&gt;=AJ$2),1,0)</f>
        <v>0</v>
      </c>
      <c r="AK39" s="276" cm="1">
        <f t="array" ref="AK39">IF(AND(AK$2&lt;&gt;0,TblTech[[#This Row],[Hour]:[Hour]]&gt;=AK$2),1,0)</f>
        <v>0</v>
      </c>
      <c r="AL39" s="276" cm="1">
        <f t="array" ref="AL39">IF(AND(AL$2&lt;&gt;0,TblTech[[#This Row],[Hour]:[Hour]]&gt;=AL$2),1,0)</f>
        <v>0</v>
      </c>
      <c r="AM39" s="276" cm="1">
        <f t="array" ref="AM39">IF(AND(AM$2&lt;&gt;0,TblTech[[#This Row],[Hour]:[Hour]]&gt;=AM$2),1,0)</f>
        <v>0</v>
      </c>
      <c r="AN39" s="276" cm="1">
        <f t="array" ref="AN39">IF(AND(AN$2&lt;&gt;0,TblTech[[#This Row],[Hour]:[Hour]]&gt;=AN$2),1,0)</f>
        <v>0</v>
      </c>
      <c r="AO39" s="276" cm="1">
        <f t="array" ref="AO39">IF(AND(AO$2&lt;&gt;0,TblTech[[#This Row],[Hour]:[Hour]]&gt;=AO$2),1,0)</f>
        <v>0</v>
      </c>
      <c r="AP39" s="276" cm="1">
        <f t="array" ref="AP39">IF(AND(AP$2&lt;&gt;0,TblTech[[#This Row],[Hour]:[Hour]]&gt;=AP$2),1,0)</f>
        <v>0</v>
      </c>
      <c r="AQ39" s="276" cm="1">
        <f t="array" ref="AQ39">IF(AND(AQ$2&lt;&gt;0,TblTech[[#This Row],[Hour]:[Hour]]&gt;=AQ$2),1,0)</f>
        <v>0</v>
      </c>
      <c r="AR39" s="276" cm="1">
        <f t="array" ref="AR39">IF(AND(AR$2&lt;&gt;0,TblTech[[#This Row],[Hour]:[Hour]]&gt;=AR$2),1,0)</f>
        <v>0</v>
      </c>
      <c r="AS39" s="276" cm="1">
        <f t="array" ref="AS39">IF(AND(AS$2&lt;&gt;0,TblTech[[#This Row],[Hour]:[Hour]]&gt;=AS$2),1,0)</f>
        <v>0</v>
      </c>
      <c r="AT39" s="276" cm="1">
        <f t="array" ref="AT39">IF(AND(AT$2&lt;&gt;0,TblTech[[#This Row],[Hour]:[Hour]]&gt;=AT$2),1,0)</f>
        <v>0</v>
      </c>
      <c r="AU39" s="276" cm="1">
        <f t="array" ref="AU39">IF(AND(AU$2&lt;&gt;0,TblTech[[#This Row],[Hour]:[Hour]]&gt;=AU$2),1,0)</f>
        <v>0</v>
      </c>
      <c r="AV39" s="276" cm="1">
        <f t="array" ref="AV39">IF(AND(AV$2&lt;&gt;0,TblTech[[#This Row],[Hour]:[Hour]]&gt;=AV$2),1,0)</f>
        <v>0</v>
      </c>
      <c r="AW39" s="276" cm="1">
        <f t="array" ref="AW39">IF(AND(AW$2&lt;&gt;0,TblTech[[#This Row],[Hour]:[Hour]]&gt;=AW$2),1,0)</f>
        <v>0</v>
      </c>
      <c r="AX39" s="276" cm="1">
        <f t="array" ref="AX39">IF(AND(AX$2&lt;&gt;0,TblTech[[#This Row],[Hour]:[Hour]]&gt;=AX$2),1,0)</f>
        <v>0</v>
      </c>
      <c r="AY39" s="276" cm="1">
        <f t="array" ref="AY39">IF(AND(AY$2&lt;&gt;0,TblTech[[#This Row],[Hour]:[Hour]]&gt;=AY$2),1,0)</f>
        <v>0</v>
      </c>
      <c r="AZ39" s="276" cm="1">
        <f t="array" ref="AZ39">IF(AND(AZ$2&lt;&gt;0,TblTech[[#This Row],[Hour]:[Hour]]&gt;=AZ$2),1,0)</f>
        <v>0</v>
      </c>
      <c r="BA39" s="276" cm="1">
        <f t="array" ref="BA39">IF(AND(BA$2&lt;&gt;0,TblTech[[#This Row],[Hour]:[Hour]]&gt;=BA$2),1,0)</f>
        <v>0</v>
      </c>
      <c r="BB39" s="276" cm="1">
        <f t="array" ref="BB39">IF(AND(BB$2&lt;&gt;0,TblTech[[#This Row],[Hour]:[Hour]]&gt;=BB$2),1,0)</f>
        <v>0</v>
      </c>
      <c r="BC39" s="276" cm="1">
        <f t="array" ref="BC39">IF(AND(BC$2&lt;&gt;0,TblTech[[#This Row],[Hour]:[Hour]]&gt;=BC$2),1,0)</f>
        <v>0</v>
      </c>
      <c r="BD39" s="276" cm="1">
        <f t="array" ref="BD39">IF(AND(BD$2&lt;&gt;0,TblTech[[#This Row],[Hour]:[Hour]]&gt;=BD$2),1,0)</f>
        <v>0</v>
      </c>
      <c r="BE39" s="276" cm="1">
        <f t="array" ref="BE39">IF(AND(BE$2&lt;&gt;0,TblTech[[#This Row],[Hour]:[Hour]]&gt;=BE$2),1,0)</f>
        <v>0</v>
      </c>
      <c r="BF39" s="276" cm="1">
        <f t="array" ref="BF39">IF(AND(BF$2&lt;&gt;0,TblTech[[#This Row],[Hour]:[Hour]]&gt;=BF$2),1,0)</f>
        <v>0</v>
      </c>
      <c r="BG39" s="276" cm="1">
        <f t="array" ref="BG39">IF(AND(BG$2&lt;&gt;0,TblTech[[#This Row],[Hour]:[Hour]]&gt;=BG$2),1,0)</f>
        <v>0</v>
      </c>
      <c r="BH39" s="276" cm="1">
        <f t="array" ref="BH39">IF(AND(BH$2&lt;&gt;0,TblTech[[#This Row],[Hour]:[Hour]]&gt;=BH$2),1,0)</f>
        <v>0</v>
      </c>
      <c r="BI39" s="276" cm="1">
        <f t="array" ref="BI39">IF(AND(BI$2&lt;&gt;0,TblTech[[#This Row],[Hour]:[Hour]]&gt;=BI$2),1,0)</f>
        <v>0</v>
      </c>
      <c r="BJ39" s="276" cm="1">
        <f t="array" ref="BJ39">IF(AND(BJ$2&lt;&gt;0,TblTech[[#This Row],[Hour]:[Hour]]&gt;=BJ$2),1,0)</f>
        <v>0</v>
      </c>
      <c r="BK39" s="276" cm="1">
        <f t="array" ref="BK39">IF(AND(BK$2&lt;&gt;0,TblTech[[#This Row],[Hour]:[Hour]]&gt;=BK$2),1,0)</f>
        <v>0</v>
      </c>
      <c r="BL39" s="276" cm="1">
        <f t="array" ref="BL39">IF(AND(BL$2&lt;&gt;0,TblTech[[#This Row],[Hour]:[Hour]]&gt;=BL$2),1,0)</f>
        <v>0</v>
      </c>
      <c r="BM39" s="276" cm="1">
        <f t="array" ref="BM39">IF(AND(BM$2&lt;&gt;0,TblTech[[#This Row],[Hour]:[Hour]]&gt;=BM$2),1,0)</f>
        <v>0</v>
      </c>
      <c r="BN39" s="276" cm="1">
        <f t="array" ref="BN39">IF(AND(BN$2&lt;&gt;0,TblTech[[#This Row],[Hour]:[Hour]]&gt;=BN$2),1,0)</f>
        <v>0</v>
      </c>
      <c r="BO39" s="276" cm="1">
        <f t="array" ref="BO39">IF(AND(BO$2&lt;&gt;0,TblTech[[#This Row],[Hour]:[Hour]]&gt;=BO$2),1,0)</f>
        <v>0</v>
      </c>
      <c r="BP39" s="276" cm="1">
        <f t="array" ref="BP39">IF(AND(BP$2&lt;&gt;0,TblTech[[#This Row],[Hour]:[Hour]]&gt;=BP$2),1,0)</f>
        <v>0</v>
      </c>
      <c r="BQ39" s="276" cm="1">
        <f t="array" ref="BQ39">IF(AND(BQ$2&lt;&gt;0,TblTech[[#This Row],[Hour]:[Hour]]&gt;=BQ$2),1,0)</f>
        <v>0</v>
      </c>
      <c r="BR39" s="276" cm="1">
        <f t="array" ref="BR39">IF(AND(BR$2&lt;&gt;0,TblTech[[#This Row],[Hour]:[Hour]]&gt;=BR$2),1,0)</f>
        <v>0</v>
      </c>
      <c r="BS39" s="276" cm="1">
        <f t="array" ref="BS39">IF(AND(BS$2&lt;&gt;0,TblTech[[#This Row],[Hour]:[Hour]]&gt;=BS$2),1,0)</f>
        <v>0</v>
      </c>
      <c r="BT39" s="276" cm="1">
        <f t="array" ref="BT39">IF(AND(BT$2&lt;&gt;0,TblTech[[#This Row],[Hour]:[Hour]]&gt;=BT$2),1,0)</f>
        <v>0</v>
      </c>
      <c r="BU39" s="276" cm="1">
        <f t="array" ref="BU39">IF(AND(BU$2&lt;&gt;0,TblTech[[#This Row],[Hour]:[Hour]]&gt;=BU$2),1,0)</f>
        <v>0</v>
      </c>
      <c r="BV39" s="276" cm="1">
        <f t="array" ref="BV39">IF(AND(BV$2&lt;&gt;0,TblTech[[#This Row],[Hour]:[Hour]]&gt;=BV$2),1,0)</f>
        <v>0</v>
      </c>
      <c r="BW39" s="276" cm="1">
        <f t="array" ref="BW39">IF(AND(BW$2&lt;&gt;0,TblTech[[#This Row],[Hour]:[Hour]]&gt;=BW$2),1,0)</f>
        <v>0</v>
      </c>
      <c r="BX39" s="276" cm="1">
        <f t="array" ref="BX39">IF(AND(BX$2&lt;&gt;0,TblTech[[#This Row],[Hour]:[Hour]]&gt;=BX$2),1,0)</f>
        <v>0</v>
      </c>
      <c r="BY39" s="276" cm="1">
        <f t="array" ref="BY39">IF(AND(BY$2&lt;&gt;0,TblTech[[#This Row],[Hour]:[Hour]]&gt;=BY$2),1,0)</f>
        <v>0</v>
      </c>
      <c r="BZ39" s="276" cm="1">
        <f t="array" ref="BZ39">IF(AND(BZ$2&lt;&gt;0,TblTech[[#This Row],[Hour]:[Hour]]&gt;=BZ$2),1,0)</f>
        <v>0</v>
      </c>
      <c r="CA39" s="377">
        <f>IFERROR(INDEX($H$4:$H$79,MATCH(INDEX(TblTech[[#Headers],[1-1]:[11-1]],1,MATCH(TblTech[[#This Row],[Hour]],$M$2:$BZ$2,0)),$G$4:$G$79,0)),)</f>
        <v>0</v>
      </c>
    </row>
    <row r="40" spans="1:79" x14ac:dyDescent="0.2">
      <c r="A40" s="268">
        <f>TblRezone[[#This Row],[Hour]]</f>
        <v>37</v>
      </c>
      <c r="B40" s="269">
        <f ca="1">TblExplore[[#This Row],[Land-DB]]</f>
        <v>50</v>
      </c>
      <c r="C40" s="270">
        <f ca="1">TblProd[[#This Row],[Techpoints]]</f>
        <v>0</v>
      </c>
      <c r="D40" s="270">
        <f ca="1">TblProd[[#This Row],[Required]]</f>
        <v>3750</v>
      </c>
      <c r="E40" s="271"/>
      <c r="F40" s="272"/>
      <c r="G40" s="273" t="s">
        <v>579</v>
      </c>
      <c r="H40" s="274" t="s">
        <v>705</v>
      </c>
      <c r="I40" s="273" t="s">
        <v>1085</v>
      </c>
      <c r="J40" s="269"/>
      <c r="K40" s="93">
        <f ca="1">IF(TblTech[[#This Row],[Sum of tech]]&lt;&gt;OFFSET(TblTech[[#This Row],[Sum of tech]],-1,0),1,0)</f>
        <v>0</v>
      </c>
      <c r="L40" s="275">
        <f>COUNTIF(TblTech[[#This Row],[1-1]:[11-1]],1)</f>
        <v>0</v>
      </c>
      <c r="M40" s="276" cm="1">
        <f t="array" ref="M40">IF(AND(M$2&lt;&gt;0,TblTech[[#This Row],[Hour]:[Hour]]&gt;=M$2),1,0)</f>
        <v>0</v>
      </c>
      <c r="N40" s="276" cm="1">
        <f t="array" ref="N40">IF(AND(N$2&lt;&gt;0,TblTech[[#This Row],[Hour]:[Hour]]&gt;=N$2),1,0)</f>
        <v>0</v>
      </c>
      <c r="O40" s="276" cm="1">
        <f t="array" ref="O40">IF(AND(O$2&lt;&gt;0,TblTech[[#This Row],[Hour]:[Hour]]&gt;=O$2),1,0)</f>
        <v>0</v>
      </c>
      <c r="P40" s="276" cm="1">
        <f t="array" ref="P40">IF(AND(P$2&lt;&gt;0,TblTech[[#This Row],[Hour]:[Hour]]&gt;=P$2),1,0)</f>
        <v>0</v>
      </c>
      <c r="Q40" s="276" cm="1">
        <f t="array" ref="Q40">IF(AND(Q$2&lt;&gt;0,TblTech[[#This Row],[Hour]:[Hour]]&gt;=Q$2),1,0)</f>
        <v>0</v>
      </c>
      <c r="R40" s="276" cm="1">
        <f t="array" ref="R40">IF(AND(R$2&lt;&gt;0,TblTech[[#This Row],[Hour]:[Hour]]&gt;=R$2),1,0)</f>
        <v>0</v>
      </c>
      <c r="S40" s="276" cm="1">
        <f t="array" ref="S40">IF(AND(S$2&lt;&gt;0,TblTech[[#This Row],[Hour]:[Hour]]&gt;=S$2),1,0)</f>
        <v>0</v>
      </c>
      <c r="T40" s="276" cm="1">
        <f t="array" ref="T40">IF(AND(T$2&lt;&gt;0,TblTech[[#This Row],[Hour]:[Hour]]&gt;=T$2),1,0)</f>
        <v>0</v>
      </c>
      <c r="U40" s="276" cm="1">
        <f t="array" ref="U40">IF(AND(U$2&lt;&gt;0,TblTech[[#This Row],[Hour]:[Hour]]&gt;=U$2),1,0)</f>
        <v>0</v>
      </c>
      <c r="V40" s="276" cm="1">
        <f t="array" ref="V40">IF(AND(V$2&lt;&gt;0,TblTech[[#This Row],[Hour]:[Hour]]&gt;=V$2),1,0)</f>
        <v>0</v>
      </c>
      <c r="W40" s="276" cm="1">
        <f t="array" ref="W40">IF(AND(W$2&lt;&gt;0,TblTech[[#This Row],[Hour]:[Hour]]&gt;=W$2),1,0)</f>
        <v>0</v>
      </c>
      <c r="X40" s="276" cm="1">
        <f t="array" ref="X40">IF(AND(X$2&lt;&gt;0,TblTech[[#This Row],[Hour]:[Hour]]&gt;=X$2),1,0)</f>
        <v>0</v>
      </c>
      <c r="Y40" s="276" cm="1">
        <f t="array" ref="Y40">IF(AND(Y$2&lt;&gt;0,TblTech[[#This Row],[Hour]:[Hour]]&gt;=Y$2),1,0)</f>
        <v>0</v>
      </c>
      <c r="Z40" s="276" cm="1">
        <f t="array" ref="Z40">IF(AND(Z$2&lt;&gt;0,TblTech[[#This Row],[Hour]:[Hour]]&gt;=Z$2),1,0)</f>
        <v>0</v>
      </c>
      <c r="AA40" s="276" cm="1">
        <f t="array" ref="AA40">IF(AND(AA$2&lt;&gt;0,TblTech[[#This Row],[Hour]:[Hour]]&gt;=AA$2),1,0)</f>
        <v>0</v>
      </c>
      <c r="AB40" s="276" cm="1">
        <f t="array" ref="AB40">IF(AND(AB$2&lt;&gt;0,TblTech[[#This Row],[Hour]:[Hour]]&gt;=AB$2),1,0)</f>
        <v>0</v>
      </c>
      <c r="AC40" s="276" cm="1">
        <f t="array" ref="AC40">IF(AND(AC$2&lt;&gt;0,TblTech[[#This Row],[Hour]:[Hour]]&gt;=AC$2),1,0)</f>
        <v>0</v>
      </c>
      <c r="AD40" s="276" cm="1">
        <f t="array" ref="AD40">IF(AND(AD$2&lt;&gt;0,TblTech[[#This Row],[Hour]:[Hour]]&gt;=AD$2),1,0)</f>
        <v>0</v>
      </c>
      <c r="AE40" s="276" cm="1">
        <f t="array" ref="AE40">IF(AND(AE$2&lt;&gt;0,TblTech[[#This Row],[Hour]:[Hour]]&gt;=AE$2),1,0)</f>
        <v>0</v>
      </c>
      <c r="AF40" s="276" cm="1">
        <f t="array" ref="AF40">IF(AND(AF$2&lt;&gt;0,TblTech[[#This Row],[Hour]:[Hour]]&gt;=AF$2),1,0)</f>
        <v>0</v>
      </c>
      <c r="AG40" s="276" cm="1">
        <f t="array" ref="AG40">IF(AND(AG$2&lt;&gt;0,TblTech[[#This Row],[Hour]:[Hour]]&gt;=AG$2),1,0)</f>
        <v>0</v>
      </c>
      <c r="AH40" s="276" cm="1">
        <f t="array" ref="AH40">IF(AND(AH$2&lt;&gt;0,TblTech[[#This Row],[Hour]:[Hour]]&gt;=AH$2),1,0)</f>
        <v>0</v>
      </c>
      <c r="AI40" s="276" cm="1">
        <f t="array" ref="AI40">IF(AND(AI$2&lt;&gt;0,TblTech[[#This Row],[Hour]:[Hour]]&gt;=AI$2),1,0)</f>
        <v>0</v>
      </c>
      <c r="AJ40" s="276" cm="1">
        <f t="array" ref="AJ40">IF(AND(AJ$2&lt;&gt;0,TblTech[[#This Row],[Hour]:[Hour]]&gt;=AJ$2),1,0)</f>
        <v>0</v>
      </c>
      <c r="AK40" s="276" cm="1">
        <f t="array" ref="AK40">IF(AND(AK$2&lt;&gt;0,TblTech[[#This Row],[Hour]:[Hour]]&gt;=AK$2),1,0)</f>
        <v>0</v>
      </c>
      <c r="AL40" s="276" cm="1">
        <f t="array" ref="AL40">IF(AND(AL$2&lt;&gt;0,TblTech[[#This Row],[Hour]:[Hour]]&gt;=AL$2),1,0)</f>
        <v>0</v>
      </c>
      <c r="AM40" s="276" cm="1">
        <f t="array" ref="AM40">IF(AND(AM$2&lt;&gt;0,TblTech[[#This Row],[Hour]:[Hour]]&gt;=AM$2),1,0)</f>
        <v>0</v>
      </c>
      <c r="AN40" s="276" cm="1">
        <f t="array" ref="AN40">IF(AND(AN$2&lt;&gt;0,TblTech[[#This Row],[Hour]:[Hour]]&gt;=AN$2),1,0)</f>
        <v>0</v>
      </c>
      <c r="AO40" s="276" cm="1">
        <f t="array" ref="AO40">IF(AND(AO$2&lt;&gt;0,TblTech[[#This Row],[Hour]:[Hour]]&gt;=AO$2),1,0)</f>
        <v>0</v>
      </c>
      <c r="AP40" s="276" cm="1">
        <f t="array" ref="AP40">IF(AND(AP$2&lt;&gt;0,TblTech[[#This Row],[Hour]:[Hour]]&gt;=AP$2),1,0)</f>
        <v>0</v>
      </c>
      <c r="AQ40" s="276" cm="1">
        <f t="array" ref="AQ40">IF(AND(AQ$2&lt;&gt;0,TblTech[[#This Row],[Hour]:[Hour]]&gt;=AQ$2),1,0)</f>
        <v>0</v>
      </c>
      <c r="AR40" s="276" cm="1">
        <f t="array" ref="AR40">IF(AND(AR$2&lt;&gt;0,TblTech[[#This Row],[Hour]:[Hour]]&gt;=AR$2),1,0)</f>
        <v>0</v>
      </c>
      <c r="AS40" s="276" cm="1">
        <f t="array" ref="AS40">IF(AND(AS$2&lt;&gt;0,TblTech[[#This Row],[Hour]:[Hour]]&gt;=AS$2),1,0)</f>
        <v>0</v>
      </c>
      <c r="AT40" s="276" cm="1">
        <f t="array" ref="AT40">IF(AND(AT$2&lt;&gt;0,TblTech[[#This Row],[Hour]:[Hour]]&gt;=AT$2),1,0)</f>
        <v>0</v>
      </c>
      <c r="AU40" s="276" cm="1">
        <f t="array" ref="AU40">IF(AND(AU$2&lt;&gt;0,TblTech[[#This Row],[Hour]:[Hour]]&gt;=AU$2),1,0)</f>
        <v>0</v>
      </c>
      <c r="AV40" s="276" cm="1">
        <f t="array" ref="AV40">IF(AND(AV$2&lt;&gt;0,TblTech[[#This Row],[Hour]:[Hour]]&gt;=AV$2),1,0)</f>
        <v>0</v>
      </c>
      <c r="AW40" s="276" cm="1">
        <f t="array" ref="AW40">IF(AND(AW$2&lt;&gt;0,TblTech[[#This Row],[Hour]:[Hour]]&gt;=AW$2),1,0)</f>
        <v>0</v>
      </c>
      <c r="AX40" s="276" cm="1">
        <f t="array" ref="AX40">IF(AND(AX$2&lt;&gt;0,TblTech[[#This Row],[Hour]:[Hour]]&gt;=AX$2),1,0)</f>
        <v>0</v>
      </c>
      <c r="AY40" s="276" cm="1">
        <f t="array" ref="AY40">IF(AND(AY$2&lt;&gt;0,TblTech[[#This Row],[Hour]:[Hour]]&gt;=AY$2),1,0)</f>
        <v>0</v>
      </c>
      <c r="AZ40" s="276" cm="1">
        <f t="array" ref="AZ40">IF(AND(AZ$2&lt;&gt;0,TblTech[[#This Row],[Hour]:[Hour]]&gt;=AZ$2),1,0)</f>
        <v>0</v>
      </c>
      <c r="BA40" s="276" cm="1">
        <f t="array" ref="BA40">IF(AND(BA$2&lt;&gt;0,TblTech[[#This Row],[Hour]:[Hour]]&gt;=BA$2),1,0)</f>
        <v>0</v>
      </c>
      <c r="BB40" s="276" cm="1">
        <f t="array" ref="BB40">IF(AND(BB$2&lt;&gt;0,TblTech[[#This Row],[Hour]:[Hour]]&gt;=BB$2),1,0)</f>
        <v>0</v>
      </c>
      <c r="BC40" s="276" cm="1">
        <f t="array" ref="BC40">IF(AND(BC$2&lt;&gt;0,TblTech[[#This Row],[Hour]:[Hour]]&gt;=BC$2),1,0)</f>
        <v>0</v>
      </c>
      <c r="BD40" s="276" cm="1">
        <f t="array" ref="BD40">IF(AND(BD$2&lt;&gt;0,TblTech[[#This Row],[Hour]:[Hour]]&gt;=BD$2),1,0)</f>
        <v>0</v>
      </c>
      <c r="BE40" s="276" cm="1">
        <f t="array" ref="BE40">IF(AND(BE$2&lt;&gt;0,TblTech[[#This Row],[Hour]:[Hour]]&gt;=BE$2),1,0)</f>
        <v>0</v>
      </c>
      <c r="BF40" s="276" cm="1">
        <f t="array" ref="BF40">IF(AND(BF$2&lt;&gt;0,TblTech[[#This Row],[Hour]:[Hour]]&gt;=BF$2),1,0)</f>
        <v>0</v>
      </c>
      <c r="BG40" s="276" cm="1">
        <f t="array" ref="BG40">IF(AND(BG$2&lt;&gt;0,TblTech[[#This Row],[Hour]:[Hour]]&gt;=BG$2),1,0)</f>
        <v>0</v>
      </c>
      <c r="BH40" s="276" cm="1">
        <f t="array" ref="BH40">IF(AND(BH$2&lt;&gt;0,TblTech[[#This Row],[Hour]:[Hour]]&gt;=BH$2),1,0)</f>
        <v>0</v>
      </c>
      <c r="BI40" s="276" cm="1">
        <f t="array" ref="BI40">IF(AND(BI$2&lt;&gt;0,TblTech[[#This Row],[Hour]:[Hour]]&gt;=BI$2),1,0)</f>
        <v>0</v>
      </c>
      <c r="BJ40" s="276" cm="1">
        <f t="array" ref="BJ40">IF(AND(BJ$2&lt;&gt;0,TblTech[[#This Row],[Hour]:[Hour]]&gt;=BJ$2),1,0)</f>
        <v>0</v>
      </c>
      <c r="BK40" s="276" cm="1">
        <f t="array" ref="BK40">IF(AND(BK$2&lt;&gt;0,TblTech[[#This Row],[Hour]:[Hour]]&gt;=BK$2),1,0)</f>
        <v>0</v>
      </c>
      <c r="BL40" s="276" cm="1">
        <f t="array" ref="BL40">IF(AND(BL$2&lt;&gt;0,TblTech[[#This Row],[Hour]:[Hour]]&gt;=BL$2),1,0)</f>
        <v>0</v>
      </c>
      <c r="BM40" s="276" cm="1">
        <f t="array" ref="BM40">IF(AND(BM$2&lt;&gt;0,TblTech[[#This Row],[Hour]:[Hour]]&gt;=BM$2),1,0)</f>
        <v>0</v>
      </c>
      <c r="BN40" s="276" cm="1">
        <f t="array" ref="BN40">IF(AND(BN$2&lt;&gt;0,TblTech[[#This Row],[Hour]:[Hour]]&gt;=BN$2),1,0)</f>
        <v>0</v>
      </c>
      <c r="BO40" s="276" cm="1">
        <f t="array" ref="BO40">IF(AND(BO$2&lt;&gt;0,TblTech[[#This Row],[Hour]:[Hour]]&gt;=BO$2),1,0)</f>
        <v>0</v>
      </c>
      <c r="BP40" s="276" cm="1">
        <f t="array" ref="BP40">IF(AND(BP$2&lt;&gt;0,TblTech[[#This Row],[Hour]:[Hour]]&gt;=BP$2),1,0)</f>
        <v>0</v>
      </c>
      <c r="BQ40" s="276" cm="1">
        <f t="array" ref="BQ40">IF(AND(BQ$2&lt;&gt;0,TblTech[[#This Row],[Hour]:[Hour]]&gt;=BQ$2),1,0)</f>
        <v>0</v>
      </c>
      <c r="BR40" s="276" cm="1">
        <f t="array" ref="BR40">IF(AND(BR$2&lt;&gt;0,TblTech[[#This Row],[Hour]:[Hour]]&gt;=BR$2),1,0)</f>
        <v>0</v>
      </c>
      <c r="BS40" s="276" cm="1">
        <f t="array" ref="BS40">IF(AND(BS$2&lt;&gt;0,TblTech[[#This Row],[Hour]:[Hour]]&gt;=BS$2),1,0)</f>
        <v>0</v>
      </c>
      <c r="BT40" s="276" cm="1">
        <f t="array" ref="BT40">IF(AND(BT$2&lt;&gt;0,TblTech[[#This Row],[Hour]:[Hour]]&gt;=BT$2),1,0)</f>
        <v>0</v>
      </c>
      <c r="BU40" s="276" cm="1">
        <f t="array" ref="BU40">IF(AND(BU$2&lt;&gt;0,TblTech[[#This Row],[Hour]:[Hour]]&gt;=BU$2),1,0)</f>
        <v>0</v>
      </c>
      <c r="BV40" s="276" cm="1">
        <f t="array" ref="BV40">IF(AND(BV$2&lt;&gt;0,TblTech[[#This Row],[Hour]:[Hour]]&gt;=BV$2),1,0)</f>
        <v>0</v>
      </c>
      <c r="BW40" s="276" cm="1">
        <f t="array" ref="BW40">IF(AND(BW$2&lt;&gt;0,TblTech[[#This Row],[Hour]:[Hour]]&gt;=BW$2),1,0)</f>
        <v>0</v>
      </c>
      <c r="BX40" s="276" cm="1">
        <f t="array" ref="BX40">IF(AND(BX$2&lt;&gt;0,TblTech[[#This Row],[Hour]:[Hour]]&gt;=BX$2),1,0)</f>
        <v>0</v>
      </c>
      <c r="BY40" s="276" cm="1">
        <f t="array" ref="BY40">IF(AND(BY$2&lt;&gt;0,TblTech[[#This Row],[Hour]:[Hour]]&gt;=BY$2),1,0)</f>
        <v>0</v>
      </c>
      <c r="BZ40" s="276" cm="1">
        <f t="array" ref="BZ40">IF(AND(BZ$2&lt;&gt;0,TblTech[[#This Row],[Hour]:[Hour]]&gt;=BZ$2),1,0)</f>
        <v>0</v>
      </c>
      <c r="CA40" s="377">
        <f>IFERROR(INDEX($H$4:$H$79,MATCH(INDEX(TblTech[[#Headers],[1-1]:[11-1]],1,MATCH(TblTech[[#This Row],[Hour]],$M$2:$BZ$2,0)),$G$4:$G$79,0)),)</f>
        <v>0</v>
      </c>
    </row>
    <row r="41" spans="1:79" x14ac:dyDescent="0.2">
      <c r="A41" s="268">
        <f>TblRezone[[#This Row],[Hour]]</f>
        <v>38</v>
      </c>
      <c r="B41" s="269">
        <f ca="1">TblExplore[[#This Row],[Land-DB]]</f>
        <v>50</v>
      </c>
      <c r="C41" s="270">
        <f ca="1">TblProd[[#This Row],[Techpoints]]</f>
        <v>0</v>
      </c>
      <c r="D41" s="270">
        <f ca="1">TblProd[[#This Row],[Required]]</f>
        <v>3750</v>
      </c>
      <c r="E41" s="271"/>
      <c r="F41" s="272"/>
      <c r="G41" s="273" t="s">
        <v>580</v>
      </c>
      <c r="H41" s="274" t="s">
        <v>1047</v>
      </c>
      <c r="I41" s="273" t="s">
        <v>1162</v>
      </c>
      <c r="J41" s="269"/>
      <c r="K41" s="93">
        <f ca="1">IF(TblTech[[#This Row],[Sum of tech]]&lt;&gt;OFFSET(TblTech[[#This Row],[Sum of tech]],-1,0),1,0)</f>
        <v>0</v>
      </c>
      <c r="L41" s="275">
        <f>COUNTIF(TblTech[[#This Row],[1-1]:[11-1]],1)</f>
        <v>0</v>
      </c>
      <c r="M41" s="276" cm="1">
        <f t="array" ref="M41">IF(AND(M$2&lt;&gt;0,TblTech[[#This Row],[Hour]:[Hour]]&gt;=M$2),1,0)</f>
        <v>0</v>
      </c>
      <c r="N41" s="276" cm="1">
        <f t="array" ref="N41">IF(AND(N$2&lt;&gt;0,TblTech[[#This Row],[Hour]:[Hour]]&gt;=N$2),1,0)</f>
        <v>0</v>
      </c>
      <c r="O41" s="276" cm="1">
        <f t="array" ref="O41">IF(AND(O$2&lt;&gt;0,TblTech[[#This Row],[Hour]:[Hour]]&gt;=O$2),1,0)</f>
        <v>0</v>
      </c>
      <c r="P41" s="276" cm="1">
        <f t="array" ref="P41">IF(AND(P$2&lt;&gt;0,TblTech[[#This Row],[Hour]:[Hour]]&gt;=P$2),1,0)</f>
        <v>0</v>
      </c>
      <c r="Q41" s="276" cm="1">
        <f t="array" ref="Q41">IF(AND(Q$2&lt;&gt;0,TblTech[[#This Row],[Hour]:[Hour]]&gt;=Q$2),1,0)</f>
        <v>0</v>
      </c>
      <c r="R41" s="276" cm="1">
        <f t="array" ref="R41">IF(AND(R$2&lt;&gt;0,TblTech[[#This Row],[Hour]:[Hour]]&gt;=R$2),1,0)</f>
        <v>0</v>
      </c>
      <c r="S41" s="276" cm="1">
        <f t="array" ref="S41">IF(AND(S$2&lt;&gt;0,TblTech[[#This Row],[Hour]:[Hour]]&gt;=S$2),1,0)</f>
        <v>0</v>
      </c>
      <c r="T41" s="276" cm="1">
        <f t="array" ref="T41">IF(AND(T$2&lt;&gt;0,TblTech[[#This Row],[Hour]:[Hour]]&gt;=T$2),1,0)</f>
        <v>0</v>
      </c>
      <c r="U41" s="276" cm="1">
        <f t="array" ref="U41">IF(AND(U$2&lt;&gt;0,TblTech[[#This Row],[Hour]:[Hour]]&gt;=U$2),1,0)</f>
        <v>0</v>
      </c>
      <c r="V41" s="276" cm="1">
        <f t="array" ref="V41">IF(AND(V$2&lt;&gt;0,TblTech[[#This Row],[Hour]:[Hour]]&gt;=V$2),1,0)</f>
        <v>0</v>
      </c>
      <c r="W41" s="276" cm="1">
        <f t="array" ref="W41">IF(AND(W$2&lt;&gt;0,TblTech[[#This Row],[Hour]:[Hour]]&gt;=W$2),1,0)</f>
        <v>0</v>
      </c>
      <c r="X41" s="276" cm="1">
        <f t="array" ref="X41">IF(AND(X$2&lt;&gt;0,TblTech[[#This Row],[Hour]:[Hour]]&gt;=X$2),1,0)</f>
        <v>0</v>
      </c>
      <c r="Y41" s="276" cm="1">
        <f t="array" ref="Y41">IF(AND(Y$2&lt;&gt;0,TblTech[[#This Row],[Hour]:[Hour]]&gt;=Y$2),1,0)</f>
        <v>0</v>
      </c>
      <c r="Z41" s="276" cm="1">
        <f t="array" ref="Z41">IF(AND(Z$2&lt;&gt;0,TblTech[[#This Row],[Hour]:[Hour]]&gt;=Z$2),1,0)</f>
        <v>0</v>
      </c>
      <c r="AA41" s="276" cm="1">
        <f t="array" ref="AA41">IF(AND(AA$2&lt;&gt;0,TblTech[[#This Row],[Hour]:[Hour]]&gt;=AA$2),1,0)</f>
        <v>0</v>
      </c>
      <c r="AB41" s="276" cm="1">
        <f t="array" ref="AB41">IF(AND(AB$2&lt;&gt;0,TblTech[[#This Row],[Hour]:[Hour]]&gt;=AB$2),1,0)</f>
        <v>0</v>
      </c>
      <c r="AC41" s="276" cm="1">
        <f t="array" ref="AC41">IF(AND(AC$2&lt;&gt;0,TblTech[[#This Row],[Hour]:[Hour]]&gt;=AC$2),1,0)</f>
        <v>0</v>
      </c>
      <c r="AD41" s="276" cm="1">
        <f t="array" ref="AD41">IF(AND(AD$2&lt;&gt;0,TblTech[[#This Row],[Hour]:[Hour]]&gt;=AD$2),1,0)</f>
        <v>0</v>
      </c>
      <c r="AE41" s="276" cm="1">
        <f t="array" ref="AE41">IF(AND(AE$2&lt;&gt;0,TblTech[[#This Row],[Hour]:[Hour]]&gt;=AE$2),1,0)</f>
        <v>0</v>
      </c>
      <c r="AF41" s="276" cm="1">
        <f t="array" ref="AF41">IF(AND(AF$2&lt;&gt;0,TblTech[[#This Row],[Hour]:[Hour]]&gt;=AF$2),1,0)</f>
        <v>0</v>
      </c>
      <c r="AG41" s="276" cm="1">
        <f t="array" ref="AG41">IF(AND(AG$2&lt;&gt;0,TblTech[[#This Row],[Hour]:[Hour]]&gt;=AG$2),1,0)</f>
        <v>0</v>
      </c>
      <c r="AH41" s="276" cm="1">
        <f t="array" ref="AH41">IF(AND(AH$2&lt;&gt;0,TblTech[[#This Row],[Hour]:[Hour]]&gt;=AH$2),1,0)</f>
        <v>0</v>
      </c>
      <c r="AI41" s="276" cm="1">
        <f t="array" ref="AI41">IF(AND(AI$2&lt;&gt;0,TblTech[[#This Row],[Hour]:[Hour]]&gt;=AI$2),1,0)</f>
        <v>0</v>
      </c>
      <c r="AJ41" s="276" cm="1">
        <f t="array" ref="AJ41">IF(AND(AJ$2&lt;&gt;0,TblTech[[#This Row],[Hour]:[Hour]]&gt;=AJ$2),1,0)</f>
        <v>0</v>
      </c>
      <c r="AK41" s="276" cm="1">
        <f t="array" ref="AK41">IF(AND(AK$2&lt;&gt;0,TblTech[[#This Row],[Hour]:[Hour]]&gt;=AK$2),1,0)</f>
        <v>0</v>
      </c>
      <c r="AL41" s="276" cm="1">
        <f t="array" ref="AL41">IF(AND(AL$2&lt;&gt;0,TblTech[[#This Row],[Hour]:[Hour]]&gt;=AL$2),1,0)</f>
        <v>0</v>
      </c>
      <c r="AM41" s="276" cm="1">
        <f t="array" ref="AM41">IF(AND(AM$2&lt;&gt;0,TblTech[[#This Row],[Hour]:[Hour]]&gt;=AM$2),1,0)</f>
        <v>0</v>
      </c>
      <c r="AN41" s="276" cm="1">
        <f t="array" ref="AN41">IF(AND(AN$2&lt;&gt;0,TblTech[[#This Row],[Hour]:[Hour]]&gt;=AN$2),1,0)</f>
        <v>0</v>
      </c>
      <c r="AO41" s="276" cm="1">
        <f t="array" ref="AO41">IF(AND(AO$2&lt;&gt;0,TblTech[[#This Row],[Hour]:[Hour]]&gt;=AO$2),1,0)</f>
        <v>0</v>
      </c>
      <c r="AP41" s="276" cm="1">
        <f t="array" ref="AP41">IF(AND(AP$2&lt;&gt;0,TblTech[[#This Row],[Hour]:[Hour]]&gt;=AP$2),1,0)</f>
        <v>0</v>
      </c>
      <c r="AQ41" s="276" cm="1">
        <f t="array" ref="AQ41">IF(AND(AQ$2&lt;&gt;0,TblTech[[#This Row],[Hour]:[Hour]]&gt;=AQ$2),1,0)</f>
        <v>0</v>
      </c>
      <c r="AR41" s="276" cm="1">
        <f t="array" ref="AR41">IF(AND(AR$2&lt;&gt;0,TblTech[[#This Row],[Hour]:[Hour]]&gt;=AR$2),1,0)</f>
        <v>0</v>
      </c>
      <c r="AS41" s="276" cm="1">
        <f t="array" ref="AS41">IF(AND(AS$2&lt;&gt;0,TblTech[[#This Row],[Hour]:[Hour]]&gt;=AS$2),1,0)</f>
        <v>0</v>
      </c>
      <c r="AT41" s="276" cm="1">
        <f t="array" ref="AT41">IF(AND(AT$2&lt;&gt;0,TblTech[[#This Row],[Hour]:[Hour]]&gt;=AT$2),1,0)</f>
        <v>0</v>
      </c>
      <c r="AU41" s="276" cm="1">
        <f t="array" ref="AU41">IF(AND(AU$2&lt;&gt;0,TblTech[[#This Row],[Hour]:[Hour]]&gt;=AU$2),1,0)</f>
        <v>0</v>
      </c>
      <c r="AV41" s="276" cm="1">
        <f t="array" ref="AV41">IF(AND(AV$2&lt;&gt;0,TblTech[[#This Row],[Hour]:[Hour]]&gt;=AV$2),1,0)</f>
        <v>0</v>
      </c>
      <c r="AW41" s="276" cm="1">
        <f t="array" ref="AW41">IF(AND(AW$2&lt;&gt;0,TblTech[[#This Row],[Hour]:[Hour]]&gt;=AW$2),1,0)</f>
        <v>0</v>
      </c>
      <c r="AX41" s="276" cm="1">
        <f t="array" ref="AX41">IF(AND(AX$2&lt;&gt;0,TblTech[[#This Row],[Hour]:[Hour]]&gt;=AX$2),1,0)</f>
        <v>0</v>
      </c>
      <c r="AY41" s="276" cm="1">
        <f t="array" ref="AY41">IF(AND(AY$2&lt;&gt;0,TblTech[[#This Row],[Hour]:[Hour]]&gt;=AY$2),1,0)</f>
        <v>0</v>
      </c>
      <c r="AZ41" s="276" cm="1">
        <f t="array" ref="AZ41">IF(AND(AZ$2&lt;&gt;0,TblTech[[#This Row],[Hour]:[Hour]]&gt;=AZ$2),1,0)</f>
        <v>0</v>
      </c>
      <c r="BA41" s="276" cm="1">
        <f t="array" ref="BA41">IF(AND(BA$2&lt;&gt;0,TblTech[[#This Row],[Hour]:[Hour]]&gt;=BA$2),1,0)</f>
        <v>0</v>
      </c>
      <c r="BB41" s="276" cm="1">
        <f t="array" ref="BB41">IF(AND(BB$2&lt;&gt;0,TblTech[[#This Row],[Hour]:[Hour]]&gt;=BB$2),1,0)</f>
        <v>0</v>
      </c>
      <c r="BC41" s="276" cm="1">
        <f t="array" ref="BC41">IF(AND(BC$2&lt;&gt;0,TblTech[[#This Row],[Hour]:[Hour]]&gt;=BC$2),1,0)</f>
        <v>0</v>
      </c>
      <c r="BD41" s="276" cm="1">
        <f t="array" ref="BD41">IF(AND(BD$2&lt;&gt;0,TblTech[[#This Row],[Hour]:[Hour]]&gt;=BD$2),1,0)</f>
        <v>0</v>
      </c>
      <c r="BE41" s="276" cm="1">
        <f t="array" ref="BE41">IF(AND(BE$2&lt;&gt;0,TblTech[[#This Row],[Hour]:[Hour]]&gt;=BE$2),1,0)</f>
        <v>0</v>
      </c>
      <c r="BF41" s="276" cm="1">
        <f t="array" ref="BF41">IF(AND(BF$2&lt;&gt;0,TblTech[[#This Row],[Hour]:[Hour]]&gt;=BF$2),1,0)</f>
        <v>0</v>
      </c>
      <c r="BG41" s="276" cm="1">
        <f t="array" ref="BG41">IF(AND(BG$2&lt;&gt;0,TblTech[[#This Row],[Hour]:[Hour]]&gt;=BG$2),1,0)</f>
        <v>0</v>
      </c>
      <c r="BH41" s="276" cm="1">
        <f t="array" ref="BH41">IF(AND(BH$2&lt;&gt;0,TblTech[[#This Row],[Hour]:[Hour]]&gt;=BH$2),1,0)</f>
        <v>0</v>
      </c>
      <c r="BI41" s="276" cm="1">
        <f t="array" ref="BI41">IF(AND(BI$2&lt;&gt;0,TblTech[[#This Row],[Hour]:[Hour]]&gt;=BI$2),1,0)</f>
        <v>0</v>
      </c>
      <c r="BJ41" s="276" cm="1">
        <f t="array" ref="BJ41">IF(AND(BJ$2&lt;&gt;0,TblTech[[#This Row],[Hour]:[Hour]]&gt;=BJ$2),1,0)</f>
        <v>0</v>
      </c>
      <c r="BK41" s="276" cm="1">
        <f t="array" ref="BK41">IF(AND(BK$2&lt;&gt;0,TblTech[[#This Row],[Hour]:[Hour]]&gt;=BK$2),1,0)</f>
        <v>0</v>
      </c>
      <c r="BL41" s="276" cm="1">
        <f t="array" ref="BL41">IF(AND(BL$2&lt;&gt;0,TblTech[[#This Row],[Hour]:[Hour]]&gt;=BL$2),1,0)</f>
        <v>0</v>
      </c>
      <c r="BM41" s="276" cm="1">
        <f t="array" ref="BM41">IF(AND(BM$2&lt;&gt;0,TblTech[[#This Row],[Hour]:[Hour]]&gt;=BM$2),1,0)</f>
        <v>0</v>
      </c>
      <c r="BN41" s="276" cm="1">
        <f t="array" ref="BN41">IF(AND(BN$2&lt;&gt;0,TblTech[[#This Row],[Hour]:[Hour]]&gt;=BN$2),1,0)</f>
        <v>0</v>
      </c>
      <c r="BO41" s="276" cm="1">
        <f t="array" ref="BO41">IF(AND(BO$2&lt;&gt;0,TblTech[[#This Row],[Hour]:[Hour]]&gt;=BO$2),1,0)</f>
        <v>0</v>
      </c>
      <c r="BP41" s="276" cm="1">
        <f t="array" ref="BP41">IF(AND(BP$2&lt;&gt;0,TblTech[[#This Row],[Hour]:[Hour]]&gt;=BP$2),1,0)</f>
        <v>0</v>
      </c>
      <c r="BQ41" s="276" cm="1">
        <f t="array" ref="BQ41">IF(AND(BQ$2&lt;&gt;0,TblTech[[#This Row],[Hour]:[Hour]]&gt;=BQ$2),1,0)</f>
        <v>0</v>
      </c>
      <c r="BR41" s="276" cm="1">
        <f t="array" ref="BR41">IF(AND(BR$2&lt;&gt;0,TblTech[[#This Row],[Hour]:[Hour]]&gt;=BR$2),1,0)</f>
        <v>0</v>
      </c>
      <c r="BS41" s="276" cm="1">
        <f t="array" ref="BS41">IF(AND(BS$2&lt;&gt;0,TblTech[[#This Row],[Hour]:[Hour]]&gt;=BS$2),1,0)</f>
        <v>0</v>
      </c>
      <c r="BT41" s="276" cm="1">
        <f t="array" ref="BT41">IF(AND(BT$2&lt;&gt;0,TblTech[[#This Row],[Hour]:[Hour]]&gt;=BT$2),1,0)</f>
        <v>0</v>
      </c>
      <c r="BU41" s="276" cm="1">
        <f t="array" ref="BU41">IF(AND(BU$2&lt;&gt;0,TblTech[[#This Row],[Hour]:[Hour]]&gt;=BU$2),1,0)</f>
        <v>0</v>
      </c>
      <c r="BV41" s="276" cm="1">
        <f t="array" ref="BV41">IF(AND(BV$2&lt;&gt;0,TblTech[[#This Row],[Hour]:[Hour]]&gt;=BV$2),1,0)</f>
        <v>0</v>
      </c>
      <c r="BW41" s="276" cm="1">
        <f t="array" ref="BW41">IF(AND(BW$2&lt;&gt;0,TblTech[[#This Row],[Hour]:[Hour]]&gt;=BW$2),1,0)</f>
        <v>0</v>
      </c>
      <c r="BX41" s="276" cm="1">
        <f t="array" ref="BX41">IF(AND(BX$2&lt;&gt;0,TblTech[[#This Row],[Hour]:[Hour]]&gt;=BX$2),1,0)</f>
        <v>0</v>
      </c>
      <c r="BY41" s="276" cm="1">
        <f t="array" ref="BY41">IF(AND(BY$2&lt;&gt;0,TblTech[[#This Row],[Hour]:[Hour]]&gt;=BY$2),1,0)</f>
        <v>0</v>
      </c>
      <c r="BZ41" s="276" cm="1">
        <f t="array" ref="BZ41">IF(AND(BZ$2&lt;&gt;0,TblTech[[#This Row],[Hour]:[Hour]]&gt;=BZ$2),1,0)</f>
        <v>0</v>
      </c>
      <c r="CA41" s="377">
        <f>IFERROR(INDEX($H$4:$H$79,MATCH(INDEX(TblTech[[#Headers],[1-1]:[11-1]],1,MATCH(TblTech[[#This Row],[Hour]],$M$2:$BZ$2,0)),$G$4:$G$79,0)),)</f>
        <v>0</v>
      </c>
    </row>
    <row r="42" spans="1:79" x14ac:dyDescent="0.2">
      <c r="A42" s="268">
        <f>TblRezone[[#This Row],[Hour]]</f>
        <v>39</v>
      </c>
      <c r="B42" s="269">
        <f ca="1">TblExplore[[#This Row],[Land-DB]]</f>
        <v>50</v>
      </c>
      <c r="C42" s="270">
        <f ca="1">TblProd[[#This Row],[Techpoints]]</f>
        <v>0</v>
      </c>
      <c r="D42" s="270">
        <f ca="1">TblProd[[#This Row],[Required]]</f>
        <v>3750</v>
      </c>
      <c r="E42" s="271"/>
      <c r="F42" s="272"/>
      <c r="G42" s="273" t="s">
        <v>581</v>
      </c>
      <c r="H42" s="274" t="s">
        <v>707</v>
      </c>
      <c r="I42" s="273" t="s">
        <v>1081</v>
      </c>
      <c r="J42" s="269"/>
      <c r="K42" s="93">
        <f ca="1">IF(TblTech[[#This Row],[Sum of tech]]&lt;&gt;OFFSET(TblTech[[#This Row],[Sum of tech]],-1,0),1,0)</f>
        <v>0</v>
      </c>
      <c r="L42" s="275">
        <f>COUNTIF(TblTech[[#This Row],[1-1]:[11-1]],1)</f>
        <v>0</v>
      </c>
      <c r="M42" s="276" cm="1">
        <f t="array" ref="M42">IF(AND(M$2&lt;&gt;0,TblTech[[#This Row],[Hour]:[Hour]]&gt;=M$2),1,0)</f>
        <v>0</v>
      </c>
      <c r="N42" s="276" cm="1">
        <f t="array" ref="N42">IF(AND(N$2&lt;&gt;0,TblTech[[#This Row],[Hour]:[Hour]]&gt;=N$2),1,0)</f>
        <v>0</v>
      </c>
      <c r="O42" s="276" cm="1">
        <f t="array" ref="O42">IF(AND(O$2&lt;&gt;0,TblTech[[#This Row],[Hour]:[Hour]]&gt;=O$2),1,0)</f>
        <v>0</v>
      </c>
      <c r="P42" s="276" cm="1">
        <f t="array" ref="P42">IF(AND(P$2&lt;&gt;0,TblTech[[#This Row],[Hour]:[Hour]]&gt;=P$2),1,0)</f>
        <v>0</v>
      </c>
      <c r="Q42" s="276" cm="1">
        <f t="array" ref="Q42">IF(AND(Q$2&lt;&gt;0,TblTech[[#This Row],[Hour]:[Hour]]&gt;=Q$2),1,0)</f>
        <v>0</v>
      </c>
      <c r="R42" s="276" cm="1">
        <f t="array" ref="R42">IF(AND(R$2&lt;&gt;0,TblTech[[#This Row],[Hour]:[Hour]]&gt;=R$2),1,0)</f>
        <v>0</v>
      </c>
      <c r="S42" s="276" cm="1">
        <f t="array" ref="S42">IF(AND(S$2&lt;&gt;0,TblTech[[#This Row],[Hour]:[Hour]]&gt;=S$2),1,0)</f>
        <v>0</v>
      </c>
      <c r="T42" s="276" cm="1">
        <f t="array" ref="T42">IF(AND(T$2&lt;&gt;0,TblTech[[#This Row],[Hour]:[Hour]]&gt;=T$2),1,0)</f>
        <v>0</v>
      </c>
      <c r="U42" s="276" cm="1">
        <f t="array" ref="U42">IF(AND(U$2&lt;&gt;0,TblTech[[#This Row],[Hour]:[Hour]]&gt;=U$2),1,0)</f>
        <v>0</v>
      </c>
      <c r="V42" s="276" cm="1">
        <f t="array" ref="V42">IF(AND(V$2&lt;&gt;0,TblTech[[#This Row],[Hour]:[Hour]]&gt;=V$2),1,0)</f>
        <v>0</v>
      </c>
      <c r="W42" s="276" cm="1">
        <f t="array" ref="W42">IF(AND(W$2&lt;&gt;0,TblTech[[#This Row],[Hour]:[Hour]]&gt;=W$2),1,0)</f>
        <v>0</v>
      </c>
      <c r="X42" s="276" cm="1">
        <f t="array" ref="X42">IF(AND(X$2&lt;&gt;0,TblTech[[#This Row],[Hour]:[Hour]]&gt;=X$2),1,0)</f>
        <v>0</v>
      </c>
      <c r="Y42" s="276" cm="1">
        <f t="array" ref="Y42">IF(AND(Y$2&lt;&gt;0,TblTech[[#This Row],[Hour]:[Hour]]&gt;=Y$2),1,0)</f>
        <v>0</v>
      </c>
      <c r="Z42" s="276" cm="1">
        <f t="array" ref="Z42">IF(AND(Z$2&lt;&gt;0,TblTech[[#This Row],[Hour]:[Hour]]&gt;=Z$2),1,0)</f>
        <v>0</v>
      </c>
      <c r="AA42" s="276" cm="1">
        <f t="array" ref="AA42">IF(AND(AA$2&lt;&gt;0,TblTech[[#This Row],[Hour]:[Hour]]&gt;=AA$2),1,0)</f>
        <v>0</v>
      </c>
      <c r="AB42" s="276" cm="1">
        <f t="array" ref="AB42">IF(AND(AB$2&lt;&gt;0,TblTech[[#This Row],[Hour]:[Hour]]&gt;=AB$2),1,0)</f>
        <v>0</v>
      </c>
      <c r="AC42" s="276" cm="1">
        <f t="array" ref="AC42">IF(AND(AC$2&lt;&gt;0,TblTech[[#This Row],[Hour]:[Hour]]&gt;=AC$2),1,0)</f>
        <v>0</v>
      </c>
      <c r="AD42" s="276" cm="1">
        <f t="array" ref="AD42">IF(AND(AD$2&lt;&gt;0,TblTech[[#This Row],[Hour]:[Hour]]&gt;=AD$2),1,0)</f>
        <v>0</v>
      </c>
      <c r="AE42" s="276" cm="1">
        <f t="array" ref="AE42">IF(AND(AE$2&lt;&gt;0,TblTech[[#This Row],[Hour]:[Hour]]&gt;=AE$2),1,0)</f>
        <v>0</v>
      </c>
      <c r="AF42" s="276" cm="1">
        <f t="array" ref="AF42">IF(AND(AF$2&lt;&gt;0,TblTech[[#This Row],[Hour]:[Hour]]&gt;=AF$2),1,0)</f>
        <v>0</v>
      </c>
      <c r="AG42" s="276" cm="1">
        <f t="array" ref="AG42">IF(AND(AG$2&lt;&gt;0,TblTech[[#This Row],[Hour]:[Hour]]&gt;=AG$2),1,0)</f>
        <v>0</v>
      </c>
      <c r="AH42" s="276" cm="1">
        <f t="array" ref="AH42">IF(AND(AH$2&lt;&gt;0,TblTech[[#This Row],[Hour]:[Hour]]&gt;=AH$2),1,0)</f>
        <v>0</v>
      </c>
      <c r="AI42" s="276" cm="1">
        <f t="array" ref="AI42">IF(AND(AI$2&lt;&gt;0,TblTech[[#This Row],[Hour]:[Hour]]&gt;=AI$2),1,0)</f>
        <v>0</v>
      </c>
      <c r="AJ42" s="276" cm="1">
        <f t="array" ref="AJ42">IF(AND(AJ$2&lt;&gt;0,TblTech[[#This Row],[Hour]:[Hour]]&gt;=AJ$2),1,0)</f>
        <v>0</v>
      </c>
      <c r="AK42" s="276" cm="1">
        <f t="array" ref="AK42">IF(AND(AK$2&lt;&gt;0,TblTech[[#This Row],[Hour]:[Hour]]&gt;=AK$2),1,0)</f>
        <v>0</v>
      </c>
      <c r="AL42" s="276" cm="1">
        <f t="array" ref="AL42">IF(AND(AL$2&lt;&gt;0,TblTech[[#This Row],[Hour]:[Hour]]&gt;=AL$2),1,0)</f>
        <v>0</v>
      </c>
      <c r="AM42" s="276" cm="1">
        <f t="array" ref="AM42">IF(AND(AM$2&lt;&gt;0,TblTech[[#This Row],[Hour]:[Hour]]&gt;=AM$2),1,0)</f>
        <v>0</v>
      </c>
      <c r="AN42" s="276" cm="1">
        <f t="array" ref="AN42">IF(AND(AN$2&lt;&gt;0,TblTech[[#This Row],[Hour]:[Hour]]&gt;=AN$2),1,0)</f>
        <v>0</v>
      </c>
      <c r="AO42" s="276" cm="1">
        <f t="array" ref="AO42">IF(AND(AO$2&lt;&gt;0,TblTech[[#This Row],[Hour]:[Hour]]&gt;=AO$2),1,0)</f>
        <v>0</v>
      </c>
      <c r="AP42" s="276" cm="1">
        <f t="array" ref="AP42">IF(AND(AP$2&lt;&gt;0,TblTech[[#This Row],[Hour]:[Hour]]&gt;=AP$2),1,0)</f>
        <v>0</v>
      </c>
      <c r="AQ42" s="276" cm="1">
        <f t="array" ref="AQ42">IF(AND(AQ$2&lt;&gt;0,TblTech[[#This Row],[Hour]:[Hour]]&gt;=AQ$2),1,0)</f>
        <v>0</v>
      </c>
      <c r="AR42" s="276" cm="1">
        <f t="array" ref="AR42">IF(AND(AR$2&lt;&gt;0,TblTech[[#This Row],[Hour]:[Hour]]&gt;=AR$2),1,0)</f>
        <v>0</v>
      </c>
      <c r="AS42" s="276" cm="1">
        <f t="array" ref="AS42">IF(AND(AS$2&lt;&gt;0,TblTech[[#This Row],[Hour]:[Hour]]&gt;=AS$2),1,0)</f>
        <v>0</v>
      </c>
      <c r="AT42" s="276" cm="1">
        <f t="array" ref="AT42">IF(AND(AT$2&lt;&gt;0,TblTech[[#This Row],[Hour]:[Hour]]&gt;=AT$2),1,0)</f>
        <v>0</v>
      </c>
      <c r="AU42" s="276" cm="1">
        <f t="array" ref="AU42">IF(AND(AU$2&lt;&gt;0,TblTech[[#This Row],[Hour]:[Hour]]&gt;=AU$2),1,0)</f>
        <v>0</v>
      </c>
      <c r="AV42" s="276" cm="1">
        <f t="array" ref="AV42">IF(AND(AV$2&lt;&gt;0,TblTech[[#This Row],[Hour]:[Hour]]&gt;=AV$2),1,0)</f>
        <v>0</v>
      </c>
      <c r="AW42" s="276" cm="1">
        <f t="array" ref="AW42">IF(AND(AW$2&lt;&gt;0,TblTech[[#This Row],[Hour]:[Hour]]&gt;=AW$2),1,0)</f>
        <v>0</v>
      </c>
      <c r="AX42" s="276" cm="1">
        <f t="array" ref="AX42">IF(AND(AX$2&lt;&gt;0,TblTech[[#This Row],[Hour]:[Hour]]&gt;=AX$2),1,0)</f>
        <v>0</v>
      </c>
      <c r="AY42" s="276" cm="1">
        <f t="array" ref="AY42">IF(AND(AY$2&lt;&gt;0,TblTech[[#This Row],[Hour]:[Hour]]&gt;=AY$2),1,0)</f>
        <v>0</v>
      </c>
      <c r="AZ42" s="276" cm="1">
        <f t="array" ref="AZ42">IF(AND(AZ$2&lt;&gt;0,TblTech[[#This Row],[Hour]:[Hour]]&gt;=AZ$2),1,0)</f>
        <v>0</v>
      </c>
      <c r="BA42" s="276" cm="1">
        <f t="array" ref="BA42">IF(AND(BA$2&lt;&gt;0,TblTech[[#This Row],[Hour]:[Hour]]&gt;=BA$2),1,0)</f>
        <v>0</v>
      </c>
      <c r="BB42" s="276" cm="1">
        <f t="array" ref="BB42">IF(AND(BB$2&lt;&gt;0,TblTech[[#This Row],[Hour]:[Hour]]&gt;=BB$2),1,0)</f>
        <v>0</v>
      </c>
      <c r="BC42" s="276" cm="1">
        <f t="array" ref="BC42">IF(AND(BC$2&lt;&gt;0,TblTech[[#This Row],[Hour]:[Hour]]&gt;=BC$2),1,0)</f>
        <v>0</v>
      </c>
      <c r="BD42" s="276" cm="1">
        <f t="array" ref="BD42">IF(AND(BD$2&lt;&gt;0,TblTech[[#This Row],[Hour]:[Hour]]&gt;=BD$2),1,0)</f>
        <v>0</v>
      </c>
      <c r="BE42" s="276" cm="1">
        <f t="array" ref="BE42">IF(AND(BE$2&lt;&gt;0,TblTech[[#This Row],[Hour]:[Hour]]&gt;=BE$2),1,0)</f>
        <v>0</v>
      </c>
      <c r="BF42" s="276" cm="1">
        <f t="array" ref="BF42">IF(AND(BF$2&lt;&gt;0,TblTech[[#This Row],[Hour]:[Hour]]&gt;=BF$2),1,0)</f>
        <v>0</v>
      </c>
      <c r="BG42" s="276" cm="1">
        <f t="array" ref="BG42">IF(AND(BG$2&lt;&gt;0,TblTech[[#This Row],[Hour]:[Hour]]&gt;=BG$2),1,0)</f>
        <v>0</v>
      </c>
      <c r="BH42" s="276" cm="1">
        <f t="array" ref="BH42">IF(AND(BH$2&lt;&gt;0,TblTech[[#This Row],[Hour]:[Hour]]&gt;=BH$2),1,0)</f>
        <v>0</v>
      </c>
      <c r="BI42" s="276" cm="1">
        <f t="array" ref="BI42">IF(AND(BI$2&lt;&gt;0,TblTech[[#This Row],[Hour]:[Hour]]&gt;=BI$2),1,0)</f>
        <v>0</v>
      </c>
      <c r="BJ42" s="276" cm="1">
        <f t="array" ref="BJ42">IF(AND(BJ$2&lt;&gt;0,TblTech[[#This Row],[Hour]:[Hour]]&gt;=BJ$2),1,0)</f>
        <v>0</v>
      </c>
      <c r="BK42" s="276" cm="1">
        <f t="array" ref="BK42">IF(AND(BK$2&lt;&gt;0,TblTech[[#This Row],[Hour]:[Hour]]&gt;=BK$2),1,0)</f>
        <v>0</v>
      </c>
      <c r="BL42" s="276" cm="1">
        <f t="array" ref="BL42">IF(AND(BL$2&lt;&gt;0,TblTech[[#This Row],[Hour]:[Hour]]&gt;=BL$2),1,0)</f>
        <v>0</v>
      </c>
      <c r="BM42" s="276" cm="1">
        <f t="array" ref="BM42">IF(AND(BM$2&lt;&gt;0,TblTech[[#This Row],[Hour]:[Hour]]&gt;=BM$2),1,0)</f>
        <v>0</v>
      </c>
      <c r="BN42" s="276" cm="1">
        <f t="array" ref="BN42">IF(AND(BN$2&lt;&gt;0,TblTech[[#This Row],[Hour]:[Hour]]&gt;=BN$2),1,0)</f>
        <v>0</v>
      </c>
      <c r="BO42" s="276" cm="1">
        <f t="array" ref="BO42">IF(AND(BO$2&lt;&gt;0,TblTech[[#This Row],[Hour]:[Hour]]&gt;=BO$2),1,0)</f>
        <v>0</v>
      </c>
      <c r="BP42" s="276" cm="1">
        <f t="array" ref="BP42">IF(AND(BP$2&lt;&gt;0,TblTech[[#This Row],[Hour]:[Hour]]&gt;=BP$2),1,0)</f>
        <v>0</v>
      </c>
      <c r="BQ42" s="276" cm="1">
        <f t="array" ref="BQ42">IF(AND(BQ$2&lt;&gt;0,TblTech[[#This Row],[Hour]:[Hour]]&gt;=BQ$2),1,0)</f>
        <v>0</v>
      </c>
      <c r="BR42" s="276" cm="1">
        <f t="array" ref="BR42">IF(AND(BR$2&lt;&gt;0,TblTech[[#This Row],[Hour]:[Hour]]&gt;=BR$2),1,0)</f>
        <v>0</v>
      </c>
      <c r="BS42" s="276" cm="1">
        <f t="array" ref="BS42">IF(AND(BS$2&lt;&gt;0,TblTech[[#This Row],[Hour]:[Hour]]&gt;=BS$2),1,0)</f>
        <v>0</v>
      </c>
      <c r="BT42" s="276" cm="1">
        <f t="array" ref="BT42">IF(AND(BT$2&lt;&gt;0,TblTech[[#This Row],[Hour]:[Hour]]&gt;=BT$2),1,0)</f>
        <v>0</v>
      </c>
      <c r="BU42" s="276" cm="1">
        <f t="array" ref="BU42">IF(AND(BU$2&lt;&gt;0,TblTech[[#This Row],[Hour]:[Hour]]&gt;=BU$2),1,0)</f>
        <v>0</v>
      </c>
      <c r="BV42" s="276" cm="1">
        <f t="array" ref="BV42">IF(AND(BV$2&lt;&gt;0,TblTech[[#This Row],[Hour]:[Hour]]&gt;=BV$2),1,0)</f>
        <v>0</v>
      </c>
      <c r="BW42" s="276" cm="1">
        <f t="array" ref="BW42">IF(AND(BW$2&lt;&gt;0,TblTech[[#This Row],[Hour]:[Hour]]&gt;=BW$2),1,0)</f>
        <v>0</v>
      </c>
      <c r="BX42" s="276" cm="1">
        <f t="array" ref="BX42">IF(AND(BX$2&lt;&gt;0,TblTech[[#This Row],[Hour]:[Hour]]&gt;=BX$2),1,0)</f>
        <v>0</v>
      </c>
      <c r="BY42" s="276" cm="1">
        <f t="array" ref="BY42">IF(AND(BY$2&lt;&gt;0,TblTech[[#This Row],[Hour]:[Hour]]&gt;=BY$2),1,0)</f>
        <v>0</v>
      </c>
      <c r="BZ42" s="276" cm="1">
        <f t="array" ref="BZ42">IF(AND(BZ$2&lt;&gt;0,TblTech[[#This Row],[Hour]:[Hour]]&gt;=BZ$2),1,0)</f>
        <v>0</v>
      </c>
      <c r="CA42" s="377">
        <f>IFERROR(INDEX($H$4:$H$79,MATCH(INDEX(TblTech[[#Headers],[1-1]:[11-1]],1,MATCH(TblTech[[#This Row],[Hour]],$M$2:$BZ$2,0)),$G$4:$G$79,0)),)</f>
        <v>0</v>
      </c>
    </row>
    <row r="43" spans="1:79" x14ac:dyDescent="0.2">
      <c r="A43" s="268">
        <f>TblRezone[[#This Row],[Hour]]</f>
        <v>40</v>
      </c>
      <c r="B43" s="269">
        <f ca="1">TblExplore[[#This Row],[Land-DB]]</f>
        <v>50</v>
      </c>
      <c r="C43" s="270">
        <f ca="1">TblProd[[#This Row],[Techpoints]]</f>
        <v>0</v>
      </c>
      <c r="D43" s="270">
        <f ca="1">TblProd[[#This Row],[Required]]</f>
        <v>3750</v>
      </c>
      <c r="E43" s="271"/>
      <c r="F43" s="272"/>
      <c r="G43" s="273" t="s">
        <v>583</v>
      </c>
      <c r="H43" s="274" t="s">
        <v>706</v>
      </c>
      <c r="I43" s="273" t="s">
        <v>582</v>
      </c>
      <c r="J43" s="269"/>
      <c r="K43" s="93">
        <f ca="1">IF(TblTech[[#This Row],[Sum of tech]]&lt;&gt;OFFSET(TblTech[[#This Row],[Sum of tech]],-1,0),1,0)</f>
        <v>0</v>
      </c>
      <c r="L43" s="275">
        <f>COUNTIF(TblTech[[#This Row],[1-1]:[11-1]],1)</f>
        <v>0</v>
      </c>
      <c r="M43" s="276" cm="1">
        <f t="array" ref="M43">IF(AND(M$2&lt;&gt;0,TblTech[[#This Row],[Hour]:[Hour]]&gt;=M$2),1,0)</f>
        <v>0</v>
      </c>
      <c r="N43" s="276" cm="1">
        <f t="array" ref="N43">IF(AND(N$2&lt;&gt;0,TblTech[[#This Row],[Hour]:[Hour]]&gt;=N$2),1,0)</f>
        <v>0</v>
      </c>
      <c r="O43" s="276" cm="1">
        <f t="array" ref="O43">IF(AND(O$2&lt;&gt;0,TblTech[[#This Row],[Hour]:[Hour]]&gt;=O$2),1,0)</f>
        <v>0</v>
      </c>
      <c r="P43" s="276" cm="1">
        <f t="array" ref="P43">IF(AND(P$2&lt;&gt;0,TblTech[[#This Row],[Hour]:[Hour]]&gt;=P$2),1,0)</f>
        <v>0</v>
      </c>
      <c r="Q43" s="276" cm="1">
        <f t="array" ref="Q43">IF(AND(Q$2&lt;&gt;0,TblTech[[#This Row],[Hour]:[Hour]]&gt;=Q$2),1,0)</f>
        <v>0</v>
      </c>
      <c r="R43" s="276" cm="1">
        <f t="array" ref="R43">IF(AND(R$2&lt;&gt;0,TblTech[[#This Row],[Hour]:[Hour]]&gt;=R$2),1,0)</f>
        <v>0</v>
      </c>
      <c r="S43" s="276" cm="1">
        <f t="array" ref="S43">IF(AND(S$2&lt;&gt;0,TblTech[[#This Row],[Hour]:[Hour]]&gt;=S$2),1,0)</f>
        <v>0</v>
      </c>
      <c r="T43" s="276" cm="1">
        <f t="array" ref="T43">IF(AND(T$2&lt;&gt;0,TblTech[[#This Row],[Hour]:[Hour]]&gt;=T$2),1,0)</f>
        <v>0</v>
      </c>
      <c r="U43" s="276" cm="1">
        <f t="array" ref="U43">IF(AND(U$2&lt;&gt;0,TblTech[[#This Row],[Hour]:[Hour]]&gt;=U$2),1,0)</f>
        <v>0</v>
      </c>
      <c r="V43" s="276" cm="1">
        <f t="array" ref="V43">IF(AND(V$2&lt;&gt;0,TblTech[[#This Row],[Hour]:[Hour]]&gt;=V$2),1,0)</f>
        <v>0</v>
      </c>
      <c r="W43" s="276" cm="1">
        <f t="array" ref="W43">IF(AND(W$2&lt;&gt;0,TblTech[[#This Row],[Hour]:[Hour]]&gt;=W$2),1,0)</f>
        <v>0</v>
      </c>
      <c r="X43" s="276" cm="1">
        <f t="array" ref="X43">IF(AND(X$2&lt;&gt;0,TblTech[[#This Row],[Hour]:[Hour]]&gt;=X$2),1,0)</f>
        <v>0</v>
      </c>
      <c r="Y43" s="276" cm="1">
        <f t="array" ref="Y43">IF(AND(Y$2&lt;&gt;0,TblTech[[#This Row],[Hour]:[Hour]]&gt;=Y$2),1,0)</f>
        <v>0</v>
      </c>
      <c r="Z43" s="276" cm="1">
        <f t="array" ref="Z43">IF(AND(Z$2&lt;&gt;0,TblTech[[#This Row],[Hour]:[Hour]]&gt;=Z$2),1,0)</f>
        <v>0</v>
      </c>
      <c r="AA43" s="276" cm="1">
        <f t="array" ref="AA43">IF(AND(AA$2&lt;&gt;0,TblTech[[#This Row],[Hour]:[Hour]]&gt;=AA$2),1,0)</f>
        <v>0</v>
      </c>
      <c r="AB43" s="276" cm="1">
        <f t="array" ref="AB43">IF(AND(AB$2&lt;&gt;0,TblTech[[#This Row],[Hour]:[Hour]]&gt;=AB$2),1,0)</f>
        <v>0</v>
      </c>
      <c r="AC43" s="276" cm="1">
        <f t="array" ref="AC43">IF(AND(AC$2&lt;&gt;0,TblTech[[#This Row],[Hour]:[Hour]]&gt;=AC$2),1,0)</f>
        <v>0</v>
      </c>
      <c r="AD43" s="276" cm="1">
        <f t="array" ref="AD43">IF(AND(AD$2&lt;&gt;0,TblTech[[#This Row],[Hour]:[Hour]]&gt;=AD$2),1,0)</f>
        <v>0</v>
      </c>
      <c r="AE43" s="276" cm="1">
        <f t="array" ref="AE43">IF(AND(AE$2&lt;&gt;0,TblTech[[#This Row],[Hour]:[Hour]]&gt;=AE$2),1,0)</f>
        <v>0</v>
      </c>
      <c r="AF43" s="276" cm="1">
        <f t="array" ref="AF43">IF(AND(AF$2&lt;&gt;0,TblTech[[#This Row],[Hour]:[Hour]]&gt;=AF$2),1,0)</f>
        <v>0</v>
      </c>
      <c r="AG43" s="276" cm="1">
        <f t="array" ref="AG43">IF(AND(AG$2&lt;&gt;0,TblTech[[#This Row],[Hour]:[Hour]]&gt;=AG$2),1,0)</f>
        <v>0</v>
      </c>
      <c r="AH43" s="276" cm="1">
        <f t="array" ref="AH43">IF(AND(AH$2&lt;&gt;0,TblTech[[#This Row],[Hour]:[Hour]]&gt;=AH$2),1,0)</f>
        <v>0</v>
      </c>
      <c r="AI43" s="276" cm="1">
        <f t="array" ref="AI43">IF(AND(AI$2&lt;&gt;0,TblTech[[#This Row],[Hour]:[Hour]]&gt;=AI$2),1,0)</f>
        <v>0</v>
      </c>
      <c r="AJ43" s="276" cm="1">
        <f t="array" ref="AJ43">IF(AND(AJ$2&lt;&gt;0,TblTech[[#This Row],[Hour]:[Hour]]&gt;=AJ$2),1,0)</f>
        <v>0</v>
      </c>
      <c r="AK43" s="276" cm="1">
        <f t="array" ref="AK43">IF(AND(AK$2&lt;&gt;0,TblTech[[#This Row],[Hour]:[Hour]]&gt;=AK$2),1,0)</f>
        <v>0</v>
      </c>
      <c r="AL43" s="276" cm="1">
        <f t="array" ref="AL43">IF(AND(AL$2&lt;&gt;0,TblTech[[#This Row],[Hour]:[Hour]]&gt;=AL$2),1,0)</f>
        <v>0</v>
      </c>
      <c r="AM43" s="276" cm="1">
        <f t="array" ref="AM43">IF(AND(AM$2&lt;&gt;0,TblTech[[#This Row],[Hour]:[Hour]]&gt;=AM$2),1,0)</f>
        <v>0</v>
      </c>
      <c r="AN43" s="276" cm="1">
        <f t="array" ref="AN43">IF(AND(AN$2&lt;&gt;0,TblTech[[#This Row],[Hour]:[Hour]]&gt;=AN$2),1,0)</f>
        <v>0</v>
      </c>
      <c r="AO43" s="276" cm="1">
        <f t="array" ref="AO43">IF(AND(AO$2&lt;&gt;0,TblTech[[#This Row],[Hour]:[Hour]]&gt;=AO$2),1,0)</f>
        <v>0</v>
      </c>
      <c r="AP43" s="276" cm="1">
        <f t="array" ref="AP43">IF(AND(AP$2&lt;&gt;0,TblTech[[#This Row],[Hour]:[Hour]]&gt;=AP$2),1,0)</f>
        <v>0</v>
      </c>
      <c r="AQ43" s="276" cm="1">
        <f t="array" ref="AQ43">IF(AND(AQ$2&lt;&gt;0,TblTech[[#This Row],[Hour]:[Hour]]&gt;=AQ$2),1,0)</f>
        <v>0</v>
      </c>
      <c r="AR43" s="276" cm="1">
        <f t="array" ref="AR43">IF(AND(AR$2&lt;&gt;0,TblTech[[#This Row],[Hour]:[Hour]]&gt;=AR$2),1,0)</f>
        <v>0</v>
      </c>
      <c r="AS43" s="276" cm="1">
        <f t="array" ref="AS43">IF(AND(AS$2&lt;&gt;0,TblTech[[#This Row],[Hour]:[Hour]]&gt;=AS$2),1,0)</f>
        <v>0</v>
      </c>
      <c r="AT43" s="276" cm="1">
        <f t="array" ref="AT43">IF(AND(AT$2&lt;&gt;0,TblTech[[#This Row],[Hour]:[Hour]]&gt;=AT$2),1,0)</f>
        <v>0</v>
      </c>
      <c r="AU43" s="276" cm="1">
        <f t="array" ref="AU43">IF(AND(AU$2&lt;&gt;0,TblTech[[#This Row],[Hour]:[Hour]]&gt;=AU$2),1,0)</f>
        <v>0</v>
      </c>
      <c r="AV43" s="276" cm="1">
        <f t="array" ref="AV43">IF(AND(AV$2&lt;&gt;0,TblTech[[#This Row],[Hour]:[Hour]]&gt;=AV$2),1,0)</f>
        <v>0</v>
      </c>
      <c r="AW43" s="276" cm="1">
        <f t="array" ref="AW43">IF(AND(AW$2&lt;&gt;0,TblTech[[#This Row],[Hour]:[Hour]]&gt;=AW$2),1,0)</f>
        <v>0</v>
      </c>
      <c r="AX43" s="276" cm="1">
        <f t="array" ref="AX43">IF(AND(AX$2&lt;&gt;0,TblTech[[#This Row],[Hour]:[Hour]]&gt;=AX$2),1,0)</f>
        <v>0</v>
      </c>
      <c r="AY43" s="276" cm="1">
        <f t="array" ref="AY43">IF(AND(AY$2&lt;&gt;0,TblTech[[#This Row],[Hour]:[Hour]]&gt;=AY$2),1,0)</f>
        <v>0</v>
      </c>
      <c r="AZ43" s="276" cm="1">
        <f t="array" ref="AZ43">IF(AND(AZ$2&lt;&gt;0,TblTech[[#This Row],[Hour]:[Hour]]&gt;=AZ$2),1,0)</f>
        <v>0</v>
      </c>
      <c r="BA43" s="276" cm="1">
        <f t="array" ref="BA43">IF(AND(BA$2&lt;&gt;0,TblTech[[#This Row],[Hour]:[Hour]]&gt;=BA$2),1,0)</f>
        <v>0</v>
      </c>
      <c r="BB43" s="276" cm="1">
        <f t="array" ref="BB43">IF(AND(BB$2&lt;&gt;0,TblTech[[#This Row],[Hour]:[Hour]]&gt;=BB$2),1,0)</f>
        <v>0</v>
      </c>
      <c r="BC43" s="276" cm="1">
        <f t="array" ref="BC43">IF(AND(BC$2&lt;&gt;0,TblTech[[#This Row],[Hour]:[Hour]]&gt;=BC$2),1,0)</f>
        <v>0</v>
      </c>
      <c r="BD43" s="276" cm="1">
        <f t="array" ref="BD43">IF(AND(BD$2&lt;&gt;0,TblTech[[#This Row],[Hour]:[Hour]]&gt;=BD$2),1,0)</f>
        <v>0</v>
      </c>
      <c r="BE43" s="276" cm="1">
        <f t="array" ref="BE43">IF(AND(BE$2&lt;&gt;0,TblTech[[#This Row],[Hour]:[Hour]]&gt;=BE$2),1,0)</f>
        <v>0</v>
      </c>
      <c r="BF43" s="276" cm="1">
        <f t="array" ref="BF43">IF(AND(BF$2&lt;&gt;0,TblTech[[#This Row],[Hour]:[Hour]]&gt;=BF$2),1,0)</f>
        <v>0</v>
      </c>
      <c r="BG43" s="276" cm="1">
        <f t="array" ref="BG43">IF(AND(BG$2&lt;&gt;0,TblTech[[#This Row],[Hour]:[Hour]]&gt;=BG$2),1,0)</f>
        <v>0</v>
      </c>
      <c r="BH43" s="276" cm="1">
        <f t="array" ref="BH43">IF(AND(BH$2&lt;&gt;0,TblTech[[#This Row],[Hour]:[Hour]]&gt;=BH$2),1,0)</f>
        <v>0</v>
      </c>
      <c r="BI43" s="276" cm="1">
        <f t="array" ref="BI43">IF(AND(BI$2&lt;&gt;0,TblTech[[#This Row],[Hour]:[Hour]]&gt;=BI$2),1,0)</f>
        <v>0</v>
      </c>
      <c r="BJ43" s="276" cm="1">
        <f t="array" ref="BJ43">IF(AND(BJ$2&lt;&gt;0,TblTech[[#This Row],[Hour]:[Hour]]&gt;=BJ$2),1,0)</f>
        <v>0</v>
      </c>
      <c r="BK43" s="276" cm="1">
        <f t="array" ref="BK43">IF(AND(BK$2&lt;&gt;0,TblTech[[#This Row],[Hour]:[Hour]]&gt;=BK$2),1,0)</f>
        <v>0</v>
      </c>
      <c r="BL43" s="276" cm="1">
        <f t="array" ref="BL43">IF(AND(BL$2&lt;&gt;0,TblTech[[#This Row],[Hour]:[Hour]]&gt;=BL$2),1,0)</f>
        <v>0</v>
      </c>
      <c r="BM43" s="276" cm="1">
        <f t="array" ref="BM43">IF(AND(BM$2&lt;&gt;0,TblTech[[#This Row],[Hour]:[Hour]]&gt;=BM$2),1,0)</f>
        <v>0</v>
      </c>
      <c r="BN43" s="276" cm="1">
        <f t="array" ref="BN43">IF(AND(BN$2&lt;&gt;0,TblTech[[#This Row],[Hour]:[Hour]]&gt;=BN$2),1,0)</f>
        <v>0</v>
      </c>
      <c r="BO43" s="276" cm="1">
        <f t="array" ref="BO43">IF(AND(BO$2&lt;&gt;0,TblTech[[#This Row],[Hour]:[Hour]]&gt;=BO$2),1,0)</f>
        <v>0</v>
      </c>
      <c r="BP43" s="276" cm="1">
        <f t="array" ref="BP43">IF(AND(BP$2&lt;&gt;0,TblTech[[#This Row],[Hour]:[Hour]]&gt;=BP$2),1,0)</f>
        <v>0</v>
      </c>
      <c r="BQ43" s="276" cm="1">
        <f t="array" ref="BQ43">IF(AND(BQ$2&lt;&gt;0,TblTech[[#This Row],[Hour]:[Hour]]&gt;=BQ$2),1,0)</f>
        <v>0</v>
      </c>
      <c r="BR43" s="276" cm="1">
        <f t="array" ref="BR43">IF(AND(BR$2&lt;&gt;0,TblTech[[#This Row],[Hour]:[Hour]]&gt;=BR$2),1,0)</f>
        <v>0</v>
      </c>
      <c r="BS43" s="276" cm="1">
        <f t="array" ref="BS43">IF(AND(BS$2&lt;&gt;0,TblTech[[#This Row],[Hour]:[Hour]]&gt;=BS$2),1,0)</f>
        <v>0</v>
      </c>
      <c r="BT43" s="276" cm="1">
        <f t="array" ref="BT43">IF(AND(BT$2&lt;&gt;0,TblTech[[#This Row],[Hour]:[Hour]]&gt;=BT$2),1,0)</f>
        <v>0</v>
      </c>
      <c r="BU43" s="276" cm="1">
        <f t="array" ref="BU43">IF(AND(BU$2&lt;&gt;0,TblTech[[#This Row],[Hour]:[Hour]]&gt;=BU$2),1,0)</f>
        <v>0</v>
      </c>
      <c r="BV43" s="276" cm="1">
        <f t="array" ref="BV43">IF(AND(BV$2&lt;&gt;0,TblTech[[#This Row],[Hour]:[Hour]]&gt;=BV$2),1,0)</f>
        <v>0</v>
      </c>
      <c r="BW43" s="276" cm="1">
        <f t="array" ref="BW43">IF(AND(BW$2&lt;&gt;0,TblTech[[#This Row],[Hour]:[Hour]]&gt;=BW$2),1,0)</f>
        <v>0</v>
      </c>
      <c r="BX43" s="276" cm="1">
        <f t="array" ref="BX43">IF(AND(BX$2&lt;&gt;0,TblTech[[#This Row],[Hour]:[Hour]]&gt;=BX$2),1,0)</f>
        <v>0</v>
      </c>
      <c r="BY43" s="276" cm="1">
        <f t="array" ref="BY43">IF(AND(BY$2&lt;&gt;0,TblTech[[#This Row],[Hour]:[Hour]]&gt;=BY$2),1,0)</f>
        <v>0</v>
      </c>
      <c r="BZ43" s="276" cm="1">
        <f t="array" ref="BZ43">IF(AND(BZ$2&lt;&gt;0,TblTech[[#This Row],[Hour]:[Hour]]&gt;=BZ$2),1,0)</f>
        <v>0</v>
      </c>
      <c r="CA43" s="377">
        <f>IFERROR(INDEX($H$4:$H$79,MATCH(INDEX(TblTech[[#Headers],[1-1]:[11-1]],1,MATCH(TblTech[[#This Row],[Hour]],$M$2:$BZ$2,0)),$G$4:$G$79,0)),)</f>
        <v>0</v>
      </c>
    </row>
    <row r="44" spans="1:79" x14ac:dyDescent="0.2">
      <c r="A44" s="268">
        <f>TblRezone[[#This Row],[Hour]]</f>
        <v>41</v>
      </c>
      <c r="B44" s="269">
        <f ca="1">TblExplore[[#This Row],[Land-DB]]</f>
        <v>50</v>
      </c>
      <c r="C44" s="270">
        <f ca="1">TblProd[[#This Row],[Techpoints]]</f>
        <v>0</v>
      </c>
      <c r="D44" s="270">
        <f ca="1">TblProd[[#This Row],[Required]]</f>
        <v>3750</v>
      </c>
      <c r="E44" s="271"/>
      <c r="F44" s="272"/>
      <c r="G44" s="273" t="s">
        <v>584</v>
      </c>
      <c r="H44" s="274" t="s">
        <v>1160</v>
      </c>
      <c r="I44" s="273" t="s">
        <v>1161</v>
      </c>
      <c r="J44" s="269"/>
      <c r="K44" s="93">
        <f ca="1">IF(TblTech[[#This Row],[Sum of tech]]&lt;&gt;OFFSET(TblTech[[#This Row],[Sum of tech]],-1,0),1,0)</f>
        <v>0</v>
      </c>
      <c r="L44" s="275">
        <f>COUNTIF(TblTech[[#This Row],[1-1]:[11-1]],1)</f>
        <v>0</v>
      </c>
      <c r="M44" s="276" cm="1">
        <f t="array" ref="M44">IF(AND(M$2&lt;&gt;0,TblTech[[#This Row],[Hour]:[Hour]]&gt;=M$2),1,0)</f>
        <v>0</v>
      </c>
      <c r="N44" s="276" cm="1">
        <f t="array" ref="N44">IF(AND(N$2&lt;&gt;0,TblTech[[#This Row],[Hour]:[Hour]]&gt;=N$2),1,0)</f>
        <v>0</v>
      </c>
      <c r="O44" s="276" cm="1">
        <f t="array" ref="O44">IF(AND(O$2&lt;&gt;0,TblTech[[#This Row],[Hour]:[Hour]]&gt;=O$2),1,0)</f>
        <v>0</v>
      </c>
      <c r="P44" s="276" cm="1">
        <f t="array" ref="P44">IF(AND(P$2&lt;&gt;0,TblTech[[#This Row],[Hour]:[Hour]]&gt;=P$2),1,0)</f>
        <v>0</v>
      </c>
      <c r="Q44" s="276" cm="1">
        <f t="array" ref="Q44">IF(AND(Q$2&lt;&gt;0,TblTech[[#This Row],[Hour]:[Hour]]&gt;=Q$2),1,0)</f>
        <v>0</v>
      </c>
      <c r="R44" s="276" cm="1">
        <f t="array" ref="R44">IF(AND(R$2&lt;&gt;0,TblTech[[#This Row],[Hour]:[Hour]]&gt;=R$2),1,0)</f>
        <v>0</v>
      </c>
      <c r="S44" s="276" cm="1">
        <f t="array" ref="S44">IF(AND(S$2&lt;&gt;0,TblTech[[#This Row],[Hour]:[Hour]]&gt;=S$2),1,0)</f>
        <v>0</v>
      </c>
      <c r="T44" s="276" cm="1">
        <f t="array" ref="T44">IF(AND(T$2&lt;&gt;0,TblTech[[#This Row],[Hour]:[Hour]]&gt;=T$2),1,0)</f>
        <v>0</v>
      </c>
      <c r="U44" s="276" cm="1">
        <f t="array" ref="U44">IF(AND(U$2&lt;&gt;0,TblTech[[#This Row],[Hour]:[Hour]]&gt;=U$2),1,0)</f>
        <v>0</v>
      </c>
      <c r="V44" s="276" cm="1">
        <f t="array" ref="V44">IF(AND(V$2&lt;&gt;0,TblTech[[#This Row],[Hour]:[Hour]]&gt;=V$2),1,0)</f>
        <v>0</v>
      </c>
      <c r="W44" s="276" cm="1">
        <f t="array" ref="W44">IF(AND(W$2&lt;&gt;0,TblTech[[#This Row],[Hour]:[Hour]]&gt;=W$2),1,0)</f>
        <v>0</v>
      </c>
      <c r="X44" s="276" cm="1">
        <f t="array" ref="X44">IF(AND(X$2&lt;&gt;0,TblTech[[#This Row],[Hour]:[Hour]]&gt;=X$2),1,0)</f>
        <v>0</v>
      </c>
      <c r="Y44" s="276" cm="1">
        <f t="array" ref="Y44">IF(AND(Y$2&lt;&gt;0,TblTech[[#This Row],[Hour]:[Hour]]&gt;=Y$2),1,0)</f>
        <v>0</v>
      </c>
      <c r="Z44" s="276" cm="1">
        <f t="array" ref="Z44">IF(AND(Z$2&lt;&gt;0,TblTech[[#This Row],[Hour]:[Hour]]&gt;=Z$2),1,0)</f>
        <v>0</v>
      </c>
      <c r="AA44" s="276" cm="1">
        <f t="array" ref="AA44">IF(AND(AA$2&lt;&gt;0,TblTech[[#This Row],[Hour]:[Hour]]&gt;=AA$2),1,0)</f>
        <v>0</v>
      </c>
      <c r="AB44" s="276" cm="1">
        <f t="array" ref="AB44">IF(AND(AB$2&lt;&gt;0,TblTech[[#This Row],[Hour]:[Hour]]&gt;=AB$2),1,0)</f>
        <v>0</v>
      </c>
      <c r="AC44" s="276" cm="1">
        <f t="array" ref="AC44">IF(AND(AC$2&lt;&gt;0,TblTech[[#This Row],[Hour]:[Hour]]&gt;=AC$2),1,0)</f>
        <v>0</v>
      </c>
      <c r="AD44" s="276" cm="1">
        <f t="array" ref="AD44">IF(AND(AD$2&lt;&gt;0,TblTech[[#This Row],[Hour]:[Hour]]&gt;=AD$2),1,0)</f>
        <v>0</v>
      </c>
      <c r="AE44" s="276" cm="1">
        <f t="array" ref="AE44">IF(AND(AE$2&lt;&gt;0,TblTech[[#This Row],[Hour]:[Hour]]&gt;=AE$2),1,0)</f>
        <v>0</v>
      </c>
      <c r="AF44" s="276" cm="1">
        <f t="array" ref="AF44">IF(AND(AF$2&lt;&gt;0,TblTech[[#This Row],[Hour]:[Hour]]&gt;=AF$2),1,0)</f>
        <v>0</v>
      </c>
      <c r="AG44" s="276" cm="1">
        <f t="array" ref="AG44">IF(AND(AG$2&lt;&gt;0,TblTech[[#This Row],[Hour]:[Hour]]&gt;=AG$2),1,0)</f>
        <v>0</v>
      </c>
      <c r="AH44" s="276" cm="1">
        <f t="array" ref="AH44">IF(AND(AH$2&lt;&gt;0,TblTech[[#This Row],[Hour]:[Hour]]&gt;=AH$2),1,0)</f>
        <v>0</v>
      </c>
      <c r="AI44" s="276" cm="1">
        <f t="array" ref="AI44">IF(AND(AI$2&lt;&gt;0,TblTech[[#This Row],[Hour]:[Hour]]&gt;=AI$2),1,0)</f>
        <v>0</v>
      </c>
      <c r="AJ44" s="276" cm="1">
        <f t="array" ref="AJ44">IF(AND(AJ$2&lt;&gt;0,TblTech[[#This Row],[Hour]:[Hour]]&gt;=AJ$2),1,0)</f>
        <v>0</v>
      </c>
      <c r="AK44" s="276" cm="1">
        <f t="array" ref="AK44">IF(AND(AK$2&lt;&gt;0,TblTech[[#This Row],[Hour]:[Hour]]&gt;=AK$2),1,0)</f>
        <v>0</v>
      </c>
      <c r="AL44" s="276" cm="1">
        <f t="array" ref="AL44">IF(AND(AL$2&lt;&gt;0,TblTech[[#This Row],[Hour]:[Hour]]&gt;=AL$2),1,0)</f>
        <v>0</v>
      </c>
      <c r="AM44" s="276" cm="1">
        <f t="array" ref="AM44">IF(AND(AM$2&lt;&gt;0,TblTech[[#This Row],[Hour]:[Hour]]&gt;=AM$2),1,0)</f>
        <v>0</v>
      </c>
      <c r="AN44" s="276" cm="1">
        <f t="array" ref="AN44">IF(AND(AN$2&lt;&gt;0,TblTech[[#This Row],[Hour]:[Hour]]&gt;=AN$2),1,0)</f>
        <v>0</v>
      </c>
      <c r="AO44" s="276" cm="1">
        <f t="array" ref="AO44">IF(AND(AO$2&lt;&gt;0,TblTech[[#This Row],[Hour]:[Hour]]&gt;=AO$2),1,0)</f>
        <v>0</v>
      </c>
      <c r="AP44" s="276" cm="1">
        <f t="array" ref="AP44">IF(AND(AP$2&lt;&gt;0,TblTech[[#This Row],[Hour]:[Hour]]&gt;=AP$2),1,0)</f>
        <v>0</v>
      </c>
      <c r="AQ44" s="276" cm="1">
        <f t="array" ref="AQ44">IF(AND(AQ$2&lt;&gt;0,TblTech[[#This Row],[Hour]:[Hour]]&gt;=AQ$2),1,0)</f>
        <v>0</v>
      </c>
      <c r="AR44" s="276" cm="1">
        <f t="array" ref="AR44">IF(AND(AR$2&lt;&gt;0,TblTech[[#This Row],[Hour]:[Hour]]&gt;=AR$2),1,0)</f>
        <v>0</v>
      </c>
      <c r="AS44" s="276" cm="1">
        <f t="array" ref="AS44">IF(AND(AS$2&lt;&gt;0,TblTech[[#This Row],[Hour]:[Hour]]&gt;=AS$2),1,0)</f>
        <v>0</v>
      </c>
      <c r="AT44" s="276" cm="1">
        <f t="array" ref="AT44">IF(AND(AT$2&lt;&gt;0,TblTech[[#This Row],[Hour]:[Hour]]&gt;=AT$2),1,0)</f>
        <v>0</v>
      </c>
      <c r="AU44" s="276" cm="1">
        <f t="array" ref="AU44">IF(AND(AU$2&lt;&gt;0,TblTech[[#This Row],[Hour]:[Hour]]&gt;=AU$2),1,0)</f>
        <v>0</v>
      </c>
      <c r="AV44" s="276" cm="1">
        <f t="array" ref="AV44">IF(AND(AV$2&lt;&gt;0,TblTech[[#This Row],[Hour]:[Hour]]&gt;=AV$2),1,0)</f>
        <v>0</v>
      </c>
      <c r="AW44" s="276" cm="1">
        <f t="array" ref="AW44">IF(AND(AW$2&lt;&gt;0,TblTech[[#This Row],[Hour]:[Hour]]&gt;=AW$2),1,0)</f>
        <v>0</v>
      </c>
      <c r="AX44" s="276" cm="1">
        <f t="array" ref="AX44">IF(AND(AX$2&lt;&gt;0,TblTech[[#This Row],[Hour]:[Hour]]&gt;=AX$2),1,0)</f>
        <v>0</v>
      </c>
      <c r="AY44" s="276" cm="1">
        <f t="array" ref="AY44">IF(AND(AY$2&lt;&gt;0,TblTech[[#This Row],[Hour]:[Hour]]&gt;=AY$2),1,0)</f>
        <v>0</v>
      </c>
      <c r="AZ44" s="276" cm="1">
        <f t="array" ref="AZ44">IF(AND(AZ$2&lt;&gt;0,TblTech[[#This Row],[Hour]:[Hour]]&gt;=AZ$2),1,0)</f>
        <v>0</v>
      </c>
      <c r="BA44" s="276" cm="1">
        <f t="array" ref="BA44">IF(AND(BA$2&lt;&gt;0,TblTech[[#This Row],[Hour]:[Hour]]&gt;=BA$2),1,0)</f>
        <v>0</v>
      </c>
      <c r="BB44" s="276" cm="1">
        <f t="array" ref="BB44">IF(AND(BB$2&lt;&gt;0,TblTech[[#This Row],[Hour]:[Hour]]&gt;=BB$2),1,0)</f>
        <v>0</v>
      </c>
      <c r="BC44" s="276" cm="1">
        <f t="array" ref="BC44">IF(AND(BC$2&lt;&gt;0,TblTech[[#This Row],[Hour]:[Hour]]&gt;=BC$2),1,0)</f>
        <v>0</v>
      </c>
      <c r="BD44" s="276" cm="1">
        <f t="array" ref="BD44">IF(AND(BD$2&lt;&gt;0,TblTech[[#This Row],[Hour]:[Hour]]&gt;=BD$2),1,0)</f>
        <v>0</v>
      </c>
      <c r="BE44" s="276" cm="1">
        <f t="array" ref="BE44">IF(AND(BE$2&lt;&gt;0,TblTech[[#This Row],[Hour]:[Hour]]&gt;=BE$2),1,0)</f>
        <v>0</v>
      </c>
      <c r="BF44" s="276" cm="1">
        <f t="array" ref="BF44">IF(AND(BF$2&lt;&gt;0,TblTech[[#This Row],[Hour]:[Hour]]&gt;=BF$2),1,0)</f>
        <v>0</v>
      </c>
      <c r="BG44" s="276" cm="1">
        <f t="array" ref="BG44">IF(AND(BG$2&lt;&gt;0,TblTech[[#This Row],[Hour]:[Hour]]&gt;=BG$2),1,0)</f>
        <v>0</v>
      </c>
      <c r="BH44" s="276" cm="1">
        <f t="array" ref="BH44">IF(AND(BH$2&lt;&gt;0,TblTech[[#This Row],[Hour]:[Hour]]&gt;=BH$2),1,0)</f>
        <v>0</v>
      </c>
      <c r="BI44" s="276" cm="1">
        <f t="array" ref="BI44">IF(AND(BI$2&lt;&gt;0,TblTech[[#This Row],[Hour]:[Hour]]&gt;=BI$2),1,0)</f>
        <v>0</v>
      </c>
      <c r="BJ44" s="276" cm="1">
        <f t="array" ref="BJ44">IF(AND(BJ$2&lt;&gt;0,TblTech[[#This Row],[Hour]:[Hour]]&gt;=BJ$2),1,0)</f>
        <v>0</v>
      </c>
      <c r="BK44" s="276" cm="1">
        <f t="array" ref="BK44">IF(AND(BK$2&lt;&gt;0,TblTech[[#This Row],[Hour]:[Hour]]&gt;=BK$2),1,0)</f>
        <v>0</v>
      </c>
      <c r="BL44" s="276" cm="1">
        <f t="array" ref="BL44">IF(AND(BL$2&lt;&gt;0,TblTech[[#This Row],[Hour]:[Hour]]&gt;=BL$2),1,0)</f>
        <v>0</v>
      </c>
      <c r="BM44" s="276" cm="1">
        <f t="array" ref="BM44">IF(AND(BM$2&lt;&gt;0,TblTech[[#This Row],[Hour]:[Hour]]&gt;=BM$2),1,0)</f>
        <v>0</v>
      </c>
      <c r="BN44" s="276" cm="1">
        <f t="array" ref="BN44">IF(AND(BN$2&lt;&gt;0,TblTech[[#This Row],[Hour]:[Hour]]&gt;=BN$2),1,0)</f>
        <v>0</v>
      </c>
      <c r="BO44" s="276" cm="1">
        <f t="array" ref="BO44">IF(AND(BO$2&lt;&gt;0,TblTech[[#This Row],[Hour]:[Hour]]&gt;=BO$2),1,0)</f>
        <v>0</v>
      </c>
      <c r="BP44" s="276" cm="1">
        <f t="array" ref="BP44">IF(AND(BP$2&lt;&gt;0,TblTech[[#This Row],[Hour]:[Hour]]&gt;=BP$2),1,0)</f>
        <v>0</v>
      </c>
      <c r="BQ44" s="276" cm="1">
        <f t="array" ref="BQ44">IF(AND(BQ$2&lt;&gt;0,TblTech[[#This Row],[Hour]:[Hour]]&gt;=BQ$2),1,0)</f>
        <v>0</v>
      </c>
      <c r="BR44" s="276" cm="1">
        <f t="array" ref="BR44">IF(AND(BR$2&lt;&gt;0,TblTech[[#This Row],[Hour]:[Hour]]&gt;=BR$2),1,0)</f>
        <v>0</v>
      </c>
      <c r="BS44" s="276" cm="1">
        <f t="array" ref="BS44">IF(AND(BS$2&lt;&gt;0,TblTech[[#This Row],[Hour]:[Hour]]&gt;=BS$2),1,0)</f>
        <v>0</v>
      </c>
      <c r="BT44" s="276" cm="1">
        <f t="array" ref="BT44">IF(AND(BT$2&lt;&gt;0,TblTech[[#This Row],[Hour]:[Hour]]&gt;=BT$2),1,0)</f>
        <v>0</v>
      </c>
      <c r="BU44" s="276" cm="1">
        <f t="array" ref="BU44">IF(AND(BU$2&lt;&gt;0,TblTech[[#This Row],[Hour]:[Hour]]&gt;=BU$2),1,0)</f>
        <v>0</v>
      </c>
      <c r="BV44" s="276" cm="1">
        <f t="array" ref="BV44">IF(AND(BV$2&lt;&gt;0,TblTech[[#This Row],[Hour]:[Hour]]&gt;=BV$2),1,0)</f>
        <v>0</v>
      </c>
      <c r="BW44" s="276" cm="1">
        <f t="array" ref="BW44">IF(AND(BW$2&lt;&gt;0,TblTech[[#This Row],[Hour]:[Hour]]&gt;=BW$2),1,0)</f>
        <v>0</v>
      </c>
      <c r="BX44" s="276" cm="1">
        <f t="array" ref="BX44">IF(AND(BX$2&lt;&gt;0,TblTech[[#This Row],[Hour]:[Hour]]&gt;=BX$2),1,0)</f>
        <v>0</v>
      </c>
      <c r="BY44" s="276" cm="1">
        <f t="array" ref="BY44">IF(AND(BY$2&lt;&gt;0,TblTech[[#This Row],[Hour]:[Hour]]&gt;=BY$2),1,0)</f>
        <v>0</v>
      </c>
      <c r="BZ44" s="276" cm="1">
        <f t="array" ref="BZ44">IF(AND(BZ$2&lt;&gt;0,TblTech[[#This Row],[Hour]:[Hour]]&gt;=BZ$2),1,0)</f>
        <v>0</v>
      </c>
      <c r="CA44" s="377">
        <f>IFERROR(INDEX($H$4:$H$79,MATCH(INDEX(TblTech[[#Headers],[1-1]:[11-1]],1,MATCH(TblTech[[#This Row],[Hour]],$M$2:$BZ$2,0)),$G$4:$G$79,0)),)</f>
        <v>0</v>
      </c>
    </row>
    <row r="45" spans="1:79" x14ac:dyDescent="0.2">
      <c r="A45" s="268">
        <f>TblRezone[[#This Row],[Hour]]</f>
        <v>42</v>
      </c>
      <c r="B45" s="269">
        <f ca="1">TblExplore[[#This Row],[Land-DB]]</f>
        <v>50</v>
      </c>
      <c r="C45" s="270">
        <f ca="1">TblProd[[#This Row],[Techpoints]]</f>
        <v>0</v>
      </c>
      <c r="D45" s="270">
        <f ca="1">TblProd[[#This Row],[Required]]</f>
        <v>3750</v>
      </c>
      <c r="E45" s="271"/>
      <c r="F45" s="272"/>
      <c r="G45" s="273"/>
      <c r="H45" s="274"/>
      <c r="I45" s="273"/>
      <c r="J45" s="269"/>
      <c r="K45" s="93">
        <f ca="1">IF(TblTech[[#This Row],[Sum of tech]]&lt;&gt;OFFSET(TblTech[[#This Row],[Sum of tech]],-1,0),1,0)</f>
        <v>0</v>
      </c>
      <c r="L45" s="275">
        <f>COUNTIF(TblTech[[#This Row],[1-1]:[11-1]],1)</f>
        <v>0</v>
      </c>
      <c r="M45" s="276" cm="1">
        <f t="array" ref="M45">IF(AND(M$2&lt;&gt;0,TblTech[[#This Row],[Hour]:[Hour]]&gt;=M$2),1,0)</f>
        <v>0</v>
      </c>
      <c r="N45" s="276" cm="1">
        <f t="array" ref="N45">IF(AND(N$2&lt;&gt;0,TblTech[[#This Row],[Hour]:[Hour]]&gt;=N$2),1,0)</f>
        <v>0</v>
      </c>
      <c r="O45" s="276" cm="1">
        <f t="array" ref="O45">IF(AND(O$2&lt;&gt;0,TblTech[[#This Row],[Hour]:[Hour]]&gt;=O$2),1,0)</f>
        <v>0</v>
      </c>
      <c r="P45" s="276" cm="1">
        <f t="array" ref="P45">IF(AND(P$2&lt;&gt;0,TblTech[[#This Row],[Hour]:[Hour]]&gt;=P$2),1,0)</f>
        <v>0</v>
      </c>
      <c r="Q45" s="276" cm="1">
        <f t="array" ref="Q45">IF(AND(Q$2&lt;&gt;0,TblTech[[#This Row],[Hour]:[Hour]]&gt;=Q$2),1,0)</f>
        <v>0</v>
      </c>
      <c r="R45" s="276" cm="1">
        <f t="array" ref="R45">IF(AND(R$2&lt;&gt;0,TblTech[[#This Row],[Hour]:[Hour]]&gt;=R$2),1,0)</f>
        <v>0</v>
      </c>
      <c r="S45" s="276" cm="1">
        <f t="array" ref="S45">IF(AND(S$2&lt;&gt;0,TblTech[[#This Row],[Hour]:[Hour]]&gt;=S$2),1,0)</f>
        <v>0</v>
      </c>
      <c r="T45" s="276" cm="1">
        <f t="array" ref="T45">IF(AND(T$2&lt;&gt;0,TblTech[[#This Row],[Hour]:[Hour]]&gt;=T$2),1,0)</f>
        <v>0</v>
      </c>
      <c r="U45" s="276" cm="1">
        <f t="array" ref="U45">IF(AND(U$2&lt;&gt;0,TblTech[[#This Row],[Hour]:[Hour]]&gt;=U$2),1,0)</f>
        <v>0</v>
      </c>
      <c r="V45" s="276" cm="1">
        <f t="array" ref="V45">IF(AND(V$2&lt;&gt;0,TblTech[[#This Row],[Hour]:[Hour]]&gt;=V$2),1,0)</f>
        <v>0</v>
      </c>
      <c r="W45" s="276" cm="1">
        <f t="array" ref="W45">IF(AND(W$2&lt;&gt;0,TblTech[[#This Row],[Hour]:[Hour]]&gt;=W$2),1,0)</f>
        <v>0</v>
      </c>
      <c r="X45" s="276" cm="1">
        <f t="array" ref="X45">IF(AND(X$2&lt;&gt;0,TblTech[[#This Row],[Hour]:[Hour]]&gt;=X$2),1,0)</f>
        <v>0</v>
      </c>
      <c r="Y45" s="276" cm="1">
        <f t="array" ref="Y45">IF(AND(Y$2&lt;&gt;0,TblTech[[#This Row],[Hour]:[Hour]]&gt;=Y$2),1,0)</f>
        <v>0</v>
      </c>
      <c r="Z45" s="276" cm="1">
        <f t="array" ref="Z45">IF(AND(Z$2&lt;&gt;0,TblTech[[#This Row],[Hour]:[Hour]]&gt;=Z$2),1,0)</f>
        <v>0</v>
      </c>
      <c r="AA45" s="276" cm="1">
        <f t="array" ref="AA45">IF(AND(AA$2&lt;&gt;0,TblTech[[#This Row],[Hour]:[Hour]]&gt;=AA$2),1,0)</f>
        <v>0</v>
      </c>
      <c r="AB45" s="276" cm="1">
        <f t="array" ref="AB45">IF(AND(AB$2&lt;&gt;0,TblTech[[#This Row],[Hour]:[Hour]]&gt;=AB$2),1,0)</f>
        <v>0</v>
      </c>
      <c r="AC45" s="276" cm="1">
        <f t="array" ref="AC45">IF(AND(AC$2&lt;&gt;0,TblTech[[#This Row],[Hour]:[Hour]]&gt;=AC$2),1,0)</f>
        <v>0</v>
      </c>
      <c r="AD45" s="276" cm="1">
        <f t="array" ref="AD45">IF(AND(AD$2&lt;&gt;0,TblTech[[#This Row],[Hour]:[Hour]]&gt;=AD$2),1,0)</f>
        <v>0</v>
      </c>
      <c r="AE45" s="276" cm="1">
        <f t="array" ref="AE45">IF(AND(AE$2&lt;&gt;0,TblTech[[#This Row],[Hour]:[Hour]]&gt;=AE$2),1,0)</f>
        <v>0</v>
      </c>
      <c r="AF45" s="276" cm="1">
        <f t="array" ref="AF45">IF(AND(AF$2&lt;&gt;0,TblTech[[#This Row],[Hour]:[Hour]]&gt;=AF$2),1,0)</f>
        <v>0</v>
      </c>
      <c r="AG45" s="276" cm="1">
        <f t="array" ref="AG45">IF(AND(AG$2&lt;&gt;0,TblTech[[#This Row],[Hour]:[Hour]]&gt;=AG$2),1,0)</f>
        <v>0</v>
      </c>
      <c r="AH45" s="276" cm="1">
        <f t="array" ref="AH45">IF(AND(AH$2&lt;&gt;0,TblTech[[#This Row],[Hour]:[Hour]]&gt;=AH$2),1,0)</f>
        <v>0</v>
      </c>
      <c r="AI45" s="276" cm="1">
        <f t="array" ref="AI45">IF(AND(AI$2&lt;&gt;0,TblTech[[#This Row],[Hour]:[Hour]]&gt;=AI$2),1,0)</f>
        <v>0</v>
      </c>
      <c r="AJ45" s="276" cm="1">
        <f t="array" ref="AJ45">IF(AND(AJ$2&lt;&gt;0,TblTech[[#This Row],[Hour]:[Hour]]&gt;=AJ$2),1,0)</f>
        <v>0</v>
      </c>
      <c r="AK45" s="276" cm="1">
        <f t="array" ref="AK45">IF(AND(AK$2&lt;&gt;0,TblTech[[#This Row],[Hour]:[Hour]]&gt;=AK$2),1,0)</f>
        <v>0</v>
      </c>
      <c r="AL45" s="276" cm="1">
        <f t="array" ref="AL45">IF(AND(AL$2&lt;&gt;0,TblTech[[#This Row],[Hour]:[Hour]]&gt;=AL$2),1,0)</f>
        <v>0</v>
      </c>
      <c r="AM45" s="276" cm="1">
        <f t="array" ref="AM45">IF(AND(AM$2&lt;&gt;0,TblTech[[#This Row],[Hour]:[Hour]]&gt;=AM$2),1,0)</f>
        <v>0</v>
      </c>
      <c r="AN45" s="276" cm="1">
        <f t="array" ref="AN45">IF(AND(AN$2&lt;&gt;0,TblTech[[#This Row],[Hour]:[Hour]]&gt;=AN$2),1,0)</f>
        <v>0</v>
      </c>
      <c r="AO45" s="276" cm="1">
        <f t="array" ref="AO45">IF(AND(AO$2&lt;&gt;0,TblTech[[#This Row],[Hour]:[Hour]]&gt;=AO$2),1,0)</f>
        <v>0</v>
      </c>
      <c r="AP45" s="276" cm="1">
        <f t="array" ref="AP45">IF(AND(AP$2&lt;&gt;0,TblTech[[#This Row],[Hour]:[Hour]]&gt;=AP$2),1,0)</f>
        <v>0</v>
      </c>
      <c r="AQ45" s="276" cm="1">
        <f t="array" ref="AQ45">IF(AND(AQ$2&lt;&gt;0,TblTech[[#This Row],[Hour]:[Hour]]&gt;=AQ$2),1,0)</f>
        <v>0</v>
      </c>
      <c r="AR45" s="276" cm="1">
        <f t="array" ref="AR45">IF(AND(AR$2&lt;&gt;0,TblTech[[#This Row],[Hour]:[Hour]]&gt;=AR$2),1,0)</f>
        <v>0</v>
      </c>
      <c r="AS45" s="276" cm="1">
        <f t="array" ref="AS45">IF(AND(AS$2&lt;&gt;0,TblTech[[#This Row],[Hour]:[Hour]]&gt;=AS$2),1,0)</f>
        <v>0</v>
      </c>
      <c r="AT45" s="276" cm="1">
        <f t="array" ref="AT45">IF(AND(AT$2&lt;&gt;0,TblTech[[#This Row],[Hour]:[Hour]]&gt;=AT$2),1,0)</f>
        <v>0</v>
      </c>
      <c r="AU45" s="276" cm="1">
        <f t="array" ref="AU45">IF(AND(AU$2&lt;&gt;0,TblTech[[#This Row],[Hour]:[Hour]]&gt;=AU$2),1,0)</f>
        <v>0</v>
      </c>
      <c r="AV45" s="276" cm="1">
        <f t="array" ref="AV45">IF(AND(AV$2&lt;&gt;0,TblTech[[#This Row],[Hour]:[Hour]]&gt;=AV$2),1,0)</f>
        <v>0</v>
      </c>
      <c r="AW45" s="276" cm="1">
        <f t="array" ref="AW45">IF(AND(AW$2&lt;&gt;0,TblTech[[#This Row],[Hour]:[Hour]]&gt;=AW$2),1,0)</f>
        <v>0</v>
      </c>
      <c r="AX45" s="276" cm="1">
        <f t="array" ref="AX45">IF(AND(AX$2&lt;&gt;0,TblTech[[#This Row],[Hour]:[Hour]]&gt;=AX$2),1,0)</f>
        <v>0</v>
      </c>
      <c r="AY45" s="276" cm="1">
        <f t="array" ref="AY45">IF(AND(AY$2&lt;&gt;0,TblTech[[#This Row],[Hour]:[Hour]]&gt;=AY$2),1,0)</f>
        <v>0</v>
      </c>
      <c r="AZ45" s="276" cm="1">
        <f t="array" ref="AZ45">IF(AND(AZ$2&lt;&gt;0,TblTech[[#This Row],[Hour]:[Hour]]&gt;=AZ$2),1,0)</f>
        <v>0</v>
      </c>
      <c r="BA45" s="276" cm="1">
        <f t="array" ref="BA45">IF(AND(BA$2&lt;&gt;0,TblTech[[#This Row],[Hour]:[Hour]]&gt;=BA$2),1,0)</f>
        <v>0</v>
      </c>
      <c r="BB45" s="276" cm="1">
        <f t="array" ref="BB45">IF(AND(BB$2&lt;&gt;0,TblTech[[#This Row],[Hour]:[Hour]]&gt;=BB$2),1,0)</f>
        <v>0</v>
      </c>
      <c r="BC45" s="276" cm="1">
        <f t="array" ref="BC45">IF(AND(BC$2&lt;&gt;0,TblTech[[#This Row],[Hour]:[Hour]]&gt;=BC$2),1,0)</f>
        <v>0</v>
      </c>
      <c r="BD45" s="276" cm="1">
        <f t="array" ref="BD45">IF(AND(BD$2&lt;&gt;0,TblTech[[#This Row],[Hour]:[Hour]]&gt;=BD$2),1,0)</f>
        <v>0</v>
      </c>
      <c r="BE45" s="276" cm="1">
        <f t="array" ref="BE45">IF(AND(BE$2&lt;&gt;0,TblTech[[#This Row],[Hour]:[Hour]]&gt;=BE$2),1,0)</f>
        <v>0</v>
      </c>
      <c r="BF45" s="276" cm="1">
        <f t="array" ref="BF45">IF(AND(BF$2&lt;&gt;0,TblTech[[#This Row],[Hour]:[Hour]]&gt;=BF$2),1,0)</f>
        <v>0</v>
      </c>
      <c r="BG45" s="276" cm="1">
        <f t="array" ref="BG45">IF(AND(BG$2&lt;&gt;0,TblTech[[#This Row],[Hour]:[Hour]]&gt;=BG$2),1,0)</f>
        <v>0</v>
      </c>
      <c r="BH45" s="276" cm="1">
        <f t="array" ref="BH45">IF(AND(BH$2&lt;&gt;0,TblTech[[#This Row],[Hour]:[Hour]]&gt;=BH$2),1,0)</f>
        <v>0</v>
      </c>
      <c r="BI45" s="276" cm="1">
        <f t="array" ref="BI45">IF(AND(BI$2&lt;&gt;0,TblTech[[#This Row],[Hour]:[Hour]]&gt;=BI$2),1,0)</f>
        <v>0</v>
      </c>
      <c r="BJ45" s="276" cm="1">
        <f t="array" ref="BJ45">IF(AND(BJ$2&lt;&gt;0,TblTech[[#This Row],[Hour]:[Hour]]&gt;=BJ$2),1,0)</f>
        <v>0</v>
      </c>
      <c r="BK45" s="276" cm="1">
        <f t="array" ref="BK45">IF(AND(BK$2&lt;&gt;0,TblTech[[#This Row],[Hour]:[Hour]]&gt;=BK$2),1,0)</f>
        <v>0</v>
      </c>
      <c r="BL45" s="276" cm="1">
        <f t="array" ref="BL45">IF(AND(BL$2&lt;&gt;0,TblTech[[#This Row],[Hour]:[Hour]]&gt;=BL$2),1,0)</f>
        <v>0</v>
      </c>
      <c r="BM45" s="276" cm="1">
        <f t="array" ref="BM45">IF(AND(BM$2&lt;&gt;0,TblTech[[#This Row],[Hour]:[Hour]]&gt;=BM$2),1,0)</f>
        <v>0</v>
      </c>
      <c r="BN45" s="276" cm="1">
        <f t="array" ref="BN45">IF(AND(BN$2&lt;&gt;0,TblTech[[#This Row],[Hour]:[Hour]]&gt;=BN$2),1,0)</f>
        <v>0</v>
      </c>
      <c r="BO45" s="276" cm="1">
        <f t="array" ref="BO45">IF(AND(BO$2&lt;&gt;0,TblTech[[#This Row],[Hour]:[Hour]]&gt;=BO$2),1,0)</f>
        <v>0</v>
      </c>
      <c r="BP45" s="276" cm="1">
        <f t="array" ref="BP45">IF(AND(BP$2&lt;&gt;0,TblTech[[#This Row],[Hour]:[Hour]]&gt;=BP$2),1,0)</f>
        <v>0</v>
      </c>
      <c r="BQ45" s="276" cm="1">
        <f t="array" ref="BQ45">IF(AND(BQ$2&lt;&gt;0,TblTech[[#This Row],[Hour]:[Hour]]&gt;=BQ$2),1,0)</f>
        <v>0</v>
      </c>
      <c r="BR45" s="276" cm="1">
        <f t="array" ref="BR45">IF(AND(BR$2&lt;&gt;0,TblTech[[#This Row],[Hour]:[Hour]]&gt;=BR$2),1,0)</f>
        <v>0</v>
      </c>
      <c r="BS45" s="276" cm="1">
        <f t="array" ref="BS45">IF(AND(BS$2&lt;&gt;0,TblTech[[#This Row],[Hour]:[Hour]]&gt;=BS$2),1,0)</f>
        <v>0</v>
      </c>
      <c r="BT45" s="276" cm="1">
        <f t="array" ref="BT45">IF(AND(BT$2&lt;&gt;0,TblTech[[#This Row],[Hour]:[Hour]]&gt;=BT$2),1,0)</f>
        <v>0</v>
      </c>
      <c r="BU45" s="276" cm="1">
        <f t="array" ref="BU45">IF(AND(BU$2&lt;&gt;0,TblTech[[#This Row],[Hour]:[Hour]]&gt;=BU$2),1,0)</f>
        <v>0</v>
      </c>
      <c r="BV45" s="276" cm="1">
        <f t="array" ref="BV45">IF(AND(BV$2&lt;&gt;0,TblTech[[#This Row],[Hour]:[Hour]]&gt;=BV$2),1,0)</f>
        <v>0</v>
      </c>
      <c r="BW45" s="276" cm="1">
        <f t="array" ref="BW45">IF(AND(BW$2&lt;&gt;0,TblTech[[#This Row],[Hour]:[Hour]]&gt;=BW$2),1,0)</f>
        <v>0</v>
      </c>
      <c r="BX45" s="276" cm="1">
        <f t="array" ref="BX45">IF(AND(BX$2&lt;&gt;0,TblTech[[#This Row],[Hour]:[Hour]]&gt;=BX$2),1,0)</f>
        <v>0</v>
      </c>
      <c r="BY45" s="276" cm="1">
        <f t="array" ref="BY45">IF(AND(BY$2&lt;&gt;0,TblTech[[#This Row],[Hour]:[Hour]]&gt;=BY$2),1,0)</f>
        <v>0</v>
      </c>
      <c r="BZ45" s="276" cm="1">
        <f t="array" ref="BZ45">IF(AND(BZ$2&lt;&gt;0,TblTech[[#This Row],[Hour]:[Hour]]&gt;=BZ$2),1,0)</f>
        <v>0</v>
      </c>
      <c r="CA45" s="377">
        <f>IFERROR(INDEX($H$4:$H$79,MATCH(INDEX(TblTech[[#Headers],[1-1]:[11-1]],1,MATCH(TblTech[[#This Row],[Hour]],$M$2:$BZ$2,0)),$G$4:$G$79,0)),)</f>
        <v>0</v>
      </c>
    </row>
    <row r="46" spans="1:79" x14ac:dyDescent="0.2">
      <c r="A46" s="268">
        <f>TblRezone[[#This Row],[Hour]]</f>
        <v>43</v>
      </c>
      <c r="B46" s="269">
        <f ca="1">TblExplore[[#This Row],[Land-DB]]</f>
        <v>50</v>
      </c>
      <c r="C46" s="270">
        <f ca="1">TblProd[[#This Row],[Techpoints]]</f>
        <v>0</v>
      </c>
      <c r="D46" s="270">
        <f ca="1">TblProd[[#This Row],[Required]]</f>
        <v>3750</v>
      </c>
      <c r="E46" s="271"/>
      <c r="F46" s="272"/>
      <c r="G46" s="273" t="s">
        <v>585</v>
      </c>
      <c r="H46" s="274" t="s">
        <v>710</v>
      </c>
      <c r="I46" s="273" t="s">
        <v>1044</v>
      </c>
      <c r="J46" s="269"/>
      <c r="K46" s="93">
        <f ca="1">IF(TblTech[[#This Row],[Sum of tech]]&lt;&gt;OFFSET(TblTech[[#This Row],[Sum of tech]],-1,0),1,0)</f>
        <v>0</v>
      </c>
      <c r="L46" s="275">
        <f>COUNTIF(TblTech[[#This Row],[1-1]:[11-1]],1)</f>
        <v>0</v>
      </c>
      <c r="M46" s="276" cm="1">
        <f t="array" ref="M46">IF(AND(M$2&lt;&gt;0,TblTech[[#This Row],[Hour]:[Hour]]&gt;=M$2),1,0)</f>
        <v>0</v>
      </c>
      <c r="N46" s="276" cm="1">
        <f t="array" ref="N46">IF(AND(N$2&lt;&gt;0,TblTech[[#This Row],[Hour]:[Hour]]&gt;=N$2),1,0)</f>
        <v>0</v>
      </c>
      <c r="O46" s="276" cm="1">
        <f t="array" ref="O46">IF(AND(O$2&lt;&gt;0,TblTech[[#This Row],[Hour]:[Hour]]&gt;=O$2),1,0)</f>
        <v>0</v>
      </c>
      <c r="P46" s="276" cm="1">
        <f t="array" ref="P46">IF(AND(P$2&lt;&gt;0,TblTech[[#This Row],[Hour]:[Hour]]&gt;=P$2),1,0)</f>
        <v>0</v>
      </c>
      <c r="Q46" s="276" cm="1">
        <f t="array" ref="Q46">IF(AND(Q$2&lt;&gt;0,TblTech[[#This Row],[Hour]:[Hour]]&gt;=Q$2),1,0)</f>
        <v>0</v>
      </c>
      <c r="R46" s="276" cm="1">
        <f t="array" ref="R46">IF(AND(R$2&lt;&gt;0,TblTech[[#This Row],[Hour]:[Hour]]&gt;=R$2),1,0)</f>
        <v>0</v>
      </c>
      <c r="S46" s="276" cm="1">
        <f t="array" ref="S46">IF(AND(S$2&lt;&gt;0,TblTech[[#This Row],[Hour]:[Hour]]&gt;=S$2),1,0)</f>
        <v>0</v>
      </c>
      <c r="T46" s="276" cm="1">
        <f t="array" ref="T46">IF(AND(T$2&lt;&gt;0,TblTech[[#This Row],[Hour]:[Hour]]&gt;=T$2),1,0)</f>
        <v>0</v>
      </c>
      <c r="U46" s="276" cm="1">
        <f t="array" ref="U46">IF(AND(U$2&lt;&gt;0,TblTech[[#This Row],[Hour]:[Hour]]&gt;=U$2),1,0)</f>
        <v>0</v>
      </c>
      <c r="V46" s="276" cm="1">
        <f t="array" ref="V46">IF(AND(V$2&lt;&gt;0,TblTech[[#This Row],[Hour]:[Hour]]&gt;=V$2),1,0)</f>
        <v>0</v>
      </c>
      <c r="W46" s="276" cm="1">
        <f t="array" ref="W46">IF(AND(W$2&lt;&gt;0,TblTech[[#This Row],[Hour]:[Hour]]&gt;=W$2),1,0)</f>
        <v>0</v>
      </c>
      <c r="X46" s="276" cm="1">
        <f t="array" ref="X46">IF(AND(X$2&lt;&gt;0,TblTech[[#This Row],[Hour]:[Hour]]&gt;=X$2),1,0)</f>
        <v>0</v>
      </c>
      <c r="Y46" s="276" cm="1">
        <f t="array" ref="Y46">IF(AND(Y$2&lt;&gt;0,TblTech[[#This Row],[Hour]:[Hour]]&gt;=Y$2),1,0)</f>
        <v>0</v>
      </c>
      <c r="Z46" s="276" cm="1">
        <f t="array" ref="Z46">IF(AND(Z$2&lt;&gt;0,TblTech[[#This Row],[Hour]:[Hour]]&gt;=Z$2),1,0)</f>
        <v>0</v>
      </c>
      <c r="AA46" s="276" cm="1">
        <f t="array" ref="AA46">IF(AND(AA$2&lt;&gt;0,TblTech[[#This Row],[Hour]:[Hour]]&gt;=AA$2),1,0)</f>
        <v>0</v>
      </c>
      <c r="AB46" s="276" cm="1">
        <f t="array" ref="AB46">IF(AND(AB$2&lt;&gt;0,TblTech[[#This Row],[Hour]:[Hour]]&gt;=AB$2),1,0)</f>
        <v>0</v>
      </c>
      <c r="AC46" s="276" cm="1">
        <f t="array" ref="AC46">IF(AND(AC$2&lt;&gt;0,TblTech[[#This Row],[Hour]:[Hour]]&gt;=AC$2),1,0)</f>
        <v>0</v>
      </c>
      <c r="AD46" s="276" cm="1">
        <f t="array" ref="AD46">IF(AND(AD$2&lt;&gt;0,TblTech[[#This Row],[Hour]:[Hour]]&gt;=AD$2),1,0)</f>
        <v>0</v>
      </c>
      <c r="AE46" s="276" cm="1">
        <f t="array" ref="AE46">IF(AND(AE$2&lt;&gt;0,TblTech[[#This Row],[Hour]:[Hour]]&gt;=AE$2),1,0)</f>
        <v>0</v>
      </c>
      <c r="AF46" s="276" cm="1">
        <f t="array" ref="AF46">IF(AND(AF$2&lt;&gt;0,TblTech[[#This Row],[Hour]:[Hour]]&gt;=AF$2),1,0)</f>
        <v>0</v>
      </c>
      <c r="AG46" s="276" cm="1">
        <f t="array" ref="AG46">IF(AND(AG$2&lt;&gt;0,TblTech[[#This Row],[Hour]:[Hour]]&gt;=AG$2),1,0)</f>
        <v>0</v>
      </c>
      <c r="AH46" s="276" cm="1">
        <f t="array" ref="AH46">IF(AND(AH$2&lt;&gt;0,TblTech[[#This Row],[Hour]:[Hour]]&gt;=AH$2),1,0)</f>
        <v>0</v>
      </c>
      <c r="AI46" s="276" cm="1">
        <f t="array" ref="AI46">IF(AND(AI$2&lt;&gt;0,TblTech[[#This Row],[Hour]:[Hour]]&gt;=AI$2),1,0)</f>
        <v>0</v>
      </c>
      <c r="AJ46" s="276" cm="1">
        <f t="array" ref="AJ46">IF(AND(AJ$2&lt;&gt;0,TblTech[[#This Row],[Hour]:[Hour]]&gt;=AJ$2),1,0)</f>
        <v>0</v>
      </c>
      <c r="AK46" s="276" cm="1">
        <f t="array" ref="AK46">IF(AND(AK$2&lt;&gt;0,TblTech[[#This Row],[Hour]:[Hour]]&gt;=AK$2),1,0)</f>
        <v>0</v>
      </c>
      <c r="AL46" s="276" cm="1">
        <f t="array" ref="AL46">IF(AND(AL$2&lt;&gt;0,TblTech[[#This Row],[Hour]:[Hour]]&gt;=AL$2),1,0)</f>
        <v>0</v>
      </c>
      <c r="AM46" s="276" cm="1">
        <f t="array" ref="AM46">IF(AND(AM$2&lt;&gt;0,TblTech[[#This Row],[Hour]:[Hour]]&gt;=AM$2),1,0)</f>
        <v>0</v>
      </c>
      <c r="AN46" s="276" cm="1">
        <f t="array" ref="AN46">IF(AND(AN$2&lt;&gt;0,TblTech[[#This Row],[Hour]:[Hour]]&gt;=AN$2),1,0)</f>
        <v>0</v>
      </c>
      <c r="AO46" s="276" cm="1">
        <f t="array" ref="AO46">IF(AND(AO$2&lt;&gt;0,TblTech[[#This Row],[Hour]:[Hour]]&gt;=AO$2),1,0)</f>
        <v>0</v>
      </c>
      <c r="AP46" s="276" cm="1">
        <f t="array" ref="AP46">IF(AND(AP$2&lt;&gt;0,TblTech[[#This Row],[Hour]:[Hour]]&gt;=AP$2),1,0)</f>
        <v>0</v>
      </c>
      <c r="AQ46" s="276" cm="1">
        <f t="array" ref="AQ46">IF(AND(AQ$2&lt;&gt;0,TblTech[[#This Row],[Hour]:[Hour]]&gt;=AQ$2),1,0)</f>
        <v>0</v>
      </c>
      <c r="AR46" s="276" cm="1">
        <f t="array" ref="AR46">IF(AND(AR$2&lt;&gt;0,TblTech[[#This Row],[Hour]:[Hour]]&gt;=AR$2),1,0)</f>
        <v>0</v>
      </c>
      <c r="AS46" s="276" cm="1">
        <f t="array" ref="AS46">IF(AND(AS$2&lt;&gt;0,TblTech[[#This Row],[Hour]:[Hour]]&gt;=AS$2),1,0)</f>
        <v>0</v>
      </c>
      <c r="AT46" s="276" cm="1">
        <f t="array" ref="AT46">IF(AND(AT$2&lt;&gt;0,TblTech[[#This Row],[Hour]:[Hour]]&gt;=AT$2),1,0)</f>
        <v>0</v>
      </c>
      <c r="AU46" s="276" cm="1">
        <f t="array" ref="AU46">IF(AND(AU$2&lt;&gt;0,TblTech[[#This Row],[Hour]:[Hour]]&gt;=AU$2),1,0)</f>
        <v>0</v>
      </c>
      <c r="AV46" s="276" cm="1">
        <f t="array" ref="AV46">IF(AND(AV$2&lt;&gt;0,TblTech[[#This Row],[Hour]:[Hour]]&gt;=AV$2),1,0)</f>
        <v>0</v>
      </c>
      <c r="AW46" s="276" cm="1">
        <f t="array" ref="AW46">IF(AND(AW$2&lt;&gt;0,TblTech[[#This Row],[Hour]:[Hour]]&gt;=AW$2),1,0)</f>
        <v>0</v>
      </c>
      <c r="AX46" s="276" cm="1">
        <f t="array" ref="AX46">IF(AND(AX$2&lt;&gt;0,TblTech[[#This Row],[Hour]:[Hour]]&gt;=AX$2),1,0)</f>
        <v>0</v>
      </c>
      <c r="AY46" s="276" cm="1">
        <f t="array" ref="AY46">IF(AND(AY$2&lt;&gt;0,TblTech[[#This Row],[Hour]:[Hour]]&gt;=AY$2),1,0)</f>
        <v>0</v>
      </c>
      <c r="AZ46" s="276" cm="1">
        <f t="array" ref="AZ46">IF(AND(AZ$2&lt;&gt;0,TblTech[[#This Row],[Hour]:[Hour]]&gt;=AZ$2),1,0)</f>
        <v>0</v>
      </c>
      <c r="BA46" s="276" cm="1">
        <f t="array" ref="BA46">IF(AND(BA$2&lt;&gt;0,TblTech[[#This Row],[Hour]:[Hour]]&gt;=BA$2),1,0)</f>
        <v>0</v>
      </c>
      <c r="BB46" s="276" cm="1">
        <f t="array" ref="BB46">IF(AND(BB$2&lt;&gt;0,TblTech[[#This Row],[Hour]:[Hour]]&gt;=BB$2),1,0)</f>
        <v>0</v>
      </c>
      <c r="BC46" s="276" cm="1">
        <f t="array" ref="BC46">IF(AND(BC$2&lt;&gt;0,TblTech[[#This Row],[Hour]:[Hour]]&gt;=BC$2),1,0)</f>
        <v>0</v>
      </c>
      <c r="BD46" s="276" cm="1">
        <f t="array" ref="BD46">IF(AND(BD$2&lt;&gt;0,TblTech[[#This Row],[Hour]:[Hour]]&gt;=BD$2),1,0)</f>
        <v>0</v>
      </c>
      <c r="BE46" s="276" cm="1">
        <f t="array" ref="BE46">IF(AND(BE$2&lt;&gt;0,TblTech[[#This Row],[Hour]:[Hour]]&gt;=BE$2),1,0)</f>
        <v>0</v>
      </c>
      <c r="BF46" s="276" cm="1">
        <f t="array" ref="BF46">IF(AND(BF$2&lt;&gt;0,TblTech[[#This Row],[Hour]:[Hour]]&gt;=BF$2),1,0)</f>
        <v>0</v>
      </c>
      <c r="BG46" s="276" cm="1">
        <f t="array" ref="BG46">IF(AND(BG$2&lt;&gt;0,TblTech[[#This Row],[Hour]:[Hour]]&gt;=BG$2),1,0)</f>
        <v>0</v>
      </c>
      <c r="BH46" s="276" cm="1">
        <f t="array" ref="BH46">IF(AND(BH$2&lt;&gt;0,TblTech[[#This Row],[Hour]:[Hour]]&gt;=BH$2),1,0)</f>
        <v>0</v>
      </c>
      <c r="BI46" s="276" cm="1">
        <f t="array" ref="BI46">IF(AND(BI$2&lt;&gt;0,TblTech[[#This Row],[Hour]:[Hour]]&gt;=BI$2),1,0)</f>
        <v>0</v>
      </c>
      <c r="BJ46" s="276" cm="1">
        <f t="array" ref="BJ46">IF(AND(BJ$2&lt;&gt;0,TblTech[[#This Row],[Hour]:[Hour]]&gt;=BJ$2),1,0)</f>
        <v>0</v>
      </c>
      <c r="BK46" s="276" cm="1">
        <f t="array" ref="BK46">IF(AND(BK$2&lt;&gt;0,TblTech[[#This Row],[Hour]:[Hour]]&gt;=BK$2),1,0)</f>
        <v>0</v>
      </c>
      <c r="BL46" s="276" cm="1">
        <f t="array" ref="BL46">IF(AND(BL$2&lt;&gt;0,TblTech[[#This Row],[Hour]:[Hour]]&gt;=BL$2),1,0)</f>
        <v>0</v>
      </c>
      <c r="BM46" s="276" cm="1">
        <f t="array" ref="BM46">IF(AND(BM$2&lt;&gt;0,TblTech[[#This Row],[Hour]:[Hour]]&gt;=BM$2),1,0)</f>
        <v>0</v>
      </c>
      <c r="BN46" s="276" cm="1">
        <f t="array" ref="BN46">IF(AND(BN$2&lt;&gt;0,TblTech[[#This Row],[Hour]:[Hour]]&gt;=BN$2),1,0)</f>
        <v>0</v>
      </c>
      <c r="BO46" s="276" cm="1">
        <f t="array" ref="BO46">IF(AND(BO$2&lt;&gt;0,TblTech[[#This Row],[Hour]:[Hour]]&gt;=BO$2),1,0)</f>
        <v>0</v>
      </c>
      <c r="BP46" s="276" cm="1">
        <f t="array" ref="BP46">IF(AND(BP$2&lt;&gt;0,TblTech[[#This Row],[Hour]:[Hour]]&gt;=BP$2),1,0)</f>
        <v>0</v>
      </c>
      <c r="BQ46" s="276" cm="1">
        <f t="array" ref="BQ46">IF(AND(BQ$2&lt;&gt;0,TblTech[[#This Row],[Hour]:[Hour]]&gt;=BQ$2),1,0)</f>
        <v>0</v>
      </c>
      <c r="BR46" s="276" cm="1">
        <f t="array" ref="BR46">IF(AND(BR$2&lt;&gt;0,TblTech[[#This Row],[Hour]:[Hour]]&gt;=BR$2),1,0)</f>
        <v>0</v>
      </c>
      <c r="BS46" s="276" cm="1">
        <f t="array" ref="BS46">IF(AND(BS$2&lt;&gt;0,TblTech[[#This Row],[Hour]:[Hour]]&gt;=BS$2),1,0)</f>
        <v>0</v>
      </c>
      <c r="BT46" s="276" cm="1">
        <f t="array" ref="BT46">IF(AND(BT$2&lt;&gt;0,TblTech[[#This Row],[Hour]:[Hour]]&gt;=BT$2),1,0)</f>
        <v>0</v>
      </c>
      <c r="BU46" s="276" cm="1">
        <f t="array" ref="BU46">IF(AND(BU$2&lt;&gt;0,TblTech[[#This Row],[Hour]:[Hour]]&gt;=BU$2),1,0)</f>
        <v>0</v>
      </c>
      <c r="BV46" s="276" cm="1">
        <f t="array" ref="BV46">IF(AND(BV$2&lt;&gt;0,TblTech[[#This Row],[Hour]:[Hour]]&gt;=BV$2),1,0)</f>
        <v>0</v>
      </c>
      <c r="BW46" s="276" cm="1">
        <f t="array" ref="BW46">IF(AND(BW$2&lt;&gt;0,TblTech[[#This Row],[Hour]:[Hour]]&gt;=BW$2),1,0)</f>
        <v>0</v>
      </c>
      <c r="BX46" s="276" cm="1">
        <f t="array" ref="BX46">IF(AND(BX$2&lt;&gt;0,TblTech[[#This Row],[Hour]:[Hour]]&gt;=BX$2),1,0)</f>
        <v>0</v>
      </c>
      <c r="BY46" s="276" cm="1">
        <f t="array" ref="BY46">IF(AND(BY$2&lt;&gt;0,TblTech[[#This Row],[Hour]:[Hour]]&gt;=BY$2),1,0)</f>
        <v>0</v>
      </c>
      <c r="BZ46" s="276" cm="1">
        <f t="array" ref="BZ46">IF(AND(BZ$2&lt;&gt;0,TblTech[[#This Row],[Hour]:[Hour]]&gt;=BZ$2),1,0)</f>
        <v>0</v>
      </c>
      <c r="CA46" s="377">
        <f>IFERROR(INDEX($H$4:$H$79,MATCH(INDEX(TblTech[[#Headers],[1-1]:[11-1]],1,MATCH(TblTech[[#This Row],[Hour]],$M$2:$BZ$2,0)),$G$4:$G$79,0)),)</f>
        <v>0</v>
      </c>
    </row>
    <row r="47" spans="1:79" x14ac:dyDescent="0.2">
      <c r="A47" s="268">
        <f>TblRezone[[#This Row],[Hour]]</f>
        <v>44</v>
      </c>
      <c r="B47" s="269">
        <f ca="1">TblExplore[[#This Row],[Land-DB]]</f>
        <v>50</v>
      </c>
      <c r="C47" s="270">
        <f ca="1">TblProd[[#This Row],[Techpoints]]</f>
        <v>0</v>
      </c>
      <c r="D47" s="270">
        <f ca="1">TblProd[[#This Row],[Required]]</f>
        <v>3750</v>
      </c>
      <c r="E47" s="271"/>
      <c r="F47" s="272"/>
      <c r="G47" s="273" t="s">
        <v>586</v>
      </c>
      <c r="H47" s="274" t="s">
        <v>709</v>
      </c>
      <c r="I47" s="273" t="s">
        <v>1163</v>
      </c>
      <c r="J47" s="269"/>
      <c r="K47" s="93">
        <f ca="1">IF(TblTech[[#This Row],[Sum of tech]]&lt;&gt;OFFSET(TblTech[[#This Row],[Sum of tech]],-1,0),1,0)</f>
        <v>0</v>
      </c>
      <c r="L47" s="275">
        <f>COUNTIF(TblTech[[#This Row],[1-1]:[11-1]],1)</f>
        <v>0</v>
      </c>
      <c r="M47" s="276" cm="1">
        <f t="array" ref="M47">IF(AND(M$2&lt;&gt;0,TblTech[[#This Row],[Hour]:[Hour]]&gt;=M$2),1,0)</f>
        <v>0</v>
      </c>
      <c r="N47" s="276" cm="1">
        <f t="array" ref="N47">IF(AND(N$2&lt;&gt;0,TblTech[[#This Row],[Hour]:[Hour]]&gt;=N$2),1,0)</f>
        <v>0</v>
      </c>
      <c r="O47" s="276" cm="1">
        <f t="array" ref="O47">IF(AND(O$2&lt;&gt;0,TblTech[[#This Row],[Hour]:[Hour]]&gt;=O$2),1,0)</f>
        <v>0</v>
      </c>
      <c r="P47" s="276" cm="1">
        <f t="array" ref="P47">IF(AND(P$2&lt;&gt;0,TblTech[[#This Row],[Hour]:[Hour]]&gt;=P$2),1,0)</f>
        <v>0</v>
      </c>
      <c r="Q47" s="276" cm="1">
        <f t="array" ref="Q47">IF(AND(Q$2&lt;&gt;0,TblTech[[#This Row],[Hour]:[Hour]]&gt;=Q$2),1,0)</f>
        <v>0</v>
      </c>
      <c r="R47" s="276" cm="1">
        <f t="array" ref="R47">IF(AND(R$2&lt;&gt;0,TblTech[[#This Row],[Hour]:[Hour]]&gt;=R$2),1,0)</f>
        <v>0</v>
      </c>
      <c r="S47" s="276" cm="1">
        <f t="array" ref="S47">IF(AND(S$2&lt;&gt;0,TblTech[[#This Row],[Hour]:[Hour]]&gt;=S$2),1,0)</f>
        <v>0</v>
      </c>
      <c r="T47" s="276" cm="1">
        <f t="array" ref="T47">IF(AND(T$2&lt;&gt;0,TblTech[[#This Row],[Hour]:[Hour]]&gt;=T$2),1,0)</f>
        <v>0</v>
      </c>
      <c r="U47" s="276" cm="1">
        <f t="array" ref="U47">IF(AND(U$2&lt;&gt;0,TblTech[[#This Row],[Hour]:[Hour]]&gt;=U$2),1,0)</f>
        <v>0</v>
      </c>
      <c r="V47" s="276" cm="1">
        <f t="array" ref="V47">IF(AND(V$2&lt;&gt;0,TblTech[[#This Row],[Hour]:[Hour]]&gt;=V$2),1,0)</f>
        <v>0</v>
      </c>
      <c r="W47" s="276" cm="1">
        <f t="array" ref="W47">IF(AND(W$2&lt;&gt;0,TblTech[[#This Row],[Hour]:[Hour]]&gt;=W$2),1,0)</f>
        <v>0</v>
      </c>
      <c r="X47" s="276" cm="1">
        <f t="array" ref="X47">IF(AND(X$2&lt;&gt;0,TblTech[[#This Row],[Hour]:[Hour]]&gt;=X$2),1,0)</f>
        <v>0</v>
      </c>
      <c r="Y47" s="276" cm="1">
        <f t="array" ref="Y47">IF(AND(Y$2&lt;&gt;0,TblTech[[#This Row],[Hour]:[Hour]]&gt;=Y$2),1,0)</f>
        <v>0</v>
      </c>
      <c r="Z47" s="276" cm="1">
        <f t="array" ref="Z47">IF(AND(Z$2&lt;&gt;0,TblTech[[#This Row],[Hour]:[Hour]]&gt;=Z$2),1,0)</f>
        <v>0</v>
      </c>
      <c r="AA47" s="276" cm="1">
        <f t="array" ref="AA47">IF(AND(AA$2&lt;&gt;0,TblTech[[#This Row],[Hour]:[Hour]]&gt;=AA$2),1,0)</f>
        <v>0</v>
      </c>
      <c r="AB47" s="276" cm="1">
        <f t="array" ref="AB47">IF(AND(AB$2&lt;&gt;0,TblTech[[#This Row],[Hour]:[Hour]]&gt;=AB$2),1,0)</f>
        <v>0</v>
      </c>
      <c r="AC47" s="276" cm="1">
        <f t="array" ref="AC47">IF(AND(AC$2&lt;&gt;0,TblTech[[#This Row],[Hour]:[Hour]]&gt;=AC$2),1,0)</f>
        <v>0</v>
      </c>
      <c r="AD47" s="276" cm="1">
        <f t="array" ref="AD47">IF(AND(AD$2&lt;&gt;0,TblTech[[#This Row],[Hour]:[Hour]]&gt;=AD$2),1,0)</f>
        <v>0</v>
      </c>
      <c r="AE47" s="276" cm="1">
        <f t="array" ref="AE47">IF(AND(AE$2&lt;&gt;0,TblTech[[#This Row],[Hour]:[Hour]]&gt;=AE$2),1,0)</f>
        <v>0</v>
      </c>
      <c r="AF47" s="276" cm="1">
        <f t="array" ref="AF47">IF(AND(AF$2&lt;&gt;0,TblTech[[#This Row],[Hour]:[Hour]]&gt;=AF$2),1,0)</f>
        <v>0</v>
      </c>
      <c r="AG47" s="276" cm="1">
        <f t="array" ref="AG47">IF(AND(AG$2&lt;&gt;0,TblTech[[#This Row],[Hour]:[Hour]]&gt;=AG$2),1,0)</f>
        <v>0</v>
      </c>
      <c r="AH47" s="276" cm="1">
        <f t="array" ref="AH47">IF(AND(AH$2&lt;&gt;0,TblTech[[#This Row],[Hour]:[Hour]]&gt;=AH$2),1,0)</f>
        <v>0</v>
      </c>
      <c r="AI47" s="276" cm="1">
        <f t="array" ref="AI47">IF(AND(AI$2&lt;&gt;0,TblTech[[#This Row],[Hour]:[Hour]]&gt;=AI$2),1,0)</f>
        <v>0</v>
      </c>
      <c r="AJ47" s="276" cm="1">
        <f t="array" ref="AJ47">IF(AND(AJ$2&lt;&gt;0,TblTech[[#This Row],[Hour]:[Hour]]&gt;=AJ$2),1,0)</f>
        <v>0</v>
      </c>
      <c r="AK47" s="276" cm="1">
        <f t="array" ref="AK47">IF(AND(AK$2&lt;&gt;0,TblTech[[#This Row],[Hour]:[Hour]]&gt;=AK$2),1,0)</f>
        <v>0</v>
      </c>
      <c r="AL47" s="276" cm="1">
        <f t="array" ref="AL47">IF(AND(AL$2&lt;&gt;0,TblTech[[#This Row],[Hour]:[Hour]]&gt;=AL$2),1,0)</f>
        <v>0</v>
      </c>
      <c r="AM47" s="276" cm="1">
        <f t="array" ref="AM47">IF(AND(AM$2&lt;&gt;0,TblTech[[#This Row],[Hour]:[Hour]]&gt;=AM$2),1,0)</f>
        <v>0</v>
      </c>
      <c r="AN47" s="276" cm="1">
        <f t="array" ref="AN47">IF(AND(AN$2&lt;&gt;0,TblTech[[#This Row],[Hour]:[Hour]]&gt;=AN$2),1,0)</f>
        <v>0</v>
      </c>
      <c r="AO47" s="276" cm="1">
        <f t="array" ref="AO47">IF(AND(AO$2&lt;&gt;0,TblTech[[#This Row],[Hour]:[Hour]]&gt;=AO$2),1,0)</f>
        <v>0</v>
      </c>
      <c r="AP47" s="276" cm="1">
        <f t="array" ref="AP47">IF(AND(AP$2&lt;&gt;0,TblTech[[#This Row],[Hour]:[Hour]]&gt;=AP$2),1,0)</f>
        <v>0</v>
      </c>
      <c r="AQ47" s="276" cm="1">
        <f t="array" ref="AQ47">IF(AND(AQ$2&lt;&gt;0,TblTech[[#This Row],[Hour]:[Hour]]&gt;=AQ$2),1,0)</f>
        <v>0</v>
      </c>
      <c r="AR47" s="276" cm="1">
        <f t="array" ref="AR47">IF(AND(AR$2&lt;&gt;0,TblTech[[#This Row],[Hour]:[Hour]]&gt;=AR$2),1,0)</f>
        <v>0</v>
      </c>
      <c r="AS47" s="276" cm="1">
        <f t="array" ref="AS47">IF(AND(AS$2&lt;&gt;0,TblTech[[#This Row],[Hour]:[Hour]]&gt;=AS$2),1,0)</f>
        <v>0</v>
      </c>
      <c r="AT47" s="276" cm="1">
        <f t="array" ref="AT47">IF(AND(AT$2&lt;&gt;0,TblTech[[#This Row],[Hour]:[Hour]]&gt;=AT$2),1,0)</f>
        <v>0</v>
      </c>
      <c r="AU47" s="276" cm="1">
        <f t="array" ref="AU47">IF(AND(AU$2&lt;&gt;0,TblTech[[#This Row],[Hour]:[Hour]]&gt;=AU$2),1,0)</f>
        <v>0</v>
      </c>
      <c r="AV47" s="276" cm="1">
        <f t="array" ref="AV47">IF(AND(AV$2&lt;&gt;0,TblTech[[#This Row],[Hour]:[Hour]]&gt;=AV$2),1,0)</f>
        <v>0</v>
      </c>
      <c r="AW47" s="276" cm="1">
        <f t="array" ref="AW47">IF(AND(AW$2&lt;&gt;0,TblTech[[#This Row],[Hour]:[Hour]]&gt;=AW$2),1,0)</f>
        <v>0</v>
      </c>
      <c r="AX47" s="276" cm="1">
        <f t="array" ref="AX47">IF(AND(AX$2&lt;&gt;0,TblTech[[#This Row],[Hour]:[Hour]]&gt;=AX$2),1,0)</f>
        <v>0</v>
      </c>
      <c r="AY47" s="276" cm="1">
        <f t="array" ref="AY47">IF(AND(AY$2&lt;&gt;0,TblTech[[#This Row],[Hour]:[Hour]]&gt;=AY$2),1,0)</f>
        <v>0</v>
      </c>
      <c r="AZ47" s="276" cm="1">
        <f t="array" ref="AZ47">IF(AND(AZ$2&lt;&gt;0,TblTech[[#This Row],[Hour]:[Hour]]&gt;=AZ$2),1,0)</f>
        <v>0</v>
      </c>
      <c r="BA47" s="276" cm="1">
        <f t="array" ref="BA47">IF(AND(BA$2&lt;&gt;0,TblTech[[#This Row],[Hour]:[Hour]]&gt;=BA$2),1,0)</f>
        <v>0</v>
      </c>
      <c r="BB47" s="276" cm="1">
        <f t="array" ref="BB47">IF(AND(BB$2&lt;&gt;0,TblTech[[#This Row],[Hour]:[Hour]]&gt;=BB$2),1,0)</f>
        <v>0</v>
      </c>
      <c r="BC47" s="276" cm="1">
        <f t="array" ref="BC47">IF(AND(BC$2&lt;&gt;0,TblTech[[#This Row],[Hour]:[Hour]]&gt;=BC$2),1,0)</f>
        <v>0</v>
      </c>
      <c r="BD47" s="276" cm="1">
        <f t="array" ref="BD47">IF(AND(BD$2&lt;&gt;0,TblTech[[#This Row],[Hour]:[Hour]]&gt;=BD$2),1,0)</f>
        <v>0</v>
      </c>
      <c r="BE47" s="276" cm="1">
        <f t="array" ref="BE47">IF(AND(BE$2&lt;&gt;0,TblTech[[#This Row],[Hour]:[Hour]]&gt;=BE$2),1,0)</f>
        <v>0</v>
      </c>
      <c r="BF47" s="276" cm="1">
        <f t="array" ref="BF47">IF(AND(BF$2&lt;&gt;0,TblTech[[#This Row],[Hour]:[Hour]]&gt;=BF$2),1,0)</f>
        <v>0</v>
      </c>
      <c r="BG47" s="276" cm="1">
        <f t="array" ref="BG47">IF(AND(BG$2&lt;&gt;0,TblTech[[#This Row],[Hour]:[Hour]]&gt;=BG$2),1,0)</f>
        <v>0</v>
      </c>
      <c r="BH47" s="276" cm="1">
        <f t="array" ref="BH47">IF(AND(BH$2&lt;&gt;0,TblTech[[#This Row],[Hour]:[Hour]]&gt;=BH$2),1,0)</f>
        <v>0</v>
      </c>
      <c r="BI47" s="276" cm="1">
        <f t="array" ref="BI47">IF(AND(BI$2&lt;&gt;0,TblTech[[#This Row],[Hour]:[Hour]]&gt;=BI$2),1,0)</f>
        <v>0</v>
      </c>
      <c r="BJ47" s="276" cm="1">
        <f t="array" ref="BJ47">IF(AND(BJ$2&lt;&gt;0,TblTech[[#This Row],[Hour]:[Hour]]&gt;=BJ$2),1,0)</f>
        <v>0</v>
      </c>
      <c r="BK47" s="276" cm="1">
        <f t="array" ref="BK47">IF(AND(BK$2&lt;&gt;0,TblTech[[#This Row],[Hour]:[Hour]]&gt;=BK$2),1,0)</f>
        <v>0</v>
      </c>
      <c r="BL47" s="276" cm="1">
        <f t="array" ref="BL47">IF(AND(BL$2&lt;&gt;0,TblTech[[#This Row],[Hour]:[Hour]]&gt;=BL$2),1,0)</f>
        <v>0</v>
      </c>
      <c r="BM47" s="276" cm="1">
        <f t="array" ref="BM47">IF(AND(BM$2&lt;&gt;0,TblTech[[#This Row],[Hour]:[Hour]]&gt;=BM$2),1,0)</f>
        <v>0</v>
      </c>
      <c r="BN47" s="276" cm="1">
        <f t="array" ref="BN47">IF(AND(BN$2&lt;&gt;0,TblTech[[#This Row],[Hour]:[Hour]]&gt;=BN$2),1,0)</f>
        <v>0</v>
      </c>
      <c r="BO47" s="276" cm="1">
        <f t="array" ref="BO47">IF(AND(BO$2&lt;&gt;0,TblTech[[#This Row],[Hour]:[Hour]]&gt;=BO$2),1,0)</f>
        <v>0</v>
      </c>
      <c r="BP47" s="276" cm="1">
        <f t="array" ref="BP47">IF(AND(BP$2&lt;&gt;0,TblTech[[#This Row],[Hour]:[Hour]]&gt;=BP$2),1,0)</f>
        <v>0</v>
      </c>
      <c r="BQ47" s="276" cm="1">
        <f t="array" ref="BQ47">IF(AND(BQ$2&lt;&gt;0,TblTech[[#This Row],[Hour]:[Hour]]&gt;=BQ$2),1,0)</f>
        <v>0</v>
      </c>
      <c r="BR47" s="276" cm="1">
        <f t="array" ref="BR47">IF(AND(BR$2&lt;&gt;0,TblTech[[#This Row],[Hour]:[Hour]]&gt;=BR$2),1,0)</f>
        <v>0</v>
      </c>
      <c r="BS47" s="276" cm="1">
        <f t="array" ref="BS47">IF(AND(BS$2&lt;&gt;0,TblTech[[#This Row],[Hour]:[Hour]]&gt;=BS$2),1,0)</f>
        <v>0</v>
      </c>
      <c r="BT47" s="276" cm="1">
        <f t="array" ref="BT47">IF(AND(BT$2&lt;&gt;0,TblTech[[#This Row],[Hour]:[Hour]]&gt;=BT$2),1,0)</f>
        <v>0</v>
      </c>
      <c r="BU47" s="276" cm="1">
        <f t="array" ref="BU47">IF(AND(BU$2&lt;&gt;0,TblTech[[#This Row],[Hour]:[Hour]]&gt;=BU$2),1,0)</f>
        <v>0</v>
      </c>
      <c r="BV47" s="276" cm="1">
        <f t="array" ref="BV47">IF(AND(BV$2&lt;&gt;0,TblTech[[#This Row],[Hour]:[Hour]]&gt;=BV$2),1,0)</f>
        <v>0</v>
      </c>
      <c r="BW47" s="276" cm="1">
        <f t="array" ref="BW47">IF(AND(BW$2&lt;&gt;0,TblTech[[#This Row],[Hour]:[Hour]]&gt;=BW$2),1,0)</f>
        <v>0</v>
      </c>
      <c r="BX47" s="276" cm="1">
        <f t="array" ref="BX47">IF(AND(BX$2&lt;&gt;0,TblTech[[#This Row],[Hour]:[Hour]]&gt;=BX$2),1,0)</f>
        <v>0</v>
      </c>
      <c r="BY47" s="276" cm="1">
        <f t="array" ref="BY47">IF(AND(BY$2&lt;&gt;0,TblTech[[#This Row],[Hour]:[Hour]]&gt;=BY$2),1,0)</f>
        <v>0</v>
      </c>
      <c r="BZ47" s="276" cm="1">
        <f t="array" ref="BZ47">IF(AND(BZ$2&lt;&gt;0,TblTech[[#This Row],[Hour]:[Hour]]&gt;=BZ$2),1,0)</f>
        <v>0</v>
      </c>
      <c r="CA47" s="377">
        <f>IFERROR(INDEX($H$4:$H$79,MATCH(INDEX(TblTech[[#Headers],[1-1]:[11-1]],1,MATCH(TblTech[[#This Row],[Hour]],$M$2:$BZ$2,0)),$G$4:$G$79,0)),)</f>
        <v>0</v>
      </c>
    </row>
    <row r="48" spans="1:79" x14ac:dyDescent="0.2">
      <c r="A48" s="268">
        <f>TblRezone[[#This Row],[Hour]]</f>
        <v>45</v>
      </c>
      <c r="B48" s="269">
        <f ca="1">TblExplore[[#This Row],[Land-DB]]</f>
        <v>50</v>
      </c>
      <c r="C48" s="270">
        <f ca="1">TblProd[[#This Row],[Techpoints]]</f>
        <v>0</v>
      </c>
      <c r="D48" s="270">
        <f ca="1">TblProd[[#This Row],[Required]]</f>
        <v>3750</v>
      </c>
      <c r="E48" s="271"/>
      <c r="F48" s="272"/>
      <c r="G48" s="273" t="s">
        <v>587</v>
      </c>
      <c r="H48" s="274" t="s">
        <v>711</v>
      </c>
      <c r="I48" s="273" t="s">
        <v>1042</v>
      </c>
      <c r="J48" s="269"/>
      <c r="K48" s="93">
        <f ca="1">IF(TblTech[[#This Row],[Sum of tech]]&lt;&gt;OFFSET(TblTech[[#This Row],[Sum of tech]],-1,0),1,0)</f>
        <v>0</v>
      </c>
      <c r="L48" s="275">
        <f>COUNTIF(TblTech[[#This Row],[1-1]:[11-1]],1)</f>
        <v>0</v>
      </c>
      <c r="M48" s="276" cm="1">
        <f t="array" ref="M48">IF(AND(M$2&lt;&gt;0,TblTech[[#This Row],[Hour]:[Hour]]&gt;=M$2),1,0)</f>
        <v>0</v>
      </c>
      <c r="N48" s="276" cm="1">
        <f t="array" ref="N48">IF(AND(N$2&lt;&gt;0,TblTech[[#This Row],[Hour]:[Hour]]&gt;=N$2),1,0)</f>
        <v>0</v>
      </c>
      <c r="O48" s="276" cm="1">
        <f t="array" ref="O48">IF(AND(O$2&lt;&gt;0,TblTech[[#This Row],[Hour]:[Hour]]&gt;=O$2),1,0)</f>
        <v>0</v>
      </c>
      <c r="P48" s="276" cm="1">
        <f t="array" ref="P48">IF(AND(P$2&lt;&gt;0,TblTech[[#This Row],[Hour]:[Hour]]&gt;=P$2),1,0)</f>
        <v>0</v>
      </c>
      <c r="Q48" s="276" cm="1">
        <f t="array" ref="Q48">IF(AND(Q$2&lt;&gt;0,TblTech[[#This Row],[Hour]:[Hour]]&gt;=Q$2),1,0)</f>
        <v>0</v>
      </c>
      <c r="R48" s="276" cm="1">
        <f t="array" ref="R48">IF(AND(R$2&lt;&gt;0,TblTech[[#This Row],[Hour]:[Hour]]&gt;=R$2),1,0)</f>
        <v>0</v>
      </c>
      <c r="S48" s="276" cm="1">
        <f t="array" ref="S48">IF(AND(S$2&lt;&gt;0,TblTech[[#This Row],[Hour]:[Hour]]&gt;=S$2),1,0)</f>
        <v>0</v>
      </c>
      <c r="T48" s="276" cm="1">
        <f t="array" ref="T48">IF(AND(T$2&lt;&gt;0,TblTech[[#This Row],[Hour]:[Hour]]&gt;=T$2),1,0)</f>
        <v>0</v>
      </c>
      <c r="U48" s="276" cm="1">
        <f t="array" ref="U48">IF(AND(U$2&lt;&gt;0,TblTech[[#This Row],[Hour]:[Hour]]&gt;=U$2),1,0)</f>
        <v>0</v>
      </c>
      <c r="V48" s="276" cm="1">
        <f t="array" ref="V48">IF(AND(V$2&lt;&gt;0,TblTech[[#This Row],[Hour]:[Hour]]&gt;=V$2),1,0)</f>
        <v>0</v>
      </c>
      <c r="W48" s="276" cm="1">
        <f t="array" ref="W48">IF(AND(W$2&lt;&gt;0,TblTech[[#This Row],[Hour]:[Hour]]&gt;=W$2),1,0)</f>
        <v>0</v>
      </c>
      <c r="X48" s="276" cm="1">
        <f t="array" ref="X48">IF(AND(X$2&lt;&gt;0,TblTech[[#This Row],[Hour]:[Hour]]&gt;=X$2),1,0)</f>
        <v>0</v>
      </c>
      <c r="Y48" s="276" cm="1">
        <f t="array" ref="Y48">IF(AND(Y$2&lt;&gt;0,TblTech[[#This Row],[Hour]:[Hour]]&gt;=Y$2),1,0)</f>
        <v>0</v>
      </c>
      <c r="Z48" s="276" cm="1">
        <f t="array" ref="Z48">IF(AND(Z$2&lt;&gt;0,TblTech[[#This Row],[Hour]:[Hour]]&gt;=Z$2),1,0)</f>
        <v>0</v>
      </c>
      <c r="AA48" s="276" cm="1">
        <f t="array" ref="AA48">IF(AND(AA$2&lt;&gt;0,TblTech[[#This Row],[Hour]:[Hour]]&gt;=AA$2),1,0)</f>
        <v>0</v>
      </c>
      <c r="AB48" s="276" cm="1">
        <f t="array" ref="AB48">IF(AND(AB$2&lt;&gt;0,TblTech[[#This Row],[Hour]:[Hour]]&gt;=AB$2),1,0)</f>
        <v>0</v>
      </c>
      <c r="AC48" s="276" cm="1">
        <f t="array" ref="AC48">IF(AND(AC$2&lt;&gt;0,TblTech[[#This Row],[Hour]:[Hour]]&gt;=AC$2),1,0)</f>
        <v>0</v>
      </c>
      <c r="AD48" s="276" cm="1">
        <f t="array" ref="AD48">IF(AND(AD$2&lt;&gt;0,TblTech[[#This Row],[Hour]:[Hour]]&gt;=AD$2),1,0)</f>
        <v>0</v>
      </c>
      <c r="AE48" s="276" cm="1">
        <f t="array" ref="AE48">IF(AND(AE$2&lt;&gt;0,TblTech[[#This Row],[Hour]:[Hour]]&gt;=AE$2),1,0)</f>
        <v>0</v>
      </c>
      <c r="AF48" s="276" cm="1">
        <f t="array" ref="AF48">IF(AND(AF$2&lt;&gt;0,TblTech[[#This Row],[Hour]:[Hour]]&gt;=AF$2),1,0)</f>
        <v>0</v>
      </c>
      <c r="AG48" s="276" cm="1">
        <f t="array" ref="AG48">IF(AND(AG$2&lt;&gt;0,TblTech[[#This Row],[Hour]:[Hour]]&gt;=AG$2),1,0)</f>
        <v>0</v>
      </c>
      <c r="AH48" s="276" cm="1">
        <f t="array" ref="AH48">IF(AND(AH$2&lt;&gt;0,TblTech[[#This Row],[Hour]:[Hour]]&gt;=AH$2),1,0)</f>
        <v>0</v>
      </c>
      <c r="AI48" s="276" cm="1">
        <f t="array" ref="AI48">IF(AND(AI$2&lt;&gt;0,TblTech[[#This Row],[Hour]:[Hour]]&gt;=AI$2),1,0)</f>
        <v>0</v>
      </c>
      <c r="AJ48" s="276" cm="1">
        <f t="array" ref="AJ48">IF(AND(AJ$2&lt;&gt;0,TblTech[[#This Row],[Hour]:[Hour]]&gt;=AJ$2),1,0)</f>
        <v>0</v>
      </c>
      <c r="AK48" s="276" cm="1">
        <f t="array" ref="AK48">IF(AND(AK$2&lt;&gt;0,TblTech[[#This Row],[Hour]:[Hour]]&gt;=AK$2),1,0)</f>
        <v>0</v>
      </c>
      <c r="AL48" s="276" cm="1">
        <f t="array" ref="AL48">IF(AND(AL$2&lt;&gt;0,TblTech[[#This Row],[Hour]:[Hour]]&gt;=AL$2),1,0)</f>
        <v>0</v>
      </c>
      <c r="AM48" s="276" cm="1">
        <f t="array" ref="AM48">IF(AND(AM$2&lt;&gt;0,TblTech[[#This Row],[Hour]:[Hour]]&gt;=AM$2),1,0)</f>
        <v>0</v>
      </c>
      <c r="AN48" s="276" cm="1">
        <f t="array" ref="AN48">IF(AND(AN$2&lt;&gt;0,TblTech[[#This Row],[Hour]:[Hour]]&gt;=AN$2),1,0)</f>
        <v>0</v>
      </c>
      <c r="AO48" s="276" cm="1">
        <f t="array" ref="AO48">IF(AND(AO$2&lt;&gt;0,TblTech[[#This Row],[Hour]:[Hour]]&gt;=AO$2),1,0)</f>
        <v>0</v>
      </c>
      <c r="AP48" s="276" cm="1">
        <f t="array" ref="AP48">IF(AND(AP$2&lt;&gt;0,TblTech[[#This Row],[Hour]:[Hour]]&gt;=AP$2),1,0)</f>
        <v>0</v>
      </c>
      <c r="AQ48" s="276" cm="1">
        <f t="array" ref="AQ48">IF(AND(AQ$2&lt;&gt;0,TblTech[[#This Row],[Hour]:[Hour]]&gt;=AQ$2),1,0)</f>
        <v>0</v>
      </c>
      <c r="AR48" s="276" cm="1">
        <f t="array" ref="AR48">IF(AND(AR$2&lt;&gt;0,TblTech[[#This Row],[Hour]:[Hour]]&gt;=AR$2),1,0)</f>
        <v>0</v>
      </c>
      <c r="AS48" s="276" cm="1">
        <f t="array" ref="AS48">IF(AND(AS$2&lt;&gt;0,TblTech[[#This Row],[Hour]:[Hour]]&gt;=AS$2),1,0)</f>
        <v>0</v>
      </c>
      <c r="AT48" s="276" cm="1">
        <f t="array" ref="AT48">IF(AND(AT$2&lt;&gt;0,TblTech[[#This Row],[Hour]:[Hour]]&gt;=AT$2),1,0)</f>
        <v>0</v>
      </c>
      <c r="AU48" s="276" cm="1">
        <f t="array" ref="AU48">IF(AND(AU$2&lt;&gt;0,TblTech[[#This Row],[Hour]:[Hour]]&gt;=AU$2),1,0)</f>
        <v>0</v>
      </c>
      <c r="AV48" s="276" cm="1">
        <f t="array" ref="AV48">IF(AND(AV$2&lt;&gt;0,TblTech[[#This Row],[Hour]:[Hour]]&gt;=AV$2),1,0)</f>
        <v>0</v>
      </c>
      <c r="AW48" s="276" cm="1">
        <f t="array" ref="AW48">IF(AND(AW$2&lt;&gt;0,TblTech[[#This Row],[Hour]:[Hour]]&gt;=AW$2),1,0)</f>
        <v>0</v>
      </c>
      <c r="AX48" s="276" cm="1">
        <f t="array" ref="AX48">IF(AND(AX$2&lt;&gt;0,TblTech[[#This Row],[Hour]:[Hour]]&gt;=AX$2),1,0)</f>
        <v>0</v>
      </c>
      <c r="AY48" s="276" cm="1">
        <f t="array" ref="AY48">IF(AND(AY$2&lt;&gt;0,TblTech[[#This Row],[Hour]:[Hour]]&gt;=AY$2),1,0)</f>
        <v>0</v>
      </c>
      <c r="AZ48" s="276" cm="1">
        <f t="array" ref="AZ48">IF(AND(AZ$2&lt;&gt;0,TblTech[[#This Row],[Hour]:[Hour]]&gt;=AZ$2),1,0)</f>
        <v>0</v>
      </c>
      <c r="BA48" s="276" cm="1">
        <f t="array" ref="BA48">IF(AND(BA$2&lt;&gt;0,TblTech[[#This Row],[Hour]:[Hour]]&gt;=BA$2),1,0)</f>
        <v>0</v>
      </c>
      <c r="BB48" s="276" cm="1">
        <f t="array" ref="BB48">IF(AND(BB$2&lt;&gt;0,TblTech[[#This Row],[Hour]:[Hour]]&gt;=BB$2),1,0)</f>
        <v>0</v>
      </c>
      <c r="BC48" s="276" cm="1">
        <f t="array" ref="BC48">IF(AND(BC$2&lt;&gt;0,TblTech[[#This Row],[Hour]:[Hour]]&gt;=BC$2),1,0)</f>
        <v>0</v>
      </c>
      <c r="BD48" s="276" cm="1">
        <f t="array" ref="BD48">IF(AND(BD$2&lt;&gt;0,TblTech[[#This Row],[Hour]:[Hour]]&gt;=BD$2),1,0)</f>
        <v>0</v>
      </c>
      <c r="BE48" s="276" cm="1">
        <f t="array" ref="BE48">IF(AND(BE$2&lt;&gt;0,TblTech[[#This Row],[Hour]:[Hour]]&gt;=BE$2),1,0)</f>
        <v>0</v>
      </c>
      <c r="BF48" s="276" cm="1">
        <f t="array" ref="BF48">IF(AND(BF$2&lt;&gt;0,TblTech[[#This Row],[Hour]:[Hour]]&gt;=BF$2),1,0)</f>
        <v>0</v>
      </c>
      <c r="BG48" s="276" cm="1">
        <f t="array" ref="BG48">IF(AND(BG$2&lt;&gt;0,TblTech[[#This Row],[Hour]:[Hour]]&gt;=BG$2),1,0)</f>
        <v>0</v>
      </c>
      <c r="BH48" s="276" cm="1">
        <f t="array" ref="BH48">IF(AND(BH$2&lt;&gt;0,TblTech[[#This Row],[Hour]:[Hour]]&gt;=BH$2),1,0)</f>
        <v>0</v>
      </c>
      <c r="BI48" s="276" cm="1">
        <f t="array" ref="BI48">IF(AND(BI$2&lt;&gt;0,TblTech[[#This Row],[Hour]:[Hour]]&gt;=BI$2),1,0)</f>
        <v>0</v>
      </c>
      <c r="BJ48" s="276" cm="1">
        <f t="array" ref="BJ48">IF(AND(BJ$2&lt;&gt;0,TblTech[[#This Row],[Hour]:[Hour]]&gt;=BJ$2),1,0)</f>
        <v>0</v>
      </c>
      <c r="BK48" s="276" cm="1">
        <f t="array" ref="BK48">IF(AND(BK$2&lt;&gt;0,TblTech[[#This Row],[Hour]:[Hour]]&gt;=BK$2),1,0)</f>
        <v>0</v>
      </c>
      <c r="BL48" s="276" cm="1">
        <f t="array" ref="BL48">IF(AND(BL$2&lt;&gt;0,TblTech[[#This Row],[Hour]:[Hour]]&gt;=BL$2),1,0)</f>
        <v>0</v>
      </c>
      <c r="BM48" s="276" cm="1">
        <f t="array" ref="BM48">IF(AND(BM$2&lt;&gt;0,TblTech[[#This Row],[Hour]:[Hour]]&gt;=BM$2),1,0)</f>
        <v>0</v>
      </c>
      <c r="BN48" s="276" cm="1">
        <f t="array" ref="BN48">IF(AND(BN$2&lt;&gt;0,TblTech[[#This Row],[Hour]:[Hour]]&gt;=BN$2),1,0)</f>
        <v>0</v>
      </c>
      <c r="BO48" s="276" cm="1">
        <f t="array" ref="BO48">IF(AND(BO$2&lt;&gt;0,TblTech[[#This Row],[Hour]:[Hour]]&gt;=BO$2),1,0)</f>
        <v>0</v>
      </c>
      <c r="BP48" s="276" cm="1">
        <f t="array" ref="BP48">IF(AND(BP$2&lt;&gt;0,TblTech[[#This Row],[Hour]:[Hour]]&gt;=BP$2),1,0)</f>
        <v>0</v>
      </c>
      <c r="BQ48" s="276" cm="1">
        <f t="array" ref="BQ48">IF(AND(BQ$2&lt;&gt;0,TblTech[[#This Row],[Hour]:[Hour]]&gt;=BQ$2),1,0)</f>
        <v>0</v>
      </c>
      <c r="BR48" s="276" cm="1">
        <f t="array" ref="BR48">IF(AND(BR$2&lt;&gt;0,TblTech[[#This Row],[Hour]:[Hour]]&gt;=BR$2),1,0)</f>
        <v>0</v>
      </c>
      <c r="BS48" s="276" cm="1">
        <f t="array" ref="BS48">IF(AND(BS$2&lt;&gt;0,TblTech[[#This Row],[Hour]:[Hour]]&gt;=BS$2),1,0)</f>
        <v>0</v>
      </c>
      <c r="BT48" s="276" cm="1">
        <f t="array" ref="BT48">IF(AND(BT$2&lt;&gt;0,TblTech[[#This Row],[Hour]:[Hour]]&gt;=BT$2),1,0)</f>
        <v>0</v>
      </c>
      <c r="BU48" s="276" cm="1">
        <f t="array" ref="BU48">IF(AND(BU$2&lt;&gt;0,TblTech[[#This Row],[Hour]:[Hour]]&gt;=BU$2),1,0)</f>
        <v>0</v>
      </c>
      <c r="BV48" s="276" cm="1">
        <f t="array" ref="BV48">IF(AND(BV$2&lt;&gt;0,TblTech[[#This Row],[Hour]:[Hour]]&gt;=BV$2),1,0)</f>
        <v>0</v>
      </c>
      <c r="BW48" s="276" cm="1">
        <f t="array" ref="BW48">IF(AND(BW$2&lt;&gt;0,TblTech[[#This Row],[Hour]:[Hour]]&gt;=BW$2),1,0)</f>
        <v>0</v>
      </c>
      <c r="BX48" s="276" cm="1">
        <f t="array" ref="BX48">IF(AND(BX$2&lt;&gt;0,TblTech[[#This Row],[Hour]:[Hour]]&gt;=BX$2),1,0)</f>
        <v>0</v>
      </c>
      <c r="BY48" s="276" cm="1">
        <f t="array" ref="BY48">IF(AND(BY$2&lt;&gt;0,TblTech[[#This Row],[Hour]:[Hour]]&gt;=BY$2),1,0)</f>
        <v>0</v>
      </c>
      <c r="BZ48" s="276" cm="1">
        <f t="array" ref="BZ48">IF(AND(BZ$2&lt;&gt;0,TblTech[[#This Row],[Hour]:[Hour]]&gt;=BZ$2),1,0)</f>
        <v>0</v>
      </c>
      <c r="CA48" s="377">
        <f>IFERROR(INDEX($H$4:$H$79,MATCH(INDEX(TblTech[[#Headers],[1-1]:[11-1]],1,MATCH(TblTech[[#This Row],[Hour]],$M$2:$BZ$2,0)),$G$4:$G$79,0)),)</f>
        <v>0</v>
      </c>
    </row>
    <row r="49" spans="1:79" x14ac:dyDescent="0.2">
      <c r="A49" s="268">
        <f>TblRezone[[#This Row],[Hour]]</f>
        <v>46</v>
      </c>
      <c r="B49" s="269">
        <f ca="1">TblExplore[[#This Row],[Land-DB]]</f>
        <v>50</v>
      </c>
      <c r="C49" s="270">
        <f ca="1">TblProd[[#This Row],[Techpoints]]</f>
        <v>0</v>
      </c>
      <c r="D49" s="270">
        <f ca="1">TblProd[[#This Row],[Required]]</f>
        <v>3750</v>
      </c>
      <c r="E49" s="271"/>
      <c r="F49" s="272"/>
      <c r="G49" s="273" t="s">
        <v>588</v>
      </c>
      <c r="H49" s="274" t="s">
        <v>712</v>
      </c>
      <c r="I49" s="273" t="s">
        <v>625</v>
      </c>
      <c r="J49" s="269"/>
      <c r="K49" s="93">
        <f ca="1">IF(TblTech[[#This Row],[Sum of tech]]&lt;&gt;OFFSET(TblTech[[#This Row],[Sum of tech]],-1,0),1,0)</f>
        <v>0</v>
      </c>
      <c r="L49" s="275">
        <f>COUNTIF(TblTech[[#This Row],[1-1]:[11-1]],1)</f>
        <v>0</v>
      </c>
      <c r="M49" s="276" cm="1">
        <f t="array" ref="M49">IF(AND(M$2&lt;&gt;0,TblTech[[#This Row],[Hour]:[Hour]]&gt;=M$2),1,0)</f>
        <v>0</v>
      </c>
      <c r="N49" s="276" cm="1">
        <f t="array" ref="N49">IF(AND(N$2&lt;&gt;0,TblTech[[#This Row],[Hour]:[Hour]]&gt;=N$2),1,0)</f>
        <v>0</v>
      </c>
      <c r="O49" s="276" cm="1">
        <f t="array" ref="O49">IF(AND(O$2&lt;&gt;0,TblTech[[#This Row],[Hour]:[Hour]]&gt;=O$2),1,0)</f>
        <v>0</v>
      </c>
      <c r="P49" s="276" cm="1">
        <f t="array" ref="P49">IF(AND(P$2&lt;&gt;0,TblTech[[#This Row],[Hour]:[Hour]]&gt;=P$2),1,0)</f>
        <v>0</v>
      </c>
      <c r="Q49" s="276" cm="1">
        <f t="array" ref="Q49">IF(AND(Q$2&lt;&gt;0,TblTech[[#This Row],[Hour]:[Hour]]&gt;=Q$2),1,0)</f>
        <v>0</v>
      </c>
      <c r="R49" s="276" cm="1">
        <f t="array" ref="R49">IF(AND(R$2&lt;&gt;0,TblTech[[#This Row],[Hour]:[Hour]]&gt;=R$2),1,0)</f>
        <v>0</v>
      </c>
      <c r="S49" s="276" cm="1">
        <f t="array" ref="S49">IF(AND(S$2&lt;&gt;0,TblTech[[#This Row],[Hour]:[Hour]]&gt;=S$2),1,0)</f>
        <v>0</v>
      </c>
      <c r="T49" s="276" cm="1">
        <f t="array" ref="T49">IF(AND(T$2&lt;&gt;0,TblTech[[#This Row],[Hour]:[Hour]]&gt;=T$2),1,0)</f>
        <v>0</v>
      </c>
      <c r="U49" s="276" cm="1">
        <f t="array" ref="U49">IF(AND(U$2&lt;&gt;0,TblTech[[#This Row],[Hour]:[Hour]]&gt;=U$2),1,0)</f>
        <v>0</v>
      </c>
      <c r="V49" s="276" cm="1">
        <f t="array" ref="V49">IF(AND(V$2&lt;&gt;0,TblTech[[#This Row],[Hour]:[Hour]]&gt;=V$2),1,0)</f>
        <v>0</v>
      </c>
      <c r="W49" s="276" cm="1">
        <f t="array" ref="W49">IF(AND(W$2&lt;&gt;0,TblTech[[#This Row],[Hour]:[Hour]]&gt;=W$2),1,0)</f>
        <v>0</v>
      </c>
      <c r="X49" s="276" cm="1">
        <f t="array" ref="X49">IF(AND(X$2&lt;&gt;0,TblTech[[#This Row],[Hour]:[Hour]]&gt;=X$2),1,0)</f>
        <v>0</v>
      </c>
      <c r="Y49" s="276" cm="1">
        <f t="array" ref="Y49">IF(AND(Y$2&lt;&gt;0,TblTech[[#This Row],[Hour]:[Hour]]&gt;=Y$2),1,0)</f>
        <v>0</v>
      </c>
      <c r="Z49" s="276" cm="1">
        <f t="array" ref="Z49">IF(AND(Z$2&lt;&gt;0,TblTech[[#This Row],[Hour]:[Hour]]&gt;=Z$2),1,0)</f>
        <v>0</v>
      </c>
      <c r="AA49" s="276" cm="1">
        <f t="array" ref="AA49">IF(AND(AA$2&lt;&gt;0,TblTech[[#This Row],[Hour]:[Hour]]&gt;=AA$2),1,0)</f>
        <v>0</v>
      </c>
      <c r="AB49" s="276" cm="1">
        <f t="array" ref="AB49">IF(AND(AB$2&lt;&gt;0,TblTech[[#This Row],[Hour]:[Hour]]&gt;=AB$2),1,0)</f>
        <v>0</v>
      </c>
      <c r="AC49" s="276" cm="1">
        <f t="array" ref="AC49">IF(AND(AC$2&lt;&gt;0,TblTech[[#This Row],[Hour]:[Hour]]&gt;=AC$2),1,0)</f>
        <v>0</v>
      </c>
      <c r="AD49" s="276" cm="1">
        <f t="array" ref="AD49">IF(AND(AD$2&lt;&gt;0,TblTech[[#This Row],[Hour]:[Hour]]&gt;=AD$2),1,0)</f>
        <v>0</v>
      </c>
      <c r="AE49" s="276" cm="1">
        <f t="array" ref="AE49">IF(AND(AE$2&lt;&gt;0,TblTech[[#This Row],[Hour]:[Hour]]&gt;=AE$2),1,0)</f>
        <v>0</v>
      </c>
      <c r="AF49" s="276" cm="1">
        <f t="array" ref="AF49">IF(AND(AF$2&lt;&gt;0,TblTech[[#This Row],[Hour]:[Hour]]&gt;=AF$2),1,0)</f>
        <v>0</v>
      </c>
      <c r="AG49" s="276" cm="1">
        <f t="array" ref="AG49">IF(AND(AG$2&lt;&gt;0,TblTech[[#This Row],[Hour]:[Hour]]&gt;=AG$2),1,0)</f>
        <v>0</v>
      </c>
      <c r="AH49" s="276" cm="1">
        <f t="array" ref="AH49">IF(AND(AH$2&lt;&gt;0,TblTech[[#This Row],[Hour]:[Hour]]&gt;=AH$2),1,0)</f>
        <v>0</v>
      </c>
      <c r="AI49" s="276" cm="1">
        <f t="array" ref="AI49">IF(AND(AI$2&lt;&gt;0,TblTech[[#This Row],[Hour]:[Hour]]&gt;=AI$2),1,0)</f>
        <v>0</v>
      </c>
      <c r="AJ49" s="276" cm="1">
        <f t="array" ref="AJ49">IF(AND(AJ$2&lt;&gt;0,TblTech[[#This Row],[Hour]:[Hour]]&gt;=AJ$2),1,0)</f>
        <v>0</v>
      </c>
      <c r="AK49" s="276" cm="1">
        <f t="array" ref="AK49">IF(AND(AK$2&lt;&gt;0,TblTech[[#This Row],[Hour]:[Hour]]&gt;=AK$2),1,0)</f>
        <v>0</v>
      </c>
      <c r="AL49" s="276" cm="1">
        <f t="array" ref="AL49">IF(AND(AL$2&lt;&gt;0,TblTech[[#This Row],[Hour]:[Hour]]&gt;=AL$2),1,0)</f>
        <v>0</v>
      </c>
      <c r="AM49" s="276" cm="1">
        <f t="array" ref="AM49">IF(AND(AM$2&lt;&gt;0,TblTech[[#This Row],[Hour]:[Hour]]&gt;=AM$2),1,0)</f>
        <v>0</v>
      </c>
      <c r="AN49" s="276" cm="1">
        <f t="array" ref="AN49">IF(AND(AN$2&lt;&gt;0,TblTech[[#This Row],[Hour]:[Hour]]&gt;=AN$2),1,0)</f>
        <v>0</v>
      </c>
      <c r="AO49" s="276" cm="1">
        <f t="array" ref="AO49">IF(AND(AO$2&lt;&gt;0,TblTech[[#This Row],[Hour]:[Hour]]&gt;=AO$2),1,0)</f>
        <v>0</v>
      </c>
      <c r="AP49" s="276" cm="1">
        <f t="array" ref="AP49">IF(AND(AP$2&lt;&gt;0,TblTech[[#This Row],[Hour]:[Hour]]&gt;=AP$2),1,0)</f>
        <v>0</v>
      </c>
      <c r="AQ49" s="276" cm="1">
        <f t="array" ref="AQ49">IF(AND(AQ$2&lt;&gt;0,TblTech[[#This Row],[Hour]:[Hour]]&gt;=AQ$2),1,0)</f>
        <v>0</v>
      </c>
      <c r="AR49" s="276" cm="1">
        <f t="array" ref="AR49">IF(AND(AR$2&lt;&gt;0,TblTech[[#This Row],[Hour]:[Hour]]&gt;=AR$2),1,0)</f>
        <v>0</v>
      </c>
      <c r="AS49" s="276" cm="1">
        <f t="array" ref="AS49">IF(AND(AS$2&lt;&gt;0,TblTech[[#This Row],[Hour]:[Hour]]&gt;=AS$2),1,0)</f>
        <v>0</v>
      </c>
      <c r="AT49" s="276" cm="1">
        <f t="array" ref="AT49">IF(AND(AT$2&lt;&gt;0,TblTech[[#This Row],[Hour]:[Hour]]&gt;=AT$2),1,0)</f>
        <v>0</v>
      </c>
      <c r="AU49" s="276" cm="1">
        <f t="array" ref="AU49">IF(AND(AU$2&lt;&gt;0,TblTech[[#This Row],[Hour]:[Hour]]&gt;=AU$2),1,0)</f>
        <v>0</v>
      </c>
      <c r="AV49" s="276" cm="1">
        <f t="array" ref="AV49">IF(AND(AV$2&lt;&gt;0,TblTech[[#This Row],[Hour]:[Hour]]&gt;=AV$2),1,0)</f>
        <v>0</v>
      </c>
      <c r="AW49" s="276" cm="1">
        <f t="array" ref="AW49">IF(AND(AW$2&lt;&gt;0,TblTech[[#This Row],[Hour]:[Hour]]&gt;=AW$2),1,0)</f>
        <v>0</v>
      </c>
      <c r="AX49" s="276" cm="1">
        <f t="array" ref="AX49">IF(AND(AX$2&lt;&gt;0,TblTech[[#This Row],[Hour]:[Hour]]&gt;=AX$2),1,0)</f>
        <v>0</v>
      </c>
      <c r="AY49" s="276" cm="1">
        <f t="array" ref="AY49">IF(AND(AY$2&lt;&gt;0,TblTech[[#This Row],[Hour]:[Hour]]&gt;=AY$2),1,0)</f>
        <v>0</v>
      </c>
      <c r="AZ49" s="276" cm="1">
        <f t="array" ref="AZ49">IF(AND(AZ$2&lt;&gt;0,TblTech[[#This Row],[Hour]:[Hour]]&gt;=AZ$2),1,0)</f>
        <v>0</v>
      </c>
      <c r="BA49" s="276" cm="1">
        <f t="array" ref="BA49">IF(AND(BA$2&lt;&gt;0,TblTech[[#This Row],[Hour]:[Hour]]&gt;=BA$2),1,0)</f>
        <v>0</v>
      </c>
      <c r="BB49" s="276" cm="1">
        <f t="array" ref="BB49">IF(AND(BB$2&lt;&gt;0,TblTech[[#This Row],[Hour]:[Hour]]&gt;=BB$2),1,0)</f>
        <v>0</v>
      </c>
      <c r="BC49" s="276" cm="1">
        <f t="array" ref="BC49">IF(AND(BC$2&lt;&gt;0,TblTech[[#This Row],[Hour]:[Hour]]&gt;=BC$2),1,0)</f>
        <v>0</v>
      </c>
      <c r="BD49" s="276" cm="1">
        <f t="array" ref="BD49">IF(AND(BD$2&lt;&gt;0,TblTech[[#This Row],[Hour]:[Hour]]&gt;=BD$2),1,0)</f>
        <v>0</v>
      </c>
      <c r="BE49" s="276" cm="1">
        <f t="array" ref="BE49">IF(AND(BE$2&lt;&gt;0,TblTech[[#This Row],[Hour]:[Hour]]&gt;=BE$2),1,0)</f>
        <v>0</v>
      </c>
      <c r="BF49" s="276" cm="1">
        <f t="array" ref="BF49">IF(AND(BF$2&lt;&gt;0,TblTech[[#This Row],[Hour]:[Hour]]&gt;=BF$2),1,0)</f>
        <v>0</v>
      </c>
      <c r="BG49" s="276" cm="1">
        <f t="array" ref="BG49">IF(AND(BG$2&lt;&gt;0,TblTech[[#This Row],[Hour]:[Hour]]&gt;=BG$2),1,0)</f>
        <v>0</v>
      </c>
      <c r="BH49" s="276" cm="1">
        <f t="array" ref="BH49">IF(AND(BH$2&lt;&gt;0,TblTech[[#This Row],[Hour]:[Hour]]&gt;=BH$2),1,0)</f>
        <v>0</v>
      </c>
      <c r="BI49" s="276" cm="1">
        <f t="array" ref="BI49">IF(AND(BI$2&lt;&gt;0,TblTech[[#This Row],[Hour]:[Hour]]&gt;=BI$2),1,0)</f>
        <v>0</v>
      </c>
      <c r="BJ49" s="276" cm="1">
        <f t="array" ref="BJ49">IF(AND(BJ$2&lt;&gt;0,TblTech[[#This Row],[Hour]:[Hour]]&gt;=BJ$2),1,0)</f>
        <v>0</v>
      </c>
      <c r="BK49" s="276" cm="1">
        <f t="array" ref="BK49">IF(AND(BK$2&lt;&gt;0,TblTech[[#This Row],[Hour]:[Hour]]&gt;=BK$2),1,0)</f>
        <v>0</v>
      </c>
      <c r="BL49" s="276" cm="1">
        <f t="array" ref="BL49">IF(AND(BL$2&lt;&gt;0,TblTech[[#This Row],[Hour]:[Hour]]&gt;=BL$2),1,0)</f>
        <v>0</v>
      </c>
      <c r="BM49" s="276" cm="1">
        <f t="array" ref="BM49">IF(AND(BM$2&lt;&gt;0,TblTech[[#This Row],[Hour]:[Hour]]&gt;=BM$2),1,0)</f>
        <v>0</v>
      </c>
      <c r="BN49" s="276" cm="1">
        <f t="array" ref="BN49">IF(AND(BN$2&lt;&gt;0,TblTech[[#This Row],[Hour]:[Hour]]&gt;=BN$2),1,0)</f>
        <v>0</v>
      </c>
      <c r="BO49" s="276" cm="1">
        <f t="array" ref="BO49">IF(AND(BO$2&lt;&gt;0,TblTech[[#This Row],[Hour]:[Hour]]&gt;=BO$2),1,0)</f>
        <v>0</v>
      </c>
      <c r="BP49" s="276" cm="1">
        <f t="array" ref="BP49">IF(AND(BP$2&lt;&gt;0,TblTech[[#This Row],[Hour]:[Hour]]&gt;=BP$2),1,0)</f>
        <v>0</v>
      </c>
      <c r="BQ49" s="276" cm="1">
        <f t="array" ref="BQ49">IF(AND(BQ$2&lt;&gt;0,TblTech[[#This Row],[Hour]:[Hour]]&gt;=BQ$2),1,0)</f>
        <v>0</v>
      </c>
      <c r="BR49" s="276" cm="1">
        <f t="array" ref="BR49">IF(AND(BR$2&lt;&gt;0,TblTech[[#This Row],[Hour]:[Hour]]&gt;=BR$2),1,0)</f>
        <v>0</v>
      </c>
      <c r="BS49" s="276" cm="1">
        <f t="array" ref="BS49">IF(AND(BS$2&lt;&gt;0,TblTech[[#This Row],[Hour]:[Hour]]&gt;=BS$2),1,0)</f>
        <v>0</v>
      </c>
      <c r="BT49" s="276" cm="1">
        <f t="array" ref="BT49">IF(AND(BT$2&lt;&gt;0,TblTech[[#This Row],[Hour]:[Hour]]&gt;=BT$2),1,0)</f>
        <v>0</v>
      </c>
      <c r="BU49" s="276" cm="1">
        <f t="array" ref="BU49">IF(AND(BU$2&lt;&gt;0,TblTech[[#This Row],[Hour]:[Hour]]&gt;=BU$2),1,0)</f>
        <v>0</v>
      </c>
      <c r="BV49" s="276" cm="1">
        <f t="array" ref="BV49">IF(AND(BV$2&lt;&gt;0,TblTech[[#This Row],[Hour]:[Hour]]&gt;=BV$2),1,0)</f>
        <v>0</v>
      </c>
      <c r="BW49" s="276" cm="1">
        <f t="array" ref="BW49">IF(AND(BW$2&lt;&gt;0,TblTech[[#This Row],[Hour]:[Hour]]&gt;=BW$2),1,0)</f>
        <v>0</v>
      </c>
      <c r="BX49" s="276" cm="1">
        <f t="array" ref="BX49">IF(AND(BX$2&lt;&gt;0,TblTech[[#This Row],[Hour]:[Hour]]&gt;=BX$2),1,0)</f>
        <v>0</v>
      </c>
      <c r="BY49" s="276" cm="1">
        <f t="array" ref="BY49">IF(AND(BY$2&lt;&gt;0,TblTech[[#This Row],[Hour]:[Hour]]&gt;=BY$2),1,0)</f>
        <v>0</v>
      </c>
      <c r="BZ49" s="276" cm="1">
        <f t="array" ref="BZ49">IF(AND(BZ$2&lt;&gt;0,TblTech[[#This Row],[Hour]:[Hour]]&gt;=BZ$2),1,0)</f>
        <v>0</v>
      </c>
      <c r="CA49" s="377">
        <f>IFERROR(INDEX($H$4:$H$79,MATCH(INDEX(TblTech[[#Headers],[1-1]:[11-1]],1,MATCH(TblTech[[#This Row],[Hour]],$M$2:$BZ$2,0)),$G$4:$G$79,0)),)</f>
        <v>0</v>
      </c>
    </row>
    <row r="50" spans="1:79" x14ac:dyDescent="0.2">
      <c r="A50" s="268">
        <f>TblRezone[[#This Row],[Hour]]</f>
        <v>47</v>
      </c>
      <c r="B50" s="269">
        <f ca="1">TblExplore[[#This Row],[Land-DB]]</f>
        <v>50</v>
      </c>
      <c r="C50" s="270">
        <f ca="1">TblProd[[#This Row],[Techpoints]]</f>
        <v>0</v>
      </c>
      <c r="D50" s="270">
        <f ca="1">TblProd[[#This Row],[Required]]</f>
        <v>3750</v>
      </c>
      <c r="E50" s="271"/>
      <c r="F50" s="272"/>
      <c r="G50" s="273" t="s">
        <v>589</v>
      </c>
      <c r="H50" s="274" t="s">
        <v>713</v>
      </c>
      <c r="I50" s="273" t="s">
        <v>1042</v>
      </c>
      <c r="J50" s="269"/>
      <c r="K50" s="93">
        <f ca="1">IF(TblTech[[#This Row],[Sum of tech]]&lt;&gt;OFFSET(TblTech[[#This Row],[Sum of tech]],-1,0),1,0)</f>
        <v>0</v>
      </c>
      <c r="L50" s="275">
        <f>COUNTIF(TblTech[[#This Row],[1-1]:[11-1]],1)</f>
        <v>0</v>
      </c>
      <c r="M50" s="276" cm="1">
        <f t="array" ref="M50">IF(AND(M$2&lt;&gt;0,TblTech[[#This Row],[Hour]:[Hour]]&gt;=M$2),1,0)</f>
        <v>0</v>
      </c>
      <c r="N50" s="276" cm="1">
        <f t="array" ref="N50">IF(AND(N$2&lt;&gt;0,TblTech[[#This Row],[Hour]:[Hour]]&gt;=N$2),1,0)</f>
        <v>0</v>
      </c>
      <c r="O50" s="276" cm="1">
        <f t="array" ref="O50">IF(AND(O$2&lt;&gt;0,TblTech[[#This Row],[Hour]:[Hour]]&gt;=O$2),1,0)</f>
        <v>0</v>
      </c>
      <c r="P50" s="276" cm="1">
        <f t="array" ref="P50">IF(AND(P$2&lt;&gt;0,TblTech[[#This Row],[Hour]:[Hour]]&gt;=P$2),1,0)</f>
        <v>0</v>
      </c>
      <c r="Q50" s="276" cm="1">
        <f t="array" ref="Q50">IF(AND(Q$2&lt;&gt;0,TblTech[[#This Row],[Hour]:[Hour]]&gt;=Q$2),1,0)</f>
        <v>0</v>
      </c>
      <c r="R50" s="276" cm="1">
        <f t="array" ref="R50">IF(AND(R$2&lt;&gt;0,TblTech[[#This Row],[Hour]:[Hour]]&gt;=R$2),1,0)</f>
        <v>0</v>
      </c>
      <c r="S50" s="276" cm="1">
        <f t="array" ref="S50">IF(AND(S$2&lt;&gt;0,TblTech[[#This Row],[Hour]:[Hour]]&gt;=S$2),1,0)</f>
        <v>0</v>
      </c>
      <c r="T50" s="276" cm="1">
        <f t="array" ref="T50">IF(AND(T$2&lt;&gt;0,TblTech[[#This Row],[Hour]:[Hour]]&gt;=T$2),1,0)</f>
        <v>0</v>
      </c>
      <c r="U50" s="276" cm="1">
        <f t="array" ref="U50">IF(AND(U$2&lt;&gt;0,TblTech[[#This Row],[Hour]:[Hour]]&gt;=U$2),1,0)</f>
        <v>0</v>
      </c>
      <c r="V50" s="276" cm="1">
        <f t="array" ref="V50">IF(AND(V$2&lt;&gt;0,TblTech[[#This Row],[Hour]:[Hour]]&gt;=V$2),1,0)</f>
        <v>0</v>
      </c>
      <c r="W50" s="276" cm="1">
        <f t="array" ref="W50">IF(AND(W$2&lt;&gt;0,TblTech[[#This Row],[Hour]:[Hour]]&gt;=W$2),1,0)</f>
        <v>0</v>
      </c>
      <c r="X50" s="276" cm="1">
        <f t="array" ref="X50">IF(AND(X$2&lt;&gt;0,TblTech[[#This Row],[Hour]:[Hour]]&gt;=X$2),1,0)</f>
        <v>0</v>
      </c>
      <c r="Y50" s="276" cm="1">
        <f t="array" ref="Y50">IF(AND(Y$2&lt;&gt;0,TblTech[[#This Row],[Hour]:[Hour]]&gt;=Y$2),1,0)</f>
        <v>0</v>
      </c>
      <c r="Z50" s="276" cm="1">
        <f t="array" ref="Z50">IF(AND(Z$2&lt;&gt;0,TblTech[[#This Row],[Hour]:[Hour]]&gt;=Z$2),1,0)</f>
        <v>0</v>
      </c>
      <c r="AA50" s="276" cm="1">
        <f t="array" ref="AA50">IF(AND(AA$2&lt;&gt;0,TblTech[[#This Row],[Hour]:[Hour]]&gt;=AA$2),1,0)</f>
        <v>0</v>
      </c>
      <c r="AB50" s="276" cm="1">
        <f t="array" ref="AB50">IF(AND(AB$2&lt;&gt;0,TblTech[[#This Row],[Hour]:[Hour]]&gt;=AB$2),1,0)</f>
        <v>0</v>
      </c>
      <c r="AC50" s="276" cm="1">
        <f t="array" ref="AC50">IF(AND(AC$2&lt;&gt;0,TblTech[[#This Row],[Hour]:[Hour]]&gt;=AC$2),1,0)</f>
        <v>0</v>
      </c>
      <c r="AD50" s="276" cm="1">
        <f t="array" ref="AD50">IF(AND(AD$2&lt;&gt;0,TblTech[[#This Row],[Hour]:[Hour]]&gt;=AD$2),1,0)</f>
        <v>0</v>
      </c>
      <c r="AE50" s="276" cm="1">
        <f t="array" ref="AE50">IF(AND(AE$2&lt;&gt;0,TblTech[[#This Row],[Hour]:[Hour]]&gt;=AE$2),1,0)</f>
        <v>0</v>
      </c>
      <c r="AF50" s="276" cm="1">
        <f t="array" ref="AF50">IF(AND(AF$2&lt;&gt;0,TblTech[[#This Row],[Hour]:[Hour]]&gt;=AF$2),1,0)</f>
        <v>0</v>
      </c>
      <c r="AG50" s="276" cm="1">
        <f t="array" ref="AG50">IF(AND(AG$2&lt;&gt;0,TblTech[[#This Row],[Hour]:[Hour]]&gt;=AG$2),1,0)</f>
        <v>0</v>
      </c>
      <c r="AH50" s="276" cm="1">
        <f t="array" ref="AH50">IF(AND(AH$2&lt;&gt;0,TblTech[[#This Row],[Hour]:[Hour]]&gt;=AH$2),1,0)</f>
        <v>0</v>
      </c>
      <c r="AI50" s="276" cm="1">
        <f t="array" ref="AI50">IF(AND(AI$2&lt;&gt;0,TblTech[[#This Row],[Hour]:[Hour]]&gt;=AI$2),1,0)</f>
        <v>0</v>
      </c>
      <c r="AJ50" s="276" cm="1">
        <f t="array" ref="AJ50">IF(AND(AJ$2&lt;&gt;0,TblTech[[#This Row],[Hour]:[Hour]]&gt;=AJ$2),1,0)</f>
        <v>0</v>
      </c>
      <c r="AK50" s="276" cm="1">
        <f t="array" ref="AK50">IF(AND(AK$2&lt;&gt;0,TblTech[[#This Row],[Hour]:[Hour]]&gt;=AK$2),1,0)</f>
        <v>0</v>
      </c>
      <c r="AL50" s="276" cm="1">
        <f t="array" ref="AL50">IF(AND(AL$2&lt;&gt;0,TblTech[[#This Row],[Hour]:[Hour]]&gt;=AL$2),1,0)</f>
        <v>0</v>
      </c>
      <c r="AM50" s="276" cm="1">
        <f t="array" ref="AM50">IF(AND(AM$2&lt;&gt;0,TblTech[[#This Row],[Hour]:[Hour]]&gt;=AM$2),1,0)</f>
        <v>0</v>
      </c>
      <c r="AN50" s="276" cm="1">
        <f t="array" ref="AN50">IF(AND(AN$2&lt;&gt;0,TblTech[[#This Row],[Hour]:[Hour]]&gt;=AN$2),1,0)</f>
        <v>0</v>
      </c>
      <c r="AO50" s="276" cm="1">
        <f t="array" ref="AO50">IF(AND(AO$2&lt;&gt;0,TblTech[[#This Row],[Hour]:[Hour]]&gt;=AO$2),1,0)</f>
        <v>0</v>
      </c>
      <c r="AP50" s="276" cm="1">
        <f t="array" ref="AP50">IF(AND(AP$2&lt;&gt;0,TblTech[[#This Row],[Hour]:[Hour]]&gt;=AP$2),1,0)</f>
        <v>0</v>
      </c>
      <c r="AQ50" s="276" cm="1">
        <f t="array" ref="AQ50">IF(AND(AQ$2&lt;&gt;0,TblTech[[#This Row],[Hour]:[Hour]]&gt;=AQ$2),1,0)</f>
        <v>0</v>
      </c>
      <c r="AR50" s="276" cm="1">
        <f t="array" ref="AR50">IF(AND(AR$2&lt;&gt;0,TblTech[[#This Row],[Hour]:[Hour]]&gt;=AR$2),1,0)</f>
        <v>0</v>
      </c>
      <c r="AS50" s="276" cm="1">
        <f t="array" ref="AS50">IF(AND(AS$2&lt;&gt;0,TblTech[[#This Row],[Hour]:[Hour]]&gt;=AS$2),1,0)</f>
        <v>0</v>
      </c>
      <c r="AT50" s="276" cm="1">
        <f t="array" ref="AT50">IF(AND(AT$2&lt;&gt;0,TblTech[[#This Row],[Hour]:[Hour]]&gt;=AT$2),1,0)</f>
        <v>0</v>
      </c>
      <c r="AU50" s="276" cm="1">
        <f t="array" ref="AU50">IF(AND(AU$2&lt;&gt;0,TblTech[[#This Row],[Hour]:[Hour]]&gt;=AU$2),1,0)</f>
        <v>0</v>
      </c>
      <c r="AV50" s="276" cm="1">
        <f t="array" ref="AV50">IF(AND(AV$2&lt;&gt;0,TblTech[[#This Row],[Hour]:[Hour]]&gt;=AV$2),1,0)</f>
        <v>0</v>
      </c>
      <c r="AW50" s="276" cm="1">
        <f t="array" ref="AW50">IF(AND(AW$2&lt;&gt;0,TblTech[[#This Row],[Hour]:[Hour]]&gt;=AW$2),1,0)</f>
        <v>0</v>
      </c>
      <c r="AX50" s="276" cm="1">
        <f t="array" ref="AX50">IF(AND(AX$2&lt;&gt;0,TblTech[[#This Row],[Hour]:[Hour]]&gt;=AX$2),1,0)</f>
        <v>0</v>
      </c>
      <c r="AY50" s="276" cm="1">
        <f t="array" ref="AY50">IF(AND(AY$2&lt;&gt;0,TblTech[[#This Row],[Hour]:[Hour]]&gt;=AY$2),1,0)</f>
        <v>0</v>
      </c>
      <c r="AZ50" s="276" cm="1">
        <f t="array" ref="AZ50">IF(AND(AZ$2&lt;&gt;0,TblTech[[#This Row],[Hour]:[Hour]]&gt;=AZ$2),1,0)</f>
        <v>0</v>
      </c>
      <c r="BA50" s="276" cm="1">
        <f t="array" ref="BA50">IF(AND(BA$2&lt;&gt;0,TblTech[[#This Row],[Hour]:[Hour]]&gt;=BA$2),1,0)</f>
        <v>0</v>
      </c>
      <c r="BB50" s="276" cm="1">
        <f t="array" ref="BB50">IF(AND(BB$2&lt;&gt;0,TblTech[[#This Row],[Hour]:[Hour]]&gt;=BB$2),1,0)</f>
        <v>0</v>
      </c>
      <c r="BC50" s="276" cm="1">
        <f t="array" ref="BC50">IF(AND(BC$2&lt;&gt;0,TblTech[[#This Row],[Hour]:[Hour]]&gt;=BC$2),1,0)</f>
        <v>0</v>
      </c>
      <c r="BD50" s="276" cm="1">
        <f t="array" ref="BD50">IF(AND(BD$2&lt;&gt;0,TblTech[[#This Row],[Hour]:[Hour]]&gt;=BD$2),1,0)</f>
        <v>0</v>
      </c>
      <c r="BE50" s="276" cm="1">
        <f t="array" ref="BE50">IF(AND(BE$2&lt;&gt;0,TblTech[[#This Row],[Hour]:[Hour]]&gt;=BE$2),1,0)</f>
        <v>0</v>
      </c>
      <c r="BF50" s="276" cm="1">
        <f t="array" ref="BF50">IF(AND(BF$2&lt;&gt;0,TblTech[[#This Row],[Hour]:[Hour]]&gt;=BF$2),1,0)</f>
        <v>0</v>
      </c>
      <c r="BG50" s="276" cm="1">
        <f t="array" ref="BG50">IF(AND(BG$2&lt;&gt;0,TblTech[[#This Row],[Hour]:[Hour]]&gt;=BG$2),1,0)</f>
        <v>0</v>
      </c>
      <c r="BH50" s="276" cm="1">
        <f t="array" ref="BH50">IF(AND(BH$2&lt;&gt;0,TblTech[[#This Row],[Hour]:[Hour]]&gt;=BH$2),1,0)</f>
        <v>0</v>
      </c>
      <c r="BI50" s="276" cm="1">
        <f t="array" ref="BI50">IF(AND(BI$2&lt;&gt;0,TblTech[[#This Row],[Hour]:[Hour]]&gt;=BI$2),1,0)</f>
        <v>0</v>
      </c>
      <c r="BJ50" s="276" cm="1">
        <f t="array" ref="BJ50">IF(AND(BJ$2&lt;&gt;0,TblTech[[#This Row],[Hour]:[Hour]]&gt;=BJ$2),1,0)</f>
        <v>0</v>
      </c>
      <c r="BK50" s="276" cm="1">
        <f t="array" ref="BK50">IF(AND(BK$2&lt;&gt;0,TblTech[[#This Row],[Hour]:[Hour]]&gt;=BK$2),1,0)</f>
        <v>0</v>
      </c>
      <c r="BL50" s="276" cm="1">
        <f t="array" ref="BL50">IF(AND(BL$2&lt;&gt;0,TblTech[[#This Row],[Hour]:[Hour]]&gt;=BL$2),1,0)</f>
        <v>0</v>
      </c>
      <c r="BM50" s="276" cm="1">
        <f t="array" ref="BM50">IF(AND(BM$2&lt;&gt;0,TblTech[[#This Row],[Hour]:[Hour]]&gt;=BM$2),1,0)</f>
        <v>0</v>
      </c>
      <c r="BN50" s="276" cm="1">
        <f t="array" ref="BN50">IF(AND(BN$2&lt;&gt;0,TblTech[[#This Row],[Hour]:[Hour]]&gt;=BN$2),1,0)</f>
        <v>0</v>
      </c>
      <c r="BO50" s="276" cm="1">
        <f t="array" ref="BO50">IF(AND(BO$2&lt;&gt;0,TblTech[[#This Row],[Hour]:[Hour]]&gt;=BO$2),1,0)</f>
        <v>0</v>
      </c>
      <c r="BP50" s="276" cm="1">
        <f t="array" ref="BP50">IF(AND(BP$2&lt;&gt;0,TblTech[[#This Row],[Hour]:[Hour]]&gt;=BP$2),1,0)</f>
        <v>0</v>
      </c>
      <c r="BQ50" s="276" cm="1">
        <f t="array" ref="BQ50">IF(AND(BQ$2&lt;&gt;0,TblTech[[#This Row],[Hour]:[Hour]]&gt;=BQ$2),1,0)</f>
        <v>0</v>
      </c>
      <c r="BR50" s="276" cm="1">
        <f t="array" ref="BR50">IF(AND(BR$2&lt;&gt;0,TblTech[[#This Row],[Hour]:[Hour]]&gt;=BR$2),1,0)</f>
        <v>0</v>
      </c>
      <c r="BS50" s="276" cm="1">
        <f t="array" ref="BS50">IF(AND(BS$2&lt;&gt;0,TblTech[[#This Row],[Hour]:[Hour]]&gt;=BS$2),1,0)</f>
        <v>0</v>
      </c>
      <c r="BT50" s="276" cm="1">
        <f t="array" ref="BT50">IF(AND(BT$2&lt;&gt;0,TblTech[[#This Row],[Hour]:[Hour]]&gt;=BT$2),1,0)</f>
        <v>0</v>
      </c>
      <c r="BU50" s="276" cm="1">
        <f t="array" ref="BU50">IF(AND(BU$2&lt;&gt;0,TblTech[[#This Row],[Hour]:[Hour]]&gt;=BU$2),1,0)</f>
        <v>0</v>
      </c>
      <c r="BV50" s="276" cm="1">
        <f t="array" ref="BV50">IF(AND(BV$2&lt;&gt;0,TblTech[[#This Row],[Hour]:[Hour]]&gt;=BV$2),1,0)</f>
        <v>0</v>
      </c>
      <c r="BW50" s="276" cm="1">
        <f t="array" ref="BW50">IF(AND(BW$2&lt;&gt;0,TblTech[[#This Row],[Hour]:[Hour]]&gt;=BW$2),1,0)</f>
        <v>0</v>
      </c>
      <c r="BX50" s="276" cm="1">
        <f t="array" ref="BX50">IF(AND(BX$2&lt;&gt;0,TblTech[[#This Row],[Hour]:[Hour]]&gt;=BX$2),1,0)</f>
        <v>0</v>
      </c>
      <c r="BY50" s="276" cm="1">
        <f t="array" ref="BY50">IF(AND(BY$2&lt;&gt;0,TblTech[[#This Row],[Hour]:[Hour]]&gt;=BY$2),1,0)</f>
        <v>0</v>
      </c>
      <c r="BZ50" s="276" cm="1">
        <f t="array" ref="BZ50">IF(AND(BZ$2&lt;&gt;0,TblTech[[#This Row],[Hour]:[Hour]]&gt;=BZ$2),1,0)</f>
        <v>0</v>
      </c>
      <c r="CA50" s="377">
        <f>IFERROR(INDEX($H$4:$H$79,MATCH(INDEX(TblTech[[#Headers],[1-1]:[11-1]],1,MATCH(TblTech[[#This Row],[Hour]],$M$2:$BZ$2,0)),$G$4:$G$79,0)),)</f>
        <v>0</v>
      </c>
    </row>
    <row r="51" spans="1:79" x14ac:dyDescent="0.2">
      <c r="A51" s="268">
        <f>TblRezone[[#This Row],[Hour]]</f>
        <v>48</v>
      </c>
      <c r="B51" s="269">
        <f ca="1">TblExplore[[#This Row],[Land-DB]]</f>
        <v>50</v>
      </c>
      <c r="C51" s="270">
        <f ca="1">TblProd[[#This Row],[Techpoints]]</f>
        <v>0</v>
      </c>
      <c r="D51" s="270">
        <f ca="1">TblProd[[#This Row],[Required]]</f>
        <v>3750</v>
      </c>
      <c r="E51" s="271"/>
      <c r="F51" s="272"/>
      <c r="G51" s="273" t="s">
        <v>590</v>
      </c>
      <c r="H51" s="274" t="s">
        <v>392</v>
      </c>
      <c r="I51" s="273" t="s">
        <v>1045</v>
      </c>
      <c r="J51" s="269"/>
      <c r="K51" s="93">
        <f ca="1">IF(TblTech[[#This Row],[Sum of tech]]&lt;&gt;OFFSET(TblTech[[#This Row],[Sum of tech]],-1,0),1,0)</f>
        <v>0</v>
      </c>
      <c r="L51" s="275">
        <f>COUNTIF(TblTech[[#This Row],[1-1]:[11-1]],1)</f>
        <v>0</v>
      </c>
      <c r="M51" s="276" cm="1">
        <f t="array" ref="M51">IF(AND(M$2&lt;&gt;0,TblTech[[#This Row],[Hour]:[Hour]]&gt;=M$2),1,0)</f>
        <v>0</v>
      </c>
      <c r="N51" s="276" cm="1">
        <f t="array" ref="N51">IF(AND(N$2&lt;&gt;0,TblTech[[#This Row],[Hour]:[Hour]]&gt;=N$2),1,0)</f>
        <v>0</v>
      </c>
      <c r="O51" s="276" cm="1">
        <f t="array" ref="O51">IF(AND(O$2&lt;&gt;0,TblTech[[#This Row],[Hour]:[Hour]]&gt;=O$2),1,0)</f>
        <v>0</v>
      </c>
      <c r="P51" s="276" cm="1">
        <f t="array" ref="P51">IF(AND(P$2&lt;&gt;0,TblTech[[#This Row],[Hour]:[Hour]]&gt;=P$2),1,0)</f>
        <v>0</v>
      </c>
      <c r="Q51" s="276" cm="1">
        <f t="array" ref="Q51">IF(AND(Q$2&lt;&gt;0,TblTech[[#This Row],[Hour]:[Hour]]&gt;=Q$2),1,0)</f>
        <v>0</v>
      </c>
      <c r="R51" s="276" cm="1">
        <f t="array" ref="R51">IF(AND(R$2&lt;&gt;0,TblTech[[#This Row],[Hour]:[Hour]]&gt;=R$2),1,0)</f>
        <v>0</v>
      </c>
      <c r="S51" s="276" cm="1">
        <f t="array" ref="S51">IF(AND(S$2&lt;&gt;0,TblTech[[#This Row],[Hour]:[Hour]]&gt;=S$2),1,0)</f>
        <v>0</v>
      </c>
      <c r="T51" s="276" cm="1">
        <f t="array" ref="T51">IF(AND(T$2&lt;&gt;0,TblTech[[#This Row],[Hour]:[Hour]]&gt;=T$2),1,0)</f>
        <v>0</v>
      </c>
      <c r="U51" s="276" cm="1">
        <f t="array" ref="U51">IF(AND(U$2&lt;&gt;0,TblTech[[#This Row],[Hour]:[Hour]]&gt;=U$2),1,0)</f>
        <v>0</v>
      </c>
      <c r="V51" s="276" cm="1">
        <f t="array" ref="V51">IF(AND(V$2&lt;&gt;0,TblTech[[#This Row],[Hour]:[Hour]]&gt;=V$2),1,0)</f>
        <v>0</v>
      </c>
      <c r="W51" s="276" cm="1">
        <f t="array" ref="W51">IF(AND(W$2&lt;&gt;0,TblTech[[#This Row],[Hour]:[Hour]]&gt;=W$2),1,0)</f>
        <v>0</v>
      </c>
      <c r="X51" s="276" cm="1">
        <f t="array" ref="X51">IF(AND(X$2&lt;&gt;0,TblTech[[#This Row],[Hour]:[Hour]]&gt;=X$2),1,0)</f>
        <v>0</v>
      </c>
      <c r="Y51" s="276" cm="1">
        <f t="array" ref="Y51">IF(AND(Y$2&lt;&gt;0,TblTech[[#This Row],[Hour]:[Hour]]&gt;=Y$2),1,0)</f>
        <v>0</v>
      </c>
      <c r="Z51" s="276" cm="1">
        <f t="array" ref="Z51">IF(AND(Z$2&lt;&gt;0,TblTech[[#This Row],[Hour]:[Hour]]&gt;=Z$2),1,0)</f>
        <v>0</v>
      </c>
      <c r="AA51" s="276" cm="1">
        <f t="array" ref="AA51">IF(AND(AA$2&lt;&gt;0,TblTech[[#This Row],[Hour]:[Hour]]&gt;=AA$2),1,0)</f>
        <v>0</v>
      </c>
      <c r="AB51" s="276" cm="1">
        <f t="array" ref="AB51">IF(AND(AB$2&lt;&gt;0,TblTech[[#This Row],[Hour]:[Hour]]&gt;=AB$2),1,0)</f>
        <v>0</v>
      </c>
      <c r="AC51" s="276" cm="1">
        <f t="array" ref="AC51">IF(AND(AC$2&lt;&gt;0,TblTech[[#This Row],[Hour]:[Hour]]&gt;=AC$2),1,0)</f>
        <v>0</v>
      </c>
      <c r="AD51" s="276" cm="1">
        <f t="array" ref="AD51">IF(AND(AD$2&lt;&gt;0,TblTech[[#This Row],[Hour]:[Hour]]&gt;=AD$2),1,0)</f>
        <v>0</v>
      </c>
      <c r="AE51" s="276" cm="1">
        <f t="array" ref="AE51">IF(AND(AE$2&lt;&gt;0,TblTech[[#This Row],[Hour]:[Hour]]&gt;=AE$2),1,0)</f>
        <v>0</v>
      </c>
      <c r="AF51" s="276" cm="1">
        <f t="array" ref="AF51">IF(AND(AF$2&lt;&gt;0,TblTech[[#This Row],[Hour]:[Hour]]&gt;=AF$2),1,0)</f>
        <v>0</v>
      </c>
      <c r="AG51" s="276" cm="1">
        <f t="array" ref="AG51">IF(AND(AG$2&lt;&gt;0,TblTech[[#This Row],[Hour]:[Hour]]&gt;=AG$2),1,0)</f>
        <v>0</v>
      </c>
      <c r="AH51" s="276" cm="1">
        <f t="array" ref="AH51">IF(AND(AH$2&lt;&gt;0,TblTech[[#This Row],[Hour]:[Hour]]&gt;=AH$2),1,0)</f>
        <v>0</v>
      </c>
      <c r="AI51" s="276" cm="1">
        <f t="array" ref="AI51">IF(AND(AI$2&lt;&gt;0,TblTech[[#This Row],[Hour]:[Hour]]&gt;=AI$2),1,0)</f>
        <v>0</v>
      </c>
      <c r="AJ51" s="276" cm="1">
        <f t="array" ref="AJ51">IF(AND(AJ$2&lt;&gt;0,TblTech[[#This Row],[Hour]:[Hour]]&gt;=AJ$2),1,0)</f>
        <v>0</v>
      </c>
      <c r="AK51" s="276" cm="1">
        <f t="array" ref="AK51">IF(AND(AK$2&lt;&gt;0,TblTech[[#This Row],[Hour]:[Hour]]&gt;=AK$2),1,0)</f>
        <v>0</v>
      </c>
      <c r="AL51" s="276" cm="1">
        <f t="array" ref="AL51">IF(AND(AL$2&lt;&gt;0,TblTech[[#This Row],[Hour]:[Hour]]&gt;=AL$2),1,0)</f>
        <v>0</v>
      </c>
      <c r="AM51" s="276" cm="1">
        <f t="array" ref="AM51">IF(AND(AM$2&lt;&gt;0,TblTech[[#This Row],[Hour]:[Hour]]&gt;=AM$2),1,0)</f>
        <v>0</v>
      </c>
      <c r="AN51" s="276" cm="1">
        <f t="array" ref="AN51">IF(AND(AN$2&lt;&gt;0,TblTech[[#This Row],[Hour]:[Hour]]&gt;=AN$2),1,0)</f>
        <v>0</v>
      </c>
      <c r="AO51" s="276" cm="1">
        <f t="array" ref="AO51">IF(AND(AO$2&lt;&gt;0,TblTech[[#This Row],[Hour]:[Hour]]&gt;=AO$2),1,0)</f>
        <v>0</v>
      </c>
      <c r="AP51" s="276" cm="1">
        <f t="array" ref="AP51">IF(AND(AP$2&lt;&gt;0,TblTech[[#This Row],[Hour]:[Hour]]&gt;=AP$2),1,0)</f>
        <v>0</v>
      </c>
      <c r="AQ51" s="276" cm="1">
        <f t="array" ref="AQ51">IF(AND(AQ$2&lt;&gt;0,TblTech[[#This Row],[Hour]:[Hour]]&gt;=AQ$2),1,0)</f>
        <v>0</v>
      </c>
      <c r="AR51" s="276" cm="1">
        <f t="array" ref="AR51">IF(AND(AR$2&lt;&gt;0,TblTech[[#This Row],[Hour]:[Hour]]&gt;=AR$2),1,0)</f>
        <v>0</v>
      </c>
      <c r="AS51" s="276" cm="1">
        <f t="array" ref="AS51">IF(AND(AS$2&lt;&gt;0,TblTech[[#This Row],[Hour]:[Hour]]&gt;=AS$2),1,0)</f>
        <v>0</v>
      </c>
      <c r="AT51" s="276" cm="1">
        <f t="array" ref="AT51">IF(AND(AT$2&lt;&gt;0,TblTech[[#This Row],[Hour]:[Hour]]&gt;=AT$2),1,0)</f>
        <v>0</v>
      </c>
      <c r="AU51" s="276" cm="1">
        <f t="array" ref="AU51">IF(AND(AU$2&lt;&gt;0,TblTech[[#This Row],[Hour]:[Hour]]&gt;=AU$2),1,0)</f>
        <v>0</v>
      </c>
      <c r="AV51" s="276" cm="1">
        <f t="array" ref="AV51">IF(AND(AV$2&lt;&gt;0,TblTech[[#This Row],[Hour]:[Hour]]&gt;=AV$2),1,0)</f>
        <v>0</v>
      </c>
      <c r="AW51" s="276" cm="1">
        <f t="array" ref="AW51">IF(AND(AW$2&lt;&gt;0,TblTech[[#This Row],[Hour]:[Hour]]&gt;=AW$2),1,0)</f>
        <v>0</v>
      </c>
      <c r="AX51" s="276" cm="1">
        <f t="array" ref="AX51">IF(AND(AX$2&lt;&gt;0,TblTech[[#This Row],[Hour]:[Hour]]&gt;=AX$2),1,0)</f>
        <v>0</v>
      </c>
      <c r="AY51" s="276" cm="1">
        <f t="array" ref="AY51">IF(AND(AY$2&lt;&gt;0,TblTech[[#This Row],[Hour]:[Hour]]&gt;=AY$2),1,0)</f>
        <v>0</v>
      </c>
      <c r="AZ51" s="276" cm="1">
        <f t="array" ref="AZ51">IF(AND(AZ$2&lt;&gt;0,TblTech[[#This Row],[Hour]:[Hour]]&gt;=AZ$2),1,0)</f>
        <v>0</v>
      </c>
      <c r="BA51" s="276" cm="1">
        <f t="array" ref="BA51">IF(AND(BA$2&lt;&gt;0,TblTech[[#This Row],[Hour]:[Hour]]&gt;=BA$2),1,0)</f>
        <v>0</v>
      </c>
      <c r="BB51" s="276" cm="1">
        <f t="array" ref="BB51">IF(AND(BB$2&lt;&gt;0,TblTech[[#This Row],[Hour]:[Hour]]&gt;=BB$2),1,0)</f>
        <v>0</v>
      </c>
      <c r="BC51" s="276" cm="1">
        <f t="array" ref="BC51">IF(AND(BC$2&lt;&gt;0,TblTech[[#This Row],[Hour]:[Hour]]&gt;=BC$2),1,0)</f>
        <v>0</v>
      </c>
      <c r="BD51" s="276" cm="1">
        <f t="array" ref="BD51">IF(AND(BD$2&lt;&gt;0,TblTech[[#This Row],[Hour]:[Hour]]&gt;=BD$2),1,0)</f>
        <v>0</v>
      </c>
      <c r="BE51" s="276" cm="1">
        <f t="array" ref="BE51">IF(AND(BE$2&lt;&gt;0,TblTech[[#This Row],[Hour]:[Hour]]&gt;=BE$2),1,0)</f>
        <v>0</v>
      </c>
      <c r="BF51" s="276" cm="1">
        <f t="array" ref="BF51">IF(AND(BF$2&lt;&gt;0,TblTech[[#This Row],[Hour]:[Hour]]&gt;=BF$2),1,0)</f>
        <v>0</v>
      </c>
      <c r="BG51" s="276" cm="1">
        <f t="array" ref="BG51">IF(AND(BG$2&lt;&gt;0,TblTech[[#This Row],[Hour]:[Hour]]&gt;=BG$2),1,0)</f>
        <v>0</v>
      </c>
      <c r="BH51" s="276" cm="1">
        <f t="array" ref="BH51">IF(AND(BH$2&lt;&gt;0,TblTech[[#This Row],[Hour]:[Hour]]&gt;=BH$2),1,0)</f>
        <v>0</v>
      </c>
      <c r="BI51" s="276" cm="1">
        <f t="array" ref="BI51">IF(AND(BI$2&lt;&gt;0,TblTech[[#This Row],[Hour]:[Hour]]&gt;=BI$2),1,0)</f>
        <v>0</v>
      </c>
      <c r="BJ51" s="276" cm="1">
        <f t="array" ref="BJ51">IF(AND(BJ$2&lt;&gt;0,TblTech[[#This Row],[Hour]:[Hour]]&gt;=BJ$2),1,0)</f>
        <v>0</v>
      </c>
      <c r="BK51" s="276" cm="1">
        <f t="array" ref="BK51">IF(AND(BK$2&lt;&gt;0,TblTech[[#This Row],[Hour]:[Hour]]&gt;=BK$2),1,0)</f>
        <v>0</v>
      </c>
      <c r="BL51" s="276" cm="1">
        <f t="array" ref="BL51">IF(AND(BL$2&lt;&gt;0,TblTech[[#This Row],[Hour]:[Hour]]&gt;=BL$2),1,0)</f>
        <v>0</v>
      </c>
      <c r="BM51" s="276" cm="1">
        <f t="array" ref="BM51">IF(AND(BM$2&lt;&gt;0,TblTech[[#This Row],[Hour]:[Hour]]&gt;=BM$2),1,0)</f>
        <v>0</v>
      </c>
      <c r="BN51" s="276" cm="1">
        <f t="array" ref="BN51">IF(AND(BN$2&lt;&gt;0,TblTech[[#This Row],[Hour]:[Hour]]&gt;=BN$2),1,0)</f>
        <v>0</v>
      </c>
      <c r="BO51" s="276" cm="1">
        <f t="array" ref="BO51">IF(AND(BO$2&lt;&gt;0,TblTech[[#This Row],[Hour]:[Hour]]&gt;=BO$2),1,0)</f>
        <v>0</v>
      </c>
      <c r="BP51" s="276" cm="1">
        <f t="array" ref="BP51">IF(AND(BP$2&lt;&gt;0,TblTech[[#This Row],[Hour]:[Hour]]&gt;=BP$2),1,0)</f>
        <v>0</v>
      </c>
      <c r="BQ51" s="276" cm="1">
        <f t="array" ref="BQ51">IF(AND(BQ$2&lt;&gt;0,TblTech[[#This Row],[Hour]:[Hour]]&gt;=BQ$2),1,0)</f>
        <v>0</v>
      </c>
      <c r="BR51" s="276" cm="1">
        <f t="array" ref="BR51">IF(AND(BR$2&lt;&gt;0,TblTech[[#This Row],[Hour]:[Hour]]&gt;=BR$2),1,0)</f>
        <v>0</v>
      </c>
      <c r="BS51" s="276" cm="1">
        <f t="array" ref="BS51">IF(AND(BS$2&lt;&gt;0,TblTech[[#This Row],[Hour]:[Hour]]&gt;=BS$2),1,0)</f>
        <v>0</v>
      </c>
      <c r="BT51" s="276" cm="1">
        <f t="array" ref="BT51">IF(AND(BT$2&lt;&gt;0,TblTech[[#This Row],[Hour]:[Hour]]&gt;=BT$2),1,0)</f>
        <v>0</v>
      </c>
      <c r="BU51" s="276" cm="1">
        <f t="array" ref="BU51">IF(AND(BU$2&lt;&gt;0,TblTech[[#This Row],[Hour]:[Hour]]&gt;=BU$2),1,0)</f>
        <v>0</v>
      </c>
      <c r="BV51" s="276" cm="1">
        <f t="array" ref="BV51">IF(AND(BV$2&lt;&gt;0,TblTech[[#This Row],[Hour]:[Hour]]&gt;=BV$2),1,0)</f>
        <v>0</v>
      </c>
      <c r="BW51" s="276" cm="1">
        <f t="array" ref="BW51">IF(AND(BW$2&lt;&gt;0,TblTech[[#This Row],[Hour]:[Hour]]&gt;=BW$2),1,0)</f>
        <v>0</v>
      </c>
      <c r="BX51" s="276" cm="1">
        <f t="array" ref="BX51">IF(AND(BX$2&lt;&gt;0,TblTech[[#This Row],[Hour]:[Hour]]&gt;=BX$2),1,0)</f>
        <v>0</v>
      </c>
      <c r="BY51" s="276" cm="1">
        <f t="array" ref="BY51">IF(AND(BY$2&lt;&gt;0,TblTech[[#This Row],[Hour]:[Hour]]&gt;=BY$2),1,0)</f>
        <v>0</v>
      </c>
      <c r="BZ51" s="276" cm="1">
        <f t="array" ref="BZ51">IF(AND(BZ$2&lt;&gt;0,TblTech[[#This Row],[Hour]:[Hour]]&gt;=BZ$2),1,0)</f>
        <v>0</v>
      </c>
      <c r="CA51" s="377">
        <f>IFERROR(INDEX($H$4:$H$79,MATCH(INDEX(TblTech[[#Headers],[1-1]:[11-1]],1,MATCH(TblTech[[#This Row],[Hour]],$M$2:$BZ$2,0)),$G$4:$G$79,0)),)</f>
        <v>0</v>
      </c>
    </row>
    <row r="52" spans="1:79" x14ac:dyDescent="0.2">
      <c r="A52" s="268">
        <f>TblRezone[[#This Row],[Hour]]</f>
        <v>49</v>
      </c>
      <c r="B52" s="269">
        <f ca="1">TblExplore[[#This Row],[Land-DB]]</f>
        <v>50</v>
      </c>
      <c r="C52" s="270">
        <f ca="1">TblProd[[#This Row],[Techpoints]]</f>
        <v>0</v>
      </c>
      <c r="D52" s="270">
        <f ca="1">TblProd[[#This Row],[Required]]</f>
        <v>3750</v>
      </c>
      <c r="E52" s="271"/>
      <c r="F52" s="272"/>
      <c r="G52" s="273" t="s">
        <v>591</v>
      </c>
      <c r="H52" s="274" t="s">
        <v>715</v>
      </c>
      <c r="I52" s="273" t="s">
        <v>626</v>
      </c>
      <c r="J52" s="269"/>
      <c r="K52" s="93">
        <f ca="1">IF(TblTech[[#This Row],[Sum of tech]]&lt;&gt;OFFSET(TblTech[[#This Row],[Sum of tech]],-1,0),1,0)</f>
        <v>0</v>
      </c>
      <c r="L52" s="275">
        <f>COUNTIF(TblTech[[#This Row],[1-1]:[11-1]],1)</f>
        <v>0</v>
      </c>
      <c r="M52" s="276" cm="1">
        <f t="array" ref="M52">IF(AND(M$2&lt;&gt;0,TblTech[[#This Row],[Hour]:[Hour]]&gt;=M$2),1,0)</f>
        <v>0</v>
      </c>
      <c r="N52" s="276" cm="1">
        <f t="array" ref="N52">IF(AND(N$2&lt;&gt;0,TblTech[[#This Row],[Hour]:[Hour]]&gt;=N$2),1,0)</f>
        <v>0</v>
      </c>
      <c r="O52" s="276" cm="1">
        <f t="array" ref="O52">IF(AND(O$2&lt;&gt;0,TblTech[[#This Row],[Hour]:[Hour]]&gt;=O$2),1,0)</f>
        <v>0</v>
      </c>
      <c r="P52" s="276" cm="1">
        <f t="array" ref="P52">IF(AND(P$2&lt;&gt;0,TblTech[[#This Row],[Hour]:[Hour]]&gt;=P$2),1,0)</f>
        <v>0</v>
      </c>
      <c r="Q52" s="276" cm="1">
        <f t="array" ref="Q52">IF(AND(Q$2&lt;&gt;0,TblTech[[#This Row],[Hour]:[Hour]]&gt;=Q$2),1,0)</f>
        <v>0</v>
      </c>
      <c r="R52" s="276" cm="1">
        <f t="array" ref="R52">IF(AND(R$2&lt;&gt;0,TblTech[[#This Row],[Hour]:[Hour]]&gt;=R$2),1,0)</f>
        <v>0</v>
      </c>
      <c r="S52" s="276" cm="1">
        <f t="array" ref="S52">IF(AND(S$2&lt;&gt;0,TblTech[[#This Row],[Hour]:[Hour]]&gt;=S$2),1,0)</f>
        <v>0</v>
      </c>
      <c r="T52" s="276" cm="1">
        <f t="array" ref="T52">IF(AND(T$2&lt;&gt;0,TblTech[[#This Row],[Hour]:[Hour]]&gt;=T$2),1,0)</f>
        <v>0</v>
      </c>
      <c r="U52" s="276" cm="1">
        <f t="array" ref="U52">IF(AND(U$2&lt;&gt;0,TblTech[[#This Row],[Hour]:[Hour]]&gt;=U$2),1,0)</f>
        <v>0</v>
      </c>
      <c r="V52" s="276" cm="1">
        <f t="array" ref="V52">IF(AND(V$2&lt;&gt;0,TblTech[[#This Row],[Hour]:[Hour]]&gt;=V$2),1,0)</f>
        <v>0</v>
      </c>
      <c r="W52" s="276" cm="1">
        <f t="array" ref="W52">IF(AND(W$2&lt;&gt;0,TblTech[[#This Row],[Hour]:[Hour]]&gt;=W$2),1,0)</f>
        <v>0</v>
      </c>
      <c r="X52" s="276" cm="1">
        <f t="array" ref="X52">IF(AND(X$2&lt;&gt;0,TblTech[[#This Row],[Hour]:[Hour]]&gt;=X$2),1,0)</f>
        <v>0</v>
      </c>
      <c r="Y52" s="276" cm="1">
        <f t="array" ref="Y52">IF(AND(Y$2&lt;&gt;0,TblTech[[#This Row],[Hour]:[Hour]]&gt;=Y$2),1,0)</f>
        <v>0</v>
      </c>
      <c r="Z52" s="276" cm="1">
        <f t="array" ref="Z52">IF(AND(Z$2&lt;&gt;0,TblTech[[#This Row],[Hour]:[Hour]]&gt;=Z$2),1,0)</f>
        <v>0</v>
      </c>
      <c r="AA52" s="276" cm="1">
        <f t="array" ref="AA52">IF(AND(AA$2&lt;&gt;0,TblTech[[#This Row],[Hour]:[Hour]]&gt;=AA$2),1,0)</f>
        <v>0</v>
      </c>
      <c r="AB52" s="276" cm="1">
        <f t="array" ref="AB52">IF(AND(AB$2&lt;&gt;0,TblTech[[#This Row],[Hour]:[Hour]]&gt;=AB$2),1,0)</f>
        <v>0</v>
      </c>
      <c r="AC52" s="276" cm="1">
        <f t="array" ref="AC52">IF(AND(AC$2&lt;&gt;0,TblTech[[#This Row],[Hour]:[Hour]]&gt;=AC$2),1,0)</f>
        <v>0</v>
      </c>
      <c r="AD52" s="276" cm="1">
        <f t="array" ref="AD52">IF(AND(AD$2&lt;&gt;0,TblTech[[#This Row],[Hour]:[Hour]]&gt;=AD$2),1,0)</f>
        <v>0</v>
      </c>
      <c r="AE52" s="276" cm="1">
        <f t="array" ref="AE52">IF(AND(AE$2&lt;&gt;0,TblTech[[#This Row],[Hour]:[Hour]]&gt;=AE$2),1,0)</f>
        <v>0</v>
      </c>
      <c r="AF52" s="276" cm="1">
        <f t="array" ref="AF52">IF(AND(AF$2&lt;&gt;0,TblTech[[#This Row],[Hour]:[Hour]]&gt;=AF$2),1,0)</f>
        <v>0</v>
      </c>
      <c r="AG52" s="276" cm="1">
        <f t="array" ref="AG52">IF(AND(AG$2&lt;&gt;0,TblTech[[#This Row],[Hour]:[Hour]]&gt;=AG$2),1,0)</f>
        <v>0</v>
      </c>
      <c r="AH52" s="276" cm="1">
        <f t="array" ref="AH52">IF(AND(AH$2&lt;&gt;0,TblTech[[#This Row],[Hour]:[Hour]]&gt;=AH$2),1,0)</f>
        <v>0</v>
      </c>
      <c r="AI52" s="276" cm="1">
        <f t="array" ref="AI52">IF(AND(AI$2&lt;&gt;0,TblTech[[#This Row],[Hour]:[Hour]]&gt;=AI$2),1,0)</f>
        <v>0</v>
      </c>
      <c r="AJ52" s="276" cm="1">
        <f t="array" ref="AJ52">IF(AND(AJ$2&lt;&gt;0,TblTech[[#This Row],[Hour]:[Hour]]&gt;=AJ$2),1,0)</f>
        <v>0</v>
      </c>
      <c r="AK52" s="276" cm="1">
        <f t="array" ref="AK52">IF(AND(AK$2&lt;&gt;0,TblTech[[#This Row],[Hour]:[Hour]]&gt;=AK$2),1,0)</f>
        <v>0</v>
      </c>
      <c r="AL52" s="276" cm="1">
        <f t="array" ref="AL52">IF(AND(AL$2&lt;&gt;0,TblTech[[#This Row],[Hour]:[Hour]]&gt;=AL$2),1,0)</f>
        <v>0</v>
      </c>
      <c r="AM52" s="276" cm="1">
        <f t="array" ref="AM52">IF(AND(AM$2&lt;&gt;0,TblTech[[#This Row],[Hour]:[Hour]]&gt;=AM$2),1,0)</f>
        <v>0</v>
      </c>
      <c r="AN52" s="276" cm="1">
        <f t="array" ref="AN52">IF(AND(AN$2&lt;&gt;0,TblTech[[#This Row],[Hour]:[Hour]]&gt;=AN$2),1,0)</f>
        <v>0</v>
      </c>
      <c r="AO52" s="276" cm="1">
        <f t="array" ref="AO52">IF(AND(AO$2&lt;&gt;0,TblTech[[#This Row],[Hour]:[Hour]]&gt;=AO$2),1,0)</f>
        <v>0</v>
      </c>
      <c r="AP52" s="276" cm="1">
        <f t="array" ref="AP52">IF(AND(AP$2&lt;&gt;0,TblTech[[#This Row],[Hour]:[Hour]]&gt;=AP$2),1,0)</f>
        <v>0</v>
      </c>
      <c r="AQ52" s="276" cm="1">
        <f t="array" ref="AQ52">IF(AND(AQ$2&lt;&gt;0,TblTech[[#This Row],[Hour]:[Hour]]&gt;=AQ$2),1,0)</f>
        <v>0</v>
      </c>
      <c r="AR52" s="276" cm="1">
        <f t="array" ref="AR52">IF(AND(AR$2&lt;&gt;0,TblTech[[#This Row],[Hour]:[Hour]]&gt;=AR$2),1,0)</f>
        <v>0</v>
      </c>
      <c r="AS52" s="276" cm="1">
        <f t="array" ref="AS52">IF(AND(AS$2&lt;&gt;0,TblTech[[#This Row],[Hour]:[Hour]]&gt;=AS$2),1,0)</f>
        <v>0</v>
      </c>
      <c r="AT52" s="276" cm="1">
        <f t="array" ref="AT52">IF(AND(AT$2&lt;&gt;0,TblTech[[#This Row],[Hour]:[Hour]]&gt;=AT$2),1,0)</f>
        <v>0</v>
      </c>
      <c r="AU52" s="276" cm="1">
        <f t="array" ref="AU52">IF(AND(AU$2&lt;&gt;0,TblTech[[#This Row],[Hour]:[Hour]]&gt;=AU$2),1,0)</f>
        <v>0</v>
      </c>
      <c r="AV52" s="276" cm="1">
        <f t="array" ref="AV52">IF(AND(AV$2&lt;&gt;0,TblTech[[#This Row],[Hour]:[Hour]]&gt;=AV$2),1,0)</f>
        <v>0</v>
      </c>
      <c r="AW52" s="276" cm="1">
        <f t="array" ref="AW52">IF(AND(AW$2&lt;&gt;0,TblTech[[#This Row],[Hour]:[Hour]]&gt;=AW$2),1,0)</f>
        <v>0</v>
      </c>
      <c r="AX52" s="276" cm="1">
        <f t="array" ref="AX52">IF(AND(AX$2&lt;&gt;0,TblTech[[#This Row],[Hour]:[Hour]]&gt;=AX$2),1,0)</f>
        <v>0</v>
      </c>
      <c r="AY52" s="276" cm="1">
        <f t="array" ref="AY52">IF(AND(AY$2&lt;&gt;0,TblTech[[#This Row],[Hour]:[Hour]]&gt;=AY$2),1,0)</f>
        <v>0</v>
      </c>
      <c r="AZ52" s="276" cm="1">
        <f t="array" ref="AZ52">IF(AND(AZ$2&lt;&gt;0,TblTech[[#This Row],[Hour]:[Hour]]&gt;=AZ$2),1,0)</f>
        <v>0</v>
      </c>
      <c r="BA52" s="276" cm="1">
        <f t="array" ref="BA52">IF(AND(BA$2&lt;&gt;0,TblTech[[#This Row],[Hour]:[Hour]]&gt;=BA$2),1,0)</f>
        <v>0</v>
      </c>
      <c r="BB52" s="276" cm="1">
        <f t="array" ref="BB52">IF(AND(BB$2&lt;&gt;0,TblTech[[#This Row],[Hour]:[Hour]]&gt;=BB$2),1,0)</f>
        <v>0</v>
      </c>
      <c r="BC52" s="276" cm="1">
        <f t="array" ref="BC52">IF(AND(BC$2&lt;&gt;0,TblTech[[#This Row],[Hour]:[Hour]]&gt;=BC$2),1,0)</f>
        <v>0</v>
      </c>
      <c r="BD52" s="276" cm="1">
        <f t="array" ref="BD52">IF(AND(BD$2&lt;&gt;0,TblTech[[#This Row],[Hour]:[Hour]]&gt;=BD$2),1,0)</f>
        <v>0</v>
      </c>
      <c r="BE52" s="276" cm="1">
        <f t="array" ref="BE52">IF(AND(BE$2&lt;&gt;0,TblTech[[#This Row],[Hour]:[Hour]]&gt;=BE$2),1,0)</f>
        <v>0</v>
      </c>
      <c r="BF52" s="276" cm="1">
        <f t="array" ref="BF52">IF(AND(BF$2&lt;&gt;0,TblTech[[#This Row],[Hour]:[Hour]]&gt;=BF$2),1,0)</f>
        <v>0</v>
      </c>
      <c r="BG52" s="276" cm="1">
        <f t="array" ref="BG52">IF(AND(BG$2&lt;&gt;0,TblTech[[#This Row],[Hour]:[Hour]]&gt;=BG$2),1,0)</f>
        <v>0</v>
      </c>
      <c r="BH52" s="276" cm="1">
        <f t="array" ref="BH52">IF(AND(BH$2&lt;&gt;0,TblTech[[#This Row],[Hour]:[Hour]]&gt;=BH$2),1,0)</f>
        <v>0</v>
      </c>
      <c r="BI52" s="276" cm="1">
        <f t="array" ref="BI52">IF(AND(BI$2&lt;&gt;0,TblTech[[#This Row],[Hour]:[Hour]]&gt;=BI$2),1,0)</f>
        <v>0</v>
      </c>
      <c r="BJ52" s="276" cm="1">
        <f t="array" ref="BJ52">IF(AND(BJ$2&lt;&gt;0,TblTech[[#This Row],[Hour]:[Hour]]&gt;=BJ$2),1,0)</f>
        <v>0</v>
      </c>
      <c r="BK52" s="276" cm="1">
        <f t="array" ref="BK52">IF(AND(BK$2&lt;&gt;0,TblTech[[#This Row],[Hour]:[Hour]]&gt;=BK$2),1,0)</f>
        <v>0</v>
      </c>
      <c r="BL52" s="276" cm="1">
        <f t="array" ref="BL52">IF(AND(BL$2&lt;&gt;0,TblTech[[#This Row],[Hour]:[Hour]]&gt;=BL$2),1,0)</f>
        <v>0</v>
      </c>
      <c r="BM52" s="276" cm="1">
        <f t="array" ref="BM52">IF(AND(BM$2&lt;&gt;0,TblTech[[#This Row],[Hour]:[Hour]]&gt;=BM$2),1,0)</f>
        <v>0</v>
      </c>
      <c r="BN52" s="276" cm="1">
        <f t="array" ref="BN52">IF(AND(BN$2&lt;&gt;0,TblTech[[#This Row],[Hour]:[Hour]]&gt;=BN$2),1,0)</f>
        <v>0</v>
      </c>
      <c r="BO52" s="276" cm="1">
        <f t="array" ref="BO52">IF(AND(BO$2&lt;&gt;0,TblTech[[#This Row],[Hour]:[Hour]]&gt;=BO$2),1,0)</f>
        <v>0</v>
      </c>
      <c r="BP52" s="276" cm="1">
        <f t="array" ref="BP52">IF(AND(BP$2&lt;&gt;0,TblTech[[#This Row],[Hour]:[Hour]]&gt;=BP$2),1,0)</f>
        <v>0</v>
      </c>
      <c r="BQ52" s="276" cm="1">
        <f t="array" ref="BQ52">IF(AND(BQ$2&lt;&gt;0,TblTech[[#This Row],[Hour]:[Hour]]&gt;=BQ$2),1,0)</f>
        <v>0</v>
      </c>
      <c r="BR52" s="276" cm="1">
        <f t="array" ref="BR52">IF(AND(BR$2&lt;&gt;0,TblTech[[#This Row],[Hour]:[Hour]]&gt;=BR$2),1,0)</f>
        <v>0</v>
      </c>
      <c r="BS52" s="276" cm="1">
        <f t="array" ref="BS52">IF(AND(BS$2&lt;&gt;0,TblTech[[#This Row],[Hour]:[Hour]]&gt;=BS$2),1,0)</f>
        <v>0</v>
      </c>
      <c r="BT52" s="276" cm="1">
        <f t="array" ref="BT52">IF(AND(BT$2&lt;&gt;0,TblTech[[#This Row],[Hour]:[Hour]]&gt;=BT$2),1,0)</f>
        <v>0</v>
      </c>
      <c r="BU52" s="276" cm="1">
        <f t="array" ref="BU52">IF(AND(BU$2&lt;&gt;0,TblTech[[#This Row],[Hour]:[Hour]]&gt;=BU$2),1,0)</f>
        <v>0</v>
      </c>
      <c r="BV52" s="276" cm="1">
        <f t="array" ref="BV52">IF(AND(BV$2&lt;&gt;0,TblTech[[#This Row],[Hour]:[Hour]]&gt;=BV$2),1,0)</f>
        <v>0</v>
      </c>
      <c r="BW52" s="276" cm="1">
        <f t="array" ref="BW52">IF(AND(BW$2&lt;&gt;0,TblTech[[#This Row],[Hour]:[Hour]]&gt;=BW$2),1,0)</f>
        <v>0</v>
      </c>
      <c r="BX52" s="276" cm="1">
        <f t="array" ref="BX52">IF(AND(BX$2&lt;&gt;0,TblTech[[#This Row],[Hour]:[Hour]]&gt;=BX$2),1,0)</f>
        <v>0</v>
      </c>
      <c r="BY52" s="276" cm="1">
        <f t="array" ref="BY52">IF(AND(BY$2&lt;&gt;0,TblTech[[#This Row],[Hour]:[Hour]]&gt;=BY$2),1,0)</f>
        <v>0</v>
      </c>
      <c r="BZ52" s="276" cm="1">
        <f t="array" ref="BZ52">IF(AND(BZ$2&lt;&gt;0,TblTech[[#This Row],[Hour]:[Hour]]&gt;=BZ$2),1,0)</f>
        <v>0</v>
      </c>
      <c r="CA52" s="377">
        <f>IFERROR(INDEX($H$4:$H$79,MATCH(INDEX(TblTech[[#Headers],[1-1]:[11-1]],1,MATCH(TblTech[[#This Row],[Hour]],$M$2:$BZ$2,0)),$G$4:$G$79,0)),)</f>
        <v>0</v>
      </c>
    </row>
    <row r="53" spans="1:79" x14ac:dyDescent="0.2">
      <c r="A53" s="268">
        <f>TblRezone[[#This Row],[Hour]]</f>
        <v>50</v>
      </c>
      <c r="B53" s="269">
        <f ca="1">TblExplore[[#This Row],[Land-DB]]</f>
        <v>50</v>
      </c>
      <c r="C53" s="270">
        <f ca="1">TblProd[[#This Row],[Techpoints]]</f>
        <v>0</v>
      </c>
      <c r="D53" s="270">
        <f ca="1">TblProd[[#This Row],[Required]]</f>
        <v>3750</v>
      </c>
      <c r="E53" s="271"/>
      <c r="F53" s="272"/>
      <c r="G53" s="273"/>
      <c r="H53" s="274"/>
      <c r="I53" s="273"/>
      <c r="J53" s="269"/>
      <c r="K53" s="93">
        <f ca="1">IF(TblTech[[#This Row],[Sum of tech]]&lt;&gt;OFFSET(TblTech[[#This Row],[Sum of tech]],-1,0),1,0)</f>
        <v>0</v>
      </c>
      <c r="L53" s="275">
        <f>COUNTIF(TblTech[[#This Row],[1-1]:[11-1]],1)</f>
        <v>0</v>
      </c>
      <c r="M53" s="276" cm="1">
        <f t="array" ref="M53">IF(AND(M$2&lt;&gt;0,TblTech[[#This Row],[Hour]:[Hour]]&gt;=M$2),1,0)</f>
        <v>0</v>
      </c>
      <c r="N53" s="276" cm="1">
        <f t="array" ref="N53">IF(AND(N$2&lt;&gt;0,TblTech[[#This Row],[Hour]:[Hour]]&gt;=N$2),1,0)</f>
        <v>0</v>
      </c>
      <c r="O53" s="276" cm="1">
        <f t="array" ref="O53">IF(AND(O$2&lt;&gt;0,TblTech[[#This Row],[Hour]:[Hour]]&gt;=O$2),1,0)</f>
        <v>0</v>
      </c>
      <c r="P53" s="276" cm="1">
        <f t="array" ref="P53">IF(AND(P$2&lt;&gt;0,TblTech[[#This Row],[Hour]:[Hour]]&gt;=P$2),1,0)</f>
        <v>0</v>
      </c>
      <c r="Q53" s="276" cm="1">
        <f t="array" ref="Q53">IF(AND(Q$2&lt;&gt;0,TblTech[[#This Row],[Hour]:[Hour]]&gt;=Q$2),1,0)</f>
        <v>0</v>
      </c>
      <c r="R53" s="276" cm="1">
        <f t="array" ref="R53">IF(AND(R$2&lt;&gt;0,TblTech[[#This Row],[Hour]:[Hour]]&gt;=R$2),1,0)</f>
        <v>0</v>
      </c>
      <c r="S53" s="276" cm="1">
        <f t="array" ref="S53">IF(AND(S$2&lt;&gt;0,TblTech[[#This Row],[Hour]:[Hour]]&gt;=S$2),1,0)</f>
        <v>0</v>
      </c>
      <c r="T53" s="276" cm="1">
        <f t="array" ref="T53">IF(AND(T$2&lt;&gt;0,TblTech[[#This Row],[Hour]:[Hour]]&gt;=T$2),1,0)</f>
        <v>0</v>
      </c>
      <c r="U53" s="276" cm="1">
        <f t="array" ref="U53">IF(AND(U$2&lt;&gt;0,TblTech[[#This Row],[Hour]:[Hour]]&gt;=U$2),1,0)</f>
        <v>0</v>
      </c>
      <c r="V53" s="276" cm="1">
        <f t="array" ref="V53">IF(AND(V$2&lt;&gt;0,TblTech[[#This Row],[Hour]:[Hour]]&gt;=V$2),1,0)</f>
        <v>0</v>
      </c>
      <c r="W53" s="276" cm="1">
        <f t="array" ref="W53">IF(AND(W$2&lt;&gt;0,TblTech[[#This Row],[Hour]:[Hour]]&gt;=W$2),1,0)</f>
        <v>0</v>
      </c>
      <c r="X53" s="276" cm="1">
        <f t="array" ref="X53">IF(AND(X$2&lt;&gt;0,TblTech[[#This Row],[Hour]:[Hour]]&gt;=X$2),1,0)</f>
        <v>0</v>
      </c>
      <c r="Y53" s="276" cm="1">
        <f t="array" ref="Y53">IF(AND(Y$2&lt;&gt;0,TblTech[[#This Row],[Hour]:[Hour]]&gt;=Y$2),1,0)</f>
        <v>0</v>
      </c>
      <c r="Z53" s="276" cm="1">
        <f t="array" ref="Z53">IF(AND(Z$2&lt;&gt;0,TblTech[[#This Row],[Hour]:[Hour]]&gt;=Z$2),1,0)</f>
        <v>0</v>
      </c>
      <c r="AA53" s="276" cm="1">
        <f t="array" ref="AA53">IF(AND(AA$2&lt;&gt;0,TblTech[[#This Row],[Hour]:[Hour]]&gt;=AA$2),1,0)</f>
        <v>0</v>
      </c>
      <c r="AB53" s="276" cm="1">
        <f t="array" ref="AB53">IF(AND(AB$2&lt;&gt;0,TblTech[[#This Row],[Hour]:[Hour]]&gt;=AB$2),1,0)</f>
        <v>0</v>
      </c>
      <c r="AC53" s="276" cm="1">
        <f t="array" ref="AC53">IF(AND(AC$2&lt;&gt;0,TblTech[[#This Row],[Hour]:[Hour]]&gt;=AC$2),1,0)</f>
        <v>0</v>
      </c>
      <c r="AD53" s="276" cm="1">
        <f t="array" ref="AD53">IF(AND(AD$2&lt;&gt;0,TblTech[[#This Row],[Hour]:[Hour]]&gt;=AD$2),1,0)</f>
        <v>0</v>
      </c>
      <c r="AE53" s="276" cm="1">
        <f t="array" ref="AE53">IF(AND(AE$2&lt;&gt;0,TblTech[[#This Row],[Hour]:[Hour]]&gt;=AE$2),1,0)</f>
        <v>0</v>
      </c>
      <c r="AF53" s="276" cm="1">
        <f t="array" ref="AF53">IF(AND(AF$2&lt;&gt;0,TblTech[[#This Row],[Hour]:[Hour]]&gt;=AF$2),1,0)</f>
        <v>0</v>
      </c>
      <c r="AG53" s="276" cm="1">
        <f t="array" ref="AG53">IF(AND(AG$2&lt;&gt;0,TblTech[[#This Row],[Hour]:[Hour]]&gt;=AG$2),1,0)</f>
        <v>0</v>
      </c>
      <c r="AH53" s="276" cm="1">
        <f t="array" ref="AH53">IF(AND(AH$2&lt;&gt;0,TblTech[[#This Row],[Hour]:[Hour]]&gt;=AH$2),1,0)</f>
        <v>0</v>
      </c>
      <c r="AI53" s="276" cm="1">
        <f t="array" ref="AI53">IF(AND(AI$2&lt;&gt;0,TblTech[[#This Row],[Hour]:[Hour]]&gt;=AI$2),1,0)</f>
        <v>0</v>
      </c>
      <c r="AJ53" s="276" cm="1">
        <f t="array" ref="AJ53">IF(AND(AJ$2&lt;&gt;0,TblTech[[#This Row],[Hour]:[Hour]]&gt;=AJ$2),1,0)</f>
        <v>0</v>
      </c>
      <c r="AK53" s="276" cm="1">
        <f t="array" ref="AK53">IF(AND(AK$2&lt;&gt;0,TblTech[[#This Row],[Hour]:[Hour]]&gt;=AK$2),1,0)</f>
        <v>0</v>
      </c>
      <c r="AL53" s="276" cm="1">
        <f t="array" ref="AL53">IF(AND(AL$2&lt;&gt;0,TblTech[[#This Row],[Hour]:[Hour]]&gt;=AL$2),1,0)</f>
        <v>0</v>
      </c>
      <c r="AM53" s="276" cm="1">
        <f t="array" ref="AM53">IF(AND(AM$2&lt;&gt;0,TblTech[[#This Row],[Hour]:[Hour]]&gt;=AM$2),1,0)</f>
        <v>0</v>
      </c>
      <c r="AN53" s="276" cm="1">
        <f t="array" ref="AN53">IF(AND(AN$2&lt;&gt;0,TblTech[[#This Row],[Hour]:[Hour]]&gt;=AN$2),1,0)</f>
        <v>0</v>
      </c>
      <c r="AO53" s="276" cm="1">
        <f t="array" ref="AO53">IF(AND(AO$2&lt;&gt;0,TblTech[[#This Row],[Hour]:[Hour]]&gt;=AO$2),1,0)</f>
        <v>0</v>
      </c>
      <c r="AP53" s="276" cm="1">
        <f t="array" ref="AP53">IF(AND(AP$2&lt;&gt;0,TblTech[[#This Row],[Hour]:[Hour]]&gt;=AP$2),1,0)</f>
        <v>0</v>
      </c>
      <c r="AQ53" s="276" cm="1">
        <f t="array" ref="AQ53">IF(AND(AQ$2&lt;&gt;0,TblTech[[#This Row],[Hour]:[Hour]]&gt;=AQ$2),1,0)</f>
        <v>0</v>
      </c>
      <c r="AR53" s="276" cm="1">
        <f t="array" ref="AR53">IF(AND(AR$2&lt;&gt;0,TblTech[[#This Row],[Hour]:[Hour]]&gt;=AR$2),1,0)</f>
        <v>0</v>
      </c>
      <c r="AS53" s="276" cm="1">
        <f t="array" ref="AS53">IF(AND(AS$2&lt;&gt;0,TblTech[[#This Row],[Hour]:[Hour]]&gt;=AS$2),1,0)</f>
        <v>0</v>
      </c>
      <c r="AT53" s="276" cm="1">
        <f t="array" ref="AT53">IF(AND(AT$2&lt;&gt;0,TblTech[[#This Row],[Hour]:[Hour]]&gt;=AT$2),1,0)</f>
        <v>0</v>
      </c>
      <c r="AU53" s="276" cm="1">
        <f t="array" ref="AU53">IF(AND(AU$2&lt;&gt;0,TblTech[[#This Row],[Hour]:[Hour]]&gt;=AU$2),1,0)</f>
        <v>0</v>
      </c>
      <c r="AV53" s="276" cm="1">
        <f t="array" ref="AV53">IF(AND(AV$2&lt;&gt;0,TblTech[[#This Row],[Hour]:[Hour]]&gt;=AV$2),1,0)</f>
        <v>0</v>
      </c>
      <c r="AW53" s="276" cm="1">
        <f t="array" ref="AW53">IF(AND(AW$2&lt;&gt;0,TblTech[[#This Row],[Hour]:[Hour]]&gt;=AW$2),1,0)</f>
        <v>0</v>
      </c>
      <c r="AX53" s="276" cm="1">
        <f t="array" ref="AX53">IF(AND(AX$2&lt;&gt;0,TblTech[[#This Row],[Hour]:[Hour]]&gt;=AX$2),1,0)</f>
        <v>0</v>
      </c>
      <c r="AY53" s="276" cm="1">
        <f t="array" ref="AY53">IF(AND(AY$2&lt;&gt;0,TblTech[[#This Row],[Hour]:[Hour]]&gt;=AY$2),1,0)</f>
        <v>0</v>
      </c>
      <c r="AZ53" s="276" cm="1">
        <f t="array" ref="AZ53">IF(AND(AZ$2&lt;&gt;0,TblTech[[#This Row],[Hour]:[Hour]]&gt;=AZ$2),1,0)</f>
        <v>0</v>
      </c>
      <c r="BA53" s="276" cm="1">
        <f t="array" ref="BA53">IF(AND(BA$2&lt;&gt;0,TblTech[[#This Row],[Hour]:[Hour]]&gt;=BA$2),1,0)</f>
        <v>0</v>
      </c>
      <c r="BB53" s="276" cm="1">
        <f t="array" ref="BB53">IF(AND(BB$2&lt;&gt;0,TblTech[[#This Row],[Hour]:[Hour]]&gt;=BB$2),1,0)</f>
        <v>0</v>
      </c>
      <c r="BC53" s="276" cm="1">
        <f t="array" ref="BC53">IF(AND(BC$2&lt;&gt;0,TblTech[[#This Row],[Hour]:[Hour]]&gt;=BC$2),1,0)</f>
        <v>0</v>
      </c>
      <c r="BD53" s="276" cm="1">
        <f t="array" ref="BD53">IF(AND(BD$2&lt;&gt;0,TblTech[[#This Row],[Hour]:[Hour]]&gt;=BD$2),1,0)</f>
        <v>0</v>
      </c>
      <c r="BE53" s="276" cm="1">
        <f t="array" ref="BE53">IF(AND(BE$2&lt;&gt;0,TblTech[[#This Row],[Hour]:[Hour]]&gt;=BE$2),1,0)</f>
        <v>0</v>
      </c>
      <c r="BF53" s="276" cm="1">
        <f t="array" ref="BF53">IF(AND(BF$2&lt;&gt;0,TblTech[[#This Row],[Hour]:[Hour]]&gt;=BF$2),1,0)</f>
        <v>0</v>
      </c>
      <c r="BG53" s="276" cm="1">
        <f t="array" ref="BG53">IF(AND(BG$2&lt;&gt;0,TblTech[[#This Row],[Hour]:[Hour]]&gt;=BG$2),1,0)</f>
        <v>0</v>
      </c>
      <c r="BH53" s="276" cm="1">
        <f t="array" ref="BH53">IF(AND(BH$2&lt;&gt;0,TblTech[[#This Row],[Hour]:[Hour]]&gt;=BH$2),1,0)</f>
        <v>0</v>
      </c>
      <c r="BI53" s="276" cm="1">
        <f t="array" ref="BI53">IF(AND(BI$2&lt;&gt;0,TblTech[[#This Row],[Hour]:[Hour]]&gt;=BI$2),1,0)</f>
        <v>0</v>
      </c>
      <c r="BJ53" s="276" cm="1">
        <f t="array" ref="BJ53">IF(AND(BJ$2&lt;&gt;0,TblTech[[#This Row],[Hour]:[Hour]]&gt;=BJ$2),1,0)</f>
        <v>0</v>
      </c>
      <c r="BK53" s="276" cm="1">
        <f t="array" ref="BK53">IF(AND(BK$2&lt;&gt;0,TblTech[[#This Row],[Hour]:[Hour]]&gt;=BK$2),1,0)</f>
        <v>0</v>
      </c>
      <c r="BL53" s="276" cm="1">
        <f t="array" ref="BL53">IF(AND(BL$2&lt;&gt;0,TblTech[[#This Row],[Hour]:[Hour]]&gt;=BL$2),1,0)</f>
        <v>0</v>
      </c>
      <c r="BM53" s="276" cm="1">
        <f t="array" ref="BM53">IF(AND(BM$2&lt;&gt;0,TblTech[[#This Row],[Hour]:[Hour]]&gt;=BM$2),1,0)</f>
        <v>0</v>
      </c>
      <c r="BN53" s="276" cm="1">
        <f t="array" ref="BN53">IF(AND(BN$2&lt;&gt;0,TblTech[[#This Row],[Hour]:[Hour]]&gt;=BN$2),1,0)</f>
        <v>0</v>
      </c>
      <c r="BO53" s="276" cm="1">
        <f t="array" ref="BO53">IF(AND(BO$2&lt;&gt;0,TblTech[[#This Row],[Hour]:[Hour]]&gt;=BO$2),1,0)</f>
        <v>0</v>
      </c>
      <c r="BP53" s="276" cm="1">
        <f t="array" ref="BP53">IF(AND(BP$2&lt;&gt;0,TblTech[[#This Row],[Hour]:[Hour]]&gt;=BP$2),1,0)</f>
        <v>0</v>
      </c>
      <c r="BQ53" s="276" cm="1">
        <f t="array" ref="BQ53">IF(AND(BQ$2&lt;&gt;0,TblTech[[#This Row],[Hour]:[Hour]]&gt;=BQ$2),1,0)</f>
        <v>0</v>
      </c>
      <c r="BR53" s="276" cm="1">
        <f t="array" ref="BR53">IF(AND(BR$2&lt;&gt;0,TblTech[[#This Row],[Hour]:[Hour]]&gt;=BR$2),1,0)</f>
        <v>0</v>
      </c>
      <c r="BS53" s="276" cm="1">
        <f t="array" ref="BS53">IF(AND(BS$2&lt;&gt;0,TblTech[[#This Row],[Hour]:[Hour]]&gt;=BS$2),1,0)</f>
        <v>0</v>
      </c>
      <c r="BT53" s="276" cm="1">
        <f t="array" ref="BT53">IF(AND(BT$2&lt;&gt;0,TblTech[[#This Row],[Hour]:[Hour]]&gt;=BT$2),1,0)</f>
        <v>0</v>
      </c>
      <c r="BU53" s="276" cm="1">
        <f t="array" ref="BU53">IF(AND(BU$2&lt;&gt;0,TblTech[[#This Row],[Hour]:[Hour]]&gt;=BU$2),1,0)</f>
        <v>0</v>
      </c>
      <c r="BV53" s="276" cm="1">
        <f t="array" ref="BV53">IF(AND(BV$2&lt;&gt;0,TblTech[[#This Row],[Hour]:[Hour]]&gt;=BV$2),1,0)</f>
        <v>0</v>
      </c>
      <c r="BW53" s="276" cm="1">
        <f t="array" ref="BW53">IF(AND(BW$2&lt;&gt;0,TblTech[[#This Row],[Hour]:[Hour]]&gt;=BW$2),1,0)</f>
        <v>0</v>
      </c>
      <c r="BX53" s="276" cm="1">
        <f t="array" ref="BX53">IF(AND(BX$2&lt;&gt;0,TblTech[[#This Row],[Hour]:[Hour]]&gt;=BX$2),1,0)</f>
        <v>0</v>
      </c>
      <c r="BY53" s="276" cm="1">
        <f t="array" ref="BY53">IF(AND(BY$2&lt;&gt;0,TblTech[[#This Row],[Hour]:[Hour]]&gt;=BY$2),1,0)</f>
        <v>0</v>
      </c>
      <c r="BZ53" s="276" cm="1">
        <f t="array" ref="BZ53">IF(AND(BZ$2&lt;&gt;0,TblTech[[#This Row],[Hour]:[Hour]]&gt;=BZ$2),1,0)</f>
        <v>0</v>
      </c>
      <c r="CA53" s="377">
        <f>IFERROR(INDEX($H$4:$H$79,MATCH(INDEX(TblTech[[#Headers],[1-1]:[11-1]],1,MATCH(TblTech[[#This Row],[Hour]],$M$2:$BZ$2,0)),$G$4:$G$79,0)),)</f>
        <v>0</v>
      </c>
    </row>
    <row r="54" spans="1:79" x14ac:dyDescent="0.2">
      <c r="A54" s="268">
        <f>TblRezone[[#This Row],[Hour]]</f>
        <v>51</v>
      </c>
      <c r="B54" s="269">
        <f ca="1">TblExplore[[#This Row],[Land-DB]]</f>
        <v>50</v>
      </c>
      <c r="C54" s="270">
        <f ca="1">TblProd[[#This Row],[Techpoints]]</f>
        <v>0</v>
      </c>
      <c r="D54" s="270">
        <f ca="1">TblProd[[#This Row],[Required]]</f>
        <v>3750</v>
      </c>
      <c r="E54" s="271"/>
      <c r="F54" s="272"/>
      <c r="G54" s="273" t="s">
        <v>592</v>
      </c>
      <c r="H54" s="274" t="s">
        <v>716</v>
      </c>
      <c r="I54" s="273" t="s">
        <v>560</v>
      </c>
      <c r="J54" s="269"/>
      <c r="K54" s="93">
        <f ca="1">IF(TblTech[[#This Row],[Sum of tech]]&lt;&gt;OFFSET(TblTech[[#This Row],[Sum of tech]],-1,0),1,0)</f>
        <v>0</v>
      </c>
      <c r="L54" s="275">
        <f>COUNTIF(TblTech[[#This Row],[1-1]:[11-1]],1)</f>
        <v>0</v>
      </c>
      <c r="M54" s="276" cm="1">
        <f t="array" ref="M54">IF(AND(M$2&lt;&gt;0,TblTech[[#This Row],[Hour]:[Hour]]&gt;=M$2),1,0)</f>
        <v>0</v>
      </c>
      <c r="N54" s="276" cm="1">
        <f t="array" ref="N54">IF(AND(N$2&lt;&gt;0,TblTech[[#This Row],[Hour]:[Hour]]&gt;=N$2),1,0)</f>
        <v>0</v>
      </c>
      <c r="O54" s="276" cm="1">
        <f t="array" ref="O54">IF(AND(O$2&lt;&gt;0,TblTech[[#This Row],[Hour]:[Hour]]&gt;=O$2),1,0)</f>
        <v>0</v>
      </c>
      <c r="P54" s="276" cm="1">
        <f t="array" ref="P54">IF(AND(P$2&lt;&gt;0,TblTech[[#This Row],[Hour]:[Hour]]&gt;=P$2),1,0)</f>
        <v>0</v>
      </c>
      <c r="Q54" s="276" cm="1">
        <f t="array" ref="Q54">IF(AND(Q$2&lt;&gt;0,TblTech[[#This Row],[Hour]:[Hour]]&gt;=Q$2),1,0)</f>
        <v>0</v>
      </c>
      <c r="R54" s="276" cm="1">
        <f t="array" ref="R54">IF(AND(R$2&lt;&gt;0,TblTech[[#This Row],[Hour]:[Hour]]&gt;=R$2),1,0)</f>
        <v>0</v>
      </c>
      <c r="S54" s="276" cm="1">
        <f t="array" ref="S54">IF(AND(S$2&lt;&gt;0,TblTech[[#This Row],[Hour]:[Hour]]&gt;=S$2),1,0)</f>
        <v>0</v>
      </c>
      <c r="T54" s="276" cm="1">
        <f t="array" ref="T54">IF(AND(T$2&lt;&gt;0,TblTech[[#This Row],[Hour]:[Hour]]&gt;=T$2),1,0)</f>
        <v>0</v>
      </c>
      <c r="U54" s="276" cm="1">
        <f t="array" ref="U54">IF(AND(U$2&lt;&gt;0,TblTech[[#This Row],[Hour]:[Hour]]&gt;=U$2),1,0)</f>
        <v>0</v>
      </c>
      <c r="V54" s="276" cm="1">
        <f t="array" ref="V54">IF(AND(V$2&lt;&gt;0,TblTech[[#This Row],[Hour]:[Hour]]&gt;=V$2),1,0)</f>
        <v>0</v>
      </c>
      <c r="W54" s="276" cm="1">
        <f t="array" ref="W54">IF(AND(W$2&lt;&gt;0,TblTech[[#This Row],[Hour]:[Hour]]&gt;=W$2),1,0)</f>
        <v>0</v>
      </c>
      <c r="X54" s="276" cm="1">
        <f t="array" ref="X54">IF(AND(X$2&lt;&gt;0,TblTech[[#This Row],[Hour]:[Hour]]&gt;=X$2),1,0)</f>
        <v>0</v>
      </c>
      <c r="Y54" s="276" cm="1">
        <f t="array" ref="Y54">IF(AND(Y$2&lt;&gt;0,TblTech[[#This Row],[Hour]:[Hour]]&gt;=Y$2),1,0)</f>
        <v>0</v>
      </c>
      <c r="Z54" s="276" cm="1">
        <f t="array" ref="Z54">IF(AND(Z$2&lt;&gt;0,TblTech[[#This Row],[Hour]:[Hour]]&gt;=Z$2),1,0)</f>
        <v>0</v>
      </c>
      <c r="AA54" s="276" cm="1">
        <f t="array" ref="AA54">IF(AND(AA$2&lt;&gt;0,TblTech[[#This Row],[Hour]:[Hour]]&gt;=AA$2),1,0)</f>
        <v>0</v>
      </c>
      <c r="AB54" s="276" cm="1">
        <f t="array" ref="AB54">IF(AND(AB$2&lt;&gt;0,TblTech[[#This Row],[Hour]:[Hour]]&gt;=AB$2),1,0)</f>
        <v>0</v>
      </c>
      <c r="AC54" s="276" cm="1">
        <f t="array" ref="AC54">IF(AND(AC$2&lt;&gt;0,TblTech[[#This Row],[Hour]:[Hour]]&gt;=AC$2),1,0)</f>
        <v>0</v>
      </c>
      <c r="AD54" s="276" cm="1">
        <f t="array" ref="AD54">IF(AND(AD$2&lt;&gt;0,TblTech[[#This Row],[Hour]:[Hour]]&gt;=AD$2),1,0)</f>
        <v>0</v>
      </c>
      <c r="AE54" s="276" cm="1">
        <f t="array" ref="AE54">IF(AND(AE$2&lt;&gt;0,TblTech[[#This Row],[Hour]:[Hour]]&gt;=AE$2),1,0)</f>
        <v>0</v>
      </c>
      <c r="AF54" s="276" cm="1">
        <f t="array" ref="AF54">IF(AND(AF$2&lt;&gt;0,TblTech[[#This Row],[Hour]:[Hour]]&gt;=AF$2),1,0)</f>
        <v>0</v>
      </c>
      <c r="AG54" s="276" cm="1">
        <f t="array" ref="AG54">IF(AND(AG$2&lt;&gt;0,TblTech[[#This Row],[Hour]:[Hour]]&gt;=AG$2),1,0)</f>
        <v>0</v>
      </c>
      <c r="AH54" s="276" cm="1">
        <f t="array" ref="AH54">IF(AND(AH$2&lt;&gt;0,TblTech[[#This Row],[Hour]:[Hour]]&gt;=AH$2),1,0)</f>
        <v>0</v>
      </c>
      <c r="AI54" s="276" cm="1">
        <f t="array" ref="AI54">IF(AND(AI$2&lt;&gt;0,TblTech[[#This Row],[Hour]:[Hour]]&gt;=AI$2),1,0)</f>
        <v>0</v>
      </c>
      <c r="AJ54" s="276" cm="1">
        <f t="array" ref="AJ54">IF(AND(AJ$2&lt;&gt;0,TblTech[[#This Row],[Hour]:[Hour]]&gt;=AJ$2),1,0)</f>
        <v>0</v>
      </c>
      <c r="AK54" s="276" cm="1">
        <f t="array" ref="AK54">IF(AND(AK$2&lt;&gt;0,TblTech[[#This Row],[Hour]:[Hour]]&gt;=AK$2),1,0)</f>
        <v>0</v>
      </c>
      <c r="AL54" s="276" cm="1">
        <f t="array" ref="AL54">IF(AND(AL$2&lt;&gt;0,TblTech[[#This Row],[Hour]:[Hour]]&gt;=AL$2),1,0)</f>
        <v>0</v>
      </c>
      <c r="AM54" s="276" cm="1">
        <f t="array" ref="AM54">IF(AND(AM$2&lt;&gt;0,TblTech[[#This Row],[Hour]:[Hour]]&gt;=AM$2),1,0)</f>
        <v>0</v>
      </c>
      <c r="AN54" s="276" cm="1">
        <f t="array" ref="AN54">IF(AND(AN$2&lt;&gt;0,TblTech[[#This Row],[Hour]:[Hour]]&gt;=AN$2),1,0)</f>
        <v>0</v>
      </c>
      <c r="AO54" s="276" cm="1">
        <f t="array" ref="AO54">IF(AND(AO$2&lt;&gt;0,TblTech[[#This Row],[Hour]:[Hour]]&gt;=AO$2),1,0)</f>
        <v>0</v>
      </c>
      <c r="AP54" s="276" cm="1">
        <f t="array" ref="AP54">IF(AND(AP$2&lt;&gt;0,TblTech[[#This Row],[Hour]:[Hour]]&gt;=AP$2),1,0)</f>
        <v>0</v>
      </c>
      <c r="AQ54" s="276" cm="1">
        <f t="array" ref="AQ54">IF(AND(AQ$2&lt;&gt;0,TblTech[[#This Row],[Hour]:[Hour]]&gt;=AQ$2),1,0)</f>
        <v>0</v>
      </c>
      <c r="AR54" s="276" cm="1">
        <f t="array" ref="AR54">IF(AND(AR$2&lt;&gt;0,TblTech[[#This Row],[Hour]:[Hour]]&gt;=AR$2),1,0)</f>
        <v>0</v>
      </c>
      <c r="AS54" s="276" cm="1">
        <f t="array" ref="AS54">IF(AND(AS$2&lt;&gt;0,TblTech[[#This Row],[Hour]:[Hour]]&gt;=AS$2),1,0)</f>
        <v>0</v>
      </c>
      <c r="AT54" s="276" cm="1">
        <f t="array" ref="AT54">IF(AND(AT$2&lt;&gt;0,TblTech[[#This Row],[Hour]:[Hour]]&gt;=AT$2),1,0)</f>
        <v>0</v>
      </c>
      <c r="AU54" s="276" cm="1">
        <f t="array" ref="AU54">IF(AND(AU$2&lt;&gt;0,TblTech[[#This Row],[Hour]:[Hour]]&gt;=AU$2),1,0)</f>
        <v>0</v>
      </c>
      <c r="AV54" s="276" cm="1">
        <f t="array" ref="AV54">IF(AND(AV$2&lt;&gt;0,TblTech[[#This Row],[Hour]:[Hour]]&gt;=AV$2),1,0)</f>
        <v>0</v>
      </c>
      <c r="AW54" s="276" cm="1">
        <f t="array" ref="AW54">IF(AND(AW$2&lt;&gt;0,TblTech[[#This Row],[Hour]:[Hour]]&gt;=AW$2),1,0)</f>
        <v>0</v>
      </c>
      <c r="AX54" s="276" cm="1">
        <f t="array" ref="AX54">IF(AND(AX$2&lt;&gt;0,TblTech[[#This Row],[Hour]:[Hour]]&gt;=AX$2),1,0)</f>
        <v>0</v>
      </c>
      <c r="AY54" s="276" cm="1">
        <f t="array" ref="AY54">IF(AND(AY$2&lt;&gt;0,TblTech[[#This Row],[Hour]:[Hour]]&gt;=AY$2),1,0)</f>
        <v>0</v>
      </c>
      <c r="AZ54" s="276" cm="1">
        <f t="array" ref="AZ54">IF(AND(AZ$2&lt;&gt;0,TblTech[[#This Row],[Hour]:[Hour]]&gt;=AZ$2),1,0)</f>
        <v>0</v>
      </c>
      <c r="BA54" s="276" cm="1">
        <f t="array" ref="BA54">IF(AND(BA$2&lt;&gt;0,TblTech[[#This Row],[Hour]:[Hour]]&gt;=BA$2),1,0)</f>
        <v>0</v>
      </c>
      <c r="BB54" s="276" cm="1">
        <f t="array" ref="BB54">IF(AND(BB$2&lt;&gt;0,TblTech[[#This Row],[Hour]:[Hour]]&gt;=BB$2),1,0)</f>
        <v>0</v>
      </c>
      <c r="BC54" s="276" cm="1">
        <f t="array" ref="BC54">IF(AND(BC$2&lt;&gt;0,TblTech[[#This Row],[Hour]:[Hour]]&gt;=BC$2),1,0)</f>
        <v>0</v>
      </c>
      <c r="BD54" s="276" cm="1">
        <f t="array" ref="BD54">IF(AND(BD$2&lt;&gt;0,TblTech[[#This Row],[Hour]:[Hour]]&gt;=BD$2),1,0)</f>
        <v>0</v>
      </c>
      <c r="BE54" s="276" cm="1">
        <f t="array" ref="BE54">IF(AND(BE$2&lt;&gt;0,TblTech[[#This Row],[Hour]:[Hour]]&gt;=BE$2),1,0)</f>
        <v>0</v>
      </c>
      <c r="BF54" s="276" cm="1">
        <f t="array" ref="BF54">IF(AND(BF$2&lt;&gt;0,TblTech[[#This Row],[Hour]:[Hour]]&gt;=BF$2),1,0)</f>
        <v>0</v>
      </c>
      <c r="BG54" s="276" cm="1">
        <f t="array" ref="BG54">IF(AND(BG$2&lt;&gt;0,TblTech[[#This Row],[Hour]:[Hour]]&gt;=BG$2),1,0)</f>
        <v>0</v>
      </c>
      <c r="BH54" s="276" cm="1">
        <f t="array" ref="BH54">IF(AND(BH$2&lt;&gt;0,TblTech[[#This Row],[Hour]:[Hour]]&gt;=BH$2),1,0)</f>
        <v>0</v>
      </c>
      <c r="BI54" s="276" cm="1">
        <f t="array" ref="BI54">IF(AND(BI$2&lt;&gt;0,TblTech[[#This Row],[Hour]:[Hour]]&gt;=BI$2),1,0)</f>
        <v>0</v>
      </c>
      <c r="BJ54" s="276" cm="1">
        <f t="array" ref="BJ54">IF(AND(BJ$2&lt;&gt;0,TblTech[[#This Row],[Hour]:[Hour]]&gt;=BJ$2),1,0)</f>
        <v>0</v>
      </c>
      <c r="BK54" s="276" cm="1">
        <f t="array" ref="BK54">IF(AND(BK$2&lt;&gt;0,TblTech[[#This Row],[Hour]:[Hour]]&gt;=BK$2),1,0)</f>
        <v>0</v>
      </c>
      <c r="BL54" s="276" cm="1">
        <f t="array" ref="BL54">IF(AND(BL$2&lt;&gt;0,TblTech[[#This Row],[Hour]:[Hour]]&gt;=BL$2),1,0)</f>
        <v>0</v>
      </c>
      <c r="BM54" s="276" cm="1">
        <f t="array" ref="BM54">IF(AND(BM$2&lt;&gt;0,TblTech[[#This Row],[Hour]:[Hour]]&gt;=BM$2),1,0)</f>
        <v>0</v>
      </c>
      <c r="BN54" s="276" cm="1">
        <f t="array" ref="BN54">IF(AND(BN$2&lt;&gt;0,TblTech[[#This Row],[Hour]:[Hour]]&gt;=BN$2),1,0)</f>
        <v>0</v>
      </c>
      <c r="BO54" s="276" cm="1">
        <f t="array" ref="BO54">IF(AND(BO$2&lt;&gt;0,TblTech[[#This Row],[Hour]:[Hour]]&gt;=BO$2),1,0)</f>
        <v>0</v>
      </c>
      <c r="BP54" s="276" cm="1">
        <f t="array" ref="BP54">IF(AND(BP$2&lt;&gt;0,TblTech[[#This Row],[Hour]:[Hour]]&gt;=BP$2),1,0)</f>
        <v>0</v>
      </c>
      <c r="BQ54" s="276" cm="1">
        <f t="array" ref="BQ54">IF(AND(BQ$2&lt;&gt;0,TblTech[[#This Row],[Hour]:[Hour]]&gt;=BQ$2),1,0)</f>
        <v>0</v>
      </c>
      <c r="BR54" s="276" cm="1">
        <f t="array" ref="BR54">IF(AND(BR$2&lt;&gt;0,TblTech[[#This Row],[Hour]:[Hour]]&gt;=BR$2),1,0)</f>
        <v>0</v>
      </c>
      <c r="BS54" s="276" cm="1">
        <f t="array" ref="BS54">IF(AND(BS$2&lt;&gt;0,TblTech[[#This Row],[Hour]:[Hour]]&gt;=BS$2),1,0)</f>
        <v>0</v>
      </c>
      <c r="BT54" s="276" cm="1">
        <f t="array" ref="BT54">IF(AND(BT$2&lt;&gt;0,TblTech[[#This Row],[Hour]:[Hour]]&gt;=BT$2),1,0)</f>
        <v>0</v>
      </c>
      <c r="BU54" s="276" cm="1">
        <f t="array" ref="BU54">IF(AND(BU$2&lt;&gt;0,TblTech[[#This Row],[Hour]:[Hour]]&gt;=BU$2),1,0)</f>
        <v>0</v>
      </c>
      <c r="BV54" s="276" cm="1">
        <f t="array" ref="BV54">IF(AND(BV$2&lt;&gt;0,TblTech[[#This Row],[Hour]:[Hour]]&gt;=BV$2),1,0)</f>
        <v>0</v>
      </c>
      <c r="BW54" s="276" cm="1">
        <f t="array" ref="BW54">IF(AND(BW$2&lt;&gt;0,TblTech[[#This Row],[Hour]:[Hour]]&gt;=BW$2),1,0)</f>
        <v>0</v>
      </c>
      <c r="BX54" s="276" cm="1">
        <f t="array" ref="BX54">IF(AND(BX$2&lt;&gt;0,TblTech[[#This Row],[Hour]:[Hour]]&gt;=BX$2),1,0)</f>
        <v>0</v>
      </c>
      <c r="BY54" s="276" cm="1">
        <f t="array" ref="BY54">IF(AND(BY$2&lt;&gt;0,TblTech[[#This Row],[Hour]:[Hour]]&gt;=BY$2),1,0)</f>
        <v>0</v>
      </c>
      <c r="BZ54" s="276" cm="1">
        <f t="array" ref="BZ54">IF(AND(BZ$2&lt;&gt;0,TblTech[[#This Row],[Hour]:[Hour]]&gt;=BZ$2),1,0)</f>
        <v>0</v>
      </c>
      <c r="CA54" s="377">
        <f>IFERROR(INDEX($H$4:$H$79,MATCH(INDEX(TblTech[[#Headers],[1-1]:[11-1]],1,MATCH(TblTech[[#This Row],[Hour]],$M$2:$BZ$2,0)),$G$4:$G$79,0)),)</f>
        <v>0</v>
      </c>
    </row>
    <row r="55" spans="1:79" x14ac:dyDescent="0.2">
      <c r="A55" s="268">
        <f>TblRezone[[#This Row],[Hour]]</f>
        <v>52</v>
      </c>
      <c r="B55" s="269">
        <f ca="1">TblExplore[[#This Row],[Land-DB]]</f>
        <v>50</v>
      </c>
      <c r="C55" s="270">
        <f ca="1">TblProd[[#This Row],[Techpoints]]</f>
        <v>0</v>
      </c>
      <c r="D55" s="270">
        <f ca="1">TblProd[[#This Row],[Required]]</f>
        <v>3750</v>
      </c>
      <c r="E55" s="271"/>
      <c r="F55" s="272"/>
      <c r="G55" s="273" t="s">
        <v>593</v>
      </c>
      <c r="H55" s="274" t="s">
        <v>717</v>
      </c>
      <c r="I55" s="273" t="s">
        <v>594</v>
      </c>
      <c r="J55" s="269"/>
      <c r="K55" s="93">
        <f ca="1">IF(TblTech[[#This Row],[Sum of tech]]&lt;&gt;OFFSET(TblTech[[#This Row],[Sum of tech]],-1,0),1,0)</f>
        <v>0</v>
      </c>
      <c r="L55" s="275">
        <f>COUNTIF(TblTech[[#This Row],[1-1]:[11-1]],1)</f>
        <v>0</v>
      </c>
      <c r="M55" s="276" cm="1">
        <f t="array" ref="M55">IF(AND(M$2&lt;&gt;0,TblTech[[#This Row],[Hour]:[Hour]]&gt;=M$2),1,0)</f>
        <v>0</v>
      </c>
      <c r="N55" s="276" cm="1">
        <f t="array" ref="N55">IF(AND(N$2&lt;&gt;0,TblTech[[#This Row],[Hour]:[Hour]]&gt;=N$2),1,0)</f>
        <v>0</v>
      </c>
      <c r="O55" s="276" cm="1">
        <f t="array" ref="O55">IF(AND(O$2&lt;&gt;0,TblTech[[#This Row],[Hour]:[Hour]]&gt;=O$2),1,0)</f>
        <v>0</v>
      </c>
      <c r="P55" s="276" cm="1">
        <f t="array" ref="P55">IF(AND(P$2&lt;&gt;0,TblTech[[#This Row],[Hour]:[Hour]]&gt;=P$2),1,0)</f>
        <v>0</v>
      </c>
      <c r="Q55" s="276" cm="1">
        <f t="array" ref="Q55">IF(AND(Q$2&lt;&gt;0,TblTech[[#This Row],[Hour]:[Hour]]&gt;=Q$2),1,0)</f>
        <v>0</v>
      </c>
      <c r="R55" s="276" cm="1">
        <f t="array" ref="R55">IF(AND(R$2&lt;&gt;0,TblTech[[#This Row],[Hour]:[Hour]]&gt;=R$2),1,0)</f>
        <v>0</v>
      </c>
      <c r="S55" s="276" cm="1">
        <f t="array" ref="S55">IF(AND(S$2&lt;&gt;0,TblTech[[#This Row],[Hour]:[Hour]]&gt;=S$2),1,0)</f>
        <v>0</v>
      </c>
      <c r="T55" s="276" cm="1">
        <f t="array" ref="T55">IF(AND(T$2&lt;&gt;0,TblTech[[#This Row],[Hour]:[Hour]]&gt;=T$2),1,0)</f>
        <v>0</v>
      </c>
      <c r="U55" s="276" cm="1">
        <f t="array" ref="U55">IF(AND(U$2&lt;&gt;0,TblTech[[#This Row],[Hour]:[Hour]]&gt;=U$2),1,0)</f>
        <v>0</v>
      </c>
      <c r="V55" s="276" cm="1">
        <f t="array" ref="V55">IF(AND(V$2&lt;&gt;0,TblTech[[#This Row],[Hour]:[Hour]]&gt;=V$2),1,0)</f>
        <v>0</v>
      </c>
      <c r="W55" s="276" cm="1">
        <f t="array" ref="W55">IF(AND(W$2&lt;&gt;0,TblTech[[#This Row],[Hour]:[Hour]]&gt;=W$2),1,0)</f>
        <v>0</v>
      </c>
      <c r="X55" s="276" cm="1">
        <f t="array" ref="X55">IF(AND(X$2&lt;&gt;0,TblTech[[#This Row],[Hour]:[Hour]]&gt;=X$2),1,0)</f>
        <v>0</v>
      </c>
      <c r="Y55" s="276" cm="1">
        <f t="array" ref="Y55">IF(AND(Y$2&lt;&gt;0,TblTech[[#This Row],[Hour]:[Hour]]&gt;=Y$2),1,0)</f>
        <v>0</v>
      </c>
      <c r="Z55" s="276" cm="1">
        <f t="array" ref="Z55">IF(AND(Z$2&lt;&gt;0,TblTech[[#This Row],[Hour]:[Hour]]&gt;=Z$2),1,0)</f>
        <v>0</v>
      </c>
      <c r="AA55" s="276" cm="1">
        <f t="array" ref="AA55">IF(AND(AA$2&lt;&gt;0,TblTech[[#This Row],[Hour]:[Hour]]&gt;=AA$2),1,0)</f>
        <v>0</v>
      </c>
      <c r="AB55" s="276" cm="1">
        <f t="array" ref="AB55">IF(AND(AB$2&lt;&gt;0,TblTech[[#This Row],[Hour]:[Hour]]&gt;=AB$2),1,0)</f>
        <v>0</v>
      </c>
      <c r="AC55" s="276" cm="1">
        <f t="array" ref="AC55">IF(AND(AC$2&lt;&gt;0,TblTech[[#This Row],[Hour]:[Hour]]&gt;=AC$2),1,0)</f>
        <v>0</v>
      </c>
      <c r="AD55" s="276" cm="1">
        <f t="array" ref="AD55">IF(AND(AD$2&lt;&gt;0,TblTech[[#This Row],[Hour]:[Hour]]&gt;=AD$2),1,0)</f>
        <v>0</v>
      </c>
      <c r="AE55" s="276" cm="1">
        <f t="array" ref="AE55">IF(AND(AE$2&lt;&gt;0,TblTech[[#This Row],[Hour]:[Hour]]&gt;=AE$2),1,0)</f>
        <v>0</v>
      </c>
      <c r="AF55" s="276" cm="1">
        <f t="array" ref="AF55">IF(AND(AF$2&lt;&gt;0,TblTech[[#This Row],[Hour]:[Hour]]&gt;=AF$2),1,0)</f>
        <v>0</v>
      </c>
      <c r="AG55" s="276" cm="1">
        <f t="array" ref="AG55">IF(AND(AG$2&lt;&gt;0,TblTech[[#This Row],[Hour]:[Hour]]&gt;=AG$2),1,0)</f>
        <v>0</v>
      </c>
      <c r="AH55" s="276" cm="1">
        <f t="array" ref="AH55">IF(AND(AH$2&lt;&gt;0,TblTech[[#This Row],[Hour]:[Hour]]&gt;=AH$2),1,0)</f>
        <v>0</v>
      </c>
      <c r="AI55" s="276" cm="1">
        <f t="array" ref="AI55">IF(AND(AI$2&lt;&gt;0,TblTech[[#This Row],[Hour]:[Hour]]&gt;=AI$2),1,0)</f>
        <v>0</v>
      </c>
      <c r="AJ55" s="276" cm="1">
        <f t="array" ref="AJ55">IF(AND(AJ$2&lt;&gt;0,TblTech[[#This Row],[Hour]:[Hour]]&gt;=AJ$2),1,0)</f>
        <v>0</v>
      </c>
      <c r="AK55" s="276" cm="1">
        <f t="array" ref="AK55">IF(AND(AK$2&lt;&gt;0,TblTech[[#This Row],[Hour]:[Hour]]&gt;=AK$2),1,0)</f>
        <v>0</v>
      </c>
      <c r="AL55" s="276" cm="1">
        <f t="array" ref="AL55">IF(AND(AL$2&lt;&gt;0,TblTech[[#This Row],[Hour]:[Hour]]&gt;=AL$2),1,0)</f>
        <v>0</v>
      </c>
      <c r="AM55" s="276" cm="1">
        <f t="array" ref="AM55">IF(AND(AM$2&lt;&gt;0,TblTech[[#This Row],[Hour]:[Hour]]&gt;=AM$2),1,0)</f>
        <v>0</v>
      </c>
      <c r="AN55" s="276" cm="1">
        <f t="array" ref="AN55">IF(AND(AN$2&lt;&gt;0,TblTech[[#This Row],[Hour]:[Hour]]&gt;=AN$2),1,0)</f>
        <v>0</v>
      </c>
      <c r="AO55" s="276" cm="1">
        <f t="array" ref="AO55">IF(AND(AO$2&lt;&gt;0,TblTech[[#This Row],[Hour]:[Hour]]&gt;=AO$2),1,0)</f>
        <v>0</v>
      </c>
      <c r="AP55" s="276" cm="1">
        <f t="array" ref="AP55">IF(AND(AP$2&lt;&gt;0,TblTech[[#This Row],[Hour]:[Hour]]&gt;=AP$2),1,0)</f>
        <v>0</v>
      </c>
      <c r="AQ55" s="276" cm="1">
        <f t="array" ref="AQ55">IF(AND(AQ$2&lt;&gt;0,TblTech[[#This Row],[Hour]:[Hour]]&gt;=AQ$2),1,0)</f>
        <v>0</v>
      </c>
      <c r="AR55" s="276" cm="1">
        <f t="array" ref="AR55">IF(AND(AR$2&lt;&gt;0,TblTech[[#This Row],[Hour]:[Hour]]&gt;=AR$2),1,0)</f>
        <v>0</v>
      </c>
      <c r="AS55" s="276" cm="1">
        <f t="array" ref="AS55">IF(AND(AS$2&lt;&gt;0,TblTech[[#This Row],[Hour]:[Hour]]&gt;=AS$2),1,0)</f>
        <v>0</v>
      </c>
      <c r="AT55" s="276" cm="1">
        <f t="array" ref="AT55">IF(AND(AT$2&lt;&gt;0,TblTech[[#This Row],[Hour]:[Hour]]&gt;=AT$2),1,0)</f>
        <v>0</v>
      </c>
      <c r="AU55" s="276" cm="1">
        <f t="array" ref="AU55">IF(AND(AU$2&lt;&gt;0,TblTech[[#This Row],[Hour]:[Hour]]&gt;=AU$2),1,0)</f>
        <v>0</v>
      </c>
      <c r="AV55" s="276" cm="1">
        <f t="array" ref="AV55">IF(AND(AV$2&lt;&gt;0,TblTech[[#This Row],[Hour]:[Hour]]&gt;=AV$2),1,0)</f>
        <v>0</v>
      </c>
      <c r="AW55" s="276" cm="1">
        <f t="array" ref="AW55">IF(AND(AW$2&lt;&gt;0,TblTech[[#This Row],[Hour]:[Hour]]&gt;=AW$2),1,0)</f>
        <v>0</v>
      </c>
      <c r="AX55" s="276" cm="1">
        <f t="array" ref="AX55">IF(AND(AX$2&lt;&gt;0,TblTech[[#This Row],[Hour]:[Hour]]&gt;=AX$2),1,0)</f>
        <v>0</v>
      </c>
      <c r="AY55" s="276" cm="1">
        <f t="array" ref="AY55">IF(AND(AY$2&lt;&gt;0,TblTech[[#This Row],[Hour]:[Hour]]&gt;=AY$2),1,0)</f>
        <v>0</v>
      </c>
      <c r="AZ55" s="276" cm="1">
        <f t="array" ref="AZ55">IF(AND(AZ$2&lt;&gt;0,TblTech[[#This Row],[Hour]:[Hour]]&gt;=AZ$2),1,0)</f>
        <v>0</v>
      </c>
      <c r="BA55" s="276" cm="1">
        <f t="array" ref="BA55">IF(AND(BA$2&lt;&gt;0,TblTech[[#This Row],[Hour]:[Hour]]&gt;=BA$2),1,0)</f>
        <v>0</v>
      </c>
      <c r="BB55" s="276" cm="1">
        <f t="array" ref="BB55">IF(AND(BB$2&lt;&gt;0,TblTech[[#This Row],[Hour]:[Hour]]&gt;=BB$2),1,0)</f>
        <v>0</v>
      </c>
      <c r="BC55" s="276" cm="1">
        <f t="array" ref="BC55">IF(AND(BC$2&lt;&gt;0,TblTech[[#This Row],[Hour]:[Hour]]&gt;=BC$2),1,0)</f>
        <v>0</v>
      </c>
      <c r="BD55" s="276" cm="1">
        <f t="array" ref="BD55">IF(AND(BD$2&lt;&gt;0,TblTech[[#This Row],[Hour]:[Hour]]&gt;=BD$2),1,0)</f>
        <v>0</v>
      </c>
      <c r="BE55" s="276" cm="1">
        <f t="array" ref="BE55">IF(AND(BE$2&lt;&gt;0,TblTech[[#This Row],[Hour]:[Hour]]&gt;=BE$2),1,0)</f>
        <v>0</v>
      </c>
      <c r="BF55" s="276" cm="1">
        <f t="array" ref="BF55">IF(AND(BF$2&lt;&gt;0,TblTech[[#This Row],[Hour]:[Hour]]&gt;=BF$2),1,0)</f>
        <v>0</v>
      </c>
      <c r="BG55" s="276" cm="1">
        <f t="array" ref="BG55">IF(AND(BG$2&lt;&gt;0,TblTech[[#This Row],[Hour]:[Hour]]&gt;=BG$2),1,0)</f>
        <v>0</v>
      </c>
      <c r="BH55" s="276" cm="1">
        <f t="array" ref="BH55">IF(AND(BH$2&lt;&gt;0,TblTech[[#This Row],[Hour]:[Hour]]&gt;=BH$2),1,0)</f>
        <v>0</v>
      </c>
      <c r="BI55" s="276" cm="1">
        <f t="array" ref="BI55">IF(AND(BI$2&lt;&gt;0,TblTech[[#This Row],[Hour]:[Hour]]&gt;=BI$2),1,0)</f>
        <v>0</v>
      </c>
      <c r="BJ55" s="276" cm="1">
        <f t="array" ref="BJ55">IF(AND(BJ$2&lt;&gt;0,TblTech[[#This Row],[Hour]:[Hour]]&gt;=BJ$2),1,0)</f>
        <v>0</v>
      </c>
      <c r="BK55" s="276" cm="1">
        <f t="array" ref="BK55">IF(AND(BK$2&lt;&gt;0,TblTech[[#This Row],[Hour]:[Hour]]&gt;=BK$2),1,0)</f>
        <v>0</v>
      </c>
      <c r="BL55" s="276" cm="1">
        <f t="array" ref="BL55">IF(AND(BL$2&lt;&gt;0,TblTech[[#This Row],[Hour]:[Hour]]&gt;=BL$2),1,0)</f>
        <v>0</v>
      </c>
      <c r="BM55" s="276" cm="1">
        <f t="array" ref="BM55">IF(AND(BM$2&lt;&gt;0,TblTech[[#This Row],[Hour]:[Hour]]&gt;=BM$2),1,0)</f>
        <v>0</v>
      </c>
      <c r="BN55" s="276" cm="1">
        <f t="array" ref="BN55">IF(AND(BN$2&lt;&gt;0,TblTech[[#This Row],[Hour]:[Hour]]&gt;=BN$2),1,0)</f>
        <v>0</v>
      </c>
      <c r="BO55" s="276" cm="1">
        <f t="array" ref="BO55">IF(AND(BO$2&lt;&gt;0,TblTech[[#This Row],[Hour]:[Hour]]&gt;=BO$2),1,0)</f>
        <v>0</v>
      </c>
      <c r="BP55" s="276" cm="1">
        <f t="array" ref="BP55">IF(AND(BP$2&lt;&gt;0,TblTech[[#This Row],[Hour]:[Hour]]&gt;=BP$2),1,0)</f>
        <v>0</v>
      </c>
      <c r="BQ55" s="276" cm="1">
        <f t="array" ref="BQ55">IF(AND(BQ$2&lt;&gt;0,TblTech[[#This Row],[Hour]:[Hour]]&gt;=BQ$2),1,0)</f>
        <v>0</v>
      </c>
      <c r="BR55" s="276" cm="1">
        <f t="array" ref="BR55">IF(AND(BR$2&lt;&gt;0,TblTech[[#This Row],[Hour]:[Hour]]&gt;=BR$2),1,0)</f>
        <v>0</v>
      </c>
      <c r="BS55" s="276" cm="1">
        <f t="array" ref="BS55">IF(AND(BS$2&lt;&gt;0,TblTech[[#This Row],[Hour]:[Hour]]&gt;=BS$2),1,0)</f>
        <v>0</v>
      </c>
      <c r="BT55" s="276" cm="1">
        <f t="array" ref="BT55">IF(AND(BT$2&lt;&gt;0,TblTech[[#This Row],[Hour]:[Hour]]&gt;=BT$2),1,0)</f>
        <v>0</v>
      </c>
      <c r="BU55" s="276" cm="1">
        <f t="array" ref="BU55">IF(AND(BU$2&lt;&gt;0,TblTech[[#This Row],[Hour]:[Hour]]&gt;=BU$2),1,0)</f>
        <v>0</v>
      </c>
      <c r="BV55" s="276" cm="1">
        <f t="array" ref="BV55">IF(AND(BV$2&lt;&gt;0,TblTech[[#This Row],[Hour]:[Hour]]&gt;=BV$2),1,0)</f>
        <v>0</v>
      </c>
      <c r="BW55" s="276" cm="1">
        <f t="array" ref="BW55">IF(AND(BW$2&lt;&gt;0,TblTech[[#This Row],[Hour]:[Hour]]&gt;=BW$2),1,0)</f>
        <v>0</v>
      </c>
      <c r="BX55" s="276" cm="1">
        <f t="array" ref="BX55">IF(AND(BX$2&lt;&gt;0,TblTech[[#This Row],[Hour]:[Hour]]&gt;=BX$2),1,0)</f>
        <v>0</v>
      </c>
      <c r="BY55" s="276" cm="1">
        <f t="array" ref="BY55">IF(AND(BY$2&lt;&gt;0,TblTech[[#This Row],[Hour]:[Hour]]&gt;=BY$2),1,0)</f>
        <v>0</v>
      </c>
      <c r="BZ55" s="276" cm="1">
        <f t="array" ref="BZ55">IF(AND(BZ$2&lt;&gt;0,TblTech[[#This Row],[Hour]:[Hour]]&gt;=BZ$2),1,0)</f>
        <v>0</v>
      </c>
      <c r="CA55" s="377">
        <f>IFERROR(INDEX($H$4:$H$79,MATCH(INDEX(TblTech[[#Headers],[1-1]:[11-1]],1,MATCH(TblTech[[#This Row],[Hour]],$M$2:$BZ$2,0)),$G$4:$G$79,0)),)</f>
        <v>0</v>
      </c>
    </row>
    <row r="56" spans="1:79" x14ac:dyDescent="0.2">
      <c r="A56" s="268">
        <f>TblRezone[[#This Row],[Hour]]</f>
        <v>53</v>
      </c>
      <c r="B56" s="269">
        <f ca="1">TblExplore[[#This Row],[Land-DB]]</f>
        <v>50</v>
      </c>
      <c r="C56" s="270">
        <f ca="1">TblProd[[#This Row],[Techpoints]]</f>
        <v>0</v>
      </c>
      <c r="D56" s="270">
        <f ca="1">TblProd[[#This Row],[Required]]</f>
        <v>3750</v>
      </c>
      <c r="E56" s="271"/>
      <c r="F56" s="272"/>
      <c r="G56" s="273" t="s">
        <v>595</v>
      </c>
      <c r="H56" s="274" t="s">
        <v>1050</v>
      </c>
      <c r="I56" s="273" t="s">
        <v>1087</v>
      </c>
      <c r="J56" s="269"/>
      <c r="K56" s="93">
        <f ca="1">IF(TblTech[[#This Row],[Sum of tech]]&lt;&gt;OFFSET(TblTech[[#This Row],[Sum of tech]],-1,0),1,0)</f>
        <v>0</v>
      </c>
      <c r="L56" s="275">
        <f>COUNTIF(TblTech[[#This Row],[1-1]:[11-1]],1)</f>
        <v>0</v>
      </c>
      <c r="M56" s="276" cm="1">
        <f t="array" ref="M56">IF(AND(M$2&lt;&gt;0,TblTech[[#This Row],[Hour]:[Hour]]&gt;=M$2),1,0)</f>
        <v>0</v>
      </c>
      <c r="N56" s="276" cm="1">
        <f t="array" ref="N56">IF(AND(N$2&lt;&gt;0,TblTech[[#This Row],[Hour]:[Hour]]&gt;=N$2),1,0)</f>
        <v>0</v>
      </c>
      <c r="O56" s="276" cm="1">
        <f t="array" ref="O56">IF(AND(O$2&lt;&gt;0,TblTech[[#This Row],[Hour]:[Hour]]&gt;=O$2),1,0)</f>
        <v>0</v>
      </c>
      <c r="P56" s="276" cm="1">
        <f t="array" ref="P56">IF(AND(P$2&lt;&gt;0,TblTech[[#This Row],[Hour]:[Hour]]&gt;=P$2),1,0)</f>
        <v>0</v>
      </c>
      <c r="Q56" s="276" cm="1">
        <f t="array" ref="Q56">IF(AND(Q$2&lt;&gt;0,TblTech[[#This Row],[Hour]:[Hour]]&gt;=Q$2),1,0)</f>
        <v>0</v>
      </c>
      <c r="R56" s="276" cm="1">
        <f t="array" ref="R56">IF(AND(R$2&lt;&gt;0,TblTech[[#This Row],[Hour]:[Hour]]&gt;=R$2),1,0)</f>
        <v>0</v>
      </c>
      <c r="S56" s="276" cm="1">
        <f t="array" ref="S56">IF(AND(S$2&lt;&gt;0,TblTech[[#This Row],[Hour]:[Hour]]&gt;=S$2),1,0)</f>
        <v>0</v>
      </c>
      <c r="T56" s="276" cm="1">
        <f t="array" ref="T56">IF(AND(T$2&lt;&gt;0,TblTech[[#This Row],[Hour]:[Hour]]&gt;=T$2),1,0)</f>
        <v>0</v>
      </c>
      <c r="U56" s="276" cm="1">
        <f t="array" ref="U56">IF(AND(U$2&lt;&gt;0,TblTech[[#This Row],[Hour]:[Hour]]&gt;=U$2),1,0)</f>
        <v>0</v>
      </c>
      <c r="V56" s="276" cm="1">
        <f t="array" ref="V56">IF(AND(V$2&lt;&gt;0,TblTech[[#This Row],[Hour]:[Hour]]&gt;=V$2),1,0)</f>
        <v>0</v>
      </c>
      <c r="W56" s="276" cm="1">
        <f t="array" ref="W56">IF(AND(W$2&lt;&gt;0,TblTech[[#This Row],[Hour]:[Hour]]&gt;=W$2),1,0)</f>
        <v>0</v>
      </c>
      <c r="X56" s="276" cm="1">
        <f t="array" ref="X56">IF(AND(X$2&lt;&gt;0,TblTech[[#This Row],[Hour]:[Hour]]&gt;=X$2),1,0)</f>
        <v>0</v>
      </c>
      <c r="Y56" s="276" cm="1">
        <f t="array" ref="Y56">IF(AND(Y$2&lt;&gt;0,TblTech[[#This Row],[Hour]:[Hour]]&gt;=Y$2),1,0)</f>
        <v>0</v>
      </c>
      <c r="Z56" s="276" cm="1">
        <f t="array" ref="Z56">IF(AND(Z$2&lt;&gt;0,TblTech[[#This Row],[Hour]:[Hour]]&gt;=Z$2),1,0)</f>
        <v>0</v>
      </c>
      <c r="AA56" s="276" cm="1">
        <f t="array" ref="AA56">IF(AND(AA$2&lt;&gt;0,TblTech[[#This Row],[Hour]:[Hour]]&gt;=AA$2),1,0)</f>
        <v>0</v>
      </c>
      <c r="AB56" s="276" cm="1">
        <f t="array" ref="AB56">IF(AND(AB$2&lt;&gt;0,TblTech[[#This Row],[Hour]:[Hour]]&gt;=AB$2),1,0)</f>
        <v>0</v>
      </c>
      <c r="AC56" s="276" cm="1">
        <f t="array" ref="AC56">IF(AND(AC$2&lt;&gt;0,TblTech[[#This Row],[Hour]:[Hour]]&gt;=AC$2),1,0)</f>
        <v>0</v>
      </c>
      <c r="AD56" s="276" cm="1">
        <f t="array" ref="AD56">IF(AND(AD$2&lt;&gt;0,TblTech[[#This Row],[Hour]:[Hour]]&gt;=AD$2),1,0)</f>
        <v>0</v>
      </c>
      <c r="AE56" s="276" cm="1">
        <f t="array" ref="AE56">IF(AND(AE$2&lt;&gt;0,TblTech[[#This Row],[Hour]:[Hour]]&gt;=AE$2),1,0)</f>
        <v>0</v>
      </c>
      <c r="AF56" s="276" cm="1">
        <f t="array" ref="AF56">IF(AND(AF$2&lt;&gt;0,TblTech[[#This Row],[Hour]:[Hour]]&gt;=AF$2),1,0)</f>
        <v>0</v>
      </c>
      <c r="AG56" s="276" cm="1">
        <f t="array" ref="AG56">IF(AND(AG$2&lt;&gt;0,TblTech[[#This Row],[Hour]:[Hour]]&gt;=AG$2),1,0)</f>
        <v>0</v>
      </c>
      <c r="AH56" s="276" cm="1">
        <f t="array" ref="AH56">IF(AND(AH$2&lt;&gt;0,TblTech[[#This Row],[Hour]:[Hour]]&gt;=AH$2),1,0)</f>
        <v>0</v>
      </c>
      <c r="AI56" s="276" cm="1">
        <f t="array" ref="AI56">IF(AND(AI$2&lt;&gt;0,TblTech[[#This Row],[Hour]:[Hour]]&gt;=AI$2),1,0)</f>
        <v>0</v>
      </c>
      <c r="AJ56" s="276" cm="1">
        <f t="array" ref="AJ56">IF(AND(AJ$2&lt;&gt;0,TblTech[[#This Row],[Hour]:[Hour]]&gt;=AJ$2),1,0)</f>
        <v>0</v>
      </c>
      <c r="AK56" s="276" cm="1">
        <f t="array" ref="AK56">IF(AND(AK$2&lt;&gt;0,TblTech[[#This Row],[Hour]:[Hour]]&gt;=AK$2),1,0)</f>
        <v>0</v>
      </c>
      <c r="AL56" s="276" cm="1">
        <f t="array" ref="AL56">IF(AND(AL$2&lt;&gt;0,TblTech[[#This Row],[Hour]:[Hour]]&gt;=AL$2),1,0)</f>
        <v>0</v>
      </c>
      <c r="AM56" s="276" cm="1">
        <f t="array" ref="AM56">IF(AND(AM$2&lt;&gt;0,TblTech[[#This Row],[Hour]:[Hour]]&gt;=AM$2),1,0)</f>
        <v>0</v>
      </c>
      <c r="AN56" s="276" cm="1">
        <f t="array" ref="AN56">IF(AND(AN$2&lt;&gt;0,TblTech[[#This Row],[Hour]:[Hour]]&gt;=AN$2),1,0)</f>
        <v>0</v>
      </c>
      <c r="AO56" s="276" cm="1">
        <f t="array" ref="AO56">IF(AND(AO$2&lt;&gt;0,TblTech[[#This Row],[Hour]:[Hour]]&gt;=AO$2),1,0)</f>
        <v>0</v>
      </c>
      <c r="AP56" s="276" cm="1">
        <f t="array" ref="AP56">IF(AND(AP$2&lt;&gt;0,TblTech[[#This Row],[Hour]:[Hour]]&gt;=AP$2),1,0)</f>
        <v>0</v>
      </c>
      <c r="AQ56" s="276" cm="1">
        <f t="array" ref="AQ56">IF(AND(AQ$2&lt;&gt;0,TblTech[[#This Row],[Hour]:[Hour]]&gt;=AQ$2),1,0)</f>
        <v>0</v>
      </c>
      <c r="AR56" s="276" cm="1">
        <f t="array" ref="AR56">IF(AND(AR$2&lt;&gt;0,TblTech[[#This Row],[Hour]:[Hour]]&gt;=AR$2),1,0)</f>
        <v>0</v>
      </c>
      <c r="AS56" s="276" cm="1">
        <f t="array" ref="AS56">IF(AND(AS$2&lt;&gt;0,TblTech[[#This Row],[Hour]:[Hour]]&gt;=AS$2),1,0)</f>
        <v>0</v>
      </c>
      <c r="AT56" s="276" cm="1">
        <f t="array" ref="AT56">IF(AND(AT$2&lt;&gt;0,TblTech[[#This Row],[Hour]:[Hour]]&gt;=AT$2),1,0)</f>
        <v>0</v>
      </c>
      <c r="AU56" s="276" cm="1">
        <f t="array" ref="AU56">IF(AND(AU$2&lt;&gt;0,TblTech[[#This Row],[Hour]:[Hour]]&gt;=AU$2),1,0)</f>
        <v>0</v>
      </c>
      <c r="AV56" s="276" cm="1">
        <f t="array" ref="AV56">IF(AND(AV$2&lt;&gt;0,TblTech[[#This Row],[Hour]:[Hour]]&gt;=AV$2),1,0)</f>
        <v>0</v>
      </c>
      <c r="AW56" s="276" cm="1">
        <f t="array" ref="AW56">IF(AND(AW$2&lt;&gt;0,TblTech[[#This Row],[Hour]:[Hour]]&gt;=AW$2),1,0)</f>
        <v>0</v>
      </c>
      <c r="AX56" s="276" cm="1">
        <f t="array" ref="AX56">IF(AND(AX$2&lt;&gt;0,TblTech[[#This Row],[Hour]:[Hour]]&gt;=AX$2),1,0)</f>
        <v>0</v>
      </c>
      <c r="AY56" s="276" cm="1">
        <f t="array" ref="AY56">IF(AND(AY$2&lt;&gt;0,TblTech[[#This Row],[Hour]:[Hour]]&gt;=AY$2),1,0)</f>
        <v>0</v>
      </c>
      <c r="AZ56" s="276" cm="1">
        <f t="array" ref="AZ56">IF(AND(AZ$2&lt;&gt;0,TblTech[[#This Row],[Hour]:[Hour]]&gt;=AZ$2),1,0)</f>
        <v>0</v>
      </c>
      <c r="BA56" s="276" cm="1">
        <f t="array" ref="BA56">IF(AND(BA$2&lt;&gt;0,TblTech[[#This Row],[Hour]:[Hour]]&gt;=BA$2),1,0)</f>
        <v>0</v>
      </c>
      <c r="BB56" s="276" cm="1">
        <f t="array" ref="BB56">IF(AND(BB$2&lt;&gt;0,TblTech[[#This Row],[Hour]:[Hour]]&gt;=BB$2),1,0)</f>
        <v>0</v>
      </c>
      <c r="BC56" s="276" cm="1">
        <f t="array" ref="BC56">IF(AND(BC$2&lt;&gt;0,TblTech[[#This Row],[Hour]:[Hour]]&gt;=BC$2),1,0)</f>
        <v>0</v>
      </c>
      <c r="BD56" s="276" cm="1">
        <f t="array" ref="BD56">IF(AND(BD$2&lt;&gt;0,TblTech[[#This Row],[Hour]:[Hour]]&gt;=BD$2),1,0)</f>
        <v>0</v>
      </c>
      <c r="BE56" s="276" cm="1">
        <f t="array" ref="BE56">IF(AND(BE$2&lt;&gt;0,TblTech[[#This Row],[Hour]:[Hour]]&gt;=BE$2),1,0)</f>
        <v>0</v>
      </c>
      <c r="BF56" s="276" cm="1">
        <f t="array" ref="BF56">IF(AND(BF$2&lt;&gt;0,TblTech[[#This Row],[Hour]:[Hour]]&gt;=BF$2),1,0)</f>
        <v>0</v>
      </c>
      <c r="BG56" s="276" cm="1">
        <f t="array" ref="BG56">IF(AND(BG$2&lt;&gt;0,TblTech[[#This Row],[Hour]:[Hour]]&gt;=BG$2),1,0)</f>
        <v>0</v>
      </c>
      <c r="BH56" s="276" cm="1">
        <f t="array" ref="BH56">IF(AND(BH$2&lt;&gt;0,TblTech[[#This Row],[Hour]:[Hour]]&gt;=BH$2),1,0)</f>
        <v>0</v>
      </c>
      <c r="BI56" s="276" cm="1">
        <f t="array" ref="BI56">IF(AND(BI$2&lt;&gt;0,TblTech[[#This Row],[Hour]:[Hour]]&gt;=BI$2),1,0)</f>
        <v>0</v>
      </c>
      <c r="BJ56" s="276" cm="1">
        <f t="array" ref="BJ56">IF(AND(BJ$2&lt;&gt;0,TblTech[[#This Row],[Hour]:[Hour]]&gt;=BJ$2),1,0)</f>
        <v>0</v>
      </c>
      <c r="BK56" s="276" cm="1">
        <f t="array" ref="BK56">IF(AND(BK$2&lt;&gt;0,TblTech[[#This Row],[Hour]:[Hour]]&gt;=BK$2),1,0)</f>
        <v>0</v>
      </c>
      <c r="BL56" s="276" cm="1">
        <f t="array" ref="BL56">IF(AND(BL$2&lt;&gt;0,TblTech[[#This Row],[Hour]:[Hour]]&gt;=BL$2),1,0)</f>
        <v>0</v>
      </c>
      <c r="BM56" s="276" cm="1">
        <f t="array" ref="BM56">IF(AND(BM$2&lt;&gt;0,TblTech[[#This Row],[Hour]:[Hour]]&gt;=BM$2),1,0)</f>
        <v>0</v>
      </c>
      <c r="BN56" s="276" cm="1">
        <f t="array" ref="BN56">IF(AND(BN$2&lt;&gt;0,TblTech[[#This Row],[Hour]:[Hour]]&gt;=BN$2),1,0)</f>
        <v>0</v>
      </c>
      <c r="BO56" s="276" cm="1">
        <f t="array" ref="BO56">IF(AND(BO$2&lt;&gt;0,TblTech[[#This Row],[Hour]:[Hour]]&gt;=BO$2),1,0)</f>
        <v>0</v>
      </c>
      <c r="BP56" s="276" cm="1">
        <f t="array" ref="BP56">IF(AND(BP$2&lt;&gt;0,TblTech[[#This Row],[Hour]:[Hour]]&gt;=BP$2),1,0)</f>
        <v>0</v>
      </c>
      <c r="BQ56" s="276" cm="1">
        <f t="array" ref="BQ56">IF(AND(BQ$2&lt;&gt;0,TblTech[[#This Row],[Hour]:[Hour]]&gt;=BQ$2),1,0)</f>
        <v>0</v>
      </c>
      <c r="BR56" s="276" cm="1">
        <f t="array" ref="BR56">IF(AND(BR$2&lt;&gt;0,TblTech[[#This Row],[Hour]:[Hour]]&gt;=BR$2),1,0)</f>
        <v>0</v>
      </c>
      <c r="BS56" s="276" cm="1">
        <f t="array" ref="BS56">IF(AND(BS$2&lt;&gt;0,TblTech[[#This Row],[Hour]:[Hour]]&gt;=BS$2),1,0)</f>
        <v>0</v>
      </c>
      <c r="BT56" s="276" cm="1">
        <f t="array" ref="BT56">IF(AND(BT$2&lt;&gt;0,TblTech[[#This Row],[Hour]:[Hour]]&gt;=BT$2),1,0)</f>
        <v>0</v>
      </c>
      <c r="BU56" s="276" cm="1">
        <f t="array" ref="BU56">IF(AND(BU$2&lt;&gt;0,TblTech[[#This Row],[Hour]:[Hour]]&gt;=BU$2),1,0)</f>
        <v>0</v>
      </c>
      <c r="BV56" s="276" cm="1">
        <f t="array" ref="BV56">IF(AND(BV$2&lt;&gt;0,TblTech[[#This Row],[Hour]:[Hour]]&gt;=BV$2),1,0)</f>
        <v>0</v>
      </c>
      <c r="BW56" s="276" cm="1">
        <f t="array" ref="BW56">IF(AND(BW$2&lt;&gt;0,TblTech[[#This Row],[Hour]:[Hour]]&gt;=BW$2),1,0)</f>
        <v>0</v>
      </c>
      <c r="BX56" s="276" cm="1">
        <f t="array" ref="BX56">IF(AND(BX$2&lt;&gt;0,TblTech[[#This Row],[Hour]:[Hour]]&gt;=BX$2),1,0)</f>
        <v>0</v>
      </c>
      <c r="BY56" s="276" cm="1">
        <f t="array" ref="BY56">IF(AND(BY$2&lt;&gt;0,TblTech[[#This Row],[Hour]:[Hour]]&gt;=BY$2),1,0)</f>
        <v>0</v>
      </c>
      <c r="BZ56" s="276" cm="1">
        <f t="array" ref="BZ56">IF(AND(BZ$2&lt;&gt;0,TblTech[[#This Row],[Hour]:[Hour]]&gt;=BZ$2),1,0)</f>
        <v>0</v>
      </c>
      <c r="CA56" s="377">
        <f>IFERROR(INDEX($H$4:$H$79,MATCH(INDEX(TblTech[[#Headers],[1-1]:[11-1]],1,MATCH(TblTech[[#This Row],[Hour]],$M$2:$BZ$2,0)),$G$4:$G$79,0)),)</f>
        <v>0</v>
      </c>
    </row>
    <row r="57" spans="1:79" x14ac:dyDescent="0.2">
      <c r="A57" s="268">
        <f>TblRezone[[#This Row],[Hour]]</f>
        <v>54</v>
      </c>
      <c r="B57" s="269">
        <f ca="1">TblExplore[[#This Row],[Land-DB]]</f>
        <v>50</v>
      </c>
      <c r="C57" s="270">
        <f ca="1">TblProd[[#This Row],[Techpoints]]</f>
        <v>0</v>
      </c>
      <c r="D57" s="270">
        <f ca="1">TblProd[[#This Row],[Required]]</f>
        <v>3750</v>
      </c>
      <c r="E57" s="271"/>
      <c r="F57" s="272"/>
      <c r="G57" s="273" t="s">
        <v>596</v>
      </c>
      <c r="H57" s="274" t="s">
        <v>718</v>
      </c>
      <c r="I57" s="273" t="s">
        <v>597</v>
      </c>
      <c r="J57" s="269"/>
      <c r="K57" s="93">
        <f ca="1">IF(TblTech[[#This Row],[Sum of tech]]&lt;&gt;OFFSET(TblTech[[#This Row],[Sum of tech]],-1,0),1,0)</f>
        <v>0</v>
      </c>
      <c r="L57" s="275">
        <f>COUNTIF(TblTech[[#This Row],[1-1]:[11-1]],1)</f>
        <v>0</v>
      </c>
      <c r="M57" s="276" cm="1">
        <f t="array" ref="M57">IF(AND(M$2&lt;&gt;0,TblTech[[#This Row],[Hour]:[Hour]]&gt;=M$2),1,0)</f>
        <v>0</v>
      </c>
      <c r="N57" s="276" cm="1">
        <f t="array" ref="N57">IF(AND(N$2&lt;&gt;0,TblTech[[#This Row],[Hour]:[Hour]]&gt;=N$2),1,0)</f>
        <v>0</v>
      </c>
      <c r="O57" s="276" cm="1">
        <f t="array" ref="O57">IF(AND(O$2&lt;&gt;0,TblTech[[#This Row],[Hour]:[Hour]]&gt;=O$2),1,0)</f>
        <v>0</v>
      </c>
      <c r="P57" s="276" cm="1">
        <f t="array" ref="P57">IF(AND(P$2&lt;&gt;0,TblTech[[#This Row],[Hour]:[Hour]]&gt;=P$2),1,0)</f>
        <v>0</v>
      </c>
      <c r="Q57" s="276" cm="1">
        <f t="array" ref="Q57">IF(AND(Q$2&lt;&gt;0,TblTech[[#This Row],[Hour]:[Hour]]&gt;=Q$2),1,0)</f>
        <v>0</v>
      </c>
      <c r="R57" s="276" cm="1">
        <f t="array" ref="R57">IF(AND(R$2&lt;&gt;0,TblTech[[#This Row],[Hour]:[Hour]]&gt;=R$2),1,0)</f>
        <v>0</v>
      </c>
      <c r="S57" s="276" cm="1">
        <f t="array" ref="S57">IF(AND(S$2&lt;&gt;0,TblTech[[#This Row],[Hour]:[Hour]]&gt;=S$2),1,0)</f>
        <v>0</v>
      </c>
      <c r="T57" s="276" cm="1">
        <f t="array" ref="T57">IF(AND(T$2&lt;&gt;0,TblTech[[#This Row],[Hour]:[Hour]]&gt;=T$2),1,0)</f>
        <v>0</v>
      </c>
      <c r="U57" s="276" cm="1">
        <f t="array" ref="U57">IF(AND(U$2&lt;&gt;0,TblTech[[#This Row],[Hour]:[Hour]]&gt;=U$2),1,0)</f>
        <v>0</v>
      </c>
      <c r="V57" s="276" cm="1">
        <f t="array" ref="V57">IF(AND(V$2&lt;&gt;0,TblTech[[#This Row],[Hour]:[Hour]]&gt;=V$2),1,0)</f>
        <v>0</v>
      </c>
      <c r="W57" s="276" cm="1">
        <f t="array" ref="W57">IF(AND(W$2&lt;&gt;0,TblTech[[#This Row],[Hour]:[Hour]]&gt;=W$2),1,0)</f>
        <v>0</v>
      </c>
      <c r="X57" s="276" cm="1">
        <f t="array" ref="X57">IF(AND(X$2&lt;&gt;0,TblTech[[#This Row],[Hour]:[Hour]]&gt;=X$2),1,0)</f>
        <v>0</v>
      </c>
      <c r="Y57" s="276" cm="1">
        <f t="array" ref="Y57">IF(AND(Y$2&lt;&gt;0,TblTech[[#This Row],[Hour]:[Hour]]&gt;=Y$2),1,0)</f>
        <v>0</v>
      </c>
      <c r="Z57" s="276" cm="1">
        <f t="array" ref="Z57">IF(AND(Z$2&lt;&gt;0,TblTech[[#This Row],[Hour]:[Hour]]&gt;=Z$2),1,0)</f>
        <v>0</v>
      </c>
      <c r="AA57" s="276" cm="1">
        <f t="array" ref="AA57">IF(AND(AA$2&lt;&gt;0,TblTech[[#This Row],[Hour]:[Hour]]&gt;=AA$2),1,0)</f>
        <v>0</v>
      </c>
      <c r="AB57" s="276" cm="1">
        <f t="array" ref="AB57">IF(AND(AB$2&lt;&gt;0,TblTech[[#This Row],[Hour]:[Hour]]&gt;=AB$2),1,0)</f>
        <v>0</v>
      </c>
      <c r="AC57" s="276" cm="1">
        <f t="array" ref="AC57">IF(AND(AC$2&lt;&gt;0,TblTech[[#This Row],[Hour]:[Hour]]&gt;=AC$2),1,0)</f>
        <v>0</v>
      </c>
      <c r="AD57" s="276" cm="1">
        <f t="array" ref="AD57">IF(AND(AD$2&lt;&gt;0,TblTech[[#This Row],[Hour]:[Hour]]&gt;=AD$2),1,0)</f>
        <v>0</v>
      </c>
      <c r="AE57" s="276" cm="1">
        <f t="array" ref="AE57">IF(AND(AE$2&lt;&gt;0,TblTech[[#This Row],[Hour]:[Hour]]&gt;=AE$2),1,0)</f>
        <v>0</v>
      </c>
      <c r="AF57" s="276" cm="1">
        <f t="array" ref="AF57">IF(AND(AF$2&lt;&gt;0,TblTech[[#This Row],[Hour]:[Hour]]&gt;=AF$2),1,0)</f>
        <v>0</v>
      </c>
      <c r="AG57" s="276" cm="1">
        <f t="array" ref="AG57">IF(AND(AG$2&lt;&gt;0,TblTech[[#This Row],[Hour]:[Hour]]&gt;=AG$2),1,0)</f>
        <v>0</v>
      </c>
      <c r="AH57" s="276" cm="1">
        <f t="array" ref="AH57">IF(AND(AH$2&lt;&gt;0,TblTech[[#This Row],[Hour]:[Hour]]&gt;=AH$2),1,0)</f>
        <v>0</v>
      </c>
      <c r="AI57" s="276" cm="1">
        <f t="array" ref="AI57">IF(AND(AI$2&lt;&gt;0,TblTech[[#This Row],[Hour]:[Hour]]&gt;=AI$2),1,0)</f>
        <v>0</v>
      </c>
      <c r="AJ57" s="276" cm="1">
        <f t="array" ref="AJ57">IF(AND(AJ$2&lt;&gt;0,TblTech[[#This Row],[Hour]:[Hour]]&gt;=AJ$2),1,0)</f>
        <v>0</v>
      </c>
      <c r="AK57" s="276" cm="1">
        <f t="array" ref="AK57">IF(AND(AK$2&lt;&gt;0,TblTech[[#This Row],[Hour]:[Hour]]&gt;=AK$2),1,0)</f>
        <v>0</v>
      </c>
      <c r="AL57" s="276" cm="1">
        <f t="array" ref="AL57">IF(AND(AL$2&lt;&gt;0,TblTech[[#This Row],[Hour]:[Hour]]&gt;=AL$2),1,0)</f>
        <v>0</v>
      </c>
      <c r="AM57" s="276" cm="1">
        <f t="array" ref="AM57">IF(AND(AM$2&lt;&gt;0,TblTech[[#This Row],[Hour]:[Hour]]&gt;=AM$2),1,0)</f>
        <v>0</v>
      </c>
      <c r="AN57" s="276" cm="1">
        <f t="array" ref="AN57">IF(AND(AN$2&lt;&gt;0,TblTech[[#This Row],[Hour]:[Hour]]&gt;=AN$2),1,0)</f>
        <v>0</v>
      </c>
      <c r="AO57" s="276" cm="1">
        <f t="array" ref="AO57">IF(AND(AO$2&lt;&gt;0,TblTech[[#This Row],[Hour]:[Hour]]&gt;=AO$2),1,0)</f>
        <v>0</v>
      </c>
      <c r="AP57" s="276" cm="1">
        <f t="array" ref="AP57">IF(AND(AP$2&lt;&gt;0,TblTech[[#This Row],[Hour]:[Hour]]&gt;=AP$2),1,0)</f>
        <v>0</v>
      </c>
      <c r="AQ57" s="276" cm="1">
        <f t="array" ref="AQ57">IF(AND(AQ$2&lt;&gt;0,TblTech[[#This Row],[Hour]:[Hour]]&gt;=AQ$2),1,0)</f>
        <v>0</v>
      </c>
      <c r="AR57" s="276" cm="1">
        <f t="array" ref="AR57">IF(AND(AR$2&lt;&gt;0,TblTech[[#This Row],[Hour]:[Hour]]&gt;=AR$2),1,0)</f>
        <v>0</v>
      </c>
      <c r="AS57" s="276" cm="1">
        <f t="array" ref="AS57">IF(AND(AS$2&lt;&gt;0,TblTech[[#This Row],[Hour]:[Hour]]&gt;=AS$2),1,0)</f>
        <v>0</v>
      </c>
      <c r="AT57" s="276" cm="1">
        <f t="array" ref="AT57">IF(AND(AT$2&lt;&gt;0,TblTech[[#This Row],[Hour]:[Hour]]&gt;=AT$2),1,0)</f>
        <v>0</v>
      </c>
      <c r="AU57" s="276" cm="1">
        <f t="array" ref="AU57">IF(AND(AU$2&lt;&gt;0,TblTech[[#This Row],[Hour]:[Hour]]&gt;=AU$2),1,0)</f>
        <v>0</v>
      </c>
      <c r="AV57" s="276" cm="1">
        <f t="array" ref="AV57">IF(AND(AV$2&lt;&gt;0,TblTech[[#This Row],[Hour]:[Hour]]&gt;=AV$2),1,0)</f>
        <v>0</v>
      </c>
      <c r="AW57" s="276" cm="1">
        <f t="array" ref="AW57">IF(AND(AW$2&lt;&gt;0,TblTech[[#This Row],[Hour]:[Hour]]&gt;=AW$2),1,0)</f>
        <v>0</v>
      </c>
      <c r="AX57" s="276" cm="1">
        <f t="array" ref="AX57">IF(AND(AX$2&lt;&gt;0,TblTech[[#This Row],[Hour]:[Hour]]&gt;=AX$2),1,0)</f>
        <v>0</v>
      </c>
      <c r="AY57" s="276" cm="1">
        <f t="array" ref="AY57">IF(AND(AY$2&lt;&gt;0,TblTech[[#This Row],[Hour]:[Hour]]&gt;=AY$2),1,0)</f>
        <v>0</v>
      </c>
      <c r="AZ57" s="276" cm="1">
        <f t="array" ref="AZ57">IF(AND(AZ$2&lt;&gt;0,TblTech[[#This Row],[Hour]:[Hour]]&gt;=AZ$2),1,0)</f>
        <v>0</v>
      </c>
      <c r="BA57" s="276" cm="1">
        <f t="array" ref="BA57">IF(AND(BA$2&lt;&gt;0,TblTech[[#This Row],[Hour]:[Hour]]&gt;=BA$2),1,0)</f>
        <v>0</v>
      </c>
      <c r="BB57" s="276" cm="1">
        <f t="array" ref="BB57">IF(AND(BB$2&lt;&gt;0,TblTech[[#This Row],[Hour]:[Hour]]&gt;=BB$2),1,0)</f>
        <v>0</v>
      </c>
      <c r="BC57" s="276" cm="1">
        <f t="array" ref="BC57">IF(AND(BC$2&lt;&gt;0,TblTech[[#This Row],[Hour]:[Hour]]&gt;=BC$2),1,0)</f>
        <v>0</v>
      </c>
      <c r="BD57" s="276" cm="1">
        <f t="array" ref="BD57">IF(AND(BD$2&lt;&gt;0,TblTech[[#This Row],[Hour]:[Hour]]&gt;=BD$2),1,0)</f>
        <v>0</v>
      </c>
      <c r="BE57" s="276" cm="1">
        <f t="array" ref="BE57">IF(AND(BE$2&lt;&gt;0,TblTech[[#This Row],[Hour]:[Hour]]&gt;=BE$2),1,0)</f>
        <v>0</v>
      </c>
      <c r="BF57" s="276" cm="1">
        <f t="array" ref="BF57">IF(AND(BF$2&lt;&gt;0,TblTech[[#This Row],[Hour]:[Hour]]&gt;=BF$2),1,0)</f>
        <v>0</v>
      </c>
      <c r="BG57" s="276" cm="1">
        <f t="array" ref="BG57">IF(AND(BG$2&lt;&gt;0,TblTech[[#This Row],[Hour]:[Hour]]&gt;=BG$2),1,0)</f>
        <v>0</v>
      </c>
      <c r="BH57" s="276" cm="1">
        <f t="array" ref="BH57">IF(AND(BH$2&lt;&gt;0,TblTech[[#This Row],[Hour]:[Hour]]&gt;=BH$2),1,0)</f>
        <v>0</v>
      </c>
      <c r="BI57" s="276" cm="1">
        <f t="array" ref="BI57">IF(AND(BI$2&lt;&gt;0,TblTech[[#This Row],[Hour]:[Hour]]&gt;=BI$2),1,0)</f>
        <v>0</v>
      </c>
      <c r="BJ57" s="276" cm="1">
        <f t="array" ref="BJ57">IF(AND(BJ$2&lt;&gt;0,TblTech[[#This Row],[Hour]:[Hour]]&gt;=BJ$2),1,0)</f>
        <v>0</v>
      </c>
      <c r="BK57" s="276" cm="1">
        <f t="array" ref="BK57">IF(AND(BK$2&lt;&gt;0,TblTech[[#This Row],[Hour]:[Hour]]&gt;=BK$2),1,0)</f>
        <v>0</v>
      </c>
      <c r="BL57" s="276" cm="1">
        <f t="array" ref="BL57">IF(AND(BL$2&lt;&gt;0,TblTech[[#This Row],[Hour]:[Hour]]&gt;=BL$2),1,0)</f>
        <v>0</v>
      </c>
      <c r="BM57" s="276" cm="1">
        <f t="array" ref="BM57">IF(AND(BM$2&lt;&gt;0,TblTech[[#This Row],[Hour]:[Hour]]&gt;=BM$2),1,0)</f>
        <v>0</v>
      </c>
      <c r="BN57" s="276" cm="1">
        <f t="array" ref="BN57">IF(AND(BN$2&lt;&gt;0,TblTech[[#This Row],[Hour]:[Hour]]&gt;=BN$2),1,0)</f>
        <v>0</v>
      </c>
      <c r="BO57" s="276" cm="1">
        <f t="array" ref="BO57">IF(AND(BO$2&lt;&gt;0,TblTech[[#This Row],[Hour]:[Hour]]&gt;=BO$2),1,0)</f>
        <v>0</v>
      </c>
      <c r="BP57" s="276" cm="1">
        <f t="array" ref="BP57">IF(AND(BP$2&lt;&gt;0,TblTech[[#This Row],[Hour]:[Hour]]&gt;=BP$2),1,0)</f>
        <v>0</v>
      </c>
      <c r="BQ57" s="276" cm="1">
        <f t="array" ref="BQ57">IF(AND(BQ$2&lt;&gt;0,TblTech[[#This Row],[Hour]:[Hour]]&gt;=BQ$2),1,0)</f>
        <v>0</v>
      </c>
      <c r="BR57" s="276" cm="1">
        <f t="array" ref="BR57">IF(AND(BR$2&lt;&gt;0,TblTech[[#This Row],[Hour]:[Hour]]&gt;=BR$2),1,0)</f>
        <v>0</v>
      </c>
      <c r="BS57" s="276" cm="1">
        <f t="array" ref="BS57">IF(AND(BS$2&lt;&gt;0,TblTech[[#This Row],[Hour]:[Hour]]&gt;=BS$2),1,0)</f>
        <v>0</v>
      </c>
      <c r="BT57" s="276" cm="1">
        <f t="array" ref="BT57">IF(AND(BT$2&lt;&gt;0,TblTech[[#This Row],[Hour]:[Hour]]&gt;=BT$2),1,0)</f>
        <v>0</v>
      </c>
      <c r="BU57" s="276" cm="1">
        <f t="array" ref="BU57">IF(AND(BU$2&lt;&gt;0,TblTech[[#This Row],[Hour]:[Hour]]&gt;=BU$2),1,0)</f>
        <v>0</v>
      </c>
      <c r="BV57" s="276" cm="1">
        <f t="array" ref="BV57">IF(AND(BV$2&lt;&gt;0,TblTech[[#This Row],[Hour]:[Hour]]&gt;=BV$2),1,0)</f>
        <v>0</v>
      </c>
      <c r="BW57" s="276" cm="1">
        <f t="array" ref="BW57">IF(AND(BW$2&lt;&gt;0,TblTech[[#This Row],[Hour]:[Hour]]&gt;=BW$2),1,0)</f>
        <v>0</v>
      </c>
      <c r="BX57" s="276" cm="1">
        <f t="array" ref="BX57">IF(AND(BX$2&lt;&gt;0,TblTech[[#This Row],[Hour]:[Hour]]&gt;=BX$2),1,0)</f>
        <v>0</v>
      </c>
      <c r="BY57" s="276" cm="1">
        <f t="array" ref="BY57">IF(AND(BY$2&lt;&gt;0,TblTech[[#This Row],[Hour]:[Hour]]&gt;=BY$2),1,0)</f>
        <v>0</v>
      </c>
      <c r="BZ57" s="276" cm="1">
        <f t="array" ref="BZ57">IF(AND(BZ$2&lt;&gt;0,TblTech[[#This Row],[Hour]:[Hour]]&gt;=BZ$2),1,0)</f>
        <v>0</v>
      </c>
      <c r="CA57" s="377">
        <f>IFERROR(INDEX($H$4:$H$79,MATCH(INDEX(TblTech[[#Headers],[1-1]:[11-1]],1,MATCH(TblTech[[#This Row],[Hour]],$M$2:$BZ$2,0)),$G$4:$G$79,0)),)</f>
        <v>0</v>
      </c>
    </row>
    <row r="58" spans="1:79" x14ac:dyDescent="0.2">
      <c r="A58" s="268">
        <f>TblRezone[[#This Row],[Hour]]</f>
        <v>55</v>
      </c>
      <c r="B58" s="269">
        <f ca="1">TblExplore[[#This Row],[Land-DB]]</f>
        <v>50</v>
      </c>
      <c r="C58" s="270">
        <f ca="1">TblProd[[#This Row],[Techpoints]]</f>
        <v>0</v>
      </c>
      <c r="D58" s="270">
        <f ca="1">TblProd[[#This Row],[Required]]</f>
        <v>3750</v>
      </c>
      <c r="E58" s="271"/>
      <c r="F58" s="272"/>
      <c r="G58" s="273" t="s">
        <v>598</v>
      </c>
      <c r="H58" s="274" t="s">
        <v>714</v>
      </c>
      <c r="I58" s="273" t="s">
        <v>1096</v>
      </c>
      <c r="J58" s="269"/>
      <c r="K58" s="93">
        <f ca="1">IF(TblTech[[#This Row],[Sum of tech]]&lt;&gt;OFFSET(TblTech[[#This Row],[Sum of tech]],-1,0),1,0)</f>
        <v>0</v>
      </c>
      <c r="L58" s="275">
        <f>COUNTIF(TblTech[[#This Row],[1-1]:[11-1]],1)</f>
        <v>0</v>
      </c>
      <c r="M58" s="276" cm="1">
        <f t="array" ref="M58">IF(AND(M$2&lt;&gt;0,TblTech[[#This Row],[Hour]:[Hour]]&gt;=M$2),1,0)</f>
        <v>0</v>
      </c>
      <c r="N58" s="276" cm="1">
        <f t="array" ref="N58">IF(AND(N$2&lt;&gt;0,TblTech[[#This Row],[Hour]:[Hour]]&gt;=N$2),1,0)</f>
        <v>0</v>
      </c>
      <c r="O58" s="276" cm="1">
        <f t="array" ref="O58">IF(AND(O$2&lt;&gt;0,TblTech[[#This Row],[Hour]:[Hour]]&gt;=O$2),1,0)</f>
        <v>0</v>
      </c>
      <c r="P58" s="276" cm="1">
        <f t="array" ref="P58">IF(AND(P$2&lt;&gt;0,TblTech[[#This Row],[Hour]:[Hour]]&gt;=P$2),1,0)</f>
        <v>0</v>
      </c>
      <c r="Q58" s="276" cm="1">
        <f t="array" ref="Q58">IF(AND(Q$2&lt;&gt;0,TblTech[[#This Row],[Hour]:[Hour]]&gt;=Q$2),1,0)</f>
        <v>0</v>
      </c>
      <c r="R58" s="276" cm="1">
        <f t="array" ref="R58">IF(AND(R$2&lt;&gt;0,TblTech[[#This Row],[Hour]:[Hour]]&gt;=R$2),1,0)</f>
        <v>0</v>
      </c>
      <c r="S58" s="276" cm="1">
        <f t="array" ref="S58">IF(AND(S$2&lt;&gt;0,TblTech[[#This Row],[Hour]:[Hour]]&gt;=S$2),1,0)</f>
        <v>0</v>
      </c>
      <c r="T58" s="276" cm="1">
        <f t="array" ref="T58">IF(AND(T$2&lt;&gt;0,TblTech[[#This Row],[Hour]:[Hour]]&gt;=T$2),1,0)</f>
        <v>0</v>
      </c>
      <c r="U58" s="276" cm="1">
        <f t="array" ref="U58">IF(AND(U$2&lt;&gt;0,TblTech[[#This Row],[Hour]:[Hour]]&gt;=U$2),1,0)</f>
        <v>0</v>
      </c>
      <c r="V58" s="276" cm="1">
        <f t="array" ref="V58">IF(AND(V$2&lt;&gt;0,TblTech[[#This Row],[Hour]:[Hour]]&gt;=V$2),1,0)</f>
        <v>0</v>
      </c>
      <c r="W58" s="276" cm="1">
        <f t="array" ref="W58">IF(AND(W$2&lt;&gt;0,TblTech[[#This Row],[Hour]:[Hour]]&gt;=W$2),1,0)</f>
        <v>0</v>
      </c>
      <c r="X58" s="276" cm="1">
        <f t="array" ref="X58">IF(AND(X$2&lt;&gt;0,TblTech[[#This Row],[Hour]:[Hour]]&gt;=X$2),1,0)</f>
        <v>0</v>
      </c>
      <c r="Y58" s="276" cm="1">
        <f t="array" ref="Y58">IF(AND(Y$2&lt;&gt;0,TblTech[[#This Row],[Hour]:[Hour]]&gt;=Y$2),1,0)</f>
        <v>0</v>
      </c>
      <c r="Z58" s="276" cm="1">
        <f t="array" ref="Z58">IF(AND(Z$2&lt;&gt;0,TblTech[[#This Row],[Hour]:[Hour]]&gt;=Z$2),1,0)</f>
        <v>0</v>
      </c>
      <c r="AA58" s="276" cm="1">
        <f t="array" ref="AA58">IF(AND(AA$2&lt;&gt;0,TblTech[[#This Row],[Hour]:[Hour]]&gt;=AA$2),1,0)</f>
        <v>0</v>
      </c>
      <c r="AB58" s="276" cm="1">
        <f t="array" ref="AB58">IF(AND(AB$2&lt;&gt;0,TblTech[[#This Row],[Hour]:[Hour]]&gt;=AB$2),1,0)</f>
        <v>0</v>
      </c>
      <c r="AC58" s="276" cm="1">
        <f t="array" ref="AC58">IF(AND(AC$2&lt;&gt;0,TblTech[[#This Row],[Hour]:[Hour]]&gt;=AC$2),1,0)</f>
        <v>0</v>
      </c>
      <c r="AD58" s="276" cm="1">
        <f t="array" ref="AD58">IF(AND(AD$2&lt;&gt;0,TblTech[[#This Row],[Hour]:[Hour]]&gt;=AD$2),1,0)</f>
        <v>0</v>
      </c>
      <c r="AE58" s="276" cm="1">
        <f t="array" ref="AE58">IF(AND(AE$2&lt;&gt;0,TblTech[[#This Row],[Hour]:[Hour]]&gt;=AE$2),1,0)</f>
        <v>0</v>
      </c>
      <c r="AF58" s="276" cm="1">
        <f t="array" ref="AF58">IF(AND(AF$2&lt;&gt;0,TblTech[[#This Row],[Hour]:[Hour]]&gt;=AF$2),1,0)</f>
        <v>0</v>
      </c>
      <c r="AG58" s="276" cm="1">
        <f t="array" ref="AG58">IF(AND(AG$2&lt;&gt;0,TblTech[[#This Row],[Hour]:[Hour]]&gt;=AG$2),1,0)</f>
        <v>0</v>
      </c>
      <c r="AH58" s="276" cm="1">
        <f t="array" ref="AH58">IF(AND(AH$2&lt;&gt;0,TblTech[[#This Row],[Hour]:[Hour]]&gt;=AH$2),1,0)</f>
        <v>0</v>
      </c>
      <c r="AI58" s="276" cm="1">
        <f t="array" ref="AI58">IF(AND(AI$2&lt;&gt;0,TblTech[[#This Row],[Hour]:[Hour]]&gt;=AI$2),1,0)</f>
        <v>0</v>
      </c>
      <c r="AJ58" s="276" cm="1">
        <f t="array" ref="AJ58">IF(AND(AJ$2&lt;&gt;0,TblTech[[#This Row],[Hour]:[Hour]]&gt;=AJ$2),1,0)</f>
        <v>0</v>
      </c>
      <c r="AK58" s="276" cm="1">
        <f t="array" ref="AK58">IF(AND(AK$2&lt;&gt;0,TblTech[[#This Row],[Hour]:[Hour]]&gt;=AK$2),1,0)</f>
        <v>0</v>
      </c>
      <c r="AL58" s="276" cm="1">
        <f t="array" ref="AL58">IF(AND(AL$2&lt;&gt;0,TblTech[[#This Row],[Hour]:[Hour]]&gt;=AL$2),1,0)</f>
        <v>0</v>
      </c>
      <c r="AM58" s="276" cm="1">
        <f t="array" ref="AM58">IF(AND(AM$2&lt;&gt;0,TblTech[[#This Row],[Hour]:[Hour]]&gt;=AM$2),1,0)</f>
        <v>0</v>
      </c>
      <c r="AN58" s="276" cm="1">
        <f t="array" ref="AN58">IF(AND(AN$2&lt;&gt;0,TblTech[[#This Row],[Hour]:[Hour]]&gt;=AN$2),1,0)</f>
        <v>0</v>
      </c>
      <c r="AO58" s="276" cm="1">
        <f t="array" ref="AO58">IF(AND(AO$2&lt;&gt;0,TblTech[[#This Row],[Hour]:[Hour]]&gt;=AO$2),1,0)</f>
        <v>0</v>
      </c>
      <c r="AP58" s="276" cm="1">
        <f t="array" ref="AP58">IF(AND(AP$2&lt;&gt;0,TblTech[[#This Row],[Hour]:[Hour]]&gt;=AP$2),1,0)</f>
        <v>0</v>
      </c>
      <c r="AQ58" s="276" cm="1">
        <f t="array" ref="AQ58">IF(AND(AQ$2&lt;&gt;0,TblTech[[#This Row],[Hour]:[Hour]]&gt;=AQ$2),1,0)</f>
        <v>0</v>
      </c>
      <c r="AR58" s="276" cm="1">
        <f t="array" ref="AR58">IF(AND(AR$2&lt;&gt;0,TblTech[[#This Row],[Hour]:[Hour]]&gt;=AR$2),1,0)</f>
        <v>0</v>
      </c>
      <c r="AS58" s="276" cm="1">
        <f t="array" ref="AS58">IF(AND(AS$2&lt;&gt;0,TblTech[[#This Row],[Hour]:[Hour]]&gt;=AS$2),1,0)</f>
        <v>0</v>
      </c>
      <c r="AT58" s="276" cm="1">
        <f t="array" ref="AT58">IF(AND(AT$2&lt;&gt;0,TblTech[[#This Row],[Hour]:[Hour]]&gt;=AT$2),1,0)</f>
        <v>0</v>
      </c>
      <c r="AU58" s="276" cm="1">
        <f t="array" ref="AU58">IF(AND(AU$2&lt;&gt;0,TblTech[[#This Row],[Hour]:[Hour]]&gt;=AU$2),1,0)</f>
        <v>0</v>
      </c>
      <c r="AV58" s="276" cm="1">
        <f t="array" ref="AV58">IF(AND(AV$2&lt;&gt;0,TblTech[[#This Row],[Hour]:[Hour]]&gt;=AV$2),1,0)</f>
        <v>0</v>
      </c>
      <c r="AW58" s="276" cm="1">
        <f t="array" ref="AW58">IF(AND(AW$2&lt;&gt;0,TblTech[[#This Row],[Hour]:[Hour]]&gt;=AW$2),1,0)</f>
        <v>0</v>
      </c>
      <c r="AX58" s="276" cm="1">
        <f t="array" ref="AX58">IF(AND(AX$2&lt;&gt;0,TblTech[[#This Row],[Hour]:[Hour]]&gt;=AX$2),1,0)</f>
        <v>0</v>
      </c>
      <c r="AY58" s="276" cm="1">
        <f t="array" ref="AY58">IF(AND(AY$2&lt;&gt;0,TblTech[[#This Row],[Hour]:[Hour]]&gt;=AY$2),1,0)</f>
        <v>0</v>
      </c>
      <c r="AZ58" s="276" cm="1">
        <f t="array" ref="AZ58">IF(AND(AZ$2&lt;&gt;0,TblTech[[#This Row],[Hour]:[Hour]]&gt;=AZ$2),1,0)</f>
        <v>0</v>
      </c>
      <c r="BA58" s="276" cm="1">
        <f t="array" ref="BA58">IF(AND(BA$2&lt;&gt;0,TblTech[[#This Row],[Hour]:[Hour]]&gt;=BA$2),1,0)</f>
        <v>0</v>
      </c>
      <c r="BB58" s="276" cm="1">
        <f t="array" ref="BB58">IF(AND(BB$2&lt;&gt;0,TblTech[[#This Row],[Hour]:[Hour]]&gt;=BB$2),1,0)</f>
        <v>0</v>
      </c>
      <c r="BC58" s="276" cm="1">
        <f t="array" ref="BC58">IF(AND(BC$2&lt;&gt;0,TblTech[[#This Row],[Hour]:[Hour]]&gt;=BC$2),1,0)</f>
        <v>0</v>
      </c>
      <c r="BD58" s="276" cm="1">
        <f t="array" ref="BD58">IF(AND(BD$2&lt;&gt;0,TblTech[[#This Row],[Hour]:[Hour]]&gt;=BD$2),1,0)</f>
        <v>0</v>
      </c>
      <c r="BE58" s="276" cm="1">
        <f t="array" ref="BE58">IF(AND(BE$2&lt;&gt;0,TblTech[[#This Row],[Hour]:[Hour]]&gt;=BE$2),1,0)</f>
        <v>0</v>
      </c>
      <c r="BF58" s="276" cm="1">
        <f t="array" ref="BF58">IF(AND(BF$2&lt;&gt;0,TblTech[[#This Row],[Hour]:[Hour]]&gt;=BF$2),1,0)</f>
        <v>0</v>
      </c>
      <c r="BG58" s="276" cm="1">
        <f t="array" ref="BG58">IF(AND(BG$2&lt;&gt;0,TblTech[[#This Row],[Hour]:[Hour]]&gt;=BG$2),1,0)</f>
        <v>0</v>
      </c>
      <c r="BH58" s="276" cm="1">
        <f t="array" ref="BH58">IF(AND(BH$2&lt;&gt;0,TblTech[[#This Row],[Hour]:[Hour]]&gt;=BH$2),1,0)</f>
        <v>0</v>
      </c>
      <c r="BI58" s="276" cm="1">
        <f t="array" ref="BI58">IF(AND(BI$2&lt;&gt;0,TblTech[[#This Row],[Hour]:[Hour]]&gt;=BI$2),1,0)</f>
        <v>0</v>
      </c>
      <c r="BJ58" s="276" cm="1">
        <f t="array" ref="BJ58">IF(AND(BJ$2&lt;&gt;0,TblTech[[#This Row],[Hour]:[Hour]]&gt;=BJ$2),1,0)</f>
        <v>0</v>
      </c>
      <c r="BK58" s="276" cm="1">
        <f t="array" ref="BK58">IF(AND(BK$2&lt;&gt;0,TblTech[[#This Row],[Hour]:[Hour]]&gt;=BK$2),1,0)</f>
        <v>0</v>
      </c>
      <c r="BL58" s="276" cm="1">
        <f t="array" ref="BL58">IF(AND(BL$2&lt;&gt;0,TblTech[[#This Row],[Hour]:[Hour]]&gt;=BL$2),1,0)</f>
        <v>0</v>
      </c>
      <c r="BM58" s="276" cm="1">
        <f t="array" ref="BM58">IF(AND(BM$2&lt;&gt;0,TblTech[[#This Row],[Hour]:[Hour]]&gt;=BM$2),1,0)</f>
        <v>0</v>
      </c>
      <c r="BN58" s="276" cm="1">
        <f t="array" ref="BN58">IF(AND(BN$2&lt;&gt;0,TblTech[[#This Row],[Hour]:[Hour]]&gt;=BN$2),1,0)</f>
        <v>0</v>
      </c>
      <c r="BO58" s="276" cm="1">
        <f t="array" ref="BO58">IF(AND(BO$2&lt;&gt;0,TblTech[[#This Row],[Hour]:[Hour]]&gt;=BO$2),1,0)</f>
        <v>0</v>
      </c>
      <c r="BP58" s="276" cm="1">
        <f t="array" ref="BP58">IF(AND(BP$2&lt;&gt;0,TblTech[[#This Row],[Hour]:[Hour]]&gt;=BP$2),1,0)</f>
        <v>0</v>
      </c>
      <c r="BQ58" s="276" cm="1">
        <f t="array" ref="BQ58">IF(AND(BQ$2&lt;&gt;0,TblTech[[#This Row],[Hour]:[Hour]]&gt;=BQ$2),1,0)</f>
        <v>0</v>
      </c>
      <c r="BR58" s="276" cm="1">
        <f t="array" ref="BR58">IF(AND(BR$2&lt;&gt;0,TblTech[[#This Row],[Hour]:[Hour]]&gt;=BR$2),1,0)</f>
        <v>0</v>
      </c>
      <c r="BS58" s="276" cm="1">
        <f t="array" ref="BS58">IF(AND(BS$2&lt;&gt;0,TblTech[[#This Row],[Hour]:[Hour]]&gt;=BS$2),1,0)</f>
        <v>0</v>
      </c>
      <c r="BT58" s="276" cm="1">
        <f t="array" ref="BT58">IF(AND(BT$2&lt;&gt;0,TblTech[[#This Row],[Hour]:[Hour]]&gt;=BT$2),1,0)</f>
        <v>0</v>
      </c>
      <c r="BU58" s="276" cm="1">
        <f t="array" ref="BU58">IF(AND(BU$2&lt;&gt;0,TblTech[[#This Row],[Hour]:[Hour]]&gt;=BU$2),1,0)</f>
        <v>0</v>
      </c>
      <c r="BV58" s="276" cm="1">
        <f t="array" ref="BV58">IF(AND(BV$2&lt;&gt;0,TblTech[[#This Row],[Hour]:[Hour]]&gt;=BV$2),1,0)</f>
        <v>0</v>
      </c>
      <c r="BW58" s="276" cm="1">
        <f t="array" ref="BW58">IF(AND(BW$2&lt;&gt;0,TblTech[[#This Row],[Hour]:[Hour]]&gt;=BW$2),1,0)</f>
        <v>0</v>
      </c>
      <c r="BX58" s="276" cm="1">
        <f t="array" ref="BX58">IF(AND(BX$2&lt;&gt;0,TblTech[[#This Row],[Hour]:[Hour]]&gt;=BX$2),1,0)</f>
        <v>0</v>
      </c>
      <c r="BY58" s="276" cm="1">
        <f t="array" ref="BY58">IF(AND(BY$2&lt;&gt;0,TblTech[[#This Row],[Hour]:[Hour]]&gt;=BY$2),1,0)</f>
        <v>0</v>
      </c>
      <c r="BZ58" s="276" cm="1">
        <f t="array" ref="BZ58">IF(AND(BZ$2&lt;&gt;0,TblTech[[#This Row],[Hour]:[Hour]]&gt;=BZ$2),1,0)</f>
        <v>0</v>
      </c>
      <c r="CA58" s="377">
        <f>IFERROR(INDEX($H$4:$H$79,MATCH(INDEX(TblTech[[#Headers],[1-1]:[11-1]],1,MATCH(TblTech[[#This Row],[Hour]],$M$2:$BZ$2,0)),$G$4:$G$79,0)),)</f>
        <v>0</v>
      </c>
    </row>
    <row r="59" spans="1:79" x14ac:dyDescent="0.2">
      <c r="A59" s="268">
        <f>TblRezone[[#This Row],[Hour]]</f>
        <v>56</v>
      </c>
      <c r="B59" s="269">
        <f ca="1">TblExplore[[#This Row],[Land-DB]]</f>
        <v>50</v>
      </c>
      <c r="C59" s="270">
        <f ca="1">TblProd[[#This Row],[Techpoints]]</f>
        <v>0</v>
      </c>
      <c r="D59" s="270">
        <f ca="1">TblProd[[#This Row],[Required]]</f>
        <v>3750</v>
      </c>
      <c r="E59" s="271"/>
      <c r="F59" s="272"/>
      <c r="G59" s="273" t="s">
        <v>599</v>
      </c>
      <c r="H59" s="274" t="s">
        <v>720</v>
      </c>
      <c r="I59" s="273" t="s">
        <v>738</v>
      </c>
      <c r="J59" s="269"/>
      <c r="K59" s="93">
        <f ca="1">IF(TblTech[[#This Row],[Sum of tech]]&lt;&gt;OFFSET(TblTech[[#This Row],[Sum of tech]],-1,0),1,0)</f>
        <v>0</v>
      </c>
      <c r="L59" s="275">
        <f>COUNTIF(TblTech[[#This Row],[1-1]:[11-1]],1)</f>
        <v>0</v>
      </c>
      <c r="M59" s="276" cm="1">
        <f t="array" ref="M59">IF(AND(M$2&lt;&gt;0,TblTech[[#This Row],[Hour]:[Hour]]&gt;=M$2),1,0)</f>
        <v>0</v>
      </c>
      <c r="N59" s="276" cm="1">
        <f t="array" ref="N59">IF(AND(N$2&lt;&gt;0,TblTech[[#This Row],[Hour]:[Hour]]&gt;=N$2),1,0)</f>
        <v>0</v>
      </c>
      <c r="O59" s="276" cm="1">
        <f t="array" ref="O59">IF(AND(O$2&lt;&gt;0,TblTech[[#This Row],[Hour]:[Hour]]&gt;=O$2),1,0)</f>
        <v>0</v>
      </c>
      <c r="P59" s="276" cm="1">
        <f t="array" ref="P59">IF(AND(P$2&lt;&gt;0,TblTech[[#This Row],[Hour]:[Hour]]&gt;=P$2),1,0)</f>
        <v>0</v>
      </c>
      <c r="Q59" s="276" cm="1">
        <f t="array" ref="Q59">IF(AND(Q$2&lt;&gt;0,TblTech[[#This Row],[Hour]:[Hour]]&gt;=Q$2),1,0)</f>
        <v>0</v>
      </c>
      <c r="R59" s="276" cm="1">
        <f t="array" ref="R59">IF(AND(R$2&lt;&gt;0,TblTech[[#This Row],[Hour]:[Hour]]&gt;=R$2),1,0)</f>
        <v>0</v>
      </c>
      <c r="S59" s="276" cm="1">
        <f t="array" ref="S59">IF(AND(S$2&lt;&gt;0,TblTech[[#This Row],[Hour]:[Hour]]&gt;=S$2),1,0)</f>
        <v>0</v>
      </c>
      <c r="T59" s="276" cm="1">
        <f t="array" ref="T59">IF(AND(T$2&lt;&gt;0,TblTech[[#This Row],[Hour]:[Hour]]&gt;=T$2),1,0)</f>
        <v>0</v>
      </c>
      <c r="U59" s="276" cm="1">
        <f t="array" ref="U59">IF(AND(U$2&lt;&gt;0,TblTech[[#This Row],[Hour]:[Hour]]&gt;=U$2),1,0)</f>
        <v>0</v>
      </c>
      <c r="V59" s="276" cm="1">
        <f t="array" ref="V59">IF(AND(V$2&lt;&gt;0,TblTech[[#This Row],[Hour]:[Hour]]&gt;=V$2),1,0)</f>
        <v>0</v>
      </c>
      <c r="W59" s="276" cm="1">
        <f t="array" ref="W59">IF(AND(W$2&lt;&gt;0,TblTech[[#This Row],[Hour]:[Hour]]&gt;=W$2),1,0)</f>
        <v>0</v>
      </c>
      <c r="X59" s="276" cm="1">
        <f t="array" ref="X59">IF(AND(X$2&lt;&gt;0,TblTech[[#This Row],[Hour]:[Hour]]&gt;=X$2),1,0)</f>
        <v>0</v>
      </c>
      <c r="Y59" s="276" cm="1">
        <f t="array" ref="Y59">IF(AND(Y$2&lt;&gt;0,TblTech[[#This Row],[Hour]:[Hour]]&gt;=Y$2),1,0)</f>
        <v>0</v>
      </c>
      <c r="Z59" s="276" cm="1">
        <f t="array" ref="Z59">IF(AND(Z$2&lt;&gt;0,TblTech[[#This Row],[Hour]:[Hour]]&gt;=Z$2),1,0)</f>
        <v>0</v>
      </c>
      <c r="AA59" s="276" cm="1">
        <f t="array" ref="AA59">IF(AND(AA$2&lt;&gt;0,TblTech[[#This Row],[Hour]:[Hour]]&gt;=AA$2),1,0)</f>
        <v>0</v>
      </c>
      <c r="AB59" s="276" cm="1">
        <f t="array" ref="AB59">IF(AND(AB$2&lt;&gt;0,TblTech[[#This Row],[Hour]:[Hour]]&gt;=AB$2),1,0)</f>
        <v>0</v>
      </c>
      <c r="AC59" s="276" cm="1">
        <f t="array" ref="AC59">IF(AND(AC$2&lt;&gt;0,TblTech[[#This Row],[Hour]:[Hour]]&gt;=AC$2),1,0)</f>
        <v>0</v>
      </c>
      <c r="AD59" s="276" cm="1">
        <f t="array" ref="AD59">IF(AND(AD$2&lt;&gt;0,TblTech[[#This Row],[Hour]:[Hour]]&gt;=AD$2),1,0)</f>
        <v>0</v>
      </c>
      <c r="AE59" s="276" cm="1">
        <f t="array" ref="AE59">IF(AND(AE$2&lt;&gt;0,TblTech[[#This Row],[Hour]:[Hour]]&gt;=AE$2),1,0)</f>
        <v>0</v>
      </c>
      <c r="AF59" s="276" cm="1">
        <f t="array" ref="AF59">IF(AND(AF$2&lt;&gt;0,TblTech[[#This Row],[Hour]:[Hour]]&gt;=AF$2),1,0)</f>
        <v>0</v>
      </c>
      <c r="AG59" s="276" cm="1">
        <f t="array" ref="AG59">IF(AND(AG$2&lt;&gt;0,TblTech[[#This Row],[Hour]:[Hour]]&gt;=AG$2),1,0)</f>
        <v>0</v>
      </c>
      <c r="AH59" s="276" cm="1">
        <f t="array" ref="AH59">IF(AND(AH$2&lt;&gt;0,TblTech[[#This Row],[Hour]:[Hour]]&gt;=AH$2),1,0)</f>
        <v>0</v>
      </c>
      <c r="AI59" s="276" cm="1">
        <f t="array" ref="AI59">IF(AND(AI$2&lt;&gt;0,TblTech[[#This Row],[Hour]:[Hour]]&gt;=AI$2),1,0)</f>
        <v>0</v>
      </c>
      <c r="AJ59" s="276" cm="1">
        <f t="array" ref="AJ59">IF(AND(AJ$2&lt;&gt;0,TblTech[[#This Row],[Hour]:[Hour]]&gt;=AJ$2),1,0)</f>
        <v>0</v>
      </c>
      <c r="AK59" s="276" cm="1">
        <f t="array" ref="AK59">IF(AND(AK$2&lt;&gt;0,TblTech[[#This Row],[Hour]:[Hour]]&gt;=AK$2),1,0)</f>
        <v>0</v>
      </c>
      <c r="AL59" s="276" cm="1">
        <f t="array" ref="AL59">IF(AND(AL$2&lt;&gt;0,TblTech[[#This Row],[Hour]:[Hour]]&gt;=AL$2),1,0)</f>
        <v>0</v>
      </c>
      <c r="AM59" s="276" cm="1">
        <f t="array" ref="AM59">IF(AND(AM$2&lt;&gt;0,TblTech[[#This Row],[Hour]:[Hour]]&gt;=AM$2),1,0)</f>
        <v>0</v>
      </c>
      <c r="AN59" s="276" cm="1">
        <f t="array" ref="AN59">IF(AND(AN$2&lt;&gt;0,TblTech[[#This Row],[Hour]:[Hour]]&gt;=AN$2),1,0)</f>
        <v>0</v>
      </c>
      <c r="AO59" s="276" cm="1">
        <f t="array" ref="AO59">IF(AND(AO$2&lt;&gt;0,TblTech[[#This Row],[Hour]:[Hour]]&gt;=AO$2),1,0)</f>
        <v>0</v>
      </c>
      <c r="AP59" s="276" cm="1">
        <f t="array" ref="AP59">IF(AND(AP$2&lt;&gt;0,TblTech[[#This Row],[Hour]:[Hour]]&gt;=AP$2),1,0)</f>
        <v>0</v>
      </c>
      <c r="AQ59" s="276" cm="1">
        <f t="array" ref="AQ59">IF(AND(AQ$2&lt;&gt;0,TblTech[[#This Row],[Hour]:[Hour]]&gt;=AQ$2),1,0)</f>
        <v>0</v>
      </c>
      <c r="AR59" s="276" cm="1">
        <f t="array" ref="AR59">IF(AND(AR$2&lt;&gt;0,TblTech[[#This Row],[Hour]:[Hour]]&gt;=AR$2),1,0)</f>
        <v>0</v>
      </c>
      <c r="AS59" s="276" cm="1">
        <f t="array" ref="AS59">IF(AND(AS$2&lt;&gt;0,TblTech[[#This Row],[Hour]:[Hour]]&gt;=AS$2),1,0)</f>
        <v>0</v>
      </c>
      <c r="AT59" s="276" cm="1">
        <f t="array" ref="AT59">IF(AND(AT$2&lt;&gt;0,TblTech[[#This Row],[Hour]:[Hour]]&gt;=AT$2),1,0)</f>
        <v>0</v>
      </c>
      <c r="AU59" s="276" cm="1">
        <f t="array" ref="AU59">IF(AND(AU$2&lt;&gt;0,TblTech[[#This Row],[Hour]:[Hour]]&gt;=AU$2),1,0)</f>
        <v>0</v>
      </c>
      <c r="AV59" s="276" cm="1">
        <f t="array" ref="AV59">IF(AND(AV$2&lt;&gt;0,TblTech[[#This Row],[Hour]:[Hour]]&gt;=AV$2),1,0)</f>
        <v>0</v>
      </c>
      <c r="AW59" s="276" cm="1">
        <f t="array" ref="AW59">IF(AND(AW$2&lt;&gt;0,TblTech[[#This Row],[Hour]:[Hour]]&gt;=AW$2),1,0)</f>
        <v>0</v>
      </c>
      <c r="AX59" s="276" cm="1">
        <f t="array" ref="AX59">IF(AND(AX$2&lt;&gt;0,TblTech[[#This Row],[Hour]:[Hour]]&gt;=AX$2),1,0)</f>
        <v>0</v>
      </c>
      <c r="AY59" s="276" cm="1">
        <f t="array" ref="AY59">IF(AND(AY$2&lt;&gt;0,TblTech[[#This Row],[Hour]:[Hour]]&gt;=AY$2),1,0)</f>
        <v>0</v>
      </c>
      <c r="AZ59" s="276" cm="1">
        <f t="array" ref="AZ59">IF(AND(AZ$2&lt;&gt;0,TblTech[[#This Row],[Hour]:[Hour]]&gt;=AZ$2),1,0)</f>
        <v>0</v>
      </c>
      <c r="BA59" s="276" cm="1">
        <f t="array" ref="BA59">IF(AND(BA$2&lt;&gt;0,TblTech[[#This Row],[Hour]:[Hour]]&gt;=BA$2),1,0)</f>
        <v>0</v>
      </c>
      <c r="BB59" s="276" cm="1">
        <f t="array" ref="BB59">IF(AND(BB$2&lt;&gt;0,TblTech[[#This Row],[Hour]:[Hour]]&gt;=BB$2),1,0)</f>
        <v>0</v>
      </c>
      <c r="BC59" s="276" cm="1">
        <f t="array" ref="BC59">IF(AND(BC$2&lt;&gt;0,TblTech[[#This Row],[Hour]:[Hour]]&gt;=BC$2),1,0)</f>
        <v>0</v>
      </c>
      <c r="BD59" s="276" cm="1">
        <f t="array" ref="BD59">IF(AND(BD$2&lt;&gt;0,TblTech[[#This Row],[Hour]:[Hour]]&gt;=BD$2),1,0)</f>
        <v>0</v>
      </c>
      <c r="BE59" s="276" cm="1">
        <f t="array" ref="BE59">IF(AND(BE$2&lt;&gt;0,TblTech[[#This Row],[Hour]:[Hour]]&gt;=BE$2),1,0)</f>
        <v>0</v>
      </c>
      <c r="BF59" s="276" cm="1">
        <f t="array" ref="BF59">IF(AND(BF$2&lt;&gt;0,TblTech[[#This Row],[Hour]:[Hour]]&gt;=BF$2),1,0)</f>
        <v>0</v>
      </c>
      <c r="BG59" s="276" cm="1">
        <f t="array" ref="BG59">IF(AND(BG$2&lt;&gt;0,TblTech[[#This Row],[Hour]:[Hour]]&gt;=BG$2),1,0)</f>
        <v>0</v>
      </c>
      <c r="BH59" s="276" cm="1">
        <f t="array" ref="BH59">IF(AND(BH$2&lt;&gt;0,TblTech[[#This Row],[Hour]:[Hour]]&gt;=BH$2),1,0)</f>
        <v>0</v>
      </c>
      <c r="BI59" s="276" cm="1">
        <f t="array" ref="BI59">IF(AND(BI$2&lt;&gt;0,TblTech[[#This Row],[Hour]:[Hour]]&gt;=BI$2),1,0)</f>
        <v>0</v>
      </c>
      <c r="BJ59" s="276" cm="1">
        <f t="array" ref="BJ59">IF(AND(BJ$2&lt;&gt;0,TblTech[[#This Row],[Hour]:[Hour]]&gt;=BJ$2),1,0)</f>
        <v>0</v>
      </c>
      <c r="BK59" s="276" cm="1">
        <f t="array" ref="BK59">IF(AND(BK$2&lt;&gt;0,TblTech[[#This Row],[Hour]:[Hour]]&gt;=BK$2),1,0)</f>
        <v>0</v>
      </c>
      <c r="BL59" s="276" cm="1">
        <f t="array" ref="BL59">IF(AND(BL$2&lt;&gt;0,TblTech[[#This Row],[Hour]:[Hour]]&gt;=BL$2),1,0)</f>
        <v>0</v>
      </c>
      <c r="BM59" s="276" cm="1">
        <f t="array" ref="BM59">IF(AND(BM$2&lt;&gt;0,TblTech[[#This Row],[Hour]:[Hour]]&gt;=BM$2),1,0)</f>
        <v>0</v>
      </c>
      <c r="BN59" s="276" cm="1">
        <f t="array" ref="BN59">IF(AND(BN$2&lt;&gt;0,TblTech[[#This Row],[Hour]:[Hour]]&gt;=BN$2),1,0)</f>
        <v>0</v>
      </c>
      <c r="BO59" s="276" cm="1">
        <f t="array" ref="BO59">IF(AND(BO$2&lt;&gt;0,TblTech[[#This Row],[Hour]:[Hour]]&gt;=BO$2),1,0)</f>
        <v>0</v>
      </c>
      <c r="BP59" s="276" cm="1">
        <f t="array" ref="BP59">IF(AND(BP$2&lt;&gt;0,TblTech[[#This Row],[Hour]:[Hour]]&gt;=BP$2),1,0)</f>
        <v>0</v>
      </c>
      <c r="BQ59" s="276" cm="1">
        <f t="array" ref="BQ59">IF(AND(BQ$2&lt;&gt;0,TblTech[[#This Row],[Hour]:[Hour]]&gt;=BQ$2),1,0)</f>
        <v>0</v>
      </c>
      <c r="BR59" s="276" cm="1">
        <f t="array" ref="BR59">IF(AND(BR$2&lt;&gt;0,TblTech[[#This Row],[Hour]:[Hour]]&gt;=BR$2),1,0)</f>
        <v>0</v>
      </c>
      <c r="BS59" s="276" cm="1">
        <f t="array" ref="BS59">IF(AND(BS$2&lt;&gt;0,TblTech[[#This Row],[Hour]:[Hour]]&gt;=BS$2),1,0)</f>
        <v>0</v>
      </c>
      <c r="BT59" s="276" cm="1">
        <f t="array" ref="BT59">IF(AND(BT$2&lt;&gt;0,TblTech[[#This Row],[Hour]:[Hour]]&gt;=BT$2),1,0)</f>
        <v>0</v>
      </c>
      <c r="BU59" s="276" cm="1">
        <f t="array" ref="BU59">IF(AND(BU$2&lt;&gt;0,TblTech[[#This Row],[Hour]:[Hour]]&gt;=BU$2),1,0)</f>
        <v>0</v>
      </c>
      <c r="BV59" s="276" cm="1">
        <f t="array" ref="BV59">IF(AND(BV$2&lt;&gt;0,TblTech[[#This Row],[Hour]:[Hour]]&gt;=BV$2),1,0)</f>
        <v>0</v>
      </c>
      <c r="BW59" s="276" cm="1">
        <f t="array" ref="BW59">IF(AND(BW$2&lt;&gt;0,TblTech[[#This Row],[Hour]:[Hour]]&gt;=BW$2),1,0)</f>
        <v>0</v>
      </c>
      <c r="BX59" s="276" cm="1">
        <f t="array" ref="BX59">IF(AND(BX$2&lt;&gt;0,TblTech[[#This Row],[Hour]:[Hour]]&gt;=BX$2),1,0)</f>
        <v>0</v>
      </c>
      <c r="BY59" s="276" cm="1">
        <f t="array" ref="BY59">IF(AND(BY$2&lt;&gt;0,TblTech[[#This Row],[Hour]:[Hour]]&gt;=BY$2),1,0)</f>
        <v>0</v>
      </c>
      <c r="BZ59" s="276" cm="1">
        <f t="array" ref="BZ59">IF(AND(BZ$2&lt;&gt;0,TblTech[[#This Row],[Hour]:[Hour]]&gt;=BZ$2),1,0)</f>
        <v>0</v>
      </c>
      <c r="CA59" s="377">
        <f>IFERROR(INDEX($H$4:$H$79,MATCH(INDEX(TblTech[[#Headers],[1-1]:[11-1]],1,MATCH(TblTech[[#This Row],[Hour]],$M$2:$BZ$2,0)),$G$4:$G$79,0)),)</f>
        <v>0</v>
      </c>
    </row>
    <row r="60" spans="1:79" x14ac:dyDescent="0.2">
      <c r="A60" s="268">
        <f>TblRezone[[#This Row],[Hour]]</f>
        <v>57</v>
      </c>
      <c r="B60" s="269">
        <f ca="1">TblExplore[[#This Row],[Land-DB]]</f>
        <v>50</v>
      </c>
      <c r="C60" s="270">
        <f ca="1">TblProd[[#This Row],[Techpoints]]</f>
        <v>0</v>
      </c>
      <c r="D60" s="270">
        <f ca="1">TblProd[[#This Row],[Required]]</f>
        <v>3750</v>
      </c>
      <c r="E60" s="271"/>
      <c r="F60" s="272"/>
      <c r="G60" s="273"/>
      <c r="H60" s="274"/>
      <c r="I60" s="273"/>
      <c r="J60" s="269"/>
      <c r="K60" s="93">
        <f ca="1">IF(TblTech[[#This Row],[Sum of tech]]&lt;&gt;OFFSET(TblTech[[#This Row],[Sum of tech]],-1,0),1,0)</f>
        <v>0</v>
      </c>
      <c r="L60" s="275">
        <f>COUNTIF(TblTech[[#This Row],[1-1]:[11-1]],1)</f>
        <v>0</v>
      </c>
      <c r="M60" s="276" cm="1">
        <f t="array" ref="M60">IF(AND(M$2&lt;&gt;0,TblTech[[#This Row],[Hour]:[Hour]]&gt;=M$2),1,0)</f>
        <v>0</v>
      </c>
      <c r="N60" s="276" cm="1">
        <f t="array" ref="N60">IF(AND(N$2&lt;&gt;0,TblTech[[#This Row],[Hour]:[Hour]]&gt;=N$2),1,0)</f>
        <v>0</v>
      </c>
      <c r="O60" s="276" cm="1">
        <f t="array" ref="O60">IF(AND(O$2&lt;&gt;0,TblTech[[#This Row],[Hour]:[Hour]]&gt;=O$2),1,0)</f>
        <v>0</v>
      </c>
      <c r="P60" s="276" cm="1">
        <f t="array" ref="P60">IF(AND(P$2&lt;&gt;0,TblTech[[#This Row],[Hour]:[Hour]]&gt;=P$2),1,0)</f>
        <v>0</v>
      </c>
      <c r="Q60" s="276" cm="1">
        <f t="array" ref="Q60">IF(AND(Q$2&lt;&gt;0,TblTech[[#This Row],[Hour]:[Hour]]&gt;=Q$2),1,0)</f>
        <v>0</v>
      </c>
      <c r="R60" s="276" cm="1">
        <f t="array" ref="R60">IF(AND(R$2&lt;&gt;0,TblTech[[#This Row],[Hour]:[Hour]]&gt;=R$2),1,0)</f>
        <v>0</v>
      </c>
      <c r="S60" s="276" cm="1">
        <f t="array" ref="S60">IF(AND(S$2&lt;&gt;0,TblTech[[#This Row],[Hour]:[Hour]]&gt;=S$2),1,0)</f>
        <v>0</v>
      </c>
      <c r="T60" s="276" cm="1">
        <f t="array" ref="T60">IF(AND(T$2&lt;&gt;0,TblTech[[#This Row],[Hour]:[Hour]]&gt;=T$2),1,0)</f>
        <v>0</v>
      </c>
      <c r="U60" s="276" cm="1">
        <f t="array" ref="U60">IF(AND(U$2&lt;&gt;0,TblTech[[#This Row],[Hour]:[Hour]]&gt;=U$2),1,0)</f>
        <v>0</v>
      </c>
      <c r="V60" s="276" cm="1">
        <f t="array" ref="V60">IF(AND(V$2&lt;&gt;0,TblTech[[#This Row],[Hour]:[Hour]]&gt;=V$2),1,0)</f>
        <v>0</v>
      </c>
      <c r="W60" s="276" cm="1">
        <f t="array" ref="W60">IF(AND(W$2&lt;&gt;0,TblTech[[#This Row],[Hour]:[Hour]]&gt;=W$2),1,0)</f>
        <v>0</v>
      </c>
      <c r="X60" s="276" cm="1">
        <f t="array" ref="X60">IF(AND(X$2&lt;&gt;0,TblTech[[#This Row],[Hour]:[Hour]]&gt;=X$2),1,0)</f>
        <v>0</v>
      </c>
      <c r="Y60" s="276" cm="1">
        <f t="array" ref="Y60">IF(AND(Y$2&lt;&gt;0,TblTech[[#This Row],[Hour]:[Hour]]&gt;=Y$2),1,0)</f>
        <v>0</v>
      </c>
      <c r="Z60" s="276" cm="1">
        <f t="array" ref="Z60">IF(AND(Z$2&lt;&gt;0,TblTech[[#This Row],[Hour]:[Hour]]&gt;=Z$2),1,0)</f>
        <v>0</v>
      </c>
      <c r="AA60" s="276" cm="1">
        <f t="array" ref="AA60">IF(AND(AA$2&lt;&gt;0,TblTech[[#This Row],[Hour]:[Hour]]&gt;=AA$2),1,0)</f>
        <v>0</v>
      </c>
      <c r="AB60" s="276" cm="1">
        <f t="array" ref="AB60">IF(AND(AB$2&lt;&gt;0,TblTech[[#This Row],[Hour]:[Hour]]&gt;=AB$2),1,0)</f>
        <v>0</v>
      </c>
      <c r="AC60" s="276" cm="1">
        <f t="array" ref="AC60">IF(AND(AC$2&lt;&gt;0,TblTech[[#This Row],[Hour]:[Hour]]&gt;=AC$2),1,0)</f>
        <v>0</v>
      </c>
      <c r="AD60" s="276" cm="1">
        <f t="array" ref="AD60">IF(AND(AD$2&lt;&gt;0,TblTech[[#This Row],[Hour]:[Hour]]&gt;=AD$2),1,0)</f>
        <v>0</v>
      </c>
      <c r="AE60" s="276" cm="1">
        <f t="array" ref="AE60">IF(AND(AE$2&lt;&gt;0,TblTech[[#This Row],[Hour]:[Hour]]&gt;=AE$2),1,0)</f>
        <v>0</v>
      </c>
      <c r="AF60" s="276" cm="1">
        <f t="array" ref="AF60">IF(AND(AF$2&lt;&gt;0,TblTech[[#This Row],[Hour]:[Hour]]&gt;=AF$2),1,0)</f>
        <v>0</v>
      </c>
      <c r="AG60" s="276" cm="1">
        <f t="array" ref="AG60">IF(AND(AG$2&lt;&gt;0,TblTech[[#This Row],[Hour]:[Hour]]&gt;=AG$2),1,0)</f>
        <v>0</v>
      </c>
      <c r="AH60" s="276" cm="1">
        <f t="array" ref="AH60">IF(AND(AH$2&lt;&gt;0,TblTech[[#This Row],[Hour]:[Hour]]&gt;=AH$2),1,0)</f>
        <v>0</v>
      </c>
      <c r="AI60" s="276" cm="1">
        <f t="array" ref="AI60">IF(AND(AI$2&lt;&gt;0,TblTech[[#This Row],[Hour]:[Hour]]&gt;=AI$2),1,0)</f>
        <v>0</v>
      </c>
      <c r="AJ60" s="276" cm="1">
        <f t="array" ref="AJ60">IF(AND(AJ$2&lt;&gt;0,TblTech[[#This Row],[Hour]:[Hour]]&gt;=AJ$2),1,0)</f>
        <v>0</v>
      </c>
      <c r="AK60" s="276" cm="1">
        <f t="array" ref="AK60">IF(AND(AK$2&lt;&gt;0,TblTech[[#This Row],[Hour]:[Hour]]&gt;=AK$2),1,0)</f>
        <v>0</v>
      </c>
      <c r="AL60" s="276" cm="1">
        <f t="array" ref="AL60">IF(AND(AL$2&lt;&gt;0,TblTech[[#This Row],[Hour]:[Hour]]&gt;=AL$2),1,0)</f>
        <v>0</v>
      </c>
      <c r="AM60" s="276" cm="1">
        <f t="array" ref="AM60">IF(AND(AM$2&lt;&gt;0,TblTech[[#This Row],[Hour]:[Hour]]&gt;=AM$2),1,0)</f>
        <v>0</v>
      </c>
      <c r="AN60" s="276" cm="1">
        <f t="array" ref="AN60">IF(AND(AN$2&lt;&gt;0,TblTech[[#This Row],[Hour]:[Hour]]&gt;=AN$2),1,0)</f>
        <v>0</v>
      </c>
      <c r="AO60" s="276" cm="1">
        <f t="array" ref="AO60">IF(AND(AO$2&lt;&gt;0,TblTech[[#This Row],[Hour]:[Hour]]&gt;=AO$2),1,0)</f>
        <v>0</v>
      </c>
      <c r="AP60" s="276" cm="1">
        <f t="array" ref="AP60">IF(AND(AP$2&lt;&gt;0,TblTech[[#This Row],[Hour]:[Hour]]&gt;=AP$2),1,0)</f>
        <v>0</v>
      </c>
      <c r="AQ60" s="276" cm="1">
        <f t="array" ref="AQ60">IF(AND(AQ$2&lt;&gt;0,TblTech[[#This Row],[Hour]:[Hour]]&gt;=AQ$2),1,0)</f>
        <v>0</v>
      </c>
      <c r="AR60" s="276" cm="1">
        <f t="array" ref="AR60">IF(AND(AR$2&lt;&gt;0,TblTech[[#This Row],[Hour]:[Hour]]&gt;=AR$2),1,0)</f>
        <v>0</v>
      </c>
      <c r="AS60" s="276" cm="1">
        <f t="array" ref="AS60">IF(AND(AS$2&lt;&gt;0,TblTech[[#This Row],[Hour]:[Hour]]&gt;=AS$2),1,0)</f>
        <v>0</v>
      </c>
      <c r="AT60" s="276" cm="1">
        <f t="array" ref="AT60">IF(AND(AT$2&lt;&gt;0,TblTech[[#This Row],[Hour]:[Hour]]&gt;=AT$2),1,0)</f>
        <v>0</v>
      </c>
      <c r="AU60" s="276" cm="1">
        <f t="array" ref="AU60">IF(AND(AU$2&lt;&gt;0,TblTech[[#This Row],[Hour]:[Hour]]&gt;=AU$2),1,0)</f>
        <v>0</v>
      </c>
      <c r="AV60" s="276" cm="1">
        <f t="array" ref="AV60">IF(AND(AV$2&lt;&gt;0,TblTech[[#This Row],[Hour]:[Hour]]&gt;=AV$2),1,0)</f>
        <v>0</v>
      </c>
      <c r="AW60" s="276" cm="1">
        <f t="array" ref="AW60">IF(AND(AW$2&lt;&gt;0,TblTech[[#This Row],[Hour]:[Hour]]&gt;=AW$2),1,0)</f>
        <v>0</v>
      </c>
      <c r="AX60" s="276" cm="1">
        <f t="array" ref="AX60">IF(AND(AX$2&lt;&gt;0,TblTech[[#This Row],[Hour]:[Hour]]&gt;=AX$2),1,0)</f>
        <v>0</v>
      </c>
      <c r="AY60" s="276" cm="1">
        <f t="array" ref="AY60">IF(AND(AY$2&lt;&gt;0,TblTech[[#This Row],[Hour]:[Hour]]&gt;=AY$2),1,0)</f>
        <v>0</v>
      </c>
      <c r="AZ60" s="276" cm="1">
        <f t="array" ref="AZ60">IF(AND(AZ$2&lt;&gt;0,TblTech[[#This Row],[Hour]:[Hour]]&gt;=AZ$2),1,0)</f>
        <v>0</v>
      </c>
      <c r="BA60" s="276" cm="1">
        <f t="array" ref="BA60">IF(AND(BA$2&lt;&gt;0,TblTech[[#This Row],[Hour]:[Hour]]&gt;=BA$2),1,0)</f>
        <v>0</v>
      </c>
      <c r="BB60" s="276" cm="1">
        <f t="array" ref="BB60">IF(AND(BB$2&lt;&gt;0,TblTech[[#This Row],[Hour]:[Hour]]&gt;=BB$2),1,0)</f>
        <v>0</v>
      </c>
      <c r="BC60" s="276" cm="1">
        <f t="array" ref="BC60">IF(AND(BC$2&lt;&gt;0,TblTech[[#This Row],[Hour]:[Hour]]&gt;=BC$2),1,0)</f>
        <v>0</v>
      </c>
      <c r="BD60" s="276" cm="1">
        <f t="array" ref="BD60">IF(AND(BD$2&lt;&gt;0,TblTech[[#This Row],[Hour]:[Hour]]&gt;=BD$2),1,0)</f>
        <v>0</v>
      </c>
      <c r="BE60" s="276" cm="1">
        <f t="array" ref="BE60">IF(AND(BE$2&lt;&gt;0,TblTech[[#This Row],[Hour]:[Hour]]&gt;=BE$2),1,0)</f>
        <v>0</v>
      </c>
      <c r="BF60" s="276" cm="1">
        <f t="array" ref="BF60">IF(AND(BF$2&lt;&gt;0,TblTech[[#This Row],[Hour]:[Hour]]&gt;=BF$2),1,0)</f>
        <v>0</v>
      </c>
      <c r="BG60" s="276" cm="1">
        <f t="array" ref="BG60">IF(AND(BG$2&lt;&gt;0,TblTech[[#This Row],[Hour]:[Hour]]&gt;=BG$2),1,0)</f>
        <v>0</v>
      </c>
      <c r="BH60" s="276" cm="1">
        <f t="array" ref="BH60">IF(AND(BH$2&lt;&gt;0,TblTech[[#This Row],[Hour]:[Hour]]&gt;=BH$2),1,0)</f>
        <v>0</v>
      </c>
      <c r="BI60" s="276" cm="1">
        <f t="array" ref="BI60">IF(AND(BI$2&lt;&gt;0,TblTech[[#This Row],[Hour]:[Hour]]&gt;=BI$2),1,0)</f>
        <v>0</v>
      </c>
      <c r="BJ60" s="276" cm="1">
        <f t="array" ref="BJ60">IF(AND(BJ$2&lt;&gt;0,TblTech[[#This Row],[Hour]:[Hour]]&gt;=BJ$2),1,0)</f>
        <v>0</v>
      </c>
      <c r="BK60" s="276" cm="1">
        <f t="array" ref="BK60">IF(AND(BK$2&lt;&gt;0,TblTech[[#This Row],[Hour]:[Hour]]&gt;=BK$2),1,0)</f>
        <v>0</v>
      </c>
      <c r="BL60" s="276" cm="1">
        <f t="array" ref="BL60">IF(AND(BL$2&lt;&gt;0,TblTech[[#This Row],[Hour]:[Hour]]&gt;=BL$2),1,0)</f>
        <v>0</v>
      </c>
      <c r="BM60" s="276" cm="1">
        <f t="array" ref="BM60">IF(AND(BM$2&lt;&gt;0,TblTech[[#This Row],[Hour]:[Hour]]&gt;=BM$2),1,0)</f>
        <v>0</v>
      </c>
      <c r="BN60" s="276" cm="1">
        <f t="array" ref="BN60">IF(AND(BN$2&lt;&gt;0,TblTech[[#This Row],[Hour]:[Hour]]&gt;=BN$2),1,0)</f>
        <v>0</v>
      </c>
      <c r="BO60" s="276" cm="1">
        <f t="array" ref="BO60">IF(AND(BO$2&lt;&gt;0,TblTech[[#This Row],[Hour]:[Hour]]&gt;=BO$2),1,0)</f>
        <v>0</v>
      </c>
      <c r="BP60" s="276" cm="1">
        <f t="array" ref="BP60">IF(AND(BP$2&lt;&gt;0,TblTech[[#This Row],[Hour]:[Hour]]&gt;=BP$2),1,0)</f>
        <v>0</v>
      </c>
      <c r="BQ60" s="276" cm="1">
        <f t="array" ref="BQ60">IF(AND(BQ$2&lt;&gt;0,TblTech[[#This Row],[Hour]:[Hour]]&gt;=BQ$2),1,0)</f>
        <v>0</v>
      </c>
      <c r="BR60" s="276" cm="1">
        <f t="array" ref="BR60">IF(AND(BR$2&lt;&gt;0,TblTech[[#This Row],[Hour]:[Hour]]&gt;=BR$2),1,0)</f>
        <v>0</v>
      </c>
      <c r="BS60" s="276" cm="1">
        <f t="array" ref="BS60">IF(AND(BS$2&lt;&gt;0,TblTech[[#This Row],[Hour]:[Hour]]&gt;=BS$2),1,0)</f>
        <v>0</v>
      </c>
      <c r="BT60" s="276" cm="1">
        <f t="array" ref="BT60">IF(AND(BT$2&lt;&gt;0,TblTech[[#This Row],[Hour]:[Hour]]&gt;=BT$2),1,0)</f>
        <v>0</v>
      </c>
      <c r="BU60" s="276" cm="1">
        <f t="array" ref="BU60">IF(AND(BU$2&lt;&gt;0,TblTech[[#This Row],[Hour]:[Hour]]&gt;=BU$2),1,0)</f>
        <v>0</v>
      </c>
      <c r="BV60" s="276" cm="1">
        <f t="array" ref="BV60">IF(AND(BV$2&lt;&gt;0,TblTech[[#This Row],[Hour]:[Hour]]&gt;=BV$2),1,0)</f>
        <v>0</v>
      </c>
      <c r="BW60" s="276" cm="1">
        <f t="array" ref="BW60">IF(AND(BW$2&lt;&gt;0,TblTech[[#This Row],[Hour]:[Hour]]&gt;=BW$2),1,0)</f>
        <v>0</v>
      </c>
      <c r="BX60" s="276" cm="1">
        <f t="array" ref="BX60">IF(AND(BX$2&lt;&gt;0,TblTech[[#This Row],[Hour]:[Hour]]&gt;=BX$2),1,0)</f>
        <v>0</v>
      </c>
      <c r="BY60" s="276" cm="1">
        <f t="array" ref="BY60">IF(AND(BY$2&lt;&gt;0,TblTech[[#This Row],[Hour]:[Hour]]&gt;=BY$2),1,0)</f>
        <v>0</v>
      </c>
      <c r="BZ60" s="276" cm="1">
        <f t="array" ref="BZ60">IF(AND(BZ$2&lt;&gt;0,TblTech[[#This Row],[Hour]:[Hour]]&gt;=BZ$2),1,0)</f>
        <v>0</v>
      </c>
      <c r="CA60" s="377">
        <f>IFERROR(INDEX($H$4:$H$79,MATCH(INDEX(TblTech[[#Headers],[1-1]:[11-1]],1,MATCH(TblTech[[#This Row],[Hour]],$M$2:$BZ$2,0)),$G$4:$G$79,0)),)</f>
        <v>0</v>
      </c>
    </row>
    <row r="61" spans="1:79" x14ac:dyDescent="0.2">
      <c r="A61" s="268">
        <f>TblRezone[[#This Row],[Hour]]</f>
        <v>58</v>
      </c>
      <c r="B61" s="269">
        <f ca="1">TblExplore[[#This Row],[Land-DB]]</f>
        <v>50</v>
      </c>
      <c r="C61" s="270">
        <f ca="1">TblProd[[#This Row],[Techpoints]]</f>
        <v>0</v>
      </c>
      <c r="D61" s="270">
        <f ca="1">TblProd[[#This Row],[Required]]</f>
        <v>3750</v>
      </c>
      <c r="E61" s="271"/>
      <c r="F61" s="272"/>
      <c r="G61" s="273" t="s">
        <v>600</v>
      </c>
      <c r="H61" s="274" t="s">
        <v>721</v>
      </c>
      <c r="I61" s="273" t="s">
        <v>601</v>
      </c>
      <c r="J61" s="269"/>
      <c r="K61" s="93">
        <f ca="1">IF(TblTech[[#This Row],[Sum of tech]]&lt;&gt;OFFSET(TblTech[[#This Row],[Sum of tech]],-1,0),1,0)</f>
        <v>0</v>
      </c>
      <c r="L61" s="275">
        <f>COUNTIF(TblTech[[#This Row],[1-1]:[11-1]],1)</f>
        <v>0</v>
      </c>
      <c r="M61" s="276" cm="1">
        <f t="array" ref="M61">IF(AND(M$2&lt;&gt;0,TblTech[[#This Row],[Hour]:[Hour]]&gt;=M$2),1,0)</f>
        <v>0</v>
      </c>
      <c r="N61" s="276" cm="1">
        <f t="array" ref="N61">IF(AND(N$2&lt;&gt;0,TblTech[[#This Row],[Hour]:[Hour]]&gt;=N$2),1,0)</f>
        <v>0</v>
      </c>
      <c r="O61" s="276" cm="1">
        <f t="array" ref="O61">IF(AND(O$2&lt;&gt;0,TblTech[[#This Row],[Hour]:[Hour]]&gt;=O$2),1,0)</f>
        <v>0</v>
      </c>
      <c r="P61" s="276" cm="1">
        <f t="array" ref="P61">IF(AND(P$2&lt;&gt;0,TblTech[[#This Row],[Hour]:[Hour]]&gt;=P$2),1,0)</f>
        <v>0</v>
      </c>
      <c r="Q61" s="276" cm="1">
        <f t="array" ref="Q61">IF(AND(Q$2&lt;&gt;0,TblTech[[#This Row],[Hour]:[Hour]]&gt;=Q$2),1,0)</f>
        <v>0</v>
      </c>
      <c r="R61" s="276" cm="1">
        <f t="array" ref="R61">IF(AND(R$2&lt;&gt;0,TblTech[[#This Row],[Hour]:[Hour]]&gt;=R$2),1,0)</f>
        <v>0</v>
      </c>
      <c r="S61" s="276" cm="1">
        <f t="array" ref="S61">IF(AND(S$2&lt;&gt;0,TblTech[[#This Row],[Hour]:[Hour]]&gt;=S$2),1,0)</f>
        <v>0</v>
      </c>
      <c r="T61" s="276" cm="1">
        <f t="array" ref="T61">IF(AND(T$2&lt;&gt;0,TblTech[[#This Row],[Hour]:[Hour]]&gt;=T$2),1,0)</f>
        <v>0</v>
      </c>
      <c r="U61" s="276" cm="1">
        <f t="array" ref="U61">IF(AND(U$2&lt;&gt;0,TblTech[[#This Row],[Hour]:[Hour]]&gt;=U$2),1,0)</f>
        <v>0</v>
      </c>
      <c r="V61" s="276" cm="1">
        <f t="array" ref="V61">IF(AND(V$2&lt;&gt;0,TblTech[[#This Row],[Hour]:[Hour]]&gt;=V$2),1,0)</f>
        <v>0</v>
      </c>
      <c r="W61" s="276" cm="1">
        <f t="array" ref="W61">IF(AND(W$2&lt;&gt;0,TblTech[[#This Row],[Hour]:[Hour]]&gt;=W$2),1,0)</f>
        <v>0</v>
      </c>
      <c r="X61" s="276" cm="1">
        <f t="array" ref="X61">IF(AND(X$2&lt;&gt;0,TblTech[[#This Row],[Hour]:[Hour]]&gt;=X$2),1,0)</f>
        <v>0</v>
      </c>
      <c r="Y61" s="276" cm="1">
        <f t="array" ref="Y61">IF(AND(Y$2&lt;&gt;0,TblTech[[#This Row],[Hour]:[Hour]]&gt;=Y$2),1,0)</f>
        <v>0</v>
      </c>
      <c r="Z61" s="276" cm="1">
        <f t="array" ref="Z61">IF(AND(Z$2&lt;&gt;0,TblTech[[#This Row],[Hour]:[Hour]]&gt;=Z$2),1,0)</f>
        <v>0</v>
      </c>
      <c r="AA61" s="276" cm="1">
        <f t="array" ref="AA61">IF(AND(AA$2&lt;&gt;0,TblTech[[#This Row],[Hour]:[Hour]]&gt;=AA$2),1,0)</f>
        <v>0</v>
      </c>
      <c r="AB61" s="276" cm="1">
        <f t="array" ref="AB61">IF(AND(AB$2&lt;&gt;0,TblTech[[#This Row],[Hour]:[Hour]]&gt;=AB$2),1,0)</f>
        <v>0</v>
      </c>
      <c r="AC61" s="276" cm="1">
        <f t="array" ref="AC61">IF(AND(AC$2&lt;&gt;0,TblTech[[#This Row],[Hour]:[Hour]]&gt;=AC$2),1,0)</f>
        <v>0</v>
      </c>
      <c r="AD61" s="276" cm="1">
        <f t="array" ref="AD61">IF(AND(AD$2&lt;&gt;0,TblTech[[#This Row],[Hour]:[Hour]]&gt;=AD$2),1,0)</f>
        <v>0</v>
      </c>
      <c r="AE61" s="276" cm="1">
        <f t="array" ref="AE61">IF(AND(AE$2&lt;&gt;0,TblTech[[#This Row],[Hour]:[Hour]]&gt;=AE$2),1,0)</f>
        <v>0</v>
      </c>
      <c r="AF61" s="276" cm="1">
        <f t="array" ref="AF61">IF(AND(AF$2&lt;&gt;0,TblTech[[#This Row],[Hour]:[Hour]]&gt;=AF$2),1,0)</f>
        <v>0</v>
      </c>
      <c r="AG61" s="276" cm="1">
        <f t="array" ref="AG61">IF(AND(AG$2&lt;&gt;0,TblTech[[#This Row],[Hour]:[Hour]]&gt;=AG$2),1,0)</f>
        <v>0</v>
      </c>
      <c r="AH61" s="276" cm="1">
        <f t="array" ref="AH61">IF(AND(AH$2&lt;&gt;0,TblTech[[#This Row],[Hour]:[Hour]]&gt;=AH$2),1,0)</f>
        <v>0</v>
      </c>
      <c r="AI61" s="276" cm="1">
        <f t="array" ref="AI61">IF(AND(AI$2&lt;&gt;0,TblTech[[#This Row],[Hour]:[Hour]]&gt;=AI$2),1,0)</f>
        <v>0</v>
      </c>
      <c r="AJ61" s="276" cm="1">
        <f t="array" ref="AJ61">IF(AND(AJ$2&lt;&gt;0,TblTech[[#This Row],[Hour]:[Hour]]&gt;=AJ$2),1,0)</f>
        <v>0</v>
      </c>
      <c r="AK61" s="276" cm="1">
        <f t="array" ref="AK61">IF(AND(AK$2&lt;&gt;0,TblTech[[#This Row],[Hour]:[Hour]]&gt;=AK$2),1,0)</f>
        <v>0</v>
      </c>
      <c r="AL61" s="276" cm="1">
        <f t="array" ref="AL61">IF(AND(AL$2&lt;&gt;0,TblTech[[#This Row],[Hour]:[Hour]]&gt;=AL$2),1,0)</f>
        <v>0</v>
      </c>
      <c r="AM61" s="276" cm="1">
        <f t="array" ref="AM61">IF(AND(AM$2&lt;&gt;0,TblTech[[#This Row],[Hour]:[Hour]]&gt;=AM$2),1,0)</f>
        <v>0</v>
      </c>
      <c r="AN61" s="276" cm="1">
        <f t="array" ref="AN61">IF(AND(AN$2&lt;&gt;0,TblTech[[#This Row],[Hour]:[Hour]]&gt;=AN$2),1,0)</f>
        <v>0</v>
      </c>
      <c r="AO61" s="276" cm="1">
        <f t="array" ref="AO61">IF(AND(AO$2&lt;&gt;0,TblTech[[#This Row],[Hour]:[Hour]]&gt;=AO$2),1,0)</f>
        <v>0</v>
      </c>
      <c r="AP61" s="276" cm="1">
        <f t="array" ref="AP61">IF(AND(AP$2&lt;&gt;0,TblTech[[#This Row],[Hour]:[Hour]]&gt;=AP$2),1,0)</f>
        <v>0</v>
      </c>
      <c r="AQ61" s="276" cm="1">
        <f t="array" ref="AQ61">IF(AND(AQ$2&lt;&gt;0,TblTech[[#This Row],[Hour]:[Hour]]&gt;=AQ$2),1,0)</f>
        <v>0</v>
      </c>
      <c r="AR61" s="276" cm="1">
        <f t="array" ref="AR61">IF(AND(AR$2&lt;&gt;0,TblTech[[#This Row],[Hour]:[Hour]]&gt;=AR$2),1,0)</f>
        <v>0</v>
      </c>
      <c r="AS61" s="276" cm="1">
        <f t="array" ref="AS61">IF(AND(AS$2&lt;&gt;0,TblTech[[#This Row],[Hour]:[Hour]]&gt;=AS$2),1,0)</f>
        <v>0</v>
      </c>
      <c r="AT61" s="276" cm="1">
        <f t="array" ref="AT61">IF(AND(AT$2&lt;&gt;0,TblTech[[#This Row],[Hour]:[Hour]]&gt;=AT$2),1,0)</f>
        <v>0</v>
      </c>
      <c r="AU61" s="276" cm="1">
        <f t="array" ref="AU61">IF(AND(AU$2&lt;&gt;0,TblTech[[#This Row],[Hour]:[Hour]]&gt;=AU$2),1,0)</f>
        <v>0</v>
      </c>
      <c r="AV61" s="276" cm="1">
        <f t="array" ref="AV61">IF(AND(AV$2&lt;&gt;0,TblTech[[#This Row],[Hour]:[Hour]]&gt;=AV$2),1,0)</f>
        <v>0</v>
      </c>
      <c r="AW61" s="276" cm="1">
        <f t="array" ref="AW61">IF(AND(AW$2&lt;&gt;0,TblTech[[#This Row],[Hour]:[Hour]]&gt;=AW$2),1,0)</f>
        <v>0</v>
      </c>
      <c r="AX61" s="276" cm="1">
        <f t="array" ref="AX61">IF(AND(AX$2&lt;&gt;0,TblTech[[#This Row],[Hour]:[Hour]]&gt;=AX$2),1,0)</f>
        <v>0</v>
      </c>
      <c r="AY61" s="276" cm="1">
        <f t="array" ref="AY61">IF(AND(AY$2&lt;&gt;0,TblTech[[#This Row],[Hour]:[Hour]]&gt;=AY$2),1,0)</f>
        <v>0</v>
      </c>
      <c r="AZ61" s="276" cm="1">
        <f t="array" ref="AZ61">IF(AND(AZ$2&lt;&gt;0,TblTech[[#This Row],[Hour]:[Hour]]&gt;=AZ$2),1,0)</f>
        <v>0</v>
      </c>
      <c r="BA61" s="276" cm="1">
        <f t="array" ref="BA61">IF(AND(BA$2&lt;&gt;0,TblTech[[#This Row],[Hour]:[Hour]]&gt;=BA$2),1,0)</f>
        <v>0</v>
      </c>
      <c r="BB61" s="276" cm="1">
        <f t="array" ref="BB61">IF(AND(BB$2&lt;&gt;0,TblTech[[#This Row],[Hour]:[Hour]]&gt;=BB$2),1,0)</f>
        <v>0</v>
      </c>
      <c r="BC61" s="276" cm="1">
        <f t="array" ref="BC61">IF(AND(BC$2&lt;&gt;0,TblTech[[#This Row],[Hour]:[Hour]]&gt;=BC$2),1,0)</f>
        <v>0</v>
      </c>
      <c r="BD61" s="276" cm="1">
        <f t="array" ref="BD61">IF(AND(BD$2&lt;&gt;0,TblTech[[#This Row],[Hour]:[Hour]]&gt;=BD$2),1,0)</f>
        <v>0</v>
      </c>
      <c r="BE61" s="276" cm="1">
        <f t="array" ref="BE61">IF(AND(BE$2&lt;&gt;0,TblTech[[#This Row],[Hour]:[Hour]]&gt;=BE$2),1,0)</f>
        <v>0</v>
      </c>
      <c r="BF61" s="276" cm="1">
        <f t="array" ref="BF61">IF(AND(BF$2&lt;&gt;0,TblTech[[#This Row],[Hour]:[Hour]]&gt;=BF$2),1,0)</f>
        <v>0</v>
      </c>
      <c r="BG61" s="276" cm="1">
        <f t="array" ref="BG61">IF(AND(BG$2&lt;&gt;0,TblTech[[#This Row],[Hour]:[Hour]]&gt;=BG$2),1,0)</f>
        <v>0</v>
      </c>
      <c r="BH61" s="276" cm="1">
        <f t="array" ref="BH61">IF(AND(BH$2&lt;&gt;0,TblTech[[#This Row],[Hour]:[Hour]]&gt;=BH$2),1,0)</f>
        <v>0</v>
      </c>
      <c r="BI61" s="276" cm="1">
        <f t="array" ref="BI61">IF(AND(BI$2&lt;&gt;0,TblTech[[#This Row],[Hour]:[Hour]]&gt;=BI$2),1,0)</f>
        <v>0</v>
      </c>
      <c r="BJ61" s="276" cm="1">
        <f t="array" ref="BJ61">IF(AND(BJ$2&lt;&gt;0,TblTech[[#This Row],[Hour]:[Hour]]&gt;=BJ$2),1,0)</f>
        <v>0</v>
      </c>
      <c r="BK61" s="276" cm="1">
        <f t="array" ref="BK61">IF(AND(BK$2&lt;&gt;0,TblTech[[#This Row],[Hour]:[Hour]]&gt;=BK$2),1,0)</f>
        <v>0</v>
      </c>
      <c r="BL61" s="276" cm="1">
        <f t="array" ref="BL61">IF(AND(BL$2&lt;&gt;0,TblTech[[#This Row],[Hour]:[Hour]]&gt;=BL$2),1,0)</f>
        <v>0</v>
      </c>
      <c r="BM61" s="276" cm="1">
        <f t="array" ref="BM61">IF(AND(BM$2&lt;&gt;0,TblTech[[#This Row],[Hour]:[Hour]]&gt;=BM$2),1,0)</f>
        <v>0</v>
      </c>
      <c r="BN61" s="276" cm="1">
        <f t="array" ref="BN61">IF(AND(BN$2&lt;&gt;0,TblTech[[#This Row],[Hour]:[Hour]]&gt;=BN$2),1,0)</f>
        <v>0</v>
      </c>
      <c r="BO61" s="276" cm="1">
        <f t="array" ref="BO61">IF(AND(BO$2&lt;&gt;0,TblTech[[#This Row],[Hour]:[Hour]]&gt;=BO$2),1,0)</f>
        <v>0</v>
      </c>
      <c r="BP61" s="276" cm="1">
        <f t="array" ref="BP61">IF(AND(BP$2&lt;&gt;0,TblTech[[#This Row],[Hour]:[Hour]]&gt;=BP$2),1,0)</f>
        <v>0</v>
      </c>
      <c r="BQ61" s="276" cm="1">
        <f t="array" ref="BQ61">IF(AND(BQ$2&lt;&gt;0,TblTech[[#This Row],[Hour]:[Hour]]&gt;=BQ$2),1,0)</f>
        <v>0</v>
      </c>
      <c r="BR61" s="276" cm="1">
        <f t="array" ref="BR61">IF(AND(BR$2&lt;&gt;0,TblTech[[#This Row],[Hour]:[Hour]]&gt;=BR$2),1,0)</f>
        <v>0</v>
      </c>
      <c r="BS61" s="276" cm="1">
        <f t="array" ref="BS61">IF(AND(BS$2&lt;&gt;0,TblTech[[#This Row],[Hour]:[Hour]]&gt;=BS$2),1,0)</f>
        <v>0</v>
      </c>
      <c r="BT61" s="276" cm="1">
        <f t="array" ref="BT61">IF(AND(BT$2&lt;&gt;0,TblTech[[#This Row],[Hour]:[Hour]]&gt;=BT$2),1,0)</f>
        <v>0</v>
      </c>
      <c r="BU61" s="276" cm="1">
        <f t="array" ref="BU61">IF(AND(BU$2&lt;&gt;0,TblTech[[#This Row],[Hour]:[Hour]]&gt;=BU$2),1,0)</f>
        <v>0</v>
      </c>
      <c r="BV61" s="276" cm="1">
        <f t="array" ref="BV61">IF(AND(BV$2&lt;&gt;0,TblTech[[#This Row],[Hour]:[Hour]]&gt;=BV$2),1,0)</f>
        <v>0</v>
      </c>
      <c r="BW61" s="276" cm="1">
        <f t="array" ref="BW61">IF(AND(BW$2&lt;&gt;0,TblTech[[#This Row],[Hour]:[Hour]]&gt;=BW$2),1,0)</f>
        <v>0</v>
      </c>
      <c r="BX61" s="276" cm="1">
        <f t="array" ref="BX61">IF(AND(BX$2&lt;&gt;0,TblTech[[#This Row],[Hour]:[Hour]]&gt;=BX$2),1,0)</f>
        <v>0</v>
      </c>
      <c r="BY61" s="276" cm="1">
        <f t="array" ref="BY61">IF(AND(BY$2&lt;&gt;0,TblTech[[#This Row],[Hour]:[Hour]]&gt;=BY$2),1,0)</f>
        <v>0</v>
      </c>
      <c r="BZ61" s="276" cm="1">
        <f t="array" ref="BZ61">IF(AND(BZ$2&lt;&gt;0,TblTech[[#This Row],[Hour]:[Hour]]&gt;=BZ$2),1,0)</f>
        <v>0</v>
      </c>
      <c r="CA61" s="377">
        <f>IFERROR(INDEX($H$4:$H$79,MATCH(INDEX(TblTech[[#Headers],[1-1]:[11-1]],1,MATCH(TblTech[[#This Row],[Hour]],$M$2:$BZ$2,0)),$G$4:$G$79,0)),)</f>
        <v>0</v>
      </c>
    </row>
    <row r="62" spans="1:79" x14ac:dyDescent="0.2">
      <c r="A62" s="268">
        <f>TblRezone[[#This Row],[Hour]]</f>
        <v>59</v>
      </c>
      <c r="B62" s="269">
        <f ca="1">TblExplore[[#This Row],[Land-DB]]</f>
        <v>50</v>
      </c>
      <c r="C62" s="270">
        <f ca="1">TblProd[[#This Row],[Techpoints]]</f>
        <v>0</v>
      </c>
      <c r="D62" s="270">
        <f ca="1">TblProd[[#This Row],[Required]]</f>
        <v>3750</v>
      </c>
      <c r="E62" s="271"/>
      <c r="F62" s="272"/>
      <c r="G62" s="273" t="s">
        <v>602</v>
      </c>
      <c r="H62" s="274" t="s">
        <v>725</v>
      </c>
      <c r="I62" s="273" t="s">
        <v>1046</v>
      </c>
      <c r="J62" s="269"/>
      <c r="K62" s="93">
        <f ca="1">IF(TblTech[[#This Row],[Sum of tech]]&lt;&gt;OFFSET(TblTech[[#This Row],[Sum of tech]],-1,0),1,0)</f>
        <v>0</v>
      </c>
      <c r="L62" s="275">
        <f>COUNTIF(TblTech[[#This Row],[1-1]:[11-1]],1)</f>
        <v>0</v>
      </c>
      <c r="M62" s="276" cm="1">
        <f t="array" ref="M62">IF(AND(M$2&lt;&gt;0,TblTech[[#This Row],[Hour]:[Hour]]&gt;=M$2),1,0)</f>
        <v>0</v>
      </c>
      <c r="N62" s="276" cm="1">
        <f t="array" ref="N62">IF(AND(N$2&lt;&gt;0,TblTech[[#This Row],[Hour]:[Hour]]&gt;=N$2),1,0)</f>
        <v>0</v>
      </c>
      <c r="O62" s="276" cm="1">
        <f t="array" ref="O62">IF(AND(O$2&lt;&gt;0,TblTech[[#This Row],[Hour]:[Hour]]&gt;=O$2),1,0)</f>
        <v>0</v>
      </c>
      <c r="P62" s="276" cm="1">
        <f t="array" ref="P62">IF(AND(P$2&lt;&gt;0,TblTech[[#This Row],[Hour]:[Hour]]&gt;=P$2),1,0)</f>
        <v>0</v>
      </c>
      <c r="Q62" s="276" cm="1">
        <f t="array" ref="Q62">IF(AND(Q$2&lt;&gt;0,TblTech[[#This Row],[Hour]:[Hour]]&gt;=Q$2),1,0)</f>
        <v>0</v>
      </c>
      <c r="R62" s="276" cm="1">
        <f t="array" ref="R62">IF(AND(R$2&lt;&gt;0,TblTech[[#This Row],[Hour]:[Hour]]&gt;=R$2),1,0)</f>
        <v>0</v>
      </c>
      <c r="S62" s="276" cm="1">
        <f t="array" ref="S62">IF(AND(S$2&lt;&gt;0,TblTech[[#This Row],[Hour]:[Hour]]&gt;=S$2),1,0)</f>
        <v>0</v>
      </c>
      <c r="T62" s="276" cm="1">
        <f t="array" ref="T62">IF(AND(T$2&lt;&gt;0,TblTech[[#This Row],[Hour]:[Hour]]&gt;=T$2),1,0)</f>
        <v>0</v>
      </c>
      <c r="U62" s="276" cm="1">
        <f t="array" ref="U62">IF(AND(U$2&lt;&gt;0,TblTech[[#This Row],[Hour]:[Hour]]&gt;=U$2),1,0)</f>
        <v>0</v>
      </c>
      <c r="V62" s="276" cm="1">
        <f t="array" ref="V62">IF(AND(V$2&lt;&gt;0,TblTech[[#This Row],[Hour]:[Hour]]&gt;=V$2),1,0)</f>
        <v>0</v>
      </c>
      <c r="W62" s="276" cm="1">
        <f t="array" ref="W62">IF(AND(W$2&lt;&gt;0,TblTech[[#This Row],[Hour]:[Hour]]&gt;=W$2),1,0)</f>
        <v>0</v>
      </c>
      <c r="X62" s="276" cm="1">
        <f t="array" ref="X62">IF(AND(X$2&lt;&gt;0,TblTech[[#This Row],[Hour]:[Hour]]&gt;=X$2),1,0)</f>
        <v>0</v>
      </c>
      <c r="Y62" s="276" cm="1">
        <f t="array" ref="Y62">IF(AND(Y$2&lt;&gt;0,TblTech[[#This Row],[Hour]:[Hour]]&gt;=Y$2),1,0)</f>
        <v>0</v>
      </c>
      <c r="Z62" s="276" cm="1">
        <f t="array" ref="Z62">IF(AND(Z$2&lt;&gt;0,TblTech[[#This Row],[Hour]:[Hour]]&gt;=Z$2),1,0)</f>
        <v>0</v>
      </c>
      <c r="AA62" s="276" cm="1">
        <f t="array" ref="AA62">IF(AND(AA$2&lt;&gt;0,TblTech[[#This Row],[Hour]:[Hour]]&gt;=AA$2),1,0)</f>
        <v>0</v>
      </c>
      <c r="AB62" s="276" cm="1">
        <f t="array" ref="AB62">IF(AND(AB$2&lt;&gt;0,TblTech[[#This Row],[Hour]:[Hour]]&gt;=AB$2),1,0)</f>
        <v>0</v>
      </c>
      <c r="AC62" s="276" cm="1">
        <f t="array" ref="AC62">IF(AND(AC$2&lt;&gt;0,TblTech[[#This Row],[Hour]:[Hour]]&gt;=AC$2),1,0)</f>
        <v>0</v>
      </c>
      <c r="AD62" s="276" cm="1">
        <f t="array" ref="AD62">IF(AND(AD$2&lt;&gt;0,TblTech[[#This Row],[Hour]:[Hour]]&gt;=AD$2),1,0)</f>
        <v>0</v>
      </c>
      <c r="AE62" s="276" cm="1">
        <f t="array" ref="AE62">IF(AND(AE$2&lt;&gt;0,TblTech[[#This Row],[Hour]:[Hour]]&gt;=AE$2),1,0)</f>
        <v>0</v>
      </c>
      <c r="AF62" s="276" cm="1">
        <f t="array" ref="AF62">IF(AND(AF$2&lt;&gt;0,TblTech[[#This Row],[Hour]:[Hour]]&gt;=AF$2),1,0)</f>
        <v>0</v>
      </c>
      <c r="AG62" s="276" cm="1">
        <f t="array" ref="AG62">IF(AND(AG$2&lt;&gt;0,TblTech[[#This Row],[Hour]:[Hour]]&gt;=AG$2),1,0)</f>
        <v>0</v>
      </c>
      <c r="AH62" s="276" cm="1">
        <f t="array" ref="AH62">IF(AND(AH$2&lt;&gt;0,TblTech[[#This Row],[Hour]:[Hour]]&gt;=AH$2),1,0)</f>
        <v>0</v>
      </c>
      <c r="AI62" s="276" cm="1">
        <f t="array" ref="AI62">IF(AND(AI$2&lt;&gt;0,TblTech[[#This Row],[Hour]:[Hour]]&gt;=AI$2),1,0)</f>
        <v>0</v>
      </c>
      <c r="AJ62" s="276" cm="1">
        <f t="array" ref="AJ62">IF(AND(AJ$2&lt;&gt;0,TblTech[[#This Row],[Hour]:[Hour]]&gt;=AJ$2),1,0)</f>
        <v>0</v>
      </c>
      <c r="AK62" s="276" cm="1">
        <f t="array" ref="AK62">IF(AND(AK$2&lt;&gt;0,TblTech[[#This Row],[Hour]:[Hour]]&gt;=AK$2),1,0)</f>
        <v>0</v>
      </c>
      <c r="AL62" s="276" cm="1">
        <f t="array" ref="AL62">IF(AND(AL$2&lt;&gt;0,TblTech[[#This Row],[Hour]:[Hour]]&gt;=AL$2),1,0)</f>
        <v>0</v>
      </c>
      <c r="AM62" s="276" cm="1">
        <f t="array" ref="AM62">IF(AND(AM$2&lt;&gt;0,TblTech[[#This Row],[Hour]:[Hour]]&gt;=AM$2),1,0)</f>
        <v>0</v>
      </c>
      <c r="AN62" s="276" cm="1">
        <f t="array" ref="AN62">IF(AND(AN$2&lt;&gt;0,TblTech[[#This Row],[Hour]:[Hour]]&gt;=AN$2),1,0)</f>
        <v>0</v>
      </c>
      <c r="AO62" s="276" cm="1">
        <f t="array" ref="AO62">IF(AND(AO$2&lt;&gt;0,TblTech[[#This Row],[Hour]:[Hour]]&gt;=AO$2),1,0)</f>
        <v>0</v>
      </c>
      <c r="AP62" s="276" cm="1">
        <f t="array" ref="AP62">IF(AND(AP$2&lt;&gt;0,TblTech[[#This Row],[Hour]:[Hour]]&gt;=AP$2),1,0)</f>
        <v>0</v>
      </c>
      <c r="AQ62" s="276" cm="1">
        <f t="array" ref="AQ62">IF(AND(AQ$2&lt;&gt;0,TblTech[[#This Row],[Hour]:[Hour]]&gt;=AQ$2),1,0)</f>
        <v>0</v>
      </c>
      <c r="AR62" s="276" cm="1">
        <f t="array" ref="AR62">IF(AND(AR$2&lt;&gt;0,TblTech[[#This Row],[Hour]:[Hour]]&gt;=AR$2),1,0)</f>
        <v>0</v>
      </c>
      <c r="AS62" s="276" cm="1">
        <f t="array" ref="AS62">IF(AND(AS$2&lt;&gt;0,TblTech[[#This Row],[Hour]:[Hour]]&gt;=AS$2),1,0)</f>
        <v>0</v>
      </c>
      <c r="AT62" s="276" cm="1">
        <f t="array" ref="AT62">IF(AND(AT$2&lt;&gt;0,TblTech[[#This Row],[Hour]:[Hour]]&gt;=AT$2),1,0)</f>
        <v>0</v>
      </c>
      <c r="AU62" s="276" cm="1">
        <f t="array" ref="AU62">IF(AND(AU$2&lt;&gt;0,TblTech[[#This Row],[Hour]:[Hour]]&gt;=AU$2),1,0)</f>
        <v>0</v>
      </c>
      <c r="AV62" s="276" cm="1">
        <f t="array" ref="AV62">IF(AND(AV$2&lt;&gt;0,TblTech[[#This Row],[Hour]:[Hour]]&gt;=AV$2),1,0)</f>
        <v>0</v>
      </c>
      <c r="AW62" s="276" cm="1">
        <f t="array" ref="AW62">IF(AND(AW$2&lt;&gt;0,TblTech[[#This Row],[Hour]:[Hour]]&gt;=AW$2),1,0)</f>
        <v>0</v>
      </c>
      <c r="AX62" s="276" cm="1">
        <f t="array" ref="AX62">IF(AND(AX$2&lt;&gt;0,TblTech[[#This Row],[Hour]:[Hour]]&gt;=AX$2),1,0)</f>
        <v>0</v>
      </c>
      <c r="AY62" s="276" cm="1">
        <f t="array" ref="AY62">IF(AND(AY$2&lt;&gt;0,TblTech[[#This Row],[Hour]:[Hour]]&gt;=AY$2),1,0)</f>
        <v>0</v>
      </c>
      <c r="AZ62" s="276" cm="1">
        <f t="array" ref="AZ62">IF(AND(AZ$2&lt;&gt;0,TblTech[[#This Row],[Hour]:[Hour]]&gt;=AZ$2),1,0)</f>
        <v>0</v>
      </c>
      <c r="BA62" s="276" cm="1">
        <f t="array" ref="BA62">IF(AND(BA$2&lt;&gt;0,TblTech[[#This Row],[Hour]:[Hour]]&gt;=BA$2),1,0)</f>
        <v>0</v>
      </c>
      <c r="BB62" s="276" cm="1">
        <f t="array" ref="BB62">IF(AND(BB$2&lt;&gt;0,TblTech[[#This Row],[Hour]:[Hour]]&gt;=BB$2),1,0)</f>
        <v>0</v>
      </c>
      <c r="BC62" s="276" cm="1">
        <f t="array" ref="BC62">IF(AND(BC$2&lt;&gt;0,TblTech[[#This Row],[Hour]:[Hour]]&gt;=BC$2),1,0)</f>
        <v>0</v>
      </c>
      <c r="BD62" s="276" cm="1">
        <f t="array" ref="BD62">IF(AND(BD$2&lt;&gt;0,TblTech[[#This Row],[Hour]:[Hour]]&gt;=BD$2),1,0)</f>
        <v>0</v>
      </c>
      <c r="BE62" s="276" cm="1">
        <f t="array" ref="BE62">IF(AND(BE$2&lt;&gt;0,TblTech[[#This Row],[Hour]:[Hour]]&gt;=BE$2),1,0)</f>
        <v>0</v>
      </c>
      <c r="BF62" s="276" cm="1">
        <f t="array" ref="BF62">IF(AND(BF$2&lt;&gt;0,TblTech[[#This Row],[Hour]:[Hour]]&gt;=BF$2),1,0)</f>
        <v>0</v>
      </c>
      <c r="BG62" s="276" cm="1">
        <f t="array" ref="BG62">IF(AND(BG$2&lt;&gt;0,TblTech[[#This Row],[Hour]:[Hour]]&gt;=BG$2),1,0)</f>
        <v>0</v>
      </c>
      <c r="BH62" s="276" cm="1">
        <f t="array" ref="BH62">IF(AND(BH$2&lt;&gt;0,TblTech[[#This Row],[Hour]:[Hour]]&gt;=BH$2),1,0)</f>
        <v>0</v>
      </c>
      <c r="BI62" s="276" cm="1">
        <f t="array" ref="BI62">IF(AND(BI$2&lt;&gt;0,TblTech[[#This Row],[Hour]:[Hour]]&gt;=BI$2),1,0)</f>
        <v>0</v>
      </c>
      <c r="BJ62" s="276" cm="1">
        <f t="array" ref="BJ62">IF(AND(BJ$2&lt;&gt;0,TblTech[[#This Row],[Hour]:[Hour]]&gt;=BJ$2),1,0)</f>
        <v>0</v>
      </c>
      <c r="BK62" s="276" cm="1">
        <f t="array" ref="BK62">IF(AND(BK$2&lt;&gt;0,TblTech[[#This Row],[Hour]:[Hour]]&gt;=BK$2),1,0)</f>
        <v>0</v>
      </c>
      <c r="BL62" s="276" cm="1">
        <f t="array" ref="BL62">IF(AND(BL$2&lt;&gt;0,TblTech[[#This Row],[Hour]:[Hour]]&gt;=BL$2),1,0)</f>
        <v>0</v>
      </c>
      <c r="BM62" s="276" cm="1">
        <f t="array" ref="BM62">IF(AND(BM$2&lt;&gt;0,TblTech[[#This Row],[Hour]:[Hour]]&gt;=BM$2),1,0)</f>
        <v>0</v>
      </c>
      <c r="BN62" s="276" cm="1">
        <f t="array" ref="BN62">IF(AND(BN$2&lt;&gt;0,TblTech[[#This Row],[Hour]:[Hour]]&gt;=BN$2),1,0)</f>
        <v>0</v>
      </c>
      <c r="BO62" s="276" cm="1">
        <f t="array" ref="BO62">IF(AND(BO$2&lt;&gt;0,TblTech[[#This Row],[Hour]:[Hour]]&gt;=BO$2),1,0)</f>
        <v>0</v>
      </c>
      <c r="BP62" s="276" cm="1">
        <f t="array" ref="BP62">IF(AND(BP$2&lt;&gt;0,TblTech[[#This Row],[Hour]:[Hour]]&gt;=BP$2),1,0)</f>
        <v>0</v>
      </c>
      <c r="BQ62" s="276" cm="1">
        <f t="array" ref="BQ62">IF(AND(BQ$2&lt;&gt;0,TblTech[[#This Row],[Hour]:[Hour]]&gt;=BQ$2),1,0)</f>
        <v>0</v>
      </c>
      <c r="BR62" s="276" cm="1">
        <f t="array" ref="BR62">IF(AND(BR$2&lt;&gt;0,TblTech[[#This Row],[Hour]:[Hour]]&gt;=BR$2),1,0)</f>
        <v>0</v>
      </c>
      <c r="BS62" s="276" cm="1">
        <f t="array" ref="BS62">IF(AND(BS$2&lt;&gt;0,TblTech[[#This Row],[Hour]:[Hour]]&gt;=BS$2),1,0)</f>
        <v>0</v>
      </c>
      <c r="BT62" s="276" cm="1">
        <f t="array" ref="BT62">IF(AND(BT$2&lt;&gt;0,TblTech[[#This Row],[Hour]:[Hour]]&gt;=BT$2),1,0)</f>
        <v>0</v>
      </c>
      <c r="BU62" s="276" cm="1">
        <f t="array" ref="BU62">IF(AND(BU$2&lt;&gt;0,TblTech[[#This Row],[Hour]:[Hour]]&gt;=BU$2),1,0)</f>
        <v>0</v>
      </c>
      <c r="BV62" s="276" cm="1">
        <f t="array" ref="BV62">IF(AND(BV$2&lt;&gt;0,TblTech[[#This Row],[Hour]:[Hour]]&gt;=BV$2),1,0)</f>
        <v>0</v>
      </c>
      <c r="BW62" s="276" cm="1">
        <f t="array" ref="BW62">IF(AND(BW$2&lt;&gt;0,TblTech[[#This Row],[Hour]:[Hour]]&gt;=BW$2),1,0)</f>
        <v>0</v>
      </c>
      <c r="BX62" s="276" cm="1">
        <f t="array" ref="BX62">IF(AND(BX$2&lt;&gt;0,TblTech[[#This Row],[Hour]:[Hour]]&gt;=BX$2),1,0)</f>
        <v>0</v>
      </c>
      <c r="BY62" s="276" cm="1">
        <f t="array" ref="BY62">IF(AND(BY$2&lt;&gt;0,TblTech[[#This Row],[Hour]:[Hour]]&gt;=BY$2),1,0)</f>
        <v>0</v>
      </c>
      <c r="BZ62" s="276" cm="1">
        <f t="array" ref="BZ62">IF(AND(BZ$2&lt;&gt;0,TblTech[[#This Row],[Hour]:[Hour]]&gt;=BZ$2),1,0)</f>
        <v>0</v>
      </c>
      <c r="CA62" s="377">
        <f>IFERROR(INDEX($H$4:$H$79,MATCH(INDEX(TblTech[[#Headers],[1-1]:[11-1]],1,MATCH(TblTech[[#This Row],[Hour]],$M$2:$BZ$2,0)),$G$4:$G$79,0)),)</f>
        <v>0</v>
      </c>
    </row>
    <row r="63" spans="1:79" x14ac:dyDescent="0.2">
      <c r="A63" s="268">
        <f>TblRezone[[#This Row],[Hour]]</f>
        <v>60</v>
      </c>
      <c r="B63" s="269">
        <f ca="1">TblExplore[[#This Row],[Land-DB]]</f>
        <v>50</v>
      </c>
      <c r="C63" s="270">
        <f ca="1">TblProd[[#This Row],[Techpoints]]</f>
        <v>0</v>
      </c>
      <c r="D63" s="270">
        <f ca="1">TblProd[[#This Row],[Required]]</f>
        <v>3750</v>
      </c>
      <c r="E63" s="271"/>
      <c r="F63" s="272"/>
      <c r="G63" s="273" t="s">
        <v>604</v>
      </c>
      <c r="H63" s="274" t="s">
        <v>1051</v>
      </c>
      <c r="I63" s="273" t="s">
        <v>739</v>
      </c>
      <c r="J63" s="269"/>
      <c r="K63" s="93">
        <f ca="1">IF(TblTech[[#This Row],[Sum of tech]]&lt;&gt;OFFSET(TblTech[[#This Row],[Sum of tech]],-1,0),1,0)</f>
        <v>0</v>
      </c>
      <c r="L63" s="275">
        <f>COUNTIF(TblTech[[#This Row],[1-1]:[11-1]],1)</f>
        <v>0</v>
      </c>
      <c r="M63" s="276" cm="1">
        <f t="array" ref="M63">IF(AND(M$2&lt;&gt;0,TblTech[[#This Row],[Hour]:[Hour]]&gt;=M$2),1,0)</f>
        <v>0</v>
      </c>
      <c r="N63" s="276" cm="1">
        <f t="array" ref="N63">IF(AND(N$2&lt;&gt;0,TblTech[[#This Row],[Hour]:[Hour]]&gt;=N$2),1,0)</f>
        <v>0</v>
      </c>
      <c r="O63" s="276" cm="1">
        <f t="array" ref="O63">IF(AND(O$2&lt;&gt;0,TblTech[[#This Row],[Hour]:[Hour]]&gt;=O$2),1,0)</f>
        <v>0</v>
      </c>
      <c r="P63" s="276" cm="1">
        <f t="array" ref="P63">IF(AND(P$2&lt;&gt;0,TblTech[[#This Row],[Hour]:[Hour]]&gt;=P$2),1,0)</f>
        <v>0</v>
      </c>
      <c r="Q63" s="276" cm="1">
        <f t="array" ref="Q63">IF(AND(Q$2&lt;&gt;0,TblTech[[#This Row],[Hour]:[Hour]]&gt;=Q$2),1,0)</f>
        <v>0</v>
      </c>
      <c r="R63" s="276" cm="1">
        <f t="array" ref="R63">IF(AND(R$2&lt;&gt;0,TblTech[[#This Row],[Hour]:[Hour]]&gt;=R$2),1,0)</f>
        <v>0</v>
      </c>
      <c r="S63" s="276" cm="1">
        <f t="array" ref="S63">IF(AND(S$2&lt;&gt;0,TblTech[[#This Row],[Hour]:[Hour]]&gt;=S$2),1,0)</f>
        <v>0</v>
      </c>
      <c r="T63" s="276" cm="1">
        <f t="array" ref="T63">IF(AND(T$2&lt;&gt;0,TblTech[[#This Row],[Hour]:[Hour]]&gt;=T$2),1,0)</f>
        <v>0</v>
      </c>
      <c r="U63" s="276" cm="1">
        <f t="array" ref="U63">IF(AND(U$2&lt;&gt;0,TblTech[[#This Row],[Hour]:[Hour]]&gt;=U$2),1,0)</f>
        <v>0</v>
      </c>
      <c r="V63" s="276" cm="1">
        <f t="array" ref="V63">IF(AND(V$2&lt;&gt;0,TblTech[[#This Row],[Hour]:[Hour]]&gt;=V$2),1,0)</f>
        <v>0</v>
      </c>
      <c r="W63" s="276" cm="1">
        <f t="array" ref="W63">IF(AND(W$2&lt;&gt;0,TblTech[[#This Row],[Hour]:[Hour]]&gt;=W$2),1,0)</f>
        <v>0</v>
      </c>
      <c r="X63" s="276" cm="1">
        <f t="array" ref="X63">IF(AND(X$2&lt;&gt;0,TblTech[[#This Row],[Hour]:[Hour]]&gt;=X$2),1,0)</f>
        <v>0</v>
      </c>
      <c r="Y63" s="276" cm="1">
        <f t="array" ref="Y63">IF(AND(Y$2&lt;&gt;0,TblTech[[#This Row],[Hour]:[Hour]]&gt;=Y$2),1,0)</f>
        <v>0</v>
      </c>
      <c r="Z63" s="276" cm="1">
        <f t="array" ref="Z63">IF(AND(Z$2&lt;&gt;0,TblTech[[#This Row],[Hour]:[Hour]]&gt;=Z$2),1,0)</f>
        <v>0</v>
      </c>
      <c r="AA63" s="276" cm="1">
        <f t="array" ref="AA63">IF(AND(AA$2&lt;&gt;0,TblTech[[#This Row],[Hour]:[Hour]]&gt;=AA$2),1,0)</f>
        <v>0</v>
      </c>
      <c r="AB63" s="276" cm="1">
        <f t="array" ref="AB63">IF(AND(AB$2&lt;&gt;0,TblTech[[#This Row],[Hour]:[Hour]]&gt;=AB$2),1,0)</f>
        <v>0</v>
      </c>
      <c r="AC63" s="276" cm="1">
        <f t="array" ref="AC63">IF(AND(AC$2&lt;&gt;0,TblTech[[#This Row],[Hour]:[Hour]]&gt;=AC$2),1,0)</f>
        <v>0</v>
      </c>
      <c r="AD63" s="276" cm="1">
        <f t="array" ref="AD63">IF(AND(AD$2&lt;&gt;0,TblTech[[#This Row],[Hour]:[Hour]]&gt;=AD$2),1,0)</f>
        <v>0</v>
      </c>
      <c r="AE63" s="276" cm="1">
        <f t="array" ref="AE63">IF(AND(AE$2&lt;&gt;0,TblTech[[#This Row],[Hour]:[Hour]]&gt;=AE$2),1,0)</f>
        <v>0</v>
      </c>
      <c r="AF63" s="276" cm="1">
        <f t="array" ref="AF63">IF(AND(AF$2&lt;&gt;0,TblTech[[#This Row],[Hour]:[Hour]]&gt;=AF$2),1,0)</f>
        <v>0</v>
      </c>
      <c r="AG63" s="276" cm="1">
        <f t="array" ref="AG63">IF(AND(AG$2&lt;&gt;0,TblTech[[#This Row],[Hour]:[Hour]]&gt;=AG$2),1,0)</f>
        <v>0</v>
      </c>
      <c r="AH63" s="276" cm="1">
        <f t="array" ref="AH63">IF(AND(AH$2&lt;&gt;0,TblTech[[#This Row],[Hour]:[Hour]]&gt;=AH$2),1,0)</f>
        <v>0</v>
      </c>
      <c r="AI63" s="276" cm="1">
        <f t="array" ref="AI63">IF(AND(AI$2&lt;&gt;0,TblTech[[#This Row],[Hour]:[Hour]]&gt;=AI$2),1,0)</f>
        <v>0</v>
      </c>
      <c r="AJ63" s="276" cm="1">
        <f t="array" ref="AJ63">IF(AND(AJ$2&lt;&gt;0,TblTech[[#This Row],[Hour]:[Hour]]&gt;=AJ$2),1,0)</f>
        <v>0</v>
      </c>
      <c r="AK63" s="276" cm="1">
        <f t="array" ref="AK63">IF(AND(AK$2&lt;&gt;0,TblTech[[#This Row],[Hour]:[Hour]]&gt;=AK$2),1,0)</f>
        <v>0</v>
      </c>
      <c r="AL63" s="276" cm="1">
        <f t="array" ref="AL63">IF(AND(AL$2&lt;&gt;0,TblTech[[#This Row],[Hour]:[Hour]]&gt;=AL$2),1,0)</f>
        <v>0</v>
      </c>
      <c r="AM63" s="276" cm="1">
        <f t="array" ref="AM63">IF(AND(AM$2&lt;&gt;0,TblTech[[#This Row],[Hour]:[Hour]]&gt;=AM$2),1,0)</f>
        <v>0</v>
      </c>
      <c r="AN63" s="276" cm="1">
        <f t="array" ref="AN63">IF(AND(AN$2&lt;&gt;0,TblTech[[#This Row],[Hour]:[Hour]]&gt;=AN$2),1,0)</f>
        <v>0</v>
      </c>
      <c r="AO63" s="276" cm="1">
        <f t="array" ref="AO63">IF(AND(AO$2&lt;&gt;0,TblTech[[#This Row],[Hour]:[Hour]]&gt;=AO$2),1,0)</f>
        <v>0</v>
      </c>
      <c r="AP63" s="276" cm="1">
        <f t="array" ref="AP63">IF(AND(AP$2&lt;&gt;0,TblTech[[#This Row],[Hour]:[Hour]]&gt;=AP$2),1,0)</f>
        <v>0</v>
      </c>
      <c r="AQ63" s="276" cm="1">
        <f t="array" ref="AQ63">IF(AND(AQ$2&lt;&gt;0,TblTech[[#This Row],[Hour]:[Hour]]&gt;=AQ$2),1,0)</f>
        <v>0</v>
      </c>
      <c r="AR63" s="276" cm="1">
        <f t="array" ref="AR63">IF(AND(AR$2&lt;&gt;0,TblTech[[#This Row],[Hour]:[Hour]]&gt;=AR$2),1,0)</f>
        <v>0</v>
      </c>
      <c r="AS63" s="276" cm="1">
        <f t="array" ref="AS63">IF(AND(AS$2&lt;&gt;0,TblTech[[#This Row],[Hour]:[Hour]]&gt;=AS$2),1,0)</f>
        <v>0</v>
      </c>
      <c r="AT63" s="276" cm="1">
        <f t="array" ref="AT63">IF(AND(AT$2&lt;&gt;0,TblTech[[#This Row],[Hour]:[Hour]]&gt;=AT$2),1,0)</f>
        <v>0</v>
      </c>
      <c r="AU63" s="276" cm="1">
        <f t="array" ref="AU63">IF(AND(AU$2&lt;&gt;0,TblTech[[#This Row],[Hour]:[Hour]]&gt;=AU$2),1,0)</f>
        <v>0</v>
      </c>
      <c r="AV63" s="276" cm="1">
        <f t="array" ref="AV63">IF(AND(AV$2&lt;&gt;0,TblTech[[#This Row],[Hour]:[Hour]]&gt;=AV$2),1,0)</f>
        <v>0</v>
      </c>
      <c r="AW63" s="276" cm="1">
        <f t="array" ref="AW63">IF(AND(AW$2&lt;&gt;0,TblTech[[#This Row],[Hour]:[Hour]]&gt;=AW$2),1,0)</f>
        <v>0</v>
      </c>
      <c r="AX63" s="276" cm="1">
        <f t="array" ref="AX63">IF(AND(AX$2&lt;&gt;0,TblTech[[#This Row],[Hour]:[Hour]]&gt;=AX$2),1,0)</f>
        <v>0</v>
      </c>
      <c r="AY63" s="276" cm="1">
        <f t="array" ref="AY63">IF(AND(AY$2&lt;&gt;0,TblTech[[#This Row],[Hour]:[Hour]]&gt;=AY$2),1,0)</f>
        <v>0</v>
      </c>
      <c r="AZ63" s="276" cm="1">
        <f t="array" ref="AZ63">IF(AND(AZ$2&lt;&gt;0,TblTech[[#This Row],[Hour]:[Hour]]&gt;=AZ$2),1,0)</f>
        <v>0</v>
      </c>
      <c r="BA63" s="276" cm="1">
        <f t="array" ref="BA63">IF(AND(BA$2&lt;&gt;0,TblTech[[#This Row],[Hour]:[Hour]]&gt;=BA$2),1,0)</f>
        <v>0</v>
      </c>
      <c r="BB63" s="276" cm="1">
        <f t="array" ref="BB63">IF(AND(BB$2&lt;&gt;0,TblTech[[#This Row],[Hour]:[Hour]]&gt;=BB$2),1,0)</f>
        <v>0</v>
      </c>
      <c r="BC63" s="276" cm="1">
        <f t="array" ref="BC63">IF(AND(BC$2&lt;&gt;0,TblTech[[#This Row],[Hour]:[Hour]]&gt;=BC$2),1,0)</f>
        <v>0</v>
      </c>
      <c r="BD63" s="276" cm="1">
        <f t="array" ref="BD63">IF(AND(BD$2&lt;&gt;0,TblTech[[#This Row],[Hour]:[Hour]]&gt;=BD$2),1,0)</f>
        <v>0</v>
      </c>
      <c r="BE63" s="276" cm="1">
        <f t="array" ref="BE63">IF(AND(BE$2&lt;&gt;0,TblTech[[#This Row],[Hour]:[Hour]]&gt;=BE$2),1,0)</f>
        <v>0</v>
      </c>
      <c r="BF63" s="276" cm="1">
        <f t="array" ref="BF63">IF(AND(BF$2&lt;&gt;0,TblTech[[#This Row],[Hour]:[Hour]]&gt;=BF$2),1,0)</f>
        <v>0</v>
      </c>
      <c r="BG63" s="276" cm="1">
        <f t="array" ref="BG63">IF(AND(BG$2&lt;&gt;0,TblTech[[#This Row],[Hour]:[Hour]]&gt;=BG$2),1,0)</f>
        <v>0</v>
      </c>
      <c r="BH63" s="276" cm="1">
        <f t="array" ref="BH63">IF(AND(BH$2&lt;&gt;0,TblTech[[#This Row],[Hour]:[Hour]]&gt;=BH$2),1,0)</f>
        <v>0</v>
      </c>
      <c r="BI63" s="276" cm="1">
        <f t="array" ref="BI63">IF(AND(BI$2&lt;&gt;0,TblTech[[#This Row],[Hour]:[Hour]]&gt;=BI$2),1,0)</f>
        <v>0</v>
      </c>
      <c r="BJ63" s="276" cm="1">
        <f t="array" ref="BJ63">IF(AND(BJ$2&lt;&gt;0,TblTech[[#This Row],[Hour]:[Hour]]&gt;=BJ$2),1,0)</f>
        <v>0</v>
      </c>
      <c r="BK63" s="276" cm="1">
        <f t="array" ref="BK63">IF(AND(BK$2&lt;&gt;0,TblTech[[#This Row],[Hour]:[Hour]]&gt;=BK$2),1,0)</f>
        <v>0</v>
      </c>
      <c r="BL63" s="276" cm="1">
        <f t="array" ref="BL63">IF(AND(BL$2&lt;&gt;0,TblTech[[#This Row],[Hour]:[Hour]]&gt;=BL$2),1,0)</f>
        <v>0</v>
      </c>
      <c r="BM63" s="276" cm="1">
        <f t="array" ref="BM63">IF(AND(BM$2&lt;&gt;0,TblTech[[#This Row],[Hour]:[Hour]]&gt;=BM$2),1,0)</f>
        <v>0</v>
      </c>
      <c r="BN63" s="276" cm="1">
        <f t="array" ref="BN63">IF(AND(BN$2&lt;&gt;0,TblTech[[#This Row],[Hour]:[Hour]]&gt;=BN$2),1,0)</f>
        <v>0</v>
      </c>
      <c r="BO63" s="276" cm="1">
        <f t="array" ref="BO63">IF(AND(BO$2&lt;&gt;0,TblTech[[#This Row],[Hour]:[Hour]]&gt;=BO$2),1,0)</f>
        <v>0</v>
      </c>
      <c r="BP63" s="276" cm="1">
        <f t="array" ref="BP63">IF(AND(BP$2&lt;&gt;0,TblTech[[#This Row],[Hour]:[Hour]]&gt;=BP$2),1,0)</f>
        <v>0</v>
      </c>
      <c r="BQ63" s="276" cm="1">
        <f t="array" ref="BQ63">IF(AND(BQ$2&lt;&gt;0,TblTech[[#This Row],[Hour]:[Hour]]&gt;=BQ$2),1,0)</f>
        <v>0</v>
      </c>
      <c r="BR63" s="276" cm="1">
        <f t="array" ref="BR63">IF(AND(BR$2&lt;&gt;0,TblTech[[#This Row],[Hour]:[Hour]]&gt;=BR$2),1,0)</f>
        <v>0</v>
      </c>
      <c r="BS63" s="276" cm="1">
        <f t="array" ref="BS63">IF(AND(BS$2&lt;&gt;0,TblTech[[#This Row],[Hour]:[Hour]]&gt;=BS$2),1,0)</f>
        <v>0</v>
      </c>
      <c r="BT63" s="276" cm="1">
        <f t="array" ref="BT63">IF(AND(BT$2&lt;&gt;0,TblTech[[#This Row],[Hour]:[Hour]]&gt;=BT$2),1,0)</f>
        <v>0</v>
      </c>
      <c r="BU63" s="276" cm="1">
        <f t="array" ref="BU63">IF(AND(BU$2&lt;&gt;0,TblTech[[#This Row],[Hour]:[Hour]]&gt;=BU$2),1,0)</f>
        <v>0</v>
      </c>
      <c r="BV63" s="276" cm="1">
        <f t="array" ref="BV63">IF(AND(BV$2&lt;&gt;0,TblTech[[#This Row],[Hour]:[Hour]]&gt;=BV$2),1,0)</f>
        <v>0</v>
      </c>
      <c r="BW63" s="276" cm="1">
        <f t="array" ref="BW63">IF(AND(BW$2&lt;&gt;0,TblTech[[#This Row],[Hour]:[Hour]]&gt;=BW$2),1,0)</f>
        <v>0</v>
      </c>
      <c r="BX63" s="276" cm="1">
        <f t="array" ref="BX63">IF(AND(BX$2&lt;&gt;0,TblTech[[#This Row],[Hour]:[Hour]]&gt;=BX$2),1,0)</f>
        <v>0</v>
      </c>
      <c r="BY63" s="276" cm="1">
        <f t="array" ref="BY63">IF(AND(BY$2&lt;&gt;0,TblTech[[#This Row],[Hour]:[Hour]]&gt;=BY$2),1,0)</f>
        <v>0</v>
      </c>
      <c r="BZ63" s="276" cm="1">
        <f t="array" ref="BZ63">IF(AND(BZ$2&lt;&gt;0,TblTech[[#This Row],[Hour]:[Hour]]&gt;=BZ$2),1,0)</f>
        <v>0</v>
      </c>
      <c r="CA63" s="377">
        <f>IFERROR(INDEX($H$4:$H$79,MATCH(INDEX(TblTech[[#Headers],[1-1]:[11-1]],1,MATCH(TblTech[[#This Row],[Hour]],$M$2:$BZ$2,0)),$G$4:$G$79,0)),)</f>
        <v>0</v>
      </c>
    </row>
    <row r="64" spans="1:79" x14ac:dyDescent="0.2">
      <c r="A64" s="268">
        <f>TblRezone[[#This Row],[Hour]]</f>
        <v>61</v>
      </c>
      <c r="B64" s="269">
        <f ca="1">TblExplore[[#This Row],[Land-DB]]</f>
        <v>50</v>
      </c>
      <c r="C64" s="270">
        <f ca="1">TblProd[[#This Row],[Techpoints]]</f>
        <v>0</v>
      </c>
      <c r="D64" s="270">
        <f ca="1">TblProd[[#This Row],[Required]]</f>
        <v>3750</v>
      </c>
      <c r="E64" s="271"/>
      <c r="F64" s="272"/>
      <c r="G64" s="273" t="s">
        <v>605</v>
      </c>
      <c r="H64" s="274" t="s">
        <v>723</v>
      </c>
      <c r="I64" s="273" t="s">
        <v>627</v>
      </c>
      <c r="J64" s="269"/>
      <c r="K64" s="93">
        <f ca="1">IF(TblTech[[#This Row],[Sum of tech]]&lt;&gt;OFFSET(TblTech[[#This Row],[Sum of tech]],-1,0),1,0)</f>
        <v>0</v>
      </c>
      <c r="L64" s="275">
        <f>COUNTIF(TblTech[[#This Row],[1-1]:[11-1]],1)</f>
        <v>0</v>
      </c>
      <c r="M64" s="276" cm="1">
        <f t="array" ref="M64">IF(AND(M$2&lt;&gt;0,TblTech[[#This Row],[Hour]:[Hour]]&gt;=M$2),1,0)</f>
        <v>0</v>
      </c>
      <c r="N64" s="276" cm="1">
        <f t="array" ref="N64">IF(AND(N$2&lt;&gt;0,TblTech[[#This Row],[Hour]:[Hour]]&gt;=N$2),1,0)</f>
        <v>0</v>
      </c>
      <c r="O64" s="276" cm="1">
        <f t="array" ref="O64">IF(AND(O$2&lt;&gt;0,TblTech[[#This Row],[Hour]:[Hour]]&gt;=O$2),1,0)</f>
        <v>0</v>
      </c>
      <c r="P64" s="276" cm="1">
        <f t="array" ref="P64">IF(AND(P$2&lt;&gt;0,TblTech[[#This Row],[Hour]:[Hour]]&gt;=P$2),1,0)</f>
        <v>0</v>
      </c>
      <c r="Q64" s="276" cm="1">
        <f t="array" ref="Q64">IF(AND(Q$2&lt;&gt;0,TblTech[[#This Row],[Hour]:[Hour]]&gt;=Q$2),1,0)</f>
        <v>0</v>
      </c>
      <c r="R64" s="276" cm="1">
        <f t="array" ref="R64">IF(AND(R$2&lt;&gt;0,TblTech[[#This Row],[Hour]:[Hour]]&gt;=R$2),1,0)</f>
        <v>0</v>
      </c>
      <c r="S64" s="276" cm="1">
        <f t="array" ref="S64">IF(AND(S$2&lt;&gt;0,TblTech[[#This Row],[Hour]:[Hour]]&gt;=S$2),1,0)</f>
        <v>0</v>
      </c>
      <c r="T64" s="276" cm="1">
        <f t="array" ref="T64">IF(AND(T$2&lt;&gt;0,TblTech[[#This Row],[Hour]:[Hour]]&gt;=T$2),1,0)</f>
        <v>0</v>
      </c>
      <c r="U64" s="276" cm="1">
        <f t="array" ref="U64">IF(AND(U$2&lt;&gt;0,TblTech[[#This Row],[Hour]:[Hour]]&gt;=U$2),1,0)</f>
        <v>0</v>
      </c>
      <c r="V64" s="276" cm="1">
        <f t="array" ref="V64">IF(AND(V$2&lt;&gt;0,TblTech[[#This Row],[Hour]:[Hour]]&gt;=V$2),1,0)</f>
        <v>0</v>
      </c>
      <c r="W64" s="276" cm="1">
        <f t="array" ref="W64">IF(AND(W$2&lt;&gt;0,TblTech[[#This Row],[Hour]:[Hour]]&gt;=W$2),1,0)</f>
        <v>0</v>
      </c>
      <c r="X64" s="276" cm="1">
        <f t="array" ref="X64">IF(AND(X$2&lt;&gt;0,TblTech[[#This Row],[Hour]:[Hour]]&gt;=X$2),1,0)</f>
        <v>0</v>
      </c>
      <c r="Y64" s="276" cm="1">
        <f t="array" ref="Y64">IF(AND(Y$2&lt;&gt;0,TblTech[[#This Row],[Hour]:[Hour]]&gt;=Y$2),1,0)</f>
        <v>0</v>
      </c>
      <c r="Z64" s="276" cm="1">
        <f t="array" ref="Z64">IF(AND(Z$2&lt;&gt;0,TblTech[[#This Row],[Hour]:[Hour]]&gt;=Z$2),1,0)</f>
        <v>0</v>
      </c>
      <c r="AA64" s="276" cm="1">
        <f t="array" ref="AA64">IF(AND(AA$2&lt;&gt;0,TblTech[[#This Row],[Hour]:[Hour]]&gt;=AA$2),1,0)</f>
        <v>0</v>
      </c>
      <c r="AB64" s="276" cm="1">
        <f t="array" ref="AB64">IF(AND(AB$2&lt;&gt;0,TblTech[[#This Row],[Hour]:[Hour]]&gt;=AB$2),1,0)</f>
        <v>0</v>
      </c>
      <c r="AC64" s="276" cm="1">
        <f t="array" ref="AC64">IF(AND(AC$2&lt;&gt;0,TblTech[[#This Row],[Hour]:[Hour]]&gt;=AC$2),1,0)</f>
        <v>0</v>
      </c>
      <c r="AD64" s="276" cm="1">
        <f t="array" ref="AD64">IF(AND(AD$2&lt;&gt;0,TblTech[[#This Row],[Hour]:[Hour]]&gt;=AD$2),1,0)</f>
        <v>0</v>
      </c>
      <c r="AE64" s="276" cm="1">
        <f t="array" ref="AE64">IF(AND(AE$2&lt;&gt;0,TblTech[[#This Row],[Hour]:[Hour]]&gt;=AE$2),1,0)</f>
        <v>0</v>
      </c>
      <c r="AF64" s="276" cm="1">
        <f t="array" ref="AF64">IF(AND(AF$2&lt;&gt;0,TblTech[[#This Row],[Hour]:[Hour]]&gt;=AF$2),1,0)</f>
        <v>0</v>
      </c>
      <c r="AG64" s="276" cm="1">
        <f t="array" ref="AG64">IF(AND(AG$2&lt;&gt;0,TblTech[[#This Row],[Hour]:[Hour]]&gt;=AG$2),1,0)</f>
        <v>0</v>
      </c>
      <c r="AH64" s="276" cm="1">
        <f t="array" ref="AH64">IF(AND(AH$2&lt;&gt;0,TblTech[[#This Row],[Hour]:[Hour]]&gt;=AH$2),1,0)</f>
        <v>0</v>
      </c>
      <c r="AI64" s="276" cm="1">
        <f t="array" ref="AI64">IF(AND(AI$2&lt;&gt;0,TblTech[[#This Row],[Hour]:[Hour]]&gt;=AI$2),1,0)</f>
        <v>0</v>
      </c>
      <c r="AJ64" s="276" cm="1">
        <f t="array" ref="AJ64">IF(AND(AJ$2&lt;&gt;0,TblTech[[#This Row],[Hour]:[Hour]]&gt;=AJ$2),1,0)</f>
        <v>0</v>
      </c>
      <c r="AK64" s="276" cm="1">
        <f t="array" ref="AK64">IF(AND(AK$2&lt;&gt;0,TblTech[[#This Row],[Hour]:[Hour]]&gt;=AK$2),1,0)</f>
        <v>0</v>
      </c>
      <c r="AL64" s="276" cm="1">
        <f t="array" ref="AL64">IF(AND(AL$2&lt;&gt;0,TblTech[[#This Row],[Hour]:[Hour]]&gt;=AL$2),1,0)</f>
        <v>0</v>
      </c>
      <c r="AM64" s="276" cm="1">
        <f t="array" ref="AM64">IF(AND(AM$2&lt;&gt;0,TblTech[[#This Row],[Hour]:[Hour]]&gt;=AM$2),1,0)</f>
        <v>0</v>
      </c>
      <c r="AN64" s="276" cm="1">
        <f t="array" ref="AN64">IF(AND(AN$2&lt;&gt;0,TblTech[[#This Row],[Hour]:[Hour]]&gt;=AN$2),1,0)</f>
        <v>0</v>
      </c>
      <c r="AO64" s="276" cm="1">
        <f t="array" ref="AO64">IF(AND(AO$2&lt;&gt;0,TblTech[[#This Row],[Hour]:[Hour]]&gt;=AO$2),1,0)</f>
        <v>0</v>
      </c>
      <c r="AP64" s="276" cm="1">
        <f t="array" ref="AP64">IF(AND(AP$2&lt;&gt;0,TblTech[[#This Row],[Hour]:[Hour]]&gt;=AP$2),1,0)</f>
        <v>0</v>
      </c>
      <c r="AQ64" s="276" cm="1">
        <f t="array" ref="AQ64">IF(AND(AQ$2&lt;&gt;0,TblTech[[#This Row],[Hour]:[Hour]]&gt;=AQ$2),1,0)</f>
        <v>0</v>
      </c>
      <c r="AR64" s="276" cm="1">
        <f t="array" ref="AR64">IF(AND(AR$2&lt;&gt;0,TblTech[[#This Row],[Hour]:[Hour]]&gt;=AR$2),1,0)</f>
        <v>0</v>
      </c>
      <c r="AS64" s="276" cm="1">
        <f t="array" ref="AS64">IF(AND(AS$2&lt;&gt;0,TblTech[[#This Row],[Hour]:[Hour]]&gt;=AS$2),1,0)</f>
        <v>0</v>
      </c>
      <c r="AT64" s="276" cm="1">
        <f t="array" ref="AT64">IF(AND(AT$2&lt;&gt;0,TblTech[[#This Row],[Hour]:[Hour]]&gt;=AT$2),1,0)</f>
        <v>0</v>
      </c>
      <c r="AU64" s="276" cm="1">
        <f t="array" ref="AU64">IF(AND(AU$2&lt;&gt;0,TblTech[[#This Row],[Hour]:[Hour]]&gt;=AU$2),1,0)</f>
        <v>0</v>
      </c>
      <c r="AV64" s="276" cm="1">
        <f t="array" ref="AV64">IF(AND(AV$2&lt;&gt;0,TblTech[[#This Row],[Hour]:[Hour]]&gt;=AV$2),1,0)</f>
        <v>0</v>
      </c>
      <c r="AW64" s="276" cm="1">
        <f t="array" ref="AW64">IF(AND(AW$2&lt;&gt;0,TblTech[[#This Row],[Hour]:[Hour]]&gt;=AW$2),1,0)</f>
        <v>0</v>
      </c>
      <c r="AX64" s="276" cm="1">
        <f t="array" ref="AX64">IF(AND(AX$2&lt;&gt;0,TblTech[[#This Row],[Hour]:[Hour]]&gt;=AX$2),1,0)</f>
        <v>0</v>
      </c>
      <c r="AY64" s="276" cm="1">
        <f t="array" ref="AY64">IF(AND(AY$2&lt;&gt;0,TblTech[[#This Row],[Hour]:[Hour]]&gt;=AY$2),1,0)</f>
        <v>0</v>
      </c>
      <c r="AZ64" s="276" cm="1">
        <f t="array" ref="AZ64">IF(AND(AZ$2&lt;&gt;0,TblTech[[#This Row],[Hour]:[Hour]]&gt;=AZ$2),1,0)</f>
        <v>0</v>
      </c>
      <c r="BA64" s="276" cm="1">
        <f t="array" ref="BA64">IF(AND(BA$2&lt;&gt;0,TblTech[[#This Row],[Hour]:[Hour]]&gt;=BA$2),1,0)</f>
        <v>0</v>
      </c>
      <c r="BB64" s="276" cm="1">
        <f t="array" ref="BB64">IF(AND(BB$2&lt;&gt;0,TblTech[[#This Row],[Hour]:[Hour]]&gt;=BB$2),1,0)</f>
        <v>0</v>
      </c>
      <c r="BC64" s="276" cm="1">
        <f t="array" ref="BC64">IF(AND(BC$2&lt;&gt;0,TblTech[[#This Row],[Hour]:[Hour]]&gt;=BC$2),1,0)</f>
        <v>0</v>
      </c>
      <c r="BD64" s="276" cm="1">
        <f t="array" ref="BD64">IF(AND(BD$2&lt;&gt;0,TblTech[[#This Row],[Hour]:[Hour]]&gt;=BD$2),1,0)</f>
        <v>0</v>
      </c>
      <c r="BE64" s="276" cm="1">
        <f t="array" ref="BE64">IF(AND(BE$2&lt;&gt;0,TblTech[[#This Row],[Hour]:[Hour]]&gt;=BE$2),1,0)</f>
        <v>0</v>
      </c>
      <c r="BF64" s="276" cm="1">
        <f t="array" ref="BF64">IF(AND(BF$2&lt;&gt;0,TblTech[[#This Row],[Hour]:[Hour]]&gt;=BF$2),1,0)</f>
        <v>0</v>
      </c>
      <c r="BG64" s="276" cm="1">
        <f t="array" ref="BG64">IF(AND(BG$2&lt;&gt;0,TblTech[[#This Row],[Hour]:[Hour]]&gt;=BG$2),1,0)</f>
        <v>0</v>
      </c>
      <c r="BH64" s="276" cm="1">
        <f t="array" ref="BH64">IF(AND(BH$2&lt;&gt;0,TblTech[[#This Row],[Hour]:[Hour]]&gt;=BH$2),1,0)</f>
        <v>0</v>
      </c>
      <c r="BI64" s="276" cm="1">
        <f t="array" ref="BI64">IF(AND(BI$2&lt;&gt;0,TblTech[[#This Row],[Hour]:[Hour]]&gt;=BI$2),1,0)</f>
        <v>0</v>
      </c>
      <c r="BJ64" s="276" cm="1">
        <f t="array" ref="BJ64">IF(AND(BJ$2&lt;&gt;0,TblTech[[#This Row],[Hour]:[Hour]]&gt;=BJ$2),1,0)</f>
        <v>0</v>
      </c>
      <c r="BK64" s="276" cm="1">
        <f t="array" ref="BK64">IF(AND(BK$2&lt;&gt;0,TblTech[[#This Row],[Hour]:[Hour]]&gt;=BK$2),1,0)</f>
        <v>0</v>
      </c>
      <c r="BL64" s="276" cm="1">
        <f t="array" ref="BL64">IF(AND(BL$2&lt;&gt;0,TblTech[[#This Row],[Hour]:[Hour]]&gt;=BL$2),1,0)</f>
        <v>0</v>
      </c>
      <c r="BM64" s="276" cm="1">
        <f t="array" ref="BM64">IF(AND(BM$2&lt;&gt;0,TblTech[[#This Row],[Hour]:[Hour]]&gt;=BM$2),1,0)</f>
        <v>0</v>
      </c>
      <c r="BN64" s="276" cm="1">
        <f t="array" ref="BN64">IF(AND(BN$2&lt;&gt;0,TblTech[[#This Row],[Hour]:[Hour]]&gt;=BN$2),1,0)</f>
        <v>0</v>
      </c>
      <c r="BO64" s="276" cm="1">
        <f t="array" ref="BO64">IF(AND(BO$2&lt;&gt;0,TblTech[[#This Row],[Hour]:[Hour]]&gt;=BO$2),1,0)</f>
        <v>0</v>
      </c>
      <c r="BP64" s="276" cm="1">
        <f t="array" ref="BP64">IF(AND(BP$2&lt;&gt;0,TblTech[[#This Row],[Hour]:[Hour]]&gt;=BP$2),1,0)</f>
        <v>0</v>
      </c>
      <c r="BQ64" s="276" cm="1">
        <f t="array" ref="BQ64">IF(AND(BQ$2&lt;&gt;0,TblTech[[#This Row],[Hour]:[Hour]]&gt;=BQ$2),1,0)</f>
        <v>0</v>
      </c>
      <c r="BR64" s="276" cm="1">
        <f t="array" ref="BR64">IF(AND(BR$2&lt;&gt;0,TblTech[[#This Row],[Hour]:[Hour]]&gt;=BR$2),1,0)</f>
        <v>0</v>
      </c>
      <c r="BS64" s="276" cm="1">
        <f t="array" ref="BS64">IF(AND(BS$2&lt;&gt;0,TblTech[[#This Row],[Hour]:[Hour]]&gt;=BS$2),1,0)</f>
        <v>0</v>
      </c>
      <c r="BT64" s="276" cm="1">
        <f t="array" ref="BT64">IF(AND(BT$2&lt;&gt;0,TblTech[[#This Row],[Hour]:[Hour]]&gt;=BT$2),1,0)</f>
        <v>0</v>
      </c>
      <c r="BU64" s="276" cm="1">
        <f t="array" ref="BU64">IF(AND(BU$2&lt;&gt;0,TblTech[[#This Row],[Hour]:[Hour]]&gt;=BU$2),1,0)</f>
        <v>0</v>
      </c>
      <c r="BV64" s="276" cm="1">
        <f t="array" ref="BV64">IF(AND(BV$2&lt;&gt;0,TblTech[[#This Row],[Hour]:[Hour]]&gt;=BV$2),1,0)</f>
        <v>0</v>
      </c>
      <c r="BW64" s="276" cm="1">
        <f t="array" ref="BW64">IF(AND(BW$2&lt;&gt;0,TblTech[[#This Row],[Hour]:[Hour]]&gt;=BW$2),1,0)</f>
        <v>0</v>
      </c>
      <c r="BX64" s="276" cm="1">
        <f t="array" ref="BX64">IF(AND(BX$2&lt;&gt;0,TblTech[[#This Row],[Hour]:[Hour]]&gt;=BX$2),1,0)</f>
        <v>0</v>
      </c>
      <c r="BY64" s="276" cm="1">
        <f t="array" ref="BY64">IF(AND(BY$2&lt;&gt;0,TblTech[[#This Row],[Hour]:[Hour]]&gt;=BY$2),1,0)</f>
        <v>0</v>
      </c>
      <c r="BZ64" s="276" cm="1">
        <f t="array" ref="BZ64">IF(AND(BZ$2&lt;&gt;0,TblTech[[#This Row],[Hour]:[Hour]]&gt;=BZ$2),1,0)</f>
        <v>0</v>
      </c>
      <c r="CA64" s="377">
        <f>IFERROR(INDEX($H$4:$H$79,MATCH(INDEX(TblTech[[#Headers],[1-1]:[11-1]],1,MATCH(TblTech[[#This Row],[Hour]],$M$2:$BZ$2,0)),$G$4:$G$79,0)),)</f>
        <v>0</v>
      </c>
    </row>
    <row r="65" spans="1:79" x14ac:dyDescent="0.2">
      <c r="A65" s="268">
        <f>TblRezone[[#This Row],[Hour]]</f>
        <v>62</v>
      </c>
      <c r="B65" s="269">
        <f ca="1">TblExplore[[#This Row],[Land-DB]]</f>
        <v>50</v>
      </c>
      <c r="C65" s="270">
        <f ca="1">TblProd[[#This Row],[Techpoints]]</f>
        <v>0</v>
      </c>
      <c r="D65" s="270">
        <f ca="1">TblProd[[#This Row],[Required]]</f>
        <v>3750</v>
      </c>
      <c r="E65" s="271"/>
      <c r="F65" s="272"/>
      <c r="G65" s="273" t="s">
        <v>606</v>
      </c>
      <c r="H65" s="274" t="s">
        <v>724</v>
      </c>
      <c r="I65" s="273" t="s">
        <v>607</v>
      </c>
      <c r="J65" s="269"/>
      <c r="K65" s="93">
        <f ca="1">IF(TblTech[[#This Row],[Sum of tech]]&lt;&gt;OFFSET(TblTech[[#This Row],[Sum of tech]],-1,0),1,0)</f>
        <v>0</v>
      </c>
      <c r="L65" s="275">
        <f>COUNTIF(TblTech[[#This Row],[1-1]:[11-1]],1)</f>
        <v>0</v>
      </c>
      <c r="M65" s="276" cm="1">
        <f t="array" ref="M65">IF(AND(M$2&lt;&gt;0,TblTech[[#This Row],[Hour]:[Hour]]&gt;=M$2),1,0)</f>
        <v>0</v>
      </c>
      <c r="N65" s="276" cm="1">
        <f t="array" ref="N65">IF(AND(N$2&lt;&gt;0,TblTech[[#This Row],[Hour]:[Hour]]&gt;=N$2),1,0)</f>
        <v>0</v>
      </c>
      <c r="O65" s="276" cm="1">
        <f t="array" ref="O65">IF(AND(O$2&lt;&gt;0,TblTech[[#This Row],[Hour]:[Hour]]&gt;=O$2),1,0)</f>
        <v>0</v>
      </c>
      <c r="P65" s="276" cm="1">
        <f t="array" ref="P65">IF(AND(P$2&lt;&gt;0,TblTech[[#This Row],[Hour]:[Hour]]&gt;=P$2),1,0)</f>
        <v>0</v>
      </c>
      <c r="Q65" s="276" cm="1">
        <f t="array" ref="Q65">IF(AND(Q$2&lt;&gt;0,TblTech[[#This Row],[Hour]:[Hour]]&gt;=Q$2),1,0)</f>
        <v>0</v>
      </c>
      <c r="R65" s="276" cm="1">
        <f t="array" ref="R65">IF(AND(R$2&lt;&gt;0,TblTech[[#This Row],[Hour]:[Hour]]&gt;=R$2),1,0)</f>
        <v>0</v>
      </c>
      <c r="S65" s="276" cm="1">
        <f t="array" ref="S65">IF(AND(S$2&lt;&gt;0,TblTech[[#This Row],[Hour]:[Hour]]&gt;=S$2),1,0)</f>
        <v>0</v>
      </c>
      <c r="T65" s="276" cm="1">
        <f t="array" ref="T65">IF(AND(T$2&lt;&gt;0,TblTech[[#This Row],[Hour]:[Hour]]&gt;=T$2),1,0)</f>
        <v>0</v>
      </c>
      <c r="U65" s="276" cm="1">
        <f t="array" ref="U65">IF(AND(U$2&lt;&gt;0,TblTech[[#This Row],[Hour]:[Hour]]&gt;=U$2),1,0)</f>
        <v>0</v>
      </c>
      <c r="V65" s="276" cm="1">
        <f t="array" ref="V65">IF(AND(V$2&lt;&gt;0,TblTech[[#This Row],[Hour]:[Hour]]&gt;=V$2),1,0)</f>
        <v>0</v>
      </c>
      <c r="W65" s="276" cm="1">
        <f t="array" ref="W65">IF(AND(W$2&lt;&gt;0,TblTech[[#This Row],[Hour]:[Hour]]&gt;=W$2),1,0)</f>
        <v>0</v>
      </c>
      <c r="X65" s="276" cm="1">
        <f t="array" ref="X65">IF(AND(X$2&lt;&gt;0,TblTech[[#This Row],[Hour]:[Hour]]&gt;=X$2),1,0)</f>
        <v>0</v>
      </c>
      <c r="Y65" s="276" cm="1">
        <f t="array" ref="Y65">IF(AND(Y$2&lt;&gt;0,TblTech[[#This Row],[Hour]:[Hour]]&gt;=Y$2),1,0)</f>
        <v>0</v>
      </c>
      <c r="Z65" s="276" cm="1">
        <f t="array" ref="Z65">IF(AND(Z$2&lt;&gt;0,TblTech[[#This Row],[Hour]:[Hour]]&gt;=Z$2),1,0)</f>
        <v>0</v>
      </c>
      <c r="AA65" s="276" cm="1">
        <f t="array" ref="AA65">IF(AND(AA$2&lt;&gt;0,TblTech[[#This Row],[Hour]:[Hour]]&gt;=AA$2),1,0)</f>
        <v>0</v>
      </c>
      <c r="AB65" s="276" cm="1">
        <f t="array" ref="AB65">IF(AND(AB$2&lt;&gt;0,TblTech[[#This Row],[Hour]:[Hour]]&gt;=AB$2),1,0)</f>
        <v>0</v>
      </c>
      <c r="AC65" s="276" cm="1">
        <f t="array" ref="AC65">IF(AND(AC$2&lt;&gt;0,TblTech[[#This Row],[Hour]:[Hour]]&gt;=AC$2),1,0)</f>
        <v>0</v>
      </c>
      <c r="AD65" s="276" cm="1">
        <f t="array" ref="AD65">IF(AND(AD$2&lt;&gt;0,TblTech[[#This Row],[Hour]:[Hour]]&gt;=AD$2),1,0)</f>
        <v>0</v>
      </c>
      <c r="AE65" s="276" cm="1">
        <f t="array" ref="AE65">IF(AND(AE$2&lt;&gt;0,TblTech[[#This Row],[Hour]:[Hour]]&gt;=AE$2),1,0)</f>
        <v>0</v>
      </c>
      <c r="AF65" s="276" cm="1">
        <f t="array" ref="AF65">IF(AND(AF$2&lt;&gt;0,TblTech[[#This Row],[Hour]:[Hour]]&gt;=AF$2),1,0)</f>
        <v>0</v>
      </c>
      <c r="AG65" s="276" cm="1">
        <f t="array" ref="AG65">IF(AND(AG$2&lt;&gt;0,TblTech[[#This Row],[Hour]:[Hour]]&gt;=AG$2),1,0)</f>
        <v>0</v>
      </c>
      <c r="AH65" s="276" cm="1">
        <f t="array" ref="AH65">IF(AND(AH$2&lt;&gt;0,TblTech[[#This Row],[Hour]:[Hour]]&gt;=AH$2),1,0)</f>
        <v>0</v>
      </c>
      <c r="AI65" s="276" cm="1">
        <f t="array" ref="AI65">IF(AND(AI$2&lt;&gt;0,TblTech[[#This Row],[Hour]:[Hour]]&gt;=AI$2),1,0)</f>
        <v>0</v>
      </c>
      <c r="AJ65" s="276" cm="1">
        <f t="array" ref="AJ65">IF(AND(AJ$2&lt;&gt;0,TblTech[[#This Row],[Hour]:[Hour]]&gt;=AJ$2),1,0)</f>
        <v>0</v>
      </c>
      <c r="AK65" s="276" cm="1">
        <f t="array" ref="AK65">IF(AND(AK$2&lt;&gt;0,TblTech[[#This Row],[Hour]:[Hour]]&gt;=AK$2),1,0)</f>
        <v>0</v>
      </c>
      <c r="AL65" s="276" cm="1">
        <f t="array" ref="AL65">IF(AND(AL$2&lt;&gt;0,TblTech[[#This Row],[Hour]:[Hour]]&gt;=AL$2),1,0)</f>
        <v>0</v>
      </c>
      <c r="AM65" s="276" cm="1">
        <f t="array" ref="AM65">IF(AND(AM$2&lt;&gt;0,TblTech[[#This Row],[Hour]:[Hour]]&gt;=AM$2),1,0)</f>
        <v>0</v>
      </c>
      <c r="AN65" s="276" cm="1">
        <f t="array" ref="AN65">IF(AND(AN$2&lt;&gt;0,TblTech[[#This Row],[Hour]:[Hour]]&gt;=AN$2),1,0)</f>
        <v>0</v>
      </c>
      <c r="AO65" s="276" cm="1">
        <f t="array" ref="AO65">IF(AND(AO$2&lt;&gt;0,TblTech[[#This Row],[Hour]:[Hour]]&gt;=AO$2),1,0)</f>
        <v>0</v>
      </c>
      <c r="AP65" s="276" cm="1">
        <f t="array" ref="AP65">IF(AND(AP$2&lt;&gt;0,TblTech[[#This Row],[Hour]:[Hour]]&gt;=AP$2),1,0)</f>
        <v>0</v>
      </c>
      <c r="AQ65" s="276" cm="1">
        <f t="array" ref="AQ65">IF(AND(AQ$2&lt;&gt;0,TblTech[[#This Row],[Hour]:[Hour]]&gt;=AQ$2),1,0)</f>
        <v>0</v>
      </c>
      <c r="AR65" s="276" cm="1">
        <f t="array" ref="AR65">IF(AND(AR$2&lt;&gt;0,TblTech[[#This Row],[Hour]:[Hour]]&gt;=AR$2),1,0)</f>
        <v>0</v>
      </c>
      <c r="AS65" s="276" cm="1">
        <f t="array" ref="AS65">IF(AND(AS$2&lt;&gt;0,TblTech[[#This Row],[Hour]:[Hour]]&gt;=AS$2),1,0)</f>
        <v>0</v>
      </c>
      <c r="AT65" s="276" cm="1">
        <f t="array" ref="AT65">IF(AND(AT$2&lt;&gt;0,TblTech[[#This Row],[Hour]:[Hour]]&gt;=AT$2),1,0)</f>
        <v>0</v>
      </c>
      <c r="AU65" s="276" cm="1">
        <f t="array" ref="AU65">IF(AND(AU$2&lt;&gt;0,TblTech[[#This Row],[Hour]:[Hour]]&gt;=AU$2),1,0)</f>
        <v>0</v>
      </c>
      <c r="AV65" s="276" cm="1">
        <f t="array" ref="AV65">IF(AND(AV$2&lt;&gt;0,TblTech[[#This Row],[Hour]:[Hour]]&gt;=AV$2),1,0)</f>
        <v>0</v>
      </c>
      <c r="AW65" s="276" cm="1">
        <f t="array" ref="AW65">IF(AND(AW$2&lt;&gt;0,TblTech[[#This Row],[Hour]:[Hour]]&gt;=AW$2),1,0)</f>
        <v>0</v>
      </c>
      <c r="AX65" s="276" cm="1">
        <f t="array" ref="AX65">IF(AND(AX$2&lt;&gt;0,TblTech[[#This Row],[Hour]:[Hour]]&gt;=AX$2),1,0)</f>
        <v>0</v>
      </c>
      <c r="AY65" s="276" cm="1">
        <f t="array" ref="AY65">IF(AND(AY$2&lt;&gt;0,TblTech[[#This Row],[Hour]:[Hour]]&gt;=AY$2),1,0)</f>
        <v>0</v>
      </c>
      <c r="AZ65" s="276" cm="1">
        <f t="array" ref="AZ65">IF(AND(AZ$2&lt;&gt;0,TblTech[[#This Row],[Hour]:[Hour]]&gt;=AZ$2),1,0)</f>
        <v>0</v>
      </c>
      <c r="BA65" s="276" cm="1">
        <f t="array" ref="BA65">IF(AND(BA$2&lt;&gt;0,TblTech[[#This Row],[Hour]:[Hour]]&gt;=BA$2),1,0)</f>
        <v>0</v>
      </c>
      <c r="BB65" s="276" cm="1">
        <f t="array" ref="BB65">IF(AND(BB$2&lt;&gt;0,TblTech[[#This Row],[Hour]:[Hour]]&gt;=BB$2),1,0)</f>
        <v>0</v>
      </c>
      <c r="BC65" s="276" cm="1">
        <f t="array" ref="BC65">IF(AND(BC$2&lt;&gt;0,TblTech[[#This Row],[Hour]:[Hour]]&gt;=BC$2),1,0)</f>
        <v>0</v>
      </c>
      <c r="BD65" s="276" cm="1">
        <f t="array" ref="BD65">IF(AND(BD$2&lt;&gt;0,TblTech[[#This Row],[Hour]:[Hour]]&gt;=BD$2),1,0)</f>
        <v>0</v>
      </c>
      <c r="BE65" s="276" cm="1">
        <f t="array" ref="BE65">IF(AND(BE$2&lt;&gt;0,TblTech[[#This Row],[Hour]:[Hour]]&gt;=BE$2),1,0)</f>
        <v>0</v>
      </c>
      <c r="BF65" s="276" cm="1">
        <f t="array" ref="BF65">IF(AND(BF$2&lt;&gt;0,TblTech[[#This Row],[Hour]:[Hour]]&gt;=BF$2),1,0)</f>
        <v>0</v>
      </c>
      <c r="BG65" s="276" cm="1">
        <f t="array" ref="BG65">IF(AND(BG$2&lt;&gt;0,TblTech[[#This Row],[Hour]:[Hour]]&gt;=BG$2),1,0)</f>
        <v>0</v>
      </c>
      <c r="BH65" s="276" cm="1">
        <f t="array" ref="BH65">IF(AND(BH$2&lt;&gt;0,TblTech[[#This Row],[Hour]:[Hour]]&gt;=BH$2),1,0)</f>
        <v>0</v>
      </c>
      <c r="BI65" s="276" cm="1">
        <f t="array" ref="BI65">IF(AND(BI$2&lt;&gt;0,TblTech[[#This Row],[Hour]:[Hour]]&gt;=BI$2),1,0)</f>
        <v>0</v>
      </c>
      <c r="BJ65" s="276" cm="1">
        <f t="array" ref="BJ65">IF(AND(BJ$2&lt;&gt;0,TblTech[[#This Row],[Hour]:[Hour]]&gt;=BJ$2),1,0)</f>
        <v>0</v>
      </c>
      <c r="BK65" s="276" cm="1">
        <f t="array" ref="BK65">IF(AND(BK$2&lt;&gt;0,TblTech[[#This Row],[Hour]:[Hour]]&gt;=BK$2),1,0)</f>
        <v>0</v>
      </c>
      <c r="BL65" s="276" cm="1">
        <f t="array" ref="BL65">IF(AND(BL$2&lt;&gt;0,TblTech[[#This Row],[Hour]:[Hour]]&gt;=BL$2),1,0)</f>
        <v>0</v>
      </c>
      <c r="BM65" s="276" cm="1">
        <f t="array" ref="BM65">IF(AND(BM$2&lt;&gt;0,TblTech[[#This Row],[Hour]:[Hour]]&gt;=BM$2),1,0)</f>
        <v>0</v>
      </c>
      <c r="BN65" s="276" cm="1">
        <f t="array" ref="BN65">IF(AND(BN$2&lt;&gt;0,TblTech[[#This Row],[Hour]:[Hour]]&gt;=BN$2),1,0)</f>
        <v>0</v>
      </c>
      <c r="BO65" s="276" cm="1">
        <f t="array" ref="BO65">IF(AND(BO$2&lt;&gt;0,TblTech[[#This Row],[Hour]:[Hour]]&gt;=BO$2),1,0)</f>
        <v>0</v>
      </c>
      <c r="BP65" s="276" cm="1">
        <f t="array" ref="BP65">IF(AND(BP$2&lt;&gt;0,TblTech[[#This Row],[Hour]:[Hour]]&gt;=BP$2),1,0)</f>
        <v>0</v>
      </c>
      <c r="BQ65" s="276" cm="1">
        <f t="array" ref="BQ65">IF(AND(BQ$2&lt;&gt;0,TblTech[[#This Row],[Hour]:[Hour]]&gt;=BQ$2),1,0)</f>
        <v>0</v>
      </c>
      <c r="BR65" s="276" cm="1">
        <f t="array" ref="BR65">IF(AND(BR$2&lt;&gt;0,TblTech[[#This Row],[Hour]:[Hour]]&gt;=BR$2),1,0)</f>
        <v>0</v>
      </c>
      <c r="BS65" s="276" cm="1">
        <f t="array" ref="BS65">IF(AND(BS$2&lt;&gt;0,TblTech[[#This Row],[Hour]:[Hour]]&gt;=BS$2),1,0)</f>
        <v>0</v>
      </c>
      <c r="BT65" s="276" cm="1">
        <f t="array" ref="BT65">IF(AND(BT$2&lt;&gt;0,TblTech[[#This Row],[Hour]:[Hour]]&gt;=BT$2),1,0)</f>
        <v>0</v>
      </c>
      <c r="BU65" s="276" cm="1">
        <f t="array" ref="BU65">IF(AND(BU$2&lt;&gt;0,TblTech[[#This Row],[Hour]:[Hour]]&gt;=BU$2),1,0)</f>
        <v>0</v>
      </c>
      <c r="BV65" s="276" cm="1">
        <f t="array" ref="BV65">IF(AND(BV$2&lt;&gt;0,TblTech[[#This Row],[Hour]:[Hour]]&gt;=BV$2),1,0)</f>
        <v>0</v>
      </c>
      <c r="BW65" s="276" cm="1">
        <f t="array" ref="BW65">IF(AND(BW$2&lt;&gt;0,TblTech[[#This Row],[Hour]:[Hour]]&gt;=BW$2),1,0)</f>
        <v>0</v>
      </c>
      <c r="BX65" s="276" cm="1">
        <f t="array" ref="BX65">IF(AND(BX$2&lt;&gt;0,TblTech[[#This Row],[Hour]:[Hour]]&gt;=BX$2),1,0)</f>
        <v>0</v>
      </c>
      <c r="BY65" s="276" cm="1">
        <f t="array" ref="BY65">IF(AND(BY$2&lt;&gt;0,TblTech[[#This Row],[Hour]:[Hour]]&gt;=BY$2),1,0)</f>
        <v>0</v>
      </c>
      <c r="BZ65" s="276" cm="1">
        <f t="array" ref="BZ65">IF(AND(BZ$2&lt;&gt;0,TblTech[[#This Row],[Hour]:[Hour]]&gt;=BZ$2),1,0)</f>
        <v>0</v>
      </c>
      <c r="CA65" s="377">
        <f>IFERROR(INDEX($H$4:$H$79,MATCH(INDEX(TblTech[[#Headers],[1-1]:[11-1]],1,MATCH(TblTech[[#This Row],[Hour]],$M$2:$BZ$2,0)),$G$4:$G$79,0)),)</f>
        <v>0</v>
      </c>
    </row>
    <row r="66" spans="1:79" x14ac:dyDescent="0.2">
      <c r="A66" s="268">
        <f>TblRezone[[#This Row],[Hour]]</f>
        <v>63</v>
      </c>
      <c r="B66" s="269">
        <f ca="1">TblExplore[[#This Row],[Land-DB]]</f>
        <v>50</v>
      </c>
      <c r="C66" s="270">
        <f ca="1">TblProd[[#This Row],[Techpoints]]</f>
        <v>0</v>
      </c>
      <c r="D66" s="270">
        <f ca="1">TblProd[[#This Row],[Required]]</f>
        <v>3750</v>
      </c>
      <c r="E66" s="271"/>
      <c r="F66" s="272"/>
      <c r="G66" s="273"/>
      <c r="H66" s="274"/>
      <c r="I66" s="273"/>
      <c r="J66" s="269"/>
      <c r="K66" s="93">
        <f ca="1">IF(TblTech[[#This Row],[Sum of tech]]&lt;&gt;OFFSET(TblTech[[#This Row],[Sum of tech]],-1,0),1,0)</f>
        <v>0</v>
      </c>
      <c r="L66" s="275">
        <f>COUNTIF(TblTech[[#This Row],[1-1]:[11-1]],1)</f>
        <v>0</v>
      </c>
      <c r="M66" s="276" cm="1">
        <f t="array" ref="M66">IF(AND(M$2&lt;&gt;0,TblTech[[#This Row],[Hour]:[Hour]]&gt;=M$2),1,0)</f>
        <v>0</v>
      </c>
      <c r="N66" s="276" cm="1">
        <f t="array" ref="N66">IF(AND(N$2&lt;&gt;0,TblTech[[#This Row],[Hour]:[Hour]]&gt;=N$2),1,0)</f>
        <v>0</v>
      </c>
      <c r="O66" s="276" cm="1">
        <f t="array" ref="O66">IF(AND(O$2&lt;&gt;0,TblTech[[#This Row],[Hour]:[Hour]]&gt;=O$2),1,0)</f>
        <v>0</v>
      </c>
      <c r="P66" s="276" cm="1">
        <f t="array" ref="P66">IF(AND(P$2&lt;&gt;0,TblTech[[#This Row],[Hour]:[Hour]]&gt;=P$2),1,0)</f>
        <v>0</v>
      </c>
      <c r="Q66" s="276" cm="1">
        <f t="array" ref="Q66">IF(AND(Q$2&lt;&gt;0,TblTech[[#This Row],[Hour]:[Hour]]&gt;=Q$2),1,0)</f>
        <v>0</v>
      </c>
      <c r="R66" s="276" cm="1">
        <f t="array" ref="R66">IF(AND(R$2&lt;&gt;0,TblTech[[#This Row],[Hour]:[Hour]]&gt;=R$2),1,0)</f>
        <v>0</v>
      </c>
      <c r="S66" s="276" cm="1">
        <f t="array" ref="S66">IF(AND(S$2&lt;&gt;0,TblTech[[#This Row],[Hour]:[Hour]]&gt;=S$2),1,0)</f>
        <v>0</v>
      </c>
      <c r="T66" s="276" cm="1">
        <f t="array" ref="T66">IF(AND(T$2&lt;&gt;0,TblTech[[#This Row],[Hour]:[Hour]]&gt;=T$2),1,0)</f>
        <v>0</v>
      </c>
      <c r="U66" s="276" cm="1">
        <f t="array" ref="U66">IF(AND(U$2&lt;&gt;0,TblTech[[#This Row],[Hour]:[Hour]]&gt;=U$2),1,0)</f>
        <v>0</v>
      </c>
      <c r="V66" s="276" cm="1">
        <f t="array" ref="V66">IF(AND(V$2&lt;&gt;0,TblTech[[#This Row],[Hour]:[Hour]]&gt;=V$2),1,0)</f>
        <v>0</v>
      </c>
      <c r="W66" s="276" cm="1">
        <f t="array" ref="W66">IF(AND(W$2&lt;&gt;0,TblTech[[#This Row],[Hour]:[Hour]]&gt;=W$2),1,0)</f>
        <v>0</v>
      </c>
      <c r="X66" s="276" cm="1">
        <f t="array" ref="X66">IF(AND(X$2&lt;&gt;0,TblTech[[#This Row],[Hour]:[Hour]]&gt;=X$2),1,0)</f>
        <v>0</v>
      </c>
      <c r="Y66" s="276" cm="1">
        <f t="array" ref="Y66">IF(AND(Y$2&lt;&gt;0,TblTech[[#This Row],[Hour]:[Hour]]&gt;=Y$2),1,0)</f>
        <v>0</v>
      </c>
      <c r="Z66" s="276" cm="1">
        <f t="array" ref="Z66">IF(AND(Z$2&lt;&gt;0,TblTech[[#This Row],[Hour]:[Hour]]&gt;=Z$2),1,0)</f>
        <v>0</v>
      </c>
      <c r="AA66" s="276" cm="1">
        <f t="array" ref="AA66">IF(AND(AA$2&lt;&gt;0,TblTech[[#This Row],[Hour]:[Hour]]&gt;=AA$2),1,0)</f>
        <v>0</v>
      </c>
      <c r="AB66" s="276" cm="1">
        <f t="array" ref="AB66">IF(AND(AB$2&lt;&gt;0,TblTech[[#This Row],[Hour]:[Hour]]&gt;=AB$2),1,0)</f>
        <v>0</v>
      </c>
      <c r="AC66" s="276" cm="1">
        <f t="array" ref="AC66">IF(AND(AC$2&lt;&gt;0,TblTech[[#This Row],[Hour]:[Hour]]&gt;=AC$2),1,0)</f>
        <v>0</v>
      </c>
      <c r="AD66" s="276" cm="1">
        <f t="array" ref="AD66">IF(AND(AD$2&lt;&gt;0,TblTech[[#This Row],[Hour]:[Hour]]&gt;=AD$2),1,0)</f>
        <v>0</v>
      </c>
      <c r="AE66" s="276" cm="1">
        <f t="array" ref="AE66">IF(AND(AE$2&lt;&gt;0,TblTech[[#This Row],[Hour]:[Hour]]&gt;=AE$2),1,0)</f>
        <v>0</v>
      </c>
      <c r="AF66" s="276" cm="1">
        <f t="array" ref="AF66">IF(AND(AF$2&lt;&gt;0,TblTech[[#This Row],[Hour]:[Hour]]&gt;=AF$2),1,0)</f>
        <v>0</v>
      </c>
      <c r="AG66" s="276" cm="1">
        <f t="array" ref="AG66">IF(AND(AG$2&lt;&gt;0,TblTech[[#This Row],[Hour]:[Hour]]&gt;=AG$2),1,0)</f>
        <v>0</v>
      </c>
      <c r="AH66" s="276" cm="1">
        <f t="array" ref="AH66">IF(AND(AH$2&lt;&gt;0,TblTech[[#This Row],[Hour]:[Hour]]&gt;=AH$2),1,0)</f>
        <v>0</v>
      </c>
      <c r="AI66" s="276" cm="1">
        <f t="array" ref="AI66">IF(AND(AI$2&lt;&gt;0,TblTech[[#This Row],[Hour]:[Hour]]&gt;=AI$2),1,0)</f>
        <v>0</v>
      </c>
      <c r="AJ66" s="276" cm="1">
        <f t="array" ref="AJ66">IF(AND(AJ$2&lt;&gt;0,TblTech[[#This Row],[Hour]:[Hour]]&gt;=AJ$2),1,0)</f>
        <v>0</v>
      </c>
      <c r="AK66" s="276" cm="1">
        <f t="array" ref="AK66">IF(AND(AK$2&lt;&gt;0,TblTech[[#This Row],[Hour]:[Hour]]&gt;=AK$2),1,0)</f>
        <v>0</v>
      </c>
      <c r="AL66" s="276" cm="1">
        <f t="array" ref="AL66">IF(AND(AL$2&lt;&gt;0,TblTech[[#This Row],[Hour]:[Hour]]&gt;=AL$2),1,0)</f>
        <v>0</v>
      </c>
      <c r="AM66" s="276" cm="1">
        <f t="array" ref="AM66">IF(AND(AM$2&lt;&gt;0,TblTech[[#This Row],[Hour]:[Hour]]&gt;=AM$2),1,0)</f>
        <v>0</v>
      </c>
      <c r="AN66" s="276" cm="1">
        <f t="array" ref="AN66">IF(AND(AN$2&lt;&gt;0,TblTech[[#This Row],[Hour]:[Hour]]&gt;=AN$2),1,0)</f>
        <v>0</v>
      </c>
      <c r="AO66" s="276" cm="1">
        <f t="array" ref="AO66">IF(AND(AO$2&lt;&gt;0,TblTech[[#This Row],[Hour]:[Hour]]&gt;=AO$2),1,0)</f>
        <v>0</v>
      </c>
      <c r="AP66" s="276" cm="1">
        <f t="array" ref="AP66">IF(AND(AP$2&lt;&gt;0,TblTech[[#This Row],[Hour]:[Hour]]&gt;=AP$2),1,0)</f>
        <v>0</v>
      </c>
      <c r="AQ66" s="276" cm="1">
        <f t="array" ref="AQ66">IF(AND(AQ$2&lt;&gt;0,TblTech[[#This Row],[Hour]:[Hour]]&gt;=AQ$2),1,0)</f>
        <v>0</v>
      </c>
      <c r="AR66" s="276" cm="1">
        <f t="array" ref="AR66">IF(AND(AR$2&lt;&gt;0,TblTech[[#This Row],[Hour]:[Hour]]&gt;=AR$2),1,0)</f>
        <v>0</v>
      </c>
      <c r="AS66" s="276" cm="1">
        <f t="array" ref="AS66">IF(AND(AS$2&lt;&gt;0,TblTech[[#This Row],[Hour]:[Hour]]&gt;=AS$2),1,0)</f>
        <v>0</v>
      </c>
      <c r="AT66" s="276" cm="1">
        <f t="array" ref="AT66">IF(AND(AT$2&lt;&gt;0,TblTech[[#This Row],[Hour]:[Hour]]&gt;=AT$2),1,0)</f>
        <v>0</v>
      </c>
      <c r="AU66" s="276" cm="1">
        <f t="array" ref="AU66">IF(AND(AU$2&lt;&gt;0,TblTech[[#This Row],[Hour]:[Hour]]&gt;=AU$2),1,0)</f>
        <v>0</v>
      </c>
      <c r="AV66" s="276" cm="1">
        <f t="array" ref="AV66">IF(AND(AV$2&lt;&gt;0,TblTech[[#This Row],[Hour]:[Hour]]&gt;=AV$2),1,0)</f>
        <v>0</v>
      </c>
      <c r="AW66" s="276" cm="1">
        <f t="array" ref="AW66">IF(AND(AW$2&lt;&gt;0,TblTech[[#This Row],[Hour]:[Hour]]&gt;=AW$2),1,0)</f>
        <v>0</v>
      </c>
      <c r="AX66" s="276" cm="1">
        <f t="array" ref="AX66">IF(AND(AX$2&lt;&gt;0,TblTech[[#This Row],[Hour]:[Hour]]&gt;=AX$2),1,0)</f>
        <v>0</v>
      </c>
      <c r="AY66" s="276" cm="1">
        <f t="array" ref="AY66">IF(AND(AY$2&lt;&gt;0,TblTech[[#This Row],[Hour]:[Hour]]&gt;=AY$2),1,0)</f>
        <v>0</v>
      </c>
      <c r="AZ66" s="276" cm="1">
        <f t="array" ref="AZ66">IF(AND(AZ$2&lt;&gt;0,TblTech[[#This Row],[Hour]:[Hour]]&gt;=AZ$2),1,0)</f>
        <v>0</v>
      </c>
      <c r="BA66" s="276" cm="1">
        <f t="array" ref="BA66">IF(AND(BA$2&lt;&gt;0,TblTech[[#This Row],[Hour]:[Hour]]&gt;=BA$2),1,0)</f>
        <v>0</v>
      </c>
      <c r="BB66" s="276" cm="1">
        <f t="array" ref="BB66">IF(AND(BB$2&lt;&gt;0,TblTech[[#This Row],[Hour]:[Hour]]&gt;=BB$2),1,0)</f>
        <v>0</v>
      </c>
      <c r="BC66" s="276" cm="1">
        <f t="array" ref="BC66">IF(AND(BC$2&lt;&gt;0,TblTech[[#This Row],[Hour]:[Hour]]&gt;=BC$2),1,0)</f>
        <v>0</v>
      </c>
      <c r="BD66" s="276" cm="1">
        <f t="array" ref="BD66">IF(AND(BD$2&lt;&gt;0,TblTech[[#This Row],[Hour]:[Hour]]&gt;=BD$2),1,0)</f>
        <v>0</v>
      </c>
      <c r="BE66" s="276" cm="1">
        <f t="array" ref="BE66">IF(AND(BE$2&lt;&gt;0,TblTech[[#This Row],[Hour]:[Hour]]&gt;=BE$2),1,0)</f>
        <v>0</v>
      </c>
      <c r="BF66" s="276" cm="1">
        <f t="array" ref="BF66">IF(AND(BF$2&lt;&gt;0,TblTech[[#This Row],[Hour]:[Hour]]&gt;=BF$2),1,0)</f>
        <v>0</v>
      </c>
      <c r="BG66" s="276" cm="1">
        <f t="array" ref="BG66">IF(AND(BG$2&lt;&gt;0,TblTech[[#This Row],[Hour]:[Hour]]&gt;=BG$2),1,0)</f>
        <v>0</v>
      </c>
      <c r="BH66" s="276" cm="1">
        <f t="array" ref="BH66">IF(AND(BH$2&lt;&gt;0,TblTech[[#This Row],[Hour]:[Hour]]&gt;=BH$2),1,0)</f>
        <v>0</v>
      </c>
      <c r="BI66" s="276" cm="1">
        <f t="array" ref="BI66">IF(AND(BI$2&lt;&gt;0,TblTech[[#This Row],[Hour]:[Hour]]&gt;=BI$2),1,0)</f>
        <v>0</v>
      </c>
      <c r="BJ66" s="276" cm="1">
        <f t="array" ref="BJ66">IF(AND(BJ$2&lt;&gt;0,TblTech[[#This Row],[Hour]:[Hour]]&gt;=BJ$2),1,0)</f>
        <v>0</v>
      </c>
      <c r="BK66" s="276" cm="1">
        <f t="array" ref="BK66">IF(AND(BK$2&lt;&gt;0,TblTech[[#This Row],[Hour]:[Hour]]&gt;=BK$2),1,0)</f>
        <v>0</v>
      </c>
      <c r="BL66" s="276" cm="1">
        <f t="array" ref="BL66">IF(AND(BL$2&lt;&gt;0,TblTech[[#This Row],[Hour]:[Hour]]&gt;=BL$2),1,0)</f>
        <v>0</v>
      </c>
      <c r="BM66" s="276" cm="1">
        <f t="array" ref="BM66">IF(AND(BM$2&lt;&gt;0,TblTech[[#This Row],[Hour]:[Hour]]&gt;=BM$2),1,0)</f>
        <v>0</v>
      </c>
      <c r="BN66" s="276" cm="1">
        <f t="array" ref="BN66">IF(AND(BN$2&lt;&gt;0,TblTech[[#This Row],[Hour]:[Hour]]&gt;=BN$2),1,0)</f>
        <v>0</v>
      </c>
      <c r="BO66" s="276" cm="1">
        <f t="array" ref="BO66">IF(AND(BO$2&lt;&gt;0,TblTech[[#This Row],[Hour]:[Hour]]&gt;=BO$2),1,0)</f>
        <v>0</v>
      </c>
      <c r="BP66" s="276" cm="1">
        <f t="array" ref="BP66">IF(AND(BP$2&lt;&gt;0,TblTech[[#This Row],[Hour]:[Hour]]&gt;=BP$2),1,0)</f>
        <v>0</v>
      </c>
      <c r="BQ66" s="276" cm="1">
        <f t="array" ref="BQ66">IF(AND(BQ$2&lt;&gt;0,TblTech[[#This Row],[Hour]:[Hour]]&gt;=BQ$2),1,0)</f>
        <v>0</v>
      </c>
      <c r="BR66" s="276" cm="1">
        <f t="array" ref="BR66">IF(AND(BR$2&lt;&gt;0,TblTech[[#This Row],[Hour]:[Hour]]&gt;=BR$2),1,0)</f>
        <v>0</v>
      </c>
      <c r="BS66" s="276" cm="1">
        <f t="array" ref="BS66">IF(AND(BS$2&lt;&gt;0,TblTech[[#This Row],[Hour]:[Hour]]&gt;=BS$2),1,0)</f>
        <v>0</v>
      </c>
      <c r="BT66" s="276" cm="1">
        <f t="array" ref="BT66">IF(AND(BT$2&lt;&gt;0,TblTech[[#This Row],[Hour]:[Hour]]&gt;=BT$2),1,0)</f>
        <v>0</v>
      </c>
      <c r="BU66" s="276" cm="1">
        <f t="array" ref="BU66">IF(AND(BU$2&lt;&gt;0,TblTech[[#This Row],[Hour]:[Hour]]&gt;=BU$2),1,0)</f>
        <v>0</v>
      </c>
      <c r="BV66" s="276" cm="1">
        <f t="array" ref="BV66">IF(AND(BV$2&lt;&gt;0,TblTech[[#This Row],[Hour]:[Hour]]&gt;=BV$2),1,0)</f>
        <v>0</v>
      </c>
      <c r="BW66" s="276" cm="1">
        <f t="array" ref="BW66">IF(AND(BW$2&lt;&gt;0,TblTech[[#This Row],[Hour]:[Hour]]&gt;=BW$2),1,0)</f>
        <v>0</v>
      </c>
      <c r="BX66" s="276" cm="1">
        <f t="array" ref="BX66">IF(AND(BX$2&lt;&gt;0,TblTech[[#This Row],[Hour]:[Hour]]&gt;=BX$2),1,0)</f>
        <v>0</v>
      </c>
      <c r="BY66" s="276" cm="1">
        <f t="array" ref="BY66">IF(AND(BY$2&lt;&gt;0,TblTech[[#This Row],[Hour]:[Hour]]&gt;=BY$2),1,0)</f>
        <v>0</v>
      </c>
      <c r="BZ66" s="276" cm="1">
        <f t="array" ref="BZ66">IF(AND(BZ$2&lt;&gt;0,TblTech[[#This Row],[Hour]:[Hour]]&gt;=BZ$2),1,0)</f>
        <v>0</v>
      </c>
      <c r="CA66" s="377">
        <f>IFERROR(INDEX($H$4:$H$79,MATCH(INDEX(TblTech[[#Headers],[1-1]:[11-1]],1,MATCH(TblTech[[#This Row],[Hour]],$M$2:$BZ$2,0)),$G$4:$G$79,0)),)</f>
        <v>0</v>
      </c>
    </row>
    <row r="67" spans="1:79" x14ac:dyDescent="0.2">
      <c r="A67" s="268">
        <f>TblRezone[[#This Row],[Hour]]</f>
        <v>64</v>
      </c>
      <c r="B67" s="269">
        <f ca="1">TblExplore[[#This Row],[Land-DB]]</f>
        <v>50</v>
      </c>
      <c r="C67" s="270">
        <f ca="1">TblProd[[#This Row],[Techpoints]]</f>
        <v>0</v>
      </c>
      <c r="D67" s="270">
        <f ca="1">TblProd[[#This Row],[Required]]</f>
        <v>3750</v>
      </c>
      <c r="E67" s="271"/>
      <c r="F67" s="272"/>
      <c r="G67" s="273" t="s">
        <v>608</v>
      </c>
      <c r="H67" s="274" t="s">
        <v>1052</v>
      </c>
      <c r="I67" s="273" t="s">
        <v>740</v>
      </c>
      <c r="J67" s="269"/>
      <c r="K67" s="93">
        <f ca="1">IF(TblTech[[#This Row],[Sum of tech]]&lt;&gt;OFFSET(TblTech[[#This Row],[Sum of tech]],-1,0),1,0)</f>
        <v>0</v>
      </c>
      <c r="L67" s="275">
        <f>COUNTIF(TblTech[[#This Row],[1-1]:[11-1]],1)</f>
        <v>0</v>
      </c>
      <c r="M67" s="276" cm="1">
        <f t="array" ref="M67">IF(AND(M$2&lt;&gt;0,TblTech[[#This Row],[Hour]:[Hour]]&gt;=M$2),1,0)</f>
        <v>0</v>
      </c>
      <c r="N67" s="276" cm="1">
        <f t="array" ref="N67">IF(AND(N$2&lt;&gt;0,TblTech[[#This Row],[Hour]:[Hour]]&gt;=N$2),1,0)</f>
        <v>0</v>
      </c>
      <c r="O67" s="276" cm="1">
        <f t="array" ref="O67">IF(AND(O$2&lt;&gt;0,TblTech[[#This Row],[Hour]:[Hour]]&gt;=O$2),1,0)</f>
        <v>0</v>
      </c>
      <c r="P67" s="276" cm="1">
        <f t="array" ref="P67">IF(AND(P$2&lt;&gt;0,TblTech[[#This Row],[Hour]:[Hour]]&gt;=P$2),1,0)</f>
        <v>0</v>
      </c>
      <c r="Q67" s="276" cm="1">
        <f t="array" ref="Q67">IF(AND(Q$2&lt;&gt;0,TblTech[[#This Row],[Hour]:[Hour]]&gt;=Q$2),1,0)</f>
        <v>0</v>
      </c>
      <c r="R67" s="276" cm="1">
        <f t="array" ref="R67">IF(AND(R$2&lt;&gt;0,TblTech[[#This Row],[Hour]:[Hour]]&gt;=R$2),1,0)</f>
        <v>0</v>
      </c>
      <c r="S67" s="276" cm="1">
        <f t="array" ref="S67">IF(AND(S$2&lt;&gt;0,TblTech[[#This Row],[Hour]:[Hour]]&gt;=S$2),1,0)</f>
        <v>0</v>
      </c>
      <c r="T67" s="276" cm="1">
        <f t="array" ref="T67">IF(AND(T$2&lt;&gt;0,TblTech[[#This Row],[Hour]:[Hour]]&gt;=T$2),1,0)</f>
        <v>0</v>
      </c>
      <c r="U67" s="276" cm="1">
        <f t="array" ref="U67">IF(AND(U$2&lt;&gt;0,TblTech[[#This Row],[Hour]:[Hour]]&gt;=U$2),1,0)</f>
        <v>0</v>
      </c>
      <c r="V67" s="276" cm="1">
        <f t="array" ref="V67">IF(AND(V$2&lt;&gt;0,TblTech[[#This Row],[Hour]:[Hour]]&gt;=V$2),1,0)</f>
        <v>0</v>
      </c>
      <c r="W67" s="276" cm="1">
        <f t="array" ref="W67">IF(AND(W$2&lt;&gt;0,TblTech[[#This Row],[Hour]:[Hour]]&gt;=W$2),1,0)</f>
        <v>0</v>
      </c>
      <c r="X67" s="276" cm="1">
        <f t="array" ref="X67">IF(AND(X$2&lt;&gt;0,TblTech[[#This Row],[Hour]:[Hour]]&gt;=X$2),1,0)</f>
        <v>0</v>
      </c>
      <c r="Y67" s="276" cm="1">
        <f t="array" ref="Y67">IF(AND(Y$2&lt;&gt;0,TblTech[[#This Row],[Hour]:[Hour]]&gt;=Y$2),1,0)</f>
        <v>0</v>
      </c>
      <c r="Z67" s="276" cm="1">
        <f t="array" ref="Z67">IF(AND(Z$2&lt;&gt;0,TblTech[[#This Row],[Hour]:[Hour]]&gt;=Z$2),1,0)</f>
        <v>0</v>
      </c>
      <c r="AA67" s="276" cm="1">
        <f t="array" ref="AA67">IF(AND(AA$2&lt;&gt;0,TblTech[[#This Row],[Hour]:[Hour]]&gt;=AA$2),1,0)</f>
        <v>0</v>
      </c>
      <c r="AB67" s="276" cm="1">
        <f t="array" ref="AB67">IF(AND(AB$2&lt;&gt;0,TblTech[[#This Row],[Hour]:[Hour]]&gt;=AB$2),1,0)</f>
        <v>0</v>
      </c>
      <c r="AC67" s="276" cm="1">
        <f t="array" ref="AC67">IF(AND(AC$2&lt;&gt;0,TblTech[[#This Row],[Hour]:[Hour]]&gt;=AC$2),1,0)</f>
        <v>0</v>
      </c>
      <c r="AD67" s="276" cm="1">
        <f t="array" ref="AD67">IF(AND(AD$2&lt;&gt;0,TblTech[[#This Row],[Hour]:[Hour]]&gt;=AD$2),1,0)</f>
        <v>0</v>
      </c>
      <c r="AE67" s="276" cm="1">
        <f t="array" ref="AE67">IF(AND(AE$2&lt;&gt;0,TblTech[[#This Row],[Hour]:[Hour]]&gt;=AE$2),1,0)</f>
        <v>0</v>
      </c>
      <c r="AF67" s="276" cm="1">
        <f t="array" ref="AF67">IF(AND(AF$2&lt;&gt;0,TblTech[[#This Row],[Hour]:[Hour]]&gt;=AF$2),1,0)</f>
        <v>0</v>
      </c>
      <c r="AG67" s="276" cm="1">
        <f t="array" ref="AG67">IF(AND(AG$2&lt;&gt;0,TblTech[[#This Row],[Hour]:[Hour]]&gt;=AG$2),1,0)</f>
        <v>0</v>
      </c>
      <c r="AH67" s="276" cm="1">
        <f t="array" ref="AH67">IF(AND(AH$2&lt;&gt;0,TblTech[[#This Row],[Hour]:[Hour]]&gt;=AH$2),1,0)</f>
        <v>0</v>
      </c>
      <c r="AI67" s="276" cm="1">
        <f t="array" ref="AI67">IF(AND(AI$2&lt;&gt;0,TblTech[[#This Row],[Hour]:[Hour]]&gt;=AI$2),1,0)</f>
        <v>0</v>
      </c>
      <c r="AJ67" s="276" cm="1">
        <f t="array" ref="AJ67">IF(AND(AJ$2&lt;&gt;0,TblTech[[#This Row],[Hour]:[Hour]]&gt;=AJ$2),1,0)</f>
        <v>0</v>
      </c>
      <c r="AK67" s="276" cm="1">
        <f t="array" ref="AK67">IF(AND(AK$2&lt;&gt;0,TblTech[[#This Row],[Hour]:[Hour]]&gt;=AK$2),1,0)</f>
        <v>0</v>
      </c>
      <c r="AL67" s="276" cm="1">
        <f t="array" ref="AL67">IF(AND(AL$2&lt;&gt;0,TblTech[[#This Row],[Hour]:[Hour]]&gt;=AL$2),1,0)</f>
        <v>0</v>
      </c>
      <c r="AM67" s="276" cm="1">
        <f t="array" ref="AM67">IF(AND(AM$2&lt;&gt;0,TblTech[[#This Row],[Hour]:[Hour]]&gt;=AM$2),1,0)</f>
        <v>0</v>
      </c>
      <c r="AN67" s="276" cm="1">
        <f t="array" ref="AN67">IF(AND(AN$2&lt;&gt;0,TblTech[[#This Row],[Hour]:[Hour]]&gt;=AN$2),1,0)</f>
        <v>0</v>
      </c>
      <c r="AO67" s="276" cm="1">
        <f t="array" ref="AO67">IF(AND(AO$2&lt;&gt;0,TblTech[[#This Row],[Hour]:[Hour]]&gt;=AO$2),1,0)</f>
        <v>0</v>
      </c>
      <c r="AP67" s="276" cm="1">
        <f t="array" ref="AP67">IF(AND(AP$2&lt;&gt;0,TblTech[[#This Row],[Hour]:[Hour]]&gt;=AP$2),1,0)</f>
        <v>0</v>
      </c>
      <c r="AQ67" s="276" cm="1">
        <f t="array" ref="AQ67">IF(AND(AQ$2&lt;&gt;0,TblTech[[#This Row],[Hour]:[Hour]]&gt;=AQ$2),1,0)</f>
        <v>0</v>
      </c>
      <c r="AR67" s="276" cm="1">
        <f t="array" ref="AR67">IF(AND(AR$2&lt;&gt;0,TblTech[[#This Row],[Hour]:[Hour]]&gt;=AR$2),1,0)</f>
        <v>0</v>
      </c>
      <c r="AS67" s="276" cm="1">
        <f t="array" ref="AS67">IF(AND(AS$2&lt;&gt;0,TblTech[[#This Row],[Hour]:[Hour]]&gt;=AS$2),1,0)</f>
        <v>0</v>
      </c>
      <c r="AT67" s="276" cm="1">
        <f t="array" ref="AT67">IF(AND(AT$2&lt;&gt;0,TblTech[[#This Row],[Hour]:[Hour]]&gt;=AT$2),1,0)</f>
        <v>0</v>
      </c>
      <c r="AU67" s="276" cm="1">
        <f t="array" ref="AU67">IF(AND(AU$2&lt;&gt;0,TblTech[[#This Row],[Hour]:[Hour]]&gt;=AU$2),1,0)</f>
        <v>0</v>
      </c>
      <c r="AV67" s="276" cm="1">
        <f t="array" ref="AV67">IF(AND(AV$2&lt;&gt;0,TblTech[[#This Row],[Hour]:[Hour]]&gt;=AV$2),1,0)</f>
        <v>0</v>
      </c>
      <c r="AW67" s="276" cm="1">
        <f t="array" ref="AW67">IF(AND(AW$2&lt;&gt;0,TblTech[[#This Row],[Hour]:[Hour]]&gt;=AW$2),1,0)</f>
        <v>0</v>
      </c>
      <c r="AX67" s="276" cm="1">
        <f t="array" ref="AX67">IF(AND(AX$2&lt;&gt;0,TblTech[[#This Row],[Hour]:[Hour]]&gt;=AX$2),1,0)</f>
        <v>0</v>
      </c>
      <c r="AY67" s="276" cm="1">
        <f t="array" ref="AY67">IF(AND(AY$2&lt;&gt;0,TblTech[[#This Row],[Hour]:[Hour]]&gt;=AY$2),1,0)</f>
        <v>0</v>
      </c>
      <c r="AZ67" s="276" cm="1">
        <f t="array" ref="AZ67">IF(AND(AZ$2&lt;&gt;0,TblTech[[#This Row],[Hour]:[Hour]]&gt;=AZ$2),1,0)</f>
        <v>0</v>
      </c>
      <c r="BA67" s="276" cm="1">
        <f t="array" ref="BA67">IF(AND(BA$2&lt;&gt;0,TblTech[[#This Row],[Hour]:[Hour]]&gt;=BA$2),1,0)</f>
        <v>0</v>
      </c>
      <c r="BB67" s="276" cm="1">
        <f t="array" ref="BB67">IF(AND(BB$2&lt;&gt;0,TblTech[[#This Row],[Hour]:[Hour]]&gt;=BB$2),1,0)</f>
        <v>0</v>
      </c>
      <c r="BC67" s="276" cm="1">
        <f t="array" ref="BC67">IF(AND(BC$2&lt;&gt;0,TblTech[[#This Row],[Hour]:[Hour]]&gt;=BC$2),1,0)</f>
        <v>0</v>
      </c>
      <c r="BD67" s="276" cm="1">
        <f t="array" ref="BD67">IF(AND(BD$2&lt;&gt;0,TblTech[[#This Row],[Hour]:[Hour]]&gt;=BD$2),1,0)</f>
        <v>0</v>
      </c>
      <c r="BE67" s="276" cm="1">
        <f t="array" ref="BE67">IF(AND(BE$2&lt;&gt;0,TblTech[[#This Row],[Hour]:[Hour]]&gt;=BE$2),1,0)</f>
        <v>0</v>
      </c>
      <c r="BF67" s="276" cm="1">
        <f t="array" ref="BF67">IF(AND(BF$2&lt;&gt;0,TblTech[[#This Row],[Hour]:[Hour]]&gt;=BF$2),1,0)</f>
        <v>0</v>
      </c>
      <c r="BG67" s="276" cm="1">
        <f t="array" ref="BG67">IF(AND(BG$2&lt;&gt;0,TblTech[[#This Row],[Hour]:[Hour]]&gt;=BG$2),1,0)</f>
        <v>0</v>
      </c>
      <c r="BH67" s="276" cm="1">
        <f t="array" ref="BH67">IF(AND(BH$2&lt;&gt;0,TblTech[[#This Row],[Hour]:[Hour]]&gt;=BH$2),1,0)</f>
        <v>0</v>
      </c>
      <c r="BI67" s="276" cm="1">
        <f t="array" ref="BI67">IF(AND(BI$2&lt;&gt;0,TblTech[[#This Row],[Hour]:[Hour]]&gt;=BI$2),1,0)</f>
        <v>0</v>
      </c>
      <c r="BJ67" s="276" cm="1">
        <f t="array" ref="BJ67">IF(AND(BJ$2&lt;&gt;0,TblTech[[#This Row],[Hour]:[Hour]]&gt;=BJ$2),1,0)</f>
        <v>0</v>
      </c>
      <c r="BK67" s="276" cm="1">
        <f t="array" ref="BK67">IF(AND(BK$2&lt;&gt;0,TblTech[[#This Row],[Hour]:[Hour]]&gt;=BK$2),1,0)</f>
        <v>0</v>
      </c>
      <c r="BL67" s="276" cm="1">
        <f t="array" ref="BL67">IF(AND(BL$2&lt;&gt;0,TblTech[[#This Row],[Hour]:[Hour]]&gt;=BL$2),1,0)</f>
        <v>0</v>
      </c>
      <c r="BM67" s="276" cm="1">
        <f t="array" ref="BM67">IF(AND(BM$2&lt;&gt;0,TblTech[[#This Row],[Hour]:[Hour]]&gt;=BM$2),1,0)</f>
        <v>0</v>
      </c>
      <c r="BN67" s="276" cm="1">
        <f t="array" ref="BN67">IF(AND(BN$2&lt;&gt;0,TblTech[[#This Row],[Hour]:[Hour]]&gt;=BN$2),1,0)</f>
        <v>0</v>
      </c>
      <c r="BO67" s="276" cm="1">
        <f t="array" ref="BO67">IF(AND(BO$2&lt;&gt;0,TblTech[[#This Row],[Hour]:[Hour]]&gt;=BO$2),1,0)</f>
        <v>0</v>
      </c>
      <c r="BP67" s="276" cm="1">
        <f t="array" ref="BP67">IF(AND(BP$2&lt;&gt;0,TblTech[[#This Row],[Hour]:[Hour]]&gt;=BP$2),1,0)</f>
        <v>0</v>
      </c>
      <c r="BQ67" s="276" cm="1">
        <f t="array" ref="BQ67">IF(AND(BQ$2&lt;&gt;0,TblTech[[#This Row],[Hour]:[Hour]]&gt;=BQ$2),1,0)</f>
        <v>0</v>
      </c>
      <c r="BR67" s="276" cm="1">
        <f t="array" ref="BR67">IF(AND(BR$2&lt;&gt;0,TblTech[[#This Row],[Hour]:[Hour]]&gt;=BR$2),1,0)</f>
        <v>0</v>
      </c>
      <c r="BS67" s="276" cm="1">
        <f t="array" ref="BS67">IF(AND(BS$2&lt;&gt;0,TblTech[[#This Row],[Hour]:[Hour]]&gt;=BS$2),1,0)</f>
        <v>0</v>
      </c>
      <c r="BT67" s="276" cm="1">
        <f t="array" ref="BT67">IF(AND(BT$2&lt;&gt;0,TblTech[[#This Row],[Hour]:[Hour]]&gt;=BT$2),1,0)</f>
        <v>0</v>
      </c>
      <c r="BU67" s="276" cm="1">
        <f t="array" ref="BU67">IF(AND(BU$2&lt;&gt;0,TblTech[[#This Row],[Hour]:[Hour]]&gt;=BU$2),1,0)</f>
        <v>0</v>
      </c>
      <c r="BV67" s="276" cm="1">
        <f t="array" ref="BV67">IF(AND(BV$2&lt;&gt;0,TblTech[[#This Row],[Hour]:[Hour]]&gt;=BV$2),1,0)</f>
        <v>0</v>
      </c>
      <c r="BW67" s="276" cm="1">
        <f t="array" ref="BW67">IF(AND(BW$2&lt;&gt;0,TblTech[[#This Row],[Hour]:[Hour]]&gt;=BW$2),1,0)</f>
        <v>0</v>
      </c>
      <c r="BX67" s="276" cm="1">
        <f t="array" ref="BX67">IF(AND(BX$2&lt;&gt;0,TblTech[[#This Row],[Hour]:[Hour]]&gt;=BX$2),1,0)</f>
        <v>0</v>
      </c>
      <c r="BY67" s="276" cm="1">
        <f t="array" ref="BY67">IF(AND(BY$2&lt;&gt;0,TblTech[[#This Row],[Hour]:[Hour]]&gt;=BY$2),1,0)</f>
        <v>0</v>
      </c>
      <c r="BZ67" s="276" cm="1">
        <f t="array" ref="BZ67">IF(AND(BZ$2&lt;&gt;0,TblTech[[#This Row],[Hour]:[Hour]]&gt;=BZ$2),1,0)</f>
        <v>0</v>
      </c>
      <c r="CA67" s="377">
        <f>IFERROR(INDEX($H$4:$H$79,MATCH(INDEX(TblTech[[#Headers],[1-1]:[11-1]],1,MATCH(TblTech[[#This Row],[Hour]],$M$2:$BZ$2,0)),$G$4:$G$79,0)),)</f>
        <v>0</v>
      </c>
    </row>
    <row r="68" spans="1:79" x14ac:dyDescent="0.2">
      <c r="A68" s="268">
        <f>TblRezone[[#This Row],[Hour]]</f>
        <v>65</v>
      </c>
      <c r="B68" s="269">
        <f ca="1">TblExplore[[#This Row],[Land-DB]]</f>
        <v>50</v>
      </c>
      <c r="C68" s="270">
        <f ca="1">TblProd[[#This Row],[Techpoints]]</f>
        <v>0</v>
      </c>
      <c r="D68" s="270">
        <f ca="1">TblProd[[#This Row],[Required]]</f>
        <v>3750</v>
      </c>
      <c r="E68" s="271"/>
      <c r="F68" s="272"/>
      <c r="G68" s="273" t="s">
        <v>609</v>
      </c>
      <c r="H68" s="274" t="s">
        <v>726</v>
      </c>
      <c r="I68" s="273" t="s">
        <v>610</v>
      </c>
      <c r="J68" s="269"/>
      <c r="K68" s="93">
        <f ca="1">IF(TblTech[[#This Row],[Sum of tech]]&lt;&gt;OFFSET(TblTech[[#This Row],[Sum of tech]],-1,0),1,0)</f>
        <v>0</v>
      </c>
      <c r="L68" s="275">
        <f>COUNTIF(TblTech[[#This Row],[1-1]:[11-1]],1)</f>
        <v>0</v>
      </c>
      <c r="M68" s="276" cm="1">
        <f t="array" ref="M68">IF(AND(M$2&lt;&gt;0,TblTech[[#This Row],[Hour]:[Hour]]&gt;=M$2),1,0)</f>
        <v>0</v>
      </c>
      <c r="N68" s="276" cm="1">
        <f t="array" ref="N68">IF(AND(N$2&lt;&gt;0,TblTech[[#This Row],[Hour]:[Hour]]&gt;=N$2),1,0)</f>
        <v>0</v>
      </c>
      <c r="O68" s="276" cm="1">
        <f t="array" ref="O68">IF(AND(O$2&lt;&gt;0,TblTech[[#This Row],[Hour]:[Hour]]&gt;=O$2),1,0)</f>
        <v>0</v>
      </c>
      <c r="P68" s="276" cm="1">
        <f t="array" ref="P68">IF(AND(P$2&lt;&gt;0,TblTech[[#This Row],[Hour]:[Hour]]&gt;=P$2),1,0)</f>
        <v>0</v>
      </c>
      <c r="Q68" s="276" cm="1">
        <f t="array" ref="Q68">IF(AND(Q$2&lt;&gt;0,TblTech[[#This Row],[Hour]:[Hour]]&gt;=Q$2),1,0)</f>
        <v>0</v>
      </c>
      <c r="R68" s="276" cm="1">
        <f t="array" ref="R68">IF(AND(R$2&lt;&gt;0,TblTech[[#This Row],[Hour]:[Hour]]&gt;=R$2),1,0)</f>
        <v>0</v>
      </c>
      <c r="S68" s="276" cm="1">
        <f t="array" ref="S68">IF(AND(S$2&lt;&gt;0,TblTech[[#This Row],[Hour]:[Hour]]&gt;=S$2),1,0)</f>
        <v>0</v>
      </c>
      <c r="T68" s="276" cm="1">
        <f t="array" ref="T68">IF(AND(T$2&lt;&gt;0,TblTech[[#This Row],[Hour]:[Hour]]&gt;=T$2),1,0)</f>
        <v>0</v>
      </c>
      <c r="U68" s="276" cm="1">
        <f t="array" ref="U68">IF(AND(U$2&lt;&gt;0,TblTech[[#This Row],[Hour]:[Hour]]&gt;=U$2),1,0)</f>
        <v>0</v>
      </c>
      <c r="V68" s="276" cm="1">
        <f t="array" ref="V68">IF(AND(V$2&lt;&gt;0,TblTech[[#This Row],[Hour]:[Hour]]&gt;=V$2),1,0)</f>
        <v>0</v>
      </c>
      <c r="W68" s="276" cm="1">
        <f t="array" ref="W68">IF(AND(W$2&lt;&gt;0,TblTech[[#This Row],[Hour]:[Hour]]&gt;=W$2),1,0)</f>
        <v>0</v>
      </c>
      <c r="X68" s="276" cm="1">
        <f t="array" ref="X68">IF(AND(X$2&lt;&gt;0,TblTech[[#This Row],[Hour]:[Hour]]&gt;=X$2),1,0)</f>
        <v>0</v>
      </c>
      <c r="Y68" s="276" cm="1">
        <f t="array" ref="Y68">IF(AND(Y$2&lt;&gt;0,TblTech[[#This Row],[Hour]:[Hour]]&gt;=Y$2),1,0)</f>
        <v>0</v>
      </c>
      <c r="Z68" s="276" cm="1">
        <f t="array" ref="Z68">IF(AND(Z$2&lt;&gt;0,TblTech[[#This Row],[Hour]:[Hour]]&gt;=Z$2),1,0)</f>
        <v>0</v>
      </c>
      <c r="AA68" s="276" cm="1">
        <f t="array" ref="AA68">IF(AND(AA$2&lt;&gt;0,TblTech[[#This Row],[Hour]:[Hour]]&gt;=AA$2),1,0)</f>
        <v>0</v>
      </c>
      <c r="AB68" s="276" cm="1">
        <f t="array" ref="AB68">IF(AND(AB$2&lt;&gt;0,TblTech[[#This Row],[Hour]:[Hour]]&gt;=AB$2),1,0)</f>
        <v>0</v>
      </c>
      <c r="AC68" s="276" cm="1">
        <f t="array" ref="AC68">IF(AND(AC$2&lt;&gt;0,TblTech[[#This Row],[Hour]:[Hour]]&gt;=AC$2),1,0)</f>
        <v>0</v>
      </c>
      <c r="AD68" s="276" cm="1">
        <f t="array" ref="AD68">IF(AND(AD$2&lt;&gt;0,TblTech[[#This Row],[Hour]:[Hour]]&gt;=AD$2),1,0)</f>
        <v>0</v>
      </c>
      <c r="AE68" s="276" cm="1">
        <f t="array" ref="AE68">IF(AND(AE$2&lt;&gt;0,TblTech[[#This Row],[Hour]:[Hour]]&gt;=AE$2),1,0)</f>
        <v>0</v>
      </c>
      <c r="AF68" s="276" cm="1">
        <f t="array" ref="AF68">IF(AND(AF$2&lt;&gt;0,TblTech[[#This Row],[Hour]:[Hour]]&gt;=AF$2),1,0)</f>
        <v>0</v>
      </c>
      <c r="AG68" s="276" cm="1">
        <f t="array" ref="AG68">IF(AND(AG$2&lt;&gt;0,TblTech[[#This Row],[Hour]:[Hour]]&gt;=AG$2),1,0)</f>
        <v>0</v>
      </c>
      <c r="AH68" s="276" cm="1">
        <f t="array" ref="AH68">IF(AND(AH$2&lt;&gt;0,TblTech[[#This Row],[Hour]:[Hour]]&gt;=AH$2),1,0)</f>
        <v>0</v>
      </c>
      <c r="AI68" s="276" cm="1">
        <f t="array" ref="AI68">IF(AND(AI$2&lt;&gt;0,TblTech[[#This Row],[Hour]:[Hour]]&gt;=AI$2),1,0)</f>
        <v>0</v>
      </c>
      <c r="AJ68" s="276" cm="1">
        <f t="array" ref="AJ68">IF(AND(AJ$2&lt;&gt;0,TblTech[[#This Row],[Hour]:[Hour]]&gt;=AJ$2),1,0)</f>
        <v>0</v>
      </c>
      <c r="AK68" s="276" cm="1">
        <f t="array" ref="AK68">IF(AND(AK$2&lt;&gt;0,TblTech[[#This Row],[Hour]:[Hour]]&gt;=AK$2),1,0)</f>
        <v>0</v>
      </c>
      <c r="AL68" s="276" cm="1">
        <f t="array" ref="AL68">IF(AND(AL$2&lt;&gt;0,TblTech[[#This Row],[Hour]:[Hour]]&gt;=AL$2),1,0)</f>
        <v>0</v>
      </c>
      <c r="AM68" s="276" cm="1">
        <f t="array" ref="AM68">IF(AND(AM$2&lt;&gt;0,TblTech[[#This Row],[Hour]:[Hour]]&gt;=AM$2),1,0)</f>
        <v>0</v>
      </c>
      <c r="AN68" s="276" cm="1">
        <f t="array" ref="AN68">IF(AND(AN$2&lt;&gt;0,TblTech[[#This Row],[Hour]:[Hour]]&gt;=AN$2),1,0)</f>
        <v>0</v>
      </c>
      <c r="AO68" s="276" cm="1">
        <f t="array" ref="AO68">IF(AND(AO$2&lt;&gt;0,TblTech[[#This Row],[Hour]:[Hour]]&gt;=AO$2),1,0)</f>
        <v>0</v>
      </c>
      <c r="AP68" s="276" cm="1">
        <f t="array" ref="AP68">IF(AND(AP$2&lt;&gt;0,TblTech[[#This Row],[Hour]:[Hour]]&gt;=AP$2),1,0)</f>
        <v>0</v>
      </c>
      <c r="AQ68" s="276" cm="1">
        <f t="array" ref="AQ68">IF(AND(AQ$2&lt;&gt;0,TblTech[[#This Row],[Hour]:[Hour]]&gt;=AQ$2),1,0)</f>
        <v>0</v>
      </c>
      <c r="AR68" s="276" cm="1">
        <f t="array" ref="AR68">IF(AND(AR$2&lt;&gt;0,TblTech[[#This Row],[Hour]:[Hour]]&gt;=AR$2),1,0)</f>
        <v>0</v>
      </c>
      <c r="AS68" s="276" cm="1">
        <f t="array" ref="AS68">IF(AND(AS$2&lt;&gt;0,TblTech[[#This Row],[Hour]:[Hour]]&gt;=AS$2),1,0)</f>
        <v>0</v>
      </c>
      <c r="AT68" s="276" cm="1">
        <f t="array" ref="AT68">IF(AND(AT$2&lt;&gt;0,TblTech[[#This Row],[Hour]:[Hour]]&gt;=AT$2),1,0)</f>
        <v>0</v>
      </c>
      <c r="AU68" s="276" cm="1">
        <f t="array" ref="AU68">IF(AND(AU$2&lt;&gt;0,TblTech[[#This Row],[Hour]:[Hour]]&gt;=AU$2),1,0)</f>
        <v>0</v>
      </c>
      <c r="AV68" s="276" cm="1">
        <f t="array" ref="AV68">IF(AND(AV$2&lt;&gt;0,TblTech[[#This Row],[Hour]:[Hour]]&gt;=AV$2),1,0)</f>
        <v>0</v>
      </c>
      <c r="AW68" s="276" cm="1">
        <f t="array" ref="AW68">IF(AND(AW$2&lt;&gt;0,TblTech[[#This Row],[Hour]:[Hour]]&gt;=AW$2),1,0)</f>
        <v>0</v>
      </c>
      <c r="AX68" s="276" cm="1">
        <f t="array" ref="AX68">IF(AND(AX$2&lt;&gt;0,TblTech[[#This Row],[Hour]:[Hour]]&gt;=AX$2),1,0)</f>
        <v>0</v>
      </c>
      <c r="AY68" s="276" cm="1">
        <f t="array" ref="AY68">IF(AND(AY$2&lt;&gt;0,TblTech[[#This Row],[Hour]:[Hour]]&gt;=AY$2),1,0)</f>
        <v>0</v>
      </c>
      <c r="AZ68" s="276" cm="1">
        <f t="array" ref="AZ68">IF(AND(AZ$2&lt;&gt;0,TblTech[[#This Row],[Hour]:[Hour]]&gt;=AZ$2),1,0)</f>
        <v>0</v>
      </c>
      <c r="BA68" s="276" cm="1">
        <f t="array" ref="BA68">IF(AND(BA$2&lt;&gt;0,TblTech[[#This Row],[Hour]:[Hour]]&gt;=BA$2),1,0)</f>
        <v>0</v>
      </c>
      <c r="BB68" s="276" cm="1">
        <f t="array" ref="BB68">IF(AND(BB$2&lt;&gt;0,TblTech[[#This Row],[Hour]:[Hour]]&gt;=BB$2),1,0)</f>
        <v>0</v>
      </c>
      <c r="BC68" s="276" cm="1">
        <f t="array" ref="BC68">IF(AND(BC$2&lt;&gt;0,TblTech[[#This Row],[Hour]:[Hour]]&gt;=BC$2),1,0)</f>
        <v>0</v>
      </c>
      <c r="BD68" s="276" cm="1">
        <f t="array" ref="BD68">IF(AND(BD$2&lt;&gt;0,TblTech[[#This Row],[Hour]:[Hour]]&gt;=BD$2),1,0)</f>
        <v>0</v>
      </c>
      <c r="BE68" s="276" cm="1">
        <f t="array" ref="BE68">IF(AND(BE$2&lt;&gt;0,TblTech[[#This Row],[Hour]:[Hour]]&gt;=BE$2),1,0)</f>
        <v>0</v>
      </c>
      <c r="BF68" s="276" cm="1">
        <f t="array" ref="BF68">IF(AND(BF$2&lt;&gt;0,TblTech[[#This Row],[Hour]:[Hour]]&gt;=BF$2),1,0)</f>
        <v>0</v>
      </c>
      <c r="BG68" s="276" cm="1">
        <f t="array" ref="BG68">IF(AND(BG$2&lt;&gt;0,TblTech[[#This Row],[Hour]:[Hour]]&gt;=BG$2),1,0)</f>
        <v>0</v>
      </c>
      <c r="BH68" s="276" cm="1">
        <f t="array" ref="BH68">IF(AND(BH$2&lt;&gt;0,TblTech[[#This Row],[Hour]:[Hour]]&gt;=BH$2),1,0)</f>
        <v>0</v>
      </c>
      <c r="BI68" s="276" cm="1">
        <f t="array" ref="BI68">IF(AND(BI$2&lt;&gt;0,TblTech[[#This Row],[Hour]:[Hour]]&gt;=BI$2),1,0)</f>
        <v>0</v>
      </c>
      <c r="BJ68" s="276" cm="1">
        <f t="array" ref="BJ68">IF(AND(BJ$2&lt;&gt;0,TblTech[[#This Row],[Hour]:[Hour]]&gt;=BJ$2),1,0)</f>
        <v>0</v>
      </c>
      <c r="BK68" s="276" cm="1">
        <f t="array" ref="BK68">IF(AND(BK$2&lt;&gt;0,TblTech[[#This Row],[Hour]:[Hour]]&gt;=BK$2),1,0)</f>
        <v>0</v>
      </c>
      <c r="BL68" s="276" cm="1">
        <f t="array" ref="BL68">IF(AND(BL$2&lt;&gt;0,TblTech[[#This Row],[Hour]:[Hour]]&gt;=BL$2),1,0)</f>
        <v>0</v>
      </c>
      <c r="BM68" s="276" cm="1">
        <f t="array" ref="BM68">IF(AND(BM$2&lt;&gt;0,TblTech[[#This Row],[Hour]:[Hour]]&gt;=BM$2),1,0)</f>
        <v>0</v>
      </c>
      <c r="BN68" s="276" cm="1">
        <f t="array" ref="BN68">IF(AND(BN$2&lt;&gt;0,TblTech[[#This Row],[Hour]:[Hour]]&gt;=BN$2),1,0)</f>
        <v>0</v>
      </c>
      <c r="BO68" s="276" cm="1">
        <f t="array" ref="BO68">IF(AND(BO$2&lt;&gt;0,TblTech[[#This Row],[Hour]:[Hour]]&gt;=BO$2),1,0)</f>
        <v>0</v>
      </c>
      <c r="BP68" s="276" cm="1">
        <f t="array" ref="BP68">IF(AND(BP$2&lt;&gt;0,TblTech[[#This Row],[Hour]:[Hour]]&gt;=BP$2),1,0)</f>
        <v>0</v>
      </c>
      <c r="BQ68" s="276" cm="1">
        <f t="array" ref="BQ68">IF(AND(BQ$2&lt;&gt;0,TblTech[[#This Row],[Hour]:[Hour]]&gt;=BQ$2),1,0)</f>
        <v>0</v>
      </c>
      <c r="BR68" s="276" cm="1">
        <f t="array" ref="BR68">IF(AND(BR$2&lt;&gt;0,TblTech[[#This Row],[Hour]:[Hour]]&gt;=BR$2),1,0)</f>
        <v>0</v>
      </c>
      <c r="BS68" s="276" cm="1">
        <f t="array" ref="BS68">IF(AND(BS$2&lt;&gt;0,TblTech[[#This Row],[Hour]:[Hour]]&gt;=BS$2),1,0)</f>
        <v>0</v>
      </c>
      <c r="BT68" s="276" cm="1">
        <f t="array" ref="BT68">IF(AND(BT$2&lt;&gt;0,TblTech[[#This Row],[Hour]:[Hour]]&gt;=BT$2),1,0)</f>
        <v>0</v>
      </c>
      <c r="BU68" s="276" cm="1">
        <f t="array" ref="BU68">IF(AND(BU$2&lt;&gt;0,TblTech[[#This Row],[Hour]:[Hour]]&gt;=BU$2),1,0)</f>
        <v>0</v>
      </c>
      <c r="BV68" s="276" cm="1">
        <f t="array" ref="BV68">IF(AND(BV$2&lt;&gt;0,TblTech[[#This Row],[Hour]:[Hour]]&gt;=BV$2),1,0)</f>
        <v>0</v>
      </c>
      <c r="BW68" s="276" cm="1">
        <f t="array" ref="BW68">IF(AND(BW$2&lt;&gt;0,TblTech[[#This Row],[Hour]:[Hour]]&gt;=BW$2),1,0)</f>
        <v>0</v>
      </c>
      <c r="BX68" s="276" cm="1">
        <f t="array" ref="BX68">IF(AND(BX$2&lt;&gt;0,TblTech[[#This Row],[Hour]:[Hour]]&gt;=BX$2),1,0)</f>
        <v>0</v>
      </c>
      <c r="BY68" s="276" cm="1">
        <f t="array" ref="BY68">IF(AND(BY$2&lt;&gt;0,TblTech[[#This Row],[Hour]:[Hour]]&gt;=BY$2),1,0)</f>
        <v>0</v>
      </c>
      <c r="BZ68" s="276" cm="1">
        <f t="array" ref="BZ68">IF(AND(BZ$2&lt;&gt;0,TblTech[[#This Row],[Hour]:[Hour]]&gt;=BZ$2),1,0)</f>
        <v>0</v>
      </c>
      <c r="CA68" s="377">
        <f>IFERROR(INDEX($H$4:$H$79,MATCH(INDEX(TblTech[[#Headers],[1-1]:[11-1]],1,MATCH(TblTech[[#This Row],[Hour]],$M$2:$BZ$2,0)),$G$4:$G$79,0)),)</f>
        <v>0</v>
      </c>
    </row>
    <row r="69" spans="1:79" x14ac:dyDescent="0.2">
      <c r="A69" s="268">
        <f>TblRezone[[#This Row],[Hour]]</f>
        <v>66</v>
      </c>
      <c r="B69" s="269">
        <f ca="1">TblExplore[[#This Row],[Land-DB]]</f>
        <v>50</v>
      </c>
      <c r="C69" s="270">
        <f ca="1">TblProd[[#This Row],[Techpoints]]</f>
        <v>0</v>
      </c>
      <c r="D69" s="270">
        <f ca="1">TblProd[[#This Row],[Required]]</f>
        <v>3750</v>
      </c>
      <c r="E69" s="271"/>
      <c r="F69" s="272"/>
      <c r="G69" s="273" t="s">
        <v>611</v>
      </c>
      <c r="H69" s="274" t="s">
        <v>727</v>
      </c>
      <c r="I69" s="273" t="s">
        <v>612</v>
      </c>
      <c r="J69" s="269"/>
      <c r="K69" s="93">
        <f ca="1">IF(TblTech[[#This Row],[Sum of tech]]&lt;&gt;OFFSET(TblTech[[#This Row],[Sum of tech]],-1,0),1,0)</f>
        <v>0</v>
      </c>
      <c r="L69" s="275">
        <f>COUNTIF(TblTech[[#This Row],[1-1]:[11-1]],1)</f>
        <v>0</v>
      </c>
      <c r="M69" s="276" cm="1">
        <f t="array" ref="M69">IF(AND(M$2&lt;&gt;0,TblTech[[#This Row],[Hour]:[Hour]]&gt;=M$2),1,0)</f>
        <v>0</v>
      </c>
      <c r="N69" s="276" cm="1">
        <f t="array" ref="N69">IF(AND(N$2&lt;&gt;0,TblTech[[#This Row],[Hour]:[Hour]]&gt;=N$2),1,0)</f>
        <v>0</v>
      </c>
      <c r="O69" s="276" cm="1">
        <f t="array" ref="O69">IF(AND(O$2&lt;&gt;0,TblTech[[#This Row],[Hour]:[Hour]]&gt;=O$2),1,0)</f>
        <v>0</v>
      </c>
      <c r="P69" s="276" cm="1">
        <f t="array" ref="P69">IF(AND(P$2&lt;&gt;0,TblTech[[#This Row],[Hour]:[Hour]]&gt;=P$2),1,0)</f>
        <v>0</v>
      </c>
      <c r="Q69" s="276" cm="1">
        <f t="array" ref="Q69">IF(AND(Q$2&lt;&gt;0,TblTech[[#This Row],[Hour]:[Hour]]&gt;=Q$2),1,0)</f>
        <v>0</v>
      </c>
      <c r="R69" s="276" cm="1">
        <f t="array" ref="R69">IF(AND(R$2&lt;&gt;0,TblTech[[#This Row],[Hour]:[Hour]]&gt;=R$2),1,0)</f>
        <v>0</v>
      </c>
      <c r="S69" s="276" cm="1">
        <f t="array" ref="S69">IF(AND(S$2&lt;&gt;0,TblTech[[#This Row],[Hour]:[Hour]]&gt;=S$2),1,0)</f>
        <v>0</v>
      </c>
      <c r="T69" s="276" cm="1">
        <f t="array" ref="T69">IF(AND(T$2&lt;&gt;0,TblTech[[#This Row],[Hour]:[Hour]]&gt;=T$2),1,0)</f>
        <v>0</v>
      </c>
      <c r="U69" s="276" cm="1">
        <f t="array" ref="U69">IF(AND(U$2&lt;&gt;0,TblTech[[#This Row],[Hour]:[Hour]]&gt;=U$2),1,0)</f>
        <v>0</v>
      </c>
      <c r="V69" s="276" cm="1">
        <f t="array" ref="V69">IF(AND(V$2&lt;&gt;0,TblTech[[#This Row],[Hour]:[Hour]]&gt;=V$2),1,0)</f>
        <v>0</v>
      </c>
      <c r="W69" s="276" cm="1">
        <f t="array" ref="W69">IF(AND(W$2&lt;&gt;0,TblTech[[#This Row],[Hour]:[Hour]]&gt;=W$2),1,0)</f>
        <v>0</v>
      </c>
      <c r="X69" s="276" cm="1">
        <f t="array" ref="X69">IF(AND(X$2&lt;&gt;0,TblTech[[#This Row],[Hour]:[Hour]]&gt;=X$2),1,0)</f>
        <v>0</v>
      </c>
      <c r="Y69" s="276" cm="1">
        <f t="array" ref="Y69">IF(AND(Y$2&lt;&gt;0,TblTech[[#This Row],[Hour]:[Hour]]&gt;=Y$2),1,0)</f>
        <v>0</v>
      </c>
      <c r="Z69" s="276" cm="1">
        <f t="array" ref="Z69">IF(AND(Z$2&lt;&gt;0,TblTech[[#This Row],[Hour]:[Hour]]&gt;=Z$2),1,0)</f>
        <v>0</v>
      </c>
      <c r="AA69" s="276" cm="1">
        <f t="array" ref="AA69">IF(AND(AA$2&lt;&gt;0,TblTech[[#This Row],[Hour]:[Hour]]&gt;=AA$2),1,0)</f>
        <v>0</v>
      </c>
      <c r="AB69" s="276" cm="1">
        <f t="array" ref="AB69">IF(AND(AB$2&lt;&gt;0,TblTech[[#This Row],[Hour]:[Hour]]&gt;=AB$2),1,0)</f>
        <v>0</v>
      </c>
      <c r="AC69" s="276" cm="1">
        <f t="array" ref="AC69">IF(AND(AC$2&lt;&gt;0,TblTech[[#This Row],[Hour]:[Hour]]&gt;=AC$2),1,0)</f>
        <v>0</v>
      </c>
      <c r="AD69" s="276" cm="1">
        <f t="array" ref="AD69">IF(AND(AD$2&lt;&gt;0,TblTech[[#This Row],[Hour]:[Hour]]&gt;=AD$2),1,0)</f>
        <v>0</v>
      </c>
      <c r="AE69" s="276" cm="1">
        <f t="array" ref="AE69">IF(AND(AE$2&lt;&gt;0,TblTech[[#This Row],[Hour]:[Hour]]&gt;=AE$2),1,0)</f>
        <v>0</v>
      </c>
      <c r="AF69" s="276" cm="1">
        <f t="array" ref="AF69">IF(AND(AF$2&lt;&gt;0,TblTech[[#This Row],[Hour]:[Hour]]&gt;=AF$2),1,0)</f>
        <v>0</v>
      </c>
      <c r="AG69" s="276" cm="1">
        <f t="array" ref="AG69">IF(AND(AG$2&lt;&gt;0,TblTech[[#This Row],[Hour]:[Hour]]&gt;=AG$2),1,0)</f>
        <v>0</v>
      </c>
      <c r="AH69" s="276" cm="1">
        <f t="array" ref="AH69">IF(AND(AH$2&lt;&gt;0,TblTech[[#This Row],[Hour]:[Hour]]&gt;=AH$2),1,0)</f>
        <v>0</v>
      </c>
      <c r="AI69" s="276" cm="1">
        <f t="array" ref="AI69">IF(AND(AI$2&lt;&gt;0,TblTech[[#This Row],[Hour]:[Hour]]&gt;=AI$2),1,0)</f>
        <v>0</v>
      </c>
      <c r="AJ69" s="276" cm="1">
        <f t="array" ref="AJ69">IF(AND(AJ$2&lt;&gt;0,TblTech[[#This Row],[Hour]:[Hour]]&gt;=AJ$2),1,0)</f>
        <v>0</v>
      </c>
      <c r="AK69" s="276" cm="1">
        <f t="array" ref="AK69">IF(AND(AK$2&lt;&gt;0,TblTech[[#This Row],[Hour]:[Hour]]&gt;=AK$2),1,0)</f>
        <v>0</v>
      </c>
      <c r="AL69" s="276" cm="1">
        <f t="array" ref="AL69">IF(AND(AL$2&lt;&gt;0,TblTech[[#This Row],[Hour]:[Hour]]&gt;=AL$2),1,0)</f>
        <v>0</v>
      </c>
      <c r="AM69" s="276" cm="1">
        <f t="array" ref="AM69">IF(AND(AM$2&lt;&gt;0,TblTech[[#This Row],[Hour]:[Hour]]&gt;=AM$2),1,0)</f>
        <v>0</v>
      </c>
      <c r="AN69" s="276" cm="1">
        <f t="array" ref="AN69">IF(AND(AN$2&lt;&gt;0,TblTech[[#This Row],[Hour]:[Hour]]&gt;=AN$2),1,0)</f>
        <v>0</v>
      </c>
      <c r="AO69" s="276" cm="1">
        <f t="array" ref="AO69">IF(AND(AO$2&lt;&gt;0,TblTech[[#This Row],[Hour]:[Hour]]&gt;=AO$2),1,0)</f>
        <v>0</v>
      </c>
      <c r="AP69" s="276" cm="1">
        <f t="array" ref="AP69">IF(AND(AP$2&lt;&gt;0,TblTech[[#This Row],[Hour]:[Hour]]&gt;=AP$2),1,0)</f>
        <v>0</v>
      </c>
      <c r="AQ69" s="276" cm="1">
        <f t="array" ref="AQ69">IF(AND(AQ$2&lt;&gt;0,TblTech[[#This Row],[Hour]:[Hour]]&gt;=AQ$2),1,0)</f>
        <v>0</v>
      </c>
      <c r="AR69" s="276" cm="1">
        <f t="array" ref="AR69">IF(AND(AR$2&lt;&gt;0,TblTech[[#This Row],[Hour]:[Hour]]&gt;=AR$2),1,0)</f>
        <v>0</v>
      </c>
      <c r="AS69" s="276" cm="1">
        <f t="array" ref="AS69">IF(AND(AS$2&lt;&gt;0,TblTech[[#This Row],[Hour]:[Hour]]&gt;=AS$2),1,0)</f>
        <v>0</v>
      </c>
      <c r="AT69" s="276" cm="1">
        <f t="array" ref="AT69">IF(AND(AT$2&lt;&gt;0,TblTech[[#This Row],[Hour]:[Hour]]&gt;=AT$2),1,0)</f>
        <v>0</v>
      </c>
      <c r="AU69" s="276" cm="1">
        <f t="array" ref="AU69">IF(AND(AU$2&lt;&gt;0,TblTech[[#This Row],[Hour]:[Hour]]&gt;=AU$2),1,0)</f>
        <v>0</v>
      </c>
      <c r="AV69" s="276" cm="1">
        <f t="array" ref="AV69">IF(AND(AV$2&lt;&gt;0,TblTech[[#This Row],[Hour]:[Hour]]&gt;=AV$2),1,0)</f>
        <v>0</v>
      </c>
      <c r="AW69" s="276" cm="1">
        <f t="array" ref="AW69">IF(AND(AW$2&lt;&gt;0,TblTech[[#This Row],[Hour]:[Hour]]&gt;=AW$2),1,0)</f>
        <v>0</v>
      </c>
      <c r="AX69" s="276" cm="1">
        <f t="array" ref="AX69">IF(AND(AX$2&lt;&gt;0,TblTech[[#This Row],[Hour]:[Hour]]&gt;=AX$2),1,0)</f>
        <v>0</v>
      </c>
      <c r="AY69" s="276" cm="1">
        <f t="array" ref="AY69">IF(AND(AY$2&lt;&gt;0,TblTech[[#This Row],[Hour]:[Hour]]&gt;=AY$2),1,0)</f>
        <v>0</v>
      </c>
      <c r="AZ69" s="276" cm="1">
        <f t="array" ref="AZ69">IF(AND(AZ$2&lt;&gt;0,TblTech[[#This Row],[Hour]:[Hour]]&gt;=AZ$2),1,0)</f>
        <v>0</v>
      </c>
      <c r="BA69" s="276" cm="1">
        <f t="array" ref="BA69">IF(AND(BA$2&lt;&gt;0,TblTech[[#This Row],[Hour]:[Hour]]&gt;=BA$2),1,0)</f>
        <v>0</v>
      </c>
      <c r="BB69" s="276" cm="1">
        <f t="array" ref="BB69">IF(AND(BB$2&lt;&gt;0,TblTech[[#This Row],[Hour]:[Hour]]&gt;=BB$2),1,0)</f>
        <v>0</v>
      </c>
      <c r="BC69" s="276" cm="1">
        <f t="array" ref="BC69">IF(AND(BC$2&lt;&gt;0,TblTech[[#This Row],[Hour]:[Hour]]&gt;=BC$2),1,0)</f>
        <v>0</v>
      </c>
      <c r="BD69" s="276" cm="1">
        <f t="array" ref="BD69">IF(AND(BD$2&lt;&gt;0,TblTech[[#This Row],[Hour]:[Hour]]&gt;=BD$2),1,0)</f>
        <v>0</v>
      </c>
      <c r="BE69" s="276" cm="1">
        <f t="array" ref="BE69">IF(AND(BE$2&lt;&gt;0,TblTech[[#This Row],[Hour]:[Hour]]&gt;=BE$2),1,0)</f>
        <v>0</v>
      </c>
      <c r="BF69" s="276" cm="1">
        <f t="array" ref="BF69">IF(AND(BF$2&lt;&gt;0,TblTech[[#This Row],[Hour]:[Hour]]&gt;=BF$2),1,0)</f>
        <v>0</v>
      </c>
      <c r="BG69" s="276" cm="1">
        <f t="array" ref="BG69">IF(AND(BG$2&lt;&gt;0,TblTech[[#This Row],[Hour]:[Hour]]&gt;=BG$2),1,0)</f>
        <v>0</v>
      </c>
      <c r="BH69" s="276" cm="1">
        <f t="array" ref="BH69">IF(AND(BH$2&lt;&gt;0,TblTech[[#This Row],[Hour]:[Hour]]&gt;=BH$2),1,0)</f>
        <v>0</v>
      </c>
      <c r="BI69" s="276" cm="1">
        <f t="array" ref="BI69">IF(AND(BI$2&lt;&gt;0,TblTech[[#This Row],[Hour]:[Hour]]&gt;=BI$2),1,0)</f>
        <v>0</v>
      </c>
      <c r="BJ69" s="276" cm="1">
        <f t="array" ref="BJ69">IF(AND(BJ$2&lt;&gt;0,TblTech[[#This Row],[Hour]:[Hour]]&gt;=BJ$2),1,0)</f>
        <v>0</v>
      </c>
      <c r="BK69" s="276" cm="1">
        <f t="array" ref="BK69">IF(AND(BK$2&lt;&gt;0,TblTech[[#This Row],[Hour]:[Hour]]&gt;=BK$2),1,0)</f>
        <v>0</v>
      </c>
      <c r="BL69" s="276" cm="1">
        <f t="array" ref="BL69">IF(AND(BL$2&lt;&gt;0,TblTech[[#This Row],[Hour]:[Hour]]&gt;=BL$2),1,0)</f>
        <v>0</v>
      </c>
      <c r="BM69" s="276" cm="1">
        <f t="array" ref="BM69">IF(AND(BM$2&lt;&gt;0,TblTech[[#This Row],[Hour]:[Hour]]&gt;=BM$2),1,0)</f>
        <v>0</v>
      </c>
      <c r="BN69" s="276" cm="1">
        <f t="array" ref="BN69">IF(AND(BN$2&lt;&gt;0,TblTech[[#This Row],[Hour]:[Hour]]&gt;=BN$2),1,0)</f>
        <v>0</v>
      </c>
      <c r="BO69" s="276" cm="1">
        <f t="array" ref="BO69">IF(AND(BO$2&lt;&gt;0,TblTech[[#This Row],[Hour]:[Hour]]&gt;=BO$2),1,0)</f>
        <v>0</v>
      </c>
      <c r="BP69" s="276" cm="1">
        <f t="array" ref="BP69">IF(AND(BP$2&lt;&gt;0,TblTech[[#This Row],[Hour]:[Hour]]&gt;=BP$2),1,0)</f>
        <v>0</v>
      </c>
      <c r="BQ69" s="276" cm="1">
        <f t="array" ref="BQ69">IF(AND(BQ$2&lt;&gt;0,TblTech[[#This Row],[Hour]:[Hour]]&gt;=BQ$2),1,0)</f>
        <v>0</v>
      </c>
      <c r="BR69" s="276" cm="1">
        <f t="array" ref="BR69">IF(AND(BR$2&lt;&gt;0,TblTech[[#This Row],[Hour]:[Hour]]&gt;=BR$2),1,0)</f>
        <v>0</v>
      </c>
      <c r="BS69" s="276" cm="1">
        <f t="array" ref="BS69">IF(AND(BS$2&lt;&gt;0,TblTech[[#This Row],[Hour]:[Hour]]&gt;=BS$2),1,0)</f>
        <v>0</v>
      </c>
      <c r="BT69" s="276" cm="1">
        <f t="array" ref="BT69">IF(AND(BT$2&lt;&gt;0,TblTech[[#This Row],[Hour]:[Hour]]&gt;=BT$2),1,0)</f>
        <v>0</v>
      </c>
      <c r="BU69" s="276" cm="1">
        <f t="array" ref="BU69">IF(AND(BU$2&lt;&gt;0,TblTech[[#This Row],[Hour]:[Hour]]&gt;=BU$2),1,0)</f>
        <v>0</v>
      </c>
      <c r="BV69" s="276" cm="1">
        <f t="array" ref="BV69">IF(AND(BV$2&lt;&gt;0,TblTech[[#This Row],[Hour]:[Hour]]&gt;=BV$2),1,0)</f>
        <v>0</v>
      </c>
      <c r="BW69" s="276" cm="1">
        <f t="array" ref="BW69">IF(AND(BW$2&lt;&gt;0,TblTech[[#This Row],[Hour]:[Hour]]&gt;=BW$2),1,0)</f>
        <v>0</v>
      </c>
      <c r="BX69" s="276" cm="1">
        <f t="array" ref="BX69">IF(AND(BX$2&lt;&gt;0,TblTech[[#This Row],[Hour]:[Hour]]&gt;=BX$2),1,0)</f>
        <v>0</v>
      </c>
      <c r="BY69" s="276" cm="1">
        <f t="array" ref="BY69">IF(AND(BY$2&lt;&gt;0,TblTech[[#This Row],[Hour]:[Hour]]&gt;=BY$2),1,0)</f>
        <v>0</v>
      </c>
      <c r="BZ69" s="276" cm="1">
        <f t="array" ref="BZ69">IF(AND(BZ$2&lt;&gt;0,TblTech[[#This Row],[Hour]:[Hour]]&gt;=BZ$2),1,0)</f>
        <v>0</v>
      </c>
      <c r="CA69" s="377">
        <f>IFERROR(INDEX($H$4:$H$79,MATCH(INDEX(TblTech[[#Headers],[1-1]:[11-1]],1,MATCH(TblTech[[#This Row],[Hour]],$M$2:$BZ$2,0)),$G$4:$G$79,0)),)</f>
        <v>0</v>
      </c>
    </row>
    <row r="70" spans="1:79" x14ac:dyDescent="0.2">
      <c r="A70" s="268">
        <f>TblRezone[[#This Row],[Hour]]</f>
        <v>67</v>
      </c>
      <c r="B70" s="269">
        <f ca="1">TblExplore[[#This Row],[Land-DB]]</f>
        <v>50</v>
      </c>
      <c r="C70" s="270">
        <f ca="1">TblProd[[#This Row],[Techpoints]]</f>
        <v>0</v>
      </c>
      <c r="D70" s="270">
        <f ca="1">TblProd[[#This Row],[Required]]</f>
        <v>3750</v>
      </c>
      <c r="E70" s="271"/>
      <c r="F70" s="272"/>
      <c r="G70" s="273" t="s">
        <v>613</v>
      </c>
      <c r="H70" s="274" t="s">
        <v>728</v>
      </c>
      <c r="I70" s="273" t="s">
        <v>751</v>
      </c>
      <c r="J70" s="269"/>
      <c r="K70" s="93">
        <f ca="1">IF(TblTech[[#This Row],[Sum of tech]]&lt;&gt;OFFSET(TblTech[[#This Row],[Sum of tech]],-1,0),1,0)</f>
        <v>0</v>
      </c>
      <c r="L70" s="275">
        <f>COUNTIF(TblTech[[#This Row],[1-1]:[11-1]],1)</f>
        <v>0</v>
      </c>
      <c r="M70" s="276" cm="1">
        <f t="array" ref="M70">IF(AND(M$2&lt;&gt;0,TblTech[[#This Row],[Hour]:[Hour]]&gt;=M$2),1,0)</f>
        <v>0</v>
      </c>
      <c r="N70" s="276" cm="1">
        <f t="array" ref="N70">IF(AND(N$2&lt;&gt;0,TblTech[[#This Row],[Hour]:[Hour]]&gt;=N$2),1,0)</f>
        <v>0</v>
      </c>
      <c r="O70" s="276" cm="1">
        <f t="array" ref="O70">IF(AND(O$2&lt;&gt;0,TblTech[[#This Row],[Hour]:[Hour]]&gt;=O$2),1,0)</f>
        <v>0</v>
      </c>
      <c r="P70" s="276" cm="1">
        <f t="array" ref="P70">IF(AND(P$2&lt;&gt;0,TblTech[[#This Row],[Hour]:[Hour]]&gt;=P$2),1,0)</f>
        <v>0</v>
      </c>
      <c r="Q70" s="276" cm="1">
        <f t="array" ref="Q70">IF(AND(Q$2&lt;&gt;0,TblTech[[#This Row],[Hour]:[Hour]]&gt;=Q$2),1,0)</f>
        <v>0</v>
      </c>
      <c r="R70" s="276" cm="1">
        <f t="array" ref="R70">IF(AND(R$2&lt;&gt;0,TblTech[[#This Row],[Hour]:[Hour]]&gt;=R$2),1,0)</f>
        <v>0</v>
      </c>
      <c r="S70" s="276" cm="1">
        <f t="array" ref="S70">IF(AND(S$2&lt;&gt;0,TblTech[[#This Row],[Hour]:[Hour]]&gt;=S$2),1,0)</f>
        <v>0</v>
      </c>
      <c r="T70" s="276" cm="1">
        <f t="array" ref="T70">IF(AND(T$2&lt;&gt;0,TblTech[[#This Row],[Hour]:[Hour]]&gt;=T$2),1,0)</f>
        <v>0</v>
      </c>
      <c r="U70" s="276" cm="1">
        <f t="array" ref="U70">IF(AND(U$2&lt;&gt;0,TblTech[[#This Row],[Hour]:[Hour]]&gt;=U$2),1,0)</f>
        <v>0</v>
      </c>
      <c r="V70" s="276" cm="1">
        <f t="array" ref="V70">IF(AND(V$2&lt;&gt;0,TblTech[[#This Row],[Hour]:[Hour]]&gt;=V$2),1,0)</f>
        <v>0</v>
      </c>
      <c r="W70" s="276" cm="1">
        <f t="array" ref="W70">IF(AND(W$2&lt;&gt;0,TblTech[[#This Row],[Hour]:[Hour]]&gt;=W$2),1,0)</f>
        <v>0</v>
      </c>
      <c r="X70" s="276" cm="1">
        <f t="array" ref="X70">IF(AND(X$2&lt;&gt;0,TblTech[[#This Row],[Hour]:[Hour]]&gt;=X$2),1,0)</f>
        <v>0</v>
      </c>
      <c r="Y70" s="276" cm="1">
        <f t="array" ref="Y70">IF(AND(Y$2&lt;&gt;0,TblTech[[#This Row],[Hour]:[Hour]]&gt;=Y$2),1,0)</f>
        <v>0</v>
      </c>
      <c r="Z70" s="276" cm="1">
        <f t="array" ref="Z70">IF(AND(Z$2&lt;&gt;0,TblTech[[#This Row],[Hour]:[Hour]]&gt;=Z$2),1,0)</f>
        <v>0</v>
      </c>
      <c r="AA70" s="276" cm="1">
        <f t="array" ref="AA70">IF(AND(AA$2&lt;&gt;0,TblTech[[#This Row],[Hour]:[Hour]]&gt;=AA$2),1,0)</f>
        <v>0</v>
      </c>
      <c r="AB70" s="276" cm="1">
        <f t="array" ref="AB70">IF(AND(AB$2&lt;&gt;0,TblTech[[#This Row],[Hour]:[Hour]]&gt;=AB$2),1,0)</f>
        <v>0</v>
      </c>
      <c r="AC70" s="276" cm="1">
        <f t="array" ref="AC70">IF(AND(AC$2&lt;&gt;0,TblTech[[#This Row],[Hour]:[Hour]]&gt;=AC$2),1,0)</f>
        <v>0</v>
      </c>
      <c r="AD70" s="276" cm="1">
        <f t="array" ref="AD70">IF(AND(AD$2&lt;&gt;0,TblTech[[#This Row],[Hour]:[Hour]]&gt;=AD$2),1,0)</f>
        <v>0</v>
      </c>
      <c r="AE70" s="276" cm="1">
        <f t="array" ref="AE70">IF(AND(AE$2&lt;&gt;0,TblTech[[#This Row],[Hour]:[Hour]]&gt;=AE$2),1,0)</f>
        <v>0</v>
      </c>
      <c r="AF70" s="276" cm="1">
        <f t="array" ref="AF70">IF(AND(AF$2&lt;&gt;0,TblTech[[#This Row],[Hour]:[Hour]]&gt;=AF$2),1,0)</f>
        <v>0</v>
      </c>
      <c r="AG70" s="276" cm="1">
        <f t="array" ref="AG70">IF(AND(AG$2&lt;&gt;0,TblTech[[#This Row],[Hour]:[Hour]]&gt;=AG$2),1,0)</f>
        <v>0</v>
      </c>
      <c r="AH70" s="276" cm="1">
        <f t="array" ref="AH70">IF(AND(AH$2&lt;&gt;0,TblTech[[#This Row],[Hour]:[Hour]]&gt;=AH$2),1,0)</f>
        <v>0</v>
      </c>
      <c r="AI70" s="276" cm="1">
        <f t="array" ref="AI70">IF(AND(AI$2&lt;&gt;0,TblTech[[#This Row],[Hour]:[Hour]]&gt;=AI$2),1,0)</f>
        <v>0</v>
      </c>
      <c r="AJ70" s="276" cm="1">
        <f t="array" ref="AJ70">IF(AND(AJ$2&lt;&gt;0,TblTech[[#This Row],[Hour]:[Hour]]&gt;=AJ$2),1,0)</f>
        <v>0</v>
      </c>
      <c r="AK70" s="276" cm="1">
        <f t="array" ref="AK70">IF(AND(AK$2&lt;&gt;0,TblTech[[#This Row],[Hour]:[Hour]]&gt;=AK$2),1,0)</f>
        <v>0</v>
      </c>
      <c r="AL70" s="276" cm="1">
        <f t="array" ref="AL70">IF(AND(AL$2&lt;&gt;0,TblTech[[#This Row],[Hour]:[Hour]]&gt;=AL$2),1,0)</f>
        <v>0</v>
      </c>
      <c r="AM70" s="276" cm="1">
        <f t="array" ref="AM70">IF(AND(AM$2&lt;&gt;0,TblTech[[#This Row],[Hour]:[Hour]]&gt;=AM$2),1,0)</f>
        <v>0</v>
      </c>
      <c r="AN70" s="276" cm="1">
        <f t="array" ref="AN70">IF(AND(AN$2&lt;&gt;0,TblTech[[#This Row],[Hour]:[Hour]]&gt;=AN$2),1,0)</f>
        <v>0</v>
      </c>
      <c r="AO70" s="276" cm="1">
        <f t="array" ref="AO70">IF(AND(AO$2&lt;&gt;0,TblTech[[#This Row],[Hour]:[Hour]]&gt;=AO$2),1,0)</f>
        <v>0</v>
      </c>
      <c r="AP70" s="276" cm="1">
        <f t="array" ref="AP70">IF(AND(AP$2&lt;&gt;0,TblTech[[#This Row],[Hour]:[Hour]]&gt;=AP$2),1,0)</f>
        <v>0</v>
      </c>
      <c r="AQ70" s="276" cm="1">
        <f t="array" ref="AQ70">IF(AND(AQ$2&lt;&gt;0,TblTech[[#This Row],[Hour]:[Hour]]&gt;=AQ$2),1,0)</f>
        <v>0</v>
      </c>
      <c r="AR70" s="276" cm="1">
        <f t="array" ref="AR70">IF(AND(AR$2&lt;&gt;0,TblTech[[#This Row],[Hour]:[Hour]]&gt;=AR$2),1,0)</f>
        <v>0</v>
      </c>
      <c r="AS70" s="276" cm="1">
        <f t="array" ref="AS70">IF(AND(AS$2&lt;&gt;0,TblTech[[#This Row],[Hour]:[Hour]]&gt;=AS$2),1,0)</f>
        <v>0</v>
      </c>
      <c r="AT70" s="276" cm="1">
        <f t="array" ref="AT70">IF(AND(AT$2&lt;&gt;0,TblTech[[#This Row],[Hour]:[Hour]]&gt;=AT$2),1,0)</f>
        <v>0</v>
      </c>
      <c r="AU70" s="276" cm="1">
        <f t="array" ref="AU70">IF(AND(AU$2&lt;&gt;0,TblTech[[#This Row],[Hour]:[Hour]]&gt;=AU$2),1,0)</f>
        <v>0</v>
      </c>
      <c r="AV70" s="276" cm="1">
        <f t="array" ref="AV70">IF(AND(AV$2&lt;&gt;0,TblTech[[#This Row],[Hour]:[Hour]]&gt;=AV$2),1,0)</f>
        <v>0</v>
      </c>
      <c r="AW70" s="276" cm="1">
        <f t="array" ref="AW70">IF(AND(AW$2&lt;&gt;0,TblTech[[#This Row],[Hour]:[Hour]]&gt;=AW$2),1,0)</f>
        <v>0</v>
      </c>
      <c r="AX70" s="276" cm="1">
        <f t="array" ref="AX70">IF(AND(AX$2&lt;&gt;0,TblTech[[#This Row],[Hour]:[Hour]]&gt;=AX$2),1,0)</f>
        <v>0</v>
      </c>
      <c r="AY70" s="276" cm="1">
        <f t="array" ref="AY70">IF(AND(AY$2&lt;&gt;0,TblTech[[#This Row],[Hour]:[Hour]]&gt;=AY$2),1,0)</f>
        <v>0</v>
      </c>
      <c r="AZ70" s="276" cm="1">
        <f t="array" ref="AZ70">IF(AND(AZ$2&lt;&gt;0,TblTech[[#This Row],[Hour]:[Hour]]&gt;=AZ$2),1,0)</f>
        <v>0</v>
      </c>
      <c r="BA70" s="276" cm="1">
        <f t="array" ref="BA70">IF(AND(BA$2&lt;&gt;0,TblTech[[#This Row],[Hour]:[Hour]]&gt;=BA$2),1,0)</f>
        <v>0</v>
      </c>
      <c r="BB70" s="276" cm="1">
        <f t="array" ref="BB70">IF(AND(BB$2&lt;&gt;0,TblTech[[#This Row],[Hour]:[Hour]]&gt;=BB$2),1,0)</f>
        <v>0</v>
      </c>
      <c r="BC70" s="276" cm="1">
        <f t="array" ref="BC70">IF(AND(BC$2&lt;&gt;0,TblTech[[#This Row],[Hour]:[Hour]]&gt;=BC$2),1,0)</f>
        <v>0</v>
      </c>
      <c r="BD70" s="276" cm="1">
        <f t="array" ref="BD70">IF(AND(BD$2&lt;&gt;0,TblTech[[#This Row],[Hour]:[Hour]]&gt;=BD$2),1,0)</f>
        <v>0</v>
      </c>
      <c r="BE70" s="276" cm="1">
        <f t="array" ref="BE70">IF(AND(BE$2&lt;&gt;0,TblTech[[#This Row],[Hour]:[Hour]]&gt;=BE$2),1,0)</f>
        <v>0</v>
      </c>
      <c r="BF70" s="276" cm="1">
        <f t="array" ref="BF70">IF(AND(BF$2&lt;&gt;0,TblTech[[#This Row],[Hour]:[Hour]]&gt;=BF$2),1,0)</f>
        <v>0</v>
      </c>
      <c r="BG70" s="276" cm="1">
        <f t="array" ref="BG70">IF(AND(BG$2&lt;&gt;0,TblTech[[#This Row],[Hour]:[Hour]]&gt;=BG$2),1,0)</f>
        <v>0</v>
      </c>
      <c r="BH70" s="276" cm="1">
        <f t="array" ref="BH70">IF(AND(BH$2&lt;&gt;0,TblTech[[#This Row],[Hour]:[Hour]]&gt;=BH$2),1,0)</f>
        <v>0</v>
      </c>
      <c r="BI70" s="276" cm="1">
        <f t="array" ref="BI70">IF(AND(BI$2&lt;&gt;0,TblTech[[#This Row],[Hour]:[Hour]]&gt;=BI$2),1,0)</f>
        <v>0</v>
      </c>
      <c r="BJ70" s="276" cm="1">
        <f t="array" ref="BJ70">IF(AND(BJ$2&lt;&gt;0,TblTech[[#This Row],[Hour]:[Hour]]&gt;=BJ$2),1,0)</f>
        <v>0</v>
      </c>
      <c r="BK70" s="276" cm="1">
        <f t="array" ref="BK70">IF(AND(BK$2&lt;&gt;0,TblTech[[#This Row],[Hour]:[Hour]]&gt;=BK$2),1,0)</f>
        <v>0</v>
      </c>
      <c r="BL70" s="276" cm="1">
        <f t="array" ref="BL70">IF(AND(BL$2&lt;&gt;0,TblTech[[#This Row],[Hour]:[Hour]]&gt;=BL$2),1,0)</f>
        <v>0</v>
      </c>
      <c r="BM70" s="276" cm="1">
        <f t="array" ref="BM70">IF(AND(BM$2&lt;&gt;0,TblTech[[#This Row],[Hour]:[Hour]]&gt;=BM$2),1,0)</f>
        <v>0</v>
      </c>
      <c r="BN70" s="276" cm="1">
        <f t="array" ref="BN70">IF(AND(BN$2&lt;&gt;0,TblTech[[#This Row],[Hour]:[Hour]]&gt;=BN$2),1,0)</f>
        <v>0</v>
      </c>
      <c r="BO70" s="276" cm="1">
        <f t="array" ref="BO70">IF(AND(BO$2&lt;&gt;0,TblTech[[#This Row],[Hour]:[Hour]]&gt;=BO$2),1,0)</f>
        <v>0</v>
      </c>
      <c r="BP70" s="276" cm="1">
        <f t="array" ref="BP70">IF(AND(BP$2&lt;&gt;0,TblTech[[#This Row],[Hour]:[Hour]]&gt;=BP$2),1,0)</f>
        <v>0</v>
      </c>
      <c r="BQ70" s="276" cm="1">
        <f t="array" ref="BQ70">IF(AND(BQ$2&lt;&gt;0,TblTech[[#This Row],[Hour]:[Hour]]&gt;=BQ$2),1,0)</f>
        <v>0</v>
      </c>
      <c r="BR70" s="276" cm="1">
        <f t="array" ref="BR70">IF(AND(BR$2&lt;&gt;0,TblTech[[#This Row],[Hour]:[Hour]]&gt;=BR$2),1,0)</f>
        <v>0</v>
      </c>
      <c r="BS70" s="276" cm="1">
        <f t="array" ref="BS70">IF(AND(BS$2&lt;&gt;0,TblTech[[#This Row],[Hour]:[Hour]]&gt;=BS$2),1,0)</f>
        <v>0</v>
      </c>
      <c r="BT70" s="276" cm="1">
        <f t="array" ref="BT70">IF(AND(BT$2&lt;&gt;0,TblTech[[#This Row],[Hour]:[Hour]]&gt;=BT$2),1,0)</f>
        <v>0</v>
      </c>
      <c r="BU70" s="276" cm="1">
        <f t="array" ref="BU70">IF(AND(BU$2&lt;&gt;0,TblTech[[#This Row],[Hour]:[Hour]]&gt;=BU$2),1,0)</f>
        <v>0</v>
      </c>
      <c r="BV70" s="276" cm="1">
        <f t="array" ref="BV70">IF(AND(BV$2&lt;&gt;0,TblTech[[#This Row],[Hour]:[Hour]]&gt;=BV$2),1,0)</f>
        <v>0</v>
      </c>
      <c r="BW70" s="276" cm="1">
        <f t="array" ref="BW70">IF(AND(BW$2&lt;&gt;0,TblTech[[#This Row],[Hour]:[Hour]]&gt;=BW$2),1,0)</f>
        <v>0</v>
      </c>
      <c r="BX70" s="276" cm="1">
        <f t="array" ref="BX70">IF(AND(BX$2&lt;&gt;0,TblTech[[#This Row],[Hour]:[Hour]]&gt;=BX$2),1,0)</f>
        <v>0</v>
      </c>
      <c r="BY70" s="276" cm="1">
        <f t="array" ref="BY70">IF(AND(BY$2&lt;&gt;0,TblTech[[#This Row],[Hour]:[Hour]]&gt;=BY$2),1,0)</f>
        <v>0</v>
      </c>
      <c r="BZ70" s="276" cm="1">
        <f t="array" ref="BZ70">IF(AND(BZ$2&lt;&gt;0,TblTech[[#This Row],[Hour]:[Hour]]&gt;=BZ$2),1,0)</f>
        <v>0</v>
      </c>
      <c r="CA70" s="377">
        <f>IFERROR(INDEX($H$4:$H$79,MATCH(INDEX(TblTech[[#Headers],[1-1]:[11-1]],1,MATCH(TblTech[[#This Row],[Hour]],$M$2:$BZ$2,0)),$G$4:$G$79,0)),)</f>
        <v>0</v>
      </c>
    </row>
    <row r="71" spans="1:79" x14ac:dyDescent="0.2">
      <c r="A71" s="268">
        <f>TblRezone[[#This Row],[Hour]]</f>
        <v>68</v>
      </c>
      <c r="B71" s="269">
        <f ca="1">TblExplore[[#This Row],[Land-DB]]</f>
        <v>50</v>
      </c>
      <c r="C71" s="270">
        <f ca="1">TblProd[[#This Row],[Techpoints]]</f>
        <v>0</v>
      </c>
      <c r="D71" s="270">
        <f ca="1">TblProd[[#This Row],[Required]]</f>
        <v>3750</v>
      </c>
      <c r="E71" s="271"/>
      <c r="F71" s="272"/>
      <c r="G71" s="273"/>
      <c r="H71" s="274"/>
      <c r="I71" s="273"/>
      <c r="J71" s="269"/>
      <c r="K71" s="93">
        <f ca="1">IF(TblTech[[#This Row],[Sum of tech]]&lt;&gt;OFFSET(TblTech[[#This Row],[Sum of tech]],-1,0),1,0)</f>
        <v>0</v>
      </c>
      <c r="L71" s="275">
        <f>COUNTIF(TblTech[[#This Row],[1-1]:[11-1]],1)</f>
        <v>0</v>
      </c>
      <c r="M71" s="276" cm="1">
        <f t="array" ref="M71">IF(AND(M$2&lt;&gt;0,TblTech[[#This Row],[Hour]:[Hour]]&gt;=M$2),1,0)</f>
        <v>0</v>
      </c>
      <c r="N71" s="276" cm="1">
        <f t="array" ref="N71">IF(AND(N$2&lt;&gt;0,TblTech[[#This Row],[Hour]:[Hour]]&gt;=N$2),1,0)</f>
        <v>0</v>
      </c>
      <c r="O71" s="276" cm="1">
        <f t="array" ref="O71">IF(AND(O$2&lt;&gt;0,TblTech[[#This Row],[Hour]:[Hour]]&gt;=O$2),1,0)</f>
        <v>0</v>
      </c>
      <c r="P71" s="276" cm="1">
        <f t="array" ref="P71">IF(AND(P$2&lt;&gt;0,TblTech[[#This Row],[Hour]:[Hour]]&gt;=P$2),1,0)</f>
        <v>0</v>
      </c>
      <c r="Q71" s="276" cm="1">
        <f t="array" ref="Q71">IF(AND(Q$2&lt;&gt;0,TblTech[[#This Row],[Hour]:[Hour]]&gt;=Q$2),1,0)</f>
        <v>0</v>
      </c>
      <c r="R71" s="276" cm="1">
        <f t="array" ref="R71">IF(AND(R$2&lt;&gt;0,TblTech[[#This Row],[Hour]:[Hour]]&gt;=R$2),1,0)</f>
        <v>0</v>
      </c>
      <c r="S71" s="276" cm="1">
        <f t="array" ref="S71">IF(AND(S$2&lt;&gt;0,TblTech[[#This Row],[Hour]:[Hour]]&gt;=S$2),1,0)</f>
        <v>0</v>
      </c>
      <c r="T71" s="276" cm="1">
        <f t="array" ref="T71">IF(AND(T$2&lt;&gt;0,TblTech[[#This Row],[Hour]:[Hour]]&gt;=T$2),1,0)</f>
        <v>0</v>
      </c>
      <c r="U71" s="276" cm="1">
        <f t="array" ref="U71">IF(AND(U$2&lt;&gt;0,TblTech[[#This Row],[Hour]:[Hour]]&gt;=U$2),1,0)</f>
        <v>0</v>
      </c>
      <c r="V71" s="276" cm="1">
        <f t="array" ref="V71">IF(AND(V$2&lt;&gt;0,TblTech[[#This Row],[Hour]:[Hour]]&gt;=V$2),1,0)</f>
        <v>0</v>
      </c>
      <c r="W71" s="276" cm="1">
        <f t="array" ref="W71">IF(AND(W$2&lt;&gt;0,TblTech[[#This Row],[Hour]:[Hour]]&gt;=W$2),1,0)</f>
        <v>0</v>
      </c>
      <c r="X71" s="276" cm="1">
        <f t="array" ref="X71">IF(AND(X$2&lt;&gt;0,TblTech[[#This Row],[Hour]:[Hour]]&gt;=X$2),1,0)</f>
        <v>0</v>
      </c>
      <c r="Y71" s="276" cm="1">
        <f t="array" ref="Y71">IF(AND(Y$2&lt;&gt;0,TblTech[[#This Row],[Hour]:[Hour]]&gt;=Y$2),1,0)</f>
        <v>0</v>
      </c>
      <c r="Z71" s="276" cm="1">
        <f t="array" ref="Z71">IF(AND(Z$2&lt;&gt;0,TblTech[[#This Row],[Hour]:[Hour]]&gt;=Z$2),1,0)</f>
        <v>0</v>
      </c>
      <c r="AA71" s="276" cm="1">
        <f t="array" ref="AA71">IF(AND(AA$2&lt;&gt;0,TblTech[[#This Row],[Hour]:[Hour]]&gt;=AA$2),1,0)</f>
        <v>0</v>
      </c>
      <c r="AB71" s="276" cm="1">
        <f t="array" ref="AB71">IF(AND(AB$2&lt;&gt;0,TblTech[[#This Row],[Hour]:[Hour]]&gt;=AB$2),1,0)</f>
        <v>0</v>
      </c>
      <c r="AC71" s="276" cm="1">
        <f t="array" ref="AC71">IF(AND(AC$2&lt;&gt;0,TblTech[[#This Row],[Hour]:[Hour]]&gt;=AC$2),1,0)</f>
        <v>0</v>
      </c>
      <c r="AD71" s="276" cm="1">
        <f t="array" ref="AD71">IF(AND(AD$2&lt;&gt;0,TblTech[[#This Row],[Hour]:[Hour]]&gt;=AD$2),1,0)</f>
        <v>0</v>
      </c>
      <c r="AE71" s="276" cm="1">
        <f t="array" ref="AE71">IF(AND(AE$2&lt;&gt;0,TblTech[[#This Row],[Hour]:[Hour]]&gt;=AE$2),1,0)</f>
        <v>0</v>
      </c>
      <c r="AF71" s="276" cm="1">
        <f t="array" ref="AF71">IF(AND(AF$2&lt;&gt;0,TblTech[[#This Row],[Hour]:[Hour]]&gt;=AF$2),1,0)</f>
        <v>0</v>
      </c>
      <c r="AG71" s="276" cm="1">
        <f t="array" ref="AG71">IF(AND(AG$2&lt;&gt;0,TblTech[[#This Row],[Hour]:[Hour]]&gt;=AG$2),1,0)</f>
        <v>0</v>
      </c>
      <c r="AH71" s="276" cm="1">
        <f t="array" ref="AH71">IF(AND(AH$2&lt;&gt;0,TblTech[[#This Row],[Hour]:[Hour]]&gt;=AH$2),1,0)</f>
        <v>0</v>
      </c>
      <c r="AI71" s="276" cm="1">
        <f t="array" ref="AI71">IF(AND(AI$2&lt;&gt;0,TblTech[[#This Row],[Hour]:[Hour]]&gt;=AI$2),1,0)</f>
        <v>0</v>
      </c>
      <c r="AJ71" s="276" cm="1">
        <f t="array" ref="AJ71">IF(AND(AJ$2&lt;&gt;0,TblTech[[#This Row],[Hour]:[Hour]]&gt;=AJ$2),1,0)</f>
        <v>0</v>
      </c>
      <c r="AK71" s="276" cm="1">
        <f t="array" ref="AK71">IF(AND(AK$2&lt;&gt;0,TblTech[[#This Row],[Hour]:[Hour]]&gt;=AK$2),1,0)</f>
        <v>0</v>
      </c>
      <c r="AL71" s="276" cm="1">
        <f t="array" ref="AL71">IF(AND(AL$2&lt;&gt;0,TblTech[[#This Row],[Hour]:[Hour]]&gt;=AL$2),1,0)</f>
        <v>0</v>
      </c>
      <c r="AM71" s="276" cm="1">
        <f t="array" ref="AM71">IF(AND(AM$2&lt;&gt;0,TblTech[[#This Row],[Hour]:[Hour]]&gt;=AM$2),1,0)</f>
        <v>0</v>
      </c>
      <c r="AN71" s="276" cm="1">
        <f t="array" ref="AN71">IF(AND(AN$2&lt;&gt;0,TblTech[[#This Row],[Hour]:[Hour]]&gt;=AN$2),1,0)</f>
        <v>0</v>
      </c>
      <c r="AO71" s="276" cm="1">
        <f t="array" ref="AO71">IF(AND(AO$2&lt;&gt;0,TblTech[[#This Row],[Hour]:[Hour]]&gt;=AO$2),1,0)</f>
        <v>0</v>
      </c>
      <c r="AP71" s="276" cm="1">
        <f t="array" ref="AP71">IF(AND(AP$2&lt;&gt;0,TblTech[[#This Row],[Hour]:[Hour]]&gt;=AP$2),1,0)</f>
        <v>0</v>
      </c>
      <c r="AQ71" s="276" cm="1">
        <f t="array" ref="AQ71">IF(AND(AQ$2&lt;&gt;0,TblTech[[#This Row],[Hour]:[Hour]]&gt;=AQ$2),1,0)</f>
        <v>0</v>
      </c>
      <c r="AR71" s="276" cm="1">
        <f t="array" ref="AR71">IF(AND(AR$2&lt;&gt;0,TblTech[[#This Row],[Hour]:[Hour]]&gt;=AR$2),1,0)</f>
        <v>0</v>
      </c>
      <c r="AS71" s="276" cm="1">
        <f t="array" ref="AS71">IF(AND(AS$2&lt;&gt;0,TblTech[[#This Row],[Hour]:[Hour]]&gt;=AS$2),1,0)</f>
        <v>0</v>
      </c>
      <c r="AT71" s="276" cm="1">
        <f t="array" ref="AT71">IF(AND(AT$2&lt;&gt;0,TblTech[[#This Row],[Hour]:[Hour]]&gt;=AT$2),1,0)</f>
        <v>0</v>
      </c>
      <c r="AU71" s="276" cm="1">
        <f t="array" ref="AU71">IF(AND(AU$2&lt;&gt;0,TblTech[[#This Row],[Hour]:[Hour]]&gt;=AU$2),1,0)</f>
        <v>0</v>
      </c>
      <c r="AV71" s="276" cm="1">
        <f t="array" ref="AV71">IF(AND(AV$2&lt;&gt;0,TblTech[[#This Row],[Hour]:[Hour]]&gt;=AV$2),1,0)</f>
        <v>0</v>
      </c>
      <c r="AW71" s="276" cm="1">
        <f t="array" ref="AW71">IF(AND(AW$2&lt;&gt;0,TblTech[[#This Row],[Hour]:[Hour]]&gt;=AW$2),1,0)</f>
        <v>0</v>
      </c>
      <c r="AX71" s="276" cm="1">
        <f t="array" ref="AX71">IF(AND(AX$2&lt;&gt;0,TblTech[[#This Row],[Hour]:[Hour]]&gt;=AX$2),1,0)</f>
        <v>0</v>
      </c>
      <c r="AY71" s="276" cm="1">
        <f t="array" ref="AY71">IF(AND(AY$2&lt;&gt;0,TblTech[[#This Row],[Hour]:[Hour]]&gt;=AY$2),1,0)</f>
        <v>0</v>
      </c>
      <c r="AZ71" s="276" cm="1">
        <f t="array" ref="AZ71">IF(AND(AZ$2&lt;&gt;0,TblTech[[#This Row],[Hour]:[Hour]]&gt;=AZ$2),1,0)</f>
        <v>0</v>
      </c>
      <c r="BA71" s="276" cm="1">
        <f t="array" ref="BA71">IF(AND(BA$2&lt;&gt;0,TblTech[[#This Row],[Hour]:[Hour]]&gt;=BA$2),1,0)</f>
        <v>0</v>
      </c>
      <c r="BB71" s="276" cm="1">
        <f t="array" ref="BB71">IF(AND(BB$2&lt;&gt;0,TblTech[[#This Row],[Hour]:[Hour]]&gt;=BB$2),1,0)</f>
        <v>0</v>
      </c>
      <c r="BC71" s="276" cm="1">
        <f t="array" ref="BC71">IF(AND(BC$2&lt;&gt;0,TblTech[[#This Row],[Hour]:[Hour]]&gt;=BC$2),1,0)</f>
        <v>0</v>
      </c>
      <c r="BD71" s="276" cm="1">
        <f t="array" ref="BD71">IF(AND(BD$2&lt;&gt;0,TblTech[[#This Row],[Hour]:[Hour]]&gt;=BD$2),1,0)</f>
        <v>0</v>
      </c>
      <c r="BE71" s="276" cm="1">
        <f t="array" ref="BE71">IF(AND(BE$2&lt;&gt;0,TblTech[[#This Row],[Hour]:[Hour]]&gt;=BE$2),1,0)</f>
        <v>0</v>
      </c>
      <c r="BF71" s="276" cm="1">
        <f t="array" ref="BF71">IF(AND(BF$2&lt;&gt;0,TblTech[[#This Row],[Hour]:[Hour]]&gt;=BF$2),1,0)</f>
        <v>0</v>
      </c>
      <c r="BG71" s="276" cm="1">
        <f t="array" ref="BG71">IF(AND(BG$2&lt;&gt;0,TblTech[[#This Row],[Hour]:[Hour]]&gt;=BG$2),1,0)</f>
        <v>0</v>
      </c>
      <c r="BH71" s="276" cm="1">
        <f t="array" ref="BH71">IF(AND(BH$2&lt;&gt;0,TblTech[[#This Row],[Hour]:[Hour]]&gt;=BH$2),1,0)</f>
        <v>0</v>
      </c>
      <c r="BI71" s="276" cm="1">
        <f t="array" ref="BI71">IF(AND(BI$2&lt;&gt;0,TblTech[[#This Row],[Hour]:[Hour]]&gt;=BI$2),1,0)</f>
        <v>0</v>
      </c>
      <c r="BJ71" s="276" cm="1">
        <f t="array" ref="BJ71">IF(AND(BJ$2&lt;&gt;0,TblTech[[#This Row],[Hour]:[Hour]]&gt;=BJ$2),1,0)</f>
        <v>0</v>
      </c>
      <c r="BK71" s="276" cm="1">
        <f t="array" ref="BK71">IF(AND(BK$2&lt;&gt;0,TblTech[[#This Row],[Hour]:[Hour]]&gt;=BK$2),1,0)</f>
        <v>0</v>
      </c>
      <c r="BL71" s="276" cm="1">
        <f t="array" ref="BL71">IF(AND(BL$2&lt;&gt;0,TblTech[[#This Row],[Hour]:[Hour]]&gt;=BL$2),1,0)</f>
        <v>0</v>
      </c>
      <c r="BM71" s="276" cm="1">
        <f t="array" ref="BM71">IF(AND(BM$2&lt;&gt;0,TblTech[[#This Row],[Hour]:[Hour]]&gt;=BM$2),1,0)</f>
        <v>0</v>
      </c>
      <c r="BN71" s="276" cm="1">
        <f t="array" ref="BN71">IF(AND(BN$2&lt;&gt;0,TblTech[[#This Row],[Hour]:[Hour]]&gt;=BN$2),1,0)</f>
        <v>0</v>
      </c>
      <c r="BO71" s="276" cm="1">
        <f t="array" ref="BO71">IF(AND(BO$2&lt;&gt;0,TblTech[[#This Row],[Hour]:[Hour]]&gt;=BO$2),1,0)</f>
        <v>0</v>
      </c>
      <c r="BP71" s="276" cm="1">
        <f t="array" ref="BP71">IF(AND(BP$2&lt;&gt;0,TblTech[[#This Row],[Hour]:[Hour]]&gt;=BP$2),1,0)</f>
        <v>0</v>
      </c>
      <c r="BQ71" s="276" cm="1">
        <f t="array" ref="BQ71">IF(AND(BQ$2&lt;&gt;0,TblTech[[#This Row],[Hour]:[Hour]]&gt;=BQ$2),1,0)</f>
        <v>0</v>
      </c>
      <c r="BR71" s="276" cm="1">
        <f t="array" ref="BR71">IF(AND(BR$2&lt;&gt;0,TblTech[[#This Row],[Hour]:[Hour]]&gt;=BR$2),1,0)</f>
        <v>0</v>
      </c>
      <c r="BS71" s="276" cm="1">
        <f t="array" ref="BS71">IF(AND(BS$2&lt;&gt;0,TblTech[[#This Row],[Hour]:[Hour]]&gt;=BS$2),1,0)</f>
        <v>0</v>
      </c>
      <c r="BT71" s="276" cm="1">
        <f t="array" ref="BT71">IF(AND(BT$2&lt;&gt;0,TblTech[[#This Row],[Hour]:[Hour]]&gt;=BT$2),1,0)</f>
        <v>0</v>
      </c>
      <c r="BU71" s="276" cm="1">
        <f t="array" ref="BU71">IF(AND(BU$2&lt;&gt;0,TblTech[[#This Row],[Hour]:[Hour]]&gt;=BU$2),1,0)</f>
        <v>0</v>
      </c>
      <c r="BV71" s="276" cm="1">
        <f t="array" ref="BV71">IF(AND(BV$2&lt;&gt;0,TblTech[[#This Row],[Hour]:[Hour]]&gt;=BV$2),1,0)</f>
        <v>0</v>
      </c>
      <c r="BW71" s="276" cm="1">
        <f t="array" ref="BW71">IF(AND(BW$2&lt;&gt;0,TblTech[[#This Row],[Hour]:[Hour]]&gt;=BW$2),1,0)</f>
        <v>0</v>
      </c>
      <c r="BX71" s="276" cm="1">
        <f t="array" ref="BX71">IF(AND(BX$2&lt;&gt;0,TblTech[[#This Row],[Hour]:[Hour]]&gt;=BX$2),1,0)</f>
        <v>0</v>
      </c>
      <c r="BY71" s="276" cm="1">
        <f t="array" ref="BY71">IF(AND(BY$2&lt;&gt;0,TblTech[[#This Row],[Hour]:[Hour]]&gt;=BY$2),1,0)</f>
        <v>0</v>
      </c>
      <c r="BZ71" s="276" cm="1">
        <f t="array" ref="BZ71">IF(AND(BZ$2&lt;&gt;0,TblTech[[#This Row],[Hour]:[Hour]]&gt;=BZ$2),1,0)</f>
        <v>0</v>
      </c>
      <c r="CA71" s="377">
        <f>IFERROR(INDEX($H$4:$H$79,MATCH(INDEX(TblTech[[#Headers],[1-1]:[11-1]],1,MATCH(TblTech[[#This Row],[Hour]],$M$2:$BZ$2,0)),$G$4:$G$79,0)),)</f>
        <v>0</v>
      </c>
    </row>
    <row r="72" spans="1:79" x14ac:dyDescent="0.2">
      <c r="A72" s="268">
        <f>TblRezone[[#This Row],[Hour]]</f>
        <v>69</v>
      </c>
      <c r="B72" s="269">
        <f ca="1">TblExplore[[#This Row],[Land-DB]]</f>
        <v>50</v>
      </c>
      <c r="C72" s="270">
        <f ca="1">TblProd[[#This Row],[Techpoints]]</f>
        <v>0</v>
      </c>
      <c r="D72" s="270">
        <f ca="1">TblProd[[#This Row],[Required]]</f>
        <v>3750</v>
      </c>
      <c r="E72" s="271"/>
      <c r="F72" s="272"/>
      <c r="G72" s="273" t="s">
        <v>614</v>
      </c>
      <c r="H72" s="274" t="s">
        <v>729</v>
      </c>
      <c r="I72" s="273" t="s">
        <v>615</v>
      </c>
      <c r="J72" s="269"/>
      <c r="K72" s="93">
        <f ca="1">IF(TblTech[[#This Row],[Sum of tech]]&lt;&gt;OFFSET(TblTech[[#This Row],[Sum of tech]],-1,0),1,0)</f>
        <v>0</v>
      </c>
      <c r="L72" s="275">
        <f>COUNTIF(TblTech[[#This Row],[1-1]:[11-1]],1)</f>
        <v>0</v>
      </c>
      <c r="M72" s="276" cm="1">
        <f t="array" ref="M72">IF(AND(M$2&lt;&gt;0,TblTech[[#This Row],[Hour]:[Hour]]&gt;=M$2),1,0)</f>
        <v>0</v>
      </c>
      <c r="N72" s="276" cm="1">
        <f t="array" ref="N72">IF(AND(N$2&lt;&gt;0,TblTech[[#This Row],[Hour]:[Hour]]&gt;=N$2),1,0)</f>
        <v>0</v>
      </c>
      <c r="O72" s="276" cm="1">
        <f t="array" ref="O72">IF(AND(O$2&lt;&gt;0,TblTech[[#This Row],[Hour]:[Hour]]&gt;=O$2),1,0)</f>
        <v>0</v>
      </c>
      <c r="P72" s="276" cm="1">
        <f t="array" ref="P72">IF(AND(P$2&lt;&gt;0,TblTech[[#This Row],[Hour]:[Hour]]&gt;=P$2),1,0)</f>
        <v>0</v>
      </c>
      <c r="Q72" s="276" cm="1">
        <f t="array" ref="Q72">IF(AND(Q$2&lt;&gt;0,TblTech[[#This Row],[Hour]:[Hour]]&gt;=Q$2),1,0)</f>
        <v>0</v>
      </c>
      <c r="R72" s="276" cm="1">
        <f t="array" ref="R72">IF(AND(R$2&lt;&gt;0,TblTech[[#This Row],[Hour]:[Hour]]&gt;=R$2),1,0)</f>
        <v>0</v>
      </c>
      <c r="S72" s="276" cm="1">
        <f t="array" ref="S72">IF(AND(S$2&lt;&gt;0,TblTech[[#This Row],[Hour]:[Hour]]&gt;=S$2),1,0)</f>
        <v>0</v>
      </c>
      <c r="T72" s="276" cm="1">
        <f t="array" ref="T72">IF(AND(T$2&lt;&gt;0,TblTech[[#This Row],[Hour]:[Hour]]&gt;=T$2),1,0)</f>
        <v>0</v>
      </c>
      <c r="U72" s="276" cm="1">
        <f t="array" ref="U72">IF(AND(U$2&lt;&gt;0,TblTech[[#This Row],[Hour]:[Hour]]&gt;=U$2),1,0)</f>
        <v>0</v>
      </c>
      <c r="V72" s="276" cm="1">
        <f t="array" ref="V72">IF(AND(V$2&lt;&gt;0,TblTech[[#This Row],[Hour]:[Hour]]&gt;=V$2),1,0)</f>
        <v>0</v>
      </c>
      <c r="W72" s="276" cm="1">
        <f t="array" ref="W72">IF(AND(W$2&lt;&gt;0,TblTech[[#This Row],[Hour]:[Hour]]&gt;=W$2),1,0)</f>
        <v>0</v>
      </c>
      <c r="X72" s="276" cm="1">
        <f t="array" ref="X72">IF(AND(X$2&lt;&gt;0,TblTech[[#This Row],[Hour]:[Hour]]&gt;=X$2),1,0)</f>
        <v>0</v>
      </c>
      <c r="Y72" s="276" cm="1">
        <f t="array" ref="Y72">IF(AND(Y$2&lt;&gt;0,TblTech[[#This Row],[Hour]:[Hour]]&gt;=Y$2),1,0)</f>
        <v>0</v>
      </c>
      <c r="Z72" s="276" cm="1">
        <f t="array" ref="Z72">IF(AND(Z$2&lt;&gt;0,TblTech[[#This Row],[Hour]:[Hour]]&gt;=Z$2),1,0)</f>
        <v>0</v>
      </c>
      <c r="AA72" s="276" cm="1">
        <f t="array" ref="AA72">IF(AND(AA$2&lt;&gt;0,TblTech[[#This Row],[Hour]:[Hour]]&gt;=AA$2),1,0)</f>
        <v>0</v>
      </c>
      <c r="AB72" s="276" cm="1">
        <f t="array" ref="AB72">IF(AND(AB$2&lt;&gt;0,TblTech[[#This Row],[Hour]:[Hour]]&gt;=AB$2),1,0)</f>
        <v>0</v>
      </c>
      <c r="AC72" s="276" cm="1">
        <f t="array" ref="AC72">IF(AND(AC$2&lt;&gt;0,TblTech[[#This Row],[Hour]:[Hour]]&gt;=AC$2),1,0)</f>
        <v>0</v>
      </c>
      <c r="AD72" s="276" cm="1">
        <f t="array" ref="AD72">IF(AND(AD$2&lt;&gt;0,TblTech[[#This Row],[Hour]:[Hour]]&gt;=AD$2),1,0)</f>
        <v>0</v>
      </c>
      <c r="AE72" s="276" cm="1">
        <f t="array" ref="AE72">IF(AND(AE$2&lt;&gt;0,TblTech[[#This Row],[Hour]:[Hour]]&gt;=AE$2),1,0)</f>
        <v>0</v>
      </c>
      <c r="AF72" s="276" cm="1">
        <f t="array" ref="AF72">IF(AND(AF$2&lt;&gt;0,TblTech[[#This Row],[Hour]:[Hour]]&gt;=AF$2),1,0)</f>
        <v>0</v>
      </c>
      <c r="AG72" s="276" cm="1">
        <f t="array" ref="AG72">IF(AND(AG$2&lt;&gt;0,TblTech[[#This Row],[Hour]:[Hour]]&gt;=AG$2),1,0)</f>
        <v>0</v>
      </c>
      <c r="AH72" s="276" cm="1">
        <f t="array" ref="AH72">IF(AND(AH$2&lt;&gt;0,TblTech[[#This Row],[Hour]:[Hour]]&gt;=AH$2),1,0)</f>
        <v>0</v>
      </c>
      <c r="AI72" s="276" cm="1">
        <f t="array" ref="AI72">IF(AND(AI$2&lt;&gt;0,TblTech[[#This Row],[Hour]:[Hour]]&gt;=AI$2),1,0)</f>
        <v>0</v>
      </c>
      <c r="AJ72" s="276" cm="1">
        <f t="array" ref="AJ72">IF(AND(AJ$2&lt;&gt;0,TblTech[[#This Row],[Hour]:[Hour]]&gt;=AJ$2),1,0)</f>
        <v>0</v>
      </c>
      <c r="AK72" s="276" cm="1">
        <f t="array" ref="AK72">IF(AND(AK$2&lt;&gt;0,TblTech[[#This Row],[Hour]:[Hour]]&gt;=AK$2),1,0)</f>
        <v>0</v>
      </c>
      <c r="AL72" s="276" cm="1">
        <f t="array" ref="AL72">IF(AND(AL$2&lt;&gt;0,TblTech[[#This Row],[Hour]:[Hour]]&gt;=AL$2),1,0)</f>
        <v>0</v>
      </c>
      <c r="AM72" s="276" cm="1">
        <f t="array" ref="AM72">IF(AND(AM$2&lt;&gt;0,TblTech[[#This Row],[Hour]:[Hour]]&gt;=AM$2),1,0)</f>
        <v>0</v>
      </c>
      <c r="AN72" s="276" cm="1">
        <f t="array" ref="AN72">IF(AND(AN$2&lt;&gt;0,TblTech[[#This Row],[Hour]:[Hour]]&gt;=AN$2),1,0)</f>
        <v>0</v>
      </c>
      <c r="AO72" s="276" cm="1">
        <f t="array" ref="AO72">IF(AND(AO$2&lt;&gt;0,TblTech[[#This Row],[Hour]:[Hour]]&gt;=AO$2),1,0)</f>
        <v>0</v>
      </c>
      <c r="AP72" s="276" cm="1">
        <f t="array" ref="AP72">IF(AND(AP$2&lt;&gt;0,TblTech[[#This Row],[Hour]:[Hour]]&gt;=AP$2),1,0)</f>
        <v>0</v>
      </c>
      <c r="AQ72" s="276" cm="1">
        <f t="array" ref="AQ72">IF(AND(AQ$2&lt;&gt;0,TblTech[[#This Row],[Hour]:[Hour]]&gt;=AQ$2),1,0)</f>
        <v>0</v>
      </c>
      <c r="AR72" s="276" cm="1">
        <f t="array" ref="AR72">IF(AND(AR$2&lt;&gt;0,TblTech[[#This Row],[Hour]:[Hour]]&gt;=AR$2),1,0)</f>
        <v>0</v>
      </c>
      <c r="AS72" s="276" cm="1">
        <f t="array" ref="AS72">IF(AND(AS$2&lt;&gt;0,TblTech[[#This Row],[Hour]:[Hour]]&gt;=AS$2),1,0)</f>
        <v>0</v>
      </c>
      <c r="AT72" s="276" cm="1">
        <f t="array" ref="AT72">IF(AND(AT$2&lt;&gt;0,TblTech[[#This Row],[Hour]:[Hour]]&gt;=AT$2),1,0)</f>
        <v>0</v>
      </c>
      <c r="AU72" s="276" cm="1">
        <f t="array" ref="AU72">IF(AND(AU$2&lt;&gt;0,TblTech[[#This Row],[Hour]:[Hour]]&gt;=AU$2),1,0)</f>
        <v>0</v>
      </c>
      <c r="AV72" s="276" cm="1">
        <f t="array" ref="AV72">IF(AND(AV$2&lt;&gt;0,TblTech[[#This Row],[Hour]:[Hour]]&gt;=AV$2),1,0)</f>
        <v>0</v>
      </c>
      <c r="AW72" s="276" cm="1">
        <f t="array" ref="AW72">IF(AND(AW$2&lt;&gt;0,TblTech[[#This Row],[Hour]:[Hour]]&gt;=AW$2),1,0)</f>
        <v>0</v>
      </c>
      <c r="AX72" s="276" cm="1">
        <f t="array" ref="AX72">IF(AND(AX$2&lt;&gt;0,TblTech[[#This Row],[Hour]:[Hour]]&gt;=AX$2),1,0)</f>
        <v>0</v>
      </c>
      <c r="AY72" s="276" cm="1">
        <f t="array" ref="AY72">IF(AND(AY$2&lt;&gt;0,TblTech[[#This Row],[Hour]:[Hour]]&gt;=AY$2),1,0)</f>
        <v>0</v>
      </c>
      <c r="AZ72" s="276" cm="1">
        <f t="array" ref="AZ72">IF(AND(AZ$2&lt;&gt;0,TblTech[[#This Row],[Hour]:[Hour]]&gt;=AZ$2),1,0)</f>
        <v>0</v>
      </c>
      <c r="BA72" s="276" cm="1">
        <f t="array" ref="BA72">IF(AND(BA$2&lt;&gt;0,TblTech[[#This Row],[Hour]:[Hour]]&gt;=BA$2),1,0)</f>
        <v>0</v>
      </c>
      <c r="BB72" s="276" cm="1">
        <f t="array" ref="BB72">IF(AND(BB$2&lt;&gt;0,TblTech[[#This Row],[Hour]:[Hour]]&gt;=BB$2),1,0)</f>
        <v>0</v>
      </c>
      <c r="BC72" s="276" cm="1">
        <f t="array" ref="BC72">IF(AND(BC$2&lt;&gt;0,TblTech[[#This Row],[Hour]:[Hour]]&gt;=BC$2),1,0)</f>
        <v>0</v>
      </c>
      <c r="BD72" s="276" cm="1">
        <f t="array" ref="BD72">IF(AND(BD$2&lt;&gt;0,TblTech[[#This Row],[Hour]:[Hour]]&gt;=BD$2),1,0)</f>
        <v>0</v>
      </c>
      <c r="BE72" s="276" cm="1">
        <f t="array" ref="BE72">IF(AND(BE$2&lt;&gt;0,TblTech[[#This Row],[Hour]:[Hour]]&gt;=BE$2),1,0)</f>
        <v>0</v>
      </c>
      <c r="BF72" s="276" cm="1">
        <f t="array" ref="BF72">IF(AND(BF$2&lt;&gt;0,TblTech[[#This Row],[Hour]:[Hour]]&gt;=BF$2),1,0)</f>
        <v>0</v>
      </c>
      <c r="BG72" s="276" cm="1">
        <f t="array" ref="BG72">IF(AND(BG$2&lt;&gt;0,TblTech[[#This Row],[Hour]:[Hour]]&gt;=BG$2),1,0)</f>
        <v>0</v>
      </c>
      <c r="BH72" s="276" cm="1">
        <f t="array" ref="BH72">IF(AND(BH$2&lt;&gt;0,TblTech[[#This Row],[Hour]:[Hour]]&gt;=BH$2),1,0)</f>
        <v>0</v>
      </c>
      <c r="BI72" s="276" cm="1">
        <f t="array" ref="BI72">IF(AND(BI$2&lt;&gt;0,TblTech[[#This Row],[Hour]:[Hour]]&gt;=BI$2),1,0)</f>
        <v>0</v>
      </c>
      <c r="BJ72" s="276" cm="1">
        <f t="array" ref="BJ72">IF(AND(BJ$2&lt;&gt;0,TblTech[[#This Row],[Hour]:[Hour]]&gt;=BJ$2),1,0)</f>
        <v>0</v>
      </c>
      <c r="BK72" s="276" cm="1">
        <f t="array" ref="BK72">IF(AND(BK$2&lt;&gt;0,TblTech[[#This Row],[Hour]:[Hour]]&gt;=BK$2),1,0)</f>
        <v>0</v>
      </c>
      <c r="BL72" s="276" cm="1">
        <f t="array" ref="BL72">IF(AND(BL$2&lt;&gt;0,TblTech[[#This Row],[Hour]:[Hour]]&gt;=BL$2),1,0)</f>
        <v>0</v>
      </c>
      <c r="BM72" s="276" cm="1">
        <f t="array" ref="BM72">IF(AND(BM$2&lt;&gt;0,TblTech[[#This Row],[Hour]:[Hour]]&gt;=BM$2),1,0)</f>
        <v>0</v>
      </c>
      <c r="BN72" s="276" cm="1">
        <f t="array" ref="BN72">IF(AND(BN$2&lt;&gt;0,TblTech[[#This Row],[Hour]:[Hour]]&gt;=BN$2),1,0)</f>
        <v>0</v>
      </c>
      <c r="BO72" s="276" cm="1">
        <f t="array" ref="BO72">IF(AND(BO$2&lt;&gt;0,TblTech[[#This Row],[Hour]:[Hour]]&gt;=BO$2),1,0)</f>
        <v>0</v>
      </c>
      <c r="BP72" s="276" cm="1">
        <f t="array" ref="BP72">IF(AND(BP$2&lt;&gt;0,TblTech[[#This Row],[Hour]:[Hour]]&gt;=BP$2),1,0)</f>
        <v>0</v>
      </c>
      <c r="BQ72" s="276" cm="1">
        <f t="array" ref="BQ72">IF(AND(BQ$2&lt;&gt;0,TblTech[[#This Row],[Hour]:[Hour]]&gt;=BQ$2),1,0)</f>
        <v>0</v>
      </c>
      <c r="BR72" s="276" cm="1">
        <f t="array" ref="BR72">IF(AND(BR$2&lt;&gt;0,TblTech[[#This Row],[Hour]:[Hour]]&gt;=BR$2),1,0)</f>
        <v>0</v>
      </c>
      <c r="BS72" s="276" cm="1">
        <f t="array" ref="BS72">IF(AND(BS$2&lt;&gt;0,TblTech[[#This Row],[Hour]:[Hour]]&gt;=BS$2),1,0)</f>
        <v>0</v>
      </c>
      <c r="BT72" s="276" cm="1">
        <f t="array" ref="BT72">IF(AND(BT$2&lt;&gt;0,TblTech[[#This Row],[Hour]:[Hour]]&gt;=BT$2),1,0)</f>
        <v>0</v>
      </c>
      <c r="BU72" s="276" cm="1">
        <f t="array" ref="BU72">IF(AND(BU$2&lt;&gt;0,TblTech[[#This Row],[Hour]:[Hour]]&gt;=BU$2),1,0)</f>
        <v>0</v>
      </c>
      <c r="BV72" s="276" cm="1">
        <f t="array" ref="BV72">IF(AND(BV$2&lt;&gt;0,TblTech[[#This Row],[Hour]:[Hour]]&gt;=BV$2),1,0)</f>
        <v>0</v>
      </c>
      <c r="BW72" s="276" cm="1">
        <f t="array" ref="BW72">IF(AND(BW$2&lt;&gt;0,TblTech[[#This Row],[Hour]:[Hour]]&gt;=BW$2),1,0)</f>
        <v>0</v>
      </c>
      <c r="BX72" s="276" cm="1">
        <f t="array" ref="BX72">IF(AND(BX$2&lt;&gt;0,TblTech[[#This Row],[Hour]:[Hour]]&gt;=BX$2),1,0)</f>
        <v>0</v>
      </c>
      <c r="BY72" s="276" cm="1">
        <f t="array" ref="BY72">IF(AND(BY$2&lt;&gt;0,TblTech[[#This Row],[Hour]:[Hour]]&gt;=BY$2),1,0)</f>
        <v>0</v>
      </c>
      <c r="BZ72" s="276" cm="1">
        <f t="array" ref="BZ72">IF(AND(BZ$2&lt;&gt;0,TblTech[[#This Row],[Hour]:[Hour]]&gt;=BZ$2),1,0)</f>
        <v>0</v>
      </c>
      <c r="CA72" s="377">
        <f>IFERROR(INDEX($H$4:$H$79,MATCH(INDEX(TblTech[[#Headers],[1-1]:[11-1]],1,MATCH(TblTech[[#This Row],[Hour]],$M$2:$BZ$2,0)),$G$4:$G$79,0)),)</f>
        <v>0</v>
      </c>
    </row>
    <row r="73" spans="1:79" x14ac:dyDescent="0.2">
      <c r="A73" s="268">
        <f>TblRezone[[#This Row],[Hour]]</f>
        <v>70</v>
      </c>
      <c r="B73" s="269">
        <f ca="1">TblExplore[[#This Row],[Land-DB]]</f>
        <v>50</v>
      </c>
      <c r="C73" s="270">
        <f ca="1">TblProd[[#This Row],[Techpoints]]</f>
        <v>0</v>
      </c>
      <c r="D73" s="270">
        <f ca="1">TblProd[[#This Row],[Required]]</f>
        <v>3750</v>
      </c>
      <c r="E73" s="271"/>
      <c r="F73" s="272"/>
      <c r="G73" s="273" t="s">
        <v>616</v>
      </c>
      <c r="H73" s="274" t="s">
        <v>730</v>
      </c>
      <c r="I73" s="273" t="s">
        <v>554</v>
      </c>
      <c r="J73" s="269"/>
      <c r="K73" s="93">
        <f ca="1">IF(TblTech[[#This Row],[Sum of tech]]&lt;&gt;OFFSET(TblTech[[#This Row],[Sum of tech]],-1,0),1,0)</f>
        <v>0</v>
      </c>
      <c r="L73" s="275">
        <f>COUNTIF(TblTech[[#This Row],[1-1]:[11-1]],1)</f>
        <v>0</v>
      </c>
      <c r="M73" s="276" cm="1">
        <f t="array" ref="M73">IF(AND(M$2&lt;&gt;0,TblTech[[#This Row],[Hour]:[Hour]]&gt;=M$2),1,0)</f>
        <v>0</v>
      </c>
      <c r="N73" s="276" cm="1">
        <f t="array" ref="N73">IF(AND(N$2&lt;&gt;0,TblTech[[#This Row],[Hour]:[Hour]]&gt;=N$2),1,0)</f>
        <v>0</v>
      </c>
      <c r="O73" s="276" cm="1">
        <f t="array" ref="O73">IF(AND(O$2&lt;&gt;0,TblTech[[#This Row],[Hour]:[Hour]]&gt;=O$2),1,0)</f>
        <v>0</v>
      </c>
      <c r="P73" s="276" cm="1">
        <f t="array" ref="P73">IF(AND(P$2&lt;&gt;0,TblTech[[#This Row],[Hour]:[Hour]]&gt;=P$2),1,0)</f>
        <v>0</v>
      </c>
      <c r="Q73" s="276" cm="1">
        <f t="array" ref="Q73">IF(AND(Q$2&lt;&gt;0,TblTech[[#This Row],[Hour]:[Hour]]&gt;=Q$2),1,0)</f>
        <v>0</v>
      </c>
      <c r="R73" s="276" cm="1">
        <f t="array" ref="R73">IF(AND(R$2&lt;&gt;0,TblTech[[#This Row],[Hour]:[Hour]]&gt;=R$2),1,0)</f>
        <v>0</v>
      </c>
      <c r="S73" s="276" cm="1">
        <f t="array" ref="S73">IF(AND(S$2&lt;&gt;0,TblTech[[#This Row],[Hour]:[Hour]]&gt;=S$2),1,0)</f>
        <v>0</v>
      </c>
      <c r="T73" s="276" cm="1">
        <f t="array" ref="T73">IF(AND(T$2&lt;&gt;0,TblTech[[#This Row],[Hour]:[Hour]]&gt;=T$2),1,0)</f>
        <v>0</v>
      </c>
      <c r="U73" s="276" cm="1">
        <f t="array" ref="U73">IF(AND(U$2&lt;&gt;0,TblTech[[#This Row],[Hour]:[Hour]]&gt;=U$2),1,0)</f>
        <v>0</v>
      </c>
      <c r="V73" s="276" cm="1">
        <f t="array" ref="V73">IF(AND(V$2&lt;&gt;0,TblTech[[#This Row],[Hour]:[Hour]]&gt;=V$2),1,0)</f>
        <v>0</v>
      </c>
      <c r="W73" s="276" cm="1">
        <f t="array" ref="W73">IF(AND(W$2&lt;&gt;0,TblTech[[#This Row],[Hour]:[Hour]]&gt;=W$2),1,0)</f>
        <v>0</v>
      </c>
      <c r="X73" s="276" cm="1">
        <f t="array" ref="X73">IF(AND(X$2&lt;&gt;0,TblTech[[#This Row],[Hour]:[Hour]]&gt;=X$2),1,0)</f>
        <v>0</v>
      </c>
      <c r="Y73" s="276" cm="1">
        <f t="array" ref="Y73">IF(AND(Y$2&lt;&gt;0,TblTech[[#This Row],[Hour]:[Hour]]&gt;=Y$2),1,0)</f>
        <v>0</v>
      </c>
      <c r="Z73" s="276" cm="1">
        <f t="array" ref="Z73">IF(AND(Z$2&lt;&gt;0,TblTech[[#This Row],[Hour]:[Hour]]&gt;=Z$2),1,0)</f>
        <v>0</v>
      </c>
      <c r="AA73" s="276" cm="1">
        <f t="array" ref="AA73">IF(AND(AA$2&lt;&gt;0,TblTech[[#This Row],[Hour]:[Hour]]&gt;=AA$2),1,0)</f>
        <v>0</v>
      </c>
      <c r="AB73" s="276" cm="1">
        <f t="array" ref="AB73">IF(AND(AB$2&lt;&gt;0,TblTech[[#This Row],[Hour]:[Hour]]&gt;=AB$2),1,0)</f>
        <v>0</v>
      </c>
      <c r="AC73" s="276" cm="1">
        <f t="array" ref="AC73">IF(AND(AC$2&lt;&gt;0,TblTech[[#This Row],[Hour]:[Hour]]&gt;=AC$2),1,0)</f>
        <v>0</v>
      </c>
      <c r="AD73" s="276" cm="1">
        <f t="array" ref="AD73">IF(AND(AD$2&lt;&gt;0,TblTech[[#This Row],[Hour]:[Hour]]&gt;=AD$2),1,0)</f>
        <v>0</v>
      </c>
      <c r="AE73" s="276" cm="1">
        <f t="array" ref="AE73">IF(AND(AE$2&lt;&gt;0,TblTech[[#This Row],[Hour]:[Hour]]&gt;=AE$2),1,0)</f>
        <v>0</v>
      </c>
      <c r="AF73" s="276" cm="1">
        <f t="array" ref="AF73">IF(AND(AF$2&lt;&gt;0,TblTech[[#This Row],[Hour]:[Hour]]&gt;=AF$2),1,0)</f>
        <v>0</v>
      </c>
      <c r="AG73" s="276" cm="1">
        <f t="array" ref="AG73">IF(AND(AG$2&lt;&gt;0,TblTech[[#This Row],[Hour]:[Hour]]&gt;=AG$2),1,0)</f>
        <v>0</v>
      </c>
      <c r="AH73" s="276" cm="1">
        <f t="array" ref="AH73">IF(AND(AH$2&lt;&gt;0,TblTech[[#This Row],[Hour]:[Hour]]&gt;=AH$2),1,0)</f>
        <v>0</v>
      </c>
      <c r="AI73" s="276" cm="1">
        <f t="array" ref="AI73">IF(AND(AI$2&lt;&gt;0,TblTech[[#This Row],[Hour]:[Hour]]&gt;=AI$2),1,0)</f>
        <v>0</v>
      </c>
      <c r="AJ73" s="276" cm="1">
        <f t="array" ref="AJ73">IF(AND(AJ$2&lt;&gt;0,TblTech[[#This Row],[Hour]:[Hour]]&gt;=AJ$2),1,0)</f>
        <v>0</v>
      </c>
      <c r="AK73" s="276" cm="1">
        <f t="array" ref="AK73">IF(AND(AK$2&lt;&gt;0,TblTech[[#This Row],[Hour]:[Hour]]&gt;=AK$2),1,0)</f>
        <v>0</v>
      </c>
      <c r="AL73" s="276" cm="1">
        <f t="array" ref="AL73">IF(AND(AL$2&lt;&gt;0,TblTech[[#This Row],[Hour]:[Hour]]&gt;=AL$2),1,0)</f>
        <v>0</v>
      </c>
      <c r="AM73" s="276" cm="1">
        <f t="array" ref="AM73">IF(AND(AM$2&lt;&gt;0,TblTech[[#This Row],[Hour]:[Hour]]&gt;=AM$2),1,0)</f>
        <v>0</v>
      </c>
      <c r="AN73" s="276" cm="1">
        <f t="array" ref="AN73">IF(AND(AN$2&lt;&gt;0,TblTech[[#This Row],[Hour]:[Hour]]&gt;=AN$2),1,0)</f>
        <v>0</v>
      </c>
      <c r="AO73" s="276" cm="1">
        <f t="array" ref="AO73">IF(AND(AO$2&lt;&gt;0,TblTech[[#This Row],[Hour]:[Hour]]&gt;=AO$2),1,0)</f>
        <v>0</v>
      </c>
      <c r="AP73" s="276" cm="1">
        <f t="array" ref="AP73">IF(AND(AP$2&lt;&gt;0,TblTech[[#This Row],[Hour]:[Hour]]&gt;=AP$2),1,0)</f>
        <v>0</v>
      </c>
      <c r="AQ73" s="276" cm="1">
        <f t="array" ref="AQ73">IF(AND(AQ$2&lt;&gt;0,TblTech[[#This Row],[Hour]:[Hour]]&gt;=AQ$2),1,0)</f>
        <v>0</v>
      </c>
      <c r="AR73" s="276" cm="1">
        <f t="array" ref="AR73">IF(AND(AR$2&lt;&gt;0,TblTech[[#This Row],[Hour]:[Hour]]&gt;=AR$2),1,0)</f>
        <v>0</v>
      </c>
      <c r="AS73" s="276" cm="1">
        <f t="array" ref="AS73">IF(AND(AS$2&lt;&gt;0,TblTech[[#This Row],[Hour]:[Hour]]&gt;=AS$2),1,0)</f>
        <v>0</v>
      </c>
      <c r="AT73" s="276" cm="1">
        <f t="array" ref="AT73">IF(AND(AT$2&lt;&gt;0,TblTech[[#This Row],[Hour]:[Hour]]&gt;=AT$2),1,0)</f>
        <v>0</v>
      </c>
      <c r="AU73" s="276" cm="1">
        <f t="array" ref="AU73">IF(AND(AU$2&lt;&gt;0,TblTech[[#This Row],[Hour]:[Hour]]&gt;=AU$2),1,0)</f>
        <v>0</v>
      </c>
      <c r="AV73" s="276" cm="1">
        <f t="array" ref="AV73">IF(AND(AV$2&lt;&gt;0,TblTech[[#This Row],[Hour]:[Hour]]&gt;=AV$2),1,0)</f>
        <v>0</v>
      </c>
      <c r="AW73" s="276" cm="1">
        <f t="array" ref="AW73">IF(AND(AW$2&lt;&gt;0,TblTech[[#This Row],[Hour]:[Hour]]&gt;=AW$2),1,0)</f>
        <v>0</v>
      </c>
      <c r="AX73" s="276" cm="1">
        <f t="array" ref="AX73">IF(AND(AX$2&lt;&gt;0,TblTech[[#This Row],[Hour]:[Hour]]&gt;=AX$2),1,0)</f>
        <v>0</v>
      </c>
      <c r="AY73" s="276" cm="1">
        <f t="array" ref="AY73">IF(AND(AY$2&lt;&gt;0,TblTech[[#This Row],[Hour]:[Hour]]&gt;=AY$2),1,0)</f>
        <v>0</v>
      </c>
      <c r="AZ73" s="276" cm="1">
        <f t="array" ref="AZ73">IF(AND(AZ$2&lt;&gt;0,TblTech[[#This Row],[Hour]:[Hour]]&gt;=AZ$2),1,0)</f>
        <v>0</v>
      </c>
      <c r="BA73" s="276" cm="1">
        <f t="array" ref="BA73">IF(AND(BA$2&lt;&gt;0,TblTech[[#This Row],[Hour]:[Hour]]&gt;=BA$2),1,0)</f>
        <v>0</v>
      </c>
      <c r="BB73" s="276" cm="1">
        <f t="array" ref="BB73">IF(AND(BB$2&lt;&gt;0,TblTech[[#This Row],[Hour]:[Hour]]&gt;=BB$2),1,0)</f>
        <v>0</v>
      </c>
      <c r="BC73" s="276" cm="1">
        <f t="array" ref="BC73">IF(AND(BC$2&lt;&gt;0,TblTech[[#This Row],[Hour]:[Hour]]&gt;=BC$2),1,0)</f>
        <v>0</v>
      </c>
      <c r="BD73" s="276" cm="1">
        <f t="array" ref="BD73">IF(AND(BD$2&lt;&gt;0,TblTech[[#This Row],[Hour]:[Hour]]&gt;=BD$2),1,0)</f>
        <v>0</v>
      </c>
      <c r="BE73" s="276" cm="1">
        <f t="array" ref="BE73">IF(AND(BE$2&lt;&gt;0,TblTech[[#This Row],[Hour]:[Hour]]&gt;=BE$2),1,0)</f>
        <v>0</v>
      </c>
      <c r="BF73" s="276" cm="1">
        <f t="array" ref="BF73">IF(AND(BF$2&lt;&gt;0,TblTech[[#This Row],[Hour]:[Hour]]&gt;=BF$2),1,0)</f>
        <v>0</v>
      </c>
      <c r="BG73" s="276" cm="1">
        <f t="array" ref="BG73">IF(AND(BG$2&lt;&gt;0,TblTech[[#This Row],[Hour]:[Hour]]&gt;=BG$2),1,0)</f>
        <v>0</v>
      </c>
      <c r="BH73" s="276" cm="1">
        <f t="array" ref="BH73">IF(AND(BH$2&lt;&gt;0,TblTech[[#This Row],[Hour]:[Hour]]&gt;=BH$2),1,0)</f>
        <v>0</v>
      </c>
      <c r="BI73" s="276" cm="1">
        <f t="array" ref="BI73">IF(AND(BI$2&lt;&gt;0,TblTech[[#This Row],[Hour]:[Hour]]&gt;=BI$2),1,0)</f>
        <v>0</v>
      </c>
      <c r="BJ73" s="276" cm="1">
        <f t="array" ref="BJ73">IF(AND(BJ$2&lt;&gt;0,TblTech[[#This Row],[Hour]:[Hour]]&gt;=BJ$2),1,0)</f>
        <v>0</v>
      </c>
      <c r="BK73" s="276" cm="1">
        <f t="array" ref="BK73">IF(AND(BK$2&lt;&gt;0,TblTech[[#This Row],[Hour]:[Hour]]&gt;=BK$2),1,0)</f>
        <v>0</v>
      </c>
      <c r="BL73" s="276" cm="1">
        <f t="array" ref="BL73">IF(AND(BL$2&lt;&gt;0,TblTech[[#This Row],[Hour]:[Hour]]&gt;=BL$2),1,0)</f>
        <v>0</v>
      </c>
      <c r="BM73" s="276" cm="1">
        <f t="array" ref="BM73">IF(AND(BM$2&lt;&gt;0,TblTech[[#This Row],[Hour]:[Hour]]&gt;=BM$2),1,0)</f>
        <v>0</v>
      </c>
      <c r="BN73" s="276" cm="1">
        <f t="array" ref="BN73">IF(AND(BN$2&lt;&gt;0,TblTech[[#This Row],[Hour]:[Hour]]&gt;=BN$2),1,0)</f>
        <v>0</v>
      </c>
      <c r="BO73" s="276" cm="1">
        <f t="array" ref="BO73">IF(AND(BO$2&lt;&gt;0,TblTech[[#This Row],[Hour]:[Hour]]&gt;=BO$2),1,0)</f>
        <v>0</v>
      </c>
      <c r="BP73" s="276" cm="1">
        <f t="array" ref="BP73">IF(AND(BP$2&lt;&gt;0,TblTech[[#This Row],[Hour]:[Hour]]&gt;=BP$2),1,0)</f>
        <v>0</v>
      </c>
      <c r="BQ73" s="276" cm="1">
        <f t="array" ref="BQ73">IF(AND(BQ$2&lt;&gt;0,TblTech[[#This Row],[Hour]:[Hour]]&gt;=BQ$2),1,0)</f>
        <v>0</v>
      </c>
      <c r="BR73" s="276" cm="1">
        <f t="array" ref="BR73">IF(AND(BR$2&lt;&gt;0,TblTech[[#This Row],[Hour]:[Hour]]&gt;=BR$2),1,0)</f>
        <v>0</v>
      </c>
      <c r="BS73" s="276" cm="1">
        <f t="array" ref="BS73">IF(AND(BS$2&lt;&gt;0,TblTech[[#This Row],[Hour]:[Hour]]&gt;=BS$2),1,0)</f>
        <v>0</v>
      </c>
      <c r="BT73" s="276" cm="1">
        <f t="array" ref="BT73">IF(AND(BT$2&lt;&gt;0,TblTech[[#This Row],[Hour]:[Hour]]&gt;=BT$2),1,0)</f>
        <v>0</v>
      </c>
      <c r="BU73" s="276" cm="1">
        <f t="array" ref="BU73">IF(AND(BU$2&lt;&gt;0,TblTech[[#This Row],[Hour]:[Hour]]&gt;=BU$2),1,0)</f>
        <v>0</v>
      </c>
      <c r="BV73" s="276" cm="1">
        <f t="array" ref="BV73">IF(AND(BV$2&lt;&gt;0,TblTech[[#This Row],[Hour]:[Hour]]&gt;=BV$2),1,0)</f>
        <v>0</v>
      </c>
      <c r="BW73" s="276" cm="1">
        <f t="array" ref="BW73">IF(AND(BW$2&lt;&gt;0,TblTech[[#This Row],[Hour]:[Hour]]&gt;=BW$2),1,0)</f>
        <v>0</v>
      </c>
      <c r="BX73" s="276" cm="1">
        <f t="array" ref="BX73">IF(AND(BX$2&lt;&gt;0,TblTech[[#This Row],[Hour]:[Hour]]&gt;=BX$2),1,0)</f>
        <v>0</v>
      </c>
      <c r="BY73" s="276" cm="1">
        <f t="array" ref="BY73">IF(AND(BY$2&lt;&gt;0,TblTech[[#This Row],[Hour]:[Hour]]&gt;=BY$2),1,0)</f>
        <v>0</v>
      </c>
      <c r="BZ73" s="276" cm="1">
        <f t="array" ref="BZ73">IF(AND(BZ$2&lt;&gt;0,TblTech[[#This Row],[Hour]:[Hour]]&gt;=BZ$2),1,0)</f>
        <v>0</v>
      </c>
      <c r="CA73" s="377">
        <f>IFERROR(INDEX($H$4:$H$79,MATCH(INDEX(TblTech[[#Headers],[1-1]:[11-1]],1,MATCH(TblTech[[#This Row],[Hour]],$M$2:$BZ$2,0)),$G$4:$G$79,0)),)</f>
        <v>0</v>
      </c>
    </row>
    <row r="74" spans="1:79" x14ac:dyDescent="0.2">
      <c r="A74" s="268">
        <f>TblRezone[[#This Row],[Hour]]</f>
        <v>71</v>
      </c>
      <c r="B74" s="269">
        <f ca="1">TblExplore[[#This Row],[Land-DB]]</f>
        <v>50</v>
      </c>
      <c r="C74" s="270">
        <f ca="1">TblProd[[#This Row],[Techpoints]]</f>
        <v>0</v>
      </c>
      <c r="D74" s="270">
        <f ca="1">TblProd[[#This Row],[Required]]</f>
        <v>3750</v>
      </c>
      <c r="E74" s="271"/>
      <c r="F74" s="272"/>
      <c r="G74" s="273" t="s">
        <v>617</v>
      </c>
      <c r="H74" s="274" t="s">
        <v>731</v>
      </c>
      <c r="I74" s="273" t="s">
        <v>752</v>
      </c>
      <c r="J74" s="269"/>
      <c r="K74" s="93">
        <f ca="1">IF(TblTech[[#This Row],[Sum of tech]]&lt;&gt;OFFSET(TblTech[[#This Row],[Sum of tech]],-1,0),1,0)</f>
        <v>0</v>
      </c>
      <c r="L74" s="275">
        <f>COUNTIF(TblTech[[#This Row],[1-1]:[11-1]],1)</f>
        <v>0</v>
      </c>
      <c r="M74" s="276" cm="1">
        <f t="array" ref="M74">IF(AND(M$2&lt;&gt;0,TblTech[[#This Row],[Hour]:[Hour]]&gt;=M$2),1,0)</f>
        <v>0</v>
      </c>
      <c r="N74" s="276" cm="1">
        <f t="array" ref="N74">IF(AND(N$2&lt;&gt;0,TblTech[[#This Row],[Hour]:[Hour]]&gt;=N$2),1,0)</f>
        <v>0</v>
      </c>
      <c r="O74" s="276" cm="1">
        <f t="array" ref="O74">IF(AND(O$2&lt;&gt;0,TblTech[[#This Row],[Hour]:[Hour]]&gt;=O$2),1,0)</f>
        <v>0</v>
      </c>
      <c r="P74" s="276" cm="1">
        <f t="array" ref="P74">IF(AND(P$2&lt;&gt;0,TblTech[[#This Row],[Hour]:[Hour]]&gt;=P$2),1,0)</f>
        <v>0</v>
      </c>
      <c r="Q74" s="276" cm="1">
        <f t="array" ref="Q74">IF(AND(Q$2&lt;&gt;0,TblTech[[#This Row],[Hour]:[Hour]]&gt;=Q$2),1,0)</f>
        <v>0</v>
      </c>
      <c r="R74" s="276" cm="1">
        <f t="array" ref="R74">IF(AND(R$2&lt;&gt;0,TblTech[[#This Row],[Hour]:[Hour]]&gt;=R$2),1,0)</f>
        <v>0</v>
      </c>
      <c r="S74" s="276" cm="1">
        <f t="array" ref="S74">IF(AND(S$2&lt;&gt;0,TblTech[[#This Row],[Hour]:[Hour]]&gt;=S$2),1,0)</f>
        <v>0</v>
      </c>
      <c r="T74" s="276" cm="1">
        <f t="array" ref="T74">IF(AND(T$2&lt;&gt;0,TblTech[[#This Row],[Hour]:[Hour]]&gt;=T$2),1,0)</f>
        <v>0</v>
      </c>
      <c r="U74" s="276" cm="1">
        <f t="array" ref="U74">IF(AND(U$2&lt;&gt;0,TblTech[[#This Row],[Hour]:[Hour]]&gt;=U$2),1,0)</f>
        <v>0</v>
      </c>
      <c r="V74" s="276" cm="1">
        <f t="array" ref="V74">IF(AND(V$2&lt;&gt;0,TblTech[[#This Row],[Hour]:[Hour]]&gt;=V$2),1,0)</f>
        <v>0</v>
      </c>
      <c r="W74" s="276" cm="1">
        <f t="array" ref="W74">IF(AND(W$2&lt;&gt;0,TblTech[[#This Row],[Hour]:[Hour]]&gt;=W$2),1,0)</f>
        <v>0</v>
      </c>
      <c r="X74" s="276" cm="1">
        <f t="array" ref="X74">IF(AND(X$2&lt;&gt;0,TblTech[[#This Row],[Hour]:[Hour]]&gt;=X$2),1,0)</f>
        <v>0</v>
      </c>
      <c r="Y74" s="276" cm="1">
        <f t="array" ref="Y74">IF(AND(Y$2&lt;&gt;0,TblTech[[#This Row],[Hour]:[Hour]]&gt;=Y$2),1,0)</f>
        <v>0</v>
      </c>
      <c r="Z74" s="276" cm="1">
        <f t="array" ref="Z74">IF(AND(Z$2&lt;&gt;0,TblTech[[#This Row],[Hour]:[Hour]]&gt;=Z$2),1,0)</f>
        <v>0</v>
      </c>
      <c r="AA74" s="276" cm="1">
        <f t="array" ref="AA74">IF(AND(AA$2&lt;&gt;0,TblTech[[#This Row],[Hour]:[Hour]]&gt;=AA$2),1,0)</f>
        <v>0</v>
      </c>
      <c r="AB74" s="276" cm="1">
        <f t="array" ref="AB74">IF(AND(AB$2&lt;&gt;0,TblTech[[#This Row],[Hour]:[Hour]]&gt;=AB$2),1,0)</f>
        <v>0</v>
      </c>
      <c r="AC74" s="276" cm="1">
        <f t="array" ref="AC74">IF(AND(AC$2&lt;&gt;0,TblTech[[#This Row],[Hour]:[Hour]]&gt;=AC$2),1,0)</f>
        <v>0</v>
      </c>
      <c r="AD74" s="276" cm="1">
        <f t="array" ref="AD74">IF(AND(AD$2&lt;&gt;0,TblTech[[#This Row],[Hour]:[Hour]]&gt;=AD$2),1,0)</f>
        <v>0</v>
      </c>
      <c r="AE74" s="276" cm="1">
        <f t="array" ref="AE74">IF(AND(AE$2&lt;&gt;0,TblTech[[#This Row],[Hour]:[Hour]]&gt;=AE$2),1,0)</f>
        <v>0</v>
      </c>
      <c r="AF74" s="276" cm="1">
        <f t="array" ref="AF74">IF(AND(AF$2&lt;&gt;0,TblTech[[#This Row],[Hour]:[Hour]]&gt;=AF$2),1,0)</f>
        <v>0</v>
      </c>
      <c r="AG74" s="276" cm="1">
        <f t="array" ref="AG74">IF(AND(AG$2&lt;&gt;0,TblTech[[#This Row],[Hour]:[Hour]]&gt;=AG$2),1,0)</f>
        <v>0</v>
      </c>
      <c r="AH74" s="276" cm="1">
        <f t="array" ref="AH74">IF(AND(AH$2&lt;&gt;0,TblTech[[#This Row],[Hour]:[Hour]]&gt;=AH$2),1,0)</f>
        <v>0</v>
      </c>
      <c r="AI74" s="276" cm="1">
        <f t="array" ref="AI74">IF(AND(AI$2&lt;&gt;0,TblTech[[#This Row],[Hour]:[Hour]]&gt;=AI$2),1,0)</f>
        <v>0</v>
      </c>
      <c r="AJ74" s="276" cm="1">
        <f t="array" ref="AJ74">IF(AND(AJ$2&lt;&gt;0,TblTech[[#This Row],[Hour]:[Hour]]&gt;=AJ$2),1,0)</f>
        <v>0</v>
      </c>
      <c r="AK74" s="276" cm="1">
        <f t="array" ref="AK74">IF(AND(AK$2&lt;&gt;0,TblTech[[#This Row],[Hour]:[Hour]]&gt;=AK$2),1,0)</f>
        <v>0</v>
      </c>
      <c r="AL74" s="276" cm="1">
        <f t="array" ref="AL74">IF(AND(AL$2&lt;&gt;0,TblTech[[#This Row],[Hour]:[Hour]]&gt;=AL$2),1,0)</f>
        <v>0</v>
      </c>
      <c r="AM74" s="276" cm="1">
        <f t="array" ref="AM74">IF(AND(AM$2&lt;&gt;0,TblTech[[#This Row],[Hour]:[Hour]]&gt;=AM$2),1,0)</f>
        <v>0</v>
      </c>
      <c r="AN74" s="276" cm="1">
        <f t="array" ref="AN74">IF(AND(AN$2&lt;&gt;0,TblTech[[#This Row],[Hour]:[Hour]]&gt;=AN$2),1,0)</f>
        <v>0</v>
      </c>
      <c r="AO74" s="276" cm="1">
        <f t="array" ref="AO74">IF(AND(AO$2&lt;&gt;0,TblTech[[#This Row],[Hour]:[Hour]]&gt;=AO$2),1,0)</f>
        <v>0</v>
      </c>
      <c r="AP74" s="276" cm="1">
        <f t="array" ref="AP74">IF(AND(AP$2&lt;&gt;0,TblTech[[#This Row],[Hour]:[Hour]]&gt;=AP$2),1,0)</f>
        <v>0</v>
      </c>
      <c r="AQ74" s="276" cm="1">
        <f t="array" ref="AQ74">IF(AND(AQ$2&lt;&gt;0,TblTech[[#This Row],[Hour]:[Hour]]&gt;=AQ$2),1,0)</f>
        <v>0</v>
      </c>
      <c r="AR74" s="276" cm="1">
        <f t="array" ref="AR74">IF(AND(AR$2&lt;&gt;0,TblTech[[#This Row],[Hour]:[Hour]]&gt;=AR$2),1,0)</f>
        <v>0</v>
      </c>
      <c r="AS74" s="276" cm="1">
        <f t="array" ref="AS74">IF(AND(AS$2&lt;&gt;0,TblTech[[#This Row],[Hour]:[Hour]]&gt;=AS$2),1,0)</f>
        <v>0</v>
      </c>
      <c r="AT74" s="276" cm="1">
        <f t="array" ref="AT74">IF(AND(AT$2&lt;&gt;0,TblTech[[#This Row],[Hour]:[Hour]]&gt;=AT$2),1,0)</f>
        <v>0</v>
      </c>
      <c r="AU74" s="276" cm="1">
        <f t="array" ref="AU74">IF(AND(AU$2&lt;&gt;0,TblTech[[#This Row],[Hour]:[Hour]]&gt;=AU$2),1,0)</f>
        <v>0</v>
      </c>
      <c r="AV74" s="276" cm="1">
        <f t="array" ref="AV74">IF(AND(AV$2&lt;&gt;0,TblTech[[#This Row],[Hour]:[Hour]]&gt;=AV$2),1,0)</f>
        <v>0</v>
      </c>
      <c r="AW74" s="276" cm="1">
        <f t="array" ref="AW74">IF(AND(AW$2&lt;&gt;0,TblTech[[#This Row],[Hour]:[Hour]]&gt;=AW$2),1,0)</f>
        <v>0</v>
      </c>
      <c r="AX74" s="276" cm="1">
        <f t="array" ref="AX74">IF(AND(AX$2&lt;&gt;0,TblTech[[#This Row],[Hour]:[Hour]]&gt;=AX$2),1,0)</f>
        <v>0</v>
      </c>
      <c r="AY74" s="276" cm="1">
        <f t="array" ref="AY74">IF(AND(AY$2&lt;&gt;0,TblTech[[#This Row],[Hour]:[Hour]]&gt;=AY$2),1,0)</f>
        <v>0</v>
      </c>
      <c r="AZ74" s="276" cm="1">
        <f t="array" ref="AZ74">IF(AND(AZ$2&lt;&gt;0,TblTech[[#This Row],[Hour]:[Hour]]&gt;=AZ$2),1,0)</f>
        <v>0</v>
      </c>
      <c r="BA74" s="276" cm="1">
        <f t="array" ref="BA74">IF(AND(BA$2&lt;&gt;0,TblTech[[#This Row],[Hour]:[Hour]]&gt;=BA$2),1,0)</f>
        <v>0</v>
      </c>
      <c r="BB74" s="276" cm="1">
        <f t="array" ref="BB74">IF(AND(BB$2&lt;&gt;0,TblTech[[#This Row],[Hour]:[Hour]]&gt;=BB$2),1,0)</f>
        <v>0</v>
      </c>
      <c r="BC74" s="276" cm="1">
        <f t="array" ref="BC74">IF(AND(BC$2&lt;&gt;0,TblTech[[#This Row],[Hour]:[Hour]]&gt;=BC$2),1,0)</f>
        <v>0</v>
      </c>
      <c r="BD74" s="276" cm="1">
        <f t="array" ref="BD74">IF(AND(BD$2&lt;&gt;0,TblTech[[#This Row],[Hour]:[Hour]]&gt;=BD$2),1,0)</f>
        <v>0</v>
      </c>
      <c r="BE74" s="276" cm="1">
        <f t="array" ref="BE74">IF(AND(BE$2&lt;&gt;0,TblTech[[#This Row],[Hour]:[Hour]]&gt;=BE$2),1,0)</f>
        <v>0</v>
      </c>
      <c r="BF74" s="276" cm="1">
        <f t="array" ref="BF74">IF(AND(BF$2&lt;&gt;0,TblTech[[#This Row],[Hour]:[Hour]]&gt;=BF$2),1,0)</f>
        <v>0</v>
      </c>
      <c r="BG74" s="276" cm="1">
        <f t="array" ref="BG74">IF(AND(BG$2&lt;&gt;0,TblTech[[#This Row],[Hour]:[Hour]]&gt;=BG$2),1,0)</f>
        <v>0</v>
      </c>
      <c r="BH74" s="276" cm="1">
        <f t="array" ref="BH74">IF(AND(BH$2&lt;&gt;0,TblTech[[#This Row],[Hour]:[Hour]]&gt;=BH$2),1,0)</f>
        <v>0</v>
      </c>
      <c r="BI74" s="276" cm="1">
        <f t="array" ref="BI74">IF(AND(BI$2&lt;&gt;0,TblTech[[#This Row],[Hour]:[Hour]]&gt;=BI$2),1,0)</f>
        <v>0</v>
      </c>
      <c r="BJ74" s="276" cm="1">
        <f t="array" ref="BJ74">IF(AND(BJ$2&lt;&gt;0,TblTech[[#This Row],[Hour]:[Hour]]&gt;=BJ$2),1,0)</f>
        <v>0</v>
      </c>
      <c r="BK74" s="276" cm="1">
        <f t="array" ref="BK74">IF(AND(BK$2&lt;&gt;0,TblTech[[#This Row],[Hour]:[Hour]]&gt;=BK$2),1,0)</f>
        <v>0</v>
      </c>
      <c r="BL74" s="276" cm="1">
        <f t="array" ref="BL74">IF(AND(BL$2&lt;&gt;0,TblTech[[#This Row],[Hour]:[Hour]]&gt;=BL$2),1,0)</f>
        <v>0</v>
      </c>
      <c r="BM74" s="276" cm="1">
        <f t="array" ref="BM74">IF(AND(BM$2&lt;&gt;0,TblTech[[#This Row],[Hour]:[Hour]]&gt;=BM$2),1,0)</f>
        <v>0</v>
      </c>
      <c r="BN74" s="276" cm="1">
        <f t="array" ref="BN74">IF(AND(BN$2&lt;&gt;0,TblTech[[#This Row],[Hour]:[Hour]]&gt;=BN$2),1,0)</f>
        <v>0</v>
      </c>
      <c r="BO74" s="276" cm="1">
        <f t="array" ref="BO74">IF(AND(BO$2&lt;&gt;0,TblTech[[#This Row],[Hour]:[Hour]]&gt;=BO$2),1,0)</f>
        <v>0</v>
      </c>
      <c r="BP74" s="276" cm="1">
        <f t="array" ref="BP74">IF(AND(BP$2&lt;&gt;0,TblTech[[#This Row],[Hour]:[Hour]]&gt;=BP$2),1,0)</f>
        <v>0</v>
      </c>
      <c r="BQ74" s="276" cm="1">
        <f t="array" ref="BQ74">IF(AND(BQ$2&lt;&gt;0,TblTech[[#This Row],[Hour]:[Hour]]&gt;=BQ$2),1,0)</f>
        <v>0</v>
      </c>
      <c r="BR74" s="276" cm="1">
        <f t="array" ref="BR74">IF(AND(BR$2&lt;&gt;0,TblTech[[#This Row],[Hour]:[Hour]]&gt;=BR$2),1,0)</f>
        <v>0</v>
      </c>
      <c r="BS74" s="276" cm="1">
        <f t="array" ref="BS74">IF(AND(BS$2&lt;&gt;0,TblTech[[#This Row],[Hour]:[Hour]]&gt;=BS$2),1,0)</f>
        <v>0</v>
      </c>
      <c r="BT74" s="276" cm="1">
        <f t="array" ref="BT74">IF(AND(BT$2&lt;&gt;0,TblTech[[#This Row],[Hour]:[Hour]]&gt;=BT$2),1,0)</f>
        <v>0</v>
      </c>
      <c r="BU74" s="276" cm="1">
        <f t="array" ref="BU74">IF(AND(BU$2&lt;&gt;0,TblTech[[#This Row],[Hour]:[Hour]]&gt;=BU$2),1,0)</f>
        <v>0</v>
      </c>
      <c r="BV74" s="276" cm="1">
        <f t="array" ref="BV74">IF(AND(BV$2&lt;&gt;0,TblTech[[#This Row],[Hour]:[Hour]]&gt;=BV$2),1,0)</f>
        <v>0</v>
      </c>
      <c r="BW74" s="276" cm="1">
        <f t="array" ref="BW74">IF(AND(BW$2&lt;&gt;0,TblTech[[#This Row],[Hour]:[Hour]]&gt;=BW$2),1,0)</f>
        <v>0</v>
      </c>
      <c r="BX74" s="276" cm="1">
        <f t="array" ref="BX74">IF(AND(BX$2&lt;&gt;0,TblTech[[#This Row],[Hour]:[Hour]]&gt;=BX$2),1,0)</f>
        <v>0</v>
      </c>
      <c r="BY74" s="276" cm="1">
        <f t="array" ref="BY74">IF(AND(BY$2&lt;&gt;0,TblTech[[#This Row],[Hour]:[Hour]]&gt;=BY$2),1,0)</f>
        <v>0</v>
      </c>
      <c r="BZ74" s="276" cm="1">
        <f t="array" ref="BZ74">IF(AND(BZ$2&lt;&gt;0,TblTech[[#This Row],[Hour]:[Hour]]&gt;=BZ$2),1,0)</f>
        <v>0</v>
      </c>
      <c r="CA74" s="377">
        <f>IFERROR(INDEX($H$4:$H$79,MATCH(INDEX(TblTech[[#Headers],[1-1]:[11-1]],1,MATCH(TblTech[[#This Row],[Hour]],$M$2:$BZ$2,0)),$G$4:$G$79,0)),)</f>
        <v>0</v>
      </c>
    </row>
    <row r="75" spans="1:79" x14ac:dyDescent="0.2">
      <c r="A75" s="268">
        <f>TblRezone[[#This Row],[Hour]]</f>
        <v>72</v>
      </c>
      <c r="B75" s="269">
        <f ca="1">TblExplore[[#This Row],[Land-DB]]</f>
        <v>50</v>
      </c>
      <c r="C75" s="270">
        <f ca="1">TblProd[[#This Row],[Techpoints]]</f>
        <v>0</v>
      </c>
      <c r="D75" s="270">
        <f ca="1">TblProd[[#This Row],[Required]]</f>
        <v>3750</v>
      </c>
      <c r="E75" s="271"/>
      <c r="F75" s="272"/>
      <c r="G75" s="273"/>
      <c r="H75" s="274"/>
      <c r="I75" s="273"/>
      <c r="J75" s="269"/>
      <c r="K75" s="93">
        <f ca="1">IF(TblTech[[#This Row],[Sum of tech]]&lt;&gt;OFFSET(TblTech[[#This Row],[Sum of tech]],-1,0),1,0)</f>
        <v>0</v>
      </c>
      <c r="L75" s="275">
        <f>COUNTIF(TblTech[[#This Row],[1-1]:[11-1]],1)</f>
        <v>0</v>
      </c>
      <c r="M75" s="276" cm="1">
        <f t="array" ref="M75">IF(AND(M$2&lt;&gt;0,TblTech[[#This Row],[Hour]:[Hour]]&gt;=M$2),1,0)</f>
        <v>0</v>
      </c>
      <c r="N75" s="276" cm="1">
        <f t="array" ref="N75">IF(AND(N$2&lt;&gt;0,TblTech[[#This Row],[Hour]:[Hour]]&gt;=N$2),1,0)</f>
        <v>0</v>
      </c>
      <c r="O75" s="276" cm="1">
        <f t="array" ref="O75">IF(AND(O$2&lt;&gt;0,TblTech[[#This Row],[Hour]:[Hour]]&gt;=O$2),1,0)</f>
        <v>0</v>
      </c>
      <c r="P75" s="276" cm="1">
        <f t="array" ref="P75">IF(AND(P$2&lt;&gt;0,TblTech[[#This Row],[Hour]:[Hour]]&gt;=P$2),1,0)</f>
        <v>0</v>
      </c>
      <c r="Q75" s="276" cm="1">
        <f t="array" ref="Q75">IF(AND(Q$2&lt;&gt;0,TblTech[[#This Row],[Hour]:[Hour]]&gt;=Q$2),1,0)</f>
        <v>0</v>
      </c>
      <c r="R75" s="276" cm="1">
        <f t="array" ref="R75">IF(AND(R$2&lt;&gt;0,TblTech[[#This Row],[Hour]:[Hour]]&gt;=R$2),1,0)</f>
        <v>0</v>
      </c>
      <c r="S75" s="276" cm="1">
        <f t="array" ref="S75">IF(AND(S$2&lt;&gt;0,TblTech[[#This Row],[Hour]:[Hour]]&gt;=S$2),1,0)</f>
        <v>0</v>
      </c>
      <c r="T75" s="276" cm="1">
        <f t="array" ref="T75">IF(AND(T$2&lt;&gt;0,TblTech[[#This Row],[Hour]:[Hour]]&gt;=T$2),1,0)</f>
        <v>0</v>
      </c>
      <c r="U75" s="276" cm="1">
        <f t="array" ref="U75">IF(AND(U$2&lt;&gt;0,TblTech[[#This Row],[Hour]:[Hour]]&gt;=U$2),1,0)</f>
        <v>0</v>
      </c>
      <c r="V75" s="276" cm="1">
        <f t="array" ref="V75">IF(AND(V$2&lt;&gt;0,TblTech[[#This Row],[Hour]:[Hour]]&gt;=V$2),1,0)</f>
        <v>0</v>
      </c>
      <c r="W75" s="276" cm="1">
        <f t="array" ref="W75">IF(AND(W$2&lt;&gt;0,TblTech[[#This Row],[Hour]:[Hour]]&gt;=W$2),1,0)</f>
        <v>0</v>
      </c>
      <c r="X75" s="276" cm="1">
        <f t="array" ref="X75">IF(AND(X$2&lt;&gt;0,TblTech[[#This Row],[Hour]:[Hour]]&gt;=X$2),1,0)</f>
        <v>0</v>
      </c>
      <c r="Y75" s="276" cm="1">
        <f t="array" ref="Y75">IF(AND(Y$2&lt;&gt;0,TblTech[[#This Row],[Hour]:[Hour]]&gt;=Y$2),1,0)</f>
        <v>0</v>
      </c>
      <c r="Z75" s="276" cm="1">
        <f t="array" ref="Z75">IF(AND(Z$2&lt;&gt;0,TblTech[[#This Row],[Hour]:[Hour]]&gt;=Z$2),1,0)</f>
        <v>0</v>
      </c>
      <c r="AA75" s="276" cm="1">
        <f t="array" ref="AA75">IF(AND(AA$2&lt;&gt;0,TblTech[[#This Row],[Hour]:[Hour]]&gt;=AA$2),1,0)</f>
        <v>0</v>
      </c>
      <c r="AB75" s="276" cm="1">
        <f t="array" ref="AB75">IF(AND(AB$2&lt;&gt;0,TblTech[[#This Row],[Hour]:[Hour]]&gt;=AB$2),1,0)</f>
        <v>0</v>
      </c>
      <c r="AC75" s="276" cm="1">
        <f t="array" ref="AC75">IF(AND(AC$2&lt;&gt;0,TblTech[[#This Row],[Hour]:[Hour]]&gt;=AC$2),1,0)</f>
        <v>0</v>
      </c>
      <c r="AD75" s="276" cm="1">
        <f t="array" ref="AD75">IF(AND(AD$2&lt;&gt;0,TblTech[[#This Row],[Hour]:[Hour]]&gt;=AD$2),1,0)</f>
        <v>0</v>
      </c>
      <c r="AE75" s="276" cm="1">
        <f t="array" ref="AE75">IF(AND(AE$2&lt;&gt;0,TblTech[[#This Row],[Hour]:[Hour]]&gt;=AE$2),1,0)</f>
        <v>0</v>
      </c>
      <c r="AF75" s="276" cm="1">
        <f t="array" ref="AF75">IF(AND(AF$2&lt;&gt;0,TblTech[[#This Row],[Hour]:[Hour]]&gt;=AF$2),1,0)</f>
        <v>0</v>
      </c>
      <c r="AG75" s="276" cm="1">
        <f t="array" ref="AG75">IF(AND(AG$2&lt;&gt;0,TblTech[[#This Row],[Hour]:[Hour]]&gt;=AG$2),1,0)</f>
        <v>0</v>
      </c>
      <c r="AH75" s="276" cm="1">
        <f t="array" ref="AH75">IF(AND(AH$2&lt;&gt;0,TblTech[[#This Row],[Hour]:[Hour]]&gt;=AH$2),1,0)</f>
        <v>0</v>
      </c>
      <c r="AI75" s="276" cm="1">
        <f t="array" ref="AI75">IF(AND(AI$2&lt;&gt;0,TblTech[[#This Row],[Hour]:[Hour]]&gt;=AI$2),1,0)</f>
        <v>0</v>
      </c>
      <c r="AJ75" s="276" cm="1">
        <f t="array" ref="AJ75">IF(AND(AJ$2&lt;&gt;0,TblTech[[#This Row],[Hour]:[Hour]]&gt;=AJ$2),1,0)</f>
        <v>0</v>
      </c>
      <c r="AK75" s="276" cm="1">
        <f t="array" ref="AK75">IF(AND(AK$2&lt;&gt;0,TblTech[[#This Row],[Hour]:[Hour]]&gt;=AK$2),1,0)</f>
        <v>0</v>
      </c>
      <c r="AL75" s="276" cm="1">
        <f t="array" ref="AL75">IF(AND(AL$2&lt;&gt;0,TblTech[[#This Row],[Hour]:[Hour]]&gt;=AL$2),1,0)</f>
        <v>0</v>
      </c>
      <c r="AM75" s="276" cm="1">
        <f t="array" ref="AM75">IF(AND(AM$2&lt;&gt;0,TblTech[[#This Row],[Hour]:[Hour]]&gt;=AM$2),1,0)</f>
        <v>0</v>
      </c>
      <c r="AN75" s="276" cm="1">
        <f t="array" ref="AN75">IF(AND(AN$2&lt;&gt;0,TblTech[[#This Row],[Hour]:[Hour]]&gt;=AN$2),1,0)</f>
        <v>0</v>
      </c>
      <c r="AO75" s="276" cm="1">
        <f t="array" ref="AO75">IF(AND(AO$2&lt;&gt;0,TblTech[[#This Row],[Hour]:[Hour]]&gt;=AO$2),1,0)</f>
        <v>0</v>
      </c>
      <c r="AP75" s="276" cm="1">
        <f t="array" ref="AP75">IF(AND(AP$2&lt;&gt;0,TblTech[[#This Row],[Hour]:[Hour]]&gt;=AP$2),1,0)</f>
        <v>0</v>
      </c>
      <c r="AQ75" s="276" cm="1">
        <f t="array" ref="AQ75">IF(AND(AQ$2&lt;&gt;0,TblTech[[#This Row],[Hour]:[Hour]]&gt;=AQ$2),1,0)</f>
        <v>0</v>
      </c>
      <c r="AR75" s="276" cm="1">
        <f t="array" ref="AR75">IF(AND(AR$2&lt;&gt;0,TblTech[[#This Row],[Hour]:[Hour]]&gt;=AR$2),1,0)</f>
        <v>0</v>
      </c>
      <c r="AS75" s="276" cm="1">
        <f t="array" ref="AS75">IF(AND(AS$2&lt;&gt;0,TblTech[[#This Row],[Hour]:[Hour]]&gt;=AS$2),1,0)</f>
        <v>0</v>
      </c>
      <c r="AT75" s="276" cm="1">
        <f t="array" ref="AT75">IF(AND(AT$2&lt;&gt;0,TblTech[[#This Row],[Hour]:[Hour]]&gt;=AT$2),1,0)</f>
        <v>0</v>
      </c>
      <c r="AU75" s="276" cm="1">
        <f t="array" ref="AU75">IF(AND(AU$2&lt;&gt;0,TblTech[[#This Row],[Hour]:[Hour]]&gt;=AU$2),1,0)</f>
        <v>0</v>
      </c>
      <c r="AV75" s="276" cm="1">
        <f t="array" ref="AV75">IF(AND(AV$2&lt;&gt;0,TblTech[[#This Row],[Hour]:[Hour]]&gt;=AV$2),1,0)</f>
        <v>0</v>
      </c>
      <c r="AW75" s="276" cm="1">
        <f t="array" ref="AW75">IF(AND(AW$2&lt;&gt;0,TblTech[[#This Row],[Hour]:[Hour]]&gt;=AW$2),1,0)</f>
        <v>0</v>
      </c>
      <c r="AX75" s="276" cm="1">
        <f t="array" ref="AX75">IF(AND(AX$2&lt;&gt;0,TblTech[[#This Row],[Hour]:[Hour]]&gt;=AX$2),1,0)</f>
        <v>0</v>
      </c>
      <c r="AY75" s="276" cm="1">
        <f t="array" ref="AY75">IF(AND(AY$2&lt;&gt;0,TblTech[[#This Row],[Hour]:[Hour]]&gt;=AY$2),1,0)</f>
        <v>0</v>
      </c>
      <c r="AZ75" s="276" cm="1">
        <f t="array" ref="AZ75">IF(AND(AZ$2&lt;&gt;0,TblTech[[#This Row],[Hour]:[Hour]]&gt;=AZ$2),1,0)</f>
        <v>0</v>
      </c>
      <c r="BA75" s="276" cm="1">
        <f t="array" ref="BA75">IF(AND(BA$2&lt;&gt;0,TblTech[[#This Row],[Hour]:[Hour]]&gt;=BA$2),1,0)</f>
        <v>0</v>
      </c>
      <c r="BB75" s="276" cm="1">
        <f t="array" ref="BB75">IF(AND(BB$2&lt;&gt;0,TblTech[[#This Row],[Hour]:[Hour]]&gt;=BB$2),1,0)</f>
        <v>0</v>
      </c>
      <c r="BC75" s="276" cm="1">
        <f t="array" ref="BC75">IF(AND(BC$2&lt;&gt;0,TblTech[[#This Row],[Hour]:[Hour]]&gt;=BC$2),1,0)</f>
        <v>0</v>
      </c>
      <c r="BD75" s="276" cm="1">
        <f t="array" ref="BD75">IF(AND(BD$2&lt;&gt;0,TblTech[[#This Row],[Hour]:[Hour]]&gt;=BD$2),1,0)</f>
        <v>0</v>
      </c>
      <c r="BE75" s="276" cm="1">
        <f t="array" ref="BE75">IF(AND(BE$2&lt;&gt;0,TblTech[[#This Row],[Hour]:[Hour]]&gt;=BE$2),1,0)</f>
        <v>0</v>
      </c>
      <c r="BF75" s="276" cm="1">
        <f t="array" ref="BF75">IF(AND(BF$2&lt;&gt;0,TblTech[[#This Row],[Hour]:[Hour]]&gt;=BF$2),1,0)</f>
        <v>0</v>
      </c>
      <c r="BG75" s="276" cm="1">
        <f t="array" ref="BG75">IF(AND(BG$2&lt;&gt;0,TblTech[[#This Row],[Hour]:[Hour]]&gt;=BG$2),1,0)</f>
        <v>0</v>
      </c>
      <c r="BH75" s="276" cm="1">
        <f t="array" ref="BH75">IF(AND(BH$2&lt;&gt;0,TblTech[[#This Row],[Hour]:[Hour]]&gt;=BH$2),1,0)</f>
        <v>0</v>
      </c>
      <c r="BI75" s="276" cm="1">
        <f t="array" ref="BI75">IF(AND(BI$2&lt;&gt;0,TblTech[[#This Row],[Hour]:[Hour]]&gt;=BI$2),1,0)</f>
        <v>0</v>
      </c>
      <c r="BJ75" s="276" cm="1">
        <f t="array" ref="BJ75">IF(AND(BJ$2&lt;&gt;0,TblTech[[#This Row],[Hour]:[Hour]]&gt;=BJ$2),1,0)</f>
        <v>0</v>
      </c>
      <c r="BK75" s="276" cm="1">
        <f t="array" ref="BK75">IF(AND(BK$2&lt;&gt;0,TblTech[[#This Row],[Hour]:[Hour]]&gt;=BK$2),1,0)</f>
        <v>0</v>
      </c>
      <c r="BL75" s="276" cm="1">
        <f t="array" ref="BL75">IF(AND(BL$2&lt;&gt;0,TblTech[[#This Row],[Hour]:[Hour]]&gt;=BL$2),1,0)</f>
        <v>0</v>
      </c>
      <c r="BM75" s="276" cm="1">
        <f t="array" ref="BM75">IF(AND(BM$2&lt;&gt;0,TblTech[[#This Row],[Hour]:[Hour]]&gt;=BM$2),1,0)</f>
        <v>0</v>
      </c>
      <c r="BN75" s="276" cm="1">
        <f t="array" ref="BN75">IF(AND(BN$2&lt;&gt;0,TblTech[[#This Row],[Hour]:[Hour]]&gt;=BN$2),1,0)</f>
        <v>0</v>
      </c>
      <c r="BO75" s="276" cm="1">
        <f t="array" ref="BO75">IF(AND(BO$2&lt;&gt;0,TblTech[[#This Row],[Hour]:[Hour]]&gt;=BO$2),1,0)</f>
        <v>0</v>
      </c>
      <c r="BP75" s="276" cm="1">
        <f t="array" ref="BP75">IF(AND(BP$2&lt;&gt;0,TblTech[[#This Row],[Hour]:[Hour]]&gt;=BP$2),1,0)</f>
        <v>0</v>
      </c>
      <c r="BQ75" s="276" cm="1">
        <f t="array" ref="BQ75">IF(AND(BQ$2&lt;&gt;0,TblTech[[#This Row],[Hour]:[Hour]]&gt;=BQ$2),1,0)</f>
        <v>0</v>
      </c>
      <c r="BR75" s="276" cm="1">
        <f t="array" ref="BR75">IF(AND(BR$2&lt;&gt;0,TblTech[[#This Row],[Hour]:[Hour]]&gt;=BR$2),1,0)</f>
        <v>0</v>
      </c>
      <c r="BS75" s="276" cm="1">
        <f t="array" ref="BS75">IF(AND(BS$2&lt;&gt;0,TblTech[[#This Row],[Hour]:[Hour]]&gt;=BS$2),1,0)</f>
        <v>0</v>
      </c>
      <c r="BT75" s="276" cm="1">
        <f t="array" ref="BT75">IF(AND(BT$2&lt;&gt;0,TblTech[[#This Row],[Hour]:[Hour]]&gt;=BT$2),1,0)</f>
        <v>0</v>
      </c>
      <c r="BU75" s="276" cm="1">
        <f t="array" ref="BU75">IF(AND(BU$2&lt;&gt;0,TblTech[[#This Row],[Hour]:[Hour]]&gt;=BU$2),1,0)</f>
        <v>0</v>
      </c>
      <c r="BV75" s="276" cm="1">
        <f t="array" ref="BV75">IF(AND(BV$2&lt;&gt;0,TblTech[[#This Row],[Hour]:[Hour]]&gt;=BV$2),1,0)</f>
        <v>0</v>
      </c>
      <c r="BW75" s="276" cm="1">
        <f t="array" ref="BW75">IF(AND(BW$2&lt;&gt;0,TblTech[[#This Row],[Hour]:[Hour]]&gt;=BW$2),1,0)</f>
        <v>0</v>
      </c>
      <c r="BX75" s="276" cm="1">
        <f t="array" ref="BX75">IF(AND(BX$2&lt;&gt;0,TblTech[[#This Row],[Hour]:[Hour]]&gt;=BX$2),1,0)</f>
        <v>0</v>
      </c>
      <c r="BY75" s="276" cm="1">
        <f t="array" ref="BY75">IF(AND(BY$2&lt;&gt;0,TblTech[[#This Row],[Hour]:[Hour]]&gt;=BY$2),1,0)</f>
        <v>0</v>
      </c>
      <c r="BZ75" s="276" cm="1">
        <f t="array" ref="BZ75">IF(AND(BZ$2&lt;&gt;0,TblTech[[#This Row],[Hour]:[Hour]]&gt;=BZ$2),1,0)</f>
        <v>0</v>
      </c>
      <c r="CA75" s="377">
        <f>IFERROR(INDEX($H$4:$H$79,MATCH(INDEX(TblTech[[#Headers],[1-1]:[11-1]],1,MATCH(TblTech[[#This Row],[Hour]],$M$2:$BZ$2,0)),$G$4:$G$79,0)),)</f>
        <v>0</v>
      </c>
    </row>
    <row r="76" spans="1:79" x14ac:dyDescent="0.2">
      <c r="A76" s="268">
        <f>TblRezone[[#This Row],[Hour]]</f>
        <v>73</v>
      </c>
      <c r="B76" s="269">
        <f ca="1">TblExplore[[#This Row],[Land-DB]]</f>
        <v>50</v>
      </c>
      <c r="C76" s="270">
        <f ca="1">TblProd[[#This Row],[Techpoints]]</f>
        <v>0</v>
      </c>
      <c r="D76" s="270">
        <f ca="1">TblProd[[#This Row],[Required]]</f>
        <v>3750</v>
      </c>
      <c r="E76" s="271"/>
      <c r="F76" s="272"/>
      <c r="G76" s="273" t="s">
        <v>618</v>
      </c>
      <c r="H76" s="274" t="s">
        <v>722</v>
      </c>
      <c r="I76" s="273" t="s">
        <v>603</v>
      </c>
      <c r="J76" s="269"/>
      <c r="K76" s="93">
        <f ca="1">IF(TblTech[[#This Row],[Sum of tech]]&lt;&gt;OFFSET(TblTech[[#This Row],[Sum of tech]],-1,0),1,0)</f>
        <v>0</v>
      </c>
      <c r="L76" s="275">
        <f>COUNTIF(TblTech[[#This Row],[1-1]:[11-1]],1)</f>
        <v>0</v>
      </c>
      <c r="M76" s="276" cm="1">
        <f t="array" ref="M76">IF(AND(M$2&lt;&gt;0,TblTech[[#This Row],[Hour]:[Hour]]&gt;=M$2),1,0)</f>
        <v>0</v>
      </c>
      <c r="N76" s="276" cm="1">
        <f t="array" ref="N76">IF(AND(N$2&lt;&gt;0,TblTech[[#This Row],[Hour]:[Hour]]&gt;=N$2),1,0)</f>
        <v>0</v>
      </c>
      <c r="O76" s="276" cm="1">
        <f t="array" ref="O76">IF(AND(O$2&lt;&gt;0,TblTech[[#This Row],[Hour]:[Hour]]&gt;=O$2),1,0)</f>
        <v>0</v>
      </c>
      <c r="P76" s="276" cm="1">
        <f t="array" ref="P76">IF(AND(P$2&lt;&gt;0,TblTech[[#This Row],[Hour]:[Hour]]&gt;=P$2),1,0)</f>
        <v>0</v>
      </c>
      <c r="Q76" s="276" cm="1">
        <f t="array" ref="Q76">IF(AND(Q$2&lt;&gt;0,TblTech[[#This Row],[Hour]:[Hour]]&gt;=Q$2),1,0)</f>
        <v>0</v>
      </c>
      <c r="R76" s="276" cm="1">
        <f t="array" ref="R76">IF(AND(R$2&lt;&gt;0,TblTech[[#This Row],[Hour]:[Hour]]&gt;=R$2),1,0)</f>
        <v>0</v>
      </c>
      <c r="S76" s="276" cm="1">
        <f t="array" ref="S76">IF(AND(S$2&lt;&gt;0,TblTech[[#This Row],[Hour]:[Hour]]&gt;=S$2),1,0)</f>
        <v>0</v>
      </c>
      <c r="T76" s="276" cm="1">
        <f t="array" ref="T76">IF(AND(T$2&lt;&gt;0,TblTech[[#This Row],[Hour]:[Hour]]&gt;=T$2),1,0)</f>
        <v>0</v>
      </c>
      <c r="U76" s="276" cm="1">
        <f t="array" ref="U76">IF(AND(U$2&lt;&gt;0,TblTech[[#This Row],[Hour]:[Hour]]&gt;=U$2),1,0)</f>
        <v>0</v>
      </c>
      <c r="V76" s="276" cm="1">
        <f t="array" ref="V76">IF(AND(V$2&lt;&gt;0,TblTech[[#This Row],[Hour]:[Hour]]&gt;=V$2),1,0)</f>
        <v>0</v>
      </c>
      <c r="W76" s="276" cm="1">
        <f t="array" ref="W76">IF(AND(W$2&lt;&gt;0,TblTech[[#This Row],[Hour]:[Hour]]&gt;=W$2),1,0)</f>
        <v>0</v>
      </c>
      <c r="X76" s="276" cm="1">
        <f t="array" ref="X76">IF(AND(X$2&lt;&gt;0,TblTech[[#This Row],[Hour]:[Hour]]&gt;=X$2),1,0)</f>
        <v>0</v>
      </c>
      <c r="Y76" s="276" cm="1">
        <f t="array" ref="Y76">IF(AND(Y$2&lt;&gt;0,TblTech[[#This Row],[Hour]:[Hour]]&gt;=Y$2),1,0)</f>
        <v>0</v>
      </c>
      <c r="Z76" s="276" cm="1">
        <f t="array" ref="Z76">IF(AND(Z$2&lt;&gt;0,TblTech[[#This Row],[Hour]:[Hour]]&gt;=Z$2),1,0)</f>
        <v>0</v>
      </c>
      <c r="AA76" s="276" cm="1">
        <f t="array" ref="AA76">IF(AND(AA$2&lt;&gt;0,TblTech[[#This Row],[Hour]:[Hour]]&gt;=AA$2),1,0)</f>
        <v>0</v>
      </c>
      <c r="AB76" s="276" cm="1">
        <f t="array" ref="AB76">IF(AND(AB$2&lt;&gt;0,TblTech[[#This Row],[Hour]:[Hour]]&gt;=AB$2),1,0)</f>
        <v>0</v>
      </c>
      <c r="AC76" s="276" cm="1">
        <f t="array" ref="AC76">IF(AND(AC$2&lt;&gt;0,TblTech[[#This Row],[Hour]:[Hour]]&gt;=AC$2),1,0)</f>
        <v>0</v>
      </c>
      <c r="AD76" s="276" cm="1">
        <f t="array" ref="AD76">IF(AND(AD$2&lt;&gt;0,TblTech[[#This Row],[Hour]:[Hour]]&gt;=AD$2),1,0)</f>
        <v>0</v>
      </c>
      <c r="AE76" s="276" cm="1">
        <f t="array" ref="AE76">IF(AND(AE$2&lt;&gt;0,TblTech[[#This Row],[Hour]:[Hour]]&gt;=AE$2),1,0)</f>
        <v>0</v>
      </c>
      <c r="AF76" s="276" cm="1">
        <f t="array" ref="AF76">IF(AND(AF$2&lt;&gt;0,TblTech[[#This Row],[Hour]:[Hour]]&gt;=AF$2),1,0)</f>
        <v>0</v>
      </c>
      <c r="AG76" s="276" cm="1">
        <f t="array" ref="AG76">IF(AND(AG$2&lt;&gt;0,TblTech[[#This Row],[Hour]:[Hour]]&gt;=AG$2),1,0)</f>
        <v>0</v>
      </c>
      <c r="AH76" s="276" cm="1">
        <f t="array" ref="AH76">IF(AND(AH$2&lt;&gt;0,TblTech[[#This Row],[Hour]:[Hour]]&gt;=AH$2),1,0)</f>
        <v>0</v>
      </c>
      <c r="AI76" s="276" cm="1">
        <f t="array" ref="AI76">IF(AND(AI$2&lt;&gt;0,TblTech[[#This Row],[Hour]:[Hour]]&gt;=AI$2),1,0)</f>
        <v>0</v>
      </c>
      <c r="AJ76" s="276" cm="1">
        <f t="array" ref="AJ76">IF(AND(AJ$2&lt;&gt;0,TblTech[[#This Row],[Hour]:[Hour]]&gt;=AJ$2),1,0)</f>
        <v>0</v>
      </c>
      <c r="AK76" s="276" cm="1">
        <f t="array" ref="AK76">IF(AND(AK$2&lt;&gt;0,TblTech[[#This Row],[Hour]:[Hour]]&gt;=AK$2),1,0)</f>
        <v>0</v>
      </c>
      <c r="AL76" s="276" cm="1">
        <f t="array" ref="AL76">IF(AND(AL$2&lt;&gt;0,TblTech[[#This Row],[Hour]:[Hour]]&gt;=AL$2),1,0)</f>
        <v>0</v>
      </c>
      <c r="AM76" s="276" cm="1">
        <f t="array" ref="AM76">IF(AND(AM$2&lt;&gt;0,TblTech[[#This Row],[Hour]:[Hour]]&gt;=AM$2),1,0)</f>
        <v>0</v>
      </c>
      <c r="AN76" s="276" cm="1">
        <f t="array" ref="AN76">IF(AND(AN$2&lt;&gt;0,TblTech[[#This Row],[Hour]:[Hour]]&gt;=AN$2),1,0)</f>
        <v>0</v>
      </c>
      <c r="AO76" s="276" cm="1">
        <f t="array" ref="AO76">IF(AND(AO$2&lt;&gt;0,TblTech[[#This Row],[Hour]:[Hour]]&gt;=AO$2),1,0)</f>
        <v>0</v>
      </c>
      <c r="AP76" s="276" cm="1">
        <f t="array" ref="AP76">IF(AND(AP$2&lt;&gt;0,TblTech[[#This Row],[Hour]:[Hour]]&gt;=AP$2),1,0)</f>
        <v>0</v>
      </c>
      <c r="AQ76" s="276" cm="1">
        <f t="array" ref="AQ76">IF(AND(AQ$2&lt;&gt;0,TblTech[[#This Row],[Hour]:[Hour]]&gt;=AQ$2),1,0)</f>
        <v>0</v>
      </c>
      <c r="AR76" s="276" cm="1">
        <f t="array" ref="AR76">IF(AND(AR$2&lt;&gt;0,TblTech[[#This Row],[Hour]:[Hour]]&gt;=AR$2),1,0)</f>
        <v>0</v>
      </c>
      <c r="AS76" s="276" cm="1">
        <f t="array" ref="AS76">IF(AND(AS$2&lt;&gt;0,TblTech[[#This Row],[Hour]:[Hour]]&gt;=AS$2),1,0)</f>
        <v>0</v>
      </c>
      <c r="AT76" s="276" cm="1">
        <f t="array" ref="AT76">IF(AND(AT$2&lt;&gt;0,TblTech[[#This Row],[Hour]:[Hour]]&gt;=AT$2),1,0)</f>
        <v>0</v>
      </c>
      <c r="AU76" s="276" cm="1">
        <f t="array" ref="AU76">IF(AND(AU$2&lt;&gt;0,TblTech[[#This Row],[Hour]:[Hour]]&gt;=AU$2),1,0)</f>
        <v>0</v>
      </c>
      <c r="AV76" s="276" cm="1">
        <f t="array" ref="AV76">IF(AND(AV$2&lt;&gt;0,TblTech[[#This Row],[Hour]:[Hour]]&gt;=AV$2),1,0)</f>
        <v>0</v>
      </c>
      <c r="AW76" s="276" cm="1">
        <f t="array" ref="AW76">IF(AND(AW$2&lt;&gt;0,TblTech[[#This Row],[Hour]:[Hour]]&gt;=AW$2),1,0)</f>
        <v>0</v>
      </c>
      <c r="AX76" s="276" cm="1">
        <f t="array" ref="AX76">IF(AND(AX$2&lt;&gt;0,TblTech[[#This Row],[Hour]:[Hour]]&gt;=AX$2),1,0)</f>
        <v>0</v>
      </c>
      <c r="AY76" s="276" cm="1">
        <f t="array" ref="AY76">IF(AND(AY$2&lt;&gt;0,TblTech[[#This Row],[Hour]:[Hour]]&gt;=AY$2),1,0)</f>
        <v>0</v>
      </c>
      <c r="AZ76" s="276" cm="1">
        <f t="array" ref="AZ76">IF(AND(AZ$2&lt;&gt;0,TblTech[[#This Row],[Hour]:[Hour]]&gt;=AZ$2),1,0)</f>
        <v>0</v>
      </c>
      <c r="BA76" s="276" cm="1">
        <f t="array" ref="BA76">IF(AND(BA$2&lt;&gt;0,TblTech[[#This Row],[Hour]:[Hour]]&gt;=BA$2),1,0)</f>
        <v>0</v>
      </c>
      <c r="BB76" s="276" cm="1">
        <f t="array" ref="BB76">IF(AND(BB$2&lt;&gt;0,TblTech[[#This Row],[Hour]:[Hour]]&gt;=BB$2),1,0)</f>
        <v>0</v>
      </c>
      <c r="BC76" s="276" cm="1">
        <f t="array" ref="BC76">IF(AND(BC$2&lt;&gt;0,TblTech[[#This Row],[Hour]:[Hour]]&gt;=BC$2),1,0)</f>
        <v>0</v>
      </c>
      <c r="BD76" s="276" cm="1">
        <f t="array" ref="BD76">IF(AND(BD$2&lt;&gt;0,TblTech[[#This Row],[Hour]:[Hour]]&gt;=BD$2),1,0)</f>
        <v>0</v>
      </c>
      <c r="BE76" s="276" cm="1">
        <f t="array" ref="BE76">IF(AND(BE$2&lt;&gt;0,TblTech[[#This Row],[Hour]:[Hour]]&gt;=BE$2),1,0)</f>
        <v>0</v>
      </c>
      <c r="BF76" s="276" cm="1">
        <f t="array" ref="BF76">IF(AND(BF$2&lt;&gt;0,TblTech[[#This Row],[Hour]:[Hour]]&gt;=BF$2),1,0)</f>
        <v>0</v>
      </c>
      <c r="BG76" s="276" cm="1">
        <f t="array" ref="BG76">IF(AND(BG$2&lt;&gt;0,TblTech[[#This Row],[Hour]:[Hour]]&gt;=BG$2),1,0)</f>
        <v>0</v>
      </c>
      <c r="BH76" s="276" cm="1">
        <f t="array" ref="BH76">IF(AND(BH$2&lt;&gt;0,TblTech[[#This Row],[Hour]:[Hour]]&gt;=BH$2),1,0)</f>
        <v>0</v>
      </c>
      <c r="BI76" s="276" cm="1">
        <f t="array" ref="BI76">IF(AND(BI$2&lt;&gt;0,TblTech[[#This Row],[Hour]:[Hour]]&gt;=BI$2),1,0)</f>
        <v>0</v>
      </c>
      <c r="BJ76" s="276" cm="1">
        <f t="array" ref="BJ76">IF(AND(BJ$2&lt;&gt;0,TblTech[[#This Row],[Hour]:[Hour]]&gt;=BJ$2),1,0)</f>
        <v>0</v>
      </c>
      <c r="BK76" s="276" cm="1">
        <f t="array" ref="BK76">IF(AND(BK$2&lt;&gt;0,TblTech[[#This Row],[Hour]:[Hour]]&gt;=BK$2),1,0)</f>
        <v>0</v>
      </c>
      <c r="BL76" s="276" cm="1">
        <f t="array" ref="BL76">IF(AND(BL$2&lt;&gt;0,TblTech[[#This Row],[Hour]:[Hour]]&gt;=BL$2),1,0)</f>
        <v>0</v>
      </c>
      <c r="BM76" s="276" cm="1">
        <f t="array" ref="BM76">IF(AND(BM$2&lt;&gt;0,TblTech[[#This Row],[Hour]:[Hour]]&gt;=BM$2),1,0)</f>
        <v>0</v>
      </c>
      <c r="BN76" s="276" cm="1">
        <f t="array" ref="BN76">IF(AND(BN$2&lt;&gt;0,TblTech[[#This Row],[Hour]:[Hour]]&gt;=BN$2),1,0)</f>
        <v>0</v>
      </c>
      <c r="BO76" s="276" cm="1">
        <f t="array" ref="BO76">IF(AND(BO$2&lt;&gt;0,TblTech[[#This Row],[Hour]:[Hour]]&gt;=BO$2),1,0)</f>
        <v>0</v>
      </c>
      <c r="BP76" s="276" cm="1">
        <f t="array" ref="BP76">IF(AND(BP$2&lt;&gt;0,TblTech[[#This Row],[Hour]:[Hour]]&gt;=BP$2),1,0)</f>
        <v>0</v>
      </c>
      <c r="BQ76" s="276" cm="1">
        <f t="array" ref="BQ76">IF(AND(BQ$2&lt;&gt;0,TblTech[[#This Row],[Hour]:[Hour]]&gt;=BQ$2),1,0)</f>
        <v>0</v>
      </c>
      <c r="BR76" s="276" cm="1">
        <f t="array" ref="BR76">IF(AND(BR$2&lt;&gt;0,TblTech[[#This Row],[Hour]:[Hour]]&gt;=BR$2),1,0)</f>
        <v>0</v>
      </c>
      <c r="BS76" s="276" cm="1">
        <f t="array" ref="BS76">IF(AND(BS$2&lt;&gt;0,TblTech[[#This Row],[Hour]:[Hour]]&gt;=BS$2),1,0)</f>
        <v>0</v>
      </c>
      <c r="BT76" s="276" cm="1">
        <f t="array" ref="BT76">IF(AND(BT$2&lt;&gt;0,TblTech[[#This Row],[Hour]:[Hour]]&gt;=BT$2),1,0)</f>
        <v>0</v>
      </c>
      <c r="BU76" s="276" cm="1">
        <f t="array" ref="BU76">IF(AND(BU$2&lt;&gt;0,TblTech[[#This Row],[Hour]:[Hour]]&gt;=BU$2),1,0)</f>
        <v>0</v>
      </c>
      <c r="BV76" s="276" cm="1">
        <f t="array" ref="BV76">IF(AND(BV$2&lt;&gt;0,TblTech[[#This Row],[Hour]:[Hour]]&gt;=BV$2),1,0)</f>
        <v>0</v>
      </c>
      <c r="BW76" s="276" cm="1">
        <f t="array" ref="BW76">IF(AND(BW$2&lt;&gt;0,TblTech[[#This Row],[Hour]:[Hour]]&gt;=BW$2),1,0)</f>
        <v>0</v>
      </c>
      <c r="BX76" s="276" cm="1">
        <f t="array" ref="BX76">IF(AND(BX$2&lt;&gt;0,TblTech[[#This Row],[Hour]:[Hour]]&gt;=BX$2),1,0)</f>
        <v>0</v>
      </c>
      <c r="BY76" s="276" cm="1">
        <f t="array" ref="BY76">IF(AND(BY$2&lt;&gt;0,TblTech[[#This Row],[Hour]:[Hour]]&gt;=BY$2),1,0)</f>
        <v>0</v>
      </c>
      <c r="BZ76" s="276" cm="1">
        <f t="array" ref="BZ76">IF(AND(BZ$2&lt;&gt;0,TblTech[[#This Row],[Hour]:[Hour]]&gt;=BZ$2),1,0)</f>
        <v>0</v>
      </c>
      <c r="CA76" s="377">
        <f>IFERROR(INDEX($H$4:$H$79,MATCH(INDEX(TblTech[[#Headers],[1-1]:[11-1]],1,MATCH(TblTech[[#This Row],[Hour]],$M$2:$BZ$2,0)),$G$4:$G$79,0)),)</f>
        <v>0</v>
      </c>
    </row>
    <row r="77" spans="1:79" x14ac:dyDescent="0.2">
      <c r="A77" s="268">
        <f>TblRezone[[#This Row],[Hour]]</f>
        <v>74</v>
      </c>
      <c r="B77" s="269">
        <f ca="1">TblExplore[[#This Row],[Land-DB]]</f>
        <v>50</v>
      </c>
      <c r="C77" s="270">
        <f ca="1">TblProd[[#This Row],[Techpoints]]</f>
        <v>0</v>
      </c>
      <c r="D77" s="270">
        <f ca="1">TblProd[[#This Row],[Required]]</f>
        <v>3750</v>
      </c>
      <c r="E77" s="271"/>
      <c r="F77" s="272"/>
      <c r="G77" s="273" t="s">
        <v>620</v>
      </c>
      <c r="H77" s="274" t="s">
        <v>732</v>
      </c>
      <c r="I77" s="273" t="s">
        <v>619</v>
      </c>
      <c r="J77" s="269"/>
      <c r="K77" s="93">
        <f ca="1">IF(TblTech[[#This Row],[Sum of tech]]&lt;&gt;OFFSET(TblTech[[#This Row],[Sum of tech]],-1,0),1,0)</f>
        <v>0</v>
      </c>
      <c r="L77" s="275">
        <f>COUNTIF(TblTech[[#This Row],[1-1]:[11-1]],1)</f>
        <v>0</v>
      </c>
      <c r="M77" s="276" cm="1">
        <f t="array" ref="M77">IF(AND(M$2&lt;&gt;0,TblTech[[#This Row],[Hour]:[Hour]]&gt;=M$2),1,0)</f>
        <v>0</v>
      </c>
      <c r="N77" s="276" cm="1">
        <f t="array" ref="N77">IF(AND(N$2&lt;&gt;0,TblTech[[#This Row],[Hour]:[Hour]]&gt;=N$2),1,0)</f>
        <v>0</v>
      </c>
      <c r="O77" s="276" cm="1">
        <f t="array" ref="O77">IF(AND(O$2&lt;&gt;0,TblTech[[#This Row],[Hour]:[Hour]]&gt;=O$2),1,0)</f>
        <v>0</v>
      </c>
      <c r="P77" s="276" cm="1">
        <f t="array" ref="P77">IF(AND(P$2&lt;&gt;0,TblTech[[#This Row],[Hour]:[Hour]]&gt;=P$2),1,0)</f>
        <v>0</v>
      </c>
      <c r="Q77" s="276" cm="1">
        <f t="array" ref="Q77">IF(AND(Q$2&lt;&gt;0,TblTech[[#This Row],[Hour]:[Hour]]&gt;=Q$2),1,0)</f>
        <v>0</v>
      </c>
      <c r="R77" s="276" cm="1">
        <f t="array" ref="R77">IF(AND(R$2&lt;&gt;0,TblTech[[#This Row],[Hour]:[Hour]]&gt;=R$2),1,0)</f>
        <v>0</v>
      </c>
      <c r="S77" s="276" cm="1">
        <f t="array" ref="S77">IF(AND(S$2&lt;&gt;0,TblTech[[#This Row],[Hour]:[Hour]]&gt;=S$2),1,0)</f>
        <v>0</v>
      </c>
      <c r="T77" s="276" cm="1">
        <f t="array" ref="T77">IF(AND(T$2&lt;&gt;0,TblTech[[#This Row],[Hour]:[Hour]]&gt;=T$2),1,0)</f>
        <v>0</v>
      </c>
      <c r="U77" s="276" cm="1">
        <f t="array" ref="U77">IF(AND(U$2&lt;&gt;0,TblTech[[#This Row],[Hour]:[Hour]]&gt;=U$2),1,0)</f>
        <v>0</v>
      </c>
      <c r="V77" s="276" cm="1">
        <f t="array" ref="V77">IF(AND(V$2&lt;&gt;0,TblTech[[#This Row],[Hour]:[Hour]]&gt;=V$2),1,0)</f>
        <v>0</v>
      </c>
      <c r="W77" s="276" cm="1">
        <f t="array" ref="W77">IF(AND(W$2&lt;&gt;0,TblTech[[#This Row],[Hour]:[Hour]]&gt;=W$2),1,0)</f>
        <v>0</v>
      </c>
      <c r="X77" s="276" cm="1">
        <f t="array" ref="X77">IF(AND(X$2&lt;&gt;0,TblTech[[#This Row],[Hour]:[Hour]]&gt;=X$2),1,0)</f>
        <v>0</v>
      </c>
      <c r="Y77" s="276" cm="1">
        <f t="array" ref="Y77">IF(AND(Y$2&lt;&gt;0,TblTech[[#This Row],[Hour]:[Hour]]&gt;=Y$2),1,0)</f>
        <v>0</v>
      </c>
      <c r="Z77" s="276" cm="1">
        <f t="array" ref="Z77">IF(AND(Z$2&lt;&gt;0,TblTech[[#This Row],[Hour]:[Hour]]&gt;=Z$2),1,0)</f>
        <v>0</v>
      </c>
      <c r="AA77" s="276" cm="1">
        <f t="array" ref="AA77">IF(AND(AA$2&lt;&gt;0,TblTech[[#This Row],[Hour]:[Hour]]&gt;=AA$2),1,0)</f>
        <v>0</v>
      </c>
      <c r="AB77" s="276" cm="1">
        <f t="array" ref="AB77">IF(AND(AB$2&lt;&gt;0,TblTech[[#This Row],[Hour]:[Hour]]&gt;=AB$2),1,0)</f>
        <v>0</v>
      </c>
      <c r="AC77" s="276" cm="1">
        <f t="array" ref="AC77">IF(AND(AC$2&lt;&gt;0,TblTech[[#This Row],[Hour]:[Hour]]&gt;=AC$2),1,0)</f>
        <v>0</v>
      </c>
      <c r="AD77" s="276" cm="1">
        <f t="array" ref="AD77">IF(AND(AD$2&lt;&gt;0,TblTech[[#This Row],[Hour]:[Hour]]&gt;=AD$2),1,0)</f>
        <v>0</v>
      </c>
      <c r="AE77" s="276" cm="1">
        <f t="array" ref="AE77">IF(AND(AE$2&lt;&gt;0,TblTech[[#This Row],[Hour]:[Hour]]&gt;=AE$2),1,0)</f>
        <v>0</v>
      </c>
      <c r="AF77" s="276" cm="1">
        <f t="array" ref="AF77">IF(AND(AF$2&lt;&gt;0,TblTech[[#This Row],[Hour]:[Hour]]&gt;=AF$2),1,0)</f>
        <v>0</v>
      </c>
      <c r="AG77" s="276" cm="1">
        <f t="array" ref="AG77">IF(AND(AG$2&lt;&gt;0,TblTech[[#This Row],[Hour]:[Hour]]&gt;=AG$2),1,0)</f>
        <v>0</v>
      </c>
      <c r="AH77" s="276" cm="1">
        <f t="array" ref="AH77">IF(AND(AH$2&lt;&gt;0,TblTech[[#This Row],[Hour]:[Hour]]&gt;=AH$2),1,0)</f>
        <v>0</v>
      </c>
      <c r="AI77" s="276" cm="1">
        <f t="array" ref="AI77">IF(AND(AI$2&lt;&gt;0,TblTech[[#This Row],[Hour]:[Hour]]&gt;=AI$2),1,0)</f>
        <v>0</v>
      </c>
      <c r="AJ77" s="276" cm="1">
        <f t="array" ref="AJ77">IF(AND(AJ$2&lt;&gt;0,TblTech[[#This Row],[Hour]:[Hour]]&gt;=AJ$2),1,0)</f>
        <v>0</v>
      </c>
      <c r="AK77" s="276" cm="1">
        <f t="array" ref="AK77">IF(AND(AK$2&lt;&gt;0,TblTech[[#This Row],[Hour]:[Hour]]&gt;=AK$2),1,0)</f>
        <v>0</v>
      </c>
      <c r="AL77" s="276" cm="1">
        <f t="array" ref="AL77">IF(AND(AL$2&lt;&gt;0,TblTech[[#This Row],[Hour]:[Hour]]&gt;=AL$2),1,0)</f>
        <v>0</v>
      </c>
      <c r="AM77" s="276" cm="1">
        <f t="array" ref="AM77">IF(AND(AM$2&lt;&gt;0,TblTech[[#This Row],[Hour]:[Hour]]&gt;=AM$2),1,0)</f>
        <v>0</v>
      </c>
      <c r="AN77" s="276" cm="1">
        <f t="array" ref="AN77">IF(AND(AN$2&lt;&gt;0,TblTech[[#This Row],[Hour]:[Hour]]&gt;=AN$2),1,0)</f>
        <v>0</v>
      </c>
      <c r="AO77" s="276" cm="1">
        <f t="array" ref="AO77">IF(AND(AO$2&lt;&gt;0,TblTech[[#This Row],[Hour]:[Hour]]&gt;=AO$2),1,0)</f>
        <v>0</v>
      </c>
      <c r="AP77" s="276" cm="1">
        <f t="array" ref="AP77">IF(AND(AP$2&lt;&gt;0,TblTech[[#This Row],[Hour]:[Hour]]&gt;=AP$2),1,0)</f>
        <v>0</v>
      </c>
      <c r="AQ77" s="276" cm="1">
        <f t="array" ref="AQ77">IF(AND(AQ$2&lt;&gt;0,TblTech[[#This Row],[Hour]:[Hour]]&gt;=AQ$2),1,0)</f>
        <v>0</v>
      </c>
      <c r="AR77" s="276" cm="1">
        <f t="array" ref="AR77">IF(AND(AR$2&lt;&gt;0,TblTech[[#This Row],[Hour]:[Hour]]&gt;=AR$2),1,0)</f>
        <v>0</v>
      </c>
      <c r="AS77" s="276" cm="1">
        <f t="array" ref="AS77">IF(AND(AS$2&lt;&gt;0,TblTech[[#This Row],[Hour]:[Hour]]&gt;=AS$2),1,0)</f>
        <v>0</v>
      </c>
      <c r="AT77" s="276" cm="1">
        <f t="array" ref="AT77">IF(AND(AT$2&lt;&gt;0,TblTech[[#This Row],[Hour]:[Hour]]&gt;=AT$2),1,0)</f>
        <v>0</v>
      </c>
      <c r="AU77" s="276" cm="1">
        <f t="array" ref="AU77">IF(AND(AU$2&lt;&gt;0,TblTech[[#This Row],[Hour]:[Hour]]&gt;=AU$2),1,0)</f>
        <v>0</v>
      </c>
      <c r="AV77" s="276" cm="1">
        <f t="array" ref="AV77">IF(AND(AV$2&lt;&gt;0,TblTech[[#This Row],[Hour]:[Hour]]&gt;=AV$2),1,0)</f>
        <v>0</v>
      </c>
      <c r="AW77" s="276" cm="1">
        <f t="array" ref="AW77">IF(AND(AW$2&lt;&gt;0,TblTech[[#This Row],[Hour]:[Hour]]&gt;=AW$2),1,0)</f>
        <v>0</v>
      </c>
      <c r="AX77" s="276" cm="1">
        <f t="array" ref="AX77">IF(AND(AX$2&lt;&gt;0,TblTech[[#This Row],[Hour]:[Hour]]&gt;=AX$2),1,0)</f>
        <v>0</v>
      </c>
      <c r="AY77" s="276" cm="1">
        <f t="array" ref="AY77">IF(AND(AY$2&lt;&gt;0,TblTech[[#This Row],[Hour]:[Hour]]&gt;=AY$2),1,0)</f>
        <v>0</v>
      </c>
      <c r="AZ77" s="276" cm="1">
        <f t="array" ref="AZ77">IF(AND(AZ$2&lt;&gt;0,TblTech[[#This Row],[Hour]:[Hour]]&gt;=AZ$2),1,0)</f>
        <v>0</v>
      </c>
      <c r="BA77" s="276" cm="1">
        <f t="array" ref="BA77">IF(AND(BA$2&lt;&gt;0,TblTech[[#This Row],[Hour]:[Hour]]&gt;=BA$2),1,0)</f>
        <v>0</v>
      </c>
      <c r="BB77" s="276" cm="1">
        <f t="array" ref="BB77">IF(AND(BB$2&lt;&gt;0,TblTech[[#This Row],[Hour]:[Hour]]&gt;=BB$2),1,0)</f>
        <v>0</v>
      </c>
      <c r="BC77" s="276" cm="1">
        <f t="array" ref="BC77">IF(AND(BC$2&lt;&gt;0,TblTech[[#This Row],[Hour]:[Hour]]&gt;=BC$2),1,0)</f>
        <v>0</v>
      </c>
      <c r="BD77" s="276" cm="1">
        <f t="array" ref="BD77">IF(AND(BD$2&lt;&gt;0,TblTech[[#This Row],[Hour]:[Hour]]&gt;=BD$2),1,0)</f>
        <v>0</v>
      </c>
      <c r="BE77" s="276" cm="1">
        <f t="array" ref="BE77">IF(AND(BE$2&lt;&gt;0,TblTech[[#This Row],[Hour]:[Hour]]&gt;=BE$2),1,0)</f>
        <v>0</v>
      </c>
      <c r="BF77" s="276" cm="1">
        <f t="array" ref="BF77">IF(AND(BF$2&lt;&gt;0,TblTech[[#This Row],[Hour]:[Hour]]&gt;=BF$2),1,0)</f>
        <v>0</v>
      </c>
      <c r="BG77" s="276" cm="1">
        <f t="array" ref="BG77">IF(AND(BG$2&lt;&gt;0,TblTech[[#This Row],[Hour]:[Hour]]&gt;=BG$2),1,0)</f>
        <v>0</v>
      </c>
      <c r="BH77" s="276" cm="1">
        <f t="array" ref="BH77">IF(AND(BH$2&lt;&gt;0,TblTech[[#This Row],[Hour]:[Hour]]&gt;=BH$2),1,0)</f>
        <v>0</v>
      </c>
      <c r="BI77" s="276" cm="1">
        <f t="array" ref="BI77">IF(AND(BI$2&lt;&gt;0,TblTech[[#This Row],[Hour]:[Hour]]&gt;=BI$2),1,0)</f>
        <v>0</v>
      </c>
      <c r="BJ77" s="276" cm="1">
        <f t="array" ref="BJ77">IF(AND(BJ$2&lt;&gt;0,TblTech[[#This Row],[Hour]:[Hour]]&gt;=BJ$2),1,0)</f>
        <v>0</v>
      </c>
      <c r="BK77" s="276" cm="1">
        <f t="array" ref="BK77">IF(AND(BK$2&lt;&gt;0,TblTech[[#This Row],[Hour]:[Hour]]&gt;=BK$2),1,0)</f>
        <v>0</v>
      </c>
      <c r="BL77" s="276" cm="1">
        <f t="array" ref="BL77">IF(AND(BL$2&lt;&gt;0,TblTech[[#This Row],[Hour]:[Hour]]&gt;=BL$2),1,0)</f>
        <v>0</v>
      </c>
      <c r="BM77" s="276" cm="1">
        <f t="array" ref="BM77">IF(AND(BM$2&lt;&gt;0,TblTech[[#This Row],[Hour]:[Hour]]&gt;=BM$2),1,0)</f>
        <v>0</v>
      </c>
      <c r="BN77" s="276" cm="1">
        <f t="array" ref="BN77">IF(AND(BN$2&lt;&gt;0,TblTech[[#This Row],[Hour]:[Hour]]&gt;=BN$2),1,0)</f>
        <v>0</v>
      </c>
      <c r="BO77" s="276" cm="1">
        <f t="array" ref="BO77">IF(AND(BO$2&lt;&gt;0,TblTech[[#This Row],[Hour]:[Hour]]&gt;=BO$2),1,0)</f>
        <v>0</v>
      </c>
      <c r="BP77" s="276" cm="1">
        <f t="array" ref="BP77">IF(AND(BP$2&lt;&gt;0,TblTech[[#This Row],[Hour]:[Hour]]&gt;=BP$2),1,0)</f>
        <v>0</v>
      </c>
      <c r="BQ77" s="276" cm="1">
        <f t="array" ref="BQ77">IF(AND(BQ$2&lt;&gt;0,TblTech[[#This Row],[Hour]:[Hour]]&gt;=BQ$2),1,0)</f>
        <v>0</v>
      </c>
      <c r="BR77" s="276" cm="1">
        <f t="array" ref="BR77">IF(AND(BR$2&lt;&gt;0,TblTech[[#This Row],[Hour]:[Hour]]&gt;=BR$2),1,0)</f>
        <v>0</v>
      </c>
      <c r="BS77" s="276" cm="1">
        <f t="array" ref="BS77">IF(AND(BS$2&lt;&gt;0,TblTech[[#This Row],[Hour]:[Hour]]&gt;=BS$2),1,0)</f>
        <v>0</v>
      </c>
      <c r="BT77" s="276" cm="1">
        <f t="array" ref="BT77">IF(AND(BT$2&lt;&gt;0,TblTech[[#This Row],[Hour]:[Hour]]&gt;=BT$2),1,0)</f>
        <v>0</v>
      </c>
      <c r="BU77" s="276" cm="1">
        <f t="array" ref="BU77">IF(AND(BU$2&lt;&gt;0,TblTech[[#This Row],[Hour]:[Hour]]&gt;=BU$2),1,0)</f>
        <v>0</v>
      </c>
      <c r="BV77" s="276" cm="1">
        <f t="array" ref="BV77">IF(AND(BV$2&lt;&gt;0,TblTech[[#This Row],[Hour]:[Hour]]&gt;=BV$2),1,0)</f>
        <v>0</v>
      </c>
      <c r="BW77" s="276" cm="1">
        <f t="array" ref="BW77">IF(AND(BW$2&lt;&gt;0,TblTech[[#This Row],[Hour]:[Hour]]&gt;=BW$2),1,0)</f>
        <v>0</v>
      </c>
      <c r="BX77" s="276" cm="1">
        <f t="array" ref="BX77">IF(AND(BX$2&lt;&gt;0,TblTech[[#This Row],[Hour]:[Hour]]&gt;=BX$2),1,0)</f>
        <v>0</v>
      </c>
      <c r="BY77" s="276" cm="1">
        <f t="array" ref="BY77">IF(AND(BY$2&lt;&gt;0,TblTech[[#This Row],[Hour]:[Hour]]&gt;=BY$2),1,0)</f>
        <v>0</v>
      </c>
      <c r="BZ77" s="276" cm="1">
        <f t="array" ref="BZ77">IF(AND(BZ$2&lt;&gt;0,TblTech[[#This Row],[Hour]:[Hour]]&gt;=BZ$2),1,0)</f>
        <v>0</v>
      </c>
      <c r="CA77" s="377">
        <f>IFERROR(INDEX($H$4:$H$79,MATCH(INDEX(TblTech[[#Headers],[1-1]:[11-1]],1,MATCH(TblTech[[#This Row],[Hour]],$M$2:$BZ$2,0)),$G$4:$G$79,0)),)</f>
        <v>0</v>
      </c>
    </row>
    <row r="78" spans="1:79" x14ac:dyDescent="0.2">
      <c r="A78" s="268">
        <f>TblRezone[[#This Row],[Hour]]</f>
        <v>75</v>
      </c>
      <c r="B78" s="269">
        <f ca="1">TblExplore[[#This Row],[Land-DB]]</f>
        <v>50</v>
      </c>
      <c r="C78" s="270">
        <f ca="1">TblProd[[#This Row],[Techpoints]]</f>
        <v>0</v>
      </c>
      <c r="D78" s="270">
        <f ca="1">TblProd[[#This Row],[Required]]</f>
        <v>3750</v>
      </c>
      <c r="E78" s="271"/>
      <c r="F78" s="272"/>
      <c r="G78" s="273"/>
      <c r="H78" s="274"/>
      <c r="I78" s="273"/>
      <c r="J78" s="269"/>
      <c r="K78" s="93">
        <f ca="1">IF(TblTech[[#This Row],[Sum of tech]]&lt;&gt;OFFSET(TblTech[[#This Row],[Sum of tech]],-1,0),1,0)</f>
        <v>0</v>
      </c>
      <c r="L78" s="275">
        <f>COUNTIF(TblTech[[#This Row],[1-1]:[11-1]],1)</f>
        <v>0</v>
      </c>
      <c r="M78" s="276" cm="1">
        <f t="array" ref="M78">IF(AND(M$2&lt;&gt;0,TblTech[[#This Row],[Hour]:[Hour]]&gt;=M$2),1,0)</f>
        <v>0</v>
      </c>
      <c r="N78" s="276" cm="1">
        <f t="array" ref="N78">IF(AND(N$2&lt;&gt;0,TblTech[[#This Row],[Hour]:[Hour]]&gt;=N$2),1,0)</f>
        <v>0</v>
      </c>
      <c r="O78" s="276" cm="1">
        <f t="array" ref="O78">IF(AND(O$2&lt;&gt;0,TblTech[[#This Row],[Hour]:[Hour]]&gt;=O$2),1,0)</f>
        <v>0</v>
      </c>
      <c r="P78" s="276" cm="1">
        <f t="array" ref="P78">IF(AND(P$2&lt;&gt;0,TblTech[[#This Row],[Hour]:[Hour]]&gt;=P$2),1,0)</f>
        <v>0</v>
      </c>
      <c r="Q78" s="276" cm="1">
        <f t="array" ref="Q78">IF(AND(Q$2&lt;&gt;0,TblTech[[#This Row],[Hour]:[Hour]]&gt;=Q$2),1,0)</f>
        <v>0</v>
      </c>
      <c r="R78" s="276" cm="1">
        <f t="array" ref="R78">IF(AND(R$2&lt;&gt;0,TblTech[[#This Row],[Hour]:[Hour]]&gt;=R$2),1,0)</f>
        <v>0</v>
      </c>
      <c r="S78" s="276" cm="1">
        <f t="array" ref="S78">IF(AND(S$2&lt;&gt;0,TblTech[[#This Row],[Hour]:[Hour]]&gt;=S$2),1,0)</f>
        <v>0</v>
      </c>
      <c r="T78" s="276" cm="1">
        <f t="array" ref="T78">IF(AND(T$2&lt;&gt;0,TblTech[[#This Row],[Hour]:[Hour]]&gt;=T$2),1,0)</f>
        <v>0</v>
      </c>
      <c r="U78" s="276" cm="1">
        <f t="array" ref="U78">IF(AND(U$2&lt;&gt;0,TblTech[[#This Row],[Hour]:[Hour]]&gt;=U$2),1,0)</f>
        <v>0</v>
      </c>
      <c r="V78" s="276" cm="1">
        <f t="array" ref="V78">IF(AND(V$2&lt;&gt;0,TblTech[[#This Row],[Hour]:[Hour]]&gt;=V$2),1,0)</f>
        <v>0</v>
      </c>
      <c r="W78" s="276" cm="1">
        <f t="array" ref="W78">IF(AND(W$2&lt;&gt;0,TblTech[[#This Row],[Hour]:[Hour]]&gt;=W$2),1,0)</f>
        <v>0</v>
      </c>
      <c r="X78" s="276" cm="1">
        <f t="array" ref="X78">IF(AND(X$2&lt;&gt;0,TblTech[[#This Row],[Hour]:[Hour]]&gt;=X$2),1,0)</f>
        <v>0</v>
      </c>
      <c r="Y78" s="276" cm="1">
        <f t="array" ref="Y78">IF(AND(Y$2&lt;&gt;0,TblTech[[#This Row],[Hour]:[Hour]]&gt;=Y$2),1,0)</f>
        <v>0</v>
      </c>
      <c r="Z78" s="276" cm="1">
        <f t="array" ref="Z78">IF(AND(Z$2&lt;&gt;0,TblTech[[#This Row],[Hour]:[Hour]]&gt;=Z$2),1,0)</f>
        <v>0</v>
      </c>
      <c r="AA78" s="276" cm="1">
        <f t="array" ref="AA78">IF(AND(AA$2&lt;&gt;0,TblTech[[#This Row],[Hour]:[Hour]]&gt;=AA$2),1,0)</f>
        <v>0</v>
      </c>
      <c r="AB78" s="276" cm="1">
        <f t="array" ref="AB78">IF(AND(AB$2&lt;&gt;0,TblTech[[#This Row],[Hour]:[Hour]]&gt;=AB$2),1,0)</f>
        <v>0</v>
      </c>
      <c r="AC78" s="276" cm="1">
        <f t="array" ref="AC78">IF(AND(AC$2&lt;&gt;0,TblTech[[#This Row],[Hour]:[Hour]]&gt;=AC$2),1,0)</f>
        <v>0</v>
      </c>
      <c r="AD78" s="276" cm="1">
        <f t="array" ref="AD78">IF(AND(AD$2&lt;&gt;0,TblTech[[#This Row],[Hour]:[Hour]]&gt;=AD$2),1,0)</f>
        <v>0</v>
      </c>
      <c r="AE78" s="276" cm="1">
        <f t="array" ref="AE78">IF(AND(AE$2&lt;&gt;0,TblTech[[#This Row],[Hour]:[Hour]]&gt;=AE$2),1,0)</f>
        <v>0</v>
      </c>
      <c r="AF78" s="276" cm="1">
        <f t="array" ref="AF78">IF(AND(AF$2&lt;&gt;0,TblTech[[#This Row],[Hour]:[Hour]]&gt;=AF$2),1,0)</f>
        <v>0</v>
      </c>
      <c r="AG78" s="276" cm="1">
        <f t="array" ref="AG78">IF(AND(AG$2&lt;&gt;0,TblTech[[#This Row],[Hour]:[Hour]]&gt;=AG$2),1,0)</f>
        <v>0</v>
      </c>
      <c r="AH78" s="276" cm="1">
        <f t="array" ref="AH78">IF(AND(AH$2&lt;&gt;0,TblTech[[#This Row],[Hour]:[Hour]]&gt;=AH$2),1,0)</f>
        <v>0</v>
      </c>
      <c r="AI78" s="276" cm="1">
        <f t="array" ref="AI78">IF(AND(AI$2&lt;&gt;0,TblTech[[#This Row],[Hour]:[Hour]]&gt;=AI$2),1,0)</f>
        <v>0</v>
      </c>
      <c r="AJ78" s="276" cm="1">
        <f t="array" ref="AJ78">IF(AND(AJ$2&lt;&gt;0,TblTech[[#This Row],[Hour]:[Hour]]&gt;=AJ$2),1,0)</f>
        <v>0</v>
      </c>
      <c r="AK78" s="276" cm="1">
        <f t="array" ref="AK78">IF(AND(AK$2&lt;&gt;0,TblTech[[#This Row],[Hour]:[Hour]]&gt;=AK$2),1,0)</f>
        <v>0</v>
      </c>
      <c r="AL78" s="276" cm="1">
        <f t="array" ref="AL78">IF(AND(AL$2&lt;&gt;0,TblTech[[#This Row],[Hour]:[Hour]]&gt;=AL$2),1,0)</f>
        <v>0</v>
      </c>
      <c r="AM78" s="276" cm="1">
        <f t="array" ref="AM78">IF(AND(AM$2&lt;&gt;0,TblTech[[#This Row],[Hour]:[Hour]]&gt;=AM$2),1,0)</f>
        <v>0</v>
      </c>
      <c r="AN78" s="276" cm="1">
        <f t="array" ref="AN78">IF(AND(AN$2&lt;&gt;0,TblTech[[#This Row],[Hour]:[Hour]]&gt;=AN$2),1,0)</f>
        <v>0</v>
      </c>
      <c r="AO78" s="276" cm="1">
        <f t="array" ref="AO78">IF(AND(AO$2&lt;&gt;0,TblTech[[#This Row],[Hour]:[Hour]]&gt;=AO$2),1,0)</f>
        <v>0</v>
      </c>
      <c r="AP78" s="276" cm="1">
        <f t="array" ref="AP78">IF(AND(AP$2&lt;&gt;0,TblTech[[#This Row],[Hour]:[Hour]]&gt;=AP$2),1,0)</f>
        <v>0</v>
      </c>
      <c r="AQ78" s="276" cm="1">
        <f t="array" ref="AQ78">IF(AND(AQ$2&lt;&gt;0,TblTech[[#This Row],[Hour]:[Hour]]&gt;=AQ$2),1,0)</f>
        <v>0</v>
      </c>
      <c r="AR78" s="276" cm="1">
        <f t="array" ref="AR78">IF(AND(AR$2&lt;&gt;0,TblTech[[#This Row],[Hour]:[Hour]]&gt;=AR$2),1,0)</f>
        <v>0</v>
      </c>
      <c r="AS78" s="276" cm="1">
        <f t="array" ref="AS78">IF(AND(AS$2&lt;&gt;0,TblTech[[#This Row],[Hour]:[Hour]]&gt;=AS$2),1,0)</f>
        <v>0</v>
      </c>
      <c r="AT78" s="276" cm="1">
        <f t="array" ref="AT78">IF(AND(AT$2&lt;&gt;0,TblTech[[#This Row],[Hour]:[Hour]]&gt;=AT$2),1,0)</f>
        <v>0</v>
      </c>
      <c r="AU78" s="276" cm="1">
        <f t="array" ref="AU78">IF(AND(AU$2&lt;&gt;0,TblTech[[#This Row],[Hour]:[Hour]]&gt;=AU$2),1,0)</f>
        <v>0</v>
      </c>
      <c r="AV78" s="276" cm="1">
        <f t="array" ref="AV78">IF(AND(AV$2&lt;&gt;0,TblTech[[#This Row],[Hour]:[Hour]]&gt;=AV$2),1,0)</f>
        <v>0</v>
      </c>
      <c r="AW78" s="276" cm="1">
        <f t="array" ref="AW78">IF(AND(AW$2&lt;&gt;0,TblTech[[#This Row],[Hour]:[Hour]]&gt;=AW$2),1,0)</f>
        <v>0</v>
      </c>
      <c r="AX78" s="276" cm="1">
        <f t="array" ref="AX78">IF(AND(AX$2&lt;&gt;0,TblTech[[#This Row],[Hour]:[Hour]]&gt;=AX$2),1,0)</f>
        <v>0</v>
      </c>
      <c r="AY78" s="276" cm="1">
        <f t="array" ref="AY78">IF(AND(AY$2&lt;&gt;0,TblTech[[#This Row],[Hour]:[Hour]]&gt;=AY$2),1,0)</f>
        <v>0</v>
      </c>
      <c r="AZ78" s="276" cm="1">
        <f t="array" ref="AZ78">IF(AND(AZ$2&lt;&gt;0,TblTech[[#This Row],[Hour]:[Hour]]&gt;=AZ$2),1,0)</f>
        <v>0</v>
      </c>
      <c r="BA78" s="276" cm="1">
        <f t="array" ref="BA78">IF(AND(BA$2&lt;&gt;0,TblTech[[#This Row],[Hour]:[Hour]]&gt;=BA$2),1,0)</f>
        <v>0</v>
      </c>
      <c r="BB78" s="276" cm="1">
        <f t="array" ref="BB78">IF(AND(BB$2&lt;&gt;0,TblTech[[#This Row],[Hour]:[Hour]]&gt;=BB$2),1,0)</f>
        <v>0</v>
      </c>
      <c r="BC78" s="276" cm="1">
        <f t="array" ref="BC78">IF(AND(BC$2&lt;&gt;0,TblTech[[#This Row],[Hour]:[Hour]]&gt;=BC$2),1,0)</f>
        <v>0</v>
      </c>
      <c r="BD78" s="276" cm="1">
        <f t="array" ref="BD78">IF(AND(BD$2&lt;&gt;0,TblTech[[#This Row],[Hour]:[Hour]]&gt;=BD$2),1,0)</f>
        <v>0</v>
      </c>
      <c r="BE78" s="276" cm="1">
        <f t="array" ref="BE78">IF(AND(BE$2&lt;&gt;0,TblTech[[#This Row],[Hour]:[Hour]]&gt;=BE$2),1,0)</f>
        <v>0</v>
      </c>
      <c r="BF78" s="276" cm="1">
        <f t="array" ref="BF78">IF(AND(BF$2&lt;&gt;0,TblTech[[#This Row],[Hour]:[Hour]]&gt;=BF$2),1,0)</f>
        <v>0</v>
      </c>
      <c r="BG78" s="276" cm="1">
        <f t="array" ref="BG78">IF(AND(BG$2&lt;&gt;0,TblTech[[#This Row],[Hour]:[Hour]]&gt;=BG$2),1,0)</f>
        <v>0</v>
      </c>
      <c r="BH78" s="276" cm="1">
        <f t="array" ref="BH78">IF(AND(BH$2&lt;&gt;0,TblTech[[#This Row],[Hour]:[Hour]]&gt;=BH$2),1,0)</f>
        <v>0</v>
      </c>
      <c r="BI78" s="276" cm="1">
        <f t="array" ref="BI78">IF(AND(BI$2&lt;&gt;0,TblTech[[#This Row],[Hour]:[Hour]]&gt;=BI$2),1,0)</f>
        <v>0</v>
      </c>
      <c r="BJ78" s="276" cm="1">
        <f t="array" ref="BJ78">IF(AND(BJ$2&lt;&gt;0,TblTech[[#This Row],[Hour]:[Hour]]&gt;=BJ$2),1,0)</f>
        <v>0</v>
      </c>
      <c r="BK78" s="276" cm="1">
        <f t="array" ref="BK78">IF(AND(BK$2&lt;&gt;0,TblTech[[#This Row],[Hour]:[Hour]]&gt;=BK$2),1,0)</f>
        <v>0</v>
      </c>
      <c r="BL78" s="276" cm="1">
        <f t="array" ref="BL78">IF(AND(BL$2&lt;&gt;0,TblTech[[#This Row],[Hour]:[Hour]]&gt;=BL$2),1,0)</f>
        <v>0</v>
      </c>
      <c r="BM78" s="276" cm="1">
        <f t="array" ref="BM78">IF(AND(BM$2&lt;&gt;0,TblTech[[#This Row],[Hour]:[Hour]]&gt;=BM$2),1,0)</f>
        <v>0</v>
      </c>
      <c r="BN78" s="276" cm="1">
        <f t="array" ref="BN78">IF(AND(BN$2&lt;&gt;0,TblTech[[#This Row],[Hour]:[Hour]]&gt;=BN$2),1,0)</f>
        <v>0</v>
      </c>
      <c r="BO78" s="276" cm="1">
        <f t="array" ref="BO78">IF(AND(BO$2&lt;&gt;0,TblTech[[#This Row],[Hour]:[Hour]]&gt;=BO$2),1,0)</f>
        <v>0</v>
      </c>
      <c r="BP78" s="276" cm="1">
        <f t="array" ref="BP78">IF(AND(BP$2&lt;&gt;0,TblTech[[#This Row],[Hour]:[Hour]]&gt;=BP$2),1,0)</f>
        <v>0</v>
      </c>
      <c r="BQ78" s="276" cm="1">
        <f t="array" ref="BQ78">IF(AND(BQ$2&lt;&gt;0,TblTech[[#This Row],[Hour]:[Hour]]&gt;=BQ$2),1,0)</f>
        <v>0</v>
      </c>
      <c r="BR78" s="276" cm="1">
        <f t="array" ref="BR78">IF(AND(BR$2&lt;&gt;0,TblTech[[#This Row],[Hour]:[Hour]]&gt;=BR$2),1,0)</f>
        <v>0</v>
      </c>
      <c r="BS78" s="276" cm="1">
        <f t="array" ref="BS78">IF(AND(BS$2&lt;&gt;0,TblTech[[#This Row],[Hour]:[Hour]]&gt;=BS$2),1,0)</f>
        <v>0</v>
      </c>
      <c r="BT78" s="276" cm="1">
        <f t="array" ref="BT78">IF(AND(BT$2&lt;&gt;0,TblTech[[#This Row],[Hour]:[Hour]]&gt;=BT$2),1,0)</f>
        <v>0</v>
      </c>
      <c r="BU78" s="276" cm="1">
        <f t="array" ref="BU78">IF(AND(BU$2&lt;&gt;0,TblTech[[#This Row],[Hour]:[Hour]]&gt;=BU$2),1,0)</f>
        <v>0</v>
      </c>
      <c r="BV78" s="276" cm="1">
        <f t="array" ref="BV78">IF(AND(BV$2&lt;&gt;0,TblTech[[#This Row],[Hour]:[Hour]]&gt;=BV$2),1,0)</f>
        <v>0</v>
      </c>
      <c r="BW78" s="276" cm="1">
        <f t="array" ref="BW78">IF(AND(BW$2&lt;&gt;0,TblTech[[#This Row],[Hour]:[Hour]]&gt;=BW$2),1,0)</f>
        <v>0</v>
      </c>
      <c r="BX78" s="276" cm="1">
        <f t="array" ref="BX78">IF(AND(BX$2&lt;&gt;0,TblTech[[#This Row],[Hour]:[Hour]]&gt;=BX$2),1,0)</f>
        <v>0</v>
      </c>
      <c r="BY78" s="276" cm="1">
        <f t="array" ref="BY78">IF(AND(BY$2&lt;&gt;0,TblTech[[#This Row],[Hour]:[Hour]]&gt;=BY$2),1,0)</f>
        <v>0</v>
      </c>
      <c r="BZ78" s="276" cm="1">
        <f t="array" ref="BZ78">IF(AND(BZ$2&lt;&gt;0,TblTech[[#This Row],[Hour]:[Hour]]&gt;=BZ$2),1,0)</f>
        <v>0</v>
      </c>
      <c r="CA78" s="377">
        <f>IFERROR(INDEX($H$4:$H$79,MATCH(INDEX(TblTech[[#Headers],[1-1]:[11-1]],1,MATCH(TblTech[[#This Row],[Hour]],$M$2:$BZ$2,0)),$G$4:$G$79,0)),)</f>
        <v>0</v>
      </c>
    </row>
    <row r="79" spans="1:79" x14ac:dyDescent="0.2">
      <c r="A79" s="268">
        <f>TblRezone[[#This Row],[Hour]]</f>
        <v>76</v>
      </c>
      <c r="B79" s="269">
        <f ca="1">TblExplore[[#This Row],[Land-DB]]</f>
        <v>50</v>
      </c>
      <c r="C79" s="270">
        <f ca="1">TblProd[[#This Row],[Techpoints]]</f>
        <v>0</v>
      </c>
      <c r="D79" s="270">
        <f ca="1">TblProd[[#This Row],[Required]]</f>
        <v>3750</v>
      </c>
      <c r="E79" s="271"/>
      <c r="F79" s="272"/>
      <c r="G79" s="273" t="s">
        <v>621</v>
      </c>
      <c r="H79" s="274" t="s">
        <v>733</v>
      </c>
      <c r="I79" s="273" t="s">
        <v>622</v>
      </c>
      <c r="J79" s="269"/>
      <c r="K79" s="93">
        <f ca="1">IF(TblTech[[#This Row],[Sum of tech]]&lt;&gt;OFFSET(TblTech[[#This Row],[Sum of tech]],-1,0),1,0)</f>
        <v>0</v>
      </c>
      <c r="L79" s="275">
        <f>COUNTIF(TblTech[[#This Row],[1-1]:[11-1]],1)</f>
        <v>0</v>
      </c>
      <c r="M79" s="276" cm="1">
        <f t="array" ref="M79">IF(AND(M$2&lt;&gt;0,TblTech[[#This Row],[Hour]:[Hour]]&gt;=M$2),1,0)</f>
        <v>0</v>
      </c>
      <c r="N79" s="276" cm="1">
        <f t="array" ref="N79">IF(AND(N$2&lt;&gt;0,TblTech[[#This Row],[Hour]:[Hour]]&gt;=N$2),1,0)</f>
        <v>0</v>
      </c>
      <c r="O79" s="276" cm="1">
        <f t="array" ref="O79">IF(AND(O$2&lt;&gt;0,TblTech[[#This Row],[Hour]:[Hour]]&gt;=O$2),1,0)</f>
        <v>0</v>
      </c>
      <c r="P79" s="276" cm="1">
        <f t="array" ref="P79">IF(AND(P$2&lt;&gt;0,TblTech[[#This Row],[Hour]:[Hour]]&gt;=P$2),1,0)</f>
        <v>0</v>
      </c>
      <c r="Q79" s="276" cm="1">
        <f t="array" ref="Q79">IF(AND(Q$2&lt;&gt;0,TblTech[[#This Row],[Hour]:[Hour]]&gt;=Q$2),1,0)</f>
        <v>0</v>
      </c>
      <c r="R79" s="276" cm="1">
        <f t="array" ref="R79">IF(AND(R$2&lt;&gt;0,TblTech[[#This Row],[Hour]:[Hour]]&gt;=R$2),1,0)</f>
        <v>0</v>
      </c>
      <c r="S79" s="276" cm="1">
        <f t="array" ref="S79">IF(AND(S$2&lt;&gt;0,TblTech[[#This Row],[Hour]:[Hour]]&gt;=S$2),1,0)</f>
        <v>0</v>
      </c>
      <c r="T79" s="276" cm="1">
        <f t="array" ref="T79">IF(AND(T$2&lt;&gt;0,TblTech[[#This Row],[Hour]:[Hour]]&gt;=T$2),1,0)</f>
        <v>0</v>
      </c>
      <c r="U79" s="276" cm="1">
        <f t="array" ref="U79">IF(AND(U$2&lt;&gt;0,TblTech[[#This Row],[Hour]:[Hour]]&gt;=U$2),1,0)</f>
        <v>0</v>
      </c>
      <c r="V79" s="276" cm="1">
        <f t="array" ref="V79">IF(AND(V$2&lt;&gt;0,TblTech[[#This Row],[Hour]:[Hour]]&gt;=V$2),1,0)</f>
        <v>0</v>
      </c>
      <c r="W79" s="276" cm="1">
        <f t="array" ref="W79">IF(AND(W$2&lt;&gt;0,TblTech[[#This Row],[Hour]:[Hour]]&gt;=W$2),1,0)</f>
        <v>0</v>
      </c>
      <c r="X79" s="276" cm="1">
        <f t="array" ref="X79">IF(AND(X$2&lt;&gt;0,TblTech[[#This Row],[Hour]:[Hour]]&gt;=X$2),1,0)</f>
        <v>0</v>
      </c>
      <c r="Y79" s="276" cm="1">
        <f t="array" ref="Y79">IF(AND(Y$2&lt;&gt;0,TblTech[[#This Row],[Hour]:[Hour]]&gt;=Y$2),1,0)</f>
        <v>0</v>
      </c>
      <c r="Z79" s="276" cm="1">
        <f t="array" ref="Z79">IF(AND(Z$2&lt;&gt;0,TblTech[[#This Row],[Hour]:[Hour]]&gt;=Z$2),1,0)</f>
        <v>0</v>
      </c>
      <c r="AA79" s="276" cm="1">
        <f t="array" ref="AA79">IF(AND(AA$2&lt;&gt;0,TblTech[[#This Row],[Hour]:[Hour]]&gt;=AA$2),1,0)</f>
        <v>0</v>
      </c>
      <c r="AB79" s="276" cm="1">
        <f t="array" ref="AB79">IF(AND(AB$2&lt;&gt;0,TblTech[[#This Row],[Hour]:[Hour]]&gt;=AB$2),1,0)</f>
        <v>0</v>
      </c>
      <c r="AC79" s="276" cm="1">
        <f t="array" ref="AC79">IF(AND(AC$2&lt;&gt;0,TblTech[[#This Row],[Hour]:[Hour]]&gt;=AC$2),1,0)</f>
        <v>0</v>
      </c>
      <c r="AD79" s="276" cm="1">
        <f t="array" ref="AD79">IF(AND(AD$2&lt;&gt;0,TblTech[[#This Row],[Hour]:[Hour]]&gt;=AD$2),1,0)</f>
        <v>0</v>
      </c>
      <c r="AE79" s="276" cm="1">
        <f t="array" ref="AE79">IF(AND(AE$2&lt;&gt;0,TblTech[[#This Row],[Hour]:[Hour]]&gt;=AE$2),1,0)</f>
        <v>0</v>
      </c>
      <c r="AF79" s="276" cm="1">
        <f t="array" ref="AF79">IF(AND(AF$2&lt;&gt;0,TblTech[[#This Row],[Hour]:[Hour]]&gt;=AF$2),1,0)</f>
        <v>0</v>
      </c>
      <c r="AG79" s="276" cm="1">
        <f t="array" ref="AG79">IF(AND(AG$2&lt;&gt;0,TblTech[[#This Row],[Hour]:[Hour]]&gt;=AG$2),1,0)</f>
        <v>0</v>
      </c>
      <c r="AH79" s="276" cm="1">
        <f t="array" ref="AH79">IF(AND(AH$2&lt;&gt;0,TblTech[[#This Row],[Hour]:[Hour]]&gt;=AH$2),1,0)</f>
        <v>0</v>
      </c>
      <c r="AI79" s="276" cm="1">
        <f t="array" ref="AI79">IF(AND(AI$2&lt;&gt;0,TblTech[[#This Row],[Hour]:[Hour]]&gt;=AI$2),1,0)</f>
        <v>0</v>
      </c>
      <c r="AJ79" s="276" cm="1">
        <f t="array" ref="AJ79">IF(AND(AJ$2&lt;&gt;0,TblTech[[#This Row],[Hour]:[Hour]]&gt;=AJ$2),1,0)</f>
        <v>0</v>
      </c>
      <c r="AK79" s="276" cm="1">
        <f t="array" ref="AK79">IF(AND(AK$2&lt;&gt;0,TblTech[[#This Row],[Hour]:[Hour]]&gt;=AK$2),1,0)</f>
        <v>0</v>
      </c>
      <c r="AL79" s="276" cm="1">
        <f t="array" ref="AL79">IF(AND(AL$2&lt;&gt;0,TblTech[[#This Row],[Hour]:[Hour]]&gt;=AL$2),1,0)</f>
        <v>0</v>
      </c>
      <c r="AM79" s="276" cm="1">
        <f t="array" ref="AM79">IF(AND(AM$2&lt;&gt;0,TblTech[[#This Row],[Hour]:[Hour]]&gt;=AM$2),1,0)</f>
        <v>0</v>
      </c>
      <c r="AN79" s="276" cm="1">
        <f t="array" ref="AN79">IF(AND(AN$2&lt;&gt;0,TblTech[[#This Row],[Hour]:[Hour]]&gt;=AN$2),1,0)</f>
        <v>0</v>
      </c>
      <c r="AO79" s="276" cm="1">
        <f t="array" ref="AO79">IF(AND(AO$2&lt;&gt;0,TblTech[[#This Row],[Hour]:[Hour]]&gt;=AO$2),1,0)</f>
        <v>0</v>
      </c>
      <c r="AP79" s="276" cm="1">
        <f t="array" ref="AP79">IF(AND(AP$2&lt;&gt;0,TblTech[[#This Row],[Hour]:[Hour]]&gt;=AP$2),1,0)</f>
        <v>0</v>
      </c>
      <c r="AQ79" s="276" cm="1">
        <f t="array" ref="AQ79">IF(AND(AQ$2&lt;&gt;0,TblTech[[#This Row],[Hour]:[Hour]]&gt;=AQ$2),1,0)</f>
        <v>0</v>
      </c>
      <c r="AR79" s="276" cm="1">
        <f t="array" ref="AR79">IF(AND(AR$2&lt;&gt;0,TblTech[[#This Row],[Hour]:[Hour]]&gt;=AR$2),1,0)</f>
        <v>0</v>
      </c>
      <c r="AS79" s="276" cm="1">
        <f t="array" ref="AS79">IF(AND(AS$2&lt;&gt;0,TblTech[[#This Row],[Hour]:[Hour]]&gt;=AS$2),1,0)</f>
        <v>0</v>
      </c>
      <c r="AT79" s="276" cm="1">
        <f t="array" ref="AT79">IF(AND(AT$2&lt;&gt;0,TblTech[[#This Row],[Hour]:[Hour]]&gt;=AT$2),1,0)</f>
        <v>0</v>
      </c>
      <c r="AU79" s="276" cm="1">
        <f t="array" ref="AU79">IF(AND(AU$2&lt;&gt;0,TblTech[[#This Row],[Hour]:[Hour]]&gt;=AU$2),1,0)</f>
        <v>0</v>
      </c>
      <c r="AV79" s="276" cm="1">
        <f t="array" ref="AV79">IF(AND(AV$2&lt;&gt;0,TblTech[[#This Row],[Hour]:[Hour]]&gt;=AV$2),1,0)</f>
        <v>0</v>
      </c>
      <c r="AW79" s="276" cm="1">
        <f t="array" ref="AW79">IF(AND(AW$2&lt;&gt;0,TblTech[[#This Row],[Hour]:[Hour]]&gt;=AW$2),1,0)</f>
        <v>0</v>
      </c>
      <c r="AX79" s="276" cm="1">
        <f t="array" ref="AX79">IF(AND(AX$2&lt;&gt;0,TblTech[[#This Row],[Hour]:[Hour]]&gt;=AX$2),1,0)</f>
        <v>0</v>
      </c>
      <c r="AY79" s="276" cm="1">
        <f t="array" ref="AY79">IF(AND(AY$2&lt;&gt;0,TblTech[[#This Row],[Hour]:[Hour]]&gt;=AY$2),1,0)</f>
        <v>0</v>
      </c>
      <c r="AZ79" s="276" cm="1">
        <f t="array" ref="AZ79">IF(AND(AZ$2&lt;&gt;0,TblTech[[#This Row],[Hour]:[Hour]]&gt;=AZ$2),1,0)</f>
        <v>0</v>
      </c>
      <c r="BA79" s="276" cm="1">
        <f t="array" ref="BA79">IF(AND(BA$2&lt;&gt;0,TblTech[[#This Row],[Hour]:[Hour]]&gt;=BA$2),1,0)</f>
        <v>0</v>
      </c>
      <c r="BB79" s="276" cm="1">
        <f t="array" ref="BB79">IF(AND(BB$2&lt;&gt;0,TblTech[[#This Row],[Hour]:[Hour]]&gt;=BB$2),1,0)</f>
        <v>0</v>
      </c>
      <c r="BC79" s="276" cm="1">
        <f t="array" ref="BC79">IF(AND(BC$2&lt;&gt;0,TblTech[[#This Row],[Hour]:[Hour]]&gt;=BC$2),1,0)</f>
        <v>0</v>
      </c>
      <c r="BD79" s="276" cm="1">
        <f t="array" ref="BD79">IF(AND(BD$2&lt;&gt;0,TblTech[[#This Row],[Hour]:[Hour]]&gt;=BD$2),1,0)</f>
        <v>0</v>
      </c>
      <c r="BE79" s="276" cm="1">
        <f t="array" ref="BE79">IF(AND(BE$2&lt;&gt;0,TblTech[[#This Row],[Hour]:[Hour]]&gt;=BE$2),1,0)</f>
        <v>0</v>
      </c>
      <c r="BF79" s="276" cm="1">
        <f t="array" ref="BF79">IF(AND(BF$2&lt;&gt;0,TblTech[[#This Row],[Hour]:[Hour]]&gt;=BF$2),1,0)</f>
        <v>0</v>
      </c>
      <c r="BG79" s="276" cm="1">
        <f t="array" ref="BG79">IF(AND(BG$2&lt;&gt;0,TblTech[[#This Row],[Hour]:[Hour]]&gt;=BG$2),1,0)</f>
        <v>0</v>
      </c>
      <c r="BH79" s="276" cm="1">
        <f t="array" ref="BH79">IF(AND(BH$2&lt;&gt;0,TblTech[[#This Row],[Hour]:[Hour]]&gt;=BH$2),1,0)</f>
        <v>0</v>
      </c>
      <c r="BI79" s="276" cm="1">
        <f t="array" ref="BI79">IF(AND(BI$2&lt;&gt;0,TblTech[[#This Row],[Hour]:[Hour]]&gt;=BI$2),1,0)</f>
        <v>0</v>
      </c>
      <c r="BJ79" s="276" cm="1">
        <f t="array" ref="BJ79">IF(AND(BJ$2&lt;&gt;0,TblTech[[#This Row],[Hour]:[Hour]]&gt;=BJ$2),1,0)</f>
        <v>0</v>
      </c>
      <c r="BK79" s="276" cm="1">
        <f t="array" ref="BK79">IF(AND(BK$2&lt;&gt;0,TblTech[[#This Row],[Hour]:[Hour]]&gt;=BK$2),1,0)</f>
        <v>0</v>
      </c>
      <c r="BL79" s="276" cm="1">
        <f t="array" ref="BL79">IF(AND(BL$2&lt;&gt;0,TblTech[[#This Row],[Hour]:[Hour]]&gt;=BL$2),1,0)</f>
        <v>0</v>
      </c>
      <c r="BM79" s="276" cm="1">
        <f t="array" ref="BM79">IF(AND(BM$2&lt;&gt;0,TblTech[[#This Row],[Hour]:[Hour]]&gt;=BM$2),1,0)</f>
        <v>0</v>
      </c>
      <c r="BN79" s="276" cm="1">
        <f t="array" ref="BN79">IF(AND(BN$2&lt;&gt;0,TblTech[[#This Row],[Hour]:[Hour]]&gt;=BN$2),1,0)</f>
        <v>0</v>
      </c>
      <c r="BO79" s="276" cm="1">
        <f t="array" ref="BO79">IF(AND(BO$2&lt;&gt;0,TblTech[[#This Row],[Hour]:[Hour]]&gt;=BO$2),1,0)</f>
        <v>0</v>
      </c>
      <c r="BP79" s="276" cm="1">
        <f t="array" ref="BP79">IF(AND(BP$2&lt;&gt;0,TblTech[[#This Row],[Hour]:[Hour]]&gt;=BP$2),1,0)</f>
        <v>0</v>
      </c>
      <c r="BQ79" s="276" cm="1">
        <f t="array" ref="BQ79">IF(AND(BQ$2&lt;&gt;0,TblTech[[#This Row],[Hour]:[Hour]]&gt;=BQ$2),1,0)</f>
        <v>0</v>
      </c>
      <c r="BR79" s="276" cm="1">
        <f t="array" ref="BR79">IF(AND(BR$2&lt;&gt;0,TblTech[[#This Row],[Hour]:[Hour]]&gt;=BR$2),1,0)</f>
        <v>0</v>
      </c>
      <c r="BS79" s="276" cm="1">
        <f t="array" ref="BS79">IF(AND(BS$2&lt;&gt;0,TblTech[[#This Row],[Hour]:[Hour]]&gt;=BS$2),1,0)</f>
        <v>0</v>
      </c>
      <c r="BT79" s="276" cm="1">
        <f t="array" ref="BT79">IF(AND(BT$2&lt;&gt;0,TblTech[[#This Row],[Hour]:[Hour]]&gt;=BT$2),1,0)</f>
        <v>0</v>
      </c>
      <c r="BU79" s="276" cm="1">
        <f t="array" ref="BU79">IF(AND(BU$2&lt;&gt;0,TblTech[[#This Row],[Hour]:[Hour]]&gt;=BU$2),1,0)</f>
        <v>0</v>
      </c>
      <c r="BV79" s="276" cm="1">
        <f t="array" ref="BV79">IF(AND(BV$2&lt;&gt;0,TblTech[[#This Row],[Hour]:[Hour]]&gt;=BV$2),1,0)</f>
        <v>0</v>
      </c>
      <c r="BW79" s="276" cm="1">
        <f t="array" ref="BW79">IF(AND(BW$2&lt;&gt;0,TblTech[[#This Row],[Hour]:[Hour]]&gt;=BW$2),1,0)</f>
        <v>0</v>
      </c>
      <c r="BX79" s="276" cm="1">
        <f t="array" ref="BX79">IF(AND(BX$2&lt;&gt;0,TblTech[[#This Row],[Hour]:[Hour]]&gt;=BX$2),1,0)</f>
        <v>0</v>
      </c>
      <c r="BY79" s="276" cm="1">
        <f t="array" ref="BY79">IF(AND(BY$2&lt;&gt;0,TblTech[[#This Row],[Hour]:[Hour]]&gt;=BY$2),1,0)</f>
        <v>0</v>
      </c>
      <c r="BZ79" s="276" cm="1">
        <f t="array" ref="BZ79">IF(AND(BZ$2&lt;&gt;0,TblTech[[#This Row],[Hour]:[Hour]]&gt;=BZ$2),1,0)</f>
        <v>0</v>
      </c>
      <c r="CA79" s="377">
        <f>IFERROR(INDEX($H$4:$H$79,MATCH(INDEX(TblTech[[#Headers],[1-1]:[11-1]],1,MATCH(TblTech[[#This Row],[Hour]],$M$2:$BZ$2,0)),$G$4:$G$79,0)),)</f>
        <v>0</v>
      </c>
    </row>
    <row r="80" spans="1:79" x14ac:dyDescent="0.2">
      <c r="A80" s="268">
        <f>TblRezone[[#This Row],[Hour]]</f>
        <v>77</v>
      </c>
      <c r="B80" s="269">
        <f ca="1">TblExplore[[#This Row],[Land-DB]]</f>
        <v>50</v>
      </c>
      <c r="C80" s="270">
        <f ca="1">TblProd[[#This Row],[Techpoints]]</f>
        <v>0</v>
      </c>
      <c r="D80" s="270">
        <f ca="1">TblProd[[#This Row],[Required]]</f>
        <v>3750</v>
      </c>
      <c r="E80" s="271"/>
      <c r="F80" s="277"/>
      <c r="G80" s="278"/>
      <c r="H80" s="269"/>
      <c r="I80" s="269"/>
      <c r="J80" s="269"/>
      <c r="K80" s="93">
        <f ca="1">IF(TblTech[[#This Row],[Sum of tech]]&lt;&gt;OFFSET(TblTech[[#This Row],[Sum of tech]],-1,0),1,0)</f>
        <v>0</v>
      </c>
      <c r="L80" s="275">
        <f>COUNTIF(TblTech[[#This Row],[1-1]:[11-1]],1)</f>
        <v>0</v>
      </c>
      <c r="M80" s="276" cm="1">
        <f t="array" ref="M80">IF(AND(M$2&lt;&gt;0,TblTech[[#This Row],[Hour]:[Hour]]&gt;=M$2),1,0)</f>
        <v>0</v>
      </c>
      <c r="N80" s="276" cm="1">
        <f t="array" ref="N80">IF(AND(N$2&lt;&gt;0,TblTech[[#This Row],[Hour]:[Hour]]&gt;=N$2),1,0)</f>
        <v>0</v>
      </c>
      <c r="O80" s="276" cm="1">
        <f t="array" ref="O80">IF(AND(O$2&lt;&gt;0,TblTech[[#This Row],[Hour]:[Hour]]&gt;=O$2),1,0)</f>
        <v>0</v>
      </c>
      <c r="P80" s="276" cm="1">
        <f t="array" ref="P80">IF(AND(P$2&lt;&gt;0,TblTech[[#This Row],[Hour]:[Hour]]&gt;=P$2),1,0)</f>
        <v>0</v>
      </c>
      <c r="Q80" s="276" cm="1">
        <f t="array" ref="Q80">IF(AND(Q$2&lt;&gt;0,TblTech[[#This Row],[Hour]:[Hour]]&gt;=Q$2),1,0)</f>
        <v>0</v>
      </c>
      <c r="R80" s="276" cm="1">
        <f t="array" ref="R80">IF(AND(R$2&lt;&gt;0,TblTech[[#This Row],[Hour]:[Hour]]&gt;=R$2),1,0)</f>
        <v>0</v>
      </c>
      <c r="S80" s="276" cm="1">
        <f t="array" ref="S80">IF(AND(S$2&lt;&gt;0,TblTech[[#This Row],[Hour]:[Hour]]&gt;=S$2),1,0)</f>
        <v>0</v>
      </c>
      <c r="T80" s="276" cm="1">
        <f t="array" ref="T80">IF(AND(T$2&lt;&gt;0,TblTech[[#This Row],[Hour]:[Hour]]&gt;=T$2),1,0)</f>
        <v>0</v>
      </c>
      <c r="U80" s="276" cm="1">
        <f t="array" ref="U80">IF(AND(U$2&lt;&gt;0,TblTech[[#This Row],[Hour]:[Hour]]&gt;=U$2),1,0)</f>
        <v>0</v>
      </c>
      <c r="V80" s="276" cm="1">
        <f t="array" ref="V80">IF(AND(V$2&lt;&gt;0,TblTech[[#This Row],[Hour]:[Hour]]&gt;=V$2),1,0)</f>
        <v>0</v>
      </c>
      <c r="W80" s="276" cm="1">
        <f t="array" ref="W80">IF(AND(W$2&lt;&gt;0,TblTech[[#This Row],[Hour]:[Hour]]&gt;=W$2),1,0)</f>
        <v>0</v>
      </c>
      <c r="X80" s="276" cm="1">
        <f t="array" ref="X80">IF(AND(X$2&lt;&gt;0,TblTech[[#This Row],[Hour]:[Hour]]&gt;=X$2),1,0)</f>
        <v>0</v>
      </c>
      <c r="Y80" s="276" cm="1">
        <f t="array" ref="Y80">IF(AND(Y$2&lt;&gt;0,TblTech[[#This Row],[Hour]:[Hour]]&gt;=Y$2),1,0)</f>
        <v>0</v>
      </c>
      <c r="Z80" s="276" cm="1">
        <f t="array" ref="Z80">IF(AND(Z$2&lt;&gt;0,TblTech[[#This Row],[Hour]:[Hour]]&gt;=Z$2),1,0)</f>
        <v>0</v>
      </c>
      <c r="AA80" s="276" cm="1">
        <f t="array" ref="AA80">IF(AND(AA$2&lt;&gt;0,TblTech[[#This Row],[Hour]:[Hour]]&gt;=AA$2),1,0)</f>
        <v>0</v>
      </c>
      <c r="AB80" s="276" cm="1">
        <f t="array" ref="AB80">IF(AND(AB$2&lt;&gt;0,TblTech[[#This Row],[Hour]:[Hour]]&gt;=AB$2),1,0)</f>
        <v>0</v>
      </c>
      <c r="AC80" s="276" cm="1">
        <f t="array" ref="AC80">IF(AND(AC$2&lt;&gt;0,TblTech[[#This Row],[Hour]:[Hour]]&gt;=AC$2),1,0)</f>
        <v>0</v>
      </c>
      <c r="AD80" s="276" cm="1">
        <f t="array" ref="AD80">IF(AND(AD$2&lt;&gt;0,TblTech[[#This Row],[Hour]:[Hour]]&gt;=AD$2),1,0)</f>
        <v>0</v>
      </c>
      <c r="AE80" s="276" cm="1">
        <f t="array" ref="AE80">IF(AND(AE$2&lt;&gt;0,TblTech[[#This Row],[Hour]:[Hour]]&gt;=AE$2),1,0)</f>
        <v>0</v>
      </c>
      <c r="AF80" s="276" cm="1">
        <f t="array" ref="AF80">IF(AND(AF$2&lt;&gt;0,TblTech[[#This Row],[Hour]:[Hour]]&gt;=AF$2),1,0)</f>
        <v>0</v>
      </c>
      <c r="AG80" s="276" cm="1">
        <f t="array" ref="AG80">IF(AND(AG$2&lt;&gt;0,TblTech[[#This Row],[Hour]:[Hour]]&gt;=AG$2),1,0)</f>
        <v>0</v>
      </c>
      <c r="AH80" s="276" cm="1">
        <f t="array" ref="AH80">IF(AND(AH$2&lt;&gt;0,TblTech[[#This Row],[Hour]:[Hour]]&gt;=AH$2),1,0)</f>
        <v>0</v>
      </c>
      <c r="AI80" s="276" cm="1">
        <f t="array" ref="AI80">IF(AND(AI$2&lt;&gt;0,TblTech[[#This Row],[Hour]:[Hour]]&gt;=AI$2),1,0)</f>
        <v>0</v>
      </c>
      <c r="AJ80" s="276" cm="1">
        <f t="array" ref="AJ80">IF(AND(AJ$2&lt;&gt;0,TblTech[[#This Row],[Hour]:[Hour]]&gt;=AJ$2),1,0)</f>
        <v>0</v>
      </c>
      <c r="AK80" s="276" cm="1">
        <f t="array" ref="AK80">IF(AND(AK$2&lt;&gt;0,TblTech[[#This Row],[Hour]:[Hour]]&gt;=AK$2),1,0)</f>
        <v>0</v>
      </c>
      <c r="AL80" s="276" cm="1">
        <f t="array" ref="AL80">IF(AND(AL$2&lt;&gt;0,TblTech[[#This Row],[Hour]:[Hour]]&gt;=AL$2),1,0)</f>
        <v>0</v>
      </c>
      <c r="AM80" s="276" cm="1">
        <f t="array" ref="AM80">IF(AND(AM$2&lt;&gt;0,TblTech[[#This Row],[Hour]:[Hour]]&gt;=AM$2),1,0)</f>
        <v>0</v>
      </c>
      <c r="AN80" s="276" cm="1">
        <f t="array" ref="AN80">IF(AND(AN$2&lt;&gt;0,TblTech[[#This Row],[Hour]:[Hour]]&gt;=AN$2),1,0)</f>
        <v>0</v>
      </c>
      <c r="AO80" s="276" cm="1">
        <f t="array" ref="AO80">IF(AND(AO$2&lt;&gt;0,TblTech[[#This Row],[Hour]:[Hour]]&gt;=AO$2),1,0)</f>
        <v>0</v>
      </c>
      <c r="AP80" s="276" cm="1">
        <f t="array" ref="AP80">IF(AND(AP$2&lt;&gt;0,TblTech[[#This Row],[Hour]:[Hour]]&gt;=AP$2),1,0)</f>
        <v>0</v>
      </c>
      <c r="AQ80" s="276" cm="1">
        <f t="array" ref="AQ80">IF(AND(AQ$2&lt;&gt;0,TblTech[[#This Row],[Hour]:[Hour]]&gt;=AQ$2),1,0)</f>
        <v>0</v>
      </c>
      <c r="AR80" s="276" cm="1">
        <f t="array" ref="AR80">IF(AND(AR$2&lt;&gt;0,TblTech[[#This Row],[Hour]:[Hour]]&gt;=AR$2),1,0)</f>
        <v>0</v>
      </c>
      <c r="AS80" s="276" cm="1">
        <f t="array" ref="AS80">IF(AND(AS$2&lt;&gt;0,TblTech[[#This Row],[Hour]:[Hour]]&gt;=AS$2),1,0)</f>
        <v>0</v>
      </c>
      <c r="AT80" s="276" cm="1">
        <f t="array" ref="AT80">IF(AND(AT$2&lt;&gt;0,TblTech[[#This Row],[Hour]:[Hour]]&gt;=AT$2),1,0)</f>
        <v>0</v>
      </c>
      <c r="AU80" s="276" cm="1">
        <f t="array" ref="AU80">IF(AND(AU$2&lt;&gt;0,TblTech[[#This Row],[Hour]:[Hour]]&gt;=AU$2),1,0)</f>
        <v>0</v>
      </c>
      <c r="AV80" s="276" cm="1">
        <f t="array" ref="AV80">IF(AND(AV$2&lt;&gt;0,TblTech[[#This Row],[Hour]:[Hour]]&gt;=AV$2),1,0)</f>
        <v>0</v>
      </c>
      <c r="AW80" s="276" cm="1">
        <f t="array" ref="AW80">IF(AND(AW$2&lt;&gt;0,TblTech[[#This Row],[Hour]:[Hour]]&gt;=AW$2),1,0)</f>
        <v>0</v>
      </c>
      <c r="AX80" s="276" cm="1">
        <f t="array" ref="AX80">IF(AND(AX$2&lt;&gt;0,TblTech[[#This Row],[Hour]:[Hour]]&gt;=AX$2),1,0)</f>
        <v>0</v>
      </c>
      <c r="AY80" s="276" cm="1">
        <f t="array" ref="AY80">IF(AND(AY$2&lt;&gt;0,TblTech[[#This Row],[Hour]:[Hour]]&gt;=AY$2),1,0)</f>
        <v>0</v>
      </c>
      <c r="AZ80" s="276" cm="1">
        <f t="array" ref="AZ80">IF(AND(AZ$2&lt;&gt;0,TblTech[[#This Row],[Hour]:[Hour]]&gt;=AZ$2),1,0)</f>
        <v>0</v>
      </c>
      <c r="BA80" s="276" cm="1">
        <f t="array" ref="BA80">IF(AND(BA$2&lt;&gt;0,TblTech[[#This Row],[Hour]:[Hour]]&gt;=BA$2),1,0)</f>
        <v>0</v>
      </c>
      <c r="BB80" s="276" cm="1">
        <f t="array" ref="BB80">IF(AND(BB$2&lt;&gt;0,TblTech[[#This Row],[Hour]:[Hour]]&gt;=BB$2),1,0)</f>
        <v>0</v>
      </c>
      <c r="BC80" s="276" cm="1">
        <f t="array" ref="BC80">IF(AND(BC$2&lt;&gt;0,TblTech[[#This Row],[Hour]:[Hour]]&gt;=BC$2),1,0)</f>
        <v>0</v>
      </c>
      <c r="BD80" s="276" cm="1">
        <f t="array" ref="BD80">IF(AND(BD$2&lt;&gt;0,TblTech[[#This Row],[Hour]:[Hour]]&gt;=BD$2),1,0)</f>
        <v>0</v>
      </c>
      <c r="BE80" s="276" cm="1">
        <f t="array" ref="BE80">IF(AND(BE$2&lt;&gt;0,TblTech[[#This Row],[Hour]:[Hour]]&gt;=BE$2),1,0)</f>
        <v>0</v>
      </c>
      <c r="BF80" s="276" cm="1">
        <f t="array" ref="BF80">IF(AND(BF$2&lt;&gt;0,TblTech[[#This Row],[Hour]:[Hour]]&gt;=BF$2),1,0)</f>
        <v>0</v>
      </c>
      <c r="BG80" s="276" cm="1">
        <f t="array" ref="BG80">IF(AND(BG$2&lt;&gt;0,TblTech[[#This Row],[Hour]:[Hour]]&gt;=BG$2),1,0)</f>
        <v>0</v>
      </c>
      <c r="BH80" s="276" cm="1">
        <f t="array" ref="BH80">IF(AND(BH$2&lt;&gt;0,TblTech[[#This Row],[Hour]:[Hour]]&gt;=BH$2),1,0)</f>
        <v>0</v>
      </c>
      <c r="BI80" s="276" cm="1">
        <f t="array" ref="BI80">IF(AND(BI$2&lt;&gt;0,TblTech[[#This Row],[Hour]:[Hour]]&gt;=BI$2),1,0)</f>
        <v>0</v>
      </c>
      <c r="BJ80" s="276" cm="1">
        <f t="array" ref="BJ80">IF(AND(BJ$2&lt;&gt;0,TblTech[[#This Row],[Hour]:[Hour]]&gt;=BJ$2),1,0)</f>
        <v>0</v>
      </c>
      <c r="BK80" s="276" cm="1">
        <f t="array" ref="BK80">IF(AND(BK$2&lt;&gt;0,TblTech[[#This Row],[Hour]:[Hour]]&gt;=BK$2),1,0)</f>
        <v>0</v>
      </c>
      <c r="BL80" s="276" cm="1">
        <f t="array" ref="BL80">IF(AND(BL$2&lt;&gt;0,TblTech[[#This Row],[Hour]:[Hour]]&gt;=BL$2),1,0)</f>
        <v>0</v>
      </c>
      <c r="BM80" s="276" cm="1">
        <f t="array" ref="BM80">IF(AND(BM$2&lt;&gt;0,TblTech[[#This Row],[Hour]:[Hour]]&gt;=BM$2),1,0)</f>
        <v>0</v>
      </c>
      <c r="BN80" s="276" cm="1">
        <f t="array" ref="BN80">IF(AND(BN$2&lt;&gt;0,TblTech[[#This Row],[Hour]:[Hour]]&gt;=BN$2),1,0)</f>
        <v>0</v>
      </c>
      <c r="BO80" s="276" cm="1">
        <f t="array" ref="BO80">IF(AND(BO$2&lt;&gt;0,TblTech[[#This Row],[Hour]:[Hour]]&gt;=BO$2),1,0)</f>
        <v>0</v>
      </c>
      <c r="BP80" s="276" cm="1">
        <f t="array" ref="BP80">IF(AND(BP$2&lt;&gt;0,TblTech[[#This Row],[Hour]:[Hour]]&gt;=BP$2),1,0)</f>
        <v>0</v>
      </c>
      <c r="BQ80" s="276" cm="1">
        <f t="array" ref="BQ80">IF(AND(BQ$2&lt;&gt;0,TblTech[[#This Row],[Hour]:[Hour]]&gt;=BQ$2),1,0)</f>
        <v>0</v>
      </c>
      <c r="BR80" s="276" cm="1">
        <f t="array" ref="BR80">IF(AND(BR$2&lt;&gt;0,TblTech[[#This Row],[Hour]:[Hour]]&gt;=BR$2),1,0)</f>
        <v>0</v>
      </c>
      <c r="BS80" s="276" cm="1">
        <f t="array" ref="BS80">IF(AND(BS$2&lt;&gt;0,TblTech[[#This Row],[Hour]:[Hour]]&gt;=BS$2),1,0)</f>
        <v>0</v>
      </c>
      <c r="BT80" s="276" cm="1">
        <f t="array" ref="BT80">IF(AND(BT$2&lt;&gt;0,TblTech[[#This Row],[Hour]:[Hour]]&gt;=BT$2),1,0)</f>
        <v>0</v>
      </c>
      <c r="BU80" s="276" cm="1">
        <f t="array" ref="BU80">IF(AND(BU$2&lt;&gt;0,TblTech[[#This Row],[Hour]:[Hour]]&gt;=BU$2),1,0)</f>
        <v>0</v>
      </c>
      <c r="BV80" s="276" cm="1">
        <f t="array" ref="BV80">IF(AND(BV$2&lt;&gt;0,TblTech[[#This Row],[Hour]:[Hour]]&gt;=BV$2),1,0)</f>
        <v>0</v>
      </c>
      <c r="BW80" s="276" cm="1">
        <f t="array" ref="BW80">IF(AND(BW$2&lt;&gt;0,TblTech[[#This Row],[Hour]:[Hour]]&gt;=BW$2),1,0)</f>
        <v>0</v>
      </c>
      <c r="BX80" s="276" cm="1">
        <f t="array" ref="BX80">IF(AND(BX$2&lt;&gt;0,TblTech[[#This Row],[Hour]:[Hour]]&gt;=BX$2),1,0)</f>
        <v>0</v>
      </c>
      <c r="BY80" s="276" cm="1">
        <f t="array" ref="BY80">IF(AND(BY$2&lt;&gt;0,TblTech[[#This Row],[Hour]:[Hour]]&gt;=BY$2),1,0)</f>
        <v>0</v>
      </c>
      <c r="BZ80" s="276" cm="1">
        <f t="array" ref="BZ80">IF(AND(BZ$2&lt;&gt;0,TblTech[[#This Row],[Hour]:[Hour]]&gt;=BZ$2),1,0)</f>
        <v>0</v>
      </c>
      <c r="CA80" s="377">
        <f>IFERROR(INDEX($H$4:$H$79,MATCH(INDEX(TblTech[[#Headers],[1-1]:[11-1]],1,MATCH(TblTech[[#This Row],[Hour]],$M$2:$BZ$2,0)),$G$4:$G$79,0)),)</f>
        <v>0</v>
      </c>
    </row>
    <row r="81" spans="1:79" x14ac:dyDescent="0.2">
      <c r="A81" s="268">
        <f>TblRezone[[#This Row],[Hour]]</f>
        <v>78</v>
      </c>
      <c r="B81" s="269">
        <f ca="1">TblExplore[[#This Row],[Land-DB]]</f>
        <v>50</v>
      </c>
      <c r="C81" s="270">
        <f ca="1">TblProd[[#This Row],[Techpoints]]</f>
        <v>0</v>
      </c>
      <c r="D81" s="270">
        <f ca="1">TblProd[[#This Row],[Required]]</f>
        <v>3750</v>
      </c>
      <c r="E81" s="279"/>
      <c r="F81" s="280"/>
      <c r="G81" s="273"/>
      <c r="H81" s="274"/>
      <c r="I81" s="274"/>
      <c r="J81" s="274"/>
      <c r="K81" s="93">
        <f ca="1">IF(TblTech[[#This Row],[Sum of tech]]&lt;&gt;OFFSET(TblTech[[#This Row],[Sum of tech]],-1,0),1,0)</f>
        <v>0</v>
      </c>
      <c r="L81" s="275">
        <f>COUNTIF(TblTech[[#This Row],[1-1]:[11-1]],1)</f>
        <v>0</v>
      </c>
      <c r="M81" s="276" cm="1">
        <f t="array" ref="M81">IF(AND(M$2&lt;&gt;0,TblTech[[#This Row],[Hour]:[Hour]]&gt;=M$2),1,0)</f>
        <v>0</v>
      </c>
      <c r="N81" s="276" cm="1">
        <f t="array" ref="N81">IF(AND(N$2&lt;&gt;0,TblTech[[#This Row],[Hour]:[Hour]]&gt;=N$2),1,0)</f>
        <v>0</v>
      </c>
      <c r="O81" s="276" cm="1">
        <f t="array" ref="O81">IF(AND(O$2&lt;&gt;0,TblTech[[#This Row],[Hour]:[Hour]]&gt;=O$2),1,0)</f>
        <v>0</v>
      </c>
      <c r="P81" s="276" cm="1">
        <f t="array" ref="P81">IF(AND(P$2&lt;&gt;0,TblTech[[#This Row],[Hour]:[Hour]]&gt;=P$2),1,0)</f>
        <v>0</v>
      </c>
      <c r="Q81" s="276" cm="1">
        <f t="array" ref="Q81">IF(AND(Q$2&lt;&gt;0,TblTech[[#This Row],[Hour]:[Hour]]&gt;=Q$2),1,0)</f>
        <v>0</v>
      </c>
      <c r="R81" s="276" cm="1">
        <f t="array" ref="R81">IF(AND(R$2&lt;&gt;0,TblTech[[#This Row],[Hour]:[Hour]]&gt;=R$2),1,0)</f>
        <v>0</v>
      </c>
      <c r="S81" s="276" cm="1">
        <f t="array" ref="S81">IF(AND(S$2&lt;&gt;0,TblTech[[#This Row],[Hour]:[Hour]]&gt;=S$2),1,0)</f>
        <v>0</v>
      </c>
      <c r="T81" s="276" cm="1">
        <f t="array" ref="T81">IF(AND(T$2&lt;&gt;0,TblTech[[#This Row],[Hour]:[Hour]]&gt;=T$2),1,0)</f>
        <v>0</v>
      </c>
      <c r="U81" s="276" cm="1">
        <f t="array" ref="U81">IF(AND(U$2&lt;&gt;0,TblTech[[#This Row],[Hour]:[Hour]]&gt;=U$2),1,0)</f>
        <v>0</v>
      </c>
      <c r="V81" s="276" cm="1">
        <f t="array" ref="V81">IF(AND(V$2&lt;&gt;0,TblTech[[#This Row],[Hour]:[Hour]]&gt;=V$2),1,0)</f>
        <v>0</v>
      </c>
      <c r="W81" s="276" cm="1">
        <f t="array" ref="W81">IF(AND(W$2&lt;&gt;0,TblTech[[#This Row],[Hour]:[Hour]]&gt;=W$2),1,0)</f>
        <v>0</v>
      </c>
      <c r="X81" s="276" cm="1">
        <f t="array" ref="X81">IF(AND(X$2&lt;&gt;0,TblTech[[#This Row],[Hour]:[Hour]]&gt;=X$2),1,0)</f>
        <v>0</v>
      </c>
      <c r="Y81" s="276" cm="1">
        <f t="array" ref="Y81">IF(AND(Y$2&lt;&gt;0,TblTech[[#This Row],[Hour]:[Hour]]&gt;=Y$2),1,0)</f>
        <v>0</v>
      </c>
      <c r="Z81" s="276" cm="1">
        <f t="array" ref="Z81">IF(AND(Z$2&lt;&gt;0,TblTech[[#This Row],[Hour]:[Hour]]&gt;=Z$2),1,0)</f>
        <v>0</v>
      </c>
      <c r="AA81" s="276" cm="1">
        <f t="array" ref="AA81">IF(AND(AA$2&lt;&gt;0,TblTech[[#This Row],[Hour]:[Hour]]&gt;=AA$2),1,0)</f>
        <v>0</v>
      </c>
      <c r="AB81" s="276" cm="1">
        <f t="array" ref="AB81">IF(AND(AB$2&lt;&gt;0,TblTech[[#This Row],[Hour]:[Hour]]&gt;=AB$2),1,0)</f>
        <v>0</v>
      </c>
      <c r="AC81" s="276" cm="1">
        <f t="array" ref="AC81">IF(AND(AC$2&lt;&gt;0,TblTech[[#This Row],[Hour]:[Hour]]&gt;=AC$2),1,0)</f>
        <v>0</v>
      </c>
      <c r="AD81" s="276" cm="1">
        <f t="array" ref="AD81">IF(AND(AD$2&lt;&gt;0,TblTech[[#This Row],[Hour]:[Hour]]&gt;=AD$2),1,0)</f>
        <v>0</v>
      </c>
      <c r="AE81" s="276" cm="1">
        <f t="array" ref="AE81">IF(AND(AE$2&lt;&gt;0,TblTech[[#This Row],[Hour]:[Hour]]&gt;=AE$2),1,0)</f>
        <v>0</v>
      </c>
      <c r="AF81" s="276" cm="1">
        <f t="array" ref="AF81">IF(AND(AF$2&lt;&gt;0,TblTech[[#This Row],[Hour]:[Hour]]&gt;=AF$2),1,0)</f>
        <v>0</v>
      </c>
      <c r="AG81" s="276" cm="1">
        <f t="array" ref="AG81">IF(AND(AG$2&lt;&gt;0,TblTech[[#This Row],[Hour]:[Hour]]&gt;=AG$2),1,0)</f>
        <v>0</v>
      </c>
      <c r="AH81" s="276" cm="1">
        <f t="array" ref="AH81">IF(AND(AH$2&lt;&gt;0,TblTech[[#This Row],[Hour]:[Hour]]&gt;=AH$2),1,0)</f>
        <v>0</v>
      </c>
      <c r="AI81" s="276" cm="1">
        <f t="array" ref="AI81">IF(AND(AI$2&lt;&gt;0,TblTech[[#This Row],[Hour]:[Hour]]&gt;=AI$2),1,0)</f>
        <v>0</v>
      </c>
      <c r="AJ81" s="276" cm="1">
        <f t="array" ref="AJ81">IF(AND(AJ$2&lt;&gt;0,TblTech[[#This Row],[Hour]:[Hour]]&gt;=AJ$2),1,0)</f>
        <v>0</v>
      </c>
      <c r="AK81" s="276" cm="1">
        <f t="array" ref="AK81">IF(AND(AK$2&lt;&gt;0,TblTech[[#This Row],[Hour]:[Hour]]&gt;=AK$2),1,0)</f>
        <v>0</v>
      </c>
      <c r="AL81" s="276" cm="1">
        <f t="array" ref="AL81">IF(AND(AL$2&lt;&gt;0,TblTech[[#This Row],[Hour]:[Hour]]&gt;=AL$2),1,0)</f>
        <v>0</v>
      </c>
      <c r="AM81" s="276" cm="1">
        <f t="array" ref="AM81">IF(AND(AM$2&lt;&gt;0,TblTech[[#This Row],[Hour]:[Hour]]&gt;=AM$2),1,0)</f>
        <v>0</v>
      </c>
      <c r="AN81" s="276" cm="1">
        <f t="array" ref="AN81">IF(AND(AN$2&lt;&gt;0,TblTech[[#This Row],[Hour]:[Hour]]&gt;=AN$2),1,0)</f>
        <v>0</v>
      </c>
      <c r="AO81" s="276" cm="1">
        <f t="array" ref="AO81">IF(AND(AO$2&lt;&gt;0,TblTech[[#This Row],[Hour]:[Hour]]&gt;=AO$2),1,0)</f>
        <v>0</v>
      </c>
      <c r="AP81" s="276" cm="1">
        <f t="array" ref="AP81">IF(AND(AP$2&lt;&gt;0,TblTech[[#This Row],[Hour]:[Hour]]&gt;=AP$2),1,0)</f>
        <v>0</v>
      </c>
      <c r="AQ81" s="276" cm="1">
        <f t="array" ref="AQ81">IF(AND(AQ$2&lt;&gt;0,TblTech[[#This Row],[Hour]:[Hour]]&gt;=AQ$2),1,0)</f>
        <v>0</v>
      </c>
      <c r="AR81" s="276" cm="1">
        <f t="array" ref="AR81">IF(AND(AR$2&lt;&gt;0,TblTech[[#This Row],[Hour]:[Hour]]&gt;=AR$2),1,0)</f>
        <v>0</v>
      </c>
      <c r="AS81" s="276" cm="1">
        <f t="array" ref="AS81">IF(AND(AS$2&lt;&gt;0,TblTech[[#This Row],[Hour]:[Hour]]&gt;=AS$2),1,0)</f>
        <v>0</v>
      </c>
      <c r="AT81" s="276" cm="1">
        <f t="array" ref="AT81">IF(AND(AT$2&lt;&gt;0,TblTech[[#This Row],[Hour]:[Hour]]&gt;=AT$2),1,0)</f>
        <v>0</v>
      </c>
      <c r="AU81" s="276" cm="1">
        <f t="array" ref="AU81">IF(AND(AU$2&lt;&gt;0,TblTech[[#This Row],[Hour]:[Hour]]&gt;=AU$2),1,0)</f>
        <v>0</v>
      </c>
      <c r="AV81" s="276" cm="1">
        <f t="array" ref="AV81">IF(AND(AV$2&lt;&gt;0,TblTech[[#This Row],[Hour]:[Hour]]&gt;=AV$2),1,0)</f>
        <v>0</v>
      </c>
      <c r="AW81" s="276" cm="1">
        <f t="array" ref="AW81">IF(AND(AW$2&lt;&gt;0,TblTech[[#This Row],[Hour]:[Hour]]&gt;=AW$2),1,0)</f>
        <v>0</v>
      </c>
      <c r="AX81" s="276" cm="1">
        <f t="array" ref="AX81">IF(AND(AX$2&lt;&gt;0,TblTech[[#This Row],[Hour]:[Hour]]&gt;=AX$2),1,0)</f>
        <v>0</v>
      </c>
      <c r="AY81" s="276" cm="1">
        <f t="array" ref="AY81">IF(AND(AY$2&lt;&gt;0,TblTech[[#This Row],[Hour]:[Hour]]&gt;=AY$2),1,0)</f>
        <v>0</v>
      </c>
      <c r="AZ81" s="276" cm="1">
        <f t="array" ref="AZ81">IF(AND(AZ$2&lt;&gt;0,TblTech[[#This Row],[Hour]:[Hour]]&gt;=AZ$2),1,0)</f>
        <v>0</v>
      </c>
      <c r="BA81" s="276" cm="1">
        <f t="array" ref="BA81">IF(AND(BA$2&lt;&gt;0,TblTech[[#This Row],[Hour]:[Hour]]&gt;=BA$2),1,0)</f>
        <v>0</v>
      </c>
      <c r="BB81" s="276" cm="1">
        <f t="array" ref="BB81">IF(AND(BB$2&lt;&gt;0,TblTech[[#This Row],[Hour]:[Hour]]&gt;=BB$2),1,0)</f>
        <v>0</v>
      </c>
      <c r="BC81" s="276" cm="1">
        <f t="array" ref="BC81">IF(AND(BC$2&lt;&gt;0,TblTech[[#This Row],[Hour]:[Hour]]&gt;=BC$2),1,0)</f>
        <v>0</v>
      </c>
      <c r="BD81" s="276" cm="1">
        <f t="array" ref="BD81">IF(AND(BD$2&lt;&gt;0,TblTech[[#This Row],[Hour]:[Hour]]&gt;=BD$2),1,0)</f>
        <v>0</v>
      </c>
      <c r="BE81" s="276" cm="1">
        <f t="array" ref="BE81">IF(AND(BE$2&lt;&gt;0,TblTech[[#This Row],[Hour]:[Hour]]&gt;=BE$2),1,0)</f>
        <v>0</v>
      </c>
      <c r="BF81" s="276" cm="1">
        <f t="array" ref="BF81">IF(AND(BF$2&lt;&gt;0,TblTech[[#This Row],[Hour]:[Hour]]&gt;=BF$2),1,0)</f>
        <v>0</v>
      </c>
      <c r="BG81" s="276" cm="1">
        <f t="array" ref="BG81">IF(AND(BG$2&lt;&gt;0,TblTech[[#This Row],[Hour]:[Hour]]&gt;=BG$2),1,0)</f>
        <v>0</v>
      </c>
      <c r="BH81" s="276" cm="1">
        <f t="array" ref="BH81">IF(AND(BH$2&lt;&gt;0,TblTech[[#This Row],[Hour]:[Hour]]&gt;=BH$2),1,0)</f>
        <v>0</v>
      </c>
      <c r="BI81" s="276" cm="1">
        <f t="array" ref="BI81">IF(AND(BI$2&lt;&gt;0,TblTech[[#This Row],[Hour]:[Hour]]&gt;=BI$2),1,0)</f>
        <v>0</v>
      </c>
      <c r="BJ81" s="276" cm="1">
        <f t="array" ref="BJ81">IF(AND(BJ$2&lt;&gt;0,TblTech[[#This Row],[Hour]:[Hour]]&gt;=BJ$2),1,0)</f>
        <v>0</v>
      </c>
      <c r="BK81" s="276" cm="1">
        <f t="array" ref="BK81">IF(AND(BK$2&lt;&gt;0,TblTech[[#This Row],[Hour]:[Hour]]&gt;=BK$2),1,0)</f>
        <v>0</v>
      </c>
      <c r="BL81" s="276" cm="1">
        <f t="array" ref="BL81">IF(AND(BL$2&lt;&gt;0,TblTech[[#This Row],[Hour]:[Hour]]&gt;=BL$2),1,0)</f>
        <v>0</v>
      </c>
      <c r="BM81" s="276" cm="1">
        <f t="array" ref="BM81">IF(AND(BM$2&lt;&gt;0,TblTech[[#This Row],[Hour]:[Hour]]&gt;=BM$2),1,0)</f>
        <v>0</v>
      </c>
      <c r="BN81" s="276" cm="1">
        <f t="array" ref="BN81">IF(AND(BN$2&lt;&gt;0,TblTech[[#This Row],[Hour]:[Hour]]&gt;=BN$2),1,0)</f>
        <v>0</v>
      </c>
      <c r="BO81" s="276" cm="1">
        <f t="array" ref="BO81">IF(AND(BO$2&lt;&gt;0,TblTech[[#This Row],[Hour]:[Hour]]&gt;=BO$2),1,0)</f>
        <v>0</v>
      </c>
      <c r="BP81" s="276" cm="1">
        <f t="array" ref="BP81">IF(AND(BP$2&lt;&gt;0,TblTech[[#This Row],[Hour]:[Hour]]&gt;=BP$2),1,0)</f>
        <v>0</v>
      </c>
      <c r="BQ81" s="276" cm="1">
        <f t="array" ref="BQ81">IF(AND(BQ$2&lt;&gt;0,TblTech[[#This Row],[Hour]:[Hour]]&gt;=BQ$2),1,0)</f>
        <v>0</v>
      </c>
      <c r="BR81" s="276" cm="1">
        <f t="array" ref="BR81">IF(AND(BR$2&lt;&gt;0,TblTech[[#This Row],[Hour]:[Hour]]&gt;=BR$2),1,0)</f>
        <v>0</v>
      </c>
      <c r="BS81" s="276" cm="1">
        <f t="array" ref="BS81">IF(AND(BS$2&lt;&gt;0,TblTech[[#This Row],[Hour]:[Hour]]&gt;=BS$2),1,0)</f>
        <v>0</v>
      </c>
      <c r="BT81" s="276" cm="1">
        <f t="array" ref="BT81">IF(AND(BT$2&lt;&gt;0,TblTech[[#This Row],[Hour]:[Hour]]&gt;=BT$2),1,0)</f>
        <v>0</v>
      </c>
      <c r="BU81" s="276" cm="1">
        <f t="array" ref="BU81">IF(AND(BU$2&lt;&gt;0,TblTech[[#This Row],[Hour]:[Hour]]&gt;=BU$2),1,0)</f>
        <v>0</v>
      </c>
      <c r="BV81" s="276" cm="1">
        <f t="array" ref="BV81">IF(AND(BV$2&lt;&gt;0,TblTech[[#This Row],[Hour]:[Hour]]&gt;=BV$2),1,0)</f>
        <v>0</v>
      </c>
      <c r="BW81" s="276" cm="1">
        <f t="array" ref="BW81">IF(AND(BW$2&lt;&gt;0,TblTech[[#This Row],[Hour]:[Hour]]&gt;=BW$2),1,0)</f>
        <v>0</v>
      </c>
      <c r="BX81" s="276" cm="1">
        <f t="array" ref="BX81">IF(AND(BX$2&lt;&gt;0,TblTech[[#This Row],[Hour]:[Hour]]&gt;=BX$2),1,0)</f>
        <v>0</v>
      </c>
      <c r="BY81" s="276" cm="1">
        <f t="array" ref="BY81">IF(AND(BY$2&lt;&gt;0,TblTech[[#This Row],[Hour]:[Hour]]&gt;=BY$2),1,0)</f>
        <v>0</v>
      </c>
      <c r="BZ81" s="276" cm="1">
        <f t="array" ref="BZ81">IF(AND(BZ$2&lt;&gt;0,TblTech[[#This Row],[Hour]:[Hour]]&gt;=BZ$2),1,0)</f>
        <v>0</v>
      </c>
      <c r="CA81" s="377">
        <f>IFERROR(INDEX($H$4:$H$79,MATCH(INDEX(TblTech[[#Headers],[1-1]:[11-1]],1,MATCH(TblTech[[#This Row],[Hour]],$M$2:$BZ$2,0)),$G$4:$G$79,0)),)</f>
        <v>0</v>
      </c>
    </row>
    <row r="82" spans="1:79" x14ac:dyDescent="0.2">
      <c r="A82" s="268">
        <f>TblRezone[[#This Row],[Hour]]</f>
        <v>79</v>
      </c>
      <c r="B82" s="269">
        <f ca="1">TblExplore[[#This Row],[Land-DB]]</f>
        <v>50</v>
      </c>
      <c r="C82" s="270">
        <f ca="1">TblProd[[#This Row],[Techpoints]]</f>
        <v>0</v>
      </c>
      <c r="D82" s="270">
        <f ca="1">TblProd[[#This Row],[Required]]</f>
        <v>3750</v>
      </c>
      <c r="E82" s="279"/>
      <c r="F82" s="280"/>
      <c r="G82" s="273" t="s">
        <v>968</v>
      </c>
      <c r="H82" s="274"/>
      <c r="I82" s="274"/>
      <c r="J82" s="274"/>
      <c r="K82" s="93">
        <f ca="1">IF(TblTech[[#This Row],[Sum of tech]]&lt;&gt;OFFSET(TblTech[[#This Row],[Sum of tech]],-1,0),1,0)</f>
        <v>0</v>
      </c>
      <c r="L82" s="275">
        <f>COUNTIF(TblTech[[#This Row],[1-1]:[11-1]],1)</f>
        <v>0</v>
      </c>
      <c r="M82" s="276" cm="1">
        <f t="array" ref="M82">IF(AND(M$2&lt;&gt;0,TblTech[[#This Row],[Hour]:[Hour]]&gt;=M$2),1,0)</f>
        <v>0</v>
      </c>
      <c r="N82" s="276" cm="1">
        <f t="array" ref="N82">IF(AND(N$2&lt;&gt;0,TblTech[[#This Row],[Hour]:[Hour]]&gt;=N$2),1,0)</f>
        <v>0</v>
      </c>
      <c r="O82" s="276" cm="1">
        <f t="array" ref="O82">IF(AND(O$2&lt;&gt;0,TblTech[[#This Row],[Hour]:[Hour]]&gt;=O$2),1,0)</f>
        <v>0</v>
      </c>
      <c r="P82" s="276" cm="1">
        <f t="array" ref="P82">IF(AND(P$2&lt;&gt;0,TblTech[[#This Row],[Hour]:[Hour]]&gt;=P$2),1,0)</f>
        <v>0</v>
      </c>
      <c r="Q82" s="276" cm="1">
        <f t="array" ref="Q82">IF(AND(Q$2&lt;&gt;0,TblTech[[#This Row],[Hour]:[Hour]]&gt;=Q$2),1,0)</f>
        <v>0</v>
      </c>
      <c r="R82" s="276" cm="1">
        <f t="array" ref="R82">IF(AND(R$2&lt;&gt;0,TblTech[[#This Row],[Hour]:[Hour]]&gt;=R$2),1,0)</f>
        <v>0</v>
      </c>
      <c r="S82" s="276" cm="1">
        <f t="array" ref="S82">IF(AND(S$2&lt;&gt;0,TblTech[[#This Row],[Hour]:[Hour]]&gt;=S$2),1,0)</f>
        <v>0</v>
      </c>
      <c r="T82" s="276" cm="1">
        <f t="array" ref="T82">IF(AND(T$2&lt;&gt;0,TblTech[[#This Row],[Hour]:[Hour]]&gt;=T$2),1,0)</f>
        <v>0</v>
      </c>
      <c r="U82" s="276" cm="1">
        <f t="array" ref="U82">IF(AND(U$2&lt;&gt;0,TblTech[[#This Row],[Hour]:[Hour]]&gt;=U$2),1,0)</f>
        <v>0</v>
      </c>
      <c r="V82" s="276" cm="1">
        <f t="array" ref="V82">IF(AND(V$2&lt;&gt;0,TblTech[[#This Row],[Hour]:[Hour]]&gt;=V$2),1,0)</f>
        <v>0</v>
      </c>
      <c r="W82" s="276" cm="1">
        <f t="array" ref="W82">IF(AND(W$2&lt;&gt;0,TblTech[[#This Row],[Hour]:[Hour]]&gt;=W$2),1,0)</f>
        <v>0</v>
      </c>
      <c r="X82" s="276" cm="1">
        <f t="array" ref="X82">IF(AND(X$2&lt;&gt;0,TblTech[[#This Row],[Hour]:[Hour]]&gt;=X$2),1,0)</f>
        <v>0</v>
      </c>
      <c r="Y82" s="276" cm="1">
        <f t="array" ref="Y82">IF(AND(Y$2&lt;&gt;0,TblTech[[#This Row],[Hour]:[Hour]]&gt;=Y$2),1,0)</f>
        <v>0</v>
      </c>
      <c r="Z82" s="276" cm="1">
        <f t="array" ref="Z82">IF(AND(Z$2&lt;&gt;0,TblTech[[#This Row],[Hour]:[Hour]]&gt;=Z$2),1,0)</f>
        <v>0</v>
      </c>
      <c r="AA82" s="276" cm="1">
        <f t="array" ref="AA82">IF(AND(AA$2&lt;&gt;0,TblTech[[#This Row],[Hour]:[Hour]]&gt;=AA$2),1,0)</f>
        <v>0</v>
      </c>
      <c r="AB82" s="276" cm="1">
        <f t="array" ref="AB82">IF(AND(AB$2&lt;&gt;0,TblTech[[#This Row],[Hour]:[Hour]]&gt;=AB$2),1,0)</f>
        <v>0</v>
      </c>
      <c r="AC82" s="276" cm="1">
        <f t="array" ref="AC82">IF(AND(AC$2&lt;&gt;0,TblTech[[#This Row],[Hour]:[Hour]]&gt;=AC$2),1,0)</f>
        <v>0</v>
      </c>
      <c r="AD82" s="276" cm="1">
        <f t="array" ref="AD82">IF(AND(AD$2&lt;&gt;0,TblTech[[#This Row],[Hour]:[Hour]]&gt;=AD$2),1,0)</f>
        <v>0</v>
      </c>
      <c r="AE82" s="276" cm="1">
        <f t="array" ref="AE82">IF(AND(AE$2&lt;&gt;0,TblTech[[#This Row],[Hour]:[Hour]]&gt;=AE$2),1,0)</f>
        <v>0</v>
      </c>
      <c r="AF82" s="276" cm="1">
        <f t="array" ref="AF82">IF(AND(AF$2&lt;&gt;0,TblTech[[#This Row],[Hour]:[Hour]]&gt;=AF$2),1,0)</f>
        <v>0</v>
      </c>
      <c r="AG82" s="276" cm="1">
        <f t="array" ref="AG82">IF(AND(AG$2&lt;&gt;0,TblTech[[#This Row],[Hour]:[Hour]]&gt;=AG$2),1,0)</f>
        <v>0</v>
      </c>
      <c r="AH82" s="276" cm="1">
        <f t="array" ref="AH82">IF(AND(AH$2&lt;&gt;0,TblTech[[#This Row],[Hour]:[Hour]]&gt;=AH$2),1,0)</f>
        <v>0</v>
      </c>
      <c r="AI82" s="276" cm="1">
        <f t="array" ref="AI82">IF(AND(AI$2&lt;&gt;0,TblTech[[#This Row],[Hour]:[Hour]]&gt;=AI$2),1,0)</f>
        <v>0</v>
      </c>
      <c r="AJ82" s="276" cm="1">
        <f t="array" ref="AJ82">IF(AND(AJ$2&lt;&gt;0,TblTech[[#This Row],[Hour]:[Hour]]&gt;=AJ$2),1,0)</f>
        <v>0</v>
      </c>
      <c r="AK82" s="276" cm="1">
        <f t="array" ref="AK82">IF(AND(AK$2&lt;&gt;0,TblTech[[#This Row],[Hour]:[Hour]]&gt;=AK$2),1,0)</f>
        <v>0</v>
      </c>
      <c r="AL82" s="276" cm="1">
        <f t="array" ref="AL82">IF(AND(AL$2&lt;&gt;0,TblTech[[#This Row],[Hour]:[Hour]]&gt;=AL$2),1,0)</f>
        <v>0</v>
      </c>
      <c r="AM82" s="276" cm="1">
        <f t="array" ref="AM82">IF(AND(AM$2&lt;&gt;0,TblTech[[#This Row],[Hour]:[Hour]]&gt;=AM$2),1,0)</f>
        <v>0</v>
      </c>
      <c r="AN82" s="276" cm="1">
        <f t="array" ref="AN82">IF(AND(AN$2&lt;&gt;0,TblTech[[#This Row],[Hour]:[Hour]]&gt;=AN$2),1,0)</f>
        <v>0</v>
      </c>
      <c r="AO82" s="276" cm="1">
        <f t="array" ref="AO82">IF(AND(AO$2&lt;&gt;0,TblTech[[#This Row],[Hour]:[Hour]]&gt;=AO$2),1,0)</f>
        <v>0</v>
      </c>
      <c r="AP82" s="276" cm="1">
        <f t="array" ref="AP82">IF(AND(AP$2&lt;&gt;0,TblTech[[#This Row],[Hour]:[Hour]]&gt;=AP$2),1,0)</f>
        <v>0</v>
      </c>
      <c r="AQ82" s="276" cm="1">
        <f t="array" ref="AQ82">IF(AND(AQ$2&lt;&gt;0,TblTech[[#This Row],[Hour]:[Hour]]&gt;=AQ$2),1,0)</f>
        <v>0</v>
      </c>
      <c r="AR82" s="276" cm="1">
        <f t="array" ref="AR82">IF(AND(AR$2&lt;&gt;0,TblTech[[#This Row],[Hour]:[Hour]]&gt;=AR$2),1,0)</f>
        <v>0</v>
      </c>
      <c r="AS82" s="276" cm="1">
        <f t="array" ref="AS82">IF(AND(AS$2&lt;&gt;0,TblTech[[#This Row],[Hour]:[Hour]]&gt;=AS$2),1,0)</f>
        <v>0</v>
      </c>
      <c r="AT82" s="276" cm="1">
        <f t="array" ref="AT82">IF(AND(AT$2&lt;&gt;0,TblTech[[#This Row],[Hour]:[Hour]]&gt;=AT$2),1,0)</f>
        <v>0</v>
      </c>
      <c r="AU82" s="276" cm="1">
        <f t="array" ref="AU82">IF(AND(AU$2&lt;&gt;0,TblTech[[#This Row],[Hour]:[Hour]]&gt;=AU$2),1,0)</f>
        <v>0</v>
      </c>
      <c r="AV82" s="276" cm="1">
        <f t="array" ref="AV82">IF(AND(AV$2&lt;&gt;0,TblTech[[#This Row],[Hour]:[Hour]]&gt;=AV$2),1,0)</f>
        <v>0</v>
      </c>
      <c r="AW82" s="276" cm="1">
        <f t="array" ref="AW82">IF(AND(AW$2&lt;&gt;0,TblTech[[#This Row],[Hour]:[Hour]]&gt;=AW$2),1,0)</f>
        <v>0</v>
      </c>
      <c r="AX82" s="276" cm="1">
        <f t="array" ref="AX82">IF(AND(AX$2&lt;&gt;0,TblTech[[#This Row],[Hour]:[Hour]]&gt;=AX$2),1,0)</f>
        <v>0</v>
      </c>
      <c r="AY82" s="276" cm="1">
        <f t="array" ref="AY82">IF(AND(AY$2&lt;&gt;0,TblTech[[#This Row],[Hour]:[Hour]]&gt;=AY$2),1,0)</f>
        <v>0</v>
      </c>
      <c r="AZ82" s="276" cm="1">
        <f t="array" ref="AZ82">IF(AND(AZ$2&lt;&gt;0,TblTech[[#This Row],[Hour]:[Hour]]&gt;=AZ$2),1,0)</f>
        <v>0</v>
      </c>
      <c r="BA82" s="276" cm="1">
        <f t="array" ref="BA82">IF(AND(BA$2&lt;&gt;0,TblTech[[#This Row],[Hour]:[Hour]]&gt;=BA$2),1,0)</f>
        <v>0</v>
      </c>
      <c r="BB82" s="276" cm="1">
        <f t="array" ref="BB82">IF(AND(BB$2&lt;&gt;0,TblTech[[#This Row],[Hour]:[Hour]]&gt;=BB$2),1,0)</f>
        <v>0</v>
      </c>
      <c r="BC82" s="276" cm="1">
        <f t="array" ref="BC82">IF(AND(BC$2&lt;&gt;0,TblTech[[#This Row],[Hour]:[Hour]]&gt;=BC$2),1,0)</f>
        <v>0</v>
      </c>
      <c r="BD82" s="276" cm="1">
        <f t="array" ref="BD82">IF(AND(BD$2&lt;&gt;0,TblTech[[#This Row],[Hour]:[Hour]]&gt;=BD$2),1,0)</f>
        <v>0</v>
      </c>
      <c r="BE82" s="276" cm="1">
        <f t="array" ref="BE82">IF(AND(BE$2&lt;&gt;0,TblTech[[#This Row],[Hour]:[Hour]]&gt;=BE$2),1,0)</f>
        <v>0</v>
      </c>
      <c r="BF82" s="276" cm="1">
        <f t="array" ref="BF82">IF(AND(BF$2&lt;&gt;0,TblTech[[#This Row],[Hour]:[Hour]]&gt;=BF$2),1,0)</f>
        <v>0</v>
      </c>
      <c r="BG82" s="276" cm="1">
        <f t="array" ref="BG82">IF(AND(BG$2&lt;&gt;0,TblTech[[#This Row],[Hour]:[Hour]]&gt;=BG$2),1,0)</f>
        <v>0</v>
      </c>
      <c r="BH82" s="276" cm="1">
        <f t="array" ref="BH82">IF(AND(BH$2&lt;&gt;0,TblTech[[#This Row],[Hour]:[Hour]]&gt;=BH$2),1,0)</f>
        <v>0</v>
      </c>
      <c r="BI82" s="276" cm="1">
        <f t="array" ref="BI82">IF(AND(BI$2&lt;&gt;0,TblTech[[#This Row],[Hour]:[Hour]]&gt;=BI$2),1,0)</f>
        <v>0</v>
      </c>
      <c r="BJ82" s="276" cm="1">
        <f t="array" ref="BJ82">IF(AND(BJ$2&lt;&gt;0,TblTech[[#This Row],[Hour]:[Hour]]&gt;=BJ$2),1,0)</f>
        <v>0</v>
      </c>
      <c r="BK82" s="276" cm="1">
        <f t="array" ref="BK82">IF(AND(BK$2&lt;&gt;0,TblTech[[#This Row],[Hour]:[Hour]]&gt;=BK$2),1,0)</f>
        <v>0</v>
      </c>
      <c r="BL82" s="276" cm="1">
        <f t="array" ref="BL82">IF(AND(BL$2&lt;&gt;0,TblTech[[#This Row],[Hour]:[Hour]]&gt;=BL$2),1,0)</f>
        <v>0</v>
      </c>
      <c r="BM82" s="276" cm="1">
        <f t="array" ref="BM82">IF(AND(BM$2&lt;&gt;0,TblTech[[#This Row],[Hour]:[Hour]]&gt;=BM$2),1,0)</f>
        <v>0</v>
      </c>
      <c r="BN82" s="276" cm="1">
        <f t="array" ref="BN82">IF(AND(BN$2&lt;&gt;0,TblTech[[#This Row],[Hour]:[Hour]]&gt;=BN$2),1,0)</f>
        <v>0</v>
      </c>
      <c r="BO82" s="276" cm="1">
        <f t="array" ref="BO82">IF(AND(BO$2&lt;&gt;0,TblTech[[#This Row],[Hour]:[Hour]]&gt;=BO$2),1,0)</f>
        <v>0</v>
      </c>
      <c r="BP82" s="276" cm="1">
        <f t="array" ref="BP82">IF(AND(BP$2&lt;&gt;0,TblTech[[#This Row],[Hour]:[Hour]]&gt;=BP$2),1,0)</f>
        <v>0</v>
      </c>
      <c r="BQ82" s="276" cm="1">
        <f t="array" ref="BQ82">IF(AND(BQ$2&lt;&gt;0,TblTech[[#This Row],[Hour]:[Hour]]&gt;=BQ$2),1,0)</f>
        <v>0</v>
      </c>
      <c r="BR82" s="276" cm="1">
        <f t="array" ref="BR82">IF(AND(BR$2&lt;&gt;0,TblTech[[#This Row],[Hour]:[Hour]]&gt;=BR$2),1,0)</f>
        <v>0</v>
      </c>
      <c r="BS82" s="276" cm="1">
        <f t="array" ref="BS82">IF(AND(BS$2&lt;&gt;0,TblTech[[#This Row],[Hour]:[Hour]]&gt;=BS$2),1,0)</f>
        <v>0</v>
      </c>
      <c r="BT82" s="276" cm="1">
        <f t="array" ref="BT82">IF(AND(BT$2&lt;&gt;0,TblTech[[#This Row],[Hour]:[Hour]]&gt;=BT$2),1,0)</f>
        <v>0</v>
      </c>
      <c r="BU82" s="276" cm="1">
        <f t="array" ref="BU82">IF(AND(BU$2&lt;&gt;0,TblTech[[#This Row],[Hour]:[Hour]]&gt;=BU$2),1,0)</f>
        <v>0</v>
      </c>
      <c r="BV82" s="276" cm="1">
        <f t="array" ref="BV82">IF(AND(BV$2&lt;&gt;0,TblTech[[#This Row],[Hour]:[Hour]]&gt;=BV$2),1,0)</f>
        <v>0</v>
      </c>
      <c r="BW82" s="276" cm="1">
        <f t="array" ref="BW82">IF(AND(BW$2&lt;&gt;0,TblTech[[#This Row],[Hour]:[Hour]]&gt;=BW$2),1,0)</f>
        <v>0</v>
      </c>
      <c r="BX82" s="276" cm="1">
        <f t="array" ref="BX82">IF(AND(BX$2&lt;&gt;0,TblTech[[#This Row],[Hour]:[Hour]]&gt;=BX$2),1,0)</f>
        <v>0</v>
      </c>
      <c r="BY82" s="276" cm="1">
        <f t="array" ref="BY82">IF(AND(BY$2&lt;&gt;0,TblTech[[#This Row],[Hour]:[Hour]]&gt;=BY$2),1,0)</f>
        <v>0</v>
      </c>
      <c r="BZ82" s="276" cm="1">
        <f t="array" ref="BZ82">IF(AND(BZ$2&lt;&gt;0,TblTech[[#This Row],[Hour]:[Hour]]&gt;=BZ$2),1,0)</f>
        <v>0</v>
      </c>
      <c r="CA82" s="377">
        <f>IFERROR(INDEX($H$4:$H$79,MATCH(INDEX(TblTech[[#Headers],[1-1]:[11-1]],1,MATCH(TblTech[[#This Row],[Hour]],$M$2:$BZ$2,0)),$G$4:$G$79,0)),)</f>
        <v>0</v>
      </c>
    </row>
    <row r="83" spans="1:79" x14ac:dyDescent="0.2">
      <c r="A83" s="268">
        <f>TblRezone[[#This Row],[Hour]]</f>
        <v>80</v>
      </c>
      <c r="B83" s="269">
        <f ca="1">TblExplore[[#This Row],[Land-DB]]</f>
        <v>50</v>
      </c>
      <c r="C83" s="270">
        <f ca="1">TblProd[[#This Row],[Techpoints]]</f>
        <v>0</v>
      </c>
      <c r="D83" s="270">
        <f ca="1">TblProd[[#This Row],[Required]]</f>
        <v>3750</v>
      </c>
      <c r="E83" s="279"/>
      <c r="F83" s="280"/>
      <c r="G83" s="273"/>
      <c r="H83" s="274"/>
      <c r="I83" s="274"/>
      <c r="J83" s="274"/>
      <c r="K83" s="93">
        <f ca="1">IF(TblTech[[#This Row],[Sum of tech]]&lt;&gt;OFFSET(TblTech[[#This Row],[Sum of tech]],-1,0),1,0)</f>
        <v>0</v>
      </c>
      <c r="L83" s="275">
        <f>COUNTIF(TblTech[[#This Row],[1-1]:[11-1]],1)</f>
        <v>0</v>
      </c>
      <c r="M83" s="276" cm="1">
        <f t="array" ref="M83">IF(AND(M$2&lt;&gt;0,TblTech[[#This Row],[Hour]:[Hour]]&gt;=M$2),1,0)</f>
        <v>0</v>
      </c>
      <c r="N83" s="276" cm="1">
        <f t="array" ref="N83">IF(AND(N$2&lt;&gt;0,TblTech[[#This Row],[Hour]:[Hour]]&gt;=N$2),1,0)</f>
        <v>0</v>
      </c>
      <c r="O83" s="276" cm="1">
        <f t="array" ref="O83">IF(AND(O$2&lt;&gt;0,TblTech[[#This Row],[Hour]:[Hour]]&gt;=O$2),1,0)</f>
        <v>0</v>
      </c>
      <c r="P83" s="276" cm="1">
        <f t="array" ref="P83">IF(AND(P$2&lt;&gt;0,TblTech[[#This Row],[Hour]:[Hour]]&gt;=P$2),1,0)</f>
        <v>0</v>
      </c>
      <c r="Q83" s="276" cm="1">
        <f t="array" ref="Q83">IF(AND(Q$2&lt;&gt;0,TblTech[[#This Row],[Hour]:[Hour]]&gt;=Q$2),1,0)</f>
        <v>0</v>
      </c>
      <c r="R83" s="276" cm="1">
        <f t="array" ref="R83">IF(AND(R$2&lt;&gt;0,TblTech[[#This Row],[Hour]:[Hour]]&gt;=R$2),1,0)</f>
        <v>0</v>
      </c>
      <c r="S83" s="276" cm="1">
        <f t="array" ref="S83">IF(AND(S$2&lt;&gt;0,TblTech[[#This Row],[Hour]:[Hour]]&gt;=S$2),1,0)</f>
        <v>0</v>
      </c>
      <c r="T83" s="276" cm="1">
        <f t="array" ref="T83">IF(AND(T$2&lt;&gt;0,TblTech[[#This Row],[Hour]:[Hour]]&gt;=T$2),1,0)</f>
        <v>0</v>
      </c>
      <c r="U83" s="276" cm="1">
        <f t="array" ref="U83">IF(AND(U$2&lt;&gt;0,TblTech[[#This Row],[Hour]:[Hour]]&gt;=U$2),1,0)</f>
        <v>0</v>
      </c>
      <c r="V83" s="276" cm="1">
        <f t="array" ref="V83">IF(AND(V$2&lt;&gt;0,TblTech[[#This Row],[Hour]:[Hour]]&gt;=V$2),1,0)</f>
        <v>0</v>
      </c>
      <c r="W83" s="276" cm="1">
        <f t="array" ref="W83">IF(AND(W$2&lt;&gt;0,TblTech[[#This Row],[Hour]:[Hour]]&gt;=W$2),1,0)</f>
        <v>0</v>
      </c>
      <c r="X83" s="276" cm="1">
        <f t="array" ref="X83">IF(AND(X$2&lt;&gt;0,TblTech[[#This Row],[Hour]:[Hour]]&gt;=X$2),1,0)</f>
        <v>0</v>
      </c>
      <c r="Y83" s="276" cm="1">
        <f t="array" ref="Y83">IF(AND(Y$2&lt;&gt;0,TblTech[[#This Row],[Hour]:[Hour]]&gt;=Y$2),1,0)</f>
        <v>0</v>
      </c>
      <c r="Z83" s="276" cm="1">
        <f t="array" ref="Z83">IF(AND(Z$2&lt;&gt;0,TblTech[[#This Row],[Hour]:[Hour]]&gt;=Z$2),1,0)</f>
        <v>0</v>
      </c>
      <c r="AA83" s="276" cm="1">
        <f t="array" ref="AA83">IF(AND(AA$2&lt;&gt;0,TblTech[[#This Row],[Hour]:[Hour]]&gt;=AA$2),1,0)</f>
        <v>0</v>
      </c>
      <c r="AB83" s="276" cm="1">
        <f t="array" ref="AB83">IF(AND(AB$2&lt;&gt;0,TblTech[[#This Row],[Hour]:[Hour]]&gt;=AB$2),1,0)</f>
        <v>0</v>
      </c>
      <c r="AC83" s="276" cm="1">
        <f t="array" ref="AC83">IF(AND(AC$2&lt;&gt;0,TblTech[[#This Row],[Hour]:[Hour]]&gt;=AC$2),1,0)</f>
        <v>0</v>
      </c>
      <c r="AD83" s="276" cm="1">
        <f t="array" ref="AD83">IF(AND(AD$2&lt;&gt;0,TblTech[[#This Row],[Hour]:[Hour]]&gt;=AD$2),1,0)</f>
        <v>0</v>
      </c>
      <c r="AE83" s="276" cm="1">
        <f t="array" ref="AE83">IF(AND(AE$2&lt;&gt;0,TblTech[[#This Row],[Hour]:[Hour]]&gt;=AE$2),1,0)</f>
        <v>0</v>
      </c>
      <c r="AF83" s="276" cm="1">
        <f t="array" ref="AF83">IF(AND(AF$2&lt;&gt;0,TblTech[[#This Row],[Hour]:[Hour]]&gt;=AF$2),1,0)</f>
        <v>0</v>
      </c>
      <c r="AG83" s="276" cm="1">
        <f t="array" ref="AG83">IF(AND(AG$2&lt;&gt;0,TblTech[[#This Row],[Hour]:[Hour]]&gt;=AG$2),1,0)</f>
        <v>0</v>
      </c>
      <c r="AH83" s="276" cm="1">
        <f t="array" ref="AH83">IF(AND(AH$2&lt;&gt;0,TblTech[[#This Row],[Hour]:[Hour]]&gt;=AH$2),1,0)</f>
        <v>0</v>
      </c>
      <c r="AI83" s="276" cm="1">
        <f t="array" ref="AI83">IF(AND(AI$2&lt;&gt;0,TblTech[[#This Row],[Hour]:[Hour]]&gt;=AI$2),1,0)</f>
        <v>0</v>
      </c>
      <c r="AJ83" s="276" cm="1">
        <f t="array" ref="AJ83">IF(AND(AJ$2&lt;&gt;0,TblTech[[#This Row],[Hour]:[Hour]]&gt;=AJ$2),1,0)</f>
        <v>0</v>
      </c>
      <c r="AK83" s="276" cm="1">
        <f t="array" ref="AK83">IF(AND(AK$2&lt;&gt;0,TblTech[[#This Row],[Hour]:[Hour]]&gt;=AK$2),1,0)</f>
        <v>0</v>
      </c>
      <c r="AL83" s="276" cm="1">
        <f t="array" ref="AL83">IF(AND(AL$2&lt;&gt;0,TblTech[[#This Row],[Hour]:[Hour]]&gt;=AL$2),1,0)</f>
        <v>0</v>
      </c>
      <c r="AM83" s="276" cm="1">
        <f t="array" ref="AM83">IF(AND(AM$2&lt;&gt;0,TblTech[[#This Row],[Hour]:[Hour]]&gt;=AM$2),1,0)</f>
        <v>0</v>
      </c>
      <c r="AN83" s="276" cm="1">
        <f t="array" ref="AN83">IF(AND(AN$2&lt;&gt;0,TblTech[[#This Row],[Hour]:[Hour]]&gt;=AN$2),1,0)</f>
        <v>0</v>
      </c>
      <c r="AO83" s="276" cm="1">
        <f t="array" ref="AO83">IF(AND(AO$2&lt;&gt;0,TblTech[[#This Row],[Hour]:[Hour]]&gt;=AO$2),1,0)</f>
        <v>0</v>
      </c>
      <c r="AP83" s="276" cm="1">
        <f t="array" ref="AP83">IF(AND(AP$2&lt;&gt;0,TblTech[[#This Row],[Hour]:[Hour]]&gt;=AP$2),1,0)</f>
        <v>0</v>
      </c>
      <c r="AQ83" s="276" cm="1">
        <f t="array" ref="AQ83">IF(AND(AQ$2&lt;&gt;0,TblTech[[#This Row],[Hour]:[Hour]]&gt;=AQ$2),1,0)</f>
        <v>0</v>
      </c>
      <c r="AR83" s="276" cm="1">
        <f t="array" ref="AR83">IF(AND(AR$2&lt;&gt;0,TblTech[[#This Row],[Hour]:[Hour]]&gt;=AR$2),1,0)</f>
        <v>0</v>
      </c>
      <c r="AS83" s="276" cm="1">
        <f t="array" ref="AS83">IF(AND(AS$2&lt;&gt;0,TblTech[[#This Row],[Hour]:[Hour]]&gt;=AS$2),1,0)</f>
        <v>0</v>
      </c>
      <c r="AT83" s="276" cm="1">
        <f t="array" ref="AT83">IF(AND(AT$2&lt;&gt;0,TblTech[[#This Row],[Hour]:[Hour]]&gt;=AT$2),1,0)</f>
        <v>0</v>
      </c>
      <c r="AU83" s="276" cm="1">
        <f t="array" ref="AU83">IF(AND(AU$2&lt;&gt;0,TblTech[[#This Row],[Hour]:[Hour]]&gt;=AU$2),1,0)</f>
        <v>0</v>
      </c>
      <c r="AV83" s="276" cm="1">
        <f t="array" ref="AV83">IF(AND(AV$2&lt;&gt;0,TblTech[[#This Row],[Hour]:[Hour]]&gt;=AV$2),1,0)</f>
        <v>0</v>
      </c>
      <c r="AW83" s="276" cm="1">
        <f t="array" ref="AW83">IF(AND(AW$2&lt;&gt;0,TblTech[[#This Row],[Hour]:[Hour]]&gt;=AW$2),1,0)</f>
        <v>0</v>
      </c>
      <c r="AX83" s="276" cm="1">
        <f t="array" ref="AX83">IF(AND(AX$2&lt;&gt;0,TblTech[[#This Row],[Hour]:[Hour]]&gt;=AX$2),1,0)</f>
        <v>0</v>
      </c>
      <c r="AY83" s="276" cm="1">
        <f t="array" ref="AY83">IF(AND(AY$2&lt;&gt;0,TblTech[[#This Row],[Hour]:[Hour]]&gt;=AY$2),1,0)</f>
        <v>0</v>
      </c>
      <c r="AZ83" s="276" cm="1">
        <f t="array" ref="AZ83">IF(AND(AZ$2&lt;&gt;0,TblTech[[#This Row],[Hour]:[Hour]]&gt;=AZ$2),1,0)</f>
        <v>0</v>
      </c>
      <c r="BA83" s="276" cm="1">
        <f t="array" ref="BA83">IF(AND(BA$2&lt;&gt;0,TblTech[[#This Row],[Hour]:[Hour]]&gt;=BA$2),1,0)</f>
        <v>0</v>
      </c>
      <c r="BB83" s="276" cm="1">
        <f t="array" ref="BB83">IF(AND(BB$2&lt;&gt;0,TblTech[[#This Row],[Hour]:[Hour]]&gt;=BB$2),1,0)</f>
        <v>0</v>
      </c>
      <c r="BC83" s="276" cm="1">
        <f t="array" ref="BC83">IF(AND(BC$2&lt;&gt;0,TblTech[[#This Row],[Hour]:[Hour]]&gt;=BC$2),1,0)</f>
        <v>0</v>
      </c>
      <c r="BD83" s="276" cm="1">
        <f t="array" ref="BD83">IF(AND(BD$2&lt;&gt;0,TblTech[[#This Row],[Hour]:[Hour]]&gt;=BD$2),1,0)</f>
        <v>0</v>
      </c>
      <c r="BE83" s="276" cm="1">
        <f t="array" ref="BE83">IF(AND(BE$2&lt;&gt;0,TblTech[[#This Row],[Hour]:[Hour]]&gt;=BE$2),1,0)</f>
        <v>0</v>
      </c>
      <c r="BF83" s="276" cm="1">
        <f t="array" ref="BF83">IF(AND(BF$2&lt;&gt;0,TblTech[[#This Row],[Hour]:[Hour]]&gt;=BF$2),1,0)</f>
        <v>0</v>
      </c>
      <c r="BG83" s="276" cm="1">
        <f t="array" ref="BG83">IF(AND(BG$2&lt;&gt;0,TblTech[[#This Row],[Hour]:[Hour]]&gt;=BG$2),1,0)</f>
        <v>0</v>
      </c>
      <c r="BH83" s="276" cm="1">
        <f t="array" ref="BH83">IF(AND(BH$2&lt;&gt;0,TblTech[[#This Row],[Hour]:[Hour]]&gt;=BH$2),1,0)</f>
        <v>0</v>
      </c>
      <c r="BI83" s="276" cm="1">
        <f t="array" ref="BI83">IF(AND(BI$2&lt;&gt;0,TblTech[[#This Row],[Hour]:[Hour]]&gt;=BI$2),1,0)</f>
        <v>0</v>
      </c>
      <c r="BJ83" s="276" cm="1">
        <f t="array" ref="BJ83">IF(AND(BJ$2&lt;&gt;0,TblTech[[#This Row],[Hour]:[Hour]]&gt;=BJ$2),1,0)</f>
        <v>0</v>
      </c>
      <c r="BK83" s="276" cm="1">
        <f t="array" ref="BK83">IF(AND(BK$2&lt;&gt;0,TblTech[[#This Row],[Hour]:[Hour]]&gt;=BK$2),1,0)</f>
        <v>0</v>
      </c>
      <c r="BL83" s="276" cm="1">
        <f t="array" ref="BL83">IF(AND(BL$2&lt;&gt;0,TblTech[[#This Row],[Hour]:[Hour]]&gt;=BL$2),1,0)</f>
        <v>0</v>
      </c>
      <c r="BM83" s="276" cm="1">
        <f t="array" ref="BM83">IF(AND(BM$2&lt;&gt;0,TblTech[[#This Row],[Hour]:[Hour]]&gt;=BM$2),1,0)</f>
        <v>0</v>
      </c>
      <c r="BN83" s="276" cm="1">
        <f t="array" ref="BN83">IF(AND(BN$2&lt;&gt;0,TblTech[[#This Row],[Hour]:[Hour]]&gt;=BN$2),1,0)</f>
        <v>0</v>
      </c>
      <c r="BO83" s="276" cm="1">
        <f t="array" ref="BO83">IF(AND(BO$2&lt;&gt;0,TblTech[[#This Row],[Hour]:[Hour]]&gt;=BO$2),1,0)</f>
        <v>0</v>
      </c>
      <c r="BP83" s="276" cm="1">
        <f t="array" ref="BP83">IF(AND(BP$2&lt;&gt;0,TblTech[[#This Row],[Hour]:[Hour]]&gt;=BP$2),1,0)</f>
        <v>0</v>
      </c>
      <c r="BQ83" s="276" cm="1">
        <f t="array" ref="BQ83">IF(AND(BQ$2&lt;&gt;0,TblTech[[#This Row],[Hour]:[Hour]]&gt;=BQ$2),1,0)</f>
        <v>0</v>
      </c>
      <c r="BR83" s="276" cm="1">
        <f t="array" ref="BR83">IF(AND(BR$2&lt;&gt;0,TblTech[[#This Row],[Hour]:[Hour]]&gt;=BR$2),1,0)</f>
        <v>0</v>
      </c>
      <c r="BS83" s="276" cm="1">
        <f t="array" ref="BS83">IF(AND(BS$2&lt;&gt;0,TblTech[[#This Row],[Hour]:[Hour]]&gt;=BS$2),1,0)</f>
        <v>0</v>
      </c>
      <c r="BT83" s="276" cm="1">
        <f t="array" ref="BT83">IF(AND(BT$2&lt;&gt;0,TblTech[[#This Row],[Hour]:[Hour]]&gt;=BT$2),1,0)</f>
        <v>0</v>
      </c>
      <c r="BU83" s="276" cm="1">
        <f t="array" ref="BU83">IF(AND(BU$2&lt;&gt;0,TblTech[[#This Row],[Hour]:[Hour]]&gt;=BU$2),1,0)</f>
        <v>0</v>
      </c>
      <c r="BV83" s="276" cm="1">
        <f t="array" ref="BV83">IF(AND(BV$2&lt;&gt;0,TblTech[[#This Row],[Hour]:[Hour]]&gt;=BV$2),1,0)</f>
        <v>0</v>
      </c>
      <c r="BW83" s="276" cm="1">
        <f t="array" ref="BW83">IF(AND(BW$2&lt;&gt;0,TblTech[[#This Row],[Hour]:[Hour]]&gt;=BW$2),1,0)</f>
        <v>0</v>
      </c>
      <c r="BX83" s="276" cm="1">
        <f t="array" ref="BX83">IF(AND(BX$2&lt;&gt;0,TblTech[[#This Row],[Hour]:[Hour]]&gt;=BX$2),1,0)</f>
        <v>0</v>
      </c>
      <c r="BY83" s="276" cm="1">
        <f t="array" ref="BY83">IF(AND(BY$2&lt;&gt;0,TblTech[[#This Row],[Hour]:[Hour]]&gt;=BY$2),1,0)</f>
        <v>0</v>
      </c>
      <c r="BZ83" s="276" cm="1">
        <f t="array" ref="BZ83">IF(AND(BZ$2&lt;&gt;0,TblTech[[#This Row],[Hour]:[Hour]]&gt;=BZ$2),1,0)</f>
        <v>0</v>
      </c>
      <c r="CA83" s="377">
        <f>IFERROR(INDEX($H$4:$H$79,MATCH(INDEX(TblTech[[#Headers],[1-1]:[11-1]],1,MATCH(TblTech[[#This Row],[Hour]],$M$2:$BZ$2,0)),$G$4:$G$79,0)),)</f>
        <v>0</v>
      </c>
    </row>
    <row r="84" spans="1:79" x14ac:dyDescent="0.2">
      <c r="A84" s="268">
        <f>TblRezone[[#This Row],[Hour]]</f>
        <v>81</v>
      </c>
      <c r="B84" s="269">
        <f ca="1">TblExplore[[#This Row],[Land-DB]]</f>
        <v>50</v>
      </c>
      <c r="C84" s="270">
        <f ca="1">TblProd[[#This Row],[Techpoints]]</f>
        <v>0</v>
      </c>
      <c r="D84" s="270">
        <f ca="1">TblProd[[#This Row],[Required]]</f>
        <v>3750</v>
      </c>
      <c r="E84" s="279"/>
      <c r="F84" s="280"/>
      <c r="G84" s="273"/>
      <c r="H84" s="274"/>
      <c r="I84" s="274"/>
      <c r="J84" s="274"/>
      <c r="K84" s="93">
        <f ca="1">IF(TblTech[[#This Row],[Sum of tech]]&lt;&gt;OFFSET(TblTech[[#This Row],[Sum of tech]],-1,0),1,0)</f>
        <v>0</v>
      </c>
      <c r="L84" s="275">
        <f>COUNTIF(TblTech[[#This Row],[1-1]:[11-1]],1)</f>
        <v>0</v>
      </c>
      <c r="M84" s="276" cm="1">
        <f t="array" ref="M84">IF(AND(M$2&lt;&gt;0,TblTech[[#This Row],[Hour]:[Hour]]&gt;=M$2),1,0)</f>
        <v>0</v>
      </c>
      <c r="N84" s="276" cm="1">
        <f t="array" ref="N84">IF(AND(N$2&lt;&gt;0,TblTech[[#This Row],[Hour]:[Hour]]&gt;=N$2),1,0)</f>
        <v>0</v>
      </c>
      <c r="O84" s="276" cm="1">
        <f t="array" ref="O84">IF(AND(O$2&lt;&gt;0,TblTech[[#This Row],[Hour]:[Hour]]&gt;=O$2),1,0)</f>
        <v>0</v>
      </c>
      <c r="P84" s="276" cm="1">
        <f t="array" ref="P84">IF(AND(P$2&lt;&gt;0,TblTech[[#This Row],[Hour]:[Hour]]&gt;=P$2),1,0)</f>
        <v>0</v>
      </c>
      <c r="Q84" s="276" cm="1">
        <f t="array" ref="Q84">IF(AND(Q$2&lt;&gt;0,TblTech[[#This Row],[Hour]:[Hour]]&gt;=Q$2),1,0)</f>
        <v>0</v>
      </c>
      <c r="R84" s="276" cm="1">
        <f t="array" ref="R84">IF(AND(R$2&lt;&gt;0,TblTech[[#This Row],[Hour]:[Hour]]&gt;=R$2),1,0)</f>
        <v>0</v>
      </c>
      <c r="S84" s="276" cm="1">
        <f t="array" ref="S84">IF(AND(S$2&lt;&gt;0,TblTech[[#This Row],[Hour]:[Hour]]&gt;=S$2),1,0)</f>
        <v>0</v>
      </c>
      <c r="T84" s="276" cm="1">
        <f t="array" ref="T84">IF(AND(T$2&lt;&gt;0,TblTech[[#This Row],[Hour]:[Hour]]&gt;=T$2),1,0)</f>
        <v>0</v>
      </c>
      <c r="U84" s="276" cm="1">
        <f t="array" ref="U84">IF(AND(U$2&lt;&gt;0,TblTech[[#This Row],[Hour]:[Hour]]&gt;=U$2),1,0)</f>
        <v>0</v>
      </c>
      <c r="V84" s="276" cm="1">
        <f t="array" ref="V84">IF(AND(V$2&lt;&gt;0,TblTech[[#This Row],[Hour]:[Hour]]&gt;=V$2),1,0)</f>
        <v>0</v>
      </c>
      <c r="W84" s="276" cm="1">
        <f t="array" ref="W84">IF(AND(W$2&lt;&gt;0,TblTech[[#This Row],[Hour]:[Hour]]&gt;=W$2),1,0)</f>
        <v>0</v>
      </c>
      <c r="X84" s="276" cm="1">
        <f t="array" ref="X84">IF(AND(X$2&lt;&gt;0,TblTech[[#This Row],[Hour]:[Hour]]&gt;=X$2),1,0)</f>
        <v>0</v>
      </c>
      <c r="Y84" s="276" cm="1">
        <f t="array" ref="Y84">IF(AND(Y$2&lt;&gt;0,TblTech[[#This Row],[Hour]:[Hour]]&gt;=Y$2),1,0)</f>
        <v>0</v>
      </c>
      <c r="Z84" s="276" cm="1">
        <f t="array" ref="Z84">IF(AND(Z$2&lt;&gt;0,TblTech[[#This Row],[Hour]:[Hour]]&gt;=Z$2),1,0)</f>
        <v>0</v>
      </c>
      <c r="AA84" s="276" cm="1">
        <f t="array" ref="AA84">IF(AND(AA$2&lt;&gt;0,TblTech[[#This Row],[Hour]:[Hour]]&gt;=AA$2),1,0)</f>
        <v>0</v>
      </c>
      <c r="AB84" s="276" cm="1">
        <f t="array" ref="AB84">IF(AND(AB$2&lt;&gt;0,TblTech[[#This Row],[Hour]:[Hour]]&gt;=AB$2),1,0)</f>
        <v>0</v>
      </c>
      <c r="AC84" s="276" cm="1">
        <f t="array" ref="AC84">IF(AND(AC$2&lt;&gt;0,TblTech[[#This Row],[Hour]:[Hour]]&gt;=AC$2),1,0)</f>
        <v>0</v>
      </c>
      <c r="AD84" s="276" cm="1">
        <f t="array" ref="AD84">IF(AND(AD$2&lt;&gt;0,TblTech[[#This Row],[Hour]:[Hour]]&gt;=AD$2),1,0)</f>
        <v>0</v>
      </c>
      <c r="AE84" s="276" cm="1">
        <f t="array" ref="AE84">IF(AND(AE$2&lt;&gt;0,TblTech[[#This Row],[Hour]:[Hour]]&gt;=AE$2),1,0)</f>
        <v>0</v>
      </c>
      <c r="AF84" s="276" cm="1">
        <f t="array" ref="AF84">IF(AND(AF$2&lt;&gt;0,TblTech[[#This Row],[Hour]:[Hour]]&gt;=AF$2),1,0)</f>
        <v>0</v>
      </c>
      <c r="AG84" s="276" cm="1">
        <f t="array" ref="AG84">IF(AND(AG$2&lt;&gt;0,TblTech[[#This Row],[Hour]:[Hour]]&gt;=AG$2),1,0)</f>
        <v>0</v>
      </c>
      <c r="AH84" s="276" cm="1">
        <f t="array" ref="AH84">IF(AND(AH$2&lt;&gt;0,TblTech[[#This Row],[Hour]:[Hour]]&gt;=AH$2),1,0)</f>
        <v>0</v>
      </c>
      <c r="AI84" s="276" cm="1">
        <f t="array" ref="AI84">IF(AND(AI$2&lt;&gt;0,TblTech[[#This Row],[Hour]:[Hour]]&gt;=AI$2),1,0)</f>
        <v>0</v>
      </c>
      <c r="AJ84" s="276" cm="1">
        <f t="array" ref="AJ84">IF(AND(AJ$2&lt;&gt;0,TblTech[[#This Row],[Hour]:[Hour]]&gt;=AJ$2),1,0)</f>
        <v>0</v>
      </c>
      <c r="AK84" s="276" cm="1">
        <f t="array" ref="AK84">IF(AND(AK$2&lt;&gt;0,TblTech[[#This Row],[Hour]:[Hour]]&gt;=AK$2),1,0)</f>
        <v>0</v>
      </c>
      <c r="AL84" s="276" cm="1">
        <f t="array" ref="AL84">IF(AND(AL$2&lt;&gt;0,TblTech[[#This Row],[Hour]:[Hour]]&gt;=AL$2),1,0)</f>
        <v>0</v>
      </c>
      <c r="AM84" s="276" cm="1">
        <f t="array" ref="AM84">IF(AND(AM$2&lt;&gt;0,TblTech[[#This Row],[Hour]:[Hour]]&gt;=AM$2),1,0)</f>
        <v>0</v>
      </c>
      <c r="AN84" s="276" cm="1">
        <f t="array" ref="AN84">IF(AND(AN$2&lt;&gt;0,TblTech[[#This Row],[Hour]:[Hour]]&gt;=AN$2),1,0)</f>
        <v>0</v>
      </c>
      <c r="AO84" s="276" cm="1">
        <f t="array" ref="AO84">IF(AND(AO$2&lt;&gt;0,TblTech[[#This Row],[Hour]:[Hour]]&gt;=AO$2),1,0)</f>
        <v>0</v>
      </c>
      <c r="AP84" s="276" cm="1">
        <f t="array" ref="AP84">IF(AND(AP$2&lt;&gt;0,TblTech[[#This Row],[Hour]:[Hour]]&gt;=AP$2),1,0)</f>
        <v>0</v>
      </c>
      <c r="AQ84" s="276" cm="1">
        <f t="array" ref="AQ84">IF(AND(AQ$2&lt;&gt;0,TblTech[[#This Row],[Hour]:[Hour]]&gt;=AQ$2),1,0)</f>
        <v>0</v>
      </c>
      <c r="AR84" s="276" cm="1">
        <f t="array" ref="AR84">IF(AND(AR$2&lt;&gt;0,TblTech[[#This Row],[Hour]:[Hour]]&gt;=AR$2),1,0)</f>
        <v>0</v>
      </c>
      <c r="AS84" s="276" cm="1">
        <f t="array" ref="AS84">IF(AND(AS$2&lt;&gt;0,TblTech[[#This Row],[Hour]:[Hour]]&gt;=AS$2),1,0)</f>
        <v>0</v>
      </c>
      <c r="AT84" s="276" cm="1">
        <f t="array" ref="AT84">IF(AND(AT$2&lt;&gt;0,TblTech[[#This Row],[Hour]:[Hour]]&gt;=AT$2),1,0)</f>
        <v>0</v>
      </c>
      <c r="AU84" s="276" cm="1">
        <f t="array" ref="AU84">IF(AND(AU$2&lt;&gt;0,TblTech[[#This Row],[Hour]:[Hour]]&gt;=AU$2),1,0)</f>
        <v>0</v>
      </c>
      <c r="AV84" s="276" cm="1">
        <f t="array" ref="AV84">IF(AND(AV$2&lt;&gt;0,TblTech[[#This Row],[Hour]:[Hour]]&gt;=AV$2),1,0)</f>
        <v>0</v>
      </c>
      <c r="AW84" s="276" cm="1">
        <f t="array" ref="AW84">IF(AND(AW$2&lt;&gt;0,TblTech[[#This Row],[Hour]:[Hour]]&gt;=AW$2),1,0)</f>
        <v>0</v>
      </c>
      <c r="AX84" s="276" cm="1">
        <f t="array" ref="AX84">IF(AND(AX$2&lt;&gt;0,TblTech[[#This Row],[Hour]:[Hour]]&gt;=AX$2),1,0)</f>
        <v>0</v>
      </c>
      <c r="AY84" s="276" cm="1">
        <f t="array" ref="AY84">IF(AND(AY$2&lt;&gt;0,TblTech[[#This Row],[Hour]:[Hour]]&gt;=AY$2),1,0)</f>
        <v>0</v>
      </c>
      <c r="AZ84" s="276" cm="1">
        <f t="array" ref="AZ84">IF(AND(AZ$2&lt;&gt;0,TblTech[[#This Row],[Hour]:[Hour]]&gt;=AZ$2),1,0)</f>
        <v>0</v>
      </c>
      <c r="BA84" s="276" cm="1">
        <f t="array" ref="BA84">IF(AND(BA$2&lt;&gt;0,TblTech[[#This Row],[Hour]:[Hour]]&gt;=BA$2),1,0)</f>
        <v>0</v>
      </c>
      <c r="BB84" s="276" cm="1">
        <f t="array" ref="BB84">IF(AND(BB$2&lt;&gt;0,TblTech[[#This Row],[Hour]:[Hour]]&gt;=BB$2),1,0)</f>
        <v>0</v>
      </c>
      <c r="BC84" s="276" cm="1">
        <f t="array" ref="BC84">IF(AND(BC$2&lt;&gt;0,TblTech[[#This Row],[Hour]:[Hour]]&gt;=BC$2),1,0)</f>
        <v>0</v>
      </c>
      <c r="BD84" s="276" cm="1">
        <f t="array" ref="BD84">IF(AND(BD$2&lt;&gt;0,TblTech[[#This Row],[Hour]:[Hour]]&gt;=BD$2),1,0)</f>
        <v>0</v>
      </c>
      <c r="BE84" s="276" cm="1">
        <f t="array" ref="BE84">IF(AND(BE$2&lt;&gt;0,TblTech[[#This Row],[Hour]:[Hour]]&gt;=BE$2),1,0)</f>
        <v>0</v>
      </c>
      <c r="BF84" s="276" cm="1">
        <f t="array" ref="BF84">IF(AND(BF$2&lt;&gt;0,TblTech[[#This Row],[Hour]:[Hour]]&gt;=BF$2),1,0)</f>
        <v>0</v>
      </c>
      <c r="BG84" s="276" cm="1">
        <f t="array" ref="BG84">IF(AND(BG$2&lt;&gt;0,TblTech[[#This Row],[Hour]:[Hour]]&gt;=BG$2),1,0)</f>
        <v>0</v>
      </c>
      <c r="BH84" s="276" cm="1">
        <f t="array" ref="BH84">IF(AND(BH$2&lt;&gt;0,TblTech[[#This Row],[Hour]:[Hour]]&gt;=BH$2),1,0)</f>
        <v>0</v>
      </c>
      <c r="BI84" s="276" cm="1">
        <f t="array" ref="BI84">IF(AND(BI$2&lt;&gt;0,TblTech[[#This Row],[Hour]:[Hour]]&gt;=BI$2),1,0)</f>
        <v>0</v>
      </c>
      <c r="BJ84" s="276" cm="1">
        <f t="array" ref="BJ84">IF(AND(BJ$2&lt;&gt;0,TblTech[[#This Row],[Hour]:[Hour]]&gt;=BJ$2),1,0)</f>
        <v>0</v>
      </c>
      <c r="BK84" s="276" cm="1">
        <f t="array" ref="BK84">IF(AND(BK$2&lt;&gt;0,TblTech[[#This Row],[Hour]:[Hour]]&gt;=BK$2),1,0)</f>
        <v>0</v>
      </c>
      <c r="BL84" s="276" cm="1">
        <f t="array" ref="BL84">IF(AND(BL$2&lt;&gt;0,TblTech[[#This Row],[Hour]:[Hour]]&gt;=BL$2),1,0)</f>
        <v>0</v>
      </c>
      <c r="BM84" s="276" cm="1">
        <f t="array" ref="BM84">IF(AND(BM$2&lt;&gt;0,TblTech[[#This Row],[Hour]:[Hour]]&gt;=BM$2),1,0)</f>
        <v>0</v>
      </c>
      <c r="BN84" s="276" cm="1">
        <f t="array" ref="BN84">IF(AND(BN$2&lt;&gt;0,TblTech[[#This Row],[Hour]:[Hour]]&gt;=BN$2),1,0)</f>
        <v>0</v>
      </c>
      <c r="BO84" s="276" cm="1">
        <f t="array" ref="BO84">IF(AND(BO$2&lt;&gt;0,TblTech[[#This Row],[Hour]:[Hour]]&gt;=BO$2),1,0)</f>
        <v>0</v>
      </c>
      <c r="BP84" s="276" cm="1">
        <f t="array" ref="BP84">IF(AND(BP$2&lt;&gt;0,TblTech[[#This Row],[Hour]:[Hour]]&gt;=BP$2),1,0)</f>
        <v>0</v>
      </c>
      <c r="BQ84" s="276" cm="1">
        <f t="array" ref="BQ84">IF(AND(BQ$2&lt;&gt;0,TblTech[[#This Row],[Hour]:[Hour]]&gt;=BQ$2),1,0)</f>
        <v>0</v>
      </c>
      <c r="BR84" s="276" cm="1">
        <f t="array" ref="BR84">IF(AND(BR$2&lt;&gt;0,TblTech[[#This Row],[Hour]:[Hour]]&gt;=BR$2),1,0)</f>
        <v>0</v>
      </c>
      <c r="BS84" s="276" cm="1">
        <f t="array" ref="BS84">IF(AND(BS$2&lt;&gt;0,TblTech[[#This Row],[Hour]:[Hour]]&gt;=BS$2),1,0)</f>
        <v>0</v>
      </c>
      <c r="BT84" s="276" cm="1">
        <f t="array" ref="BT84">IF(AND(BT$2&lt;&gt;0,TblTech[[#This Row],[Hour]:[Hour]]&gt;=BT$2),1,0)</f>
        <v>0</v>
      </c>
      <c r="BU84" s="276" cm="1">
        <f t="array" ref="BU84">IF(AND(BU$2&lt;&gt;0,TblTech[[#This Row],[Hour]:[Hour]]&gt;=BU$2),1,0)</f>
        <v>0</v>
      </c>
      <c r="BV84" s="276" cm="1">
        <f t="array" ref="BV84">IF(AND(BV$2&lt;&gt;0,TblTech[[#This Row],[Hour]:[Hour]]&gt;=BV$2),1,0)</f>
        <v>0</v>
      </c>
      <c r="BW84" s="276" cm="1">
        <f t="array" ref="BW84">IF(AND(BW$2&lt;&gt;0,TblTech[[#This Row],[Hour]:[Hour]]&gt;=BW$2),1,0)</f>
        <v>0</v>
      </c>
      <c r="BX84" s="276" cm="1">
        <f t="array" ref="BX84">IF(AND(BX$2&lt;&gt;0,TblTech[[#This Row],[Hour]:[Hour]]&gt;=BX$2),1,0)</f>
        <v>0</v>
      </c>
      <c r="BY84" s="276" cm="1">
        <f t="array" ref="BY84">IF(AND(BY$2&lt;&gt;0,TblTech[[#This Row],[Hour]:[Hour]]&gt;=BY$2),1,0)</f>
        <v>0</v>
      </c>
      <c r="BZ84" s="276" cm="1">
        <f t="array" ref="BZ84">IF(AND(BZ$2&lt;&gt;0,TblTech[[#This Row],[Hour]:[Hour]]&gt;=BZ$2),1,0)</f>
        <v>0</v>
      </c>
      <c r="CA84" s="377">
        <f>IFERROR(INDEX($H$4:$H$79,MATCH(INDEX(TblTech[[#Headers],[1-1]:[11-1]],1,MATCH(TblTech[[#This Row],[Hour]],$M$2:$BZ$2,0)),$G$4:$G$79,0)),)</f>
        <v>0</v>
      </c>
    </row>
    <row r="85" spans="1:79" x14ac:dyDescent="0.2">
      <c r="A85" s="268">
        <f>TblRezone[[#This Row],[Hour]]</f>
        <v>82</v>
      </c>
      <c r="B85" s="269">
        <f ca="1">TblExplore[[#This Row],[Land-DB]]</f>
        <v>50</v>
      </c>
      <c r="C85" s="270">
        <f ca="1">TblProd[[#This Row],[Techpoints]]</f>
        <v>0</v>
      </c>
      <c r="D85" s="270">
        <f ca="1">TblProd[[#This Row],[Required]]</f>
        <v>3750</v>
      </c>
      <c r="E85" s="279"/>
      <c r="F85" s="280"/>
      <c r="G85" s="273"/>
      <c r="H85" s="274"/>
      <c r="I85" s="274"/>
      <c r="J85" s="274"/>
      <c r="K85" s="93">
        <f ca="1">IF(TblTech[[#This Row],[Sum of tech]]&lt;&gt;OFFSET(TblTech[[#This Row],[Sum of tech]],-1,0),1,0)</f>
        <v>0</v>
      </c>
      <c r="L85" s="275">
        <f>COUNTIF(TblTech[[#This Row],[1-1]:[11-1]],1)</f>
        <v>0</v>
      </c>
      <c r="M85" s="276" cm="1">
        <f t="array" ref="M85">IF(AND(M$2&lt;&gt;0,TblTech[[#This Row],[Hour]:[Hour]]&gt;=M$2),1,0)</f>
        <v>0</v>
      </c>
      <c r="N85" s="276" cm="1">
        <f t="array" ref="N85">IF(AND(N$2&lt;&gt;0,TblTech[[#This Row],[Hour]:[Hour]]&gt;=N$2),1,0)</f>
        <v>0</v>
      </c>
      <c r="O85" s="276" cm="1">
        <f t="array" ref="O85">IF(AND(O$2&lt;&gt;0,TblTech[[#This Row],[Hour]:[Hour]]&gt;=O$2),1,0)</f>
        <v>0</v>
      </c>
      <c r="P85" s="276" cm="1">
        <f t="array" ref="P85">IF(AND(P$2&lt;&gt;0,TblTech[[#This Row],[Hour]:[Hour]]&gt;=P$2),1,0)</f>
        <v>0</v>
      </c>
      <c r="Q85" s="276" cm="1">
        <f t="array" ref="Q85">IF(AND(Q$2&lt;&gt;0,TblTech[[#This Row],[Hour]:[Hour]]&gt;=Q$2),1,0)</f>
        <v>0</v>
      </c>
      <c r="R85" s="276" cm="1">
        <f t="array" ref="R85">IF(AND(R$2&lt;&gt;0,TblTech[[#This Row],[Hour]:[Hour]]&gt;=R$2),1,0)</f>
        <v>0</v>
      </c>
      <c r="S85" s="276" cm="1">
        <f t="array" ref="S85">IF(AND(S$2&lt;&gt;0,TblTech[[#This Row],[Hour]:[Hour]]&gt;=S$2),1,0)</f>
        <v>0</v>
      </c>
      <c r="T85" s="276" cm="1">
        <f t="array" ref="T85">IF(AND(T$2&lt;&gt;0,TblTech[[#This Row],[Hour]:[Hour]]&gt;=T$2),1,0)</f>
        <v>0</v>
      </c>
      <c r="U85" s="276" cm="1">
        <f t="array" ref="U85">IF(AND(U$2&lt;&gt;0,TblTech[[#This Row],[Hour]:[Hour]]&gt;=U$2),1,0)</f>
        <v>0</v>
      </c>
      <c r="V85" s="276" cm="1">
        <f t="array" ref="V85">IF(AND(V$2&lt;&gt;0,TblTech[[#This Row],[Hour]:[Hour]]&gt;=V$2),1,0)</f>
        <v>0</v>
      </c>
      <c r="W85" s="276" cm="1">
        <f t="array" ref="W85">IF(AND(W$2&lt;&gt;0,TblTech[[#This Row],[Hour]:[Hour]]&gt;=W$2),1,0)</f>
        <v>0</v>
      </c>
      <c r="X85" s="276" cm="1">
        <f t="array" ref="X85">IF(AND(X$2&lt;&gt;0,TblTech[[#This Row],[Hour]:[Hour]]&gt;=X$2),1,0)</f>
        <v>0</v>
      </c>
      <c r="Y85" s="276" cm="1">
        <f t="array" ref="Y85">IF(AND(Y$2&lt;&gt;0,TblTech[[#This Row],[Hour]:[Hour]]&gt;=Y$2),1,0)</f>
        <v>0</v>
      </c>
      <c r="Z85" s="276" cm="1">
        <f t="array" ref="Z85">IF(AND(Z$2&lt;&gt;0,TblTech[[#This Row],[Hour]:[Hour]]&gt;=Z$2),1,0)</f>
        <v>0</v>
      </c>
      <c r="AA85" s="276" cm="1">
        <f t="array" ref="AA85">IF(AND(AA$2&lt;&gt;0,TblTech[[#This Row],[Hour]:[Hour]]&gt;=AA$2),1,0)</f>
        <v>0</v>
      </c>
      <c r="AB85" s="276" cm="1">
        <f t="array" ref="AB85">IF(AND(AB$2&lt;&gt;0,TblTech[[#This Row],[Hour]:[Hour]]&gt;=AB$2),1,0)</f>
        <v>0</v>
      </c>
      <c r="AC85" s="276" cm="1">
        <f t="array" ref="AC85">IF(AND(AC$2&lt;&gt;0,TblTech[[#This Row],[Hour]:[Hour]]&gt;=AC$2),1,0)</f>
        <v>0</v>
      </c>
      <c r="AD85" s="276" cm="1">
        <f t="array" ref="AD85">IF(AND(AD$2&lt;&gt;0,TblTech[[#This Row],[Hour]:[Hour]]&gt;=AD$2),1,0)</f>
        <v>0</v>
      </c>
      <c r="AE85" s="276" cm="1">
        <f t="array" ref="AE85">IF(AND(AE$2&lt;&gt;0,TblTech[[#This Row],[Hour]:[Hour]]&gt;=AE$2),1,0)</f>
        <v>0</v>
      </c>
      <c r="AF85" s="276" cm="1">
        <f t="array" ref="AF85">IF(AND(AF$2&lt;&gt;0,TblTech[[#This Row],[Hour]:[Hour]]&gt;=AF$2),1,0)</f>
        <v>0</v>
      </c>
      <c r="AG85" s="276" cm="1">
        <f t="array" ref="AG85">IF(AND(AG$2&lt;&gt;0,TblTech[[#This Row],[Hour]:[Hour]]&gt;=AG$2),1,0)</f>
        <v>0</v>
      </c>
      <c r="AH85" s="276" cm="1">
        <f t="array" ref="AH85">IF(AND(AH$2&lt;&gt;0,TblTech[[#This Row],[Hour]:[Hour]]&gt;=AH$2),1,0)</f>
        <v>0</v>
      </c>
      <c r="AI85" s="276" cm="1">
        <f t="array" ref="AI85">IF(AND(AI$2&lt;&gt;0,TblTech[[#This Row],[Hour]:[Hour]]&gt;=AI$2),1,0)</f>
        <v>0</v>
      </c>
      <c r="AJ85" s="276" cm="1">
        <f t="array" ref="AJ85">IF(AND(AJ$2&lt;&gt;0,TblTech[[#This Row],[Hour]:[Hour]]&gt;=AJ$2),1,0)</f>
        <v>0</v>
      </c>
      <c r="AK85" s="276" cm="1">
        <f t="array" ref="AK85">IF(AND(AK$2&lt;&gt;0,TblTech[[#This Row],[Hour]:[Hour]]&gt;=AK$2),1,0)</f>
        <v>0</v>
      </c>
      <c r="AL85" s="276" cm="1">
        <f t="array" ref="AL85">IF(AND(AL$2&lt;&gt;0,TblTech[[#This Row],[Hour]:[Hour]]&gt;=AL$2),1,0)</f>
        <v>0</v>
      </c>
      <c r="AM85" s="276" cm="1">
        <f t="array" ref="AM85">IF(AND(AM$2&lt;&gt;0,TblTech[[#This Row],[Hour]:[Hour]]&gt;=AM$2),1,0)</f>
        <v>0</v>
      </c>
      <c r="AN85" s="276" cm="1">
        <f t="array" ref="AN85">IF(AND(AN$2&lt;&gt;0,TblTech[[#This Row],[Hour]:[Hour]]&gt;=AN$2),1,0)</f>
        <v>0</v>
      </c>
      <c r="AO85" s="276" cm="1">
        <f t="array" ref="AO85">IF(AND(AO$2&lt;&gt;0,TblTech[[#This Row],[Hour]:[Hour]]&gt;=AO$2),1,0)</f>
        <v>0</v>
      </c>
      <c r="AP85" s="276" cm="1">
        <f t="array" ref="AP85">IF(AND(AP$2&lt;&gt;0,TblTech[[#This Row],[Hour]:[Hour]]&gt;=AP$2),1,0)</f>
        <v>0</v>
      </c>
      <c r="AQ85" s="276" cm="1">
        <f t="array" ref="AQ85">IF(AND(AQ$2&lt;&gt;0,TblTech[[#This Row],[Hour]:[Hour]]&gt;=AQ$2),1,0)</f>
        <v>0</v>
      </c>
      <c r="AR85" s="276" cm="1">
        <f t="array" ref="AR85">IF(AND(AR$2&lt;&gt;0,TblTech[[#This Row],[Hour]:[Hour]]&gt;=AR$2),1,0)</f>
        <v>0</v>
      </c>
      <c r="AS85" s="276" cm="1">
        <f t="array" ref="AS85">IF(AND(AS$2&lt;&gt;0,TblTech[[#This Row],[Hour]:[Hour]]&gt;=AS$2),1,0)</f>
        <v>0</v>
      </c>
      <c r="AT85" s="276" cm="1">
        <f t="array" ref="AT85">IF(AND(AT$2&lt;&gt;0,TblTech[[#This Row],[Hour]:[Hour]]&gt;=AT$2),1,0)</f>
        <v>0</v>
      </c>
      <c r="AU85" s="276" cm="1">
        <f t="array" ref="AU85">IF(AND(AU$2&lt;&gt;0,TblTech[[#This Row],[Hour]:[Hour]]&gt;=AU$2),1,0)</f>
        <v>0</v>
      </c>
      <c r="AV85" s="276" cm="1">
        <f t="array" ref="AV85">IF(AND(AV$2&lt;&gt;0,TblTech[[#This Row],[Hour]:[Hour]]&gt;=AV$2),1,0)</f>
        <v>0</v>
      </c>
      <c r="AW85" s="276" cm="1">
        <f t="array" ref="AW85">IF(AND(AW$2&lt;&gt;0,TblTech[[#This Row],[Hour]:[Hour]]&gt;=AW$2),1,0)</f>
        <v>0</v>
      </c>
      <c r="AX85" s="276" cm="1">
        <f t="array" ref="AX85">IF(AND(AX$2&lt;&gt;0,TblTech[[#This Row],[Hour]:[Hour]]&gt;=AX$2),1,0)</f>
        <v>0</v>
      </c>
      <c r="AY85" s="276" cm="1">
        <f t="array" ref="AY85">IF(AND(AY$2&lt;&gt;0,TblTech[[#This Row],[Hour]:[Hour]]&gt;=AY$2),1,0)</f>
        <v>0</v>
      </c>
      <c r="AZ85" s="276" cm="1">
        <f t="array" ref="AZ85">IF(AND(AZ$2&lt;&gt;0,TblTech[[#This Row],[Hour]:[Hour]]&gt;=AZ$2),1,0)</f>
        <v>0</v>
      </c>
      <c r="BA85" s="276" cm="1">
        <f t="array" ref="BA85">IF(AND(BA$2&lt;&gt;0,TblTech[[#This Row],[Hour]:[Hour]]&gt;=BA$2),1,0)</f>
        <v>0</v>
      </c>
      <c r="BB85" s="276" cm="1">
        <f t="array" ref="BB85">IF(AND(BB$2&lt;&gt;0,TblTech[[#This Row],[Hour]:[Hour]]&gt;=BB$2),1,0)</f>
        <v>0</v>
      </c>
      <c r="BC85" s="276" cm="1">
        <f t="array" ref="BC85">IF(AND(BC$2&lt;&gt;0,TblTech[[#This Row],[Hour]:[Hour]]&gt;=BC$2),1,0)</f>
        <v>0</v>
      </c>
      <c r="BD85" s="276" cm="1">
        <f t="array" ref="BD85">IF(AND(BD$2&lt;&gt;0,TblTech[[#This Row],[Hour]:[Hour]]&gt;=BD$2),1,0)</f>
        <v>0</v>
      </c>
      <c r="BE85" s="276" cm="1">
        <f t="array" ref="BE85">IF(AND(BE$2&lt;&gt;0,TblTech[[#This Row],[Hour]:[Hour]]&gt;=BE$2),1,0)</f>
        <v>0</v>
      </c>
      <c r="BF85" s="276" cm="1">
        <f t="array" ref="BF85">IF(AND(BF$2&lt;&gt;0,TblTech[[#This Row],[Hour]:[Hour]]&gt;=BF$2),1,0)</f>
        <v>0</v>
      </c>
      <c r="BG85" s="276" cm="1">
        <f t="array" ref="BG85">IF(AND(BG$2&lt;&gt;0,TblTech[[#This Row],[Hour]:[Hour]]&gt;=BG$2),1,0)</f>
        <v>0</v>
      </c>
      <c r="BH85" s="276" cm="1">
        <f t="array" ref="BH85">IF(AND(BH$2&lt;&gt;0,TblTech[[#This Row],[Hour]:[Hour]]&gt;=BH$2),1,0)</f>
        <v>0</v>
      </c>
      <c r="BI85" s="276" cm="1">
        <f t="array" ref="BI85">IF(AND(BI$2&lt;&gt;0,TblTech[[#This Row],[Hour]:[Hour]]&gt;=BI$2),1,0)</f>
        <v>0</v>
      </c>
      <c r="BJ85" s="276" cm="1">
        <f t="array" ref="BJ85">IF(AND(BJ$2&lt;&gt;0,TblTech[[#This Row],[Hour]:[Hour]]&gt;=BJ$2),1,0)</f>
        <v>0</v>
      </c>
      <c r="BK85" s="276" cm="1">
        <f t="array" ref="BK85">IF(AND(BK$2&lt;&gt;0,TblTech[[#This Row],[Hour]:[Hour]]&gt;=BK$2),1,0)</f>
        <v>0</v>
      </c>
      <c r="BL85" s="276" cm="1">
        <f t="array" ref="BL85">IF(AND(BL$2&lt;&gt;0,TblTech[[#This Row],[Hour]:[Hour]]&gt;=BL$2),1,0)</f>
        <v>0</v>
      </c>
      <c r="BM85" s="276" cm="1">
        <f t="array" ref="BM85">IF(AND(BM$2&lt;&gt;0,TblTech[[#This Row],[Hour]:[Hour]]&gt;=BM$2),1,0)</f>
        <v>0</v>
      </c>
      <c r="BN85" s="276" cm="1">
        <f t="array" ref="BN85">IF(AND(BN$2&lt;&gt;0,TblTech[[#This Row],[Hour]:[Hour]]&gt;=BN$2),1,0)</f>
        <v>0</v>
      </c>
      <c r="BO85" s="276" cm="1">
        <f t="array" ref="BO85">IF(AND(BO$2&lt;&gt;0,TblTech[[#This Row],[Hour]:[Hour]]&gt;=BO$2),1,0)</f>
        <v>0</v>
      </c>
      <c r="BP85" s="276" cm="1">
        <f t="array" ref="BP85">IF(AND(BP$2&lt;&gt;0,TblTech[[#This Row],[Hour]:[Hour]]&gt;=BP$2),1,0)</f>
        <v>0</v>
      </c>
      <c r="BQ85" s="276" cm="1">
        <f t="array" ref="BQ85">IF(AND(BQ$2&lt;&gt;0,TblTech[[#This Row],[Hour]:[Hour]]&gt;=BQ$2),1,0)</f>
        <v>0</v>
      </c>
      <c r="BR85" s="276" cm="1">
        <f t="array" ref="BR85">IF(AND(BR$2&lt;&gt;0,TblTech[[#This Row],[Hour]:[Hour]]&gt;=BR$2),1,0)</f>
        <v>0</v>
      </c>
      <c r="BS85" s="276" cm="1">
        <f t="array" ref="BS85">IF(AND(BS$2&lt;&gt;0,TblTech[[#This Row],[Hour]:[Hour]]&gt;=BS$2),1,0)</f>
        <v>0</v>
      </c>
      <c r="BT85" s="276" cm="1">
        <f t="array" ref="BT85">IF(AND(BT$2&lt;&gt;0,TblTech[[#This Row],[Hour]:[Hour]]&gt;=BT$2),1,0)</f>
        <v>0</v>
      </c>
      <c r="BU85" s="276" cm="1">
        <f t="array" ref="BU85">IF(AND(BU$2&lt;&gt;0,TblTech[[#This Row],[Hour]:[Hour]]&gt;=BU$2),1,0)</f>
        <v>0</v>
      </c>
      <c r="BV85" s="276" cm="1">
        <f t="array" ref="BV85">IF(AND(BV$2&lt;&gt;0,TblTech[[#This Row],[Hour]:[Hour]]&gt;=BV$2),1,0)</f>
        <v>0</v>
      </c>
      <c r="BW85" s="276" cm="1">
        <f t="array" ref="BW85">IF(AND(BW$2&lt;&gt;0,TblTech[[#This Row],[Hour]:[Hour]]&gt;=BW$2),1,0)</f>
        <v>0</v>
      </c>
      <c r="BX85" s="276" cm="1">
        <f t="array" ref="BX85">IF(AND(BX$2&lt;&gt;0,TblTech[[#This Row],[Hour]:[Hour]]&gt;=BX$2),1,0)</f>
        <v>0</v>
      </c>
      <c r="BY85" s="276" cm="1">
        <f t="array" ref="BY85">IF(AND(BY$2&lt;&gt;0,TblTech[[#This Row],[Hour]:[Hour]]&gt;=BY$2),1,0)</f>
        <v>0</v>
      </c>
      <c r="BZ85" s="276" cm="1">
        <f t="array" ref="BZ85">IF(AND(BZ$2&lt;&gt;0,TblTech[[#This Row],[Hour]:[Hour]]&gt;=BZ$2),1,0)</f>
        <v>0</v>
      </c>
      <c r="CA85" s="377">
        <f>IFERROR(INDEX($H$4:$H$79,MATCH(INDEX(TblTech[[#Headers],[1-1]:[11-1]],1,MATCH(TblTech[[#This Row],[Hour]],$M$2:$BZ$2,0)),$G$4:$G$79,0)),)</f>
        <v>0</v>
      </c>
    </row>
    <row r="86" spans="1:79" x14ac:dyDescent="0.2">
      <c r="A86" s="268">
        <f>TblRezone[[#This Row],[Hour]]</f>
        <v>83</v>
      </c>
      <c r="B86" s="269">
        <f ca="1">TblExplore[[#This Row],[Land-DB]]</f>
        <v>50</v>
      </c>
      <c r="C86" s="270">
        <f ca="1">TblProd[[#This Row],[Techpoints]]</f>
        <v>0</v>
      </c>
      <c r="D86" s="270">
        <f ca="1">TblProd[[#This Row],[Required]]</f>
        <v>3750</v>
      </c>
      <c r="E86" s="279"/>
      <c r="F86" s="280"/>
      <c r="G86" s="273"/>
      <c r="H86" s="274"/>
      <c r="I86" s="274"/>
      <c r="J86" s="274"/>
      <c r="K86" s="93">
        <f ca="1">IF(TblTech[[#This Row],[Sum of tech]]&lt;&gt;OFFSET(TblTech[[#This Row],[Sum of tech]],-1,0),1,0)</f>
        <v>0</v>
      </c>
      <c r="L86" s="275">
        <f>COUNTIF(TblTech[[#This Row],[1-1]:[11-1]],1)</f>
        <v>0</v>
      </c>
      <c r="M86" s="276" cm="1">
        <f t="array" ref="M86">IF(AND(M$2&lt;&gt;0,TblTech[[#This Row],[Hour]:[Hour]]&gt;=M$2),1,0)</f>
        <v>0</v>
      </c>
      <c r="N86" s="276" cm="1">
        <f t="array" ref="N86">IF(AND(N$2&lt;&gt;0,TblTech[[#This Row],[Hour]:[Hour]]&gt;=N$2),1,0)</f>
        <v>0</v>
      </c>
      <c r="O86" s="276" cm="1">
        <f t="array" ref="O86">IF(AND(O$2&lt;&gt;0,TblTech[[#This Row],[Hour]:[Hour]]&gt;=O$2),1,0)</f>
        <v>0</v>
      </c>
      <c r="P86" s="276" cm="1">
        <f t="array" ref="P86">IF(AND(P$2&lt;&gt;0,TblTech[[#This Row],[Hour]:[Hour]]&gt;=P$2),1,0)</f>
        <v>0</v>
      </c>
      <c r="Q86" s="276" cm="1">
        <f t="array" ref="Q86">IF(AND(Q$2&lt;&gt;0,TblTech[[#This Row],[Hour]:[Hour]]&gt;=Q$2),1,0)</f>
        <v>0</v>
      </c>
      <c r="R86" s="276" cm="1">
        <f t="array" ref="R86">IF(AND(R$2&lt;&gt;0,TblTech[[#This Row],[Hour]:[Hour]]&gt;=R$2),1,0)</f>
        <v>0</v>
      </c>
      <c r="S86" s="276" cm="1">
        <f t="array" ref="S86">IF(AND(S$2&lt;&gt;0,TblTech[[#This Row],[Hour]:[Hour]]&gt;=S$2),1,0)</f>
        <v>0</v>
      </c>
      <c r="T86" s="276" cm="1">
        <f t="array" ref="T86">IF(AND(T$2&lt;&gt;0,TblTech[[#This Row],[Hour]:[Hour]]&gt;=T$2),1,0)</f>
        <v>0</v>
      </c>
      <c r="U86" s="276" cm="1">
        <f t="array" ref="U86">IF(AND(U$2&lt;&gt;0,TblTech[[#This Row],[Hour]:[Hour]]&gt;=U$2),1,0)</f>
        <v>0</v>
      </c>
      <c r="V86" s="276" cm="1">
        <f t="array" ref="V86">IF(AND(V$2&lt;&gt;0,TblTech[[#This Row],[Hour]:[Hour]]&gt;=V$2),1,0)</f>
        <v>0</v>
      </c>
      <c r="W86" s="276" cm="1">
        <f t="array" ref="W86">IF(AND(W$2&lt;&gt;0,TblTech[[#This Row],[Hour]:[Hour]]&gt;=W$2),1,0)</f>
        <v>0</v>
      </c>
      <c r="X86" s="276" cm="1">
        <f t="array" ref="X86">IF(AND(X$2&lt;&gt;0,TblTech[[#This Row],[Hour]:[Hour]]&gt;=X$2),1,0)</f>
        <v>0</v>
      </c>
      <c r="Y86" s="276" cm="1">
        <f t="array" ref="Y86">IF(AND(Y$2&lt;&gt;0,TblTech[[#This Row],[Hour]:[Hour]]&gt;=Y$2),1,0)</f>
        <v>0</v>
      </c>
      <c r="Z86" s="276" cm="1">
        <f t="array" ref="Z86">IF(AND(Z$2&lt;&gt;0,TblTech[[#This Row],[Hour]:[Hour]]&gt;=Z$2),1,0)</f>
        <v>0</v>
      </c>
      <c r="AA86" s="276" cm="1">
        <f t="array" ref="AA86">IF(AND(AA$2&lt;&gt;0,TblTech[[#This Row],[Hour]:[Hour]]&gt;=AA$2),1,0)</f>
        <v>0</v>
      </c>
      <c r="AB86" s="276" cm="1">
        <f t="array" ref="AB86">IF(AND(AB$2&lt;&gt;0,TblTech[[#This Row],[Hour]:[Hour]]&gt;=AB$2),1,0)</f>
        <v>0</v>
      </c>
      <c r="AC86" s="276" cm="1">
        <f t="array" ref="AC86">IF(AND(AC$2&lt;&gt;0,TblTech[[#This Row],[Hour]:[Hour]]&gt;=AC$2),1,0)</f>
        <v>0</v>
      </c>
      <c r="AD86" s="276" cm="1">
        <f t="array" ref="AD86">IF(AND(AD$2&lt;&gt;0,TblTech[[#This Row],[Hour]:[Hour]]&gt;=AD$2),1,0)</f>
        <v>0</v>
      </c>
      <c r="AE86" s="276" cm="1">
        <f t="array" ref="AE86">IF(AND(AE$2&lt;&gt;0,TblTech[[#This Row],[Hour]:[Hour]]&gt;=AE$2),1,0)</f>
        <v>0</v>
      </c>
      <c r="AF86" s="276" cm="1">
        <f t="array" ref="AF86">IF(AND(AF$2&lt;&gt;0,TblTech[[#This Row],[Hour]:[Hour]]&gt;=AF$2),1,0)</f>
        <v>0</v>
      </c>
      <c r="AG86" s="276" cm="1">
        <f t="array" ref="AG86">IF(AND(AG$2&lt;&gt;0,TblTech[[#This Row],[Hour]:[Hour]]&gt;=AG$2),1,0)</f>
        <v>0</v>
      </c>
      <c r="AH86" s="276" cm="1">
        <f t="array" ref="AH86">IF(AND(AH$2&lt;&gt;0,TblTech[[#This Row],[Hour]:[Hour]]&gt;=AH$2),1,0)</f>
        <v>0</v>
      </c>
      <c r="AI86" s="276" cm="1">
        <f t="array" ref="AI86">IF(AND(AI$2&lt;&gt;0,TblTech[[#This Row],[Hour]:[Hour]]&gt;=AI$2),1,0)</f>
        <v>0</v>
      </c>
      <c r="AJ86" s="276" cm="1">
        <f t="array" ref="AJ86">IF(AND(AJ$2&lt;&gt;0,TblTech[[#This Row],[Hour]:[Hour]]&gt;=AJ$2),1,0)</f>
        <v>0</v>
      </c>
      <c r="AK86" s="276" cm="1">
        <f t="array" ref="AK86">IF(AND(AK$2&lt;&gt;0,TblTech[[#This Row],[Hour]:[Hour]]&gt;=AK$2),1,0)</f>
        <v>0</v>
      </c>
      <c r="AL86" s="276" cm="1">
        <f t="array" ref="AL86">IF(AND(AL$2&lt;&gt;0,TblTech[[#This Row],[Hour]:[Hour]]&gt;=AL$2),1,0)</f>
        <v>0</v>
      </c>
      <c r="AM86" s="276" cm="1">
        <f t="array" ref="AM86">IF(AND(AM$2&lt;&gt;0,TblTech[[#This Row],[Hour]:[Hour]]&gt;=AM$2),1,0)</f>
        <v>0</v>
      </c>
      <c r="AN86" s="276" cm="1">
        <f t="array" ref="AN86">IF(AND(AN$2&lt;&gt;0,TblTech[[#This Row],[Hour]:[Hour]]&gt;=AN$2),1,0)</f>
        <v>0</v>
      </c>
      <c r="AO86" s="276" cm="1">
        <f t="array" ref="AO86">IF(AND(AO$2&lt;&gt;0,TblTech[[#This Row],[Hour]:[Hour]]&gt;=AO$2),1,0)</f>
        <v>0</v>
      </c>
      <c r="AP86" s="276" cm="1">
        <f t="array" ref="AP86">IF(AND(AP$2&lt;&gt;0,TblTech[[#This Row],[Hour]:[Hour]]&gt;=AP$2),1,0)</f>
        <v>0</v>
      </c>
      <c r="AQ86" s="276" cm="1">
        <f t="array" ref="AQ86">IF(AND(AQ$2&lt;&gt;0,TblTech[[#This Row],[Hour]:[Hour]]&gt;=AQ$2),1,0)</f>
        <v>0</v>
      </c>
      <c r="AR86" s="276" cm="1">
        <f t="array" ref="AR86">IF(AND(AR$2&lt;&gt;0,TblTech[[#This Row],[Hour]:[Hour]]&gt;=AR$2),1,0)</f>
        <v>0</v>
      </c>
      <c r="AS86" s="276" cm="1">
        <f t="array" ref="AS86">IF(AND(AS$2&lt;&gt;0,TblTech[[#This Row],[Hour]:[Hour]]&gt;=AS$2),1,0)</f>
        <v>0</v>
      </c>
      <c r="AT86" s="276" cm="1">
        <f t="array" ref="AT86">IF(AND(AT$2&lt;&gt;0,TblTech[[#This Row],[Hour]:[Hour]]&gt;=AT$2),1,0)</f>
        <v>0</v>
      </c>
      <c r="AU86" s="276" cm="1">
        <f t="array" ref="AU86">IF(AND(AU$2&lt;&gt;0,TblTech[[#This Row],[Hour]:[Hour]]&gt;=AU$2),1,0)</f>
        <v>0</v>
      </c>
      <c r="AV86" s="276" cm="1">
        <f t="array" ref="AV86">IF(AND(AV$2&lt;&gt;0,TblTech[[#This Row],[Hour]:[Hour]]&gt;=AV$2),1,0)</f>
        <v>0</v>
      </c>
      <c r="AW86" s="276" cm="1">
        <f t="array" ref="AW86">IF(AND(AW$2&lt;&gt;0,TblTech[[#This Row],[Hour]:[Hour]]&gt;=AW$2),1,0)</f>
        <v>0</v>
      </c>
      <c r="AX86" s="276" cm="1">
        <f t="array" ref="AX86">IF(AND(AX$2&lt;&gt;0,TblTech[[#This Row],[Hour]:[Hour]]&gt;=AX$2),1,0)</f>
        <v>0</v>
      </c>
      <c r="AY86" s="276" cm="1">
        <f t="array" ref="AY86">IF(AND(AY$2&lt;&gt;0,TblTech[[#This Row],[Hour]:[Hour]]&gt;=AY$2),1,0)</f>
        <v>0</v>
      </c>
      <c r="AZ86" s="276" cm="1">
        <f t="array" ref="AZ86">IF(AND(AZ$2&lt;&gt;0,TblTech[[#This Row],[Hour]:[Hour]]&gt;=AZ$2),1,0)</f>
        <v>0</v>
      </c>
      <c r="BA86" s="276" cm="1">
        <f t="array" ref="BA86">IF(AND(BA$2&lt;&gt;0,TblTech[[#This Row],[Hour]:[Hour]]&gt;=BA$2),1,0)</f>
        <v>0</v>
      </c>
      <c r="BB86" s="276" cm="1">
        <f t="array" ref="BB86">IF(AND(BB$2&lt;&gt;0,TblTech[[#This Row],[Hour]:[Hour]]&gt;=BB$2),1,0)</f>
        <v>0</v>
      </c>
      <c r="BC86" s="276" cm="1">
        <f t="array" ref="BC86">IF(AND(BC$2&lt;&gt;0,TblTech[[#This Row],[Hour]:[Hour]]&gt;=BC$2),1,0)</f>
        <v>0</v>
      </c>
      <c r="BD86" s="276" cm="1">
        <f t="array" ref="BD86">IF(AND(BD$2&lt;&gt;0,TblTech[[#This Row],[Hour]:[Hour]]&gt;=BD$2),1,0)</f>
        <v>0</v>
      </c>
      <c r="BE86" s="276" cm="1">
        <f t="array" ref="BE86">IF(AND(BE$2&lt;&gt;0,TblTech[[#This Row],[Hour]:[Hour]]&gt;=BE$2),1,0)</f>
        <v>0</v>
      </c>
      <c r="BF86" s="276" cm="1">
        <f t="array" ref="BF86">IF(AND(BF$2&lt;&gt;0,TblTech[[#This Row],[Hour]:[Hour]]&gt;=BF$2),1,0)</f>
        <v>0</v>
      </c>
      <c r="BG86" s="276" cm="1">
        <f t="array" ref="BG86">IF(AND(BG$2&lt;&gt;0,TblTech[[#This Row],[Hour]:[Hour]]&gt;=BG$2),1,0)</f>
        <v>0</v>
      </c>
      <c r="BH86" s="276" cm="1">
        <f t="array" ref="BH86">IF(AND(BH$2&lt;&gt;0,TblTech[[#This Row],[Hour]:[Hour]]&gt;=BH$2),1,0)</f>
        <v>0</v>
      </c>
      <c r="BI86" s="276" cm="1">
        <f t="array" ref="BI86">IF(AND(BI$2&lt;&gt;0,TblTech[[#This Row],[Hour]:[Hour]]&gt;=BI$2),1,0)</f>
        <v>0</v>
      </c>
      <c r="BJ86" s="276" cm="1">
        <f t="array" ref="BJ86">IF(AND(BJ$2&lt;&gt;0,TblTech[[#This Row],[Hour]:[Hour]]&gt;=BJ$2),1,0)</f>
        <v>0</v>
      </c>
      <c r="BK86" s="276" cm="1">
        <f t="array" ref="BK86">IF(AND(BK$2&lt;&gt;0,TblTech[[#This Row],[Hour]:[Hour]]&gt;=BK$2),1,0)</f>
        <v>0</v>
      </c>
      <c r="BL86" s="276" cm="1">
        <f t="array" ref="BL86">IF(AND(BL$2&lt;&gt;0,TblTech[[#This Row],[Hour]:[Hour]]&gt;=BL$2),1,0)</f>
        <v>0</v>
      </c>
      <c r="BM86" s="276" cm="1">
        <f t="array" ref="BM86">IF(AND(BM$2&lt;&gt;0,TblTech[[#This Row],[Hour]:[Hour]]&gt;=BM$2),1,0)</f>
        <v>0</v>
      </c>
      <c r="BN86" s="276" cm="1">
        <f t="array" ref="BN86">IF(AND(BN$2&lt;&gt;0,TblTech[[#This Row],[Hour]:[Hour]]&gt;=BN$2),1,0)</f>
        <v>0</v>
      </c>
      <c r="BO86" s="276" cm="1">
        <f t="array" ref="BO86">IF(AND(BO$2&lt;&gt;0,TblTech[[#This Row],[Hour]:[Hour]]&gt;=BO$2),1,0)</f>
        <v>0</v>
      </c>
      <c r="BP86" s="276" cm="1">
        <f t="array" ref="BP86">IF(AND(BP$2&lt;&gt;0,TblTech[[#This Row],[Hour]:[Hour]]&gt;=BP$2),1,0)</f>
        <v>0</v>
      </c>
      <c r="BQ86" s="276" cm="1">
        <f t="array" ref="BQ86">IF(AND(BQ$2&lt;&gt;0,TblTech[[#This Row],[Hour]:[Hour]]&gt;=BQ$2),1,0)</f>
        <v>0</v>
      </c>
      <c r="BR86" s="276" cm="1">
        <f t="array" ref="BR86">IF(AND(BR$2&lt;&gt;0,TblTech[[#This Row],[Hour]:[Hour]]&gt;=BR$2),1,0)</f>
        <v>0</v>
      </c>
      <c r="BS86" s="276" cm="1">
        <f t="array" ref="BS86">IF(AND(BS$2&lt;&gt;0,TblTech[[#This Row],[Hour]:[Hour]]&gt;=BS$2),1,0)</f>
        <v>0</v>
      </c>
      <c r="BT86" s="276" cm="1">
        <f t="array" ref="BT86">IF(AND(BT$2&lt;&gt;0,TblTech[[#This Row],[Hour]:[Hour]]&gt;=BT$2),1,0)</f>
        <v>0</v>
      </c>
      <c r="BU86" s="276" cm="1">
        <f t="array" ref="BU86">IF(AND(BU$2&lt;&gt;0,TblTech[[#This Row],[Hour]:[Hour]]&gt;=BU$2),1,0)</f>
        <v>0</v>
      </c>
      <c r="BV86" s="276" cm="1">
        <f t="array" ref="BV86">IF(AND(BV$2&lt;&gt;0,TblTech[[#This Row],[Hour]:[Hour]]&gt;=BV$2),1,0)</f>
        <v>0</v>
      </c>
      <c r="BW86" s="276" cm="1">
        <f t="array" ref="BW86">IF(AND(BW$2&lt;&gt;0,TblTech[[#This Row],[Hour]:[Hour]]&gt;=BW$2),1,0)</f>
        <v>0</v>
      </c>
      <c r="BX86" s="276" cm="1">
        <f t="array" ref="BX86">IF(AND(BX$2&lt;&gt;0,TblTech[[#This Row],[Hour]:[Hour]]&gt;=BX$2),1,0)</f>
        <v>0</v>
      </c>
      <c r="BY86" s="276" cm="1">
        <f t="array" ref="BY86">IF(AND(BY$2&lt;&gt;0,TblTech[[#This Row],[Hour]:[Hour]]&gt;=BY$2),1,0)</f>
        <v>0</v>
      </c>
      <c r="BZ86" s="276" cm="1">
        <f t="array" ref="BZ86">IF(AND(BZ$2&lt;&gt;0,TblTech[[#This Row],[Hour]:[Hour]]&gt;=BZ$2),1,0)</f>
        <v>0</v>
      </c>
      <c r="CA86" s="377">
        <f>IFERROR(INDEX($H$4:$H$79,MATCH(INDEX(TblTech[[#Headers],[1-1]:[11-1]],1,MATCH(TblTech[[#This Row],[Hour]],$M$2:$BZ$2,0)),$G$4:$G$79,0)),)</f>
        <v>0</v>
      </c>
    </row>
    <row r="87" spans="1:79" x14ac:dyDescent="0.2">
      <c r="A87" s="268">
        <f>TblRezone[[#This Row],[Hour]]</f>
        <v>84</v>
      </c>
      <c r="B87" s="269">
        <f ca="1">TblExplore[[#This Row],[Land-DB]]</f>
        <v>50</v>
      </c>
      <c r="C87" s="270">
        <f ca="1">TblProd[[#This Row],[Techpoints]]</f>
        <v>0</v>
      </c>
      <c r="D87" s="270">
        <f ca="1">TblProd[[#This Row],[Required]]</f>
        <v>3750</v>
      </c>
      <c r="E87" s="279"/>
      <c r="F87" s="280"/>
      <c r="G87" s="273"/>
      <c r="H87" s="274"/>
      <c r="I87" s="274"/>
      <c r="J87" s="274"/>
      <c r="K87" s="93">
        <f ca="1">IF(TblTech[[#This Row],[Sum of tech]]&lt;&gt;OFFSET(TblTech[[#This Row],[Sum of tech]],-1,0),1,0)</f>
        <v>0</v>
      </c>
      <c r="L87" s="275">
        <f>COUNTIF(TblTech[[#This Row],[1-1]:[11-1]],1)</f>
        <v>0</v>
      </c>
      <c r="M87" s="276" cm="1">
        <f t="array" ref="M87">IF(AND(M$2&lt;&gt;0,TblTech[[#This Row],[Hour]:[Hour]]&gt;=M$2),1,0)</f>
        <v>0</v>
      </c>
      <c r="N87" s="276" cm="1">
        <f t="array" ref="N87">IF(AND(N$2&lt;&gt;0,TblTech[[#This Row],[Hour]:[Hour]]&gt;=N$2),1,0)</f>
        <v>0</v>
      </c>
      <c r="O87" s="276" cm="1">
        <f t="array" ref="O87">IF(AND(O$2&lt;&gt;0,TblTech[[#This Row],[Hour]:[Hour]]&gt;=O$2),1,0)</f>
        <v>0</v>
      </c>
      <c r="P87" s="276" cm="1">
        <f t="array" ref="P87">IF(AND(P$2&lt;&gt;0,TblTech[[#This Row],[Hour]:[Hour]]&gt;=P$2),1,0)</f>
        <v>0</v>
      </c>
      <c r="Q87" s="276" cm="1">
        <f t="array" ref="Q87">IF(AND(Q$2&lt;&gt;0,TblTech[[#This Row],[Hour]:[Hour]]&gt;=Q$2),1,0)</f>
        <v>0</v>
      </c>
      <c r="R87" s="276" cm="1">
        <f t="array" ref="R87">IF(AND(R$2&lt;&gt;0,TblTech[[#This Row],[Hour]:[Hour]]&gt;=R$2),1,0)</f>
        <v>0</v>
      </c>
      <c r="S87" s="276" cm="1">
        <f t="array" ref="S87">IF(AND(S$2&lt;&gt;0,TblTech[[#This Row],[Hour]:[Hour]]&gt;=S$2),1,0)</f>
        <v>0</v>
      </c>
      <c r="T87" s="276" cm="1">
        <f t="array" ref="T87">IF(AND(T$2&lt;&gt;0,TblTech[[#This Row],[Hour]:[Hour]]&gt;=T$2),1,0)</f>
        <v>0</v>
      </c>
      <c r="U87" s="276" cm="1">
        <f t="array" ref="U87">IF(AND(U$2&lt;&gt;0,TblTech[[#This Row],[Hour]:[Hour]]&gt;=U$2),1,0)</f>
        <v>0</v>
      </c>
      <c r="V87" s="276" cm="1">
        <f t="array" ref="V87">IF(AND(V$2&lt;&gt;0,TblTech[[#This Row],[Hour]:[Hour]]&gt;=V$2),1,0)</f>
        <v>0</v>
      </c>
      <c r="W87" s="276" cm="1">
        <f t="array" ref="W87">IF(AND(W$2&lt;&gt;0,TblTech[[#This Row],[Hour]:[Hour]]&gt;=W$2),1,0)</f>
        <v>0</v>
      </c>
      <c r="X87" s="276" cm="1">
        <f t="array" ref="X87">IF(AND(X$2&lt;&gt;0,TblTech[[#This Row],[Hour]:[Hour]]&gt;=X$2),1,0)</f>
        <v>0</v>
      </c>
      <c r="Y87" s="276" cm="1">
        <f t="array" ref="Y87">IF(AND(Y$2&lt;&gt;0,TblTech[[#This Row],[Hour]:[Hour]]&gt;=Y$2),1,0)</f>
        <v>0</v>
      </c>
      <c r="Z87" s="276" cm="1">
        <f t="array" ref="Z87">IF(AND(Z$2&lt;&gt;0,TblTech[[#This Row],[Hour]:[Hour]]&gt;=Z$2),1,0)</f>
        <v>0</v>
      </c>
      <c r="AA87" s="276" cm="1">
        <f t="array" ref="AA87">IF(AND(AA$2&lt;&gt;0,TblTech[[#This Row],[Hour]:[Hour]]&gt;=AA$2),1,0)</f>
        <v>0</v>
      </c>
      <c r="AB87" s="276" cm="1">
        <f t="array" ref="AB87">IF(AND(AB$2&lt;&gt;0,TblTech[[#This Row],[Hour]:[Hour]]&gt;=AB$2),1,0)</f>
        <v>0</v>
      </c>
      <c r="AC87" s="276" cm="1">
        <f t="array" ref="AC87">IF(AND(AC$2&lt;&gt;0,TblTech[[#This Row],[Hour]:[Hour]]&gt;=AC$2),1,0)</f>
        <v>0</v>
      </c>
      <c r="AD87" s="276" cm="1">
        <f t="array" ref="AD87">IF(AND(AD$2&lt;&gt;0,TblTech[[#This Row],[Hour]:[Hour]]&gt;=AD$2),1,0)</f>
        <v>0</v>
      </c>
      <c r="AE87" s="276" cm="1">
        <f t="array" ref="AE87">IF(AND(AE$2&lt;&gt;0,TblTech[[#This Row],[Hour]:[Hour]]&gt;=AE$2),1,0)</f>
        <v>0</v>
      </c>
      <c r="AF87" s="276" cm="1">
        <f t="array" ref="AF87">IF(AND(AF$2&lt;&gt;0,TblTech[[#This Row],[Hour]:[Hour]]&gt;=AF$2),1,0)</f>
        <v>0</v>
      </c>
      <c r="AG87" s="276" cm="1">
        <f t="array" ref="AG87">IF(AND(AG$2&lt;&gt;0,TblTech[[#This Row],[Hour]:[Hour]]&gt;=AG$2),1,0)</f>
        <v>0</v>
      </c>
      <c r="AH87" s="276" cm="1">
        <f t="array" ref="AH87">IF(AND(AH$2&lt;&gt;0,TblTech[[#This Row],[Hour]:[Hour]]&gt;=AH$2),1,0)</f>
        <v>0</v>
      </c>
      <c r="AI87" s="276" cm="1">
        <f t="array" ref="AI87">IF(AND(AI$2&lt;&gt;0,TblTech[[#This Row],[Hour]:[Hour]]&gt;=AI$2),1,0)</f>
        <v>0</v>
      </c>
      <c r="AJ87" s="276" cm="1">
        <f t="array" ref="AJ87">IF(AND(AJ$2&lt;&gt;0,TblTech[[#This Row],[Hour]:[Hour]]&gt;=AJ$2),1,0)</f>
        <v>0</v>
      </c>
      <c r="AK87" s="276" cm="1">
        <f t="array" ref="AK87">IF(AND(AK$2&lt;&gt;0,TblTech[[#This Row],[Hour]:[Hour]]&gt;=AK$2),1,0)</f>
        <v>0</v>
      </c>
      <c r="AL87" s="276" cm="1">
        <f t="array" ref="AL87">IF(AND(AL$2&lt;&gt;0,TblTech[[#This Row],[Hour]:[Hour]]&gt;=AL$2),1,0)</f>
        <v>0</v>
      </c>
      <c r="AM87" s="276" cm="1">
        <f t="array" ref="AM87">IF(AND(AM$2&lt;&gt;0,TblTech[[#This Row],[Hour]:[Hour]]&gt;=AM$2),1,0)</f>
        <v>0</v>
      </c>
      <c r="AN87" s="276" cm="1">
        <f t="array" ref="AN87">IF(AND(AN$2&lt;&gt;0,TblTech[[#This Row],[Hour]:[Hour]]&gt;=AN$2),1,0)</f>
        <v>0</v>
      </c>
      <c r="AO87" s="276" cm="1">
        <f t="array" ref="AO87">IF(AND(AO$2&lt;&gt;0,TblTech[[#This Row],[Hour]:[Hour]]&gt;=AO$2),1,0)</f>
        <v>0</v>
      </c>
      <c r="AP87" s="276" cm="1">
        <f t="array" ref="AP87">IF(AND(AP$2&lt;&gt;0,TblTech[[#This Row],[Hour]:[Hour]]&gt;=AP$2),1,0)</f>
        <v>0</v>
      </c>
      <c r="AQ87" s="276" cm="1">
        <f t="array" ref="AQ87">IF(AND(AQ$2&lt;&gt;0,TblTech[[#This Row],[Hour]:[Hour]]&gt;=AQ$2),1,0)</f>
        <v>0</v>
      </c>
      <c r="AR87" s="276" cm="1">
        <f t="array" ref="AR87">IF(AND(AR$2&lt;&gt;0,TblTech[[#This Row],[Hour]:[Hour]]&gt;=AR$2),1,0)</f>
        <v>0</v>
      </c>
      <c r="AS87" s="276" cm="1">
        <f t="array" ref="AS87">IF(AND(AS$2&lt;&gt;0,TblTech[[#This Row],[Hour]:[Hour]]&gt;=AS$2),1,0)</f>
        <v>0</v>
      </c>
      <c r="AT87" s="276" cm="1">
        <f t="array" ref="AT87">IF(AND(AT$2&lt;&gt;0,TblTech[[#This Row],[Hour]:[Hour]]&gt;=AT$2),1,0)</f>
        <v>0</v>
      </c>
      <c r="AU87" s="276" cm="1">
        <f t="array" ref="AU87">IF(AND(AU$2&lt;&gt;0,TblTech[[#This Row],[Hour]:[Hour]]&gt;=AU$2),1,0)</f>
        <v>0</v>
      </c>
      <c r="AV87" s="276" cm="1">
        <f t="array" ref="AV87">IF(AND(AV$2&lt;&gt;0,TblTech[[#This Row],[Hour]:[Hour]]&gt;=AV$2),1,0)</f>
        <v>0</v>
      </c>
      <c r="AW87" s="276" cm="1">
        <f t="array" ref="AW87">IF(AND(AW$2&lt;&gt;0,TblTech[[#This Row],[Hour]:[Hour]]&gt;=AW$2),1,0)</f>
        <v>0</v>
      </c>
      <c r="AX87" s="276" cm="1">
        <f t="array" ref="AX87">IF(AND(AX$2&lt;&gt;0,TblTech[[#This Row],[Hour]:[Hour]]&gt;=AX$2),1,0)</f>
        <v>0</v>
      </c>
      <c r="AY87" s="276" cm="1">
        <f t="array" ref="AY87">IF(AND(AY$2&lt;&gt;0,TblTech[[#This Row],[Hour]:[Hour]]&gt;=AY$2),1,0)</f>
        <v>0</v>
      </c>
      <c r="AZ87" s="276" cm="1">
        <f t="array" ref="AZ87">IF(AND(AZ$2&lt;&gt;0,TblTech[[#This Row],[Hour]:[Hour]]&gt;=AZ$2),1,0)</f>
        <v>0</v>
      </c>
      <c r="BA87" s="276" cm="1">
        <f t="array" ref="BA87">IF(AND(BA$2&lt;&gt;0,TblTech[[#This Row],[Hour]:[Hour]]&gt;=BA$2),1,0)</f>
        <v>0</v>
      </c>
      <c r="BB87" s="276" cm="1">
        <f t="array" ref="BB87">IF(AND(BB$2&lt;&gt;0,TblTech[[#This Row],[Hour]:[Hour]]&gt;=BB$2),1,0)</f>
        <v>0</v>
      </c>
      <c r="BC87" s="276" cm="1">
        <f t="array" ref="BC87">IF(AND(BC$2&lt;&gt;0,TblTech[[#This Row],[Hour]:[Hour]]&gt;=BC$2),1,0)</f>
        <v>0</v>
      </c>
      <c r="BD87" s="276" cm="1">
        <f t="array" ref="BD87">IF(AND(BD$2&lt;&gt;0,TblTech[[#This Row],[Hour]:[Hour]]&gt;=BD$2),1,0)</f>
        <v>0</v>
      </c>
      <c r="BE87" s="276" cm="1">
        <f t="array" ref="BE87">IF(AND(BE$2&lt;&gt;0,TblTech[[#This Row],[Hour]:[Hour]]&gt;=BE$2),1,0)</f>
        <v>0</v>
      </c>
      <c r="BF87" s="276" cm="1">
        <f t="array" ref="BF87">IF(AND(BF$2&lt;&gt;0,TblTech[[#This Row],[Hour]:[Hour]]&gt;=BF$2),1,0)</f>
        <v>0</v>
      </c>
      <c r="BG87" s="276" cm="1">
        <f t="array" ref="BG87">IF(AND(BG$2&lt;&gt;0,TblTech[[#This Row],[Hour]:[Hour]]&gt;=BG$2),1,0)</f>
        <v>0</v>
      </c>
      <c r="BH87" s="276" cm="1">
        <f t="array" ref="BH87">IF(AND(BH$2&lt;&gt;0,TblTech[[#This Row],[Hour]:[Hour]]&gt;=BH$2),1,0)</f>
        <v>0</v>
      </c>
      <c r="BI87" s="276" cm="1">
        <f t="array" ref="BI87">IF(AND(BI$2&lt;&gt;0,TblTech[[#This Row],[Hour]:[Hour]]&gt;=BI$2),1,0)</f>
        <v>0</v>
      </c>
      <c r="BJ87" s="276" cm="1">
        <f t="array" ref="BJ87">IF(AND(BJ$2&lt;&gt;0,TblTech[[#This Row],[Hour]:[Hour]]&gt;=BJ$2),1,0)</f>
        <v>0</v>
      </c>
      <c r="BK87" s="276" cm="1">
        <f t="array" ref="BK87">IF(AND(BK$2&lt;&gt;0,TblTech[[#This Row],[Hour]:[Hour]]&gt;=BK$2),1,0)</f>
        <v>0</v>
      </c>
      <c r="BL87" s="276" cm="1">
        <f t="array" ref="BL87">IF(AND(BL$2&lt;&gt;0,TblTech[[#This Row],[Hour]:[Hour]]&gt;=BL$2),1,0)</f>
        <v>0</v>
      </c>
      <c r="BM87" s="276" cm="1">
        <f t="array" ref="BM87">IF(AND(BM$2&lt;&gt;0,TblTech[[#This Row],[Hour]:[Hour]]&gt;=BM$2),1,0)</f>
        <v>0</v>
      </c>
      <c r="BN87" s="276" cm="1">
        <f t="array" ref="BN87">IF(AND(BN$2&lt;&gt;0,TblTech[[#This Row],[Hour]:[Hour]]&gt;=BN$2),1,0)</f>
        <v>0</v>
      </c>
      <c r="BO87" s="276" cm="1">
        <f t="array" ref="BO87">IF(AND(BO$2&lt;&gt;0,TblTech[[#This Row],[Hour]:[Hour]]&gt;=BO$2),1,0)</f>
        <v>0</v>
      </c>
      <c r="BP87" s="276" cm="1">
        <f t="array" ref="BP87">IF(AND(BP$2&lt;&gt;0,TblTech[[#This Row],[Hour]:[Hour]]&gt;=BP$2),1,0)</f>
        <v>0</v>
      </c>
      <c r="BQ87" s="276" cm="1">
        <f t="array" ref="BQ87">IF(AND(BQ$2&lt;&gt;0,TblTech[[#This Row],[Hour]:[Hour]]&gt;=BQ$2),1,0)</f>
        <v>0</v>
      </c>
      <c r="BR87" s="276" cm="1">
        <f t="array" ref="BR87">IF(AND(BR$2&lt;&gt;0,TblTech[[#This Row],[Hour]:[Hour]]&gt;=BR$2),1,0)</f>
        <v>0</v>
      </c>
      <c r="BS87" s="276" cm="1">
        <f t="array" ref="BS87">IF(AND(BS$2&lt;&gt;0,TblTech[[#This Row],[Hour]:[Hour]]&gt;=BS$2),1,0)</f>
        <v>0</v>
      </c>
      <c r="BT87" s="276" cm="1">
        <f t="array" ref="BT87">IF(AND(BT$2&lt;&gt;0,TblTech[[#This Row],[Hour]:[Hour]]&gt;=BT$2),1,0)</f>
        <v>0</v>
      </c>
      <c r="BU87" s="276" cm="1">
        <f t="array" ref="BU87">IF(AND(BU$2&lt;&gt;0,TblTech[[#This Row],[Hour]:[Hour]]&gt;=BU$2),1,0)</f>
        <v>0</v>
      </c>
      <c r="BV87" s="276" cm="1">
        <f t="array" ref="BV87">IF(AND(BV$2&lt;&gt;0,TblTech[[#This Row],[Hour]:[Hour]]&gt;=BV$2),1,0)</f>
        <v>0</v>
      </c>
      <c r="BW87" s="276" cm="1">
        <f t="array" ref="BW87">IF(AND(BW$2&lt;&gt;0,TblTech[[#This Row],[Hour]:[Hour]]&gt;=BW$2),1,0)</f>
        <v>0</v>
      </c>
      <c r="BX87" s="276" cm="1">
        <f t="array" ref="BX87">IF(AND(BX$2&lt;&gt;0,TblTech[[#This Row],[Hour]:[Hour]]&gt;=BX$2),1,0)</f>
        <v>0</v>
      </c>
      <c r="BY87" s="276" cm="1">
        <f t="array" ref="BY87">IF(AND(BY$2&lt;&gt;0,TblTech[[#This Row],[Hour]:[Hour]]&gt;=BY$2),1,0)</f>
        <v>0</v>
      </c>
      <c r="BZ87" s="276" cm="1">
        <f t="array" ref="BZ87">IF(AND(BZ$2&lt;&gt;0,TblTech[[#This Row],[Hour]:[Hour]]&gt;=BZ$2),1,0)</f>
        <v>0</v>
      </c>
      <c r="CA87" s="377">
        <f>IFERROR(INDEX($H$4:$H$79,MATCH(INDEX(TblTech[[#Headers],[1-1]:[11-1]],1,MATCH(TblTech[[#This Row],[Hour]],$M$2:$BZ$2,0)),$G$4:$G$79,0)),)</f>
        <v>0</v>
      </c>
    </row>
    <row r="88" spans="1:79" x14ac:dyDescent="0.2">
      <c r="A88" s="268">
        <f>TblRezone[[#This Row],[Hour]]</f>
        <v>85</v>
      </c>
      <c r="B88" s="269">
        <f ca="1">TblExplore[[#This Row],[Land-DB]]</f>
        <v>50</v>
      </c>
      <c r="C88" s="270">
        <f ca="1">TblProd[[#This Row],[Techpoints]]</f>
        <v>0</v>
      </c>
      <c r="D88" s="270">
        <f ca="1">TblProd[[#This Row],[Required]]</f>
        <v>3750</v>
      </c>
      <c r="E88" s="279"/>
      <c r="F88" s="280"/>
      <c r="G88" s="273"/>
      <c r="H88" s="274"/>
      <c r="I88" s="274"/>
      <c r="J88" s="274"/>
      <c r="K88" s="93">
        <f ca="1">IF(TblTech[[#This Row],[Sum of tech]]&lt;&gt;OFFSET(TblTech[[#This Row],[Sum of tech]],-1,0),1,0)</f>
        <v>0</v>
      </c>
      <c r="L88" s="275">
        <f>COUNTIF(TblTech[[#This Row],[1-1]:[11-1]],1)</f>
        <v>0</v>
      </c>
      <c r="M88" s="276" cm="1">
        <f t="array" ref="M88">IF(AND(M$2&lt;&gt;0,TblTech[[#This Row],[Hour]:[Hour]]&gt;=M$2),1,0)</f>
        <v>0</v>
      </c>
      <c r="N88" s="276" cm="1">
        <f t="array" ref="N88">IF(AND(N$2&lt;&gt;0,TblTech[[#This Row],[Hour]:[Hour]]&gt;=N$2),1,0)</f>
        <v>0</v>
      </c>
      <c r="O88" s="276" cm="1">
        <f t="array" ref="O88">IF(AND(O$2&lt;&gt;0,TblTech[[#This Row],[Hour]:[Hour]]&gt;=O$2),1,0)</f>
        <v>0</v>
      </c>
      <c r="P88" s="276" cm="1">
        <f t="array" ref="P88">IF(AND(P$2&lt;&gt;0,TblTech[[#This Row],[Hour]:[Hour]]&gt;=P$2),1,0)</f>
        <v>0</v>
      </c>
      <c r="Q88" s="276" cm="1">
        <f t="array" ref="Q88">IF(AND(Q$2&lt;&gt;0,TblTech[[#This Row],[Hour]:[Hour]]&gt;=Q$2),1,0)</f>
        <v>0</v>
      </c>
      <c r="R88" s="276" cm="1">
        <f t="array" ref="R88">IF(AND(R$2&lt;&gt;0,TblTech[[#This Row],[Hour]:[Hour]]&gt;=R$2),1,0)</f>
        <v>0</v>
      </c>
      <c r="S88" s="276" cm="1">
        <f t="array" ref="S88">IF(AND(S$2&lt;&gt;0,TblTech[[#This Row],[Hour]:[Hour]]&gt;=S$2),1,0)</f>
        <v>0</v>
      </c>
      <c r="T88" s="276" cm="1">
        <f t="array" ref="T88">IF(AND(T$2&lt;&gt;0,TblTech[[#This Row],[Hour]:[Hour]]&gt;=T$2),1,0)</f>
        <v>0</v>
      </c>
      <c r="U88" s="276" cm="1">
        <f t="array" ref="U88">IF(AND(U$2&lt;&gt;0,TblTech[[#This Row],[Hour]:[Hour]]&gt;=U$2),1,0)</f>
        <v>0</v>
      </c>
      <c r="V88" s="276" cm="1">
        <f t="array" ref="V88">IF(AND(V$2&lt;&gt;0,TblTech[[#This Row],[Hour]:[Hour]]&gt;=V$2),1,0)</f>
        <v>0</v>
      </c>
      <c r="W88" s="276" cm="1">
        <f t="array" ref="W88">IF(AND(W$2&lt;&gt;0,TblTech[[#This Row],[Hour]:[Hour]]&gt;=W$2),1,0)</f>
        <v>0</v>
      </c>
      <c r="X88" s="276" cm="1">
        <f t="array" ref="X88">IF(AND(X$2&lt;&gt;0,TblTech[[#This Row],[Hour]:[Hour]]&gt;=X$2),1,0)</f>
        <v>0</v>
      </c>
      <c r="Y88" s="276" cm="1">
        <f t="array" ref="Y88">IF(AND(Y$2&lt;&gt;0,TblTech[[#This Row],[Hour]:[Hour]]&gt;=Y$2),1,0)</f>
        <v>0</v>
      </c>
      <c r="Z88" s="276" cm="1">
        <f t="array" ref="Z88">IF(AND(Z$2&lt;&gt;0,TblTech[[#This Row],[Hour]:[Hour]]&gt;=Z$2),1,0)</f>
        <v>0</v>
      </c>
      <c r="AA88" s="276" cm="1">
        <f t="array" ref="AA88">IF(AND(AA$2&lt;&gt;0,TblTech[[#This Row],[Hour]:[Hour]]&gt;=AA$2),1,0)</f>
        <v>0</v>
      </c>
      <c r="AB88" s="276" cm="1">
        <f t="array" ref="AB88">IF(AND(AB$2&lt;&gt;0,TblTech[[#This Row],[Hour]:[Hour]]&gt;=AB$2),1,0)</f>
        <v>0</v>
      </c>
      <c r="AC88" s="276" cm="1">
        <f t="array" ref="AC88">IF(AND(AC$2&lt;&gt;0,TblTech[[#This Row],[Hour]:[Hour]]&gt;=AC$2),1,0)</f>
        <v>0</v>
      </c>
      <c r="AD88" s="276" cm="1">
        <f t="array" ref="AD88">IF(AND(AD$2&lt;&gt;0,TblTech[[#This Row],[Hour]:[Hour]]&gt;=AD$2),1,0)</f>
        <v>0</v>
      </c>
      <c r="AE88" s="276" cm="1">
        <f t="array" ref="AE88">IF(AND(AE$2&lt;&gt;0,TblTech[[#This Row],[Hour]:[Hour]]&gt;=AE$2),1,0)</f>
        <v>0</v>
      </c>
      <c r="AF88" s="276" cm="1">
        <f t="array" ref="AF88">IF(AND(AF$2&lt;&gt;0,TblTech[[#This Row],[Hour]:[Hour]]&gt;=AF$2),1,0)</f>
        <v>0</v>
      </c>
      <c r="AG88" s="276" cm="1">
        <f t="array" ref="AG88">IF(AND(AG$2&lt;&gt;0,TblTech[[#This Row],[Hour]:[Hour]]&gt;=AG$2),1,0)</f>
        <v>0</v>
      </c>
      <c r="AH88" s="276" cm="1">
        <f t="array" ref="AH88">IF(AND(AH$2&lt;&gt;0,TblTech[[#This Row],[Hour]:[Hour]]&gt;=AH$2),1,0)</f>
        <v>0</v>
      </c>
      <c r="AI88" s="276" cm="1">
        <f t="array" ref="AI88">IF(AND(AI$2&lt;&gt;0,TblTech[[#This Row],[Hour]:[Hour]]&gt;=AI$2),1,0)</f>
        <v>0</v>
      </c>
      <c r="AJ88" s="276" cm="1">
        <f t="array" ref="AJ88">IF(AND(AJ$2&lt;&gt;0,TblTech[[#This Row],[Hour]:[Hour]]&gt;=AJ$2),1,0)</f>
        <v>0</v>
      </c>
      <c r="AK88" s="276" cm="1">
        <f t="array" ref="AK88">IF(AND(AK$2&lt;&gt;0,TblTech[[#This Row],[Hour]:[Hour]]&gt;=AK$2),1,0)</f>
        <v>0</v>
      </c>
      <c r="AL88" s="276" cm="1">
        <f t="array" ref="AL88">IF(AND(AL$2&lt;&gt;0,TblTech[[#This Row],[Hour]:[Hour]]&gt;=AL$2),1,0)</f>
        <v>0</v>
      </c>
      <c r="AM88" s="276" cm="1">
        <f t="array" ref="AM88">IF(AND(AM$2&lt;&gt;0,TblTech[[#This Row],[Hour]:[Hour]]&gt;=AM$2),1,0)</f>
        <v>0</v>
      </c>
      <c r="AN88" s="276" cm="1">
        <f t="array" ref="AN88">IF(AND(AN$2&lt;&gt;0,TblTech[[#This Row],[Hour]:[Hour]]&gt;=AN$2),1,0)</f>
        <v>0</v>
      </c>
      <c r="AO88" s="276" cm="1">
        <f t="array" ref="AO88">IF(AND(AO$2&lt;&gt;0,TblTech[[#This Row],[Hour]:[Hour]]&gt;=AO$2),1,0)</f>
        <v>0</v>
      </c>
      <c r="AP88" s="276" cm="1">
        <f t="array" ref="AP88">IF(AND(AP$2&lt;&gt;0,TblTech[[#This Row],[Hour]:[Hour]]&gt;=AP$2),1,0)</f>
        <v>0</v>
      </c>
      <c r="AQ88" s="276" cm="1">
        <f t="array" ref="AQ88">IF(AND(AQ$2&lt;&gt;0,TblTech[[#This Row],[Hour]:[Hour]]&gt;=AQ$2),1,0)</f>
        <v>0</v>
      </c>
      <c r="AR88" s="276" cm="1">
        <f t="array" ref="AR88">IF(AND(AR$2&lt;&gt;0,TblTech[[#This Row],[Hour]:[Hour]]&gt;=AR$2),1,0)</f>
        <v>0</v>
      </c>
      <c r="AS88" s="276" cm="1">
        <f t="array" ref="AS88">IF(AND(AS$2&lt;&gt;0,TblTech[[#This Row],[Hour]:[Hour]]&gt;=AS$2),1,0)</f>
        <v>0</v>
      </c>
      <c r="AT88" s="276" cm="1">
        <f t="array" ref="AT88">IF(AND(AT$2&lt;&gt;0,TblTech[[#This Row],[Hour]:[Hour]]&gt;=AT$2),1,0)</f>
        <v>0</v>
      </c>
      <c r="AU88" s="276" cm="1">
        <f t="array" ref="AU88">IF(AND(AU$2&lt;&gt;0,TblTech[[#This Row],[Hour]:[Hour]]&gt;=AU$2),1,0)</f>
        <v>0</v>
      </c>
      <c r="AV88" s="276" cm="1">
        <f t="array" ref="AV88">IF(AND(AV$2&lt;&gt;0,TblTech[[#This Row],[Hour]:[Hour]]&gt;=AV$2),1,0)</f>
        <v>0</v>
      </c>
      <c r="AW88" s="276" cm="1">
        <f t="array" ref="AW88">IF(AND(AW$2&lt;&gt;0,TblTech[[#This Row],[Hour]:[Hour]]&gt;=AW$2),1,0)</f>
        <v>0</v>
      </c>
      <c r="AX88" s="276" cm="1">
        <f t="array" ref="AX88">IF(AND(AX$2&lt;&gt;0,TblTech[[#This Row],[Hour]:[Hour]]&gt;=AX$2),1,0)</f>
        <v>0</v>
      </c>
      <c r="AY88" s="276" cm="1">
        <f t="array" ref="AY88">IF(AND(AY$2&lt;&gt;0,TblTech[[#This Row],[Hour]:[Hour]]&gt;=AY$2),1,0)</f>
        <v>0</v>
      </c>
      <c r="AZ88" s="276" cm="1">
        <f t="array" ref="AZ88">IF(AND(AZ$2&lt;&gt;0,TblTech[[#This Row],[Hour]:[Hour]]&gt;=AZ$2),1,0)</f>
        <v>0</v>
      </c>
      <c r="BA88" s="276" cm="1">
        <f t="array" ref="BA88">IF(AND(BA$2&lt;&gt;0,TblTech[[#This Row],[Hour]:[Hour]]&gt;=BA$2),1,0)</f>
        <v>0</v>
      </c>
      <c r="BB88" s="276" cm="1">
        <f t="array" ref="BB88">IF(AND(BB$2&lt;&gt;0,TblTech[[#This Row],[Hour]:[Hour]]&gt;=BB$2),1,0)</f>
        <v>0</v>
      </c>
      <c r="BC88" s="276" cm="1">
        <f t="array" ref="BC88">IF(AND(BC$2&lt;&gt;0,TblTech[[#This Row],[Hour]:[Hour]]&gt;=BC$2),1,0)</f>
        <v>0</v>
      </c>
      <c r="BD88" s="276" cm="1">
        <f t="array" ref="BD88">IF(AND(BD$2&lt;&gt;0,TblTech[[#This Row],[Hour]:[Hour]]&gt;=BD$2),1,0)</f>
        <v>0</v>
      </c>
      <c r="BE88" s="276" cm="1">
        <f t="array" ref="BE88">IF(AND(BE$2&lt;&gt;0,TblTech[[#This Row],[Hour]:[Hour]]&gt;=BE$2),1,0)</f>
        <v>0</v>
      </c>
      <c r="BF88" s="276" cm="1">
        <f t="array" ref="BF88">IF(AND(BF$2&lt;&gt;0,TblTech[[#This Row],[Hour]:[Hour]]&gt;=BF$2),1,0)</f>
        <v>0</v>
      </c>
      <c r="BG88" s="276" cm="1">
        <f t="array" ref="BG88">IF(AND(BG$2&lt;&gt;0,TblTech[[#This Row],[Hour]:[Hour]]&gt;=BG$2),1,0)</f>
        <v>0</v>
      </c>
      <c r="BH88" s="276" cm="1">
        <f t="array" ref="BH88">IF(AND(BH$2&lt;&gt;0,TblTech[[#This Row],[Hour]:[Hour]]&gt;=BH$2),1,0)</f>
        <v>0</v>
      </c>
      <c r="BI88" s="276" cm="1">
        <f t="array" ref="BI88">IF(AND(BI$2&lt;&gt;0,TblTech[[#This Row],[Hour]:[Hour]]&gt;=BI$2),1,0)</f>
        <v>0</v>
      </c>
      <c r="BJ88" s="276" cm="1">
        <f t="array" ref="BJ88">IF(AND(BJ$2&lt;&gt;0,TblTech[[#This Row],[Hour]:[Hour]]&gt;=BJ$2),1,0)</f>
        <v>0</v>
      </c>
      <c r="BK88" s="276" cm="1">
        <f t="array" ref="BK88">IF(AND(BK$2&lt;&gt;0,TblTech[[#This Row],[Hour]:[Hour]]&gt;=BK$2),1,0)</f>
        <v>0</v>
      </c>
      <c r="BL88" s="276" cm="1">
        <f t="array" ref="BL88">IF(AND(BL$2&lt;&gt;0,TblTech[[#This Row],[Hour]:[Hour]]&gt;=BL$2),1,0)</f>
        <v>0</v>
      </c>
      <c r="BM88" s="276" cm="1">
        <f t="array" ref="BM88">IF(AND(BM$2&lt;&gt;0,TblTech[[#This Row],[Hour]:[Hour]]&gt;=BM$2),1,0)</f>
        <v>0</v>
      </c>
      <c r="BN88" s="276" cm="1">
        <f t="array" ref="BN88">IF(AND(BN$2&lt;&gt;0,TblTech[[#This Row],[Hour]:[Hour]]&gt;=BN$2),1,0)</f>
        <v>0</v>
      </c>
      <c r="BO88" s="276" cm="1">
        <f t="array" ref="BO88">IF(AND(BO$2&lt;&gt;0,TblTech[[#This Row],[Hour]:[Hour]]&gt;=BO$2),1,0)</f>
        <v>0</v>
      </c>
      <c r="BP88" s="276" cm="1">
        <f t="array" ref="BP88">IF(AND(BP$2&lt;&gt;0,TblTech[[#This Row],[Hour]:[Hour]]&gt;=BP$2),1,0)</f>
        <v>0</v>
      </c>
      <c r="BQ88" s="276" cm="1">
        <f t="array" ref="BQ88">IF(AND(BQ$2&lt;&gt;0,TblTech[[#This Row],[Hour]:[Hour]]&gt;=BQ$2),1,0)</f>
        <v>0</v>
      </c>
      <c r="BR88" s="276" cm="1">
        <f t="array" ref="BR88">IF(AND(BR$2&lt;&gt;0,TblTech[[#This Row],[Hour]:[Hour]]&gt;=BR$2),1,0)</f>
        <v>0</v>
      </c>
      <c r="BS88" s="276" cm="1">
        <f t="array" ref="BS88">IF(AND(BS$2&lt;&gt;0,TblTech[[#This Row],[Hour]:[Hour]]&gt;=BS$2),1,0)</f>
        <v>0</v>
      </c>
      <c r="BT88" s="276" cm="1">
        <f t="array" ref="BT88">IF(AND(BT$2&lt;&gt;0,TblTech[[#This Row],[Hour]:[Hour]]&gt;=BT$2),1,0)</f>
        <v>0</v>
      </c>
      <c r="BU88" s="276" cm="1">
        <f t="array" ref="BU88">IF(AND(BU$2&lt;&gt;0,TblTech[[#This Row],[Hour]:[Hour]]&gt;=BU$2),1,0)</f>
        <v>0</v>
      </c>
      <c r="BV88" s="276" cm="1">
        <f t="array" ref="BV88">IF(AND(BV$2&lt;&gt;0,TblTech[[#This Row],[Hour]:[Hour]]&gt;=BV$2),1,0)</f>
        <v>0</v>
      </c>
      <c r="BW88" s="276" cm="1">
        <f t="array" ref="BW88">IF(AND(BW$2&lt;&gt;0,TblTech[[#This Row],[Hour]:[Hour]]&gt;=BW$2),1,0)</f>
        <v>0</v>
      </c>
      <c r="BX88" s="276" cm="1">
        <f t="array" ref="BX88">IF(AND(BX$2&lt;&gt;0,TblTech[[#This Row],[Hour]:[Hour]]&gt;=BX$2),1,0)</f>
        <v>0</v>
      </c>
      <c r="BY88" s="276" cm="1">
        <f t="array" ref="BY88">IF(AND(BY$2&lt;&gt;0,TblTech[[#This Row],[Hour]:[Hour]]&gt;=BY$2),1,0)</f>
        <v>0</v>
      </c>
      <c r="BZ88" s="276" cm="1">
        <f t="array" ref="BZ88">IF(AND(BZ$2&lt;&gt;0,TblTech[[#This Row],[Hour]:[Hour]]&gt;=BZ$2),1,0)</f>
        <v>0</v>
      </c>
      <c r="CA88" s="377">
        <f>IFERROR(INDEX($H$4:$H$79,MATCH(INDEX(TblTech[[#Headers],[1-1]:[11-1]],1,MATCH(TblTech[[#This Row],[Hour]],$M$2:$BZ$2,0)),$G$4:$G$79,0)),)</f>
        <v>0</v>
      </c>
    </row>
    <row r="89" spans="1:79" x14ac:dyDescent="0.2">
      <c r="A89" s="268">
        <f>TblRezone[[#This Row],[Hour]]</f>
        <v>86</v>
      </c>
      <c r="B89" s="269">
        <f ca="1">TblExplore[[#This Row],[Land-DB]]</f>
        <v>50</v>
      </c>
      <c r="C89" s="270">
        <f ca="1">TblProd[[#This Row],[Techpoints]]</f>
        <v>0</v>
      </c>
      <c r="D89" s="270">
        <f ca="1">TblProd[[#This Row],[Required]]</f>
        <v>3750</v>
      </c>
      <c r="E89" s="279"/>
      <c r="F89" s="280"/>
      <c r="G89" s="273"/>
      <c r="H89" s="274"/>
      <c r="I89" s="274"/>
      <c r="J89" s="274"/>
      <c r="K89" s="93">
        <f ca="1">IF(TblTech[[#This Row],[Sum of tech]]&lt;&gt;OFFSET(TblTech[[#This Row],[Sum of tech]],-1,0),1,0)</f>
        <v>0</v>
      </c>
      <c r="L89" s="275">
        <f>COUNTIF(TblTech[[#This Row],[1-1]:[11-1]],1)</f>
        <v>0</v>
      </c>
      <c r="M89" s="276" cm="1">
        <f t="array" ref="M89">IF(AND(M$2&lt;&gt;0,TblTech[[#This Row],[Hour]:[Hour]]&gt;=M$2),1,0)</f>
        <v>0</v>
      </c>
      <c r="N89" s="276" cm="1">
        <f t="array" ref="N89">IF(AND(N$2&lt;&gt;0,TblTech[[#This Row],[Hour]:[Hour]]&gt;=N$2),1,0)</f>
        <v>0</v>
      </c>
      <c r="O89" s="276" cm="1">
        <f t="array" ref="O89">IF(AND(O$2&lt;&gt;0,TblTech[[#This Row],[Hour]:[Hour]]&gt;=O$2),1,0)</f>
        <v>0</v>
      </c>
      <c r="P89" s="276" cm="1">
        <f t="array" ref="P89">IF(AND(P$2&lt;&gt;0,TblTech[[#This Row],[Hour]:[Hour]]&gt;=P$2),1,0)</f>
        <v>0</v>
      </c>
      <c r="Q89" s="276" cm="1">
        <f t="array" ref="Q89">IF(AND(Q$2&lt;&gt;0,TblTech[[#This Row],[Hour]:[Hour]]&gt;=Q$2),1,0)</f>
        <v>0</v>
      </c>
      <c r="R89" s="276" cm="1">
        <f t="array" ref="R89">IF(AND(R$2&lt;&gt;0,TblTech[[#This Row],[Hour]:[Hour]]&gt;=R$2),1,0)</f>
        <v>0</v>
      </c>
      <c r="S89" s="276" cm="1">
        <f t="array" ref="S89">IF(AND(S$2&lt;&gt;0,TblTech[[#This Row],[Hour]:[Hour]]&gt;=S$2),1,0)</f>
        <v>0</v>
      </c>
      <c r="T89" s="276" cm="1">
        <f t="array" ref="T89">IF(AND(T$2&lt;&gt;0,TblTech[[#This Row],[Hour]:[Hour]]&gt;=T$2),1,0)</f>
        <v>0</v>
      </c>
      <c r="U89" s="276" cm="1">
        <f t="array" ref="U89">IF(AND(U$2&lt;&gt;0,TblTech[[#This Row],[Hour]:[Hour]]&gt;=U$2),1,0)</f>
        <v>0</v>
      </c>
      <c r="V89" s="276" cm="1">
        <f t="array" ref="V89">IF(AND(V$2&lt;&gt;0,TblTech[[#This Row],[Hour]:[Hour]]&gt;=V$2),1,0)</f>
        <v>0</v>
      </c>
      <c r="W89" s="276" cm="1">
        <f t="array" ref="W89">IF(AND(W$2&lt;&gt;0,TblTech[[#This Row],[Hour]:[Hour]]&gt;=W$2),1,0)</f>
        <v>0</v>
      </c>
      <c r="X89" s="276" cm="1">
        <f t="array" ref="X89">IF(AND(X$2&lt;&gt;0,TblTech[[#This Row],[Hour]:[Hour]]&gt;=X$2),1,0)</f>
        <v>0</v>
      </c>
      <c r="Y89" s="276" cm="1">
        <f t="array" ref="Y89">IF(AND(Y$2&lt;&gt;0,TblTech[[#This Row],[Hour]:[Hour]]&gt;=Y$2),1,0)</f>
        <v>0</v>
      </c>
      <c r="Z89" s="276" cm="1">
        <f t="array" ref="Z89">IF(AND(Z$2&lt;&gt;0,TblTech[[#This Row],[Hour]:[Hour]]&gt;=Z$2),1,0)</f>
        <v>0</v>
      </c>
      <c r="AA89" s="276" cm="1">
        <f t="array" ref="AA89">IF(AND(AA$2&lt;&gt;0,TblTech[[#This Row],[Hour]:[Hour]]&gt;=AA$2),1,0)</f>
        <v>0</v>
      </c>
      <c r="AB89" s="276" cm="1">
        <f t="array" ref="AB89">IF(AND(AB$2&lt;&gt;0,TblTech[[#This Row],[Hour]:[Hour]]&gt;=AB$2),1,0)</f>
        <v>0</v>
      </c>
      <c r="AC89" s="276" cm="1">
        <f t="array" ref="AC89">IF(AND(AC$2&lt;&gt;0,TblTech[[#This Row],[Hour]:[Hour]]&gt;=AC$2),1,0)</f>
        <v>0</v>
      </c>
      <c r="AD89" s="276" cm="1">
        <f t="array" ref="AD89">IF(AND(AD$2&lt;&gt;0,TblTech[[#This Row],[Hour]:[Hour]]&gt;=AD$2),1,0)</f>
        <v>0</v>
      </c>
      <c r="AE89" s="276" cm="1">
        <f t="array" ref="AE89">IF(AND(AE$2&lt;&gt;0,TblTech[[#This Row],[Hour]:[Hour]]&gt;=AE$2),1,0)</f>
        <v>0</v>
      </c>
      <c r="AF89" s="276" cm="1">
        <f t="array" ref="AF89">IF(AND(AF$2&lt;&gt;0,TblTech[[#This Row],[Hour]:[Hour]]&gt;=AF$2),1,0)</f>
        <v>0</v>
      </c>
      <c r="AG89" s="276" cm="1">
        <f t="array" ref="AG89">IF(AND(AG$2&lt;&gt;0,TblTech[[#This Row],[Hour]:[Hour]]&gt;=AG$2),1,0)</f>
        <v>0</v>
      </c>
      <c r="AH89" s="276" cm="1">
        <f t="array" ref="AH89">IF(AND(AH$2&lt;&gt;0,TblTech[[#This Row],[Hour]:[Hour]]&gt;=AH$2),1,0)</f>
        <v>0</v>
      </c>
      <c r="AI89" s="276" cm="1">
        <f t="array" ref="AI89">IF(AND(AI$2&lt;&gt;0,TblTech[[#This Row],[Hour]:[Hour]]&gt;=AI$2),1,0)</f>
        <v>0</v>
      </c>
      <c r="AJ89" s="276" cm="1">
        <f t="array" ref="AJ89">IF(AND(AJ$2&lt;&gt;0,TblTech[[#This Row],[Hour]:[Hour]]&gt;=AJ$2),1,0)</f>
        <v>0</v>
      </c>
      <c r="AK89" s="276" cm="1">
        <f t="array" ref="AK89">IF(AND(AK$2&lt;&gt;0,TblTech[[#This Row],[Hour]:[Hour]]&gt;=AK$2),1,0)</f>
        <v>0</v>
      </c>
      <c r="AL89" s="276" cm="1">
        <f t="array" ref="AL89">IF(AND(AL$2&lt;&gt;0,TblTech[[#This Row],[Hour]:[Hour]]&gt;=AL$2),1,0)</f>
        <v>0</v>
      </c>
      <c r="AM89" s="276" cm="1">
        <f t="array" ref="AM89">IF(AND(AM$2&lt;&gt;0,TblTech[[#This Row],[Hour]:[Hour]]&gt;=AM$2),1,0)</f>
        <v>0</v>
      </c>
      <c r="AN89" s="276" cm="1">
        <f t="array" ref="AN89">IF(AND(AN$2&lt;&gt;0,TblTech[[#This Row],[Hour]:[Hour]]&gt;=AN$2),1,0)</f>
        <v>0</v>
      </c>
      <c r="AO89" s="276" cm="1">
        <f t="array" ref="AO89">IF(AND(AO$2&lt;&gt;0,TblTech[[#This Row],[Hour]:[Hour]]&gt;=AO$2),1,0)</f>
        <v>0</v>
      </c>
      <c r="AP89" s="276" cm="1">
        <f t="array" ref="AP89">IF(AND(AP$2&lt;&gt;0,TblTech[[#This Row],[Hour]:[Hour]]&gt;=AP$2),1,0)</f>
        <v>0</v>
      </c>
      <c r="AQ89" s="276" cm="1">
        <f t="array" ref="AQ89">IF(AND(AQ$2&lt;&gt;0,TblTech[[#This Row],[Hour]:[Hour]]&gt;=AQ$2),1,0)</f>
        <v>0</v>
      </c>
      <c r="AR89" s="276" cm="1">
        <f t="array" ref="AR89">IF(AND(AR$2&lt;&gt;0,TblTech[[#This Row],[Hour]:[Hour]]&gt;=AR$2),1,0)</f>
        <v>0</v>
      </c>
      <c r="AS89" s="276" cm="1">
        <f t="array" ref="AS89">IF(AND(AS$2&lt;&gt;0,TblTech[[#This Row],[Hour]:[Hour]]&gt;=AS$2),1,0)</f>
        <v>0</v>
      </c>
      <c r="AT89" s="276" cm="1">
        <f t="array" ref="AT89">IF(AND(AT$2&lt;&gt;0,TblTech[[#This Row],[Hour]:[Hour]]&gt;=AT$2),1,0)</f>
        <v>0</v>
      </c>
      <c r="AU89" s="276" cm="1">
        <f t="array" ref="AU89">IF(AND(AU$2&lt;&gt;0,TblTech[[#This Row],[Hour]:[Hour]]&gt;=AU$2),1,0)</f>
        <v>0</v>
      </c>
      <c r="AV89" s="276" cm="1">
        <f t="array" ref="AV89">IF(AND(AV$2&lt;&gt;0,TblTech[[#This Row],[Hour]:[Hour]]&gt;=AV$2),1,0)</f>
        <v>0</v>
      </c>
      <c r="AW89" s="276" cm="1">
        <f t="array" ref="AW89">IF(AND(AW$2&lt;&gt;0,TblTech[[#This Row],[Hour]:[Hour]]&gt;=AW$2),1,0)</f>
        <v>0</v>
      </c>
      <c r="AX89" s="276" cm="1">
        <f t="array" ref="AX89">IF(AND(AX$2&lt;&gt;0,TblTech[[#This Row],[Hour]:[Hour]]&gt;=AX$2),1,0)</f>
        <v>0</v>
      </c>
      <c r="AY89" s="276" cm="1">
        <f t="array" ref="AY89">IF(AND(AY$2&lt;&gt;0,TblTech[[#This Row],[Hour]:[Hour]]&gt;=AY$2),1,0)</f>
        <v>0</v>
      </c>
      <c r="AZ89" s="276" cm="1">
        <f t="array" ref="AZ89">IF(AND(AZ$2&lt;&gt;0,TblTech[[#This Row],[Hour]:[Hour]]&gt;=AZ$2),1,0)</f>
        <v>0</v>
      </c>
      <c r="BA89" s="276" cm="1">
        <f t="array" ref="BA89">IF(AND(BA$2&lt;&gt;0,TblTech[[#This Row],[Hour]:[Hour]]&gt;=BA$2),1,0)</f>
        <v>0</v>
      </c>
      <c r="BB89" s="276" cm="1">
        <f t="array" ref="BB89">IF(AND(BB$2&lt;&gt;0,TblTech[[#This Row],[Hour]:[Hour]]&gt;=BB$2),1,0)</f>
        <v>0</v>
      </c>
      <c r="BC89" s="276" cm="1">
        <f t="array" ref="BC89">IF(AND(BC$2&lt;&gt;0,TblTech[[#This Row],[Hour]:[Hour]]&gt;=BC$2),1,0)</f>
        <v>0</v>
      </c>
      <c r="BD89" s="276" cm="1">
        <f t="array" ref="BD89">IF(AND(BD$2&lt;&gt;0,TblTech[[#This Row],[Hour]:[Hour]]&gt;=BD$2),1,0)</f>
        <v>0</v>
      </c>
      <c r="BE89" s="276" cm="1">
        <f t="array" ref="BE89">IF(AND(BE$2&lt;&gt;0,TblTech[[#This Row],[Hour]:[Hour]]&gt;=BE$2),1,0)</f>
        <v>0</v>
      </c>
      <c r="BF89" s="276" cm="1">
        <f t="array" ref="BF89">IF(AND(BF$2&lt;&gt;0,TblTech[[#This Row],[Hour]:[Hour]]&gt;=BF$2),1,0)</f>
        <v>0</v>
      </c>
      <c r="BG89" s="276" cm="1">
        <f t="array" ref="BG89">IF(AND(BG$2&lt;&gt;0,TblTech[[#This Row],[Hour]:[Hour]]&gt;=BG$2),1,0)</f>
        <v>0</v>
      </c>
      <c r="BH89" s="276" cm="1">
        <f t="array" ref="BH89">IF(AND(BH$2&lt;&gt;0,TblTech[[#This Row],[Hour]:[Hour]]&gt;=BH$2),1,0)</f>
        <v>0</v>
      </c>
      <c r="BI89" s="276" cm="1">
        <f t="array" ref="BI89">IF(AND(BI$2&lt;&gt;0,TblTech[[#This Row],[Hour]:[Hour]]&gt;=BI$2),1,0)</f>
        <v>0</v>
      </c>
      <c r="BJ89" s="276" cm="1">
        <f t="array" ref="BJ89">IF(AND(BJ$2&lt;&gt;0,TblTech[[#This Row],[Hour]:[Hour]]&gt;=BJ$2),1,0)</f>
        <v>0</v>
      </c>
      <c r="BK89" s="276" cm="1">
        <f t="array" ref="BK89">IF(AND(BK$2&lt;&gt;0,TblTech[[#This Row],[Hour]:[Hour]]&gt;=BK$2),1,0)</f>
        <v>0</v>
      </c>
      <c r="BL89" s="276" cm="1">
        <f t="array" ref="BL89">IF(AND(BL$2&lt;&gt;0,TblTech[[#This Row],[Hour]:[Hour]]&gt;=BL$2),1,0)</f>
        <v>0</v>
      </c>
      <c r="BM89" s="276" cm="1">
        <f t="array" ref="BM89">IF(AND(BM$2&lt;&gt;0,TblTech[[#This Row],[Hour]:[Hour]]&gt;=BM$2),1,0)</f>
        <v>0</v>
      </c>
      <c r="BN89" s="276" cm="1">
        <f t="array" ref="BN89">IF(AND(BN$2&lt;&gt;0,TblTech[[#This Row],[Hour]:[Hour]]&gt;=BN$2),1,0)</f>
        <v>0</v>
      </c>
      <c r="BO89" s="276" cm="1">
        <f t="array" ref="BO89">IF(AND(BO$2&lt;&gt;0,TblTech[[#This Row],[Hour]:[Hour]]&gt;=BO$2),1,0)</f>
        <v>0</v>
      </c>
      <c r="BP89" s="276" cm="1">
        <f t="array" ref="BP89">IF(AND(BP$2&lt;&gt;0,TblTech[[#This Row],[Hour]:[Hour]]&gt;=BP$2),1,0)</f>
        <v>0</v>
      </c>
      <c r="BQ89" s="276" cm="1">
        <f t="array" ref="BQ89">IF(AND(BQ$2&lt;&gt;0,TblTech[[#This Row],[Hour]:[Hour]]&gt;=BQ$2),1,0)</f>
        <v>0</v>
      </c>
      <c r="BR89" s="276" cm="1">
        <f t="array" ref="BR89">IF(AND(BR$2&lt;&gt;0,TblTech[[#This Row],[Hour]:[Hour]]&gt;=BR$2),1,0)</f>
        <v>0</v>
      </c>
      <c r="BS89" s="276" cm="1">
        <f t="array" ref="BS89">IF(AND(BS$2&lt;&gt;0,TblTech[[#This Row],[Hour]:[Hour]]&gt;=BS$2),1,0)</f>
        <v>0</v>
      </c>
      <c r="BT89" s="276" cm="1">
        <f t="array" ref="BT89">IF(AND(BT$2&lt;&gt;0,TblTech[[#This Row],[Hour]:[Hour]]&gt;=BT$2),1,0)</f>
        <v>0</v>
      </c>
      <c r="BU89" s="276" cm="1">
        <f t="array" ref="BU89">IF(AND(BU$2&lt;&gt;0,TblTech[[#This Row],[Hour]:[Hour]]&gt;=BU$2),1,0)</f>
        <v>0</v>
      </c>
      <c r="BV89" s="276" cm="1">
        <f t="array" ref="BV89">IF(AND(BV$2&lt;&gt;0,TblTech[[#This Row],[Hour]:[Hour]]&gt;=BV$2),1,0)</f>
        <v>0</v>
      </c>
      <c r="BW89" s="276" cm="1">
        <f t="array" ref="BW89">IF(AND(BW$2&lt;&gt;0,TblTech[[#This Row],[Hour]:[Hour]]&gt;=BW$2),1,0)</f>
        <v>0</v>
      </c>
      <c r="BX89" s="276" cm="1">
        <f t="array" ref="BX89">IF(AND(BX$2&lt;&gt;0,TblTech[[#This Row],[Hour]:[Hour]]&gt;=BX$2),1,0)</f>
        <v>0</v>
      </c>
      <c r="BY89" s="276" cm="1">
        <f t="array" ref="BY89">IF(AND(BY$2&lt;&gt;0,TblTech[[#This Row],[Hour]:[Hour]]&gt;=BY$2),1,0)</f>
        <v>0</v>
      </c>
      <c r="BZ89" s="276" cm="1">
        <f t="array" ref="BZ89">IF(AND(BZ$2&lt;&gt;0,TblTech[[#This Row],[Hour]:[Hour]]&gt;=BZ$2),1,0)</f>
        <v>0</v>
      </c>
      <c r="CA89" s="377">
        <f>IFERROR(INDEX($H$4:$H$79,MATCH(INDEX(TblTech[[#Headers],[1-1]:[11-1]],1,MATCH(TblTech[[#This Row],[Hour]],$M$2:$BZ$2,0)),$G$4:$G$79,0)),)</f>
        <v>0</v>
      </c>
    </row>
    <row r="90" spans="1:79" x14ac:dyDescent="0.2">
      <c r="A90" s="268">
        <f>TblRezone[[#This Row],[Hour]]</f>
        <v>87</v>
      </c>
      <c r="B90" s="269">
        <f ca="1">TblExplore[[#This Row],[Land-DB]]</f>
        <v>50</v>
      </c>
      <c r="C90" s="270">
        <f ca="1">TblProd[[#This Row],[Techpoints]]</f>
        <v>0</v>
      </c>
      <c r="D90" s="270">
        <f ca="1">TblProd[[#This Row],[Required]]</f>
        <v>3750</v>
      </c>
      <c r="E90" s="279"/>
      <c r="F90" s="280"/>
      <c r="G90" s="273"/>
      <c r="H90" s="274"/>
      <c r="I90" s="274"/>
      <c r="J90" s="274"/>
      <c r="K90" s="93">
        <f ca="1">IF(TblTech[[#This Row],[Sum of tech]]&lt;&gt;OFFSET(TblTech[[#This Row],[Sum of tech]],-1,0),1,0)</f>
        <v>0</v>
      </c>
      <c r="L90" s="275">
        <f>COUNTIF(TblTech[[#This Row],[1-1]:[11-1]],1)</f>
        <v>0</v>
      </c>
      <c r="M90" s="276" cm="1">
        <f t="array" ref="M90">IF(AND(M$2&lt;&gt;0,TblTech[[#This Row],[Hour]:[Hour]]&gt;=M$2),1,0)</f>
        <v>0</v>
      </c>
      <c r="N90" s="276" cm="1">
        <f t="array" ref="N90">IF(AND(N$2&lt;&gt;0,TblTech[[#This Row],[Hour]:[Hour]]&gt;=N$2),1,0)</f>
        <v>0</v>
      </c>
      <c r="O90" s="276" cm="1">
        <f t="array" ref="O90">IF(AND(O$2&lt;&gt;0,TblTech[[#This Row],[Hour]:[Hour]]&gt;=O$2),1,0)</f>
        <v>0</v>
      </c>
      <c r="P90" s="276" cm="1">
        <f t="array" ref="P90">IF(AND(P$2&lt;&gt;0,TblTech[[#This Row],[Hour]:[Hour]]&gt;=P$2),1,0)</f>
        <v>0</v>
      </c>
      <c r="Q90" s="276" cm="1">
        <f t="array" ref="Q90">IF(AND(Q$2&lt;&gt;0,TblTech[[#This Row],[Hour]:[Hour]]&gt;=Q$2),1,0)</f>
        <v>0</v>
      </c>
      <c r="R90" s="276" cm="1">
        <f t="array" ref="R90">IF(AND(R$2&lt;&gt;0,TblTech[[#This Row],[Hour]:[Hour]]&gt;=R$2),1,0)</f>
        <v>0</v>
      </c>
      <c r="S90" s="276" cm="1">
        <f t="array" ref="S90">IF(AND(S$2&lt;&gt;0,TblTech[[#This Row],[Hour]:[Hour]]&gt;=S$2),1,0)</f>
        <v>0</v>
      </c>
      <c r="T90" s="276" cm="1">
        <f t="array" ref="T90">IF(AND(T$2&lt;&gt;0,TblTech[[#This Row],[Hour]:[Hour]]&gt;=T$2),1,0)</f>
        <v>0</v>
      </c>
      <c r="U90" s="276" cm="1">
        <f t="array" ref="U90">IF(AND(U$2&lt;&gt;0,TblTech[[#This Row],[Hour]:[Hour]]&gt;=U$2),1,0)</f>
        <v>0</v>
      </c>
      <c r="V90" s="276" cm="1">
        <f t="array" ref="V90">IF(AND(V$2&lt;&gt;0,TblTech[[#This Row],[Hour]:[Hour]]&gt;=V$2),1,0)</f>
        <v>0</v>
      </c>
      <c r="W90" s="276" cm="1">
        <f t="array" ref="W90">IF(AND(W$2&lt;&gt;0,TblTech[[#This Row],[Hour]:[Hour]]&gt;=W$2),1,0)</f>
        <v>0</v>
      </c>
      <c r="X90" s="276" cm="1">
        <f t="array" ref="X90">IF(AND(X$2&lt;&gt;0,TblTech[[#This Row],[Hour]:[Hour]]&gt;=X$2),1,0)</f>
        <v>0</v>
      </c>
      <c r="Y90" s="276" cm="1">
        <f t="array" ref="Y90">IF(AND(Y$2&lt;&gt;0,TblTech[[#This Row],[Hour]:[Hour]]&gt;=Y$2),1,0)</f>
        <v>0</v>
      </c>
      <c r="Z90" s="276" cm="1">
        <f t="array" ref="Z90">IF(AND(Z$2&lt;&gt;0,TblTech[[#This Row],[Hour]:[Hour]]&gt;=Z$2),1,0)</f>
        <v>0</v>
      </c>
      <c r="AA90" s="276" cm="1">
        <f t="array" ref="AA90">IF(AND(AA$2&lt;&gt;0,TblTech[[#This Row],[Hour]:[Hour]]&gt;=AA$2),1,0)</f>
        <v>0</v>
      </c>
      <c r="AB90" s="276" cm="1">
        <f t="array" ref="AB90">IF(AND(AB$2&lt;&gt;0,TblTech[[#This Row],[Hour]:[Hour]]&gt;=AB$2),1,0)</f>
        <v>0</v>
      </c>
      <c r="AC90" s="276" cm="1">
        <f t="array" ref="AC90">IF(AND(AC$2&lt;&gt;0,TblTech[[#This Row],[Hour]:[Hour]]&gt;=AC$2),1,0)</f>
        <v>0</v>
      </c>
      <c r="AD90" s="276" cm="1">
        <f t="array" ref="AD90">IF(AND(AD$2&lt;&gt;0,TblTech[[#This Row],[Hour]:[Hour]]&gt;=AD$2),1,0)</f>
        <v>0</v>
      </c>
      <c r="AE90" s="276" cm="1">
        <f t="array" ref="AE90">IF(AND(AE$2&lt;&gt;0,TblTech[[#This Row],[Hour]:[Hour]]&gt;=AE$2),1,0)</f>
        <v>0</v>
      </c>
      <c r="AF90" s="276" cm="1">
        <f t="array" ref="AF90">IF(AND(AF$2&lt;&gt;0,TblTech[[#This Row],[Hour]:[Hour]]&gt;=AF$2),1,0)</f>
        <v>0</v>
      </c>
      <c r="AG90" s="276" cm="1">
        <f t="array" ref="AG90">IF(AND(AG$2&lt;&gt;0,TblTech[[#This Row],[Hour]:[Hour]]&gt;=AG$2),1,0)</f>
        <v>0</v>
      </c>
      <c r="AH90" s="276" cm="1">
        <f t="array" ref="AH90">IF(AND(AH$2&lt;&gt;0,TblTech[[#This Row],[Hour]:[Hour]]&gt;=AH$2),1,0)</f>
        <v>0</v>
      </c>
      <c r="AI90" s="276" cm="1">
        <f t="array" ref="AI90">IF(AND(AI$2&lt;&gt;0,TblTech[[#This Row],[Hour]:[Hour]]&gt;=AI$2),1,0)</f>
        <v>0</v>
      </c>
      <c r="AJ90" s="276" cm="1">
        <f t="array" ref="AJ90">IF(AND(AJ$2&lt;&gt;0,TblTech[[#This Row],[Hour]:[Hour]]&gt;=AJ$2),1,0)</f>
        <v>0</v>
      </c>
      <c r="AK90" s="276" cm="1">
        <f t="array" ref="AK90">IF(AND(AK$2&lt;&gt;0,TblTech[[#This Row],[Hour]:[Hour]]&gt;=AK$2),1,0)</f>
        <v>0</v>
      </c>
      <c r="AL90" s="276" cm="1">
        <f t="array" ref="AL90">IF(AND(AL$2&lt;&gt;0,TblTech[[#This Row],[Hour]:[Hour]]&gt;=AL$2),1,0)</f>
        <v>0</v>
      </c>
      <c r="AM90" s="276" cm="1">
        <f t="array" ref="AM90">IF(AND(AM$2&lt;&gt;0,TblTech[[#This Row],[Hour]:[Hour]]&gt;=AM$2),1,0)</f>
        <v>0</v>
      </c>
      <c r="AN90" s="276" cm="1">
        <f t="array" ref="AN90">IF(AND(AN$2&lt;&gt;0,TblTech[[#This Row],[Hour]:[Hour]]&gt;=AN$2),1,0)</f>
        <v>0</v>
      </c>
      <c r="AO90" s="276" cm="1">
        <f t="array" ref="AO90">IF(AND(AO$2&lt;&gt;0,TblTech[[#This Row],[Hour]:[Hour]]&gt;=AO$2),1,0)</f>
        <v>0</v>
      </c>
      <c r="AP90" s="276" cm="1">
        <f t="array" ref="AP90">IF(AND(AP$2&lt;&gt;0,TblTech[[#This Row],[Hour]:[Hour]]&gt;=AP$2),1,0)</f>
        <v>0</v>
      </c>
      <c r="AQ90" s="276" cm="1">
        <f t="array" ref="AQ90">IF(AND(AQ$2&lt;&gt;0,TblTech[[#This Row],[Hour]:[Hour]]&gt;=AQ$2),1,0)</f>
        <v>0</v>
      </c>
      <c r="AR90" s="276" cm="1">
        <f t="array" ref="AR90">IF(AND(AR$2&lt;&gt;0,TblTech[[#This Row],[Hour]:[Hour]]&gt;=AR$2),1,0)</f>
        <v>0</v>
      </c>
      <c r="AS90" s="276" cm="1">
        <f t="array" ref="AS90">IF(AND(AS$2&lt;&gt;0,TblTech[[#This Row],[Hour]:[Hour]]&gt;=AS$2),1,0)</f>
        <v>0</v>
      </c>
      <c r="AT90" s="276" cm="1">
        <f t="array" ref="AT90">IF(AND(AT$2&lt;&gt;0,TblTech[[#This Row],[Hour]:[Hour]]&gt;=AT$2),1,0)</f>
        <v>0</v>
      </c>
      <c r="AU90" s="276" cm="1">
        <f t="array" ref="AU90">IF(AND(AU$2&lt;&gt;0,TblTech[[#This Row],[Hour]:[Hour]]&gt;=AU$2),1,0)</f>
        <v>0</v>
      </c>
      <c r="AV90" s="276" cm="1">
        <f t="array" ref="AV90">IF(AND(AV$2&lt;&gt;0,TblTech[[#This Row],[Hour]:[Hour]]&gt;=AV$2),1,0)</f>
        <v>0</v>
      </c>
      <c r="AW90" s="276" cm="1">
        <f t="array" ref="AW90">IF(AND(AW$2&lt;&gt;0,TblTech[[#This Row],[Hour]:[Hour]]&gt;=AW$2),1,0)</f>
        <v>0</v>
      </c>
      <c r="AX90" s="276" cm="1">
        <f t="array" ref="AX90">IF(AND(AX$2&lt;&gt;0,TblTech[[#This Row],[Hour]:[Hour]]&gt;=AX$2),1,0)</f>
        <v>0</v>
      </c>
      <c r="AY90" s="276" cm="1">
        <f t="array" ref="AY90">IF(AND(AY$2&lt;&gt;0,TblTech[[#This Row],[Hour]:[Hour]]&gt;=AY$2),1,0)</f>
        <v>0</v>
      </c>
      <c r="AZ90" s="276" cm="1">
        <f t="array" ref="AZ90">IF(AND(AZ$2&lt;&gt;0,TblTech[[#This Row],[Hour]:[Hour]]&gt;=AZ$2),1,0)</f>
        <v>0</v>
      </c>
      <c r="BA90" s="276" cm="1">
        <f t="array" ref="BA90">IF(AND(BA$2&lt;&gt;0,TblTech[[#This Row],[Hour]:[Hour]]&gt;=BA$2),1,0)</f>
        <v>0</v>
      </c>
      <c r="BB90" s="276" cm="1">
        <f t="array" ref="BB90">IF(AND(BB$2&lt;&gt;0,TblTech[[#This Row],[Hour]:[Hour]]&gt;=BB$2),1,0)</f>
        <v>0</v>
      </c>
      <c r="BC90" s="276" cm="1">
        <f t="array" ref="BC90">IF(AND(BC$2&lt;&gt;0,TblTech[[#This Row],[Hour]:[Hour]]&gt;=BC$2),1,0)</f>
        <v>0</v>
      </c>
      <c r="BD90" s="276" cm="1">
        <f t="array" ref="BD90">IF(AND(BD$2&lt;&gt;0,TblTech[[#This Row],[Hour]:[Hour]]&gt;=BD$2),1,0)</f>
        <v>0</v>
      </c>
      <c r="BE90" s="276" cm="1">
        <f t="array" ref="BE90">IF(AND(BE$2&lt;&gt;0,TblTech[[#This Row],[Hour]:[Hour]]&gt;=BE$2),1,0)</f>
        <v>0</v>
      </c>
      <c r="BF90" s="276" cm="1">
        <f t="array" ref="BF90">IF(AND(BF$2&lt;&gt;0,TblTech[[#This Row],[Hour]:[Hour]]&gt;=BF$2),1,0)</f>
        <v>0</v>
      </c>
      <c r="BG90" s="276" cm="1">
        <f t="array" ref="BG90">IF(AND(BG$2&lt;&gt;0,TblTech[[#This Row],[Hour]:[Hour]]&gt;=BG$2),1,0)</f>
        <v>0</v>
      </c>
      <c r="BH90" s="276" cm="1">
        <f t="array" ref="BH90">IF(AND(BH$2&lt;&gt;0,TblTech[[#This Row],[Hour]:[Hour]]&gt;=BH$2),1,0)</f>
        <v>0</v>
      </c>
      <c r="BI90" s="276" cm="1">
        <f t="array" ref="BI90">IF(AND(BI$2&lt;&gt;0,TblTech[[#This Row],[Hour]:[Hour]]&gt;=BI$2),1,0)</f>
        <v>0</v>
      </c>
      <c r="BJ90" s="276" cm="1">
        <f t="array" ref="BJ90">IF(AND(BJ$2&lt;&gt;0,TblTech[[#This Row],[Hour]:[Hour]]&gt;=BJ$2),1,0)</f>
        <v>0</v>
      </c>
      <c r="BK90" s="276" cm="1">
        <f t="array" ref="BK90">IF(AND(BK$2&lt;&gt;0,TblTech[[#This Row],[Hour]:[Hour]]&gt;=BK$2),1,0)</f>
        <v>0</v>
      </c>
      <c r="BL90" s="276" cm="1">
        <f t="array" ref="BL90">IF(AND(BL$2&lt;&gt;0,TblTech[[#This Row],[Hour]:[Hour]]&gt;=BL$2),1,0)</f>
        <v>0</v>
      </c>
      <c r="BM90" s="276" cm="1">
        <f t="array" ref="BM90">IF(AND(BM$2&lt;&gt;0,TblTech[[#This Row],[Hour]:[Hour]]&gt;=BM$2),1,0)</f>
        <v>0</v>
      </c>
      <c r="BN90" s="276" cm="1">
        <f t="array" ref="BN90">IF(AND(BN$2&lt;&gt;0,TblTech[[#This Row],[Hour]:[Hour]]&gt;=BN$2),1,0)</f>
        <v>0</v>
      </c>
      <c r="BO90" s="276" cm="1">
        <f t="array" ref="BO90">IF(AND(BO$2&lt;&gt;0,TblTech[[#This Row],[Hour]:[Hour]]&gt;=BO$2),1,0)</f>
        <v>0</v>
      </c>
      <c r="BP90" s="276" cm="1">
        <f t="array" ref="BP90">IF(AND(BP$2&lt;&gt;0,TblTech[[#This Row],[Hour]:[Hour]]&gt;=BP$2),1,0)</f>
        <v>0</v>
      </c>
      <c r="BQ90" s="276" cm="1">
        <f t="array" ref="BQ90">IF(AND(BQ$2&lt;&gt;0,TblTech[[#This Row],[Hour]:[Hour]]&gt;=BQ$2),1,0)</f>
        <v>0</v>
      </c>
      <c r="BR90" s="276" cm="1">
        <f t="array" ref="BR90">IF(AND(BR$2&lt;&gt;0,TblTech[[#This Row],[Hour]:[Hour]]&gt;=BR$2),1,0)</f>
        <v>0</v>
      </c>
      <c r="BS90" s="276" cm="1">
        <f t="array" ref="BS90">IF(AND(BS$2&lt;&gt;0,TblTech[[#This Row],[Hour]:[Hour]]&gt;=BS$2),1,0)</f>
        <v>0</v>
      </c>
      <c r="BT90" s="276" cm="1">
        <f t="array" ref="BT90">IF(AND(BT$2&lt;&gt;0,TblTech[[#This Row],[Hour]:[Hour]]&gt;=BT$2),1,0)</f>
        <v>0</v>
      </c>
      <c r="BU90" s="276" cm="1">
        <f t="array" ref="BU90">IF(AND(BU$2&lt;&gt;0,TblTech[[#This Row],[Hour]:[Hour]]&gt;=BU$2),1,0)</f>
        <v>0</v>
      </c>
      <c r="BV90" s="276" cm="1">
        <f t="array" ref="BV90">IF(AND(BV$2&lt;&gt;0,TblTech[[#This Row],[Hour]:[Hour]]&gt;=BV$2),1,0)</f>
        <v>0</v>
      </c>
      <c r="BW90" s="276" cm="1">
        <f t="array" ref="BW90">IF(AND(BW$2&lt;&gt;0,TblTech[[#This Row],[Hour]:[Hour]]&gt;=BW$2),1,0)</f>
        <v>0</v>
      </c>
      <c r="BX90" s="276" cm="1">
        <f t="array" ref="BX90">IF(AND(BX$2&lt;&gt;0,TblTech[[#This Row],[Hour]:[Hour]]&gt;=BX$2),1,0)</f>
        <v>0</v>
      </c>
      <c r="BY90" s="276" cm="1">
        <f t="array" ref="BY90">IF(AND(BY$2&lt;&gt;0,TblTech[[#This Row],[Hour]:[Hour]]&gt;=BY$2),1,0)</f>
        <v>0</v>
      </c>
      <c r="BZ90" s="276" cm="1">
        <f t="array" ref="BZ90">IF(AND(BZ$2&lt;&gt;0,TblTech[[#This Row],[Hour]:[Hour]]&gt;=BZ$2),1,0)</f>
        <v>0</v>
      </c>
      <c r="CA90" s="377">
        <f>IFERROR(INDEX($H$4:$H$79,MATCH(INDEX(TblTech[[#Headers],[1-1]:[11-1]],1,MATCH(TblTech[[#This Row],[Hour]],$M$2:$BZ$2,0)),$G$4:$G$79,0)),)</f>
        <v>0</v>
      </c>
    </row>
    <row r="91" spans="1:79" x14ac:dyDescent="0.2">
      <c r="A91" s="268">
        <f>TblRezone[[#This Row],[Hour]]</f>
        <v>88</v>
      </c>
      <c r="B91" s="269">
        <f ca="1">TblExplore[[#This Row],[Land-DB]]</f>
        <v>50</v>
      </c>
      <c r="C91" s="270">
        <f ca="1">TblProd[[#This Row],[Techpoints]]</f>
        <v>0</v>
      </c>
      <c r="D91" s="270">
        <f ca="1">TblProd[[#This Row],[Required]]</f>
        <v>3750</v>
      </c>
      <c r="E91" s="279"/>
      <c r="F91" s="280"/>
      <c r="G91" s="273"/>
      <c r="H91" s="274"/>
      <c r="I91" s="274"/>
      <c r="J91" s="274"/>
      <c r="K91" s="93">
        <f ca="1">IF(TblTech[[#This Row],[Sum of tech]]&lt;&gt;OFFSET(TblTech[[#This Row],[Sum of tech]],-1,0),1,0)</f>
        <v>0</v>
      </c>
      <c r="L91" s="275">
        <f>COUNTIF(TblTech[[#This Row],[1-1]:[11-1]],1)</f>
        <v>0</v>
      </c>
      <c r="M91" s="276" cm="1">
        <f t="array" ref="M91">IF(AND(M$2&lt;&gt;0,TblTech[[#This Row],[Hour]:[Hour]]&gt;=M$2),1,0)</f>
        <v>0</v>
      </c>
      <c r="N91" s="276" cm="1">
        <f t="array" ref="N91">IF(AND(N$2&lt;&gt;0,TblTech[[#This Row],[Hour]:[Hour]]&gt;=N$2),1,0)</f>
        <v>0</v>
      </c>
      <c r="O91" s="276" cm="1">
        <f t="array" ref="O91">IF(AND(O$2&lt;&gt;0,TblTech[[#This Row],[Hour]:[Hour]]&gt;=O$2),1,0)</f>
        <v>0</v>
      </c>
      <c r="P91" s="276" cm="1">
        <f t="array" ref="P91">IF(AND(P$2&lt;&gt;0,TblTech[[#This Row],[Hour]:[Hour]]&gt;=P$2),1,0)</f>
        <v>0</v>
      </c>
      <c r="Q91" s="276" cm="1">
        <f t="array" ref="Q91">IF(AND(Q$2&lt;&gt;0,TblTech[[#This Row],[Hour]:[Hour]]&gt;=Q$2),1,0)</f>
        <v>0</v>
      </c>
      <c r="R91" s="276" cm="1">
        <f t="array" ref="R91">IF(AND(R$2&lt;&gt;0,TblTech[[#This Row],[Hour]:[Hour]]&gt;=R$2),1,0)</f>
        <v>0</v>
      </c>
      <c r="S91" s="276" cm="1">
        <f t="array" ref="S91">IF(AND(S$2&lt;&gt;0,TblTech[[#This Row],[Hour]:[Hour]]&gt;=S$2),1,0)</f>
        <v>0</v>
      </c>
      <c r="T91" s="276" cm="1">
        <f t="array" ref="T91">IF(AND(T$2&lt;&gt;0,TblTech[[#This Row],[Hour]:[Hour]]&gt;=T$2),1,0)</f>
        <v>0</v>
      </c>
      <c r="U91" s="276" cm="1">
        <f t="array" ref="U91">IF(AND(U$2&lt;&gt;0,TblTech[[#This Row],[Hour]:[Hour]]&gt;=U$2),1,0)</f>
        <v>0</v>
      </c>
      <c r="V91" s="276" cm="1">
        <f t="array" ref="V91">IF(AND(V$2&lt;&gt;0,TblTech[[#This Row],[Hour]:[Hour]]&gt;=V$2),1,0)</f>
        <v>0</v>
      </c>
      <c r="W91" s="276" cm="1">
        <f t="array" ref="W91">IF(AND(W$2&lt;&gt;0,TblTech[[#This Row],[Hour]:[Hour]]&gt;=W$2),1,0)</f>
        <v>0</v>
      </c>
      <c r="X91" s="276" cm="1">
        <f t="array" ref="X91">IF(AND(X$2&lt;&gt;0,TblTech[[#This Row],[Hour]:[Hour]]&gt;=X$2),1,0)</f>
        <v>0</v>
      </c>
      <c r="Y91" s="276" cm="1">
        <f t="array" ref="Y91">IF(AND(Y$2&lt;&gt;0,TblTech[[#This Row],[Hour]:[Hour]]&gt;=Y$2),1,0)</f>
        <v>0</v>
      </c>
      <c r="Z91" s="276" cm="1">
        <f t="array" ref="Z91">IF(AND(Z$2&lt;&gt;0,TblTech[[#This Row],[Hour]:[Hour]]&gt;=Z$2),1,0)</f>
        <v>0</v>
      </c>
      <c r="AA91" s="276" cm="1">
        <f t="array" ref="AA91">IF(AND(AA$2&lt;&gt;0,TblTech[[#This Row],[Hour]:[Hour]]&gt;=AA$2),1,0)</f>
        <v>0</v>
      </c>
      <c r="AB91" s="276" cm="1">
        <f t="array" ref="AB91">IF(AND(AB$2&lt;&gt;0,TblTech[[#This Row],[Hour]:[Hour]]&gt;=AB$2),1,0)</f>
        <v>0</v>
      </c>
      <c r="AC91" s="276" cm="1">
        <f t="array" ref="AC91">IF(AND(AC$2&lt;&gt;0,TblTech[[#This Row],[Hour]:[Hour]]&gt;=AC$2),1,0)</f>
        <v>0</v>
      </c>
      <c r="AD91" s="276" cm="1">
        <f t="array" ref="AD91">IF(AND(AD$2&lt;&gt;0,TblTech[[#This Row],[Hour]:[Hour]]&gt;=AD$2),1,0)</f>
        <v>0</v>
      </c>
      <c r="AE91" s="276" cm="1">
        <f t="array" ref="AE91">IF(AND(AE$2&lt;&gt;0,TblTech[[#This Row],[Hour]:[Hour]]&gt;=AE$2),1,0)</f>
        <v>0</v>
      </c>
      <c r="AF91" s="276" cm="1">
        <f t="array" ref="AF91">IF(AND(AF$2&lt;&gt;0,TblTech[[#This Row],[Hour]:[Hour]]&gt;=AF$2),1,0)</f>
        <v>0</v>
      </c>
      <c r="AG91" s="276" cm="1">
        <f t="array" ref="AG91">IF(AND(AG$2&lt;&gt;0,TblTech[[#This Row],[Hour]:[Hour]]&gt;=AG$2),1,0)</f>
        <v>0</v>
      </c>
      <c r="AH91" s="276" cm="1">
        <f t="array" ref="AH91">IF(AND(AH$2&lt;&gt;0,TblTech[[#This Row],[Hour]:[Hour]]&gt;=AH$2),1,0)</f>
        <v>0</v>
      </c>
      <c r="AI91" s="276" cm="1">
        <f t="array" ref="AI91">IF(AND(AI$2&lt;&gt;0,TblTech[[#This Row],[Hour]:[Hour]]&gt;=AI$2),1,0)</f>
        <v>0</v>
      </c>
      <c r="AJ91" s="276" cm="1">
        <f t="array" ref="AJ91">IF(AND(AJ$2&lt;&gt;0,TblTech[[#This Row],[Hour]:[Hour]]&gt;=AJ$2),1,0)</f>
        <v>0</v>
      </c>
      <c r="AK91" s="276" cm="1">
        <f t="array" ref="AK91">IF(AND(AK$2&lt;&gt;0,TblTech[[#This Row],[Hour]:[Hour]]&gt;=AK$2),1,0)</f>
        <v>0</v>
      </c>
      <c r="AL91" s="276" cm="1">
        <f t="array" ref="AL91">IF(AND(AL$2&lt;&gt;0,TblTech[[#This Row],[Hour]:[Hour]]&gt;=AL$2),1,0)</f>
        <v>0</v>
      </c>
      <c r="AM91" s="276" cm="1">
        <f t="array" ref="AM91">IF(AND(AM$2&lt;&gt;0,TblTech[[#This Row],[Hour]:[Hour]]&gt;=AM$2),1,0)</f>
        <v>0</v>
      </c>
      <c r="AN91" s="276" cm="1">
        <f t="array" ref="AN91">IF(AND(AN$2&lt;&gt;0,TblTech[[#This Row],[Hour]:[Hour]]&gt;=AN$2),1,0)</f>
        <v>0</v>
      </c>
      <c r="AO91" s="276" cm="1">
        <f t="array" ref="AO91">IF(AND(AO$2&lt;&gt;0,TblTech[[#This Row],[Hour]:[Hour]]&gt;=AO$2),1,0)</f>
        <v>0</v>
      </c>
      <c r="AP91" s="276" cm="1">
        <f t="array" ref="AP91">IF(AND(AP$2&lt;&gt;0,TblTech[[#This Row],[Hour]:[Hour]]&gt;=AP$2),1,0)</f>
        <v>0</v>
      </c>
      <c r="AQ91" s="276" cm="1">
        <f t="array" ref="AQ91">IF(AND(AQ$2&lt;&gt;0,TblTech[[#This Row],[Hour]:[Hour]]&gt;=AQ$2),1,0)</f>
        <v>0</v>
      </c>
      <c r="AR91" s="276" cm="1">
        <f t="array" ref="AR91">IF(AND(AR$2&lt;&gt;0,TblTech[[#This Row],[Hour]:[Hour]]&gt;=AR$2),1,0)</f>
        <v>0</v>
      </c>
      <c r="AS91" s="276" cm="1">
        <f t="array" ref="AS91">IF(AND(AS$2&lt;&gt;0,TblTech[[#This Row],[Hour]:[Hour]]&gt;=AS$2),1,0)</f>
        <v>0</v>
      </c>
      <c r="AT91" s="276" cm="1">
        <f t="array" ref="AT91">IF(AND(AT$2&lt;&gt;0,TblTech[[#This Row],[Hour]:[Hour]]&gt;=AT$2),1,0)</f>
        <v>0</v>
      </c>
      <c r="AU91" s="276" cm="1">
        <f t="array" ref="AU91">IF(AND(AU$2&lt;&gt;0,TblTech[[#This Row],[Hour]:[Hour]]&gt;=AU$2),1,0)</f>
        <v>0</v>
      </c>
      <c r="AV91" s="276" cm="1">
        <f t="array" ref="AV91">IF(AND(AV$2&lt;&gt;0,TblTech[[#This Row],[Hour]:[Hour]]&gt;=AV$2),1,0)</f>
        <v>0</v>
      </c>
      <c r="AW91" s="276" cm="1">
        <f t="array" ref="AW91">IF(AND(AW$2&lt;&gt;0,TblTech[[#This Row],[Hour]:[Hour]]&gt;=AW$2),1,0)</f>
        <v>0</v>
      </c>
      <c r="AX91" s="276" cm="1">
        <f t="array" ref="AX91">IF(AND(AX$2&lt;&gt;0,TblTech[[#This Row],[Hour]:[Hour]]&gt;=AX$2),1,0)</f>
        <v>0</v>
      </c>
      <c r="AY91" s="276" cm="1">
        <f t="array" ref="AY91">IF(AND(AY$2&lt;&gt;0,TblTech[[#This Row],[Hour]:[Hour]]&gt;=AY$2),1,0)</f>
        <v>0</v>
      </c>
      <c r="AZ91" s="276" cm="1">
        <f t="array" ref="AZ91">IF(AND(AZ$2&lt;&gt;0,TblTech[[#This Row],[Hour]:[Hour]]&gt;=AZ$2),1,0)</f>
        <v>0</v>
      </c>
      <c r="BA91" s="276" cm="1">
        <f t="array" ref="BA91">IF(AND(BA$2&lt;&gt;0,TblTech[[#This Row],[Hour]:[Hour]]&gt;=BA$2),1,0)</f>
        <v>0</v>
      </c>
      <c r="BB91" s="276" cm="1">
        <f t="array" ref="BB91">IF(AND(BB$2&lt;&gt;0,TblTech[[#This Row],[Hour]:[Hour]]&gt;=BB$2),1,0)</f>
        <v>0</v>
      </c>
      <c r="BC91" s="276" cm="1">
        <f t="array" ref="BC91">IF(AND(BC$2&lt;&gt;0,TblTech[[#This Row],[Hour]:[Hour]]&gt;=BC$2),1,0)</f>
        <v>0</v>
      </c>
      <c r="BD91" s="276" cm="1">
        <f t="array" ref="BD91">IF(AND(BD$2&lt;&gt;0,TblTech[[#This Row],[Hour]:[Hour]]&gt;=BD$2),1,0)</f>
        <v>0</v>
      </c>
      <c r="BE91" s="276" cm="1">
        <f t="array" ref="BE91">IF(AND(BE$2&lt;&gt;0,TblTech[[#This Row],[Hour]:[Hour]]&gt;=BE$2),1,0)</f>
        <v>0</v>
      </c>
      <c r="BF91" s="276" cm="1">
        <f t="array" ref="BF91">IF(AND(BF$2&lt;&gt;0,TblTech[[#This Row],[Hour]:[Hour]]&gt;=BF$2),1,0)</f>
        <v>0</v>
      </c>
      <c r="BG91" s="276" cm="1">
        <f t="array" ref="BG91">IF(AND(BG$2&lt;&gt;0,TblTech[[#This Row],[Hour]:[Hour]]&gt;=BG$2),1,0)</f>
        <v>0</v>
      </c>
      <c r="BH91" s="276" cm="1">
        <f t="array" ref="BH91">IF(AND(BH$2&lt;&gt;0,TblTech[[#This Row],[Hour]:[Hour]]&gt;=BH$2),1,0)</f>
        <v>0</v>
      </c>
      <c r="BI91" s="276" cm="1">
        <f t="array" ref="BI91">IF(AND(BI$2&lt;&gt;0,TblTech[[#This Row],[Hour]:[Hour]]&gt;=BI$2),1,0)</f>
        <v>0</v>
      </c>
      <c r="BJ91" s="276" cm="1">
        <f t="array" ref="BJ91">IF(AND(BJ$2&lt;&gt;0,TblTech[[#This Row],[Hour]:[Hour]]&gt;=BJ$2),1,0)</f>
        <v>0</v>
      </c>
      <c r="BK91" s="276" cm="1">
        <f t="array" ref="BK91">IF(AND(BK$2&lt;&gt;0,TblTech[[#This Row],[Hour]:[Hour]]&gt;=BK$2),1,0)</f>
        <v>0</v>
      </c>
      <c r="BL91" s="276" cm="1">
        <f t="array" ref="BL91">IF(AND(BL$2&lt;&gt;0,TblTech[[#This Row],[Hour]:[Hour]]&gt;=BL$2),1,0)</f>
        <v>0</v>
      </c>
      <c r="BM91" s="276" cm="1">
        <f t="array" ref="BM91">IF(AND(BM$2&lt;&gt;0,TblTech[[#This Row],[Hour]:[Hour]]&gt;=BM$2),1,0)</f>
        <v>0</v>
      </c>
      <c r="BN91" s="276" cm="1">
        <f t="array" ref="BN91">IF(AND(BN$2&lt;&gt;0,TblTech[[#This Row],[Hour]:[Hour]]&gt;=BN$2),1,0)</f>
        <v>0</v>
      </c>
      <c r="BO91" s="276" cm="1">
        <f t="array" ref="BO91">IF(AND(BO$2&lt;&gt;0,TblTech[[#This Row],[Hour]:[Hour]]&gt;=BO$2),1,0)</f>
        <v>0</v>
      </c>
      <c r="BP91" s="276" cm="1">
        <f t="array" ref="BP91">IF(AND(BP$2&lt;&gt;0,TblTech[[#This Row],[Hour]:[Hour]]&gt;=BP$2),1,0)</f>
        <v>0</v>
      </c>
      <c r="BQ91" s="276" cm="1">
        <f t="array" ref="BQ91">IF(AND(BQ$2&lt;&gt;0,TblTech[[#This Row],[Hour]:[Hour]]&gt;=BQ$2),1,0)</f>
        <v>0</v>
      </c>
      <c r="BR91" s="276" cm="1">
        <f t="array" ref="BR91">IF(AND(BR$2&lt;&gt;0,TblTech[[#This Row],[Hour]:[Hour]]&gt;=BR$2),1,0)</f>
        <v>0</v>
      </c>
      <c r="BS91" s="276" cm="1">
        <f t="array" ref="BS91">IF(AND(BS$2&lt;&gt;0,TblTech[[#This Row],[Hour]:[Hour]]&gt;=BS$2),1,0)</f>
        <v>0</v>
      </c>
      <c r="BT91" s="276" cm="1">
        <f t="array" ref="BT91">IF(AND(BT$2&lt;&gt;0,TblTech[[#This Row],[Hour]:[Hour]]&gt;=BT$2),1,0)</f>
        <v>0</v>
      </c>
      <c r="BU91" s="276" cm="1">
        <f t="array" ref="BU91">IF(AND(BU$2&lt;&gt;0,TblTech[[#This Row],[Hour]:[Hour]]&gt;=BU$2),1,0)</f>
        <v>0</v>
      </c>
      <c r="BV91" s="276" cm="1">
        <f t="array" ref="BV91">IF(AND(BV$2&lt;&gt;0,TblTech[[#This Row],[Hour]:[Hour]]&gt;=BV$2),1,0)</f>
        <v>0</v>
      </c>
      <c r="BW91" s="276" cm="1">
        <f t="array" ref="BW91">IF(AND(BW$2&lt;&gt;0,TblTech[[#This Row],[Hour]:[Hour]]&gt;=BW$2),1,0)</f>
        <v>0</v>
      </c>
      <c r="BX91" s="276" cm="1">
        <f t="array" ref="BX91">IF(AND(BX$2&lt;&gt;0,TblTech[[#This Row],[Hour]:[Hour]]&gt;=BX$2),1,0)</f>
        <v>0</v>
      </c>
      <c r="BY91" s="276" cm="1">
        <f t="array" ref="BY91">IF(AND(BY$2&lt;&gt;0,TblTech[[#This Row],[Hour]:[Hour]]&gt;=BY$2),1,0)</f>
        <v>0</v>
      </c>
      <c r="BZ91" s="276" cm="1">
        <f t="array" ref="BZ91">IF(AND(BZ$2&lt;&gt;0,TblTech[[#This Row],[Hour]:[Hour]]&gt;=BZ$2),1,0)</f>
        <v>0</v>
      </c>
      <c r="CA91" s="377">
        <f>IFERROR(INDEX($H$4:$H$79,MATCH(INDEX(TblTech[[#Headers],[1-1]:[11-1]],1,MATCH(TblTech[[#This Row],[Hour]],$M$2:$BZ$2,0)),$G$4:$G$79,0)),)</f>
        <v>0</v>
      </c>
    </row>
    <row r="92" spans="1:79" x14ac:dyDescent="0.2">
      <c r="A92" s="268">
        <f>TblRezone[[#This Row],[Hour]]</f>
        <v>89</v>
      </c>
      <c r="B92" s="269">
        <f ca="1">TblExplore[[#This Row],[Land-DB]]</f>
        <v>50</v>
      </c>
      <c r="C92" s="270">
        <f ca="1">TblProd[[#This Row],[Techpoints]]</f>
        <v>0</v>
      </c>
      <c r="D92" s="270">
        <f ca="1">TblProd[[#This Row],[Required]]</f>
        <v>3750</v>
      </c>
      <c r="E92" s="279"/>
      <c r="F92" s="280"/>
      <c r="G92" s="273"/>
      <c r="H92" s="274"/>
      <c r="I92" s="274"/>
      <c r="J92" s="274"/>
      <c r="K92" s="93">
        <f ca="1">IF(TblTech[[#This Row],[Sum of tech]]&lt;&gt;OFFSET(TblTech[[#This Row],[Sum of tech]],-1,0),1,0)</f>
        <v>0</v>
      </c>
      <c r="L92" s="275">
        <f>COUNTIF(TblTech[[#This Row],[1-1]:[11-1]],1)</f>
        <v>0</v>
      </c>
      <c r="M92" s="276" cm="1">
        <f t="array" ref="M92">IF(AND(M$2&lt;&gt;0,TblTech[[#This Row],[Hour]:[Hour]]&gt;=M$2),1,0)</f>
        <v>0</v>
      </c>
      <c r="N92" s="276" cm="1">
        <f t="array" ref="N92">IF(AND(N$2&lt;&gt;0,TblTech[[#This Row],[Hour]:[Hour]]&gt;=N$2),1,0)</f>
        <v>0</v>
      </c>
      <c r="O92" s="276" cm="1">
        <f t="array" ref="O92">IF(AND(O$2&lt;&gt;0,TblTech[[#This Row],[Hour]:[Hour]]&gt;=O$2),1,0)</f>
        <v>0</v>
      </c>
      <c r="P92" s="276" cm="1">
        <f t="array" ref="P92">IF(AND(P$2&lt;&gt;0,TblTech[[#This Row],[Hour]:[Hour]]&gt;=P$2),1,0)</f>
        <v>0</v>
      </c>
      <c r="Q92" s="276" cm="1">
        <f t="array" ref="Q92">IF(AND(Q$2&lt;&gt;0,TblTech[[#This Row],[Hour]:[Hour]]&gt;=Q$2),1,0)</f>
        <v>0</v>
      </c>
      <c r="R92" s="276" cm="1">
        <f t="array" ref="R92">IF(AND(R$2&lt;&gt;0,TblTech[[#This Row],[Hour]:[Hour]]&gt;=R$2),1,0)</f>
        <v>0</v>
      </c>
      <c r="S92" s="276" cm="1">
        <f t="array" ref="S92">IF(AND(S$2&lt;&gt;0,TblTech[[#This Row],[Hour]:[Hour]]&gt;=S$2),1,0)</f>
        <v>0</v>
      </c>
      <c r="T92" s="276" cm="1">
        <f t="array" ref="T92">IF(AND(T$2&lt;&gt;0,TblTech[[#This Row],[Hour]:[Hour]]&gt;=T$2),1,0)</f>
        <v>0</v>
      </c>
      <c r="U92" s="276" cm="1">
        <f t="array" ref="U92">IF(AND(U$2&lt;&gt;0,TblTech[[#This Row],[Hour]:[Hour]]&gt;=U$2),1,0)</f>
        <v>0</v>
      </c>
      <c r="V92" s="276" cm="1">
        <f t="array" ref="V92">IF(AND(V$2&lt;&gt;0,TblTech[[#This Row],[Hour]:[Hour]]&gt;=V$2),1,0)</f>
        <v>0</v>
      </c>
      <c r="W92" s="276" cm="1">
        <f t="array" ref="W92">IF(AND(W$2&lt;&gt;0,TblTech[[#This Row],[Hour]:[Hour]]&gt;=W$2),1,0)</f>
        <v>0</v>
      </c>
      <c r="X92" s="276" cm="1">
        <f t="array" ref="X92">IF(AND(X$2&lt;&gt;0,TblTech[[#This Row],[Hour]:[Hour]]&gt;=X$2),1,0)</f>
        <v>0</v>
      </c>
      <c r="Y92" s="276" cm="1">
        <f t="array" ref="Y92">IF(AND(Y$2&lt;&gt;0,TblTech[[#This Row],[Hour]:[Hour]]&gt;=Y$2),1,0)</f>
        <v>0</v>
      </c>
      <c r="Z92" s="276" cm="1">
        <f t="array" ref="Z92">IF(AND(Z$2&lt;&gt;0,TblTech[[#This Row],[Hour]:[Hour]]&gt;=Z$2),1,0)</f>
        <v>0</v>
      </c>
      <c r="AA92" s="276" cm="1">
        <f t="array" ref="AA92">IF(AND(AA$2&lt;&gt;0,TblTech[[#This Row],[Hour]:[Hour]]&gt;=AA$2),1,0)</f>
        <v>0</v>
      </c>
      <c r="AB92" s="276" cm="1">
        <f t="array" ref="AB92">IF(AND(AB$2&lt;&gt;0,TblTech[[#This Row],[Hour]:[Hour]]&gt;=AB$2),1,0)</f>
        <v>0</v>
      </c>
      <c r="AC92" s="276" cm="1">
        <f t="array" ref="AC92">IF(AND(AC$2&lt;&gt;0,TblTech[[#This Row],[Hour]:[Hour]]&gt;=AC$2),1,0)</f>
        <v>0</v>
      </c>
      <c r="AD92" s="276" cm="1">
        <f t="array" ref="AD92">IF(AND(AD$2&lt;&gt;0,TblTech[[#This Row],[Hour]:[Hour]]&gt;=AD$2),1,0)</f>
        <v>0</v>
      </c>
      <c r="AE92" s="276" cm="1">
        <f t="array" ref="AE92">IF(AND(AE$2&lt;&gt;0,TblTech[[#This Row],[Hour]:[Hour]]&gt;=AE$2),1,0)</f>
        <v>0</v>
      </c>
      <c r="AF92" s="276" cm="1">
        <f t="array" ref="AF92">IF(AND(AF$2&lt;&gt;0,TblTech[[#This Row],[Hour]:[Hour]]&gt;=AF$2),1,0)</f>
        <v>0</v>
      </c>
      <c r="AG92" s="276" cm="1">
        <f t="array" ref="AG92">IF(AND(AG$2&lt;&gt;0,TblTech[[#This Row],[Hour]:[Hour]]&gt;=AG$2),1,0)</f>
        <v>0</v>
      </c>
      <c r="AH92" s="276" cm="1">
        <f t="array" ref="AH92">IF(AND(AH$2&lt;&gt;0,TblTech[[#This Row],[Hour]:[Hour]]&gt;=AH$2),1,0)</f>
        <v>0</v>
      </c>
      <c r="AI92" s="276" cm="1">
        <f t="array" ref="AI92">IF(AND(AI$2&lt;&gt;0,TblTech[[#This Row],[Hour]:[Hour]]&gt;=AI$2),1,0)</f>
        <v>0</v>
      </c>
      <c r="AJ92" s="276" cm="1">
        <f t="array" ref="AJ92">IF(AND(AJ$2&lt;&gt;0,TblTech[[#This Row],[Hour]:[Hour]]&gt;=AJ$2),1,0)</f>
        <v>0</v>
      </c>
      <c r="AK92" s="276" cm="1">
        <f t="array" ref="AK92">IF(AND(AK$2&lt;&gt;0,TblTech[[#This Row],[Hour]:[Hour]]&gt;=AK$2),1,0)</f>
        <v>0</v>
      </c>
      <c r="AL92" s="276" cm="1">
        <f t="array" ref="AL92">IF(AND(AL$2&lt;&gt;0,TblTech[[#This Row],[Hour]:[Hour]]&gt;=AL$2),1,0)</f>
        <v>0</v>
      </c>
      <c r="AM92" s="276" cm="1">
        <f t="array" ref="AM92">IF(AND(AM$2&lt;&gt;0,TblTech[[#This Row],[Hour]:[Hour]]&gt;=AM$2),1,0)</f>
        <v>0</v>
      </c>
      <c r="AN92" s="276" cm="1">
        <f t="array" ref="AN92">IF(AND(AN$2&lt;&gt;0,TblTech[[#This Row],[Hour]:[Hour]]&gt;=AN$2),1,0)</f>
        <v>0</v>
      </c>
      <c r="AO92" s="276" cm="1">
        <f t="array" ref="AO92">IF(AND(AO$2&lt;&gt;0,TblTech[[#This Row],[Hour]:[Hour]]&gt;=AO$2),1,0)</f>
        <v>0</v>
      </c>
      <c r="AP92" s="276" cm="1">
        <f t="array" ref="AP92">IF(AND(AP$2&lt;&gt;0,TblTech[[#This Row],[Hour]:[Hour]]&gt;=AP$2),1,0)</f>
        <v>0</v>
      </c>
      <c r="AQ92" s="276" cm="1">
        <f t="array" ref="AQ92">IF(AND(AQ$2&lt;&gt;0,TblTech[[#This Row],[Hour]:[Hour]]&gt;=AQ$2),1,0)</f>
        <v>0</v>
      </c>
      <c r="AR92" s="276" cm="1">
        <f t="array" ref="AR92">IF(AND(AR$2&lt;&gt;0,TblTech[[#This Row],[Hour]:[Hour]]&gt;=AR$2),1,0)</f>
        <v>0</v>
      </c>
      <c r="AS92" s="276" cm="1">
        <f t="array" ref="AS92">IF(AND(AS$2&lt;&gt;0,TblTech[[#This Row],[Hour]:[Hour]]&gt;=AS$2),1,0)</f>
        <v>0</v>
      </c>
      <c r="AT92" s="276" cm="1">
        <f t="array" ref="AT92">IF(AND(AT$2&lt;&gt;0,TblTech[[#This Row],[Hour]:[Hour]]&gt;=AT$2),1,0)</f>
        <v>0</v>
      </c>
      <c r="AU92" s="276" cm="1">
        <f t="array" ref="AU92">IF(AND(AU$2&lt;&gt;0,TblTech[[#This Row],[Hour]:[Hour]]&gt;=AU$2),1,0)</f>
        <v>0</v>
      </c>
      <c r="AV92" s="276" cm="1">
        <f t="array" ref="AV92">IF(AND(AV$2&lt;&gt;0,TblTech[[#This Row],[Hour]:[Hour]]&gt;=AV$2),1,0)</f>
        <v>0</v>
      </c>
      <c r="AW92" s="276" cm="1">
        <f t="array" ref="AW92">IF(AND(AW$2&lt;&gt;0,TblTech[[#This Row],[Hour]:[Hour]]&gt;=AW$2),1,0)</f>
        <v>0</v>
      </c>
      <c r="AX92" s="276" cm="1">
        <f t="array" ref="AX92">IF(AND(AX$2&lt;&gt;0,TblTech[[#This Row],[Hour]:[Hour]]&gt;=AX$2),1,0)</f>
        <v>0</v>
      </c>
      <c r="AY92" s="276" cm="1">
        <f t="array" ref="AY92">IF(AND(AY$2&lt;&gt;0,TblTech[[#This Row],[Hour]:[Hour]]&gt;=AY$2),1,0)</f>
        <v>0</v>
      </c>
      <c r="AZ92" s="276" cm="1">
        <f t="array" ref="AZ92">IF(AND(AZ$2&lt;&gt;0,TblTech[[#This Row],[Hour]:[Hour]]&gt;=AZ$2),1,0)</f>
        <v>0</v>
      </c>
      <c r="BA92" s="276" cm="1">
        <f t="array" ref="BA92">IF(AND(BA$2&lt;&gt;0,TblTech[[#This Row],[Hour]:[Hour]]&gt;=BA$2),1,0)</f>
        <v>0</v>
      </c>
      <c r="BB92" s="276" cm="1">
        <f t="array" ref="BB92">IF(AND(BB$2&lt;&gt;0,TblTech[[#This Row],[Hour]:[Hour]]&gt;=BB$2),1,0)</f>
        <v>0</v>
      </c>
      <c r="BC92" s="276" cm="1">
        <f t="array" ref="BC92">IF(AND(BC$2&lt;&gt;0,TblTech[[#This Row],[Hour]:[Hour]]&gt;=BC$2),1,0)</f>
        <v>0</v>
      </c>
      <c r="BD92" s="276" cm="1">
        <f t="array" ref="BD92">IF(AND(BD$2&lt;&gt;0,TblTech[[#This Row],[Hour]:[Hour]]&gt;=BD$2),1,0)</f>
        <v>0</v>
      </c>
      <c r="BE92" s="276" cm="1">
        <f t="array" ref="BE92">IF(AND(BE$2&lt;&gt;0,TblTech[[#This Row],[Hour]:[Hour]]&gt;=BE$2),1,0)</f>
        <v>0</v>
      </c>
      <c r="BF92" s="276" cm="1">
        <f t="array" ref="BF92">IF(AND(BF$2&lt;&gt;0,TblTech[[#This Row],[Hour]:[Hour]]&gt;=BF$2),1,0)</f>
        <v>0</v>
      </c>
      <c r="BG92" s="276" cm="1">
        <f t="array" ref="BG92">IF(AND(BG$2&lt;&gt;0,TblTech[[#This Row],[Hour]:[Hour]]&gt;=BG$2),1,0)</f>
        <v>0</v>
      </c>
      <c r="BH92" s="276" cm="1">
        <f t="array" ref="BH92">IF(AND(BH$2&lt;&gt;0,TblTech[[#This Row],[Hour]:[Hour]]&gt;=BH$2),1,0)</f>
        <v>0</v>
      </c>
      <c r="BI92" s="276" cm="1">
        <f t="array" ref="BI92">IF(AND(BI$2&lt;&gt;0,TblTech[[#This Row],[Hour]:[Hour]]&gt;=BI$2),1,0)</f>
        <v>0</v>
      </c>
      <c r="BJ92" s="276" cm="1">
        <f t="array" ref="BJ92">IF(AND(BJ$2&lt;&gt;0,TblTech[[#This Row],[Hour]:[Hour]]&gt;=BJ$2),1,0)</f>
        <v>0</v>
      </c>
      <c r="BK92" s="276" cm="1">
        <f t="array" ref="BK92">IF(AND(BK$2&lt;&gt;0,TblTech[[#This Row],[Hour]:[Hour]]&gt;=BK$2),1,0)</f>
        <v>0</v>
      </c>
      <c r="BL92" s="276" cm="1">
        <f t="array" ref="BL92">IF(AND(BL$2&lt;&gt;0,TblTech[[#This Row],[Hour]:[Hour]]&gt;=BL$2),1,0)</f>
        <v>0</v>
      </c>
      <c r="BM92" s="276" cm="1">
        <f t="array" ref="BM92">IF(AND(BM$2&lt;&gt;0,TblTech[[#This Row],[Hour]:[Hour]]&gt;=BM$2),1,0)</f>
        <v>0</v>
      </c>
      <c r="BN92" s="276" cm="1">
        <f t="array" ref="BN92">IF(AND(BN$2&lt;&gt;0,TblTech[[#This Row],[Hour]:[Hour]]&gt;=BN$2),1,0)</f>
        <v>0</v>
      </c>
      <c r="BO92" s="276" cm="1">
        <f t="array" ref="BO92">IF(AND(BO$2&lt;&gt;0,TblTech[[#This Row],[Hour]:[Hour]]&gt;=BO$2),1,0)</f>
        <v>0</v>
      </c>
      <c r="BP92" s="276" cm="1">
        <f t="array" ref="BP92">IF(AND(BP$2&lt;&gt;0,TblTech[[#This Row],[Hour]:[Hour]]&gt;=BP$2),1,0)</f>
        <v>0</v>
      </c>
      <c r="BQ92" s="276" cm="1">
        <f t="array" ref="BQ92">IF(AND(BQ$2&lt;&gt;0,TblTech[[#This Row],[Hour]:[Hour]]&gt;=BQ$2),1,0)</f>
        <v>0</v>
      </c>
      <c r="BR92" s="276" cm="1">
        <f t="array" ref="BR92">IF(AND(BR$2&lt;&gt;0,TblTech[[#This Row],[Hour]:[Hour]]&gt;=BR$2),1,0)</f>
        <v>0</v>
      </c>
      <c r="BS92" s="276" cm="1">
        <f t="array" ref="BS92">IF(AND(BS$2&lt;&gt;0,TblTech[[#This Row],[Hour]:[Hour]]&gt;=BS$2),1,0)</f>
        <v>0</v>
      </c>
      <c r="BT92" s="276" cm="1">
        <f t="array" ref="BT92">IF(AND(BT$2&lt;&gt;0,TblTech[[#This Row],[Hour]:[Hour]]&gt;=BT$2),1,0)</f>
        <v>0</v>
      </c>
      <c r="BU92" s="276" cm="1">
        <f t="array" ref="BU92">IF(AND(BU$2&lt;&gt;0,TblTech[[#This Row],[Hour]:[Hour]]&gt;=BU$2),1,0)</f>
        <v>0</v>
      </c>
      <c r="BV92" s="276" cm="1">
        <f t="array" ref="BV92">IF(AND(BV$2&lt;&gt;0,TblTech[[#This Row],[Hour]:[Hour]]&gt;=BV$2),1,0)</f>
        <v>0</v>
      </c>
      <c r="BW92" s="276" cm="1">
        <f t="array" ref="BW92">IF(AND(BW$2&lt;&gt;0,TblTech[[#This Row],[Hour]:[Hour]]&gt;=BW$2),1,0)</f>
        <v>0</v>
      </c>
      <c r="BX92" s="276" cm="1">
        <f t="array" ref="BX92">IF(AND(BX$2&lt;&gt;0,TblTech[[#This Row],[Hour]:[Hour]]&gt;=BX$2),1,0)</f>
        <v>0</v>
      </c>
      <c r="BY92" s="276" cm="1">
        <f t="array" ref="BY92">IF(AND(BY$2&lt;&gt;0,TblTech[[#This Row],[Hour]:[Hour]]&gt;=BY$2),1,0)</f>
        <v>0</v>
      </c>
      <c r="BZ92" s="276" cm="1">
        <f t="array" ref="BZ92">IF(AND(BZ$2&lt;&gt;0,TblTech[[#This Row],[Hour]:[Hour]]&gt;=BZ$2),1,0)</f>
        <v>0</v>
      </c>
      <c r="CA92" s="377">
        <f>IFERROR(INDEX($H$4:$H$79,MATCH(INDEX(TblTech[[#Headers],[1-1]:[11-1]],1,MATCH(TblTech[[#This Row],[Hour]],$M$2:$BZ$2,0)),$G$4:$G$79,0)),)</f>
        <v>0</v>
      </c>
    </row>
    <row r="93" spans="1:79" x14ac:dyDescent="0.2">
      <c r="A93" s="268">
        <f>TblRezone[[#This Row],[Hour]]</f>
        <v>90</v>
      </c>
      <c r="B93" s="269">
        <f ca="1">TblExplore[[#This Row],[Land-DB]]</f>
        <v>50</v>
      </c>
      <c r="C93" s="270">
        <f ca="1">TblProd[[#This Row],[Techpoints]]</f>
        <v>0</v>
      </c>
      <c r="D93" s="270">
        <f ca="1">TblProd[[#This Row],[Required]]</f>
        <v>3750</v>
      </c>
      <c r="E93" s="279"/>
      <c r="F93" s="280"/>
      <c r="G93" s="273"/>
      <c r="H93" s="274"/>
      <c r="I93" s="274"/>
      <c r="J93" s="274"/>
      <c r="K93" s="93">
        <f ca="1">IF(TblTech[[#This Row],[Sum of tech]]&lt;&gt;OFFSET(TblTech[[#This Row],[Sum of tech]],-1,0),1,0)</f>
        <v>0</v>
      </c>
      <c r="L93" s="275">
        <f>COUNTIF(TblTech[[#This Row],[1-1]:[11-1]],1)</f>
        <v>0</v>
      </c>
      <c r="M93" s="276" cm="1">
        <f t="array" ref="M93">IF(AND(M$2&lt;&gt;0,TblTech[[#This Row],[Hour]:[Hour]]&gt;=M$2),1,0)</f>
        <v>0</v>
      </c>
      <c r="N93" s="276" cm="1">
        <f t="array" ref="N93">IF(AND(N$2&lt;&gt;0,TblTech[[#This Row],[Hour]:[Hour]]&gt;=N$2),1,0)</f>
        <v>0</v>
      </c>
      <c r="O93" s="276" cm="1">
        <f t="array" ref="O93">IF(AND(O$2&lt;&gt;0,TblTech[[#This Row],[Hour]:[Hour]]&gt;=O$2),1,0)</f>
        <v>0</v>
      </c>
      <c r="P93" s="276" cm="1">
        <f t="array" ref="P93">IF(AND(P$2&lt;&gt;0,TblTech[[#This Row],[Hour]:[Hour]]&gt;=P$2),1,0)</f>
        <v>0</v>
      </c>
      <c r="Q93" s="276" cm="1">
        <f t="array" ref="Q93">IF(AND(Q$2&lt;&gt;0,TblTech[[#This Row],[Hour]:[Hour]]&gt;=Q$2),1,0)</f>
        <v>0</v>
      </c>
      <c r="R93" s="276" cm="1">
        <f t="array" ref="R93">IF(AND(R$2&lt;&gt;0,TblTech[[#This Row],[Hour]:[Hour]]&gt;=R$2),1,0)</f>
        <v>0</v>
      </c>
      <c r="S93" s="276" cm="1">
        <f t="array" ref="S93">IF(AND(S$2&lt;&gt;0,TblTech[[#This Row],[Hour]:[Hour]]&gt;=S$2),1,0)</f>
        <v>0</v>
      </c>
      <c r="T93" s="276" cm="1">
        <f t="array" ref="T93">IF(AND(T$2&lt;&gt;0,TblTech[[#This Row],[Hour]:[Hour]]&gt;=T$2),1,0)</f>
        <v>0</v>
      </c>
      <c r="U93" s="276" cm="1">
        <f t="array" ref="U93">IF(AND(U$2&lt;&gt;0,TblTech[[#This Row],[Hour]:[Hour]]&gt;=U$2),1,0)</f>
        <v>0</v>
      </c>
      <c r="V93" s="276" cm="1">
        <f t="array" ref="V93">IF(AND(V$2&lt;&gt;0,TblTech[[#This Row],[Hour]:[Hour]]&gt;=V$2),1,0)</f>
        <v>0</v>
      </c>
      <c r="W93" s="276" cm="1">
        <f t="array" ref="W93">IF(AND(W$2&lt;&gt;0,TblTech[[#This Row],[Hour]:[Hour]]&gt;=W$2),1,0)</f>
        <v>0</v>
      </c>
      <c r="X93" s="276" cm="1">
        <f t="array" ref="X93">IF(AND(X$2&lt;&gt;0,TblTech[[#This Row],[Hour]:[Hour]]&gt;=X$2),1,0)</f>
        <v>0</v>
      </c>
      <c r="Y93" s="276" cm="1">
        <f t="array" ref="Y93">IF(AND(Y$2&lt;&gt;0,TblTech[[#This Row],[Hour]:[Hour]]&gt;=Y$2),1,0)</f>
        <v>0</v>
      </c>
      <c r="Z93" s="276" cm="1">
        <f t="array" ref="Z93">IF(AND(Z$2&lt;&gt;0,TblTech[[#This Row],[Hour]:[Hour]]&gt;=Z$2),1,0)</f>
        <v>0</v>
      </c>
      <c r="AA93" s="276" cm="1">
        <f t="array" ref="AA93">IF(AND(AA$2&lt;&gt;0,TblTech[[#This Row],[Hour]:[Hour]]&gt;=AA$2),1,0)</f>
        <v>0</v>
      </c>
      <c r="AB93" s="276" cm="1">
        <f t="array" ref="AB93">IF(AND(AB$2&lt;&gt;0,TblTech[[#This Row],[Hour]:[Hour]]&gt;=AB$2),1,0)</f>
        <v>0</v>
      </c>
      <c r="AC93" s="276" cm="1">
        <f t="array" ref="AC93">IF(AND(AC$2&lt;&gt;0,TblTech[[#This Row],[Hour]:[Hour]]&gt;=AC$2),1,0)</f>
        <v>0</v>
      </c>
      <c r="AD93" s="276" cm="1">
        <f t="array" ref="AD93">IF(AND(AD$2&lt;&gt;0,TblTech[[#This Row],[Hour]:[Hour]]&gt;=AD$2),1,0)</f>
        <v>0</v>
      </c>
      <c r="AE93" s="276" cm="1">
        <f t="array" ref="AE93">IF(AND(AE$2&lt;&gt;0,TblTech[[#This Row],[Hour]:[Hour]]&gt;=AE$2),1,0)</f>
        <v>0</v>
      </c>
      <c r="AF93" s="276" cm="1">
        <f t="array" ref="AF93">IF(AND(AF$2&lt;&gt;0,TblTech[[#This Row],[Hour]:[Hour]]&gt;=AF$2),1,0)</f>
        <v>0</v>
      </c>
      <c r="AG93" s="276" cm="1">
        <f t="array" ref="AG93">IF(AND(AG$2&lt;&gt;0,TblTech[[#This Row],[Hour]:[Hour]]&gt;=AG$2),1,0)</f>
        <v>0</v>
      </c>
      <c r="AH93" s="276" cm="1">
        <f t="array" ref="AH93">IF(AND(AH$2&lt;&gt;0,TblTech[[#This Row],[Hour]:[Hour]]&gt;=AH$2),1,0)</f>
        <v>0</v>
      </c>
      <c r="AI93" s="276" cm="1">
        <f t="array" ref="AI93">IF(AND(AI$2&lt;&gt;0,TblTech[[#This Row],[Hour]:[Hour]]&gt;=AI$2),1,0)</f>
        <v>0</v>
      </c>
      <c r="AJ93" s="276" cm="1">
        <f t="array" ref="AJ93">IF(AND(AJ$2&lt;&gt;0,TblTech[[#This Row],[Hour]:[Hour]]&gt;=AJ$2),1,0)</f>
        <v>0</v>
      </c>
      <c r="AK93" s="276" cm="1">
        <f t="array" ref="AK93">IF(AND(AK$2&lt;&gt;0,TblTech[[#This Row],[Hour]:[Hour]]&gt;=AK$2),1,0)</f>
        <v>0</v>
      </c>
      <c r="AL93" s="276" cm="1">
        <f t="array" ref="AL93">IF(AND(AL$2&lt;&gt;0,TblTech[[#This Row],[Hour]:[Hour]]&gt;=AL$2),1,0)</f>
        <v>0</v>
      </c>
      <c r="AM93" s="276" cm="1">
        <f t="array" ref="AM93">IF(AND(AM$2&lt;&gt;0,TblTech[[#This Row],[Hour]:[Hour]]&gt;=AM$2),1,0)</f>
        <v>0</v>
      </c>
      <c r="AN93" s="276" cm="1">
        <f t="array" ref="AN93">IF(AND(AN$2&lt;&gt;0,TblTech[[#This Row],[Hour]:[Hour]]&gt;=AN$2),1,0)</f>
        <v>0</v>
      </c>
      <c r="AO93" s="276" cm="1">
        <f t="array" ref="AO93">IF(AND(AO$2&lt;&gt;0,TblTech[[#This Row],[Hour]:[Hour]]&gt;=AO$2),1,0)</f>
        <v>0</v>
      </c>
      <c r="AP93" s="276" cm="1">
        <f t="array" ref="AP93">IF(AND(AP$2&lt;&gt;0,TblTech[[#This Row],[Hour]:[Hour]]&gt;=AP$2),1,0)</f>
        <v>0</v>
      </c>
      <c r="AQ93" s="276" cm="1">
        <f t="array" ref="AQ93">IF(AND(AQ$2&lt;&gt;0,TblTech[[#This Row],[Hour]:[Hour]]&gt;=AQ$2),1,0)</f>
        <v>0</v>
      </c>
      <c r="AR93" s="276" cm="1">
        <f t="array" ref="AR93">IF(AND(AR$2&lt;&gt;0,TblTech[[#This Row],[Hour]:[Hour]]&gt;=AR$2),1,0)</f>
        <v>0</v>
      </c>
      <c r="AS93" s="276" cm="1">
        <f t="array" ref="AS93">IF(AND(AS$2&lt;&gt;0,TblTech[[#This Row],[Hour]:[Hour]]&gt;=AS$2),1,0)</f>
        <v>0</v>
      </c>
      <c r="AT93" s="276" cm="1">
        <f t="array" ref="AT93">IF(AND(AT$2&lt;&gt;0,TblTech[[#This Row],[Hour]:[Hour]]&gt;=AT$2),1,0)</f>
        <v>0</v>
      </c>
      <c r="AU93" s="276" cm="1">
        <f t="array" ref="AU93">IF(AND(AU$2&lt;&gt;0,TblTech[[#This Row],[Hour]:[Hour]]&gt;=AU$2),1,0)</f>
        <v>0</v>
      </c>
      <c r="AV93" s="276" cm="1">
        <f t="array" ref="AV93">IF(AND(AV$2&lt;&gt;0,TblTech[[#This Row],[Hour]:[Hour]]&gt;=AV$2),1,0)</f>
        <v>0</v>
      </c>
      <c r="AW93" s="276" cm="1">
        <f t="array" ref="AW93">IF(AND(AW$2&lt;&gt;0,TblTech[[#This Row],[Hour]:[Hour]]&gt;=AW$2),1,0)</f>
        <v>0</v>
      </c>
      <c r="AX93" s="276" cm="1">
        <f t="array" ref="AX93">IF(AND(AX$2&lt;&gt;0,TblTech[[#This Row],[Hour]:[Hour]]&gt;=AX$2),1,0)</f>
        <v>0</v>
      </c>
      <c r="AY93" s="276" cm="1">
        <f t="array" ref="AY93">IF(AND(AY$2&lt;&gt;0,TblTech[[#This Row],[Hour]:[Hour]]&gt;=AY$2),1,0)</f>
        <v>0</v>
      </c>
      <c r="AZ93" s="276" cm="1">
        <f t="array" ref="AZ93">IF(AND(AZ$2&lt;&gt;0,TblTech[[#This Row],[Hour]:[Hour]]&gt;=AZ$2),1,0)</f>
        <v>0</v>
      </c>
      <c r="BA93" s="276" cm="1">
        <f t="array" ref="BA93">IF(AND(BA$2&lt;&gt;0,TblTech[[#This Row],[Hour]:[Hour]]&gt;=BA$2),1,0)</f>
        <v>0</v>
      </c>
      <c r="BB93" s="276" cm="1">
        <f t="array" ref="BB93">IF(AND(BB$2&lt;&gt;0,TblTech[[#This Row],[Hour]:[Hour]]&gt;=BB$2),1,0)</f>
        <v>0</v>
      </c>
      <c r="BC93" s="276" cm="1">
        <f t="array" ref="BC93">IF(AND(BC$2&lt;&gt;0,TblTech[[#This Row],[Hour]:[Hour]]&gt;=BC$2),1,0)</f>
        <v>0</v>
      </c>
      <c r="BD93" s="276" cm="1">
        <f t="array" ref="BD93">IF(AND(BD$2&lt;&gt;0,TblTech[[#This Row],[Hour]:[Hour]]&gt;=BD$2),1,0)</f>
        <v>0</v>
      </c>
      <c r="BE93" s="276" cm="1">
        <f t="array" ref="BE93">IF(AND(BE$2&lt;&gt;0,TblTech[[#This Row],[Hour]:[Hour]]&gt;=BE$2),1,0)</f>
        <v>0</v>
      </c>
      <c r="BF93" s="276" cm="1">
        <f t="array" ref="BF93">IF(AND(BF$2&lt;&gt;0,TblTech[[#This Row],[Hour]:[Hour]]&gt;=BF$2),1,0)</f>
        <v>0</v>
      </c>
      <c r="BG93" s="276" cm="1">
        <f t="array" ref="BG93">IF(AND(BG$2&lt;&gt;0,TblTech[[#This Row],[Hour]:[Hour]]&gt;=BG$2),1,0)</f>
        <v>0</v>
      </c>
      <c r="BH93" s="276" cm="1">
        <f t="array" ref="BH93">IF(AND(BH$2&lt;&gt;0,TblTech[[#This Row],[Hour]:[Hour]]&gt;=BH$2),1,0)</f>
        <v>0</v>
      </c>
      <c r="BI93" s="276" cm="1">
        <f t="array" ref="BI93">IF(AND(BI$2&lt;&gt;0,TblTech[[#This Row],[Hour]:[Hour]]&gt;=BI$2),1,0)</f>
        <v>0</v>
      </c>
      <c r="BJ93" s="276" cm="1">
        <f t="array" ref="BJ93">IF(AND(BJ$2&lt;&gt;0,TblTech[[#This Row],[Hour]:[Hour]]&gt;=BJ$2),1,0)</f>
        <v>0</v>
      </c>
      <c r="BK93" s="276" cm="1">
        <f t="array" ref="BK93">IF(AND(BK$2&lt;&gt;0,TblTech[[#This Row],[Hour]:[Hour]]&gt;=BK$2),1,0)</f>
        <v>0</v>
      </c>
      <c r="BL93" s="276" cm="1">
        <f t="array" ref="BL93">IF(AND(BL$2&lt;&gt;0,TblTech[[#This Row],[Hour]:[Hour]]&gt;=BL$2),1,0)</f>
        <v>0</v>
      </c>
      <c r="BM93" s="276" cm="1">
        <f t="array" ref="BM93">IF(AND(BM$2&lt;&gt;0,TblTech[[#This Row],[Hour]:[Hour]]&gt;=BM$2),1,0)</f>
        <v>0</v>
      </c>
      <c r="BN93" s="276" cm="1">
        <f t="array" ref="BN93">IF(AND(BN$2&lt;&gt;0,TblTech[[#This Row],[Hour]:[Hour]]&gt;=BN$2),1,0)</f>
        <v>0</v>
      </c>
      <c r="BO93" s="276" cm="1">
        <f t="array" ref="BO93">IF(AND(BO$2&lt;&gt;0,TblTech[[#This Row],[Hour]:[Hour]]&gt;=BO$2),1,0)</f>
        <v>0</v>
      </c>
      <c r="BP93" s="276" cm="1">
        <f t="array" ref="BP93">IF(AND(BP$2&lt;&gt;0,TblTech[[#This Row],[Hour]:[Hour]]&gt;=BP$2),1,0)</f>
        <v>0</v>
      </c>
      <c r="BQ93" s="276" cm="1">
        <f t="array" ref="BQ93">IF(AND(BQ$2&lt;&gt;0,TblTech[[#This Row],[Hour]:[Hour]]&gt;=BQ$2),1,0)</f>
        <v>0</v>
      </c>
      <c r="BR93" s="276" cm="1">
        <f t="array" ref="BR93">IF(AND(BR$2&lt;&gt;0,TblTech[[#This Row],[Hour]:[Hour]]&gt;=BR$2),1,0)</f>
        <v>0</v>
      </c>
      <c r="BS93" s="276" cm="1">
        <f t="array" ref="BS93">IF(AND(BS$2&lt;&gt;0,TblTech[[#This Row],[Hour]:[Hour]]&gt;=BS$2),1,0)</f>
        <v>0</v>
      </c>
      <c r="BT93" s="276" cm="1">
        <f t="array" ref="BT93">IF(AND(BT$2&lt;&gt;0,TblTech[[#This Row],[Hour]:[Hour]]&gt;=BT$2),1,0)</f>
        <v>0</v>
      </c>
      <c r="BU93" s="276" cm="1">
        <f t="array" ref="BU93">IF(AND(BU$2&lt;&gt;0,TblTech[[#This Row],[Hour]:[Hour]]&gt;=BU$2),1,0)</f>
        <v>0</v>
      </c>
      <c r="BV93" s="276" cm="1">
        <f t="array" ref="BV93">IF(AND(BV$2&lt;&gt;0,TblTech[[#This Row],[Hour]:[Hour]]&gt;=BV$2),1,0)</f>
        <v>0</v>
      </c>
      <c r="BW93" s="276" cm="1">
        <f t="array" ref="BW93">IF(AND(BW$2&lt;&gt;0,TblTech[[#This Row],[Hour]:[Hour]]&gt;=BW$2),1,0)</f>
        <v>0</v>
      </c>
      <c r="BX93" s="276" cm="1">
        <f t="array" ref="BX93">IF(AND(BX$2&lt;&gt;0,TblTech[[#This Row],[Hour]:[Hour]]&gt;=BX$2),1,0)</f>
        <v>0</v>
      </c>
      <c r="BY93" s="276" cm="1">
        <f t="array" ref="BY93">IF(AND(BY$2&lt;&gt;0,TblTech[[#This Row],[Hour]:[Hour]]&gt;=BY$2),1,0)</f>
        <v>0</v>
      </c>
      <c r="BZ93" s="276" cm="1">
        <f t="array" ref="BZ93">IF(AND(BZ$2&lt;&gt;0,TblTech[[#This Row],[Hour]:[Hour]]&gt;=BZ$2),1,0)</f>
        <v>0</v>
      </c>
      <c r="CA93" s="377">
        <f>IFERROR(INDEX($H$4:$H$79,MATCH(INDEX(TblTech[[#Headers],[1-1]:[11-1]],1,MATCH(TblTech[[#This Row],[Hour]],$M$2:$BZ$2,0)),$G$4:$G$79,0)),)</f>
        <v>0</v>
      </c>
    </row>
    <row r="94" spans="1:79" x14ac:dyDescent="0.2">
      <c r="A94" s="268">
        <f>TblRezone[[#This Row],[Hour]]</f>
        <v>91</v>
      </c>
      <c r="B94" s="269">
        <f ca="1">TblExplore[[#This Row],[Land-DB]]</f>
        <v>50</v>
      </c>
      <c r="C94" s="270">
        <f ca="1">TblProd[[#This Row],[Techpoints]]</f>
        <v>0</v>
      </c>
      <c r="D94" s="270">
        <f ca="1">TblProd[[#This Row],[Required]]</f>
        <v>3750</v>
      </c>
      <c r="E94" s="279"/>
      <c r="F94" s="280"/>
      <c r="G94" s="273"/>
      <c r="H94" s="274"/>
      <c r="I94" s="274"/>
      <c r="J94" s="274"/>
      <c r="K94" s="93">
        <f ca="1">IF(TblTech[[#This Row],[Sum of tech]]&lt;&gt;OFFSET(TblTech[[#This Row],[Sum of tech]],-1,0),1,0)</f>
        <v>0</v>
      </c>
      <c r="L94" s="275">
        <f>COUNTIF(TblTech[[#This Row],[1-1]:[11-1]],1)</f>
        <v>0</v>
      </c>
      <c r="M94" s="276" cm="1">
        <f t="array" ref="M94">IF(AND(M$2&lt;&gt;0,TblTech[[#This Row],[Hour]:[Hour]]&gt;=M$2),1,0)</f>
        <v>0</v>
      </c>
      <c r="N94" s="276" cm="1">
        <f t="array" ref="N94">IF(AND(N$2&lt;&gt;0,TblTech[[#This Row],[Hour]:[Hour]]&gt;=N$2),1,0)</f>
        <v>0</v>
      </c>
      <c r="O94" s="276" cm="1">
        <f t="array" ref="O94">IF(AND(O$2&lt;&gt;0,TblTech[[#This Row],[Hour]:[Hour]]&gt;=O$2),1,0)</f>
        <v>0</v>
      </c>
      <c r="P94" s="276" cm="1">
        <f t="array" ref="P94">IF(AND(P$2&lt;&gt;0,TblTech[[#This Row],[Hour]:[Hour]]&gt;=P$2),1,0)</f>
        <v>0</v>
      </c>
      <c r="Q94" s="276" cm="1">
        <f t="array" ref="Q94">IF(AND(Q$2&lt;&gt;0,TblTech[[#This Row],[Hour]:[Hour]]&gt;=Q$2),1,0)</f>
        <v>0</v>
      </c>
      <c r="R94" s="276" cm="1">
        <f t="array" ref="R94">IF(AND(R$2&lt;&gt;0,TblTech[[#This Row],[Hour]:[Hour]]&gt;=R$2),1,0)</f>
        <v>0</v>
      </c>
      <c r="S94" s="276" cm="1">
        <f t="array" ref="S94">IF(AND(S$2&lt;&gt;0,TblTech[[#This Row],[Hour]:[Hour]]&gt;=S$2),1,0)</f>
        <v>0</v>
      </c>
      <c r="T94" s="276" cm="1">
        <f t="array" ref="T94">IF(AND(T$2&lt;&gt;0,TblTech[[#This Row],[Hour]:[Hour]]&gt;=T$2),1,0)</f>
        <v>0</v>
      </c>
      <c r="U94" s="276" cm="1">
        <f t="array" ref="U94">IF(AND(U$2&lt;&gt;0,TblTech[[#This Row],[Hour]:[Hour]]&gt;=U$2),1,0)</f>
        <v>0</v>
      </c>
      <c r="V94" s="276" cm="1">
        <f t="array" ref="V94">IF(AND(V$2&lt;&gt;0,TblTech[[#This Row],[Hour]:[Hour]]&gt;=V$2),1,0)</f>
        <v>0</v>
      </c>
      <c r="W94" s="276" cm="1">
        <f t="array" ref="W94">IF(AND(W$2&lt;&gt;0,TblTech[[#This Row],[Hour]:[Hour]]&gt;=W$2),1,0)</f>
        <v>0</v>
      </c>
      <c r="X94" s="276" cm="1">
        <f t="array" ref="X94">IF(AND(X$2&lt;&gt;0,TblTech[[#This Row],[Hour]:[Hour]]&gt;=X$2),1,0)</f>
        <v>0</v>
      </c>
      <c r="Y94" s="276" cm="1">
        <f t="array" ref="Y94">IF(AND(Y$2&lt;&gt;0,TblTech[[#This Row],[Hour]:[Hour]]&gt;=Y$2),1,0)</f>
        <v>0</v>
      </c>
      <c r="Z94" s="276" cm="1">
        <f t="array" ref="Z94">IF(AND(Z$2&lt;&gt;0,TblTech[[#This Row],[Hour]:[Hour]]&gt;=Z$2),1,0)</f>
        <v>0</v>
      </c>
      <c r="AA94" s="276" cm="1">
        <f t="array" ref="AA94">IF(AND(AA$2&lt;&gt;0,TblTech[[#This Row],[Hour]:[Hour]]&gt;=AA$2),1,0)</f>
        <v>0</v>
      </c>
      <c r="AB94" s="276" cm="1">
        <f t="array" ref="AB94">IF(AND(AB$2&lt;&gt;0,TblTech[[#This Row],[Hour]:[Hour]]&gt;=AB$2),1,0)</f>
        <v>0</v>
      </c>
      <c r="AC94" s="276" cm="1">
        <f t="array" ref="AC94">IF(AND(AC$2&lt;&gt;0,TblTech[[#This Row],[Hour]:[Hour]]&gt;=AC$2),1,0)</f>
        <v>0</v>
      </c>
      <c r="AD94" s="276" cm="1">
        <f t="array" ref="AD94">IF(AND(AD$2&lt;&gt;0,TblTech[[#This Row],[Hour]:[Hour]]&gt;=AD$2),1,0)</f>
        <v>0</v>
      </c>
      <c r="AE94" s="276" cm="1">
        <f t="array" ref="AE94">IF(AND(AE$2&lt;&gt;0,TblTech[[#This Row],[Hour]:[Hour]]&gt;=AE$2),1,0)</f>
        <v>0</v>
      </c>
      <c r="AF94" s="276" cm="1">
        <f t="array" ref="AF94">IF(AND(AF$2&lt;&gt;0,TblTech[[#This Row],[Hour]:[Hour]]&gt;=AF$2),1,0)</f>
        <v>0</v>
      </c>
      <c r="AG94" s="276" cm="1">
        <f t="array" ref="AG94">IF(AND(AG$2&lt;&gt;0,TblTech[[#This Row],[Hour]:[Hour]]&gt;=AG$2),1,0)</f>
        <v>0</v>
      </c>
      <c r="AH94" s="276" cm="1">
        <f t="array" ref="AH94">IF(AND(AH$2&lt;&gt;0,TblTech[[#This Row],[Hour]:[Hour]]&gt;=AH$2),1,0)</f>
        <v>0</v>
      </c>
      <c r="AI94" s="276" cm="1">
        <f t="array" ref="AI94">IF(AND(AI$2&lt;&gt;0,TblTech[[#This Row],[Hour]:[Hour]]&gt;=AI$2),1,0)</f>
        <v>0</v>
      </c>
      <c r="AJ94" s="276" cm="1">
        <f t="array" ref="AJ94">IF(AND(AJ$2&lt;&gt;0,TblTech[[#This Row],[Hour]:[Hour]]&gt;=AJ$2),1,0)</f>
        <v>0</v>
      </c>
      <c r="AK94" s="276" cm="1">
        <f t="array" ref="AK94">IF(AND(AK$2&lt;&gt;0,TblTech[[#This Row],[Hour]:[Hour]]&gt;=AK$2),1,0)</f>
        <v>0</v>
      </c>
      <c r="AL94" s="276" cm="1">
        <f t="array" ref="AL94">IF(AND(AL$2&lt;&gt;0,TblTech[[#This Row],[Hour]:[Hour]]&gt;=AL$2),1,0)</f>
        <v>0</v>
      </c>
      <c r="AM94" s="276" cm="1">
        <f t="array" ref="AM94">IF(AND(AM$2&lt;&gt;0,TblTech[[#This Row],[Hour]:[Hour]]&gt;=AM$2),1,0)</f>
        <v>0</v>
      </c>
      <c r="AN94" s="276" cm="1">
        <f t="array" ref="AN94">IF(AND(AN$2&lt;&gt;0,TblTech[[#This Row],[Hour]:[Hour]]&gt;=AN$2),1,0)</f>
        <v>0</v>
      </c>
      <c r="AO94" s="276" cm="1">
        <f t="array" ref="AO94">IF(AND(AO$2&lt;&gt;0,TblTech[[#This Row],[Hour]:[Hour]]&gt;=AO$2),1,0)</f>
        <v>0</v>
      </c>
      <c r="AP94" s="276" cm="1">
        <f t="array" ref="AP94">IF(AND(AP$2&lt;&gt;0,TblTech[[#This Row],[Hour]:[Hour]]&gt;=AP$2),1,0)</f>
        <v>0</v>
      </c>
      <c r="AQ94" s="276" cm="1">
        <f t="array" ref="AQ94">IF(AND(AQ$2&lt;&gt;0,TblTech[[#This Row],[Hour]:[Hour]]&gt;=AQ$2),1,0)</f>
        <v>0</v>
      </c>
      <c r="AR94" s="276" cm="1">
        <f t="array" ref="AR94">IF(AND(AR$2&lt;&gt;0,TblTech[[#This Row],[Hour]:[Hour]]&gt;=AR$2),1,0)</f>
        <v>0</v>
      </c>
      <c r="AS94" s="276" cm="1">
        <f t="array" ref="AS94">IF(AND(AS$2&lt;&gt;0,TblTech[[#This Row],[Hour]:[Hour]]&gt;=AS$2),1,0)</f>
        <v>0</v>
      </c>
      <c r="AT94" s="276" cm="1">
        <f t="array" ref="AT94">IF(AND(AT$2&lt;&gt;0,TblTech[[#This Row],[Hour]:[Hour]]&gt;=AT$2),1,0)</f>
        <v>0</v>
      </c>
      <c r="AU94" s="276" cm="1">
        <f t="array" ref="AU94">IF(AND(AU$2&lt;&gt;0,TblTech[[#This Row],[Hour]:[Hour]]&gt;=AU$2),1,0)</f>
        <v>0</v>
      </c>
      <c r="AV94" s="276" cm="1">
        <f t="array" ref="AV94">IF(AND(AV$2&lt;&gt;0,TblTech[[#This Row],[Hour]:[Hour]]&gt;=AV$2),1,0)</f>
        <v>0</v>
      </c>
      <c r="AW94" s="276" cm="1">
        <f t="array" ref="AW94">IF(AND(AW$2&lt;&gt;0,TblTech[[#This Row],[Hour]:[Hour]]&gt;=AW$2),1,0)</f>
        <v>0</v>
      </c>
      <c r="AX94" s="276" cm="1">
        <f t="array" ref="AX94">IF(AND(AX$2&lt;&gt;0,TblTech[[#This Row],[Hour]:[Hour]]&gt;=AX$2),1,0)</f>
        <v>0</v>
      </c>
      <c r="AY94" s="276" cm="1">
        <f t="array" ref="AY94">IF(AND(AY$2&lt;&gt;0,TblTech[[#This Row],[Hour]:[Hour]]&gt;=AY$2),1,0)</f>
        <v>0</v>
      </c>
      <c r="AZ94" s="276" cm="1">
        <f t="array" ref="AZ94">IF(AND(AZ$2&lt;&gt;0,TblTech[[#This Row],[Hour]:[Hour]]&gt;=AZ$2),1,0)</f>
        <v>0</v>
      </c>
      <c r="BA94" s="276" cm="1">
        <f t="array" ref="BA94">IF(AND(BA$2&lt;&gt;0,TblTech[[#This Row],[Hour]:[Hour]]&gt;=BA$2),1,0)</f>
        <v>0</v>
      </c>
      <c r="BB94" s="276" cm="1">
        <f t="array" ref="BB94">IF(AND(BB$2&lt;&gt;0,TblTech[[#This Row],[Hour]:[Hour]]&gt;=BB$2),1,0)</f>
        <v>0</v>
      </c>
      <c r="BC94" s="276" cm="1">
        <f t="array" ref="BC94">IF(AND(BC$2&lt;&gt;0,TblTech[[#This Row],[Hour]:[Hour]]&gt;=BC$2),1,0)</f>
        <v>0</v>
      </c>
      <c r="BD94" s="276" cm="1">
        <f t="array" ref="BD94">IF(AND(BD$2&lt;&gt;0,TblTech[[#This Row],[Hour]:[Hour]]&gt;=BD$2),1,0)</f>
        <v>0</v>
      </c>
      <c r="BE94" s="276" cm="1">
        <f t="array" ref="BE94">IF(AND(BE$2&lt;&gt;0,TblTech[[#This Row],[Hour]:[Hour]]&gt;=BE$2),1,0)</f>
        <v>0</v>
      </c>
      <c r="BF94" s="276" cm="1">
        <f t="array" ref="BF94">IF(AND(BF$2&lt;&gt;0,TblTech[[#This Row],[Hour]:[Hour]]&gt;=BF$2),1,0)</f>
        <v>0</v>
      </c>
      <c r="BG94" s="276" cm="1">
        <f t="array" ref="BG94">IF(AND(BG$2&lt;&gt;0,TblTech[[#This Row],[Hour]:[Hour]]&gt;=BG$2),1,0)</f>
        <v>0</v>
      </c>
      <c r="BH94" s="276" cm="1">
        <f t="array" ref="BH94">IF(AND(BH$2&lt;&gt;0,TblTech[[#This Row],[Hour]:[Hour]]&gt;=BH$2),1,0)</f>
        <v>0</v>
      </c>
      <c r="BI94" s="276" cm="1">
        <f t="array" ref="BI94">IF(AND(BI$2&lt;&gt;0,TblTech[[#This Row],[Hour]:[Hour]]&gt;=BI$2),1,0)</f>
        <v>0</v>
      </c>
      <c r="BJ94" s="276" cm="1">
        <f t="array" ref="BJ94">IF(AND(BJ$2&lt;&gt;0,TblTech[[#This Row],[Hour]:[Hour]]&gt;=BJ$2),1,0)</f>
        <v>0</v>
      </c>
      <c r="BK94" s="276" cm="1">
        <f t="array" ref="BK94">IF(AND(BK$2&lt;&gt;0,TblTech[[#This Row],[Hour]:[Hour]]&gt;=BK$2),1,0)</f>
        <v>0</v>
      </c>
      <c r="BL94" s="276" cm="1">
        <f t="array" ref="BL94">IF(AND(BL$2&lt;&gt;0,TblTech[[#This Row],[Hour]:[Hour]]&gt;=BL$2),1,0)</f>
        <v>0</v>
      </c>
      <c r="BM94" s="276" cm="1">
        <f t="array" ref="BM94">IF(AND(BM$2&lt;&gt;0,TblTech[[#This Row],[Hour]:[Hour]]&gt;=BM$2),1,0)</f>
        <v>0</v>
      </c>
      <c r="BN94" s="276" cm="1">
        <f t="array" ref="BN94">IF(AND(BN$2&lt;&gt;0,TblTech[[#This Row],[Hour]:[Hour]]&gt;=BN$2),1,0)</f>
        <v>0</v>
      </c>
      <c r="BO94" s="276" cm="1">
        <f t="array" ref="BO94">IF(AND(BO$2&lt;&gt;0,TblTech[[#This Row],[Hour]:[Hour]]&gt;=BO$2),1,0)</f>
        <v>0</v>
      </c>
      <c r="BP94" s="276" cm="1">
        <f t="array" ref="BP94">IF(AND(BP$2&lt;&gt;0,TblTech[[#This Row],[Hour]:[Hour]]&gt;=BP$2),1,0)</f>
        <v>0</v>
      </c>
      <c r="BQ94" s="276" cm="1">
        <f t="array" ref="BQ94">IF(AND(BQ$2&lt;&gt;0,TblTech[[#This Row],[Hour]:[Hour]]&gt;=BQ$2),1,0)</f>
        <v>0</v>
      </c>
      <c r="BR94" s="276" cm="1">
        <f t="array" ref="BR94">IF(AND(BR$2&lt;&gt;0,TblTech[[#This Row],[Hour]:[Hour]]&gt;=BR$2),1,0)</f>
        <v>0</v>
      </c>
      <c r="BS94" s="276" cm="1">
        <f t="array" ref="BS94">IF(AND(BS$2&lt;&gt;0,TblTech[[#This Row],[Hour]:[Hour]]&gt;=BS$2),1,0)</f>
        <v>0</v>
      </c>
      <c r="BT94" s="276" cm="1">
        <f t="array" ref="BT94">IF(AND(BT$2&lt;&gt;0,TblTech[[#This Row],[Hour]:[Hour]]&gt;=BT$2),1,0)</f>
        <v>0</v>
      </c>
      <c r="BU94" s="276" cm="1">
        <f t="array" ref="BU94">IF(AND(BU$2&lt;&gt;0,TblTech[[#This Row],[Hour]:[Hour]]&gt;=BU$2),1,0)</f>
        <v>0</v>
      </c>
      <c r="BV94" s="276" cm="1">
        <f t="array" ref="BV94">IF(AND(BV$2&lt;&gt;0,TblTech[[#This Row],[Hour]:[Hour]]&gt;=BV$2),1,0)</f>
        <v>0</v>
      </c>
      <c r="BW94" s="276" cm="1">
        <f t="array" ref="BW94">IF(AND(BW$2&lt;&gt;0,TblTech[[#This Row],[Hour]:[Hour]]&gt;=BW$2),1,0)</f>
        <v>0</v>
      </c>
      <c r="BX94" s="276" cm="1">
        <f t="array" ref="BX94">IF(AND(BX$2&lt;&gt;0,TblTech[[#This Row],[Hour]:[Hour]]&gt;=BX$2),1,0)</f>
        <v>0</v>
      </c>
      <c r="BY94" s="276" cm="1">
        <f t="array" ref="BY94">IF(AND(BY$2&lt;&gt;0,TblTech[[#This Row],[Hour]:[Hour]]&gt;=BY$2),1,0)</f>
        <v>0</v>
      </c>
      <c r="BZ94" s="276" cm="1">
        <f t="array" ref="BZ94">IF(AND(BZ$2&lt;&gt;0,TblTech[[#This Row],[Hour]:[Hour]]&gt;=BZ$2),1,0)</f>
        <v>0</v>
      </c>
      <c r="CA94" s="377">
        <f>IFERROR(INDEX($H$4:$H$79,MATCH(INDEX(TblTech[[#Headers],[1-1]:[11-1]],1,MATCH(TblTech[[#This Row],[Hour]],$M$2:$BZ$2,0)),$G$4:$G$79,0)),)</f>
        <v>0</v>
      </c>
    </row>
    <row r="95" spans="1:79" x14ac:dyDescent="0.2">
      <c r="A95" s="268">
        <f>TblRezone[[#This Row],[Hour]]</f>
        <v>92</v>
      </c>
      <c r="B95" s="269">
        <f ca="1">TblExplore[[#This Row],[Land-DB]]</f>
        <v>50</v>
      </c>
      <c r="C95" s="270">
        <f ca="1">TblProd[[#This Row],[Techpoints]]</f>
        <v>0</v>
      </c>
      <c r="D95" s="270">
        <f ca="1">TblProd[[#This Row],[Required]]</f>
        <v>3750</v>
      </c>
      <c r="E95" s="279"/>
      <c r="F95" s="280"/>
      <c r="G95" s="273"/>
      <c r="H95" s="274"/>
      <c r="I95" s="274"/>
      <c r="J95" s="274"/>
      <c r="K95" s="93">
        <f ca="1">IF(TblTech[[#This Row],[Sum of tech]]&lt;&gt;OFFSET(TblTech[[#This Row],[Sum of tech]],-1,0),1,0)</f>
        <v>0</v>
      </c>
      <c r="L95" s="275">
        <f>COUNTIF(TblTech[[#This Row],[1-1]:[11-1]],1)</f>
        <v>0</v>
      </c>
      <c r="M95" s="276" cm="1">
        <f t="array" ref="M95">IF(AND(M$2&lt;&gt;0,TblTech[[#This Row],[Hour]:[Hour]]&gt;=M$2),1,0)</f>
        <v>0</v>
      </c>
      <c r="N95" s="276" cm="1">
        <f t="array" ref="N95">IF(AND(N$2&lt;&gt;0,TblTech[[#This Row],[Hour]:[Hour]]&gt;=N$2),1,0)</f>
        <v>0</v>
      </c>
      <c r="O95" s="276" cm="1">
        <f t="array" ref="O95">IF(AND(O$2&lt;&gt;0,TblTech[[#This Row],[Hour]:[Hour]]&gt;=O$2),1,0)</f>
        <v>0</v>
      </c>
      <c r="P95" s="276" cm="1">
        <f t="array" ref="P95">IF(AND(P$2&lt;&gt;0,TblTech[[#This Row],[Hour]:[Hour]]&gt;=P$2),1,0)</f>
        <v>0</v>
      </c>
      <c r="Q95" s="276" cm="1">
        <f t="array" ref="Q95">IF(AND(Q$2&lt;&gt;0,TblTech[[#This Row],[Hour]:[Hour]]&gt;=Q$2),1,0)</f>
        <v>0</v>
      </c>
      <c r="R95" s="276" cm="1">
        <f t="array" ref="R95">IF(AND(R$2&lt;&gt;0,TblTech[[#This Row],[Hour]:[Hour]]&gt;=R$2),1,0)</f>
        <v>0</v>
      </c>
      <c r="S95" s="276" cm="1">
        <f t="array" ref="S95">IF(AND(S$2&lt;&gt;0,TblTech[[#This Row],[Hour]:[Hour]]&gt;=S$2),1,0)</f>
        <v>0</v>
      </c>
      <c r="T95" s="276" cm="1">
        <f t="array" ref="T95">IF(AND(T$2&lt;&gt;0,TblTech[[#This Row],[Hour]:[Hour]]&gt;=T$2),1,0)</f>
        <v>0</v>
      </c>
      <c r="U95" s="276" cm="1">
        <f t="array" ref="U95">IF(AND(U$2&lt;&gt;0,TblTech[[#This Row],[Hour]:[Hour]]&gt;=U$2),1,0)</f>
        <v>0</v>
      </c>
      <c r="V95" s="276" cm="1">
        <f t="array" ref="V95">IF(AND(V$2&lt;&gt;0,TblTech[[#This Row],[Hour]:[Hour]]&gt;=V$2),1,0)</f>
        <v>0</v>
      </c>
      <c r="W95" s="276" cm="1">
        <f t="array" ref="W95">IF(AND(W$2&lt;&gt;0,TblTech[[#This Row],[Hour]:[Hour]]&gt;=W$2),1,0)</f>
        <v>0</v>
      </c>
      <c r="X95" s="276" cm="1">
        <f t="array" ref="X95">IF(AND(X$2&lt;&gt;0,TblTech[[#This Row],[Hour]:[Hour]]&gt;=X$2),1,0)</f>
        <v>0</v>
      </c>
      <c r="Y95" s="276" cm="1">
        <f t="array" ref="Y95">IF(AND(Y$2&lt;&gt;0,TblTech[[#This Row],[Hour]:[Hour]]&gt;=Y$2),1,0)</f>
        <v>0</v>
      </c>
      <c r="Z95" s="276" cm="1">
        <f t="array" ref="Z95">IF(AND(Z$2&lt;&gt;0,TblTech[[#This Row],[Hour]:[Hour]]&gt;=Z$2),1,0)</f>
        <v>0</v>
      </c>
      <c r="AA95" s="276" cm="1">
        <f t="array" ref="AA95">IF(AND(AA$2&lt;&gt;0,TblTech[[#This Row],[Hour]:[Hour]]&gt;=AA$2),1,0)</f>
        <v>0</v>
      </c>
      <c r="AB95" s="276" cm="1">
        <f t="array" ref="AB95">IF(AND(AB$2&lt;&gt;0,TblTech[[#This Row],[Hour]:[Hour]]&gt;=AB$2),1,0)</f>
        <v>0</v>
      </c>
      <c r="AC95" s="276" cm="1">
        <f t="array" ref="AC95">IF(AND(AC$2&lt;&gt;0,TblTech[[#This Row],[Hour]:[Hour]]&gt;=AC$2),1,0)</f>
        <v>0</v>
      </c>
      <c r="AD95" s="276" cm="1">
        <f t="array" ref="AD95">IF(AND(AD$2&lt;&gt;0,TblTech[[#This Row],[Hour]:[Hour]]&gt;=AD$2),1,0)</f>
        <v>0</v>
      </c>
      <c r="AE95" s="276" cm="1">
        <f t="array" ref="AE95">IF(AND(AE$2&lt;&gt;0,TblTech[[#This Row],[Hour]:[Hour]]&gt;=AE$2),1,0)</f>
        <v>0</v>
      </c>
      <c r="AF95" s="276" cm="1">
        <f t="array" ref="AF95">IF(AND(AF$2&lt;&gt;0,TblTech[[#This Row],[Hour]:[Hour]]&gt;=AF$2),1,0)</f>
        <v>0</v>
      </c>
      <c r="AG95" s="276" cm="1">
        <f t="array" ref="AG95">IF(AND(AG$2&lt;&gt;0,TblTech[[#This Row],[Hour]:[Hour]]&gt;=AG$2),1,0)</f>
        <v>0</v>
      </c>
      <c r="AH95" s="276" cm="1">
        <f t="array" ref="AH95">IF(AND(AH$2&lt;&gt;0,TblTech[[#This Row],[Hour]:[Hour]]&gt;=AH$2),1,0)</f>
        <v>0</v>
      </c>
      <c r="AI95" s="276" cm="1">
        <f t="array" ref="AI95">IF(AND(AI$2&lt;&gt;0,TblTech[[#This Row],[Hour]:[Hour]]&gt;=AI$2),1,0)</f>
        <v>0</v>
      </c>
      <c r="AJ95" s="276" cm="1">
        <f t="array" ref="AJ95">IF(AND(AJ$2&lt;&gt;0,TblTech[[#This Row],[Hour]:[Hour]]&gt;=AJ$2),1,0)</f>
        <v>0</v>
      </c>
      <c r="AK95" s="276" cm="1">
        <f t="array" ref="AK95">IF(AND(AK$2&lt;&gt;0,TblTech[[#This Row],[Hour]:[Hour]]&gt;=AK$2),1,0)</f>
        <v>0</v>
      </c>
      <c r="AL95" s="276" cm="1">
        <f t="array" ref="AL95">IF(AND(AL$2&lt;&gt;0,TblTech[[#This Row],[Hour]:[Hour]]&gt;=AL$2),1,0)</f>
        <v>0</v>
      </c>
      <c r="AM95" s="276" cm="1">
        <f t="array" ref="AM95">IF(AND(AM$2&lt;&gt;0,TblTech[[#This Row],[Hour]:[Hour]]&gt;=AM$2),1,0)</f>
        <v>0</v>
      </c>
      <c r="AN95" s="276" cm="1">
        <f t="array" ref="AN95">IF(AND(AN$2&lt;&gt;0,TblTech[[#This Row],[Hour]:[Hour]]&gt;=AN$2),1,0)</f>
        <v>0</v>
      </c>
      <c r="AO95" s="276" cm="1">
        <f t="array" ref="AO95">IF(AND(AO$2&lt;&gt;0,TblTech[[#This Row],[Hour]:[Hour]]&gt;=AO$2),1,0)</f>
        <v>0</v>
      </c>
      <c r="AP95" s="276" cm="1">
        <f t="array" ref="AP95">IF(AND(AP$2&lt;&gt;0,TblTech[[#This Row],[Hour]:[Hour]]&gt;=AP$2),1,0)</f>
        <v>0</v>
      </c>
      <c r="AQ95" s="276" cm="1">
        <f t="array" ref="AQ95">IF(AND(AQ$2&lt;&gt;0,TblTech[[#This Row],[Hour]:[Hour]]&gt;=AQ$2),1,0)</f>
        <v>0</v>
      </c>
      <c r="AR95" s="276" cm="1">
        <f t="array" ref="AR95">IF(AND(AR$2&lt;&gt;0,TblTech[[#This Row],[Hour]:[Hour]]&gt;=AR$2),1,0)</f>
        <v>0</v>
      </c>
      <c r="AS95" s="276" cm="1">
        <f t="array" ref="AS95">IF(AND(AS$2&lt;&gt;0,TblTech[[#This Row],[Hour]:[Hour]]&gt;=AS$2),1,0)</f>
        <v>0</v>
      </c>
      <c r="AT95" s="276" cm="1">
        <f t="array" ref="AT95">IF(AND(AT$2&lt;&gt;0,TblTech[[#This Row],[Hour]:[Hour]]&gt;=AT$2),1,0)</f>
        <v>0</v>
      </c>
      <c r="AU95" s="276" cm="1">
        <f t="array" ref="AU95">IF(AND(AU$2&lt;&gt;0,TblTech[[#This Row],[Hour]:[Hour]]&gt;=AU$2),1,0)</f>
        <v>0</v>
      </c>
      <c r="AV95" s="276" cm="1">
        <f t="array" ref="AV95">IF(AND(AV$2&lt;&gt;0,TblTech[[#This Row],[Hour]:[Hour]]&gt;=AV$2),1,0)</f>
        <v>0</v>
      </c>
      <c r="AW95" s="276" cm="1">
        <f t="array" ref="AW95">IF(AND(AW$2&lt;&gt;0,TblTech[[#This Row],[Hour]:[Hour]]&gt;=AW$2),1,0)</f>
        <v>0</v>
      </c>
      <c r="AX95" s="276" cm="1">
        <f t="array" ref="AX95">IF(AND(AX$2&lt;&gt;0,TblTech[[#This Row],[Hour]:[Hour]]&gt;=AX$2),1,0)</f>
        <v>0</v>
      </c>
      <c r="AY95" s="276" cm="1">
        <f t="array" ref="AY95">IF(AND(AY$2&lt;&gt;0,TblTech[[#This Row],[Hour]:[Hour]]&gt;=AY$2),1,0)</f>
        <v>0</v>
      </c>
      <c r="AZ95" s="276" cm="1">
        <f t="array" ref="AZ95">IF(AND(AZ$2&lt;&gt;0,TblTech[[#This Row],[Hour]:[Hour]]&gt;=AZ$2),1,0)</f>
        <v>0</v>
      </c>
      <c r="BA95" s="276" cm="1">
        <f t="array" ref="BA95">IF(AND(BA$2&lt;&gt;0,TblTech[[#This Row],[Hour]:[Hour]]&gt;=BA$2),1,0)</f>
        <v>0</v>
      </c>
      <c r="BB95" s="276" cm="1">
        <f t="array" ref="BB95">IF(AND(BB$2&lt;&gt;0,TblTech[[#This Row],[Hour]:[Hour]]&gt;=BB$2),1,0)</f>
        <v>0</v>
      </c>
      <c r="BC95" s="276" cm="1">
        <f t="array" ref="BC95">IF(AND(BC$2&lt;&gt;0,TblTech[[#This Row],[Hour]:[Hour]]&gt;=BC$2),1,0)</f>
        <v>0</v>
      </c>
      <c r="BD95" s="276" cm="1">
        <f t="array" ref="BD95">IF(AND(BD$2&lt;&gt;0,TblTech[[#This Row],[Hour]:[Hour]]&gt;=BD$2),1,0)</f>
        <v>0</v>
      </c>
      <c r="BE95" s="276" cm="1">
        <f t="array" ref="BE95">IF(AND(BE$2&lt;&gt;0,TblTech[[#This Row],[Hour]:[Hour]]&gt;=BE$2),1,0)</f>
        <v>0</v>
      </c>
      <c r="BF95" s="276" cm="1">
        <f t="array" ref="BF95">IF(AND(BF$2&lt;&gt;0,TblTech[[#This Row],[Hour]:[Hour]]&gt;=BF$2),1,0)</f>
        <v>0</v>
      </c>
      <c r="BG95" s="276" cm="1">
        <f t="array" ref="BG95">IF(AND(BG$2&lt;&gt;0,TblTech[[#This Row],[Hour]:[Hour]]&gt;=BG$2),1,0)</f>
        <v>0</v>
      </c>
      <c r="BH95" s="276" cm="1">
        <f t="array" ref="BH95">IF(AND(BH$2&lt;&gt;0,TblTech[[#This Row],[Hour]:[Hour]]&gt;=BH$2),1,0)</f>
        <v>0</v>
      </c>
      <c r="BI95" s="276" cm="1">
        <f t="array" ref="BI95">IF(AND(BI$2&lt;&gt;0,TblTech[[#This Row],[Hour]:[Hour]]&gt;=BI$2),1,0)</f>
        <v>0</v>
      </c>
      <c r="BJ95" s="276" cm="1">
        <f t="array" ref="BJ95">IF(AND(BJ$2&lt;&gt;0,TblTech[[#This Row],[Hour]:[Hour]]&gt;=BJ$2),1,0)</f>
        <v>0</v>
      </c>
      <c r="BK95" s="276" cm="1">
        <f t="array" ref="BK95">IF(AND(BK$2&lt;&gt;0,TblTech[[#This Row],[Hour]:[Hour]]&gt;=BK$2),1,0)</f>
        <v>0</v>
      </c>
      <c r="BL95" s="276" cm="1">
        <f t="array" ref="BL95">IF(AND(BL$2&lt;&gt;0,TblTech[[#This Row],[Hour]:[Hour]]&gt;=BL$2),1,0)</f>
        <v>0</v>
      </c>
      <c r="BM95" s="276" cm="1">
        <f t="array" ref="BM95">IF(AND(BM$2&lt;&gt;0,TblTech[[#This Row],[Hour]:[Hour]]&gt;=BM$2),1,0)</f>
        <v>0</v>
      </c>
      <c r="BN95" s="276" cm="1">
        <f t="array" ref="BN95">IF(AND(BN$2&lt;&gt;0,TblTech[[#This Row],[Hour]:[Hour]]&gt;=BN$2),1,0)</f>
        <v>0</v>
      </c>
      <c r="BO95" s="276" cm="1">
        <f t="array" ref="BO95">IF(AND(BO$2&lt;&gt;0,TblTech[[#This Row],[Hour]:[Hour]]&gt;=BO$2),1,0)</f>
        <v>0</v>
      </c>
      <c r="BP95" s="276" cm="1">
        <f t="array" ref="BP95">IF(AND(BP$2&lt;&gt;0,TblTech[[#This Row],[Hour]:[Hour]]&gt;=BP$2),1,0)</f>
        <v>0</v>
      </c>
      <c r="BQ95" s="276" cm="1">
        <f t="array" ref="BQ95">IF(AND(BQ$2&lt;&gt;0,TblTech[[#This Row],[Hour]:[Hour]]&gt;=BQ$2),1,0)</f>
        <v>0</v>
      </c>
      <c r="BR95" s="276" cm="1">
        <f t="array" ref="BR95">IF(AND(BR$2&lt;&gt;0,TblTech[[#This Row],[Hour]:[Hour]]&gt;=BR$2),1,0)</f>
        <v>0</v>
      </c>
      <c r="BS95" s="276" cm="1">
        <f t="array" ref="BS95">IF(AND(BS$2&lt;&gt;0,TblTech[[#This Row],[Hour]:[Hour]]&gt;=BS$2),1,0)</f>
        <v>0</v>
      </c>
      <c r="BT95" s="276" cm="1">
        <f t="array" ref="BT95">IF(AND(BT$2&lt;&gt;0,TblTech[[#This Row],[Hour]:[Hour]]&gt;=BT$2),1,0)</f>
        <v>0</v>
      </c>
      <c r="BU95" s="276" cm="1">
        <f t="array" ref="BU95">IF(AND(BU$2&lt;&gt;0,TblTech[[#This Row],[Hour]:[Hour]]&gt;=BU$2),1,0)</f>
        <v>0</v>
      </c>
      <c r="BV95" s="276" cm="1">
        <f t="array" ref="BV95">IF(AND(BV$2&lt;&gt;0,TblTech[[#This Row],[Hour]:[Hour]]&gt;=BV$2),1,0)</f>
        <v>0</v>
      </c>
      <c r="BW95" s="276" cm="1">
        <f t="array" ref="BW95">IF(AND(BW$2&lt;&gt;0,TblTech[[#This Row],[Hour]:[Hour]]&gt;=BW$2),1,0)</f>
        <v>0</v>
      </c>
      <c r="BX95" s="276" cm="1">
        <f t="array" ref="BX95">IF(AND(BX$2&lt;&gt;0,TblTech[[#This Row],[Hour]:[Hour]]&gt;=BX$2),1,0)</f>
        <v>0</v>
      </c>
      <c r="BY95" s="276" cm="1">
        <f t="array" ref="BY95">IF(AND(BY$2&lt;&gt;0,TblTech[[#This Row],[Hour]:[Hour]]&gt;=BY$2),1,0)</f>
        <v>0</v>
      </c>
      <c r="BZ95" s="276" cm="1">
        <f t="array" ref="BZ95">IF(AND(BZ$2&lt;&gt;0,TblTech[[#This Row],[Hour]:[Hour]]&gt;=BZ$2),1,0)</f>
        <v>0</v>
      </c>
      <c r="CA95" s="377">
        <f>IFERROR(INDEX($H$4:$H$79,MATCH(INDEX(TblTech[[#Headers],[1-1]:[11-1]],1,MATCH(TblTech[[#This Row],[Hour]],$M$2:$BZ$2,0)),$G$4:$G$79,0)),)</f>
        <v>0</v>
      </c>
    </row>
    <row r="96" spans="1:79" x14ac:dyDescent="0.2">
      <c r="A96" s="268">
        <f>TblRezone[[#This Row],[Hour]]</f>
        <v>93</v>
      </c>
      <c r="B96" s="269">
        <f ca="1">TblExplore[[#This Row],[Land-DB]]</f>
        <v>50</v>
      </c>
      <c r="C96" s="270">
        <f ca="1">TblProd[[#This Row],[Techpoints]]</f>
        <v>0</v>
      </c>
      <c r="D96" s="270">
        <f ca="1">TblProd[[#This Row],[Required]]</f>
        <v>3750</v>
      </c>
      <c r="E96" s="279"/>
      <c r="F96" s="280"/>
      <c r="G96" s="273"/>
      <c r="H96" s="274"/>
      <c r="I96" s="274"/>
      <c r="J96" s="274"/>
      <c r="K96" s="93">
        <f ca="1">IF(TblTech[[#This Row],[Sum of tech]]&lt;&gt;OFFSET(TblTech[[#This Row],[Sum of tech]],-1,0),1,0)</f>
        <v>0</v>
      </c>
      <c r="L96" s="275">
        <f>COUNTIF(TblTech[[#This Row],[1-1]:[11-1]],1)</f>
        <v>0</v>
      </c>
      <c r="M96" s="276" cm="1">
        <f t="array" ref="M96">IF(AND(M$2&lt;&gt;0,TblTech[[#This Row],[Hour]:[Hour]]&gt;=M$2),1,0)</f>
        <v>0</v>
      </c>
      <c r="N96" s="276" cm="1">
        <f t="array" ref="N96">IF(AND(N$2&lt;&gt;0,TblTech[[#This Row],[Hour]:[Hour]]&gt;=N$2),1,0)</f>
        <v>0</v>
      </c>
      <c r="O96" s="276" cm="1">
        <f t="array" ref="O96">IF(AND(O$2&lt;&gt;0,TblTech[[#This Row],[Hour]:[Hour]]&gt;=O$2),1,0)</f>
        <v>0</v>
      </c>
      <c r="P96" s="276" cm="1">
        <f t="array" ref="P96">IF(AND(P$2&lt;&gt;0,TblTech[[#This Row],[Hour]:[Hour]]&gt;=P$2),1,0)</f>
        <v>0</v>
      </c>
      <c r="Q96" s="276" cm="1">
        <f t="array" ref="Q96">IF(AND(Q$2&lt;&gt;0,TblTech[[#This Row],[Hour]:[Hour]]&gt;=Q$2),1,0)</f>
        <v>0</v>
      </c>
      <c r="R96" s="276" cm="1">
        <f t="array" ref="R96">IF(AND(R$2&lt;&gt;0,TblTech[[#This Row],[Hour]:[Hour]]&gt;=R$2),1,0)</f>
        <v>0</v>
      </c>
      <c r="S96" s="276" cm="1">
        <f t="array" ref="S96">IF(AND(S$2&lt;&gt;0,TblTech[[#This Row],[Hour]:[Hour]]&gt;=S$2),1,0)</f>
        <v>0</v>
      </c>
      <c r="T96" s="276" cm="1">
        <f t="array" ref="T96">IF(AND(T$2&lt;&gt;0,TblTech[[#This Row],[Hour]:[Hour]]&gt;=T$2),1,0)</f>
        <v>0</v>
      </c>
      <c r="U96" s="276" cm="1">
        <f t="array" ref="U96">IF(AND(U$2&lt;&gt;0,TblTech[[#This Row],[Hour]:[Hour]]&gt;=U$2),1,0)</f>
        <v>0</v>
      </c>
      <c r="V96" s="276" cm="1">
        <f t="array" ref="V96">IF(AND(V$2&lt;&gt;0,TblTech[[#This Row],[Hour]:[Hour]]&gt;=V$2),1,0)</f>
        <v>0</v>
      </c>
      <c r="W96" s="276" cm="1">
        <f t="array" ref="W96">IF(AND(W$2&lt;&gt;0,TblTech[[#This Row],[Hour]:[Hour]]&gt;=W$2),1,0)</f>
        <v>0</v>
      </c>
      <c r="X96" s="276" cm="1">
        <f t="array" ref="X96">IF(AND(X$2&lt;&gt;0,TblTech[[#This Row],[Hour]:[Hour]]&gt;=X$2),1,0)</f>
        <v>0</v>
      </c>
      <c r="Y96" s="276" cm="1">
        <f t="array" ref="Y96">IF(AND(Y$2&lt;&gt;0,TblTech[[#This Row],[Hour]:[Hour]]&gt;=Y$2),1,0)</f>
        <v>0</v>
      </c>
      <c r="Z96" s="276" cm="1">
        <f t="array" ref="Z96">IF(AND(Z$2&lt;&gt;0,TblTech[[#This Row],[Hour]:[Hour]]&gt;=Z$2),1,0)</f>
        <v>0</v>
      </c>
      <c r="AA96" s="276" cm="1">
        <f t="array" ref="AA96">IF(AND(AA$2&lt;&gt;0,TblTech[[#This Row],[Hour]:[Hour]]&gt;=AA$2),1,0)</f>
        <v>0</v>
      </c>
      <c r="AB96" s="276" cm="1">
        <f t="array" ref="AB96">IF(AND(AB$2&lt;&gt;0,TblTech[[#This Row],[Hour]:[Hour]]&gt;=AB$2),1,0)</f>
        <v>0</v>
      </c>
      <c r="AC96" s="276" cm="1">
        <f t="array" ref="AC96">IF(AND(AC$2&lt;&gt;0,TblTech[[#This Row],[Hour]:[Hour]]&gt;=AC$2),1,0)</f>
        <v>0</v>
      </c>
      <c r="AD96" s="276" cm="1">
        <f t="array" ref="AD96">IF(AND(AD$2&lt;&gt;0,TblTech[[#This Row],[Hour]:[Hour]]&gt;=AD$2),1,0)</f>
        <v>0</v>
      </c>
      <c r="AE96" s="276" cm="1">
        <f t="array" ref="AE96">IF(AND(AE$2&lt;&gt;0,TblTech[[#This Row],[Hour]:[Hour]]&gt;=AE$2),1,0)</f>
        <v>0</v>
      </c>
      <c r="AF96" s="276" cm="1">
        <f t="array" ref="AF96">IF(AND(AF$2&lt;&gt;0,TblTech[[#This Row],[Hour]:[Hour]]&gt;=AF$2),1,0)</f>
        <v>0</v>
      </c>
      <c r="AG96" s="276" cm="1">
        <f t="array" ref="AG96">IF(AND(AG$2&lt;&gt;0,TblTech[[#This Row],[Hour]:[Hour]]&gt;=AG$2),1,0)</f>
        <v>0</v>
      </c>
      <c r="AH96" s="276" cm="1">
        <f t="array" ref="AH96">IF(AND(AH$2&lt;&gt;0,TblTech[[#This Row],[Hour]:[Hour]]&gt;=AH$2),1,0)</f>
        <v>0</v>
      </c>
      <c r="AI96" s="276" cm="1">
        <f t="array" ref="AI96">IF(AND(AI$2&lt;&gt;0,TblTech[[#This Row],[Hour]:[Hour]]&gt;=AI$2),1,0)</f>
        <v>0</v>
      </c>
      <c r="AJ96" s="276" cm="1">
        <f t="array" ref="AJ96">IF(AND(AJ$2&lt;&gt;0,TblTech[[#This Row],[Hour]:[Hour]]&gt;=AJ$2),1,0)</f>
        <v>0</v>
      </c>
      <c r="AK96" s="276" cm="1">
        <f t="array" ref="AK96">IF(AND(AK$2&lt;&gt;0,TblTech[[#This Row],[Hour]:[Hour]]&gt;=AK$2),1,0)</f>
        <v>0</v>
      </c>
      <c r="AL96" s="276" cm="1">
        <f t="array" ref="AL96">IF(AND(AL$2&lt;&gt;0,TblTech[[#This Row],[Hour]:[Hour]]&gt;=AL$2),1,0)</f>
        <v>0</v>
      </c>
      <c r="AM96" s="276" cm="1">
        <f t="array" ref="AM96">IF(AND(AM$2&lt;&gt;0,TblTech[[#This Row],[Hour]:[Hour]]&gt;=AM$2),1,0)</f>
        <v>0</v>
      </c>
      <c r="AN96" s="276" cm="1">
        <f t="array" ref="AN96">IF(AND(AN$2&lt;&gt;0,TblTech[[#This Row],[Hour]:[Hour]]&gt;=AN$2),1,0)</f>
        <v>0</v>
      </c>
      <c r="AO96" s="276" cm="1">
        <f t="array" ref="AO96">IF(AND(AO$2&lt;&gt;0,TblTech[[#This Row],[Hour]:[Hour]]&gt;=AO$2),1,0)</f>
        <v>0</v>
      </c>
      <c r="AP96" s="276" cm="1">
        <f t="array" ref="AP96">IF(AND(AP$2&lt;&gt;0,TblTech[[#This Row],[Hour]:[Hour]]&gt;=AP$2),1,0)</f>
        <v>0</v>
      </c>
      <c r="AQ96" s="276" cm="1">
        <f t="array" ref="AQ96">IF(AND(AQ$2&lt;&gt;0,TblTech[[#This Row],[Hour]:[Hour]]&gt;=AQ$2),1,0)</f>
        <v>0</v>
      </c>
      <c r="AR96" s="276" cm="1">
        <f t="array" ref="AR96">IF(AND(AR$2&lt;&gt;0,TblTech[[#This Row],[Hour]:[Hour]]&gt;=AR$2),1,0)</f>
        <v>0</v>
      </c>
      <c r="AS96" s="276" cm="1">
        <f t="array" ref="AS96">IF(AND(AS$2&lt;&gt;0,TblTech[[#This Row],[Hour]:[Hour]]&gt;=AS$2),1,0)</f>
        <v>0</v>
      </c>
      <c r="AT96" s="276" cm="1">
        <f t="array" ref="AT96">IF(AND(AT$2&lt;&gt;0,TblTech[[#This Row],[Hour]:[Hour]]&gt;=AT$2),1,0)</f>
        <v>0</v>
      </c>
      <c r="AU96" s="276" cm="1">
        <f t="array" ref="AU96">IF(AND(AU$2&lt;&gt;0,TblTech[[#This Row],[Hour]:[Hour]]&gt;=AU$2),1,0)</f>
        <v>0</v>
      </c>
      <c r="AV96" s="276" cm="1">
        <f t="array" ref="AV96">IF(AND(AV$2&lt;&gt;0,TblTech[[#This Row],[Hour]:[Hour]]&gt;=AV$2),1,0)</f>
        <v>0</v>
      </c>
      <c r="AW96" s="276" cm="1">
        <f t="array" ref="AW96">IF(AND(AW$2&lt;&gt;0,TblTech[[#This Row],[Hour]:[Hour]]&gt;=AW$2),1,0)</f>
        <v>0</v>
      </c>
      <c r="AX96" s="276" cm="1">
        <f t="array" ref="AX96">IF(AND(AX$2&lt;&gt;0,TblTech[[#This Row],[Hour]:[Hour]]&gt;=AX$2),1,0)</f>
        <v>0</v>
      </c>
      <c r="AY96" s="276" cm="1">
        <f t="array" ref="AY96">IF(AND(AY$2&lt;&gt;0,TblTech[[#This Row],[Hour]:[Hour]]&gt;=AY$2),1,0)</f>
        <v>0</v>
      </c>
      <c r="AZ96" s="276" cm="1">
        <f t="array" ref="AZ96">IF(AND(AZ$2&lt;&gt;0,TblTech[[#This Row],[Hour]:[Hour]]&gt;=AZ$2),1,0)</f>
        <v>0</v>
      </c>
      <c r="BA96" s="276" cm="1">
        <f t="array" ref="BA96">IF(AND(BA$2&lt;&gt;0,TblTech[[#This Row],[Hour]:[Hour]]&gt;=BA$2),1,0)</f>
        <v>0</v>
      </c>
      <c r="BB96" s="276" cm="1">
        <f t="array" ref="BB96">IF(AND(BB$2&lt;&gt;0,TblTech[[#This Row],[Hour]:[Hour]]&gt;=BB$2),1,0)</f>
        <v>0</v>
      </c>
      <c r="BC96" s="276" cm="1">
        <f t="array" ref="BC96">IF(AND(BC$2&lt;&gt;0,TblTech[[#This Row],[Hour]:[Hour]]&gt;=BC$2),1,0)</f>
        <v>0</v>
      </c>
      <c r="BD96" s="276" cm="1">
        <f t="array" ref="BD96">IF(AND(BD$2&lt;&gt;0,TblTech[[#This Row],[Hour]:[Hour]]&gt;=BD$2),1,0)</f>
        <v>0</v>
      </c>
      <c r="BE96" s="276" cm="1">
        <f t="array" ref="BE96">IF(AND(BE$2&lt;&gt;0,TblTech[[#This Row],[Hour]:[Hour]]&gt;=BE$2),1,0)</f>
        <v>0</v>
      </c>
      <c r="BF96" s="276" cm="1">
        <f t="array" ref="BF96">IF(AND(BF$2&lt;&gt;0,TblTech[[#This Row],[Hour]:[Hour]]&gt;=BF$2),1,0)</f>
        <v>0</v>
      </c>
      <c r="BG96" s="276" cm="1">
        <f t="array" ref="BG96">IF(AND(BG$2&lt;&gt;0,TblTech[[#This Row],[Hour]:[Hour]]&gt;=BG$2),1,0)</f>
        <v>0</v>
      </c>
      <c r="BH96" s="276" cm="1">
        <f t="array" ref="BH96">IF(AND(BH$2&lt;&gt;0,TblTech[[#This Row],[Hour]:[Hour]]&gt;=BH$2),1,0)</f>
        <v>0</v>
      </c>
      <c r="BI96" s="276" cm="1">
        <f t="array" ref="BI96">IF(AND(BI$2&lt;&gt;0,TblTech[[#This Row],[Hour]:[Hour]]&gt;=BI$2),1,0)</f>
        <v>0</v>
      </c>
      <c r="BJ96" s="276" cm="1">
        <f t="array" ref="BJ96">IF(AND(BJ$2&lt;&gt;0,TblTech[[#This Row],[Hour]:[Hour]]&gt;=BJ$2),1,0)</f>
        <v>0</v>
      </c>
      <c r="BK96" s="276" cm="1">
        <f t="array" ref="BK96">IF(AND(BK$2&lt;&gt;0,TblTech[[#This Row],[Hour]:[Hour]]&gt;=BK$2),1,0)</f>
        <v>0</v>
      </c>
      <c r="BL96" s="276" cm="1">
        <f t="array" ref="BL96">IF(AND(BL$2&lt;&gt;0,TblTech[[#This Row],[Hour]:[Hour]]&gt;=BL$2),1,0)</f>
        <v>0</v>
      </c>
      <c r="BM96" s="276" cm="1">
        <f t="array" ref="BM96">IF(AND(BM$2&lt;&gt;0,TblTech[[#This Row],[Hour]:[Hour]]&gt;=BM$2),1,0)</f>
        <v>0</v>
      </c>
      <c r="BN96" s="276" cm="1">
        <f t="array" ref="BN96">IF(AND(BN$2&lt;&gt;0,TblTech[[#This Row],[Hour]:[Hour]]&gt;=BN$2),1,0)</f>
        <v>0</v>
      </c>
      <c r="BO96" s="276" cm="1">
        <f t="array" ref="BO96">IF(AND(BO$2&lt;&gt;0,TblTech[[#This Row],[Hour]:[Hour]]&gt;=BO$2),1,0)</f>
        <v>0</v>
      </c>
      <c r="BP96" s="276" cm="1">
        <f t="array" ref="BP96">IF(AND(BP$2&lt;&gt;0,TblTech[[#This Row],[Hour]:[Hour]]&gt;=BP$2),1,0)</f>
        <v>0</v>
      </c>
      <c r="BQ96" s="276" cm="1">
        <f t="array" ref="BQ96">IF(AND(BQ$2&lt;&gt;0,TblTech[[#This Row],[Hour]:[Hour]]&gt;=BQ$2),1,0)</f>
        <v>0</v>
      </c>
      <c r="BR96" s="276" cm="1">
        <f t="array" ref="BR96">IF(AND(BR$2&lt;&gt;0,TblTech[[#This Row],[Hour]:[Hour]]&gt;=BR$2),1,0)</f>
        <v>0</v>
      </c>
      <c r="BS96" s="276" cm="1">
        <f t="array" ref="BS96">IF(AND(BS$2&lt;&gt;0,TblTech[[#This Row],[Hour]:[Hour]]&gt;=BS$2),1,0)</f>
        <v>0</v>
      </c>
      <c r="BT96" s="276" cm="1">
        <f t="array" ref="BT96">IF(AND(BT$2&lt;&gt;0,TblTech[[#This Row],[Hour]:[Hour]]&gt;=BT$2),1,0)</f>
        <v>0</v>
      </c>
      <c r="BU96" s="276" cm="1">
        <f t="array" ref="BU96">IF(AND(BU$2&lt;&gt;0,TblTech[[#This Row],[Hour]:[Hour]]&gt;=BU$2),1,0)</f>
        <v>0</v>
      </c>
      <c r="BV96" s="276" cm="1">
        <f t="array" ref="BV96">IF(AND(BV$2&lt;&gt;0,TblTech[[#This Row],[Hour]:[Hour]]&gt;=BV$2),1,0)</f>
        <v>0</v>
      </c>
      <c r="BW96" s="276" cm="1">
        <f t="array" ref="BW96">IF(AND(BW$2&lt;&gt;0,TblTech[[#This Row],[Hour]:[Hour]]&gt;=BW$2),1,0)</f>
        <v>0</v>
      </c>
      <c r="BX96" s="276" cm="1">
        <f t="array" ref="BX96">IF(AND(BX$2&lt;&gt;0,TblTech[[#This Row],[Hour]:[Hour]]&gt;=BX$2),1,0)</f>
        <v>0</v>
      </c>
      <c r="BY96" s="276" cm="1">
        <f t="array" ref="BY96">IF(AND(BY$2&lt;&gt;0,TblTech[[#This Row],[Hour]:[Hour]]&gt;=BY$2),1,0)</f>
        <v>0</v>
      </c>
      <c r="BZ96" s="276" cm="1">
        <f t="array" ref="BZ96">IF(AND(BZ$2&lt;&gt;0,TblTech[[#This Row],[Hour]:[Hour]]&gt;=BZ$2),1,0)</f>
        <v>0</v>
      </c>
      <c r="CA96" s="377">
        <f>IFERROR(INDEX($H$4:$H$79,MATCH(INDEX(TblTech[[#Headers],[1-1]:[11-1]],1,MATCH(TblTech[[#This Row],[Hour]],$M$2:$BZ$2,0)),$G$4:$G$79,0)),)</f>
        <v>0</v>
      </c>
    </row>
    <row r="97" spans="1:79" x14ac:dyDescent="0.2">
      <c r="A97" s="268">
        <f>TblRezone[[#This Row],[Hour]]</f>
        <v>94</v>
      </c>
      <c r="B97" s="269">
        <f ca="1">TblExplore[[#This Row],[Land-DB]]</f>
        <v>50</v>
      </c>
      <c r="C97" s="270">
        <f ca="1">TblProd[[#This Row],[Techpoints]]</f>
        <v>0</v>
      </c>
      <c r="D97" s="270">
        <f ca="1">TblProd[[#This Row],[Required]]</f>
        <v>3750</v>
      </c>
      <c r="E97" s="279"/>
      <c r="F97" s="280"/>
      <c r="G97" s="273"/>
      <c r="H97" s="274"/>
      <c r="I97" s="274"/>
      <c r="J97" s="274"/>
      <c r="K97" s="93">
        <f ca="1">IF(TblTech[[#This Row],[Sum of tech]]&lt;&gt;OFFSET(TblTech[[#This Row],[Sum of tech]],-1,0),1,0)</f>
        <v>0</v>
      </c>
      <c r="L97" s="275">
        <f>COUNTIF(TblTech[[#This Row],[1-1]:[11-1]],1)</f>
        <v>0</v>
      </c>
      <c r="M97" s="276" cm="1">
        <f t="array" ref="M97">IF(AND(M$2&lt;&gt;0,TblTech[[#This Row],[Hour]:[Hour]]&gt;=M$2),1,0)</f>
        <v>0</v>
      </c>
      <c r="N97" s="276" cm="1">
        <f t="array" ref="N97">IF(AND(N$2&lt;&gt;0,TblTech[[#This Row],[Hour]:[Hour]]&gt;=N$2),1,0)</f>
        <v>0</v>
      </c>
      <c r="O97" s="276" cm="1">
        <f t="array" ref="O97">IF(AND(O$2&lt;&gt;0,TblTech[[#This Row],[Hour]:[Hour]]&gt;=O$2),1,0)</f>
        <v>0</v>
      </c>
      <c r="P97" s="276" cm="1">
        <f t="array" ref="P97">IF(AND(P$2&lt;&gt;0,TblTech[[#This Row],[Hour]:[Hour]]&gt;=P$2),1,0)</f>
        <v>0</v>
      </c>
      <c r="Q97" s="276" cm="1">
        <f t="array" ref="Q97">IF(AND(Q$2&lt;&gt;0,TblTech[[#This Row],[Hour]:[Hour]]&gt;=Q$2),1,0)</f>
        <v>0</v>
      </c>
      <c r="R97" s="276" cm="1">
        <f t="array" ref="R97">IF(AND(R$2&lt;&gt;0,TblTech[[#This Row],[Hour]:[Hour]]&gt;=R$2),1,0)</f>
        <v>0</v>
      </c>
      <c r="S97" s="276" cm="1">
        <f t="array" ref="S97">IF(AND(S$2&lt;&gt;0,TblTech[[#This Row],[Hour]:[Hour]]&gt;=S$2),1,0)</f>
        <v>0</v>
      </c>
      <c r="T97" s="276" cm="1">
        <f t="array" ref="T97">IF(AND(T$2&lt;&gt;0,TblTech[[#This Row],[Hour]:[Hour]]&gt;=T$2),1,0)</f>
        <v>0</v>
      </c>
      <c r="U97" s="276" cm="1">
        <f t="array" ref="U97">IF(AND(U$2&lt;&gt;0,TblTech[[#This Row],[Hour]:[Hour]]&gt;=U$2),1,0)</f>
        <v>0</v>
      </c>
      <c r="V97" s="276" cm="1">
        <f t="array" ref="V97">IF(AND(V$2&lt;&gt;0,TblTech[[#This Row],[Hour]:[Hour]]&gt;=V$2),1,0)</f>
        <v>0</v>
      </c>
      <c r="W97" s="276" cm="1">
        <f t="array" ref="W97">IF(AND(W$2&lt;&gt;0,TblTech[[#This Row],[Hour]:[Hour]]&gt;=W$2),1,0)</f>
        <v>0</v>
      </c>
      <c r="X97" s="276" cm="1">
        <f t="array" ref="X97">IF(AND(X$2&lt;&gt;0,TblTech[[#This Row],[Hour]:[Hour]]&gt;=X$2),1,0)</f>
        <v>0</v>
      </c>
      <c r="Y97" s="276" cm="1">
        <f t="array" ref="Y97">IF(AND(Y$2&lt;&gt;0,TblTech[[#This Row],[Hour]:[Hour]]&gt;=Y$2),1,0)</f>
        <v>0</v>
      </c>
      <c r="Z97" s="276" cm="1">
        <f t="array" ref="Z97">IF(AND(Z$2&lt;&gt;0,TblTech[[#This Row],[Hour]:[Hour]]&gt;=Z$2),1,0)</f>
        <v>0</v>
      </c>
      <c r="AA97" s="276" cm="1">
        <f t="array" ref="AA97">IF(AND(AA$2&lt;&gt;0,TblTech[[#This Row],[Hour]:[Hour]]&gt;=AA$2),1,0)</f>
        <v>0</v>
      </c>
      <c r="AB97" s="276" cm="1">
        <f t="array" ref="AB97">IF(AND(AB$2&lt;&gt;0,TblTech[[#This Row],[Hour]:[Hour]]&gt;=AB$2),1,0)</f>
        <v>0</v>
      </c>
      <c r="AC97" s="276" cm="1">
        <f t="array" ref="AC97">IF(AND(AC$2&lt;&gt;0,TblTech[[#This Row],[Hour]:[Hour]]&gt;=AC$2),1,0)</f>
        <v>0</v>
      </c>
      <c r="AD97" s="276" cm="1">
        <f t="array" ref="AD97">IF(AND(AD$2&lt;&gt;0,TblTech[[#This Row],[Hour]:[Hour]]&gt;=AD$2),1,0)</f>
        <v>0</v>
      </c>
      <c r="AE97" s="276" cm="1">
        <f t="array" ref="AE97">IF(AND(AE$2&lt;&gt;0,TblTech[[#This Row],[Hour]:[Hour]]&gt;=AE$2),1,0)</f>
        <v>0</v>
      </c>
      <c r="AF97" s="276" cm="1">
        <f t="array" ref="AF97">IF(AND(AF$2&lt;&gt;0,TblTech[[#This Row],[Hour]:[Hour]]&gt;=AF$2),1,0)</f>
        <v>0</v>
      </c>
      <c r="AG97" s="276" cm="1">
        <f t="array" ref="AG97">IF(AND(AG$2&lt;&gt;0,TblTech[[#This Row],[Hour]:[Hour]]&gt;=AG$2),1,0)</f>
        <v>0</v>
      </c>
      <c r="AH97" s="276" cm="1">
        <f t="array" ref="AH97">IF(AND(AH$2&lt;&gt;0,TblTech[[#This Row],[Hour]:[Hour]]&gt;=AH$2),1,0)</f>
        <v>0</v>
      </c>
      <c r="AI97" s="276" cm="1">
        <f t="array" ref="AI97">IF(AND(AI$2&lt;&gt;0,TblTech[[#This Row],[Hour]:[Hour]]&gt;=AI$2),1,0)</f>
        <v>0</v>
      </c>
      <c r="AJ97" s="276" cm="1">
        <f t="array" ref="AJ97">IF(AND(AJ$2&lt;&gt;0,TblTech[[#This Row],[Hour]:[Hour]]&gt;=AJ$2),1,0)</f>
        <v>0</v>
      </c>
      <c r="AK97" s="276" cm="1">
        <f t="array" ref="AK97">IF(AND(AK$2&lt;&gt;0,TblTech[[#This Row],[Hour]:[Hour]]&gt;=AK$2),1,0)</f>
        <v>0</v>
      </c>
      <c r="AL97" s="276" cm="1">
        <f t="array" ref="AL97">IF(AND(AL$2&lt;&gt;0,TblTech[[#This Row],[Hour]:[Hour]]&gt;=AL$2),1,0)</f>
        <v>0</v>
      </c>
      <c r="AM97" s="276" cm="1">
        <f t="array" ref="AM97">IF(AND(AM$2&lt;&gt;0,TblTech[[#This Row],[Hour]:[Hour]]&gt;=AM$2),1,0)</f>
        <v>0</v>
      </c>
      <c r="AN97" s="276" cm="1">
        <f t="array" ref="AN97">IF(AND(AN$2&lt;&gt;0,TblTech[[#This Row],[Hour]:[Hour]]&gt;=AN$2),1,0)</f>
        <v>0</v>
      </c>
      <c r="AO97" s="276" cm="1">
        <f t="array" ref="AO97">IF(AND(AO$2&lt;&gt;0,TblTech[[#This Row],[Hour]:[Hour]]&gt;=AO$2),1,0)</f>
        <v>0</v>
      </c>
      <c r="AP97" s="276" cm="1">
        <f t="array" ref="AP97">IF(AND(AP$2&lt;&gt;0,TblTech[[#This Row],[Hour]:[Hour]]&gt;=AP$2),1,0)</f>
        <v>0</v>
      </c>
      <c r="AQ97" s="276" cm="1">
        <f t="array" ref="AQ97">IF(AND(AQ$2&lt;&gt;0,TblTech[[#This Row],[Hour]:[Hour]]&gt;=AQ$2),1,0)</f>
        <v>0</v>
      </c>
      <c r="AR97" s="276" cm="1">
        <f t="array" ref="AR97">IF(AND(AR$2&lt;&gt;0,TblTech[[#This Row],[Hour]:[Hour]]&gt;=AR$2),1,0)</f>
        <v>0</v>
      </c>
      <c r="AS97" s="276" cm="1">
        <f t="array" ref="AS97">IF(AND(AS$2&lt;&gt;0,TblTech[[#This Row],[Hour]:[Hour]]&gt;=AS$2),1,0)</f>
        <v>0</v>
      </c>
      <c r="AT97" s="276" cm="1">
        <f t="array" ref="AT97">IF(AND(AT$2&lt;&gt;0,TblTech[[#This Row],[Hour]:[Hour]]&gt;=AT$2),1,0)</f>
        <v>0</v>
      </c>
      <c r="AU97" s="276" cm="1">
        <f t="array" ref="AU97">IF(AND(AU$2&lt;&gt;0,TblTech[[#This Row],[Hour]:[Hour]]&gt;=AU$2),1,0)</f>
        <v>0</v>
      </c>
      <c r="AV97" s="276" cm="1">
        <f t="array" ref="AV97">IF(AND(AV$2&lt;&gt;0,TblTech[[#This Row],[Hour]:[Hour]]&gt;=AV$2),1,0)</f>
        <v>0</v>
      </c>
      <c r="AW97" s="276" cm="1">
        <f t="array" ref="AW97">IF(AND(AW$2&lt;&gt;0,TblTech[[#This Row],[Hour]:[Hour]]&gt;=AW$2),1,0)</f>
        <v>0</v>
      </c>
      <c r="AX97" s="276" cm="1">
        <f t="array" ref="AX97">IF(AND(AX$2&lt;&gt;0,TblTech[[#This Row],[Hour]:[Hour]]&gt;=AX$2),1,0)</f>
        <v>0</v>
      </c>
      <c r="AY97" s="276" cm="1">
        <f t="array" ref="AY97">IF(AND(AY$2&lt;&gt;0,TblTech[[#This Row],[Hour]:[Hour]]&gt;=AY$2),1,0)</f>
        <v>0</v>
      </c>
      <c r="AZ97" s="276" cm="1">
        <f t="array" ref="AZ97">IF(AND(AZ$2&lt;&gt;0,TblTech[[#This Row],[Hour]:[Hour]]&gt;=AZ$2),1,0)</f>
        <v>0</v>
      </c>
      <c r="BA97" s="276" cm="1">
        <f t="array" ref="BA97">IF(AND(BA$2&lt;&gt;0,TblTech[[#This Row],[Hour]:[Hour]]&gt;=BA$2),1,0)</f>
        <v>0</v>
      </c>
      <c r="BB97" s="276" cm="1">
        <f t="array" ref="BB97">IF(AND(BB$2&lt;&gt;0,TblTech[[#This Row],[Hour]:[Hour]]&gt;=BB$2),1,0)</f>
        <v>0</v>
      </c>
      <c r="BC97" s="276" cm="1">
        <f t="array" ref="BC97">IF(AND(BC$2&lt;&gt;0,TblTech[[#This Row],[Hour]:[Hour]]&gt;=BC$2),1,0)</f>
        <v>0</v>
      </c>
      <c r="BD97" s="276" cm="1">
        <f t="array" ref="BD97">IF(AND(BD$2&lt;&gt;0,TblTech[[#This Row],[Hour]:[Hour]]&gt;=BD$2),1,0)</f>
        <v>0</v>
      </c>
      <c r="BE97" s="276" cm="1">
        <f t="array" ref="BE97">IF(AND(BE$2&lt;&gt;0,TblTech[[#This Row],[Hour]:[Hour]]&gt;=BE$2),1,0)</f>
        <v>0</v>
      </c>
      <c r="BF97" s="276" cm="1">
        <f t="array" ref="BF97">IF(AND(BF$2&lt;&gt;0,TblTech[[#This Row],[Hour]:[Hour]]&gt;=BF$2),1,0)</f>
        <v>0</v>
      </c>
      <c r="BG97" s="276" cm="1">
        <f t="array" ref="BG97">IF(AND(BG$2&lt;&gt;0,TblTech[[#This Row],[Hour]:[Hour]]&gt;=BG$2),1,0)</f>
        <v>0</v>
      </c>
      <c r="BH97" s="276" cm="1">
        <f t="array" ref="BH97">IF(AND(BH$2&lt;&gt;0,TblTech[[#This Row],[Hour]:[Hour]]&gt;=BH$2),1,0)</f>
        <v>0</v>
      </c>
      <c r="BI97" s="276" cm="1">
        <f t="array" ref="BI97">IF(AND(BI$2&lt;&gt;0,TblTech[[#This Row],[Hour]:[Hour]]&gt;=BI$2),1,0)</f>
        <v>0</v>
      </c>
      <c r="BJ97" s="276" cm="1">
        <f t="array" ref="BJ97">IF(AND(BJ$2&lt;&gt;0,TblTech[[#This Row],[Hour]:[Hour]]&gt;=BJ$2),1,0)</f>
        <v>0</v>
      </c>
      <c r="BK97" s="276" cm="1">
        <f t="array" ref="BK97">IF(AND(BK$2&lt;&gt;0,TblTech[[#This Row],[Hour]:[Hour]]&gt;=BK$2),1,0)</f>
        <v>0</v>
      </c>
      <c r="BL97" s="276" cm="1">
        <f t="array" ref="BL97">IF(AND(BL$2&lt;&gt;0,TblTech[[#This Row],[Hour]:[Hour]]&gt;=BL$2),1,0)</f>
        <v>0</v>
      </c>
      <c r="BM97" s="276" cm="1">
        <f t="array" ref="BM97">IF(AND(BM$2&lt;&gt;0,TblTech[[#This Row],[Hour]:[Hour]]&gt;=BM$2),1,0)</f>
        <v>0</v>
      </c>
      <c r="BN97" s="276" cm="1">
        <f t="array" ref="BN97">IF(AND(BN$2&lt;&gt;0,TblTech[[#This Row],[Hour]:[Hour]]&gt;=BN$2),1,0)</f>
        <v>0</v>
      </c>
      <c r="BO97" s="276" cm="1">
        <f t="array" ref="BO97">IF(AND(BO$2&lt;&gt;0,TblTech[[#This Row],[Hour]:[Hour]]&gt;=BO$2),1,0)</f>
        <v>0</v>
      </c>
      <c r="BP97" s="276" cm="1">
        <f t="array" ref="BP97">IF(AND(BP$2&lt;&gt;0,TblTech[[#This Row],[Hour]:[Hour]]&gt;=BP$2),1,0)</f>
        <v>0</v>
      </c>
      <c r="BQ97" s="276" cm="1">
        <f t="array" ref="BQ97">IF(AND(BQ$2&lt;&gt;0,TblTech[[#This Row],[Hour]:[Hour]]&gt;=BQ$2),1,0)</f>
        <v>0</v>
      </c>
      <c r="BR97" s="276" cm="1">
        <f t="array" ref="BR97">IF(AND(BR$2&lt;&gt;0,TblTech[[#This Row],[Hour]:[Hour]]&gt;=BR$2),1,0)</f>
        <v>0</v>
      </c>
      <c r="BS97" s="276" cm="1">
        <f t="array" ref="BS97">IF(AND(BS$2&lt;&gt;0,TblTech[[#This Row],[Hour]:[Hour]]&gt;=BS$2),1,0)</f>
        <v>0</v>
      </c>
      <c r="BT97" s="276" cm="1">
        <f t="array" ref="BT97">IF(AND(BT$2&lt;&gt;0,TblTech[[#This Row],[Hour]:[Hour]]&gt;=BT$2),1,0)</f>
        <v>0</v>
      </c>
      <c r="BU97" s="276" cm="1">
        <f t="array" ref="BU97">IF(AND(BU$2&lt;&gt;0,TblTech[[#This Row],[Hour]:[Hour]]&gt;=BU$2),1,0)</f>
        <v>0</v>
      </c>
      <c r="BV97" s="276" cm="1">
        <f t="array" ref="BV97">IF(AND(BV$2&lt;&gt;0,TblTech[[#This Row],[Hour]:[Hour]]&gt;=BV$2),1,0)</f>
        <v>0</v>
      </c>
      <c r="BW97" s="276" cm="1">
        <f t="array" ref="BW97">IF(AND(BW$2&lt;&gt;0,TblTech[[#This Row],[Hour]:[Hour]]&gt;=BW$2),1,0)</f>
        <v>0</v>
      </c>
      <c r="BX97" s="276" cm="1">
        <f t="array" ref="BX97">IF(AND(BX$2&lt;&gt;0,TblTech[[#This Row],[Hour]:[Hour]]&gt;=BX$2),1,0)</f>
        <v>0</v>
      </c>
      <c r="BY97" s="276" cm="1">
        <f t="array" ref="BY97">IF(AND(BY$2&lt;&gt;0,TblTech[[#This Row],[Hour]:[Hour]]&gt;=BY$2),1,0)</f>
        <v>0</v>
      </c>
      <c r="BZ97" s="276" cm="1">
        <f t="array" ref="BZ97">IF(AND(BZ$2&lt;&gt;0,TblTech[[#This Row],[Hour]:[Hour]]&gt;=BZ$2),1,0)</f>
        <v>0</v>
      </c>
      <c r="CA97" s="377">
        <f>IFERROR(INDEX($H$4:$H$79,MATCH(INDEX(TblTech[[#Headers],[1-1]:[11-1]],1,MATCH(TblTech[[#This Row],[Hour]],$M$2:$BZ$2,0)),$G$4:$G$79,0)),)</f>
        <v>0</v>
      </c>
    </row>
    <row r="98" spans="1:79" x14ac:dyDescent="0.2">
      <c r="A98" s="268">
        <f>TblRezone[[#This Row],[Hour]]</f>
        <v>95</v>
      </c>
      <c r="B98" s="269">
        <f ca="1">TblExplore[[#This Row],[Land-DB]]</f>
        <v>50</v>
      </c>
      <c r="C98" s="270">
        <f ca="1">TblProd[[#This Row],[Techpoints]]</f>
        <v>0</v>
      </c>
      <c r="D98" s="270">
        <f ca="1">TblProd[[#This Row],[Required]]</f>
        <v>3750</v>
      </c>
      <c r="E98" s="279"/>
      <c r="F98" s="280"/>
      <c r="G98" s="273"/>
      <c r="H98" s="274"/>
      <c r="I98" s="274"/>
      <c r="J98" s="274"/>
      <c r="K98" s="93">
        <f ca="1">IF(TblTech[[#This Row],[Sum of tech]]&lt;&gt;OFFSET(TblTech[[#This Row],[Sum of tech]],-1,0),1,0)</f>
        <v>0</v>
      </c>
      <c r="L98" s="275">
        <f>COUNTIF(TblTech[[#This Row],[1-1]:[11-1]],1)</f>
        <v>0</v>
      </c>
      <c r="M98" s="276" cm="1">
        <f t="array" ref="M98">IF(AND(M$2&lt;&gt;0,TblTech[[#This Row],[Hour]:[Hour]]&gt;=M$2),1,0)</f>
        <v>0</v>
      </c>
      <c r="N98" s="276" cm="1">
        <f t="array" ref="N98">IF(AND(N$2&lt;&gt;0,TblTech[[#This Row],[Hour]:[Hour]]&gt;=N$2),1,0)</f>
        <v>0</v>
      </c>
      <c r="O98" s="276" cm="1">
        <f t="array" ref="O98">IF(AND(O$2&lt;&gt;0,TblTech[[#This Row],[Hour]:[Hour]]&gt;=O$2),1,0)</f>
        <v>0</v>
      </c>
      <c r="P98" s="276" cm="1">
        <f t="array" ref="P98">IF(AND(P$2&lt;&gt;0,TblTech[[#This Row],[Hour]:[Hour]]&gt;=P$2),1,0)</f>
        <v>0</v>
      </c>
      <c r="Q98" s="276" cm="1">
        <f t="array" ref="Q98">IF(AND(Q$2&lt;&gt;0,TblTech[[#This Row],[Hour]:[Hour]]&gt;=Q$2),1,0)</f>
        <v>0</v>
      </c>
      <c r="R98" s="276" cm="1">
        <f t="array" ref="R98">IF(AND(R$2&lt;&gt;0,TblTech[[#This Row],[Hour]:[Hour]]&gt;=R$2),1,0)</f>
        <v>0</v>
      </c>
      <c r="S98" s="276" cm="1">
        <f t="array" ref="S98">IF(AND(S$2&lt;&gt;0,TblTech[[#This Row],[Hour]:[Hour]]&gt;=S$2),1,0)</f>
        <v>0</v>
      </c>
      <c r="T98" s="276" cm="1">
        <f t="array" ref="T98">IF(AND(T$2&lt;&gt;0,TblTech[[#This Row],[Hour]:[Hour]]&gt;=T$2),1,0)</f>
        <v>0</v>
      </c>
      <c r="U98" s="276" cm="1">
        <f t="array" ref="U98">IF(AND(U$2&lt;&gt;0,TblTech[[#This Row],[Hour]:[Hour]]&gt;=U$2),1,0)</f>
        <v>0</v>
      </c>
      <c r="V98" s="276" cm="1">
        <f t="array" ref="V98">IF(AND(V$2&lt;&gt;0,TblTech[[#This Row],[Hour]:[Hour]]&gt;=V$2),1,0)</f>
        <v>0</v>
      </c>
      <c r="W98" s="276" cm="1">
        <f t="array" ref="W98">IF(AND(W$2&lt;&gt;0,TblTech[[#This Row],[Hour]:[Hour]]&gt;=W$2),1,0)</f>
        <v>0</v>
      </c>
      <c r="X98" s="276" cm="1">
        <f t="array" ref="X98">IF(AND(X$2&lt;&gt;0,TblTech[[#This Row],[Hour]:[Hour]]&gt;=X$2),1,0)</f>
        <v>0</v>
      </c>
      <c r="Y98" s="276" cm="1">
        <f t="array" ref="Y98">IF(AND(Y$2&lt;&gt;0,TblTech[[#This Row],[Hour]:[Hour]]&gt;=Y$2),1,0)</f>
        <v>0</v>
      </c>
      <c r="Z98" s="276" cm="1">
        <f t="array" ref="Z98">IF(AND(Z$2&lt;&gt;0,TblTech[[#This Row],[Hour]:[Hour]]&gt;=Z$2),1,0)</f>
        <v>0</v>
      </c>
      <c r="AA98" s="276" cm="1">
        <f t="array" ref="AA98">IF(AND(AA$2&lt;&gt;0,TblTech[[#This Row],[Hour]:[Hour]]&gt;=AA$2),1,0)</f>
        <v>0</v>
      </c>
      <c r="AB98" s="276" cm="1">
        <f t="array" ref="AB98">IF(AND(AB$2&lt;&gt;0,TblTech[[#This Row],[Hour]:[Hour]]&gt;=AB$2),1,0)</f>
        <v>0</v>
      </c>
      <c r="AC98" s="276" cm="1">
        <f t="array" ref="AC98">IF(AND(AC$2&lt;&gt;0,TblTech[[#This Row],[Hour]:[Hour]]&gt;=AC$2),1,0)</f>
        <v>0</v>
      </c>
      <c r="AD98" s="276" cm="1">
        <f t="array" ref="AD98">IF(AND(AD$2&lt;&gt;0,TblTech[[#This Row],[Hour]:[Hour]]&gt;=AD$2),1,0)</f>
        <v>0</v>
      </c>
      <c r="AE98" s="276" cm="1">
        <f t="array" ref="AE98">IF(AND(AE$2&lt;&gt;0,TblTech[[#This Row],[Hour]:[Hour]]&gt;=AE$2),1,0)</f>
        <v>0</v>
      </c>
      <c r="AF98" s="276" cm="1">
        <f t="array" ref="AF98">IF(AND(AF$2&lt;&gt;0,TblTech[[#This Row],[Hour]:[Hour]]&gt;=AF$2),1,0)</f>
        <v>0</v>
      </c>
      <c r="AG98" s="276" cm="1">
        <f t="array" ref="AG98">IF(AND(AG$2&lt;&gt;0,TblTech[[#This Row],[Hour]:[Hour]]&gt;=AG$2),1,0)</f>
        <v>0</v>
      </c>
      <c r="AH98" s="276" cm="1">
        <f t="array" ref="AH98">IF(AND(AH$2&lt;&gt;0,TblTech[[#This Row],[Hour]:[Hour]]&gt;=AH$2),1,0)</f>
        <v>0</v>
      </c>
      <c r="AI98" s="276" cm="1">
        <f t="array" ref="AI98">IF(AND(AI$2&lt;&gt;0,TblTech[[#This Row],[Hour]:[Hour]]&gt;=AI$2),1,0)</f>
        <v>0</v>
      </c>
      <c r="AJ98" s="276" cm="1">
        <f t="array" ref="AJ98">IF(AND(AJ$2&lt;&gt;0,TblTech[[#This Row],[Hour]:[Hour]]&gt;=AJ$2),1,0)</f>
        <v>0</v>
      </c>
      <c r="AK98" s="276" cm="1">
        <f t="array" ref="AK98">IF(AND(AK$2&lt;&gt;0,TblTech[[#This Row],[Hour]:[Hour]]&gt;=AK$2),1,0)</f>
        <v>0</v>
      </c>
      <c r="AL98" s="276" cm="1">
        <f t="array" ref="AL98">IF(AND(AL$2&lt;&gt;0,TblTech[[#This Row],[Hour]:[Hour]]&gt;=AL$2),1,0)</f>
        <v>0</v>
      </c>
      <c r="AM98" s="276" cm="1">
        <f t="array" ref="AM98">IF(AND(AM$2&lt;&gt;0,TblTech[[#This Row],[Hour]:[Hour]]&gt;=AM$2),1,0)</f>
        <v>0</v>
      </c>
      <c r="AN98" s="276" cm="1">
        <f t="array" ref="AN98">IF(AND(AN$2&lt;&gt;0,TblTech[[#This Row],[Hour]:[Hour]]&gt;=AN$2),1,0)</f>
        <v>0</v>
      </c>
      <c r="AO98" s="276" cm="1">
        <f t="array" ref="AO98">IF(AND(AO$2&lt;&gt;0,TblTech[[#This Row],[Hour]:[Hour]]&gt;=AO$2),1,0)</f>
        <v>0</v>
      </c>
      <c r="AP98" s="276" cm="1">
        <f t="array" ref="AP98">IF(AND(AP$2&lt;&gt;0,TblTech[[#This Row],[Hour]:[Hour]]&gt;=AP$2),1,0)</f>
        <v>0</v>
      </c>
      <c r="AQ98" s="276" cm="1">
        <f t="array" ref="AQ98">IF(AND(AQ$2&lt;&gt;0,TblTech[[#This Row],[Hour]:[Hour]]&gt;=AQ$2),1,0)</f>
        <v>0</v>
      </c>
      <c r="AR98" s="276" cm="1">
        <f t="array" ref="AR98">IF(AND(AR$2&lt;&gt;0,TblTech[[#This Row],[Hour]:[Hour]]&gt;=AR$2),1,0)</f>
        <v>0</v>
      </c>
      <c r="AS98" s="276" cm="1">
        <f t="array" ref="AS98">IF(AND(AS$2&lt;&gt;0,TblTech[[#This Row],[Hour]:[Hour]]&gt;=AS$2),1,0)</f>
        <v>0</v>
      </c>
      <c r="AT98" s="276" cm="1">
        <f t="array" ref="AT98">IF(AND(AT$2&lt;&gt;0,TblTech[[#This Row],[Hour]:[Hour]]&gt;=AT$2),1,0)</f>
        <v>0</v>
      </c>
      <c r="AU98" s="276" cm="1">
        <f t="array" ref="AU98">IF(AND(AU$2&lt;&gt;0,TblTech[[#This Row],[Hour]:[Hour]]&gt;=AU$2),1,0)</f>
        <v>0</v>
      </c>
      <c r="AV98" s="276" cm="1">
        <f t="array" ref="AV98">IF(AND(AV$2&lt;&gt;0,TblTech[[#This Row],[Hour]:[Hour]]&gt;=AV$2),1,0)</f>
        <v>0</v>
      </c>
      <c r="AW98" s="276" cm="1">
        <f t="array" ref="AW98">IF(AND(AW$2&lt;&gt;0,TblTech[[#This Row],[Hour]:[Hour]]&gt;=AW$2),1,0)</f>
        <v>0</v>
      </c>
      <c r="AX98" s="276" cm="1">
        <f t="array" ref="AX98">IF(AND(AX$2&lt;&gt;0,TblTech[[#This Row],[Hour]:[Hour]]&gt;=AX$2),1,0)</f>
        <v>0</v>
      </c>
      <c r="AY98" s="276" cm="1">
        <f t="array" ref="AY98">IF(AND(AY$2&lt;&gt;0,TblTech[[#This Row],[Hour]:[Hour]]&gt;=AY$2),1,0)</f>
        <v>0</v>
      </c>
      <c r="AZ98" s="276" cm="1">
        <f t="array" ref="AZ98">IF(AND(AZ$2&lt;&gt;0,TblTech[[#This Row],[Hour]:[Hour]]&gt;=AZ$2),1,0)</f>
        <v>0</v>
      </c>
      <c r="BA98" s="276" cm="1">
        <f t="array" ref="BA98">IF(AND(BA$2&lt;&gt;0,TblTech[[#This Row],[Hour]:[Hour]]&gt;=BA$2),1,0)</f>
        <v>0</v>
      </c>
      <c r="BB98" s="276" cm="1">
        <f t="array" ref="BB98">IF(AND(BB$2&lt;&gt;0,TblTech[[#This Row],[Hour]:[Hour]]&gt;=BB$2),1,0)</f>
        <v>0</v>
      </c>
      <c r="BC98" s="276" cm="1">
        <f t="array" ref="BC98">IF(AND(BC$2&lt;&gt;0,TblTech[[#This Row],[Hour]:[Hour]]&gt;=BC$2),1,0)</f>
        <v>0</v>
      </c>
      <c r="BD98" s="276" cm="1">
        <f t="array" ref="BD98">IF(AND(BD$2&lt;&gt;0,TblTech[[#This Row],[Hour]:[Hour]]&gt;=BD$2),1,0)</f>
        <v>0</v>
      </c>
      <c r="BE98" s="276" cm="1">
        <f t="array" ref="BE98">IF(AND(BE$2&lt;&gt;0,TblTech[[#This Row],[Hour]:[Hour]]&gt;=BE$2),1,0)</f>
        <v>0</v>
      </c>
      <c r="BF98" s="276" cm="1">
        <f t="array" ref="BF98">IF(AND(BF$2&lt;&gt;0,TblTech[[#This Row],[Hour]:[Hour]]&gt;=BF$2),1,0)</f>
        <v>0</v>
      </c>
      <c r="BG98" s="276" cm="1">
        <f t="array" ref="BG98">IF(AND(BG$2&lt;&gt;0,TblTech[[#This Row],[Hour]:[Hour]]&gt;=BG$2),1,0)</f>
        <v>0</v>
      </c>
      <c r="BH98" s="276" cm="1">
        <f t="array" ref="BH98">IF(AND(BH$2&lt;&gt;0,TblTech[[#This Row],[Hour]:[Hour]]&gt;=BH$2),1,0)</f>
        <v>0</v>
      </c>
      <c r="BI98" s="276" cm="1">
        <f t="array" ref="BI98">IF(AND(BI$2&lt;&gt;0,TblTech[[#This Row],[Hour]:[Hour]]&gt;=BI$2),1,0)</f>
        <v>0</v>
      </c>
      <c r="BJ98" s="276" cm="1">
        <f t="array" ref="BJ98">IF(AND(BJ$2&lt;&gt;0,TblTech[[#This Row],[Hour]:[Hour]]&gt;=BJ$2),1,0)</f>
        <v>0</v>
      </c>
      <c r="BK98" s="276" cm="1">
        <f t="array" ref="BK98">IF(AND(BK$2&lt;&gt;0,TblTech[[#This Row],[Hour]:[Hour]]&gt;=BK$2),1,0)</f>
        <v>0</v>
      </c>
      <c r="BL98" s="276" cm="1">
        <f t="array" ref="BL98">IF(AND(BL$2&lt;&gt;0,TblTech[[#This Row],[Hour]:[Hour]]&gt;=BL$2),1,0)</f>
        <v>0</v>
      </c>
      <c r="BM98" s="276" cm="1">
        <f t="array" ref="BM98">IF(AND(BM$2&lt;&gt;0,TblTech[[#This Row],[Hour]:[Hour]]&gt;=BM$2),1,0)</f>
        <v>0</v>
      </c>
      <c r="BN98" s="276" cm="1">
        <f t="array" ref="BN98">IF(AND(BN$2&lt;&gt;0,TblTech[[#This Row],[Hour]:[Hour]]&gt;=BN$2),1,0)</f>
        <v>0</v>
      </c>
      <c r="BO98" s="276" cm="1">
        <f t="array" ref="BO98">IF(AND(BO$2&lt;&gt;0,TblTech[[#This Row],[Hour]:[Hour]]&gt;=BO$2),1,0)</f>
        <v>0</v>
      </c>
      <c r="BP98" s="276" cm="1">
        <f t="array" ref="BP98">IF(AND(BP$2&lt;&gt;0,TblTech[[#This Row],[Hour]:[Hour]]&gt;=BP$2),1,0)</f>
        <v>0</v>
      </c>
      <c r="BQ98" s="276" cm="1">
        <f t="array" ref="BQ98">IF(AND(BQ$2&lt;&gt;0,TblTech[[#This Row],[Hour]:[Hour]]&gt;=BQ$2),1,0)</f>
        <v>0</v>
      </c>
      <c r="BR98" s="276" cm="1">
        <f t="array" ref="BR98">IF(AND(BR$2&lt;&gt;0,TblTech[[#This Row],[Hour]:[Hour]]&gt;=BR$2),1,0)</f>
        <v>0</v>
      </c>
      <c r="BS98" s="276" cm="1">
        <f t="array" ref="BS98">IF(AND(BS$2&lt;&gt;0,TblTech[[#This Row],[Hour]:[Hour]]&gt;=BS$2),1,0)</f>
        <v>0</v>
      </c>
      <c r="BT98" s="276" cm="1">
        <f t="array" ref="BT98">IF(AND(BT$2&lt;&gt;0,TblTech[[#This Row],[Hour]:[Hour]]&gt;=BT$2),1,0)</f>
        <v>0</v>
      </c>
      <c r="BU98" s="276" cm="1">
        <f t="array" ref="BU98">IF(AND(BU$2&lt;&gt;0,TblTech[[#This Row],[Hour]:[Hour]]&gt;=BU$2),1,0)</f>
        <v>0</v>
      </c>
      <c r="BV98" s="276" cm="1">
        <f t="array" ref="BV98">IF(AND(BV$2&lt;&gt;0,TblTech[[#This Row],[Hour]:[Hour]]&gt;=BV$2),1,0)</f>
        <v>0</v>
      </c>
      <c r="BW98" s="276" cm="1">
        <f t="array" ref="BW98">IF(AND(BW$2&lt;&gt;0,TblTech[[#This Row],[Hour]:[Hour]]&gt;=BW$2),1,0)</f>
        <v>0</v>
      </c>
      <c r="BX98" s="276" cm="1">
        <f t="array" ref="BX98">IF(AND(BX$2&lt;&gt;0,TblTech[[#This Row],[Hour]:[Hour]]&gt;=BX$2),1,0)</f>
        <v>0</v>
      </c>
      <c r="BY98" s="276" cm="1">
        <f t="array" ref="BY98">IF(AND(BY$2&lt;&gt;0,TblTech[[#This Row],[Hour]:[Hour]]&gt;=BY$2),1,0)</f>
        <v>0</v>
      </c>
      <c r="BZ98" s="276" cm="1">
        <f t="array" ref="BZ98">IF(AND(BZ$2&lt;&gt;0,TblTech[[#This Row],[Hour]:[Hour]]&gt;=BZ$2),1,0)</f>
        <v>0</v>
      </c>
      <c r="CA98" s="377">
        <f>IFERROR(INDEX($H$4:$H$79,MATCH(INDEX(TblTech[[#Headers],[1-1]:[11-1]],1,MATCH(TblTech[[#This Row],[Hour]],$M$2:$BZ$2,0)),$G$4:$G$79,0)),)</f>
        <v>0</v>
      </c>
    </row>
    <row r="99" spans="1:79" x14ac:dyDescent="0.2">
      <c r="A99" s="268">
        <f>TblRezone[[#This Row],[Hour]]</f>
        <v>96</v>
      </c>
      <c r="B99" s="269">
        <f ca="1">TblExplore[[#This Row],[Land-DB]]</f>
        <v>50</v>
      </c>
      <c r="C99" s="270">
        <f ca="1">TblProd[[#This Row],[Techpoints]]</f>
        <v>0</v>
      </c>
      <c r="D99" s="270">
        <f ca="1">TblProd[[#This Row],[Required]]</f>
        <v>3750</v>
      </c>
      <c r="E99" s="279"/>
      <c r="F99" s="280"/>
      <c r="G99" s="273"/>
      <c r="H99" s="274"/>
      <c r="I99" s="274"/>
      <c r="J99" s="274"/>
      <c r="K99" s="93">
        <f ca="1">IF(TblTech[[#This Row],[Sum of tech]]&lt;&gt;OFFSET(TblTech[[#This Row],[Sum of tech]],-1,0),1,0)</f>
        <v>0</v>
      </c>
      <c r="L99" s="275">
        <f>COUNTIF(TblTech[[#This Row],[1-1]:[11-1]],1)</f>
        <v>0</v>
      </c>
      <c r="M99" s="276" cm="1">
        <f t="array" ref="M99">IF(AND(M$2&lt;&gt;0,TblTech[[#This Row],[Hour]:[Hour]]&gt;=M$2),1,0)</f>
        <v>0</v>
      </c>
      <c r="N99" s="276" cm="1">
        <f t="array" ref="N99">IF(AND(N$2&lt;&gt;0,TblTech[[#This Row],[Hour]:[Hour]]&gt;=N$2),1,0)</f>
        <v>0</v>
      </c>
      <c r="O99" s="276" cm="1">
        <f t="array" ref="O99">IF(AND(O$2&lt;&gt;0,TblTech[[#This Row],[Hour]:[Hour]]&gt;=O$2),1,0)</f>
        <v>0</v>
      </c>
      <c r="P99" s="276" cm="1">
        <f t="array" ref="P99">IF(AND(P$2&lt;&gt;0,TblTech[[#This Row],[Hour]:[Hour]]&gt;=P$2),1,0)</f>
        <v>0</v>
      </c>
      <c r="Q99" s="276" cm="1">
        <f t="array" ref="Q99">IF(AND(Q$2&lt;&gt;0,TblTech[[#This Row],[Hour]:[Hour]]&gt;=Q$2),1,0)</f>
        <v>0</v>
      </c>
      <c r="R99" s="276" cm="1">
        <f t="array" ref="R99">IF(AND(R$2&lt;&gt;0,TblTech[[#This Row],[Hour]:[Hour]]&gt;=R$2),1,0)</f>
        <v>0</v>
      </c>
      <c r="S99" s="276" cm="1">
        <f t="array" ref="S99">IF(AND(S$2&lt;&gt;0,TblTech[[#This Row],[Hour]:[Hour]]&gt;=S$2),1,0)</f>
        <v>0</v>
      </c>
      <c r="T99" s="276" cm="1">
        <f t="array" ref="T99">IF(AND(T$2&lt;&gt;0,TblTech[[#This Row],[Hour]:[Hour]]&gt;=T$2),1,0)</f>
        <v>0</v>
      </c>
      <c r="U99" s="276" cm="1">
        <f t="array" ref="U99">IF(AND(U$2&lt;&gt;0,TblTech[[#This Row],[Hour]:[Hour]]&gt;=U$2),1,0)</f>
        <v>0</v>
      </c>
      <c r="V99" s="276" cm="1">
        <f t="array" ref="V99">IF(AND(V$2&lt;&gt;0,TblTech[[#This Row],[Hour]:[Hour]]&gt;=V$2),1,0)</f>
        <v>0</v>
      </c>
      <c r="W99" s="276" cm="1">
        <f t="array" ref="W99">IF(AND(W$2&lt;&gt;0,TblTech[[#This Row],[Hour]:[Hour]]&gt;=W$2),1,0)</f>
        <v>0</v>
      </c>
      <c r="X99" s="276" cm="1">
        <f t="array" ref="X99">IF(AND(X$2&lt;&gt;0,TblTech[[#This Row],[Hour]:[Hour]]&gt;=X$2),1,0)</f>
        <v>0</v>
      </c>
      <c r="Y99" s="276" cm="1">
        <f t="array" ref="Y99">IF(AND(Y$2&lt;&gt;0,TblTech[[#This Row],[Hour]:[Hour]]&gt;=Y$2),1,0)</f>
        <v>0</v>
      </c>
      <c r="Z99" s="276" cm="1">
        <f t="array" ref="Z99">IF(AND(Z$2&lt;&gt;0,TblTech[[#This Row],[Hour]:[Hour]]&gt;=Z$2),1,0)</f>
        <v>0</v>
      </c>
      <c r="AA99" s="276" cm="1">
        <f t="array" ref="AA99">IF(AND(AA$2&lt;&gt;0,TblTech[[#This Row],[Hour]:[Hour]]&gt;=AA$2),1,0)</f>
        <v>0</v>
      </c>
      <c r="AB99" s="276" cm="1">
        <f t="array" ref="AB99">IF(AND(AB$2&lt;&gt;0,TblTech[[#This Row],[Hour]:[Hour]]&gt;=AB$2),1,0)</f>
        <v>0</v>
      </c>
      <c r="AC99" s="276" cm="1">
        <f t="array" ref="AC99">IF(AND(AC$2&lt;&gt;0,TblTech[[#This Row],[Hour]:[Hour]]&gt;=AC$2),1,0)</f>
        <v>0</v>
      </c>
      <c r="AD99" s="276" cm="1">
        <f t="array" ref="AD99">IF(AND(AD$2&lt;&gt;0,TblTech[[#This Row],[Hour]:[Hour]]&gt;=AD$2),1,0)</f>
        <v>0</v>
      </c>
      <c r="AE99" s="276" cm="1">
        <f t="array" ref="AE99">IF(AND(AE$2&lt;&gt;0,TblTech[[#This Row],[Hour]:[Hour]]&gt;=AE$2),1,0)</f>
        <v>0</v>
      </c>
      <c r="AF99" s="276" cm="1">
        <f t="array" ref="AF99">IF(AND(AF$2&lt;&gt;0,TblTech[[#This Row],[Hour]:[Hour]]&gt;=AF$2),1,0)</f>
        <v>0</v>
      </c>
      <c r="AG99" s="276" cm="1">
        <f t="array" ref="AG99">IF(AND(AG$2&lt;&gt;0,TblTech[[#This Row],[Hour]:[Hour]]&gt;=AG$2),1,0)</f>
        <v>0</v>
      </c>
      <c r="AH99" s="276" cm="1">
        <f t="array" ref="AH99">IF(AND(AH$2&lt;&gt;0,TblTech[[#This Row],[Hour]:[Hour]]&gt;=AH$2),1,0)</f>
        <v>0</v>
      </c>
      <c r="AI99" s="276" cm="1">
        <f t="array" ref="AI99">IF(AND(AI$2&lt;&gt;0,TblTech[[#This Row],[Hour]:[Hour]]&gt;=AI$2),1,0)</f>
        <v>0</v>
      </c>
      <c r="AJ99" s="276" cm="1">
        <f t="array" ref="AJ99">IF(AND(AJ$2&lt;&gt;0,TblTech[[#This Row],[Hour]:[Hour]]&gt;=AJ$2),1,0)</f>
        <v>0</v>
      </c>
      <c r="AK99" s="276" cm="1">
        <f t="array" ref="AK99">IF(AND(AK$2&lt;&gt;0,TblTech[[#This Row],[Hour]:[Hour]]&gt;=AK$2),1,0)</f>
        <v>0</v>
      </c>
      <c r="AL99" s="276" cm="1">
        <f t="array" ref="AL99">IF(AND(AL$2&lt;&gt;0,TblTech[[#This Row],[Hour]:[Hour]]&gt;=AL$2),1,0)</f>
        <v>0</v>
      </c>
      <c r="AM99" s="276" cm="1">
        <f t="array" ref="AM99">IF(AND(AM$2&lt;&gt;0,TblTech[[#This Row],[Hour]:[Hour]]&gt;=AM$2),1,0)</f>
        <v>0</v>
      </c>
      <c r="AN99" s="276" cm="1">
        <f t="array" ref="AN99">IF(AND(AN$2&lt;&gt;0,TblTech[[#This Row],[Hour]:[Hour]]&gt;=AN$2),1,0)</f>
        <v>0</v>
      </c>
      <c r="AO99" s="276" cm="1">
        <f t="array" ref="AO99">IF(AND(AO$2&lt;&gt;0,TblTech[[#This Row],[Hour]:[Hour]]&gt;=AO$2),1,0)</f>
        <v>0</v>
      </c>
      <c r="AP99" s="276" cm="1">
        <f t="array" ref="AP99">IF(AND(AP$2&lt;&gt;0,TblTech[[#This Row],[Hour]:[Hour]]&gt;=AP$2),1,0)</f>
        <v>0</v>
      </c>
      <c r="AQ99" s="276" cm="1">
        <f t="array" ref="AQ99">IF(AND(AQ$2&lt;&gt;0,TblTech[[#This Row],[Hour]:[Hour]]&gt;=AQ$2),1,0)</f>
        <v>0</v>
      </c>
      <c r="AR99" s="276" cm="1">
        <f t="array" ref="AR99">IF(AND(AR$2&lt;&gt;0,TblTech[[#This Row],[Hour]:[Hour]]&gt;=AR$2),1,0)</f>
        <v>0</v>
      </c>
      <c r="AS99" s="276" cm="1">
        <f t="array" ref="AS99">IF(AND(AS$2&lt;&gt;0,TblTech[[#This Row],[Hour]:[Hour]]&gt;=AS$2),1,0)</f>
        <v>0</v>
      </c>
      <c r="AT99" s="276" cm="1">
        <f t="array" ref="AT99">IF(AND(AT$2&lt;&gt;0,TblTech[[#This Row],[Hour]:[Hour]]&gt;=AT$2),1,0)</f>
        <v>0</v>
      </c>
      <c r="AU99" s="276" cm="1">
        <f t="array" ref="AU99">IF(AND(AU$2&lt;&gt;0,TblTech[[#This Row],[Hour]:[Hour]]&gt;=AU$2),1,0)</f>
        <v>0</v>
      </c>
      <c r="AV99" s="276" cm="1">
        <f t="array" ref="AV99">IF(AND(AV$2&lt;&gt;0,TblTech[[#This Row],[Hour]:[Hour]]&gt;=AV$2),1,0)</f>
        <v>0</v>
      </c>
      <c r="AW99" s="276" cm="1">
        <f t="array" ref="AW99">IF(AND(AW$2&lt;&gt;0,TblTech[[#This Row],[Hour]:[Hour]]&gt;=AW$2),1,0)</f>
        <v>0</v>
      </c>
      <c r="AX99" s="276" cm="1">
        <f t="array" ref="AX99">IF(AND(AX$2&lt;&gt;0,TblTech[[#This Row],[Hour]:[Hour]]&gt;=AX$2),1,0)</f>
        <v>0</v>
      </c>
      <c r="AY99" s="276" cm="1">
        <f t="array" ref="AY99">IF(AND(AY$2&lt;&gt;0,TblTech[[#This Row],[Hour]:[Hour]]&gt;=AY$2),1,0)</f>
        <v>0</v>
      </c>
      <c r="AZ99" s="276" cm="1">
        <f t="array" ref="AZ99">IF(AND(AZ$2&lt;&gt;0,TblTech[[#This Row],[Hour]:[Hour]]&gt;=AZ$2),1,0)</f>
        <v>0</v>
      </c>
      <c r="BA99" s="276" cm="1">
        <f t="array" ref="BA99">IF(AND(BA$2&lt;&gt;0,TblTech[[#This Row],[Hour]:[Hour]]&gt;=BA$2),1,0)</f>
        <v>0</v>
      </c>
      <c r="BB99" s="276" cm="1">
        <f t="array" ref="BB99">IF(AND(BB$2&lt;&gt;0,TblTech[[#This Row],[Hour]:[Hour]]&gt;=BB$2),1,0)</f>
        <v>0</v>
      </c>
      <c r="BC99" s="276" cm="1">
        <f t="array" ref="BC99">IF(AND(BC$2&lt;&gt;0,TblTech[[#This Row],[Hour]:[Hour]]&gt;=BC$2),1,0)</f>
        <v>0</v>
      </c>
      <c r="BD99" s="276" cm="1">
        <f t="array" ref="BD99">IF(AND(BD$2&lt;&gt;0,TblTech[[#This Row],[Hour]:[Hour]]&gt;=BD$2),1,0)</f>
        <v>0</v>
      </c>
      <c r="BE99" s="276" cm="1">
        <f t="array" ref="BE99">IF(AND(BE$2&lt;&gt;0,TblTech[[#This Row],[Hour]:[Hour]]&gt;=BE$2),1,0)</f>
        <v>0</v>
      </c>
      <c r="BF99" s="276" cm="1">
        <f t="array" ref="BF99">IF(AND(BF$2&lt;&gt;0,TblTech[[#This Row],[Hour]:[Hour]]&gt;=BF$2),1,0)</f>
        <v>0</v>
      </c>
      <c r="BG99" s="276" cm="1">
        <f t="array" ref="BG99">IF(AND(BG$2&lt;&gt;0,TblTech[[#This Row],[Hour]:[Hour]]&gt;=BG$2),1,0)</f>
        <v>0</v>
      </c>
      <c r="BH99" s="276" cm="1">
        <f t="array" ref="BH99">IF(AND(BH$2&lt;&gt;0,TblTech[[#This Row],[Hour]:[Hour]]&gt;=BH$2),1,0)</f>
        <v>0</v>
      </c>
      <c r="BI99" s="276" cm="1">
        <f t="array" ref="BI99">IF(AND(BI$2&lt;&gt;0,TblTech[[#This Row],[Hour]:[Hour]]&gt;=BI$2),1,0)</f>
        <v>0</v>
      </c>
      <c r="BJ99" s="276" cm="1">
        <f t="array" ref="BJ99">IF(AND(BJ$2&lt;&gt;0,TblTech[[#This Row],[Hour]:[Hour]]&gt;=BJ$2),1,0)</f>
        <v>0</v>
      </c>
      <c r="BK99" s="276" cm="1">
        <f t="array" ref="BK99">IF(AND(BK$2&lt;&gt;0,TblTech[[#This Row],[Hour]:[Hour]]&gt;=BK$2),1,0)</f>
        <v>0</v>
      </c>
      <c r="BL99" s="276" cm="1">
        <f t="array" ref="BL99">IF(AND(BL$2&lt;&gt;0,TblTech[[#This Row],[Hour]:[Hour]]&gt;=BL$2),1,0)</f>
        <v>0</v>
      </c>
      <c r="BM99" s="276" cm="1">
        <f t="array" ref="BM99">IF(AND(BM$2&lt;&gt;0,TblTech[[#This Row],[Hour]:[Hour]]&gt;=BM$2),1,0)</f>
        <v>0</v>
      </c>
      <c r="BN99" s="276" cm="1">
        <f t="array" ref="BN99">IF(AND(BN$2&lt;&gt;0,TblTech[[#This Row],[Hour]:[Hour]]&gt;=BN$2),1,0)</f>
        <v>0</v>
      </c>
      <c r="BO99" s="276" cm="1">
        <f t="array" ref="BO99">IF(AND(BO$2&lt;&gt;0,TblTech[[#This Row],[Hour]:[Hour]]&gt;=BO$2),1,0)</f>
        <v>0</v>
      </c>
      <c r="BP99" s="276" cm="1">
        <f t="array" ref="BP99">IF(AND(BP$2&lt;&gt;0,TblTech[[#This Row],[Hour]:[Hour]]&gt;=BP$2),1,0)</f>
        <v>0</v>
      </c>
      <c r="BQ99" s="276" cm="1">
        <f t="array" ref="BQ99">IF(AND(BQ$2&lt;&gt;0,TblTech[[#This Row],[Hour]:[Hour]]&gt;=BQ$2),1,0)</f>
        <v>0</v>
      </c>
      <c r="BR99" s="276" cm="1">
        <f t="array" ref="BR99">IF(AND(BR$2&lt;&gt;0,TblTech[[#This Row],[Hour]:[Hour]]&gt;=BR$2),1,0)</f>
        <v>0</v>
      </c>
      <c r="BS99" s="276" cm="1">
        <f t="array" ref="BS99">IF(AND(BS$2&lt;&gt;0,TblTech[[#This Row],[Hour]:[Hour]]&gt;=BS$2),1,0)</f>
        <v>0</v>
      </c>
      <c r="BT99" s="276" cm="1">
        <f t="array" ref="BT99">IF(AND(BT$2&lt;&gt;0,TblTech[[#This Row],[Hour]:[Hour]]&gt;=BT$2),1,0)</f>
        <v>0</v>
      </c>
      <c r="BU99" s="276" cm="1">
        <f t="array" ref="BU99">IF(AND(BU$2&lt;&gt;0,TblTech[[#This Row],[Hour]:[Hour]]&gt;=BU$2),1,0)</f>
        <v>0</v>
      </c>
      <c r="BV99" s="276" cm="1">
        <f t="array" ref="BV99">IF(AND(BV$2&lt;&gt;0,TblTech[[#This Row],[Hour]:[Hour]]&gt;=BV$2),1,0)</f>
        <v>0</v>
      </c>
      <c r="BW99" s="276" cm="1">
        <f t="array" ref="BW99">IF(AND(BW$2&lt;&gt;0,TblTech[[#This Row],[Hour]:[Hour]]&gt;=BW$2),1,0)</f>
        <v>0</v>
      </c>
      <c r="BX99" s="276" cm="1">
        <f t="array" ref="BX99">IF(AND(BX$2&lt;&gt;0,TblTech[[#This Row],[Hour]:[Hour]]&gt;=BX$2),1,0)</f>
        <v>0</v>
      </c>
      <c r="BY99" s="276" cm="1">
        <f t="array" ref="BY99">IF(AND(BY$2&lt;&gt;0,TblTech[[#This Row],[Hour]:[Hour]]&gt;=BY$2),1,0)</f>
        <v>0</v>
      </c>
      <c r="BZ99" s="276" cm="1">
        <f t="array" ref="BZ99">IF(AND(BZ$2&lt;&gt;0,TblTech[[#This Row],[Hour]:[Hour]]&gt;=BZ$2),1,0)</f>
        <v>0</v>
      </c>
      <c r="CA99" s="377">
        <f>IFERROR(INDEX($H$4:$H$79,MATCH(INDEX(TblTech[[#Headers],[1-1]:[11-1]],1,MATCH(TblTech[[#This Row],[Hour]],$M$2:$BZ$2,0)),$G$4:$G$79,0)),)</f>
        <v>0</v>
      </c>
    </row>
    <row r="100" spans="1:79" x14ac:dyDescent="0.2">
      <c r="A100" s="268">
        <f>TblRezone[[#This Row],[Hour]]</f>
        <v>97</v>
      </c>
      <c r="B100" s="269">
        <f ca="1">TblExplore[[#This Row],[Land-DB]]</f>
        <v>50</v>
      </c>
      <c r="C100" s="270">
        <f ca="1">TblProd[[#This Row],[Techpoints]]</f>
        <v>0</v>
      </c>
      <c r="D100" s="270">
        <f ca="1">TblProd[[#This Row],[Required]]</f>
        <v>3750</v>
      </c>
      <c r="E100" s="279"/>
      <c r="F100" s="280"/>
      <c r="G100" s="273"/>
      <c r="H100" s="274"/>
      <c r="I100" s="274"/>
      <c r="J100" s="274"/>
      <c r="K100" s="93">
        <f ca="1">IF(TblTech[[#This Row],[Sum of tech]]&lt;&gt;OFFSET(TblTech[[#This Row],[Sum of tech]],-1,0),1,0)</f>
        <v>0</v>
      </c>
      <c r="L100" s="275">
        <f>COUNTIF(TblTech[[#This Row],[1-1]:[11-1]],1)</f>
        <v>0</v>
      </c>
      <c r="M100" s="276" cm="1">
        <f t="array" ref="M100">IF(AND(M$2&lt;&gt;0,TblTech[[#This Row],[Hour]:[Hour]]&gt;=M$2),1,0)</f>
        <v>0</v>
      </c>
      <c r="N100" s="276" cm="1">
        <f t="array" ref="N100">IF(AND(N$2&lt;&gt;0,TblTech[[#This Row],[Hour]:[Hour]]&gt;=N$2),1,0)</f>
        <v>0</v>
      </c>
      <c r="O100" s="276" cm="1">
        <f t="array" ref="O100">IF(AND(O$2&lt;&gt;0,TblTech[[#This Row],[Hour]:[Hour]]&gt;=O$2),1,0)</f>
        <v>0</v>
      </c>
      <c r="P100" s="276" cm="1">
        <f t="array" ref="P100">IF(AND(P$2&lt;&gt;0,TblTech[[#This Row],[Hour]:[Hour]]&gt;=P$2),1,0)</f>
        <v>0</v>
      </c>
      <c r="Q100" s="276" cm="1">
        <f t="array" ref="Q100">IF(AND(Q$2&lt;&gt;0,TblTech[[#This Row],[Hour]:[Hour]]&gt;=Q$2),1,0)</f>
        <v>0</v>
      </c>
      <c r="R100" s="276" cm="1">
        <f t="array" ref="R100">IF(AND(R$2&lt;&gt;0,TblTech[[#This Row],[Hour]:[Hour]]&gt;=R$2),1,0)</f>
        <v>0</v>
      </c>
      <c r="S100" s="276" cm="1">
        <f t="array" ref="S100">IF(AND(S$2&lt;&gt;0,TblTech[[#This Row],[Hour]:[Hour]]&gt;=S$2),1,0)</f>
        <v>0</v>
      </c>
      <c r="T100" s="276" cm="1">
        <f t="array" ref="T100">IF(AND(T$2&lt;&gt;0,TblTech[[#This Row],[Hour]:[Hour]]&gt;=T$2),1,0)</f>
        <v>0</v>
      </c>
      <c r="U100" s="276" cm="1">
        <f t="array" ref="U100">IF(AND(U$2&lt;&gt;0,TblTech[[#This Row],[Hour]:[Hour]]&gt;=U$2),1,0)</f>
        <v>0</v>
      </c>
      <c r="V100" s="276" cm="1">
        <f t="array" ref="V100">IF(AND(V$2&lt;&gt;0,TblTech[[#This Row],[Hour]:[Hour]]&gt;=V$2),1,0)</f>
        <v>0</v>
      </c>
      <c r="W100" s="276" cm="1">
        <f t="array" ref="W100">IF(AND(W$2&lt;&gt;0,TblTech[[#This Row],[Hour]:[Hour]]&gt;=W$2),1,0)</f>
        <v>0</v>
      </c>
      <c r="X100" s="276" cm="1">
        <f t="array" ref="X100">IF(AND(X$2&lt;&gt;0,TblTech[[#This Row],[Hour]:[Hour]]&gt;=X$2),1,0)</f>
        <v>0</v>
      </c>
      <c r="Y100" s="276" cm="1">
        <f t="array" ref="Y100">IF(AND(Y$2&lt;&gt;0,TblTech[[#This Row],[Hour]:[Hour]]&gt;=Y$2),1,0)</f>
        <v>0</v>
      </c>
      <c r="Z100" s="276" cm="1">
        <f t="array" ref="Z100">IF(AND(Z$2&lt;&gt;0,TblTech[[#This Row],[Hour]:[Hour]]&gt;=Z$2),1,0)</f>
        <v>0</v>
      </c>
      <c r="AA100" s="276" cm="1">
        <f t="array" ref="AA100">IF(AND(AA$2&lt;&gt;0,TblTech[[#This Row],[Hour]:[Hour]]&gt;=AA$2),1,0)</f>
        <v>0</v>
      </c>
      <c r="AB100" s="276" cm="1">
        <f t="array" ref="AB100">IF(AND(AB$2&lt;&gt;0,TblTech[[#This Row],[Hour]:[Hour]]&gt;=AB$2),1,0)</f>
        <v>0</v>
      </c>
      <c r="AC100" s="276" cm="1">
        <f t="array" ref="AC100">IF(AND(AC$2&lt;&gt;0,TblTech[[#This Row],[Hour]:[Hour]]&gt;=AC$2),1,0)</f>
        <v>0</v>
      </c>
      <c r="AD100" s="276" cm="1">
        <f t="array" ref="AD100">IF(AND(AD$2&lt;&gt;0,TblTech[[#This Row],[Hour]:[Hour]]&gt;=AD$2),1,0)</f>
        <v>0</v>
      </c>
      <c r="AE100" s="276" cm="1">
        <f t="array" ref="AE100">IF(AND(AE$2&lt;&gt;0,TblTech[[#This Row],[Hour]:[Hour]]&gt;=AE$2),1,0)</f>
        <v>0</v>
      </c>
      <c r="AF100" s="276" cm="1">
        <f t="array" ref="AF100">IF(AND(AF$2&lt;&gt;0,TblTech[[#This Row],[Hour]:[Hour]]&gt;=AF$2),1,0)</f>
        <v>0</v>
      </c>
      <c r="AG100" s="276" cm="1">
        <f t="array" ref="AG100">IF(AND(AG$2&lt;&gt;0,TblTech[[#This Row],[Hour]:[Hour]]&gt;=AG$2),1,0)</f>
        <v>0</v>
      </c>
      <c r="AH100" s="276" cm="1">
        <f t="array" ref="AH100">IF(AND(AH$2&lt;&gt;0,TblTech[[#This Row],[Hour]:[Hour]]&gt;=AH$2),1,0)</f>
        <v>0</v>
      </c>
      <c r="AI100" s="276" cm="1">
        <f t="array" ref="AI100">IF(AND(AI$2&lt;&gt;0,TblTech[[#This Row],[Hour]:[Hour]]&gt;=AI$2),1,0)</f>
        <v>0</v>
      </c>
      <c r="AJ100" s="276" cm="1">
        <f t="array" ref="AJ100">IF(AND(AJ$2&lt;&gt;0,TblTech[[#This Row],[Hour]:[Hour]]&gt;=AJ$2),1,0)</f>
        <v>0</v>
      </c>
      <c r="AK100" s="276" cm="1">
        <f t="array" ref="AK100">IF(AND(AK$2&lt;&gt;0,TblTech[[#This Row],[Hour]:[Hour]]&gt;=AK$2),1,0)</f>
        <v>0</v>
      </c>
      <c r="AL100" s="276" cm="1">
        <f t="array" ref="AL100">IF(AND(AL$2&lt;&gt;0,TblTech[[#This Row],[Hour]:[Hour]]&gt;=AL$2),1,0)</f>
        <v>0</v>
      </c>
      <c r="AM100" s="276" cm="1">
        <f t="array" ref="AM100">IF(AND(AM$2&lt;&gt;0,TblTech[[#This Row],[Hour]:[Hour]]&gt;=AM$2),1,0)</f>
        <v>0</v>
      </c>
      <c r="AN100" s="276" cm="1">
        <f t="array" ref="AN100">IF(AND(AN$2&lt;&gt;0,TblTech[[#This Row],[Hour]:[Hour]]&gt;=AN$2),1,0)</f>
        <v>0</v>
      </c>
      <c r="AO100" s="276" cm="1">
        <f t="array" ref="AO100">IF(AND(AO$2&lt;&gt;0,TblTech[[#This Row],[Hour]:[Hour]]&gt;=AO$2),1,0)</f>
        <v>0</v>
      </c>
      <c r="AP100" s="276" cm="1">
        <f t="array" ref="AP100">IF(AND(AP$2&lt;&gt;0,TblTech[[#This Row],[Hour]:[Hour]]&gt;=AP$2),1,0)</f>
        <v>0</v>
      </c>
      <c r="AQ100" s="276" cm="1">
        <f t="array" ref="AQ100">IF(AND(AQ$2&lt;&gt;0,TblTech[[#This Row],[Hour]:[Hour]]&gt;=AQ$2),1,0)</f>
        <v>0</v>
      </c>
      <c r="AR100" s="276" cm="1">
        <f t="array" ref="AR100">IF(AND(AR$2&lt;&gt;0,TblTech[[#This Row],[Hour]:[Hour]]&gt;=AR$2),1,0)</f>
        <v>0</v>
      </c>
      <c r="AS100" s="276" cm="1">
        <f t="array" ref="AS100">IF(AND(AS$2&lt;&gt;0,TblTech[[#This Row],[Hour]:[Hour]]&gt;=AS$2),1,0)</f>
        <v>0</v>
      </c>
      <c r="AT100" s="276" cm="1">
        <f t="array" ref="AT100">IF(AND(AT$2&lt;&gt;0,TblTech[[#This Row],[Hour]:[Hour]]&gt;=AT$2),1,0)</f>
        <v>0</v>
      </c>
      <c r="AU100" s="276" cm="1">
        <f t="array" ref="AU100">IF(AND(AU$2&lt;&gt;0,TblTech[[#This Row],[Hour]:[Hour]]&gt;=AU$2),1,0)</f>
        <v>0</v>
      </c>
      <c r="AV100" s="276" cm="1">
        <f t="array" ref="AV100">IF(AND(AV$2&lt;&gt;0,TblTech[[#This Row],[Hour]:[Hour]]&gt;=AV$2),1,0)</f>
        <v>0</v>
      </c>
      <c r="AW100" s="276" cm="1">
        <f t="array" ref="AW100">IF(AND(AW$2&lt;&gt;0,TblTech[[#This Row],[Hour]:[Hour]]&gt;=AW$2),1,0)</f>
        <v>0</v>
      </c>
      <c r="AX100" s="276" cm="1">
        <f t="array" ref="AX100">IF(AND(AX$2&lt;&gt;0,TblTech[[#This Row],[Hour]:[Hour]]&gt;=AX$2),1,0)</f>
        <v>0</v>
      </c>
      <c r="AY100" s="276" cm="1">
        <f t="array" ref="AY100">IF(AND(AY$2&lt;&gt;0,TblTech[[#This Row],[Hour]:[Hour]]&gt;=AY$2),1,0)</f>
        <v>0</v>
      </c>
      <c r="AZ100" s="276" cm="1">
        <f t="array" ref="AZ100">IF(AND(AZ$2&lt;&gt;0,TblTech[[#This Row],[Hour]:[Hour]]&gt;=AZ$2),1,0)</f>
        <v>0</v>
      </c>
      <c r="BA100" s="276" cm="1">
        <f t="array" ref="BA100">IF(AND(BA$2&lt;&gt;0,TblTech[[#This Row],[Hour]:[Hour]]&gt;=BA$2),1,0)</f>
        <v>0</v>
      </c>
      <c r="BB100" s="276" cm="1">
        <f t="array" ref="BB100">IF(AND(BB$2&lt;&gt;0,TblTech[[#This Row],[Hour]:[Hour]]&gt;=BB$2),1,0)</f>
        <v>0</v>
      </c>
      <c r="BC100" s="276" cm="1">
        <f t="array" ref="BC100">IF(AND(BC$2&lt;&gt;0,TblTech[[#This Row],[Hour]:[Hour]]&gt;=BC$2),1,0)</f>
        <v>0</v>
      </c>
      <c r="BD100" s="276" cm="1">
        <f t="array" ref="BD100">IF(AND(BD$2&lt;&gt;0,TblTech[[#This Row],[Hour]:[Hour]]&gt;=BD$2),1,0)</f>
        <v>0</v>
      </c>
      <c r="BE100" s="276" cm="1">
        <f t="array" ref="BE100">IF(AND(BE$2&lt;&gt;0,TblTech[[#This Row],[Hour]:[Hour]]&gt;=BE$2),1,0)</f>
        <v>0</v>
      </c>
      <c r="BF100" s="276" cm="1">
        <f t="array" ref="BF100">IF(AND(BF$2&lt;&gt;0,TblTech[[#This Row],[Hour]:[Hour]]&gt;=BF$2),1,0)</f>
        <v>0</v>
      </c>
      <c r="BG100" s="276" cm="1">
        <f t="array" ref="BG100">IF(AND(BG$2&lt;&gt;0,TblTech[[#This Row],[Hour]:[Hour]]&gt;=BG$2),1,0)</f>
        <v>0</v>
      </c>
      <c r="BH100" s="276" cm="1">
        <f t="array" ref="BH100">IF(AND(BH$2&lt;&gt;0,TblTech[[#This Row],[Hour]:[Hour]]&gt;=BH$2),1,0)</f>
        <v>0</v>
      </c>
      <c r="BI100" s="276" cm="1">
        <f t="array" ref="BI100">IF(AND(BI$2&lt;&gt;0,TblTech[[#This Row],[Hour]:[Hour]]&gt;=BI$2),1,0)</f>
        <v>0</v>
      </c>
      <c r="BJ100" s="276" cm="1">
        <f t="array" ref="BJ100">IF(AND(BJ$2&lt;&gt;0,TblTech[[#This Row],[Hour]:[Hour]]&gt;=BJ$2),1,0)</f>
        <v>0</v>
      </c>
      <c r="BK100" s="276" cm="1">
        <f t="array" ref="BK100">IF(AND(BK$2&lt;&gt;0,TblTech[[#This Row],[Hour]:[Hour]]&gt;=BK$2),1,0)</f>
        <v>0</v>
      </c>
      <c r="BL100" s="276" cm="1">
        <f t="array" ref="BL100">IF(AND(BL$2&lt;&gt;0,TblTech[[#This Row],[Hour]:[Hour]]&gt;=BL$2),1,0)</f>
        <v>0</v>
      </c>
      <c r="BM100" s="276" cm="1">
        <f t="array" ref="BM100">IF(AND(BM$2&lt;&gt;0,TblTech[[#This Row],[Hour]:[Hour]]&gt;=BM$2),1,0)</f>
        <v>0</v>
      </c>
      <c r="BN100" s="276" cm="1">
        <f t="array" ref="BN100">IF(AND(BN$2&lt;&gt;0,TblTech[[#This Row],[Hour]:[Hour]]&gt;=BN$2),1,0)</f>
        <v>0</v>
      </c>
      <c r="BO100" s="276" cm="1">
        <f t="array" ref="BO100">IF(AND(BO$2&lt;&gt;0,TblTech[[#This Row],[Hour]:[Hour]]&gt;=BO$2),1,0)</f>
        <v>0</v>
      </c>
      <c r="BP100" s="276" cm="1">
        <f t="array" ref="BP100">IF(AND(BP$2&lt;&gt;0,TblTech[[#This Row],[Hour]:[Hour]]&gt;=BP$2),1,0)</f>
        <v>0</v>
      </c>
      <c r="BQ100" s="276" cm="1">
        <f t="array" ref="BQ100">IF(AND(BQ$2&lt;&gt;0,TblTech[[#This Row],[Hour]:[Hour]]&gt;=BQ$2),1,0)</f>
        <v>0</v>
      </c>
      <c r="BR100" s="276" cm="1">
        <f t="array" ref="BR100">IF(AND(BR$2&lt;&gt;0,TblTech[[#This Row],[Hour]:[Hour]]&gt;=BR$2),1,0)</f>
        <v>0</v>
      </c>
      <c r="BS100" s="276" cm="1">
        <f t="array" ref="BS100">IF(AND(BS$2&lt;&gt;0,TblTech[[#This Row],[Hour]:[Hour]]&gt;=BS$2),1,0)</f>
        <v>0</v>
      </c>
      <c r="BT100" s="276" cm="1">
        <f t="array" ref="BT100">IF(AND(BT$2&lt;&gt;0,TblTech[[#This Row],[Hour]:[Hour]]&gt;=BT$2),1,0)</f>
        <v>0</v>
      </c>
      <c r="BU100" s="276" cm="1">
        <f t="array" ref="BU100">IF(AND(BU$2&lt;&gt;0,TblTech[[#This Row],[Hour]:[Hour]]&gt;=BU$2),1,0)</f>
        <v>0</v>
      </c>
      <c r="BV100" s="276" cm="1">
        <f t="array" ref="BV100">IF(AND(BV$2&lt;&gt;0,TblTech[[#This Row],[Hour]:[Hour]]&gt;=BV$2),1,0)</f>
        <v>0</v>
      </c>
      <c r="BW100" s="276" cm="1">
        <f t="array" ref="BW100">IF(AND(BW$2&lt;&gt;0,TblTech[[#This Row],[Hour]:[Hour]]&gt;=BW$2),1,0)</f>
        <v>0</v>
      </c>
      <c r="BX100" s="276" cm="1">
        <f t="array" ref="BX100">IF(AND(BX$2&lt;&gt;0,TblTech[[#This Row],[Hour]:[Hour]]&gt;=BX$2),1,0)</f>
        <v>0</v>
      </c>
      <c r="BY100" s="276" cm="1">
        <f t="array" ref="BY100">IF(AND(BY$2&lt;&gt;0,TblTech[[#This Row],[Hour]:[Hour]]&gt;=BY$2),1,0)</f>
        <v>0</v>
      </c>
      <c r="BZ100" s="276" cm="1">
        <f t="array" ref="BZ100">IF(AND(BZ$2&lt;&gt;0,TblTech[[#This Row],[Hour]:[Hour]]&gt;=BZ$2),1,0)</f>
        <v>0</v>
      </c>
      <c r="CA100" s="377">
        <f>IFERROR(INDEX($H$4:$H$79,MATCH(INDEX(TblTech[[#Headers],[1-1]:[11-1]],1,MATCH(TblTech[[#This Row],[Hour]],$M$2:$BZ$2,0)),$G$4:$G$79,0)),)</f>
        <v>0</v>
      </c>
    </row>
    <row r="101" spans="1:79" x14ac:dyDescent="0.2">
      <c r="A101" s="268">
        <f>TblRezone[[#This Row],[Hour]]</f>
        <v>98</v>
      </c>
      <c r="B101" s="269">
        <f ca="1">TblExplore[[#This Row],[Land-DB]]</f>
        <v>50</v>
      </c>
      <c r="C101" s="270">
        <f ca="1">TblProd[[#This Row],[Techpoints]]</f>
        <v>0</v>
      </c>
      <c r="D101" s="270">
        <f ca="1">TblProd[[#This Row],[Required]]</f>
        <v>3750</v>
      </c>
      <c r="E101" s="279"/>
      <c r="F101" s="280"/>
      <c r="G101" s="273"/>
      <c r="H101" s="274"/>
      <c r="I101" s="274"/>
      <c r="J101" s="274"/>
      <c r="K101" s="93">
        <f ca="1">IF(TblTech[[#This Row],[Sum of tech]]&lt;&gt;OFFSET(TblTech[[#This Row],[Sum of tech]],-1,0),1,0)</f>
        <v>0</v>
      </c>
      <c r="L101" s="275">
        <f>COUNTIF(TblTech[[#This Row],[1-1]:[11-1]],1)</f>
        <v>0</v>
      </c>
      <c r="M101" s="276" cm="1">
        <f t="array" ref="M101">IF(AND(M$2&lt;&gt;0,TblTech[[#This Row],[Hour]:[Hour]]&gt;=M$2),1,0)</f>
        <v>0</v>
      </c>
      <c r="N101" s="276" cm="1">
        <f t="array" ref="N101">IF(AND(N$2&lt;&gt;0,TblTech[[#This Row],[Hour]:[Hour]]&gt;=N$2),1,0)</f>
        <v>0</v>
      </c>
      <c r="O101" s="276" cm="1">
        <f t="array" ref="O101">IF(AND(O$2&lt;&gt;0,TblTech[[#This Row],[Hour]:[Hour]]&gt;=O$2),1,0)</f>
        <v>0</v>
      </c>
      <c r="P101" s="276" cm="1">
        <f t="array" ref="P101">IF(AND(P$2&lt;&gt;0,TblTech[[#This Row],[Hour]:[Hour]]&gt;=P$2),1,0)</f>
        <v>0</v>
      </c>
      <c r="Q101" s="276" cm="1">
        <f t="array" ref="Q101">IF(AND(Q$2&lt;&gt;0,TblTech[[#This Row],[Hour]:[Hour]]&gt;=Q$2),1,0)</f>
        <v>0</v>
      </c>
      <c r="R101" s="276" cm="1">
        <f t="array" ref="R101">IF(AND(R$2&lt;&gt;0,TblTech[[#This Row],[Hour]:[Hour]]&gt;=R$2),1,0)</f>
        <v>0</v>
      </c>
      <c r="S101" s="276" cm="1">
        <f t="array" ref="S101">IF(AND(S$2&lt;&gt;0,TblTech[[#This Row],[Hour]:[Hour]]&gt;=S$2),1,0)</f>
        <v>0</v>
      </c>
      <c r="T101" s="276" cm="1">
        <f t="array" ref="T101">IF(AND(T$2&lt;&gt;0,TblTech[[#This Row],[Hour]:[Hour]]&gt;=T$2),1,0)</f>
        <v>0</v>
      </c>
      <c r="U101" s="276" cm="1">
        <f t="array" ref="U101">IF(AND(U$2&lt;&gt;0,TblTech[[#This Row],[Hour]:[Hour]]&gt;=U$2),1,0)</f>
        <v>0</v>
      </c>
      <c r="V101" s="276" cm="1">
        <f t="array" ref="V101">IF(AND(V$2&lt;&gt;0,TblTech[[#This Row],[Hour]:[Hour]]&gt;=V$2),1,0)</f>
        <v>0</v>
      </c>
      <c r="W101" s="276" cm="1">
        <f t="array" ref="W101">IF(AND(W$2&lt;&gt;0,TblTech[[#This Row],[Hour]:[Hour]]&gt;=W$2),1,0)</f>
        <v>0</v>
      </c>
      <c r="X101" s="276" cm="1">
        <f t="array" ref="X101">IF(AND(X$2&lt;&gt;0,TblTech[[#This Row],[Hour]:[Hour]]&gt;=X$2),1,0)</f>
        <v>0</v>
      </c>
      <c r="Y101" s="276" cm="1">
        <f t="array" ref="Y101">IF(AND(Y$2&lt;&gt;0,TblTech[[#This Row],[Hour]:[Hour]]&gt;=Y$2),1,0)</f>
        <v>0</v>
      </c>
      <c r="Z101" s="276" cm="1">
        <f t="array" ref="Z101">IF(AND(Z$2&lt;&gt;0,TblTech[[#This Row],[Hour]:[Hour]]&gt;=Z$2),1,0)</f>
        <v>0</v>
      </c>
      <c r="AA101" s="276" cm="1">
        <f t="array" ref="AA101">IF(AND(AA$2&lt;&gt;0,TblTech[[#This Row],[Hour]:[Hour]]&gt;=AA$2),1,0)</f>
        <v>0</v>
      </c>
      <c r="AB101" s="276" cm="1">
        <f t="array" ref="AB101">IF(AND(AB$2&lt;&gt;0,TblTech[[#This Row],[Hour]:[Hour]]&gt;=AB$2),1,0)</f>
        <v>0</v>
      </c>
      <c r="AC101" s="276" cm="1">
        <f t="array" ref="AC101">IF(AND(AC$2&lt;&gt;0,TblTech[[#This Row],[Hour]:[Hour]]&gt;=AC$2),1,0)</f>
        <v>0</v>
      </c>
      <c r="AD101" s="276" cm="1">
        <f t="array" ref="AD101">IF(AND(AD$2&lt;&gt;0,TblTech[[#This Row],[Hour]:[Hour]]&gt;=AD$2),1,0)</f>
        <v>0</v>
      </c>
      <c r="AE101" s="276" cm="1">
        <f t="array" ref="AE101">IF(AND(AE$2&lt;&gt;0,TblTech[[#This Row],[Hour]:[Hour]]&gt;=AE$2),1,0)</f>
        <v>0</v>
      </c>
      <c r="AF101" s="276" cm="1">
        <f t="array" ref="AF101">IF(AND(AF$2&lt;&gt;0,TblTech[[#This Row],[Hour]:[Hour]]&gt;=AF$2),1,0)</f>
        <v>0</v>
      </c>
      <c r="AG101" s="276" cm="1">
        <f t="array" ref="AG101">IF(AND(AG$2&lt;&gt;0,TblTech[[#This Row],[Hour]:[Hour]]&gt;=AG$2),1,0)</f>
        <v>0</v>
      </c>
      <c r="AH101" s="276" cm="1">
        <f t="array" ref="AH101">IF(AND(AH$2&lt;&gt;0,TblTech[[#This Row],[Hour]:[Hour]]&gt;=AH$2),1,0)</f>
        <v>0</v>
      </c>
      <c r="AI101" s="276" cm="1">
        <f t="array" ref="AI101">IF(AND(AI$2&lt;&gt;0,TblTech[[#This Row],[Hour]:[Hour]]&gt;=AI$2),1,0)</f>
        <v>0</v>
      </c>
      <c r="AJ101" s="276" cm="1">
        <f t="array" ref="AJ101">IF(AND(AJ$2&lt;&gt;0,TblTech[[#This Row],[Hour]:[Hour]]&gt;=AJ$2),1,0)</f>
        <v>0</v>
      </c>
      <c r="AK101" s="276" cm="1">
        <f t="array" ref="AK101">IF(AND(AK$2&lt;&gt;0,TblTech[[#This Row],[Hour]:[Hour]]&gt;=AK$2),1,0)</f>
        <v>0</v>
      </c>
      <c r="AL101" s="276" cm="1">
        <f t="array" ref="AL101">IF(AND(AL$2&lt;&gt;0,TblTech[[#This Row],[Hour]:[Hour]]&gt;=AL$2),1,0)</f>
        <v>0</v>
      </c>
      <c r="AM101" s="276" cm="1">
        <f t="array" ref="AM101">IF(AND(AM$2&lt;&gt;0,TblTech[[#This Row],[Hour]:[Hour]]&gt;=AM$2),1,0)</f>
        <v>0</v>
      </c>
      <c r="AN101" s="276" cm="1">
        <f t="array" ref="AN101">IF(AND(AN$2&lt;&gt;0,TblTech[[#This Row],[Hour]:[Hour]]&gt;=AN$2),1,0)</f>
        <v>0</v>
      </c>
      <c r="AO101" s="276" cm="1">
        <f t="array" ref="AO101">IF(AND(AO$2&lt;&gt;0,TblTech[[#This Row],[Hour]:[Hour]]&gt;=AO$2),1,0)</f>
        <v>0</v>
      </c>
      <c r="AP101" s="276" cm="1">
        <f t="array" ref="AP101">IF(AND(AP$2&lt;&gt;0,TblTech[[#This Row],[Hour]:[Hour]]&gt;=AP$2),1,0)</f>
        <v>0</v>
      </c>
      <c r="AQ101" s="276" cm="1">
        <f t="array" ref="AQ101">IF(AND(AQ$2&lt;&gt;0,TblTech[[#This Row],[Hour]:[Hour]]&gt;=AQ$2),1,0)</f>
        <v>0</v>
      </c>
      <c r="AR101" s="276" cm="1">
        <f t="array" ref="AR101">IF(AND(AR$2&lt;&gt;0,TblTech[[#This Row],[Hour]:[Hour]]&gt;=AR$2),1,0)</f>
        <v>0</v>
      </c>
      <c r="AS101" s="276" cm="1">
        <f t="array" ref="AS101">IF(AND(AS$2&lt;&gt;0,TblTech[[#This Row],[Hour]:[Hour]]&gt;=AS$2),1,0)</f>
        <v>0</v>
      </c>
      <c r="AT101" s="276" cm="1">
        <f t="array" ref="AT101">IF(AND(AT$2&lt;&gt;0,TblTech[[#This Row],[Hour]:[Hour]]&gt;=AT$2),1,0)</f>
        <v>0</v>
      </c>
      <c r="AU101" s="276" cm="1">
        <f t="array" ref="AU101">IF(AND(AU$2&lt;&gt;0,TblTech[[#This Row],[Hour]:[Hour]]&gt;=AU$2),1,0)</f>
        <v>0</v>
      </c>
      <c r="AV101" s="276" cm="1">
        <f t="array" ref="AV101">IF(AND(AV$2&lt;&gt;0,TblTech[[#This Row],[Hour]:[Hour]]&gt;=AV$2),1,0)</f>
        <v>0</v>
      </c>
      <c r="AW101" s="276" cm="1">
        <f t="array" ref="AW101">IF(AND(AW$2&lt;&gt;0,TblTech[[#This Row],[Hour]:[Hour]]&gt;=AW$2),1,0)</f>
        <v>0</v>
      </c>
      <c r="AX101" s="276" cm="1">
        <f t="array" ref="AX101">IF(AND(AX$2&lt;&gt;0,TblTech[[#This Row],[Hour]:[Hour]]&gt;=AX$2),1,0)</f>
        <v>0</v>
      </c>
      <c r="AY101" s="276" cm="1">
        <f t="array" ref="AY101">IF(AND(AY$2&lt;&gt;0,TblTech[[#This Row],[Hour]:[Hour]]&gt;=AY$2),1,0)</f>
        <v>0</v>
      </c>
      <c r="AZ101" s="276" cm="1">
        <f t="array" ref="AZ101">IF(AND(AZ$2&lt;&gt;0,TblTech[[#This Row],[Hour]:[Hour]]&gt;=AZ$2),1,0)</f>
        <v>0</v>
      </c>
      <c r="BA101" s="276" cm="1">
        <f t="array" ref="BA101">IF(AND(BA$2&lt;&gt;0,TblTech[[#This Row],[Hour]:[Hour]]&gt;=BA$2),1,0)</f>
        <v>0</v>
      </c>
      <c r="BB101" s="276" cm="1">
        <f t="array" ref="BB101">IF(AND(BB$2&lt;&gt;0,TblTech[[#This Row],[Hour]:[Hour]]&gt;=BB$2),1,0)</f>
        <v>0</v>
      </c>
      <c r="BC101" s="276" cm="1">
        <f t="array" ref="BC101">IF(AND(BC$2&lt;&gt;0,TblTech[[#This Row],[Hour]:[Hour]]&gt;=BC$2),1,0)</f>
        <v>0</v>
      </c>
      <c r="BD101" s="276" cm="1">
        <f t="array" ref="BD101">IF(AND(BD$2&lt;&gt;0,TblTech[[#This Row],[Hour]:[Hour]]&gt;=BD$2),1,0)</f>
        <v>0</v>
      </c>
      <c r="BE101" s="276" cm="1">
        <f t="array" ref="BE101">IF(AND(BE$2&lt;&gt;0,TblTech[[#This Row],[Hour]:[Hour]]&gt;=BE$2),1,0)</f>
        <v>0</v>
      </c>
      <c r="BF101" s="276" cm="1">
        <f t="array" ref="BF101">IF(AND(BF$2&lt;&gt;0,TblTech[[#This Row],[Hour]:[Hour]]&gt;=BF$2),1,0)</f>
        <v>0</v>
      </c>
      <c r="BG101" s="276" cm="1">
        <f t="array" ref="BG101">IF(AND(BG$2&lt;&gt;0,TblTech[[#This Row],[Hour]:[Hour]]&gt;=BG$2),1,0)</f>
        <v>0</v>
      </c>
      <c r="BH101" s="276" cm="1">
        <f t="array" ref="BH101">IF(AND(BH$2&lt;&gt;0,TblTech[[#This Row],[Hour]:[Hour]]&gt;=BH$2),1,0)</f>
        <v>0</v>
      </c>
      <c r="BI101" s="276" cm="1">
        <f t="array" ref="BI101">IF(AND(BI$2&lt;&gt;0,TblTech[[#This Row],[Hour]:[Hour]]&gt;=BI$2),1,0)</f>
        <v>0</v>
      </c>
      <c r="BJ101" s="276" cm="1">
        <f t="array" ref="BJ101">IF(AND(BJ$2&lt;&gt;0,TblTech[[#This Row],[Hour]:[Hour]]&gt;=BJ$2),1,0)</f>
        <v>0</v>
      </c>
      <c r="BK101" s="276" cm="1">
        <f t="array" ref="BK101">IF(AND(BK$2&lt;&gt;0,TblTech[[#This Row],[Hour]:[Hour]]&gt;=BK$2),1,0)</f>
        <v>0</v>
      </c>
      <c r="BL101" s="276" cm="1">
        <f t="array" ref="BL101">IF(AND(BL$2&lt;&gt;0,TblTech[[#This Row],[Hour]:[Hour]]&gt;=BL$2),1,0)</f>
        <v>0</v>
      </c>
      <c r="BM101" s="276" cm="1">
        <f t="array" ref="BM101">IF(AND(BM$2&lt;&gt;0,TblTech[[#This Row],[Hour]:[Hour]]&gt;=BM$2),1,0)</f>
        <v>0</v>
      </c>
      <c r="BN101" s="276" cm="1">
        <f t="array" ref="BN101">IF(AND(BN$2&lt;&gt;0,TblTech[[#This Row],[Hour]:[Hour]]&gt;=BN$2),1,0)</f>
        <v>0</v>
      </c>
      <c r="BO101" s="276" cm="1">
        <f t="array" ref="BO101">IF(AND(BO$2&lt;&gt;0,TblTech[[#This Row],[Hour]:[Hour]]&gt;=BO$2),1,0)</f>
        <v>0</v>
      </c>
      <c r="BP101" s="276" cm="1">
        <f t="array" ref="BP101">IF(AND(BP$2&lt;&gt;0,TblTech[[#This Row],[Hour]:[Hour]]&gt;=BP$2),1,0)</f>
        <v>0</v>
      </c>
      <c r="BQ101" s="276" cm="1">
        <f t="array" ref="BQ101">IF(AND(BQ$2&lt;&gt;0,TblTech[[#This Row],[Hour]:[Hour]]&gt;=BQ$2),1,0)</f>
        <v>0</v>
      </c>
      <c r="BR101" s="276" cm="1">
        <f t="array" ref="BR101">IF(AND(BR$2&lt;&gt;0,TblTech[[#This Row],[Hour]:[Hour]]&gt;=BR$2),1,0)</f>
        <v>0</v>
      </c>
      <c r="BS101" s="276" cm="1">
        <f t="array" ref="BS101">IF(AND(BS$2&lt;&gt;0,TblTech[[#This Row],[Hour]:[Hour]]&gt;=BS$2),1,0)</f>
        <v>0</v>
      </c>
      <c r="BT101" s="276" cm="1">
        <f t="array" ref="BT101">IF(AND(BT$2&lt;&gt;0,TblTech[[#This Row],[Hour]:[Hour]]&gt;=BT$2),1,0)</f>
        <v>0</v>
      </c>
      <c r="BU101" s="276" cm="1">
        <f t="array" ref="BU101">IF(AND(BU$2&lt;&gt;0,TblTech[[#This Row],[Hour]:[Hour]]&gt;=BU$2),1,0)</f>
        <v>0</v>
      </c>
      <c r="BV101" s="276" cm="1">
        <f t="array" ref="BV101">IF(AND(BV$2&lt;&gt;0,TblTech[[#This Row],[Hour]:[Hour]]&gt;=BV$2),1,0)</f>
        <v>0</v>
      </c>
      <c r="BW101" s="276" cm="1">
        <f t="array" ref="BW101">IF(AND(BW$2&lt;&gt;0,TblTech[[#This Row],[Hour]:[Hour]]&gt;=BW$2),1,0)</f>
        <v>0</v>
      </c>
      <c r="BX101" s="276" cm="1">
        <f t="array" ref="BX101">IF(AND(BX$2&lt;&gt;0,TblTech[[#This Row],[Hour]:[Hour]]&gt;=BX$2),1,0)</f>
        <v>0</v>
      </c>
      <c r="BY101" s="276" cm="1">
        <f t="array" ref="BY101">IF(AND(BY$2&lt;&gt;0,TblTech[[#This Row],[Hour]:[Hour]]&gt;=BY$2),1,0)</f>
        <v>0</v>
      </c>
      <c r="BZ101" s="276" cm="1">
        <f t="array" ref="BZ101">IF(AND(BZ$2&lt;&gt;0,TblTech[[#This Row],[Hour]:[Hour]]&gt;=BZ$2),1,0)</f>
        <v>0</v>
      </c>
      <c r="CA101" s="377">
        <f>IFERROR(INDEX($H$4:$H$79,MATCH(INDEX(TblTech[[#Headers],[1-1]:[11-1]],1,MATCH(TblTech[[#This Row],[Hour]],$M$2:$BZ$2,0)),$G$4:$G$79,0)),)</f>
        <v>0</v>
      </c>
    </row>
    <row r="102" spans="1:79" x14ac:dyDescent="0.2">
      <c r="A102" s="268">
        <f>TblRezone[[#This Row],[Hour]]</f>
        <v>99</v>
      </c>
      <c r="B102" s="269">
        <f ca="1">TblExplore[[#This Row],[Land-DB]]</f>
        <v>50</v>
      </c>
      <c r="C102" s="270">
        <f ca="1">TblProd[[#This Row],[Techpoints]]</f>
        <v>0</v>
      </c>
      <c r="D102" s="270">
        <f ca="1">TblProd[[#This Row],[Required]]</f>
        <v>3750</v>
      </c>
      <c r="E102" s="279"/>
      <c r="F102" s="280"/>
      <c r="G102" s="273"/>
      <c r="H102" s="274"/>
      <c r="I102" s="274"/>
      <c r="J102" s="274"/>
      <c r="K102" s="93">
        <f ca="1">IF(TblTech[[#This Row],[Sum of tech]]&lt;&gt;OFFSET(TblTech[[#This Row],[Sum of tech]],-1,0),1,0)</f>
        <v>0</v>
      </c>
      <c r="L102" s="275">
        <f>COUNTIF(TblTech[[#This Row],[1-1]:[11-1]],1)</f>
        <v>0</v>
      </c>
      <c r="M102" s="276" cm="1">
        <f t="array" ref="M102">IF(AND(M$2&lt;&gt;0,TblTech[[#This Row],[Hour]:[Hour]]&gt;=M$2),1,0)</f>
        <v>0</v>
      </c>
      <c r="N102" s="276" cm="1">
        <f t="array" ref="N102">IF(AND(N$2&lt;&gt;0,TblTech[[#This Row],[Hour]:[Hour]]&gt;=N$2),1,0)</f>
        <v>0</v>
      </c>
      <c r="O102" s="276" cm="1">
        <f t="array" ref="O102">IF(AND(O$2&lt;&gt;0,TblTech[[#This Row],[Hour]:[Hour]]&gt;=O$2),1,0)</f>
        <v>0</v>
      </c>
      <c r="P102" s="276" cm="1">
        <f t="array" ref="P102">IF(AND(P$2&lt;&gt;0,TblTech[[#This Row],[Hour]:[Hour]]&gt;=P$2),1,0)</f>
        <v>0</v>
      </c>
      <c r="Q102" s="276" cm="1">
        <f t="array" ref="Q102">IF(AND(Q$2&lt;&gt;0,TblTech[[#This Row],[Hour]:[Hour]]&gt;=Q$2),1,0)</f>
        <v>0</v>
      </c>
      <c r="R102" s="276" cm="1">
        <f t="array" ref="R102">IF(AND(R$2&lt;&gt;0,TblTech[[#This Row],[Hour]:[Hour]]&gt;=R$2),1,0)</f>
        <v>0</v>
      </c>
      <c r="S102" s="276" cm="1">
        <f t="array" ref="S102">IF(AND(S$2&lt;&gt;0,TblTech[[#This Row],[Hour]:[Hour]]&gt;=S$2),1,0)</f>
        <v>0</v>
      </c>
      <c r="T102" s="276" cm="1">
        <f t="array" ref="T102">IF(AND(T$2&lt;&gt;0,TblTech[[#This Row],[Hour]:[Hour]]&gt;=T$2),1,0)</f>
        <v>0</v>
      </c>
      <c r="U102" s="276" cm="1">
        <f t="array" ref="U102">IF(AND(U$2&lt;&gt;0,TblTech[[#This Row],[Hour]:[Hour]]&gt;=U$2),1,0)</f>
        <v>0</v>
      </c>
      <c r="V102" s="276" cm="1">
        <f t="array" ref="V102">IF(AND(V$2&lt;&gt;0,TblTech[[#This Row],[Hour]:[Hour]]&gt;=V$2),1,0)</f>
        <v>0</v>
      </c>
      <c r="W102" s="276" cm="1">
        <f t="array" ref="W102">IF(AND(W$2&lt;&gt;0,TblTech[[#This Row],[Hour]:[Hour]]&gt;=W$2),1,0)</f>
        <v>0</v>
      </c>
      <c r="X102" s="276" cm="1">
        <f t="array" ref="X102">IF(AND(X$2&lt;&gt;0,TblTech[[#This Row],[Hour]:[Hour]]&gt;=X$2),1,0)</f>
        <v>0</v>
      </c>
      <c r="Y102" s="276" cm="1">
        <f t="array" ref="Y102">IF(AND(Y$2&lt;&gt;0,TblTech[[#This Row],[Hour]:[Hour]]&gt;=Y$2),1,0)</f>
        <v>0</v>
      </c>
      <c r="Z102" s="276" cm="1">
        <f t="array" ref="Z102">IF(AND(Z$2&lt;&gt;0,TblTech[[#This Row],[Hour]:[Hour]]&gt;=Z$2),1,0)</f>
        <v>0</v>
      </c>
      <c r="AA102" s="276" cm="1">
        <f t="array" ref="AA102">IF(AND(AA$2&lt;&gt;0,TblTech[[#This Row],[Hour]:[Hour]]&gt;=AA$2),1,0)</f>
        <v>0</v>
      </c>
      <c r="AB102" s="276" cm="1">
        <f t="array" ref="AB102">IF(AND(AB$2&lt;&gt;0,TblTech[[#This Row],[Hour]:[Hour]]&gt;=AB$2),1,0)</f>
        <v>0</v>
      </c>
      <c r="AC102" s="276" cm="1">
        <f t="array" ref="AC102">IF(AND(AC$2&lt;&gt;0,TblTech[[#This Row],[Hour]:[Hour]]&gt;=AC$2),1,0)</f>
        <v>0</v>
      </c>
      <c r="AD102" s="276" cm="1">
        <f t="array" ref="AD102">IF(AND(AD$2&lt;&gt;0,TblTech[[#This Row],[Hour]:[Hour]]&gt;=AD$2),1,0)</f>
        <v>0</v>
      </c>
      <c r="AE102" s="276" cm="1">
        <f t="array" ref="AE102">IF(AND(AE$2&lt;&gt;0,TblTech[[#This Row],[Hour]:[Hour]]&gt;=AE$2),1,0)</f>
        <v>0</v>
      </c>
      <c r="AF102" s="276" cm="1">
        <f t="array" ref="AF102">IF(AND(AF$2&lt;&gt;0,TblTech[[#This Row],[Hour]:[Hour]]&gt;=AF$2),1,0)</f>
        <v>0</v>
      </c>
      <c r="AG102" s="276" cm="1">
        <f t="array" ref="AG102">IF(AND(AG$2&lt;&gt;0,TblTech[[#This Row],[Hour]:[Hour]]&gt;=AG$2),1,0)</f>
        <v>0</v>
      </c>
      <c r="AH102" s="276" cm="1">
        <f t="array" ref="AH102">IF(AND(AH$2&lt;&gt;0,TblTech[[#This Row],[Hour]:[Hour]]&gt;=AH$2),1,0)</f>
        <v>0</v>
      </c>
      <c r="AI102" s="276" cm="1">
        <f t="array" ref="AI102">IF(AND(AI$2&lt;&gt;0,TblTech[[#This Row],[Hour]:[Hour]]&gt;=AI$2),1,0)</f>
        <v>0</v>
      </c>
      <c r="AJ102" s="276" cm="1">
        <f t="array" ref="AJ102">IF(AND(AJ$2&lt;&gt;0,TblTech[[#This Row],[Hour]:[Hour]]&gt;=AJ$2),1,0)</f>
        <v>0</v>
      </c>
      <c r="AK102" s="276" cm="1">
        <f t="array" ref="AK102">IF(AND(AK$2&lt;&gt;0,TblTech[[#This Row],[Hour]:[Hour]]&gt;=AK$2),1,0)</f>
        <v>0</v>
      </c>
      <c r="AL102" s="276" cm="1">
        <f t="array" ref="AL102">IF(AND(AL$2&lt;&gt;0,TblTech[[#This Row],[Hour]:[Hour]]&gt;=AL$2),1,0)</f>
        <v>0</v>
      </c>
      <c r="AM102" s="276" cm="1">
        <f t="array" ref="AM102">IF(AND(AM$2&lt;&gt;0,TblTech[[#This Row],[Hour]:[Hour]]&gt;=AM$2),1,0)</f>
        <v>0</v>
      </c>
      <c r="AN102" s="276" cm="1">
        <f t="array" ref="AN102">IF(AND(AN$2&lt;&gt;0,TblTech[[#This Row],[Hour]:[Hour]]&gt;=AN$2),1,0)</f>
        <v>0</v>
      </c>
      <c r="AO102" s="276" cm="1">
        <f t="array" ref="AO102">IF(AND(AO$2&lt;&gt;0,TblTech[[#This Row],[Hour]:[Hour]]&gt;=AO$2),1,0)</f>
        <v>0</v>
      </c>
      <c r="AP102" s="276" cm="1">
        <f t="array" ref="AP102">IF(AND(AP$2&lt;&gt;0,TblTech[[#This Row],[Hour]:[Hour]]&gt;=AP$2),1,0)</f>
        <v>0</v>
      </c>
      <c r="AQ102" s="276" cm="1">
        <f t="array" ref="AQ102">IF(AND(AQ$2&lt;&gt;0,TblTech[[#This Row],[Hour]:[Hour]]&gt;=AQ$2),1,0)</f>
        <v>0</v>
      </c>
      <c r="AR102" s="276" cm="1">
        <f t="array" ref="AR102">IF(AND(AR$2&lt;&gt;0,TblTech[[#This Row],[Hour]:[Hour]]&gt;=AR$2),1,0)</f>
        <v>0</v>
      </c>
      <c r="AS102" s="276" cm="1">
        <f t="array" ref="AS102">IF(AND(AS$2&lt;&gt;0,TblTech[[#This Row],[Hour]:[Hour]]&gt;=AS$2),1,0)</f>
        <v>0</v>
      </c>
      <c r="AT102" s="276" cm="1">
        <f t="array" ref="AT102">IF(AND(AT$2&lt;&gt;0,TblTech[[#This Row],[Hour]:[Hour]]&gt;=AT$2),1,0)</f>
        <v>0</v>
      </c>
      <c r="AU102" s="276" cm="1">
        <f t="array" ref="AU102">IF(AND(AU$2&lt;&gt;0,TblTech[[#This Row],[Hour]:[Hour]]&gt;=AU$2),1,0)</f>
        <v>0</v>
      </c>
      <c r="AV102" s="276" cm="1">
        <f t="array" ref="AV102">IF(AND(AV$2&lt;&gt;0,TblTech[[#This Row],[Hour]:[Hour]]&gt;=AV$2),1,0)</f>
        <v>0</v>
      </c>
      <c r="AW102" s="276" cm="1">
        <f t="array" ref="AW102">IF(AND(AW$2&lt;&gt;0,TblTech[[#This Row],[Hour]:[Hour]]&gt;=AW$2),1,0)</f>
        <v>0</v>
      </c>
      <c r="AX102" s="276" cm="1">
        <f t="array" ref="AX102">IF(AND(AX$2&lt;&gt;0,TblTech[[#This Row],[Hour]:[Hour]]&gt;=AX$2),1,0)</f>
        <v>0</v>
      </c>
      <c r="AY102" s="276" cm="1">
        <f t="array" ref="AY102">IF(AND(AY$2&lt;&gt;0,TblTech[[#This Row],[Hour]:[Hour]]&gt;=AY$2),1,0)</f>
        <v>0</v>
      </c>
      <c r="AZ102" s="276" cm="1">
        <f t="array" ref="AZ102">IF(AND(AZ$2&lt;&gt;0,TblTech[[#This Row],[Hour]:[Hour]]&gt;=AZ$2),1,0)</f>
        <v>0</v>
      </c>
      <c r="BA102" s="276" cm="1">
        <f t="array" ref="BA102">IF(AND(BA$2&lt;&gt;0,TblTech[[#This Row],[Hour]:[Hour]]&gt;=BA$2),1,0)</f>
        <v>0</v>
      </c>
      <c r="BB102" s="276" cm="1">
        <f t="array" ref="BB102">IF(AND(BB$2&lt;&gt;0,TblTech[[#This Row],[Hour]:[Hour]]&gt;=BB$2),1,0)</f>
        <v>0</v>
      </c>
      <c r="BC102" s="276" cm="1">
        <f t="array" ref="BC102">IF(AND(BC$2&lt;&gt;0,TblTech[[#This Row],[Hour]:[Hour]]&gt;=BC$2),1,0)</f>
        <v>0</v>
      </c>
      <c r="BD102" s="276" cm="1">
        <f t="array" ref="BD102">IF(AND(BD$2&lt;&gt;0,TblTech[[#This Row],[Hour]:[Hour]]&gt;=BD$2),1,0)</f>
        <v>0</v>
      </c>
      <c r="BE102" s="276" cm="1">
        <f t="array" ref="BE102">IF(AND(BE$2&lt;&gt;0,TblTech[[#This Row],[Hour]:[Hour]]&gt;=BE$2),1,0)</f>
        <v>0</v>
      </c>
      <c r="BF102" s="276" cm="1">
        <f t="array" ref="BF102">IF(AND(BF$2&lt;&gt;0,TblTech[[#This Row],[Hour]:[Hour]]&gt;=BF$2),1,0)</f>
        <v>0</v>
      </c>
      <c r="BG102" s="276" cm="1">
        <f t="array" ref="BG102">IF(AND(BG$2&lt;&gt;0,TblTech[[#This Row],[Hour]:[Hour]]&gt;=BG$2),1,0)</f>
        <v>0</v>
      </c>
      <c r="BH102" s="276" cm="1">
        <f t="array" ref="BH102">IF(AND(BH$2&lt;&gt;0,TblTech[[#This Row],[Hour]:[Hour]]&gt;=BH$2),1,0)</f>
        <v>0</v>
      </c>
      <c r="BI102" s="276" cm="1">
        <f t="array" ref="BI102">IF(AND(BI$2&lt;&gt;0,TblTech[[#This Row],[Hour]:[Hour]]&gt;=BI$2),1,0)</f>
        <v>0</v>
      </c>
      <c r="BJ102" s="276" cm="1">
        <f t="array" ref="BJ102">IF(AND(BJ$2&lt;&gt;0,TblTech[[#This Row],[Hour]:[Hour]]&gt;=BJ$2),1,0)</f>
        <v>0</v>
      </c>
      <c r="BK102" s="276" cm="1">
        <f t="array" ref="BK102">IF(AND(BK$2&lt;&gt;0,TblTech[[#This Row],[Hour]:[Hour]]&gt;=BK$2),1,0)</f>
        <v>0</v>
      </c>
      <c r="BL102" s="276" cm="1">
        <f t="array" ref="BL102">IF(AND(BL$2&lt;&gt;0,TblTech[[#This Row],[Hour]:[Hour]]&gt;=BL$2),1,0)</f>
        <v>0</v>
      </c>
      <c r="BM102" s="276" cm="1">
        <f t="array" ref="BM102">IF(AND(BM$2&lt;&gt;0,TblTech[[#This Row],[Hour]:[Hour]]&gt;=BM$2),1,0)</f>
        <v>0</v>
      </c>
      <c r="BN102" s="276" cm="1">
        <f t="array" ref="BN102">IF(AND(BN$2&lt;&gt;0,TblTech[[#This Row],[Hour]:[Hour]]&gt;=BN$2),1,0)</f>
        <v>0</v>
      </c>
      <c r="BO102" s="276" cm="1">
        <f t="array" ref="BO102">IF(AND(BO$2&lt;&gt;0,TblTech[[#This Row],[Hour]:[Hour]]&gt;=BO$2),1,0)</f>
        <v>0</v>
      </c>
      <c r="BP102" s="276" cm="1">
        <f t="array" ref="BP102">IF(AND(BP$2&lt;&gt;0,TblTech[[#This Row],[Hour]:[Hour]]&gt;=BP$2),1,0)</f>
        <v>0</v>
      </c>
      <c r="BQ102" s="276" cm="1">
        <f t="array" ref="BQ102">IF(AND(BQ$2&lt;&gt;0,TblTech[[#This Row],[Hour]:[Hour]]&gt;=BQ$2),1,0)</f>
        <v>0</v>
      </c>
      <c r="BR102" s="276" cm="1">
        <f t="array" ref="BR102">IF(AND(BR$2&lt;&gt;0,TblTech[[#This Row],[Hour]:[Hour]]&gt;=BR$2),1,0)</f>
        <v>0</v>
      </c>
      <c r="BS102" s="276" cm="1">
        <f t="array" ref="BS102">IF(AND(BS$2&lt;&gt;0,TblTech[[#This Row],[Hour]:[Hour]]&gt;=BS$2),1,0)</f>
        <v>0</v>
      </c>
      <c r="BT102" s="276" cm="1">
        <f t="array" ref="BT102">IF(AND(BT$2&lt;&gt;0,TblTech[[#This Row],[Hour]:[Hour]]&gt;=BT$2),1,0)</f>
        <v>0</v>
      </c>
      <c r="BU102" s="276" cm="1">
        <f t="array" ref="BU102">IF(AND(BU$2&lt;&gt;0,TblTech[[#This Row],[Hour]:[Hour]]&gt;=BU$2),1,0)</f>
        <v>0</v>
      </c>
      <c r="BV102" s="276" cm="1">
        <f t="array" ref="BV102">IF(AND(BV$2&lt;&gt;0,TblTech[[#This Row],[Hour]:[Hour]]&gt;=BV$2),1,0)</f>
        <v>0</v>
      </c>
      <c r="BW102" s="276" cm="1">
        <f t="array" ref="BW102">IF(AND(BW$2&lt;&gt;0,TblTech[[#This Row],[Hour]:[Hour]]&gt;=BW$2),1,0)</f>
        <v>0</v>
      </c>
      <c r="BX102" s="276" cm="1">
        <f t="array" ref="BX102">IF(AND(BX$2&lt;&gt;0,TblTech[[#This Row],[Hour]:[Hour]]&gt;=BX$2),1,0)</f>
        <v>0</v>
      </c>
      <c r="BY102" s="276" cm="1">
        <f t="array" ref="BY102">IF(AND(BY$2&lt;&gt;0,TblTech[[#This Row],[Hour]:[Hour]]&gt;=BY$2),1,0)</f>
        <v>0</v>
      </c>
      <c r="BZ102" s="276" cm="1">
        <f t="array" ref="BZ102">IF(AND(BZ$2&lt;&gt;0,TblTech[[#This Row],[Hour]:[Hour]]&gt;=BZ$2),1,0)</f>
        <v>0</v>
      </c>
      <c r="CA102" s="377">
        <f>IFERROR(INDEX($H$4:$H$79,MATCH(INDEX(TblTech[[#Headers],[1-1]:[11-1]],1,MATCH(TblTech[[#This Row],[Hour]],$M$2:$BZ$2,0)),$G$4:$G$79,0)),)</f>
        <v>0</v>
      </c>
    </row>
    <row r="103" spans="1:79" x14ac:dyDescent="0.2">
      <c r="A103" s="268">
        <f>TblRezone[[#This Row],[Hour]]</f>
        <v>100</v>
      </c>
      <c r="B103" s="269">
        <f ca="1">TblExplore[[#This Row],[Land-DB]]</f>
        <v>50</v>
      </c>
      <c r="C103" s="270">
        <f ca="1">TblProd[[#This Row],[Techpoints]]</f>
        <v>0</v>
      </c>
      <c r="D103" s="270">
        <f ca="1">TblProd[[#This Row],[Required]]</f>
        <v>3750</v>
      </c>
      <c r="E103" s="279"/>
      <c r="F103" s="280"/>
      <c r="G103" s="273"/>
      <c r="H103" s="274"/>
      <c r="I103" s="274"/>
      <c r="J103" s="274"/>
      <c r="K103" s="93">
        <f ca="1">IF(TblTech[[#This Row],[Sum of tech]]&lt;&gt;OFFSET(TblTech[[#This Row],[Sum of tech]],-1,0),1,0)</f>
        <v>0</v>
      </c>
      <c r="L103" s="275">
        <f>COUNTIF(TblTech[[#This Row],[1-1]:[11-1]],1)</f>
        <v>0</v>
      </c>
      <c r="M103" s="276" cm="1">
        <f t="array" ref="M103">IF(AND(M$2&lt;&gt;0,TblTech[[#This Row],[Hour]:[Hour]]&gt;=M$2),1,0)</f>
        <v>0</v>
      </c>
      <c r="N103" s="276" cm="1">
        <f t="array" ref="N103">IF(AND(N$2&lt;&gt;0,TblTech[[#This Row],[Hour]:[Hour]]&gt;=N$2),1,0)</f>
        <v>0</v>
      </c>
      <c r="O103" s="276" cm="1">
        <f t="array" ref="O103">IF(AND(O$2&lt;&gt;0,TblTech[[#This Row],[Hour]:[Hour]]&gt;=O$2),1,0)</f>
        <v>0</v>
      </c>
      <c r="P103" s="276" cm="1">
        <f t="array" ref="P103">IF(AND(P$2&lt;&gt;0,TblTech[[#This Row],[Hour]:[Hour]]&gt;=P$2),1,0)</f>
        <v>0</v>
      </c>
      <c r="Q103" s="276" cm="1">
        <f t="array" ref="Q103">IF(AND(Q$2&lt;&gt;0,TblTech[[#This Row],[Hour]:[Hour]]&gt;=Q$2),1,0)</f>
        <v>0</v>
      </c>
      <c r="R103" s="276" cm="1">
        <f t="array" ref="R103">IF(AND(R$2&lt;&gt;0,TblTech[[#This Row],[Hour]:[Hour]]&gt;=R$2),1,0)</f>
        <v>0</v>
      </c>
      <c r="S103" s="276" cm="1">
        <f t="array" ref="S103">IF(AND(S$2&lt;&gt;0,TblTech[[#This Row],[Hour]:[Hour]]&gt;=S$2),1,0)</f>
        <v>0</v>
      </c>
      <c r="T103" s="276" cm="1">
        <f t="array" ref="T103">IF(AND(T$2&lt;&gt;0,TblTech[[#This Row],[Hour]:[Hour]]&gt;=T$2),1,0)</f>
        <v>0</v>
      </c>
      <c r="U103" s="276" cm="1">
        <f t="array" ref="U103">IF(AND(U$2&lt;&gt;0,TblTech[[#This Row],[Hour]:[Hour]]&gt;=U$2),1,0)</f>
        <v>0</v>
      </c>
      <c r="V103" s="276" cm="1">
        <f t="array" ref="V103">IF(AND(V$2&lt;&gt;0,TblTech[[#This Row],[Hour]:[Hour]]&gt;=V$2),1,0)</f>
        <v>0</v>
      </c>
      <c r="W103" s="276" cm="1">
        <f t="array" ref="W103">IF(AND(W$2&lt;&gt;0,TblTech[[#This Row],[Hour]:[Hour]]&gt;=W$2),1,0)</f>
        <v>0</v>
      </c>
      <c r="X103" s="276" cm="1">
        <f t="array" ref="X103">IF(AND(X$2&lt;&gt;0,TblTech[[#This Row],[Hour]:[Hour]]&gt;=X$2),1,0)</f>
        <v>0</v>
      </c>
      <c r="Y103" s="276" cm="1">
        <f t="array" ref="Y103">IF(AND(Y$2&lt;&gt;0,TblTech[[#This Row],[Hour]:[Hour]]&gt;=Y$2),1,0)</f>
        <v>0</v>
      </c>
      <c r="Z103" s="276" cm="1">
        <f t="array" ref="Z103">IF(AND(Z$2&lt;&gt;0,TblTech[[#This Row],[Hour]:[Hour]]&gt;=Z$2),1,0)</f>
        <v>0</v>
      </c>
      <c r="AA103" s="276" cm="1">
        <f t="array" ref="AA103">IF(AND(AA$2&lt;&gt;0,TblTech[[#This Row],[Hour]:[Hour]]&gt;=AA$2),1,0)</f>
        <v>0</v>
      </c>
      <c r="AB103" s="276" cm="1">
        <f t="array" ref="AB103">IF(AND(AB$2&lt;&gt;0,TblTech[[#This Row],[Hour]:[Hour]]&gt;=AB$2),1,0)</f>
        <v>0</v>
      </c>
      <c r="AC103" s="276" cm="1">
        <f t="array" ref="AC103">IF(AND(AC$2&lt;&gt;0,TblTech[[#This Row],[Hour]:[Hour]]&gt;=AC$2),1,0)</f>
        <v>0</v>
      </c>
      <c r="AD103" s="276" cm="1">
        <f t="array" ref="AD103">IF(AND(AD$2&lt;&gt;0,TblTech[[#This Row],[Hour]:[Hour]]&gt;=AD$2),1,0)</f>
        <v>0</v>
      </c>
      <c r="AE103" s="276" cm="1">
        <f t="array" ref="AE103">IF(AND(AE$2&lt;&gt;0,TblTech[[#This Row],[Hour]:[Hour]]&gt;=AE$2),1,0)</f>
        <v>0</v>
      </c>
      <c r="AF103" s="276" cm="1">
        <f t="array" ref="AF103">IF(AND(AF$2&lt;&gt;0,TblTech[[#This Row],[Hour]:[Hour]]&gt;=AF$2),1,0)</f>
        <v>0</v>
      </c>
      <c r="AG103" s="276" cm="1">
        <f t="array" ref="AG103">IF(AND(AG$2&lt;&gt;0,TblTech[[#This Row],[Hour]:[Hour]]&gt;=AG$2),1,0)</f>
        <v>0</v>
      </c>
      <c r="AH103" s="276" cm="1">
        <f t="array" ref="AH103">IF(AND(AH$2&lt;&gt;0,TblTech[[#This Row],[Hour]:[Hour]]&gt;=AH$2),1,0)</f>
        <v>0</v>
      </c>
      <c r="AI103" s="276" cm="1">
        <f t="array" ref="AI103">IF(AND(AI$2&lt;&gt;0,TblTech[[#This Row],[Hour]:[Hour]]&gt;=AI$2),1,0)</f>
        <v>0</v>
      </c>
      <c r="AJ103" s="276" cm="1">
        <f t="array" ref="AJ103">IF(AND(AJ$2&lt;&gt;0,TblTech[[#This Row],[Hour]:[Hour]]&gt;=AJ$2),1,0)</f>
        <v>0</v>
      </c>
      <c r="AK103" s="276" cm="1">
        <f t="array" ref="AK103">IF(AND(AK$2&lt;&gt;0,TblTech[[#This Row],[Hour]:[Hour]]&gt;=AK$2),1,0)</f>
        <v>0</v>
      </c>
      <c r="AL103" s="276" cm="1">
        <f t="array" ref="AL103">IF(AND(AL$2&lt;&gt;0,TblTech[[#This Row],[Hour]:[Hour]]&gt;=AL$2),1,0)</f>
        <v>0</v>
      </c>
      <c r="AM103" s="276" cm="1">
        <f t="array" ref="AM103">IF(AND(AM$2&lt;&gt;0,TblTech[[#This Row],[Hour]:[Hour]]&gt;=AM$2),1,0)</f>
        <v>0</v>
      </c>
      <c r="AN103" s="276" cm="1">
        <f t="array" ref="AN103">IF(AND(AN$2&lt;&gt;0,TblTech[[#This Row],[Hour]:[Hour]]&gt;=AN$2),1,0)</f>
        <v>0</v>
      </c>
      <c r="AO103" s="276" cm="1">
        <f t="array" ref="AO103">IF(AND(AO$2&lt;&gt;0,TblTech[[#This Row],[Hour]:[Hour]]&gt;=AO$2),1,0)</f>
        <v>0</v>
      </c>
      <c r="AP103" s="276" cm="1">
        <f t="array" ref="AP103">IF(AND(AP$2&lt;&gt;0,TblTech[[#This Row],[Hour]:[Hour]]&gt;=AP$2),1,0)</f>
        <v>0</v>
      </c>
      <c r="AQ103" s="276" cm="1">
        <f t="array" ref="AQ103">IF(AND(AQ$2&lt;&gt;0,TblTech[[#This Row],[Hour]:[Hour]]&gt;=AQ$2),1,0)</f>
        <v>0</v>
      </c>
      <c r="AR103" s="276" cm="1">
        <f t="array" ref="AR103">IF(AND(AR$2&lt;&gt;0,TblTech[[#This Row],[Hour]:[Hour]]&gt;=AR$2),1,0)</f>
        <v>0</v>
      </c>
      <c r="AS103" s="276" cm="1">
        <f t="array" ref="AS103">IF(AND(AS$2&lt;&gt;0,TblTech[[#This Row],[Hour]:[Hour]]&gt;=AS$2),1,0)</f>
        <v>0</v>
      </c>
      <c r="AT103" s="276" cm="1">
        <f t="array" ref="AT103">IF(AND(AT$2&lt;&gt;0,TblTech[[#This Row],[Hour]:[Hour]]&gt;=AT$2),1,0)</f>
        <v>0</v>
      </c>
      <c r="AU103" s="276" cm="1">
        <f t="array" ref="AU103">IF(AND(AU$2&lt;&gt;0,TblTech[[#This Row],[Hour]:[Hour]]&gt;=AU$2),1,0)</f>
        <v>0</v>
      </c>
      <c r="AV103" s="276" cm="1">
        <f t="array" ref="AV103">IF(AND(AV$2&lt;&gt;0,TblTech[[#This Row],[Hour]:[Hour]]&gt;=AV$2),1,0)</f>
        <v>0</v>
      </c>
      <c r="AW103" s="276" cm="1">
        <f t="array" ref="AW103">IF(AND(AW$2&lt;&gt;0,TblTech[[#This Row],[Hour]:[Hour]]&gt;=AW$2),1,0)</f>
        <v>0</v>
      </c>
      <c r="AX103" s="276" cm="1">
        <f t="array" ref="AX103">IF(AND(AX$2&lt;&gt;0,TblTech[[#This Row],[Hour]:[Hour]]&gt;=AX$2),1,0)</f>
        <v>0</v>
      </c>
      <c r="AY103" s="276" cm="1">
        <f t="array" ref="AY103">IF(AND(AY$2&lt;&gt;0,TblTech[[#This Row],[Hour]:[Hour]]&gt;=AY$2),1,0)</f>
        <v>0</v>
      </c>
      <c r="AZ103" s="276" cm="1">
        <f t="array" ref="AZ103">IF(AND(AZ$2&lt;&gt;0,TblTech[[#This Row],[Hour]:[Hour]]&gt;=AZ$2),1,0)</f>
        <v>0</v>
      </c>
      <c r="BA103" s="276" cm="1">
        <f t="array" ref="BA103">IF(AND(BA$2&lt;&gt;0,TblTech[[#This Row],[Hour]:[Hour]]&gt;=BA$2),1,0)</f>
        <v>0</v>
      </c>
      <c r="BB103" s="276" cm="1">
        <f t="array" ref="BB103">IF(AND(BB$2&lt;&gt;0,TblTech[[#This Row],[Hour]:[Hour]]&gt;=BB$2),1,0)</f>
        <v>0</v>
      </c>
      <c r="BC103" s="276" cm="1">
        <f t="array" ref="BC103">IF(AND(BC$2&lt;&gt;0,TblTech[[#This Row],[Hour]:[Hour]]&gt;=BC$2),1,0)</f>
        <v>0</v>
      </c>
      <c r="BD103" s="276" cm="1">
        <f t="array" ref="BD103">IF(AND(BD$2&lt;&gt;0,TblTech[[#This Row],[Hour]:[Hour]]&gt;=BD$2),1,0)</f>
        <v>0</v>
      </c>
      <c r="BE103" s="276" cm="1">
        <f t="array" ref="BE103">IF(AND(BE$2&lt;&gt;0,TblTech[[#This Row],[Hour]:[Hour]]&gt;=BE$2),1,0)</f>
        <v>0</v>
      </c>
      <c r="BF103" s="276" cm="1">
        <f t="array" ref="BF103">IF(AND(BF$2&lt;&gt;0,TblTech[[#This Row],[Hour]:[Hour]]&gt;=BF$2),1,0)</f>
        <v>0</v>
      </c>
      <c r="BG103" s="276" cm="1">
        <f t="array" ref="BG103">IF(AND(BG$2&lt;&gt;0,TblTech[[#This Row],[Hour]:[Hour]]&gt;=BG$2),1,0)</f>
        <v>0</v>
      </c>
      <c r="BH103" s="276" cm="1">
        <f t="array" ref="BH103">IF(AND(BH$2&lt;&gt;0,TblTech[[#This Row],[Hour]:[Hour]]&gt;=BH$2),1,0)</f>
        <v>0</v>
      </c>
      <c r="BI103" s="276" cm="1">
        <f t="array" ref="BI103">IF(AND(BI$2&lt;&gt;0,TblTech[[#This Row],[Hour]:[Hour]]&gt;=BI$2),1,0)</f>
        <v>0</v>
      </c>
      <c r="BJ103" s="276" cm="1">
        <f t="array" ref="BJ103">IF(AND(BJ$2&lt;&gt;0,TblTech[[#This Row],[Hour]:[Hour]]&gt;=BJ$2),1,0)</f>
        <v>0</v>
      </c>
      <c r="BK103" s="276" cm="1">
        <f t="array" ref="BK103">IF(AND(BK$2&lt;&gt;0,TblTech[[#This Row],[Hour]:[Hour]]&gt;=BK$2),1,0)</f>
        <v>0</v>
      </c>
      <c r="BL103" s="276" cm="1">
        <f t="array" ref="BL103">IF(AND(BL$2&lt;&gt;0,TblTech[[#This Row],[Hour]:[Hour]]&gt;=BL$2),1,0)</f>
        <v>0</v>
      </c>
      <c r="BM103" s="276" cm="1">
        <f t="array" ref="BM103">IF(AND(BM$2&lt;&gt;0,TblTech[[#This Row],[Hour]:[Hour]]&gt;=BM$2),1,0)</f>
        <v>0</v>
      </c>
      <c r="BN103" s="276" cm="1">
        <f t="array" ref="BN103">IF(AND(BN$2&lt;&gt;0,TblTech[[#This Row],[Hour]:[Hour]]&gt;=BN$2),1,0)</f>
        <v>0</v>
      </c>
      <c r="BO103" s="276" cm="1">
        <f t="array" ref="BO103">IF(AND(BO$2&lt;&gt;0,TblTech[[#This Row],[Hour]:[Hour]]&gt;=BO$2),1,0)</f>
        <v>0</v>
      </c>
      <c r="BP103" s="276" cm="1">
        <f t="array" ref="BP103">IF(AND(BP$2&lt;&gt;0,TblTech[[#This Row],[Hour]:[Hour]]&gt;=BP$2),1,0)</f>
        <v>0</v>
      </c>
      <c r="BQ103" s="276" cm="1">
        <f t="array" ref="BQ103">IF(AND(BQ$2&lt;&gt;0,TblTech[[#This Row],[Hour]:[Hour]]&gt;=BQ$2),1,0)</f>
        <v>0</v>
      </c>
      <c r="BR103" s="276" cm="1">
        <f t="array" ref="BR103">IF(AND(BR$2&lt;&gt;0,TblTech[[#This Row],[Hour]:[Hour]]&gt;=BR$2),1,0)</f>
        <v>0</v>
      </c>
      <c r="BS103" s="276" cm="1">
        <f t="array" ref="BS103">IF(AND(BS$2&lt;&gt;0,TblTech[[#This Row],[Hour]:[Hour]]&gt;=BS$2),1,0)</f>
        <v>0</v>
      </c>
      <c r="BT103" s="276" cm="1">
        <f t="array" ref="BT103">IF(AND(BT$2&lt;&gt;0,TblTech[[#This Row],[Hour]:[Hour]]&gt;=BT$2),1,0)</f>
        <v>0</v>
      </c>
      <c r="BU103" s="276" cm="1">
        <f t="array" ref="BU103">IF(AND(BU$2&lt;&gt;0,TblTech[[#This Row],[Hour]:[Hour]]&gt;=BU$2),1,0)</f>
        <v>0</v>
      </c>
      <c r="BV103" s="276" cm="1">
        <f t="array" ref="BV103">IF(AND(BV$2&lt;&gt;0,TblTech[[#This Row],[Hour]:[Hour]]&gt;=BV$2),1,0)</f>
        <v>0</v>
      </c>
      <c r="BW103" s="276" cm="1">
        <f t="array" ref="BW103">IF(AND(BW$2&lt;&gt;0,TblTech[[#This Row],[Hour]:[Hour]]&gt;=BW$2),1,0)</f>
        <v>0</v>
      </c>
      <c r="BX103" s="276" cm="1">
        <f t="array" ref="BX103">IF(AND(BX$2&lt;&gt;0,TblTech[[#This Row],[Hour]:[Hour]]&gt;=BX$2),1,0)</f>
        <v>0</v>
      </c>
      <c r="BY103" s="276" cm="1">
        <f t="array" ref="BY103">IF(AND(BY$2&lt;&gt;0,TblTech[[#This Row],[Hour]:[Hour]]&gt;=BY$2),1,0)</f>
        <v>0</v>
      </c>
      <c r="BZ103" s="276" cm="1">
        <f t="array" ref="BZ103">IF(AND(BZ$2&lt;&gt;0,TblTech[[#This Row],[Hour]:[Hour]]&gt;=BZ$2),1,0)</f>
        <v>0</v>
      </c>
      <c r="CA103" s="377">
        <f>IFERROR(INDEX($H$4:$H$79,MATCH(INDEX(TblTech[[#Headers],[1-1]:[11-1]],1,MATCH(TblTech[[#This Row],[Hour]],$M$2:$BZ$2,0)),$G$4:$G$79,0)),)</f>
        <v>0</v>
      </c>
    </row>
    <row r="104" spans="1:79" x14ac:dyDescent="0.2">
      <c r="A104" s="268">
        <f>TblRezone[[#This Row],[Hour]]</f>
        <v>101</v>
      </c>
      <c r="B104" s="269">
        <f ca="1">TblExplore[[#This Row],[Land-DB]]</f>
        <v>50</v>
      </c>
      <c r="C104" s="270">
        <f ca="1">TblProd[[#This Row],[Techpoints]]</f>
        <v>0</v>
      </c>
      <c r="D104" s="270">
        <f ca="1">TblProd[[#This Row],[Required]]</f>
        <v>3750</v>
      </c>
      <c r="E104" s="279"/>
      <c r="F104" s="280"/>
      <c r="G104" s="273"/>
      <c r="H104" s="274"/>
      <c r="I104" s="274"/>
      <c r="J104" s="274"/>
      <c r="K104" s="93">
        <f ca="1">IF(TblTech[[#This Row],[Sum of tech]]&lt;&gt;OFFSET(TblTech[[#This Row],[Sum of tech]],-1,0),1,0)</f>
        <v>0</v>
      </c>
      <c r="L104" s="275">
        <f>COUNTIF(TblTech[[#This Row],[1-1]:[11-1]],1)</f>
        <v>0</v>
      </c>
      <c r="M104" s="276" cm="1">
        <f t="array" ref="M104">IF(AND(M$2&lt;&gt;0,TblTech[[#This Row],[Hour]:[Hour]]&gt;=M$2),1,0)</f>
        <v>0</v>
      </c>
      <c r="N104" s="276" cm="1">
        <f t="array" ref="N104">IF(AND(N$2&lt;&gt;0,TblTech[[#This Row],[Hour]:[Hour]]&gt;=N$2),1,0)</f>
        <v>0</v>
      </c>
      <c r="O104" s="276" cm="1">
        <f t="array" ref="O104">IF(AND(O$2&lt;&gt;0,TblTech[[#This Row],[Hour]:[Hour]]&gt;=O$2),1,0)</f>
        <v>0</v>
      </c>
      <c r="P104" s="276" cm="1">
        <f t="array" ref="P104">IF(AND(P$2&lt;&gt;0,TblTech[[#This Row],[Hour]:[Hour]]&gt;=P$2),1,0)</f>
        <v>0</v>
      </c>
      <c r="Q104" s="276" cm="1">
        <f t="array" ref="Q104">IF(AND(Q$2&lt;&gt;0,TblTech[[#This Row],[Hour]:[Hour]]&gt;=Q$2),1,0)</f>
        <v>0</v>
      </c>
      <c r="R104" s="276" cm="1">
        <f t="array" ref="R104">IF(AND(R$2&lt;&gt;0,TblTech[[#This Row],[Hour]:[Hour]]&gt;=R$2),1,0)</f>
        <v>0</v>
      </c>
      <c r="S104" s="276" cm="1">
        <f t="array" ref="S104">IF(AND(S$2&lt;&gt;0,TblTech[[#This Row],[Hour]:[Hour]]&gt;=S$2),1,0)</f>
        <v>0</v>
      </c>
      <c r="T104" s="276" cm="1">
        <f t="array" ref="T104">IF(AND(T$2&lt;&gt;0,TblTech[[#This Row],[Hour]:[Hour]]&gt;=T$2),1,0)</f>
        <v>0</v>
      </c>
      <c r="U104" s="276" cm="1">
        <f t="array" ref="U104">IF(AND(U$2&lt;&gt;0,TblTech[[#This Row],[Hour]:[Hour]]&gt;=U$2),1,0)</f>
        <v>0</v>
      </c>
      <c r="V104" s="276" cm="1">
        <f t="array" ref="V104">IF(AND(V$2&lt;&gt;0,TblTech[[#This Row],[Hour]:[Hour]]&gt;=V$2),1,0)</f>
        <v>0</v>
      </c>
      <c r="W104" s="276" cm="1">
        <f t="array" ref="W104">IF(AND(W$2&lt;&gt;0,TblTech[[#This Row],[Hour]:[Hour]]&gt;=W$2),1,0)</f>
        <v>0</v>
      </c>
      <c r="X104" s="276" cm="1">
        <f t="array" ref="X104">IF(AND(X$2&lt;&gt;0,TblTech[[#This Row],[Hour]:[Hour]]&gt;=X$2),1,0)</f>
        <v>0</v>
      </c>
      <c r="Y104" s="276" cm="1">
        <f t="array" ref="Y104">IF(AND(Y$2&lt;&gt;0,TblTech[[#This Row],[Hour]:[Hour]]&gt;=Y$2),1,0)</f>
        <v>0</v>
      </c>
      <c r="Z104" s="276" cm="1">
        <f t="array" ref="Z104">IF(AND(Z$2&lt;&gt;0,TblTech[[#This Row],[Hour]:[Hour]]&gt;=Z$2),1,0)</f>
        <v>0</v>
      </c>
      <c r="AA104" s="276" cm="1">
        <f t="array" ref="AA104">IF(AND(AA$2&lt;&gt;0,TblTech[[#This Row],[Hour]:[Hour]]&gt;=AA$2),1,0)</f>
        <v>0</v>
      </c>
      <c r="AB104" s="276" cm="1">
        <f t="array" ref="AB104">IF(AND(AB$2&lt;&gt;0,TblTech[[#This Row],[Hour]:[Hour]]&gt;=AB$2),1,0)</f>
        <v>0</v>
      </c>
      <c r="AC104" s="276" cm="1">
        <f t="array" ref="AC104">IF(AND(AC$2&lt;&gt;0,TblTech[[#This Row],[Hour]:[Hour]]&gt;=AC$2),1,0)</f>
        <v>0</v>
      </c>
      <c r="AD104" s="276" cm="1">
        <f t="array" ref="AD104">IF(AND(AD$2&lt;&gt;0,TblTech[[#This Row],[Hour]:[Hour]]&gt;=AD$2),1,0)</f>
        <v>0</v>
      </c>
      <c r="AE104" s="276" cm="1">
        <f t="array" ref="AE104">IF(AND(AE$2&lt;&gt;0,TblTech[[#This Row],[Hour]:[Hour]]&gt;=AE$2),1,0)</f>
        <v>0</v>
      </c>
      <c r="AF104" s="276" cm="1">
        <f t="array" ref="AF104">IF(AND(AF$2&lt;&gt;0,TblTech[[#This Row],[Hour]:[Hour]]&gt;=AF$2),1,0)</f>
        <v>0</v>
      </c>
      <c r="AG104" s="276" cm="1">
        <f t="array" ref="AG104">IF(AND(AG$2&lt;&gt;0,TblTech[[#This Row],[Hour]:[Hour]]&gt;=AG$2),1,0)</f>
        <v>0</v>
      </c>
      <c r="AH104" s="276" cm="1">
        <f t="array" ref="AH104">IF(AND(AH$2&lt;&gt;0,TblTech[[#This Row],[Hour]:[Hour]]&gt;=AH$2),1,0)</f>
        <v>0</v>
      </c>
      <c r="AI104" s="276" cm="1">
        <f t="array" ref="AI104">IF(AND(AI$2&lt;&gt;0,TblTech[[#This Row],[Hour]:[Hour]]&gt;=AI$2),1,0)</f>
        <v>0</v>
      </c>
      <c r="AJ104" s="276" cm="1">
        <f t="array" ref="AJ104">IF(AND(AJ$2&lt;&gt;0,TblTech[[#This Row],[Hour]:[Hour]]&gt;=AJ$2),1,0)</f>
        <v>0</v>
      </c>
      <c r="AK104" s="276" cm="1">
        <f t="array" ref="AK104">IF(AND(AK$2&lt;&gt;0,TblTech[[#This Row],[Hour]:[Hour]]&gt;=AK$2),1,0)</f>
        <v>0</v>
      </c>
      <c r="AL104" s="276" cm="1">
        <f t="array" ref="AL104">IF(AND(AL$2&lt;&gt;0,TblTech[[#This Row],[Hour]:[Hour]]&gt;=AL$2),1,0)</f>
        <v>0</v>
      </c>
      <c r="AM104" s="276" cm="1">
        <f t="array" ref="AM104">IF(AND(AM$2&lt;&gt;0,TblTech[[#This Row],[Hour]:[Hour]]&gt;=AM$2),1,0)</f>
        <v>0</v>
      </c>
      <c r="AN104" s="276" cm="1">
        <f t="array" ref="AN104">IF(AND(AN$2&lt;&gt;0,TblTech[[#This Row],[Hour]:[Hour]]&gt;=AN$2),1,0)</f>
        <v>0</v>
      </c>
      <c r="AO104" s="276" cm="1">
        <f t="array" ref="AO104">IF(AND(AO$2&lt;&gt;0,TblTech[[#This Row],[Hour]:[Hour]]&gt;=AO$2),1,0)</f>
        <v>0</v>
      </c>
      <c r="AP104" s="276" cm="1">
        <f t="array" ref="AP104">IF(AND(AP$2&lt;&gt;0,TblTech[[#This Row],[Hour]:[Hour]]&gt;=AP$2),1,0)</f>
        <v>0</v>
      </c>
      <c r="AQ104" s="276" cm="1">
        <f t="array" ref="AQ104">IF(AND(AQ$2&lt;&gt;0,TblTech[[#This Row],[Hour]:[Hour]]&gt;=AQ$2),1,0)</f>
        <v>0</v>
      </c>
      <c r="AR104" s="276" cm="1">
        <f t="array" ref="AR104">IF(AND(AR$2&lt;&gt;0,TblTech[[#This Row],[Hour]:[Hour]]&gt;=AR$2),1,0)</f>
        <v>0</v>
      </c>
      <c r="AS104" s="276" cm="1">
        <f t="array" ref="AS104">IF(AND(AS$2&lt;&gt;0,TblTech[[#This Row],[Hour]:[Hour]]&gt;=AS$2),1,0)</f>
        <v>0</v>
      </c>
      <c r="AT104" s="276" cm="1">
        <f t="array" ref="AT104">IF(AND(AT$2&lt;&gt;0,TblTech[[#This Row],[Hour]:[Hour]]&gt;=AT$2),1,0)</f>
        <v>0</v>
      </c>
      <c r="AU104" s="276" cm="1">
        <f t="array" ref="AU104">IF(AND(AU$2&lt;&gt;0,TblTech[[#This Row],[Hour]:[Hour]]&gt;=AU$2),1,0)</f>
        <v>0</v>
      </c>
      <c r="AV104" s="276" cm="1">
        <f t="array" ref="AV104">IF(AND(AV$2&lt;&gt;0,TblTech[[#This Row],[Hour]:[Hour]]&gt;=AV$2),1,0)</f>
        <v>0</v>
      </c>
      <c r="AW104" s="276" cm="1">
        <f t="array" ref="AW104">IF(AND(AW$2&lt;&gt;0,TblTech[[#This Row],[Hour]:[Hour]]&gt;=AW$2),1,0)</f>
        <v>0</v>
      </c>
      <c r="AX104" s="276" cm="1">
        <f t="array" ref="AX104">IF(AND(AX$2&lt;&gt;0,TblTech[[#This Row],[Hour]:[Hour]]&gt;=AX$2),1,0)</f>
        <v>0</v>
      </c>
      <c r="AY104" s="276" cm="1">
        <f t="array" ref="AY104">IF(AND(AY$2&lt;&gt;0,TblTech[[#This Row],[Hour]:[Hour]]&gt;=AY$2),1,0)</f>
        <v>0</v>
      </c>
      <c r="AZ104" s="276" cm="1">
        <f t="array" ref="AZ104">IF(AND(AZ$2&lt;&gt;0,TblTech[[#This Row],[Hour]:[Hour]]&gt;=AZ$2),1,0)</f>
        <v>0</v>
      </c>
      <c r="BA104" s="276" cm="1">
        <f t="array" ref="BA104">IF(AND(BA$2&lt;&gt;0,TblTech[[#This Row],[Hour]:[Hour]]&gt;=BA$2),1,0)</f>
        <v>0</v>
      </c>
      <c r="BB104" s="276" cm="1">
        <f t="array" ref="BB104">IF(AND(BB$2&lt;&gt;0,TblTech[[#This Row],[Hour]:[Hour]]&gt;=BB$2),1,0)</f>
        <v>0</v>
      </c>
      <c r="BC104" s="276" cm="1">
        <f t="array" ref="BC104">IF(AND(BC$2&lt;&gt;0,TblTech[[#This Row],[Hour]:[Hour]]&gt;=BC$2),1,0)</f>
        <v>0</v>
      </c>
      <c r="BD104" s="276" cm="1">
        <f t="array" ref="BD104">IF(AND(BD$2&lt;&gt;0,TblTech[[#This Row],[Hour]:[Hour]]&gt;=BD$2),1,0)</f>
        <v>0</v>
      </c>
      <c r="BE104" s="276" cm="1">
        <f t="array" ref="BE104">IF(AND(BE$2&lt;&gt;0,TblTech[[#This Row],[Hour]:[Hour]]&gt;=BE$2),1,0)</f>
        <v>0</v>
      </c>
      <c r="BF104" s="276" cm="1">
        <f t="array" ref="BF104">IF(AND(BF$2&lt;&gt;0,TblTech[[#This Row],[Hour]:[Hour]]&gt;=BF$2),1,0)</f>
        <v>0</v>
      </c>
      <c r="BG104" s="276" cm="1">
        <f t="array" ref="BG104">IF(AND(BG$2&lt;&gt;0,TblTech[[#This Row],[Hour]:[Hour]]&gt;=BG$2),1,0)</f>
        <v>0</v>
      </c>
      <c r="BH104" s="276" cm="1">
        <f t="array" ref="BH104">IF(AND(BH$2&lt;&gt;0,TblTech[[#This Row],[Hour]:[Hour]]&gt;=BH$2),1,0)</f>
        <v>0</v>
      </c>
      <c r="BI104" s="276" cm="1">
        <f t="array" ref="BI104">IF(AND(BI$2&lt;&gt;0,TblTech[[#This Row],[Hour]:[Hour]]&gt;=BI$2),1,0)</f>
        <v>0</v>
      </c>
      <c r="BJ104" s="276" cm="1">
        <f t="array" ref="BJ104">IF(AND(BJ$2&lt;&gt;0,TblTech[[#This Row],[Hour]:[Hour]]&gt;=BJ$2),1,0)</f>
        <v>0</v>
      </c>
      <c r="BK104" s="276" cm="1">
        <f t="array" ref="BK104">IF(AND(BK$2&lt;&gt;0,TblTech[[#This Row],[Hour]:[Hour]]&gt;=BK$2),1,0)</f>
        <v>0</v>
      </c>
      <c r="BL104" s="276" cm="1">
        <f t="array" ref="BL104">IF(AND(BL$2&lt;&gt;0,TblTech[[#This Row],[Hour]:[Hour]]&gt;=BL$2),1,0)</f>
        <v>0</v>
      </c>
      <c r="BM104" s="276" cm="1">
        <f t="array" ref="BM104">IF(AND(BM$2&lt;&gt;0,TblTech[[#This Row],[Hour]:[Hour]]&gt;=BM$2),1,0)</f>
        <v>0</v>
      </c>
      <c r="BN104" s="276" cm="1">
        <f t="array" ref="BN104">IF(AND(BN$2&lt;&gt;0,TblTech[[#This Row],[Hour]:[Hour]]&gt;=BN$2),1,0)</f>
        <v>0</v>
      </c>
      <c r="BO104" s="276" cm="1">
        <f t="array" ref="BO104">IF(AND(BO$2&lt;&gt;0,TblTech[[#This Row],[Hour]:[Hour]]&gt;=BO$2),1,0)</f>
        <v>0</v>
      </c>
      <c r="BP104" s="276" cm="1">
        <f t="array" ref="BP104">IF(AND(BP$2&lt;&gt;0,TblTech[[#This Row],[Hour]:[Hour]]&gt;=BP$2),1,0)</f>
        <v>0</v>
      </c>
      <c r="BQ104" s="276" cm="1">
        <f t="array" ref="BQ104">IF(AND(BQ$2&lt;&gt;0,TblTech[[#This Row],[Hour]:[Hour]]&gt;=BQ$2),1,0)</f>
        <v>0</v>
      </c>
      <c r="BR104" s="276" cm="1">
        <f t="array" ref="BR104">IF(AND(BR$2&lt;&gt;0,TblTech[[#This Row],[Hour]:[Hour]]&gt;=BR$2),1,0)</f>
        <v>0</v>
      </c>
      <c r="BS104" s="276" cm="1">
        <f t="array" ref="BS104">IF(AND(BS$2&lt;&gt;0,TblTech[[#This Row],[Hour]:[Hour]]&gt;=BS$2),1,0)</f>
        <v>0</v>
      </c>
      <c r="BT104" s="276" cm="1">
        <f t="array" ref="BT104">IF(AND(BT$2&lt;&gt;0,TblTech[[#This Row],[Hour]:[Hour]]&gt;=BT$2),1,0)</f>
        <v>0</v>
      </c>
      <c r="BU104" s="276" cm="1">
        <f t="array" ref="BU104">IF(AND(BU$2&lt;&gt;0,TblTech[[#This Row],[Hour]:[Hour]]&gt;=BU$2),1,0)</f>
        <v>0</v>
      </c>
      <c r="BV104" s="276" cm="1">
        <f t="array" ref="BV104">IF(AND(BV$2&lt;&gt;0,TblTech[[#This Row],[Hour]:[Hour]]&gt;=BV$2),1,0)</f>
        <v>0</v>
      </c>
      <c r="BW104" s="276" cm="1">
        <f t="array" ref="BW104">IF(AND(BW$2&lt;&gt;0,TblTech[[#This Row],[Hour]:[Hour]]&gt;=BW$2),1,0)</f>
        <v>0</v>
      </c>
      <c r="BX104" s="276" cm="1">
        <f t="array" ref="BX104">IF(AND(BX$2&lt;&gt;0,TblTech[[#This Row],[Hour]:[Hour]]&gt;=BX$2),1,0)</f>
        <v>0</v>
      </c>
      <c r="BY104" s="276" cm="1">
        <f t="array" ref="BY104">IF(AND(BY$2&lt;&gt;0,TblTech[[#This Row],[Hour]:[Hour]]&gt;=BY$2),1,0)</f>
        <v>0</v>
      </c>
      <c r="BZ104" s="276" cm="1">
        <f t="array" ref="BZ104">IF(AND(BZ$2&lt;&gt;0,TblTech[[#This Row],[Hour]:[Hour]]&gt;=BZ$2),1,0)</f>
        <v>0</v>
      </c>
      <c r="CA104" s="377">
        <f>IFERROR(INDEX($H$4:$H$79,MATCH(INDEX(TblTech[[#Headers],[1-1]:[11-1]],1,MATCH(TblTech[[#This Row],[Hour]],$M$2:$BZ$2,0)),$G$4:$G$79,0)),)</f>
        <v>0</v>
      </c>
    </row>
    <row r="105" spans="1:79" x14ac:dyDescent="0.2">
      <c r="A105" s="268">
        <f>TblRezone[[#This Row],[Hour]]</f>
        <v>102</v>
      </c>
      <c r="B105" s="269">
        <f ca="1">TblExplore[[#This Row],[Land-DB]]</f>
        <v>50</v>
      </c>
      <c r="C105" s="270">
        <f ca="1">TblProd[[#This Row],[Techpoints]]</f>
        <v>0</v>
      </c>
      <c r="D105" s="270">
        <f ca="1">TblProd[[#This Row],[Required]]</f>
        <v>3750</v>
      </c>
      <c r="E105" s="279"/>
      <c r="F105" s="280"/>
      <c r="G105" s="273"/>
      <c r="H105" s="274"/>
      <c r="I105" s="274"/>
      <c r="J105" s="274"/>
      <c r="K105" s="93">
        <f ca="1">IF(TblTech[[#This Row],[Sum of tech]]&lt;&gt;OFFSET(TblTech[[#This Row],[Sum of tech]],-1,0),1,0)</f>
        <v>0</v>
      </c>
      <c r="L105" s="275">
        <f>COUNTIF(TblTech[[#This Row],[1-1]:[11-1]],1)</f>
        <v>0</v>
      </c>
      <c r="M105" s="276" cm="1">
        <f t="array" ref="M105">IF(AND(M$2&lt;&gt;0,TblTech[[#This Row],[Hour]:[Hour]]&gt;=M$2),1,0)</f>
        <v>0</v>
      </c>
      <c r="N105" s="276" cm="1">
        <f t="array" ref="N105">IF(AND(N$2&lt;&gt;0,TblTech[[#This Row],[Hour]:[Hour]]&gt;=N$2),1,0)</f>
        <v>0</v>
      </c>
      <c r="O105" s="276" cm="1">
        <f t="array" ref="O105">IF(AND(O$2&lt;&gt;0,TblTech[[#This Row],[Hour]:[Hour]]&gt;=O$2),1,0)</f>
        <v>0</v>
      </c>
      <c r="P105" s="276" cm="1">
        <f t="array" ref="P105">IF(AND(P$2&lt;&gt;0,TblTech[[#This Row],[Hour]:[Hour]]&gt;=P$2),1,0)</f>
        <v>0</v>
      </c>
      <c r="Q105" s="276" cm="1">
        <f t="array" ref="Q105">IF(AND(Q$2&lt;&gt;0,TblTech[[#This Row],[Hour]:[Hour]]&gt;=Q$2),1,0)</f>
        <v>0</v>
      </c>
      <c r="R105" s="276" cm="1">
        <f t="array" ref="R105">IF(AND(R$2&lt;&gt;0,TblTech[[#This Row],[Hour]:[Hour]]&gt;=R$2),1,0)</f>
        <v>0</v>
      </c>
      <c r="S105" s="276" cm="1">
        <f t="array" ref="S105">IF(AND(S$2&lt;&gt;0,TblTech[[#This Row],[Hour]:[Hour]]&gt;=S$2),1,0)</f>
        <v>0</v>
      </c>
      <c r="T105" s="276" cm="1">
        <f t="array" ref="T105">IF(AND(T$2&lt;&gt;0,TblTech[[#This Row],[Hour]:[Hour]]&gt;=T$2),1,0)</f>
        <v>0</v>
      </c>
      <c r="U105" s="276" cm="1">
        <f t="array" ref="U105">IF(AND(U$2&lt;&gt;0,TblTech[[#This Row],[Hour]:[Hour]]&gt;=U$2),1,0)</f>
        <v>0</v>
      </c>
      <c r="V105" s="276" cm="1">
        <f t="array" ref="V105">IF(AND(V$2&lt;&gt;0,TblTech[[#This Row],[Hour]:[Hour]]&gt;=V$2),1,0)</f>
        <v>0</v>
      </c>
      <c r="W105" s="276" cm="1">
        <f t="array" ref="W105">IF(AND(W$2&lt;&gt;0,TblTech[[#This Row],[Hour]:[Hour]]&gt;=W$2),1,0)</f>
        <v>0</v>
      </c>
      <c r="X105" s="276" cm="1">
        <f t="array" ref="X105">IF(AND(X$2&lt;&gt;0,TblTech[[#This Row],[Hour]:[Hour]]&gt;=X$2),1,0)</f>
        <v>0</v>
      </c>
      <c r="Y105" s="276" cm="1">
        <f t="array" ref="Y105">IF(AND(Y$2&lt;&gt;0,TblTech[[#This Row],[Hour]:[Hour]]&gt;=Y$2),1,0)</f>
        <v>0</v>
      </c>
      <c r="Z105" s="276" cm="1">
        <f t="array" ref="Z105">IF(AND(Z$2&lt;&gt;0,TblTech[[#This Row],[Hour]:[Hour]]&gt;=Z$2),1,0)</f>
        <v>0</v>
      </c>
      <c r="AA105" s="276" cm="1">
        <f t="array" ref="AA105">IF(AND(AA$2&lt;&gt;0,TblTech[[#This Row],[Hour]:[Hour]]&gt;=AA$2),1,0)</f>
        <v>0</v>
      </c>
      <c r="AB105" s="276" cm="1">
        <f t="array" ref="AB105">IF(AND(AB$2&lt;&gt;0,TblTech[[#This Row],[Hour]:[Hour]]&gt;=AB$2),1,0)</f>
        <v>0</v>
      </c>
      <c r="AC105" s="276" cm="1">
        <f t="array" ref="AC105">IF(AND(AC$2&lt;&gt;0,TblTech[[#This Row],[Hour]:[Hour]]&gt;=AC$2),1,0)</f>
        <v>0</v>
      </c>
      <c r="AD105" s="276" cm="1">
        <f t="array" ref="AD105">IF(AND(AD$2&lt;&gt;0,TblTech[[#This Row],[Hour]:[Hour]]&gt;=AD$2),1,0)</f>
        <v>0</v>
      </c>
      <c r="AE105" s="276" cm="1">
        <f t="array" ref="AE105">IF(AND(AE$2&lt;&gt;0,TblTech[[#This Row],[Hour]:[Hour]]&gt;=AE$2),1,0)</f>
        <v>0</v>
      </c>
      <c r="AF105" s="276" cm="1">
        <f t="array" ref="AF105">IF(AND(AF$2&lt;&gt;0,TblTech[[#This Row],[Hour]:[Hour]]&gt;=AF$2),1,0)</f>
        <v>0</v>
      </c>
      <c r="AG105" s="276" cm="1">
        <f t="array" ref="AG105">IF(AND(AG$2&lt;&gt;0,TblTech[[#This Row],[Hour]:[Hour]]&gt;=AG$2),1,0)</f>
        <v>0</v>
      </c>
      <c r="AH105" s="276" cm="1">
        <f t="array" ref="AH105">IF(AND(AH$2&lt;&gt;0,TblTech[[#This Row],[Hour]:[Hour]]&gt;=AH$2),1,0)</f>
        <v>0</v>
      </c>
      <c r="AI105" s="276" cm="1">
        <f t="array" ref="AI105">IF(AND(AI$2&lt;&gt;0,TblTech[[#This Row],[Hour]:[Hour]]&gt;=AI$2),1,0)</f>
        <v>0</v>
      </c>
      <c r="AJ105" s="276" cm="1">
        <f t="array" ref="AJ105">IF(AND(AJ$2&lt;&gt;0,TblTech[[#This Row],[Hour]:[Hour]]&gt;=AJ$2),1,0)</f>
        <v>0</v>
      </c>
      <c r="AK105" s="276" cm="1">
        <f t="array" ref="AK105">IF(AND(AK$2&lt;&gt;0,TblTech[[#This Row],[Hour]:[Hour]]&gt;=AK$2),1,0)</f>
        <v>0</v>
      </c>
      <c r="AL105" s="276" cm="1">
        <f t="array" ref="AL105">IF(AND(AL$2&lt;&gt;0,TblTech[[#This Row],[Hour]:[Hour]]&gt;=AL$2),1,0)</f>
        <v>0</v>
      </c>
      <c r="AM105" s="276" cm="1">
        <f t="array" ref="AM105">IF(AND(AM$2&lt;&gt;0,TblTech[[#This Row],[Hour]:[Hour]]&gt;=AM$2),1,0)</f>
        <v>0</v>
      </c>
      <c r="AN105" s="276" cm="1">
        <f t="array" ref="AN105">IF(AND(AN$2&lt;&gt;0,TblTech[[#This Row],[Hour]:[Hour]]&gt;=AN$2),1,0)</f>
        <v>0</v>
      </c>
      <c r="AO105" s="276" cm="1">
        <f t="array" ref="AO105">IF(AND(AO$2&lt;&gt;0,TblTech[[#This Row],[Hour]:[Hour]]&gt;=AO$2),1,0)</f>
        <v>0</v>
      </c>
      <c r="AP105" s="276" cm="1">
        <f t="array" ref="AP105">IF(AND(AP$2&lt;&gt;0,TblTech[[#This Row],[Hour]:[Hour]]&gt;=AP$2),1,0)</f>
        <v>0</v>
      </c>
      <c r="AQ105" s="276" cm="1">
        <f t="array" ref="AQ105">IF(AND(AQ$2&lt;&gt;0,TblTech[[#This Row],[Hour]:[Hour]]&gt;=AQ$2),1,0)</f>
        <v>0</v>
      </c>
      <c r="AR105" s="276" cm="1">
        <f t="array" ref="AR105">IF(AND(AR$2&lt;&gt;0,TblTech[[#This Row],[Hour]:[Hour]]&gt;=AR$2),1,0)</f>
        <v>0</v>
      </c>
      <c r="AS105" s="276" cm="1">
        <f t="array" ref="AS105">IF(AND(AS$2&lt;&gt;0,TblTech[[#This Row],[Hour]:[Hour]]&gt;=AS$2),1,0)</f>
        <v>0</v>
      </c>
      <c r="AT105" s="276" cm="1">
        <f t="array" ref="AT105">IF(AND(AT$2&lt;&gt;0,TblTech[[#This Row],[Hour]:[Hour]]&gt;=AT$2),1,0)</f>
        <v>0</v>
      </c>
      <c r="AU105" s="276" cm="1">
        <f t="array" ref="AU105">IF(AND(AU$2&lt;&gt;0,TblTech[[#This Row],[Hour]:[Hour]]&gt;=AU$2),1,0)</f>
        <v>0</v>
      </c>
      <c r="AV105" s="276" cm="1">
        <f t="array" ref="AV105">IF(AND(AV$2&lt;&gt;0,TblTech[[#This Row],[Hour]:[Hour]]&gt;=AV$2),1,0)</f>
        <v>0</v>
      </c>
      <c r="AW105" s="276" cm="1">
        <f t="array" ref="AW105">IF(AND(AW$2&lt;&gt;0,TblTech[[#This Row],[Hour]:[Hour]]&gt;=AW$2),1,0)</f>
        <v>0</v>
      </c>
      <c r="AX105" s="276" cm="1">
        <f t="array" ref="AX105">IF(AND(AX$2&lt;&gt;0,TblTech[[#This Row],[Hour]:[Hour]]&gt;=AX$2),1,0)</f>
        <v>0</v>
      </c>
      <c r="AY105" s="276" cm="1">
        <f t="array" ref="AY105">IF(AND(AY$2&lt;&gt;0,TblTech[[#This Row],[Hour]:[Hour]]&gt;=AY$2),1,0)</f>
        <v>0</v>
      </c>
      <c r="AZ105" s="276" cm="1">
        <f t="array" ref="AZ105">IF(AND(AZ$2&lt;&gt;0,TblTech[[#This Row],[Hour]:[Hour]]&gt;=AZ$2),1,0)</f>
        <v>0</v>
      </c>
      <c r="BA105" s="276" cm="1">
        <f t="array" ref="BA105">IF(AND(BA$2&lt;&gt;0,TblTech[[#This Row],[Hour]:[Hour]]&gt;=BA$2),1,0)</f>
        <v>0</v>
      </c>
      <c r="BB105" s="276" cm="1">
        <f t="array" ref="BB105">IF(AND(BB$2&lt;&gt;0,TblTech[[#This Row],[Hour]:[Hour]]&gt;=BB$2),1,0)</f>
        <v>0</v>
      </c>
      <c r="BC105" s="276" cm="1">
        <f t="array" ref="BC105">IF(AND(BC$2&lt;&gt;0,TblTech[[#This Row],[Hour]:[Hour]]&gt;=BC$2),1,0)</f>
        <v>0</v>
      </c>
      <c r="BD105" s="276" cm="1">
        <f t="array" ref="BD105">IF(AND(BD$2&lt;&gt;0,TblTech[[#This Row],[Hour]:[Hour]]&gt;=BD$2),1,0)</f>
        <v>0</v>
      </c>
      <c r="BE105" s="276" cm="1">
        <f t="array" ref="BE105">IF(AND(BE$2&lt;&gt;0,TblTech[[#This Row],[Hour]:[Hour]]&gt;=BE$2),1,0)</f>
        <v>0</v>
      </c>
      <c r="BF105" s="276" cm="1">
        <f t="array" ref="BF105">IF(AND(BF$2&lt;&gt;0,TblTech[[#This Row],[Hour]:[Hour]]&gt;=BF$2),1,0)</f>
        <v>0</v>
      </c>
      <c r="BG105" s="276" cm="1">
        <f t="array" ref="BG105">IF(AND(BG$2&lt;&gt;0,TblTech[[#This Row],[Hour]:[Hour]]&gt;=BG$2),1,0)</f>
        <v>0</v>
      </c>
      <c r="BH105" s="276" cm="1">
        <f t="array" ref="BH105">IF(AND(BH$2&lt;&gt;0,TblTech[[#This Row],[Hour]:[Hour]]&gt;=BH$2),1,0)</f>
        <v>0</v>
      </c>
      <c r="BI105" s="276" cm="1">
        <f t="array" ref="BI105">IF(AND(BI$2&lt;&gt;0,TblTech[[#This Row],[Hour]:[Hour]]&gt;=BI$2),1,0)</f>
        <v>0</v>
      </c>
      <c r="BJ105" s="276" cm="1">
        <f t="array" ref="BJ105">IF(AND(BJ$2&lt;&gt;0,TblTech[[#This Row],[Hour]:[Hour]]&gt;=BJ$2),1,0)</f>
        <v>0</v>
      </c>
      <c r="BK105" s="276" cm="1">
        <f t="array" ref="BK105">IF(AND(BK$2&lt;&gt;0,TblTech[[#This Row],[Hour]:[Hour]]&gt;=BK$2),1,0)</f>
        <v>0</v>
      </c>
      <c r="BL105" s="276" cm="1">
        <f t="array" ref="BL105">IF(AND(BL$2&lt;&gt;0,TblTech[[#This Row],[Hour]:[Hour]]&gt;=BL$2),1,0)</f>
        <v>0</v>
      </c>
      <c r="BM105" s="276" cm="1">
        <f t="array" ref="BM105">IF(AND(BM$2&lt;&gt;0,TblTech[[#This Row],[Hour]:[Hour]]&gt;=BM$2),1,0)</f>
        <v>0</v>
      </c>
      <c r="BN105" s="276" cm="1">
        <f t="array" ref="BN105">IF(AND(BN$2&lt;&gt;0,TblTech[[#This Row],[Hour]:[Hour]]&gt;=BN$2),1,0)</f>
        <v>0</v>
      </c>
      <c r="BO105" s="276" cm="1">
        <f t="array" ref="BO105">IF(AND(BO$2&lt;&gt;0,TblTech[[#This Row],[Hour]:[Hour]]&gt;=BO$2),1,0)</f>
        <v>0</v>
      </c>
      <c r="BP105" s="276" cm="1">
        <f t="array" ref="BP105">IF(AND(BP$2&lt;&gt;0,TblTech[[#This Row],[Hour]:[Hour]]&gt;=BP$2),1,0)</f>
        <v>0</v>
      </c>
      <c r="BQ105" s="276" cm="1">
        <f t="array" ref="BQ105">IF(AND(BQ$2&lt;&gt;0,TblTech[[#This Row],[Hour]:[Hour]]&gt;=BQ$2),1,0)</f>
        <v>0</v>
      </c>
      <c r="BR105" s="276" cm="1">
        <f t="array" ref="BR105">IF(AND(BR$2&lt;&gt;0,TblTech[[#This Row],[Hour]:[Hour]]&gt;=BR$2),1,0)</f>
        <v>0</v>
      </c>
      <c r="BS105" s="276" cm="1">
        <f t="array" ref="BS105">IF(AND(BS$2&lt;&gt;0,TblTech[[#This Row],[Hour]:[Hour]]&gt;=BS$2),1,0)</f>
        <v>0</v>
      </c>
      <c r="BT105" s="276" cm="1">
        <f t="array" ref="BT105">IF(AND(BT$2&lt;&gt;0,TblTech[[#This Row],[Hour]:[Hour]]&gt;=BT$2),1,0)</f>
        <v>0</v>
      </c>
      <c r="BU105" s="276" cm="1">
        <f t="array" ref="BU105">IF(AND(BU$2&lt;&gt;0,TblTech[[#This Row],[Hour]:[Hour]]&gt;=BU$2),1,0)</f>
        <v>0</v>
      </c>
      <c r="BV105" s="276" cm="1">
        <f t="array" ref="BV105">IF(AND(BV$2&lt;&gt;0,TblTech[[#This Row],[Hour]:[Hour]]&gt;=BV$2),1,0)</f>
        <v>0</v>
      </c>
      <c r="BW105" s="276" cm="1">
        <f t="array" ref="BW105">IF(AND(BW$2&lt;&gt;0,TblTech[[#This Row],[Hour]:[Hour]]&gt;=BW$2),1,0)</f>
        <v>0</v>
      </c>
      <c r="BX105" s="276" cm="1">
        <f t="array" ref="BX105">IF(AND(BX$2&lt;&gt;0,TblTech[[#This Row],[Hour]:[Hour]]&gt;=BX$2),1,0)</f>
        <v>0</v>
      </c>
      <c r="BY105" s="276" cm="1">
        <f t="array" ref="BY105">IF(AND(BY$2&lt;&gt;0,TblTech[[#This Row],[Hour]:[Hour]]&gt;=BY$2),1,0)</f>
        <v>0</v>
      </c>
      <c r="BZ105" s="276" cm="1">
        <f t="array" ref="BZ105">IF(AND(BZ$2&lt;&gt;0,TblTech[[#This Row],[Hour]:[Hour]]&gt;=BZ$2),1,0)</f>
        <v>0</v>
      </c>
      <c r="CA105" s="377">
        <f>IFERROR(INDEX($H$4:$H$79,MATCH(INDEX(TblTech[[#Headers],[1-1]:[11-1]],1,MATCH(TblTech[[#This Row],[Hour]],$M$2:$BZ$2,0)),$G$4:$G$79,0)),)</f>
        <v>0</v>
      </c>
    </row>
    <row r="106" spans="1:79" x14ac:dyDescent="0.2">
      <c r="A106" s="268">
        <f>TblRezone[[#This Row],[Hour]]</f>
        <v>103</v>
      </c>
      <c r="B106" s="269">
        <f ca="1">TblExplore[[#This Row],[Land-DB]]</f>
        <v>50</v>
      </c>
      <c r="C106" s="270">
        <f ca="1">TblProd[[#This Row],[Techpoints]]</f>
        <v>0</v>
      </c>
      <c r="D106" s="270">
        <f ca="1">TblProd[[#This Row],[Required]]</f>
        <v>3750</v>
      </c>
      <c r="E106" s="279"/>
      <c r="F106" s="280"/>
      <c r="G106" s="273"/>
      <c r="H106" s="274"/>
      <c r="I106" s="274"/>
      <c r="J106" s="274"/>
      <c r="K106" s="93">
        <f ca="1">IF(TblTech[[#This Row],[Sum of tech]]&lt;&gt;OFFSET(TblTech[[#This Row],[Sum of tech]],-1,0),1,0)</f>
        <v>0</v>
      </c>
      <c r="L106" s="275">
        <f>COUNTIF(TblTech[[#This Row],[1-1]:[11-1]],1)</f>
        <v>0</v>
      </c>
      <c r="M106" s="276" cm="1">
        <f t="array" ref="M106">IF(AND(M$2&lt;&gt;0,TblTech[[#This Row],[Hour]:[Hour]]&gt;=M$2),1,0)</f>
        <v>0</v>
      </c>
      <c r="N106" s="276" cm="1">
        <f t="array" ref="N106">IF(AND(N$2&lt;&gt;0,TblTech[[#This Row],[Hour]:[Hour]]&gt;=N$2),1,0)</f>
        <v>0</v>
      </c>
      <c r="O106" s="276" cm="1">
        <f t="array" ref="O106">IF(AND(O$2&lt;&gt;0,TblTech[[#This Row],[Hour]:[Hour]]&gt;=O$2),1,0)</f>
        <v>0</v>
      </c>
      <c r="P106" s="276" cm="1">
        <f t="array" ref="P106">IF(AND(P$2&lt;&gt;0,TblTech[[#This Row],[Hour]:[Hour]]&gt;=P$2),1,0)</f>
        <v>0</v>
      </c>
      <c r="Q106" s="276" cm="1">
        <f t="array" ref="Q106">IF(AND(Q$2&lt;&gt;0,TblTech[[#This Row],[Hour]:[Hour]]&gt;=Q$2),1,0)</f>
        <v>0</v>
      </c>
      <c r="R106" s="276" cm="1">
        <f t="array" ref="R106">IF(AND(R$2&lt;&gt;0,TblTech[[#This Row],[Hour]:[Hour]]&gt;=R$2),1,0)</f>
        <v>0</v>
      </c>
      <c r="S106" s="276" cm="1">
        <f t="array" ref="S106">IF(AND(S$2&lt;&gt;0,TblTech[[#This Row],[Hour]:[Hour]]&gt;=S$2),1,0)</f>
        <v>0</v>
      </c>
      <c r="T106" s="276" cm="1">
        <f t="array" ref="T106">IF(AND(T$2&lt;&gt;0,TblTech[[#This Row],[Hour]:[Hour]]&gt;=T$2),1,0)</f>
        <v>0</v>
      </c>
      <c r="U106" s="276" cm="1">
        <f t="array" ref="U106">IF(AND(U$2&lt;&gt;0,TblTech[[#This Row],[Hour]:[Hour]]&gt;=U$2),1,0)</f>
        <v>0</v>
      </c>
      <c r="V106" s="276" cm="1">
        <f t="array" ref="V106">IF(AND(V$2&lt;&gt;0,TblTech[[#This Row],[Hour]:[Hour]]&gt;=V$2),1,0)</f>
        <v>0</v>
      </c>
      <c r="W106" s="276" cm="1">
        <f t="array" ref="W106">IF(AND(W$2&lt;&gt;0,TblTech[[#This Row],[Hour]:[Hour]]&gt;=W$2),1,0)</f>
        <v>0</v>
      </c>
      <c r="X106" s="276" cm="1">
        <f t="array" ref="X106">IF(AND(X$2&lt;&gt;0,TblTech[[#This Row],[Hour]:[Hour]]&gt;=X$2),1,0)</f>
        <v>0</v>
      </c>
      <c r="Y106" s="276" cm="1">
        <f t="array" ref="Y106">IF(AND(Y$2&lt;&gt;0,TblTech[[#This Row],[Hour]:[Hour]]&gt;=Y$2),1,0)</f>
        <v>0</v>
      </c>
      <c r="Z106" s="276" cm="1">
        <f t="array" ref="Z106">IF(AND(Z$2&lt;&gt;0,TblTech[[#This Row],[Hour]:[Hour]]&gt;=Z$2),1,0)</f>
        <v>0</v>
      </c>
      <c r="AA106" s="276" cm="1">
        <f t="array" ref="AA106">IF(AND(AA$2&lt;&gt;0,TblTech[[#This Row],[Hour]:[Hour]]&gt;=AA$2),1,0)</f>
        <v>0</v>
      </c>
      <c r="AB106" s="276" cm="1">
        <f t="array" ref="AB106">IF(AND(AB$2&lt;&gt;0,TblTech[[#This Row],[Hour]:[Hour]]&gt;=AB$2),1,0)</f>
        <v>0</v>
      </c>
      <c r="AC106" s="276" cm="1">
        <f t="array" ref="AC106">IF(AND(AC$2&lt;&gt;0,TblTech[[#This Row],[Hour]:[Hour]]&gt;=AC$2),1,0)</f>
        <v>0</v>
      </c>
      <c r="AD106" s="276" cm="1">
        <f t="array" ref="AD106">IF(AND(AD$2&lt;&gt;0,TblTech[[#This Row],[Hour]:[Hour]]&gt;=AD$2),1,0)</f>
        <v>0</v>
      </c>
      <c r="AE106" s="276" cm="1">
        <f t="array" ref="AE106">IF(AND(AE$2&lt;&gt;0,TblTech[[#This Row],[Hour]:[Hour]]&gt;=AE$2),1,0)</f>
        <v>0</v>
      </c>
      <c r="AF106" s="276" cm="1">
        <f t="array" ref="AF106">IF(AND(AF$2&lt;&gt;0,TblTech[[#This Row],[Hour]:[Hour]]&gt;=AF$2),1,0)</f>
        <v>0</v>
      </c>
      <c r="AG106" s="276" cm="1">
        <f t="array" ref="AG106">IF(AND(AG$2&lt;&gt;0,TblTech[[#This Row],[Hour]:[Hour]]&gt;=AG$2),1,0)</f>
        <v>0</v>
      </c>
      <c r="AH106" s="276" cm="1">
        <f t="array" ref="AH106">IF(AND(AH$2&lt;&gt;0,TblTech[[#This Row],[Hour]:[Hour]]&gt;=AH$2),1,0)</f>
        <v>0</v>
      </c>
      <c r="AI106" s="276" cm="1">
        <f t="array" ref="AI106">IF(AND(AI$2&lt;&gt;0,TblTech[[#This Row],[Hour]:[Hour]]&gt;=AI$2),1,0)</f>
        <v>0</v>
      </c>
      <c r="AJ106" s="276" cm="1">
        <f t="array" ref="AJ106">IF(AND(AJ$2&lt;&gt;0,TblTech[[#This Row],[Hour]:[Hour]]&gt;=AJ$2),1,0)</f>
        <v>0</v>
      </c>
      <c r="AK106" s="276" cm="1">
        <f t="array" ref="AK106">IF(AND(AK$2&lt;&gt;0,TblTech[[#This Row],[Hour]:[Hour]]&gt;=AK$2),1,0)</f>
        <v>0</v>
      </c>
      <c r="AL106" s="276" cm="1">
        <f t="array" ref="AL106">IF(AND(AL$2&lt;&gt;0,TblTech[[#This Row],[Hour]:[Hour]]&gt;=AL$2),1,0)</f>
        <v>0</v>
      </c>
      <c r="AM106" s="276" cm="1">
        <f t="array" ref="AM106">IF(AND(AM$2&lt;&gt;0,TblTech[[#This Row],[Hour]:[Hour]]&gt;=AM$2),1,0)</f>
        <v>0</v>
      </c>
      <c r="AN106" s="276" cm="1">
        <f t="array" ref="AN106">IF(AND(AN$2&lt;&gt;0,TblTech[[#This Row],[Hour]:[Hour]]&gt;=AN$2),1,0)</f>
        <v>0</v>
      </c>
      <c r="AO106" s="276" cm="1">
        <f t="array" ref="AO106">IF(AND(AO$2&lt;&gt;0,TblTech[[#This Row],[Hour]:[Hour]]&gt;=AO$2),1,0)</f>
        <v>0</v>
      </c>
      <c r="AP106" s="276" cm="1">
        <f t="array" ref="AP106">IF(AND(AP$2&lt;&gt;0,TblTech[[#This Row],[Hour]:[Hour]]&gt;=AP$2),1,0)</f>
        <v>0</v>
      </c>
      <c r="AQ106" s="276" cm="1">
        <f t="array" ref="AQ106">IF(AND(AQ$2&lt;&gt;0,TblTech[[#This Row],[Hour]:[Hour]]&gt;=AQ$2),1,0)</f>
        <v>0</v>
      </c>
      <c r="AR106" s="276" cm="1">
        <f t="array" ref="AR106">IF(AND(AR$2&lt;&gt;0,TblTech[[#This Row],[Hour]:[Hour]]&gt;=AR$2),1,0)</f>
        <v>0</v>
      </c>
      <c r="AS106" s="276" cm="1">
        <f t="array" ref="AS106">IF(AND(AS$2&lt;&gt;0,TblTech[[#This Row],[Hour]:[Hour]]&gt;=AS$2),1,0)</f>
        <v>0</v>
      </c>
      <c r="AT106" s="276" cm="1">
        <f t="array" ref="AT106">IF(AND(AT$2&lt;&gt;0,TblTech[[#This Row],[Hour]:[Hour]]&gt;=AT$2),1,0)</f>
        <v>0</v>
      </c>
      <c r="AU106" s="276" cm="1">
        <f t="array" ref="AU106">IF(AND(AU$2&lt;&gt;0,TblTech[[#This Row],[Hour]:[Hour]]&gt;=AU$2),1,0)</f>
        <v>0</v>
      </c>
      <c r="AV106" s="276" cm="1">
        <f t="array" ref="AV106">IF(AND(AV$2&lt;&gt;0,TblTech[[#This Row],[Hour]:[Hour]]&gt;=AV$2),1,0)</f>
        <v>0</v>
      </c>
      <c r="AW106" s="276" cm="1">
        <f t="array" ref="AW106">IF(AND(AW$2&lt;&gt;0,TblTech[[#This Row],[Hour]:[Hour]]&gt;=AW$2),1,0)</f>
        <v>0</v>
      </c>
      <c r="AX106" s="276" cm="1">
        <f t="array" ref="AX106">IF(AND(AX$2&lt;&gt;0,TblTech[[#This Row],[Hour]:[Hour]]&gt;=AX$2),1,0)</f>
        <v>0</v>
      </c>
      <c r="AY106" s="276" cm="1">
        <f t="array" ref="AY106">IF(AND(AY$2&lt;&gt;0,TblTech[[#This Row],[Hour]:[Hour]]&gt;=AY$2),1,0)</f>
        <v>0</v>
      </c>
      <c r="AZ106" s="276" cm="1">
        <f t="array" ref="AZ106">IF(AND(AZ$2&lt;&gt;0,TblTech[[#This Row],[Hour]:[Hour]]&gt;=AZ$2),1,0)</f>
        <v>0</v>
      </c>
      <c r="BA106" s="276" cm="1">
        <f t="array" ref="BA106">IF(AND(BA$2&lt;&gt;0,TblTech[[#This Row],[Hour]:[Hour]]&gt;=BA$2),1,0)</f>
        <v>0</v>
      </c>
      <c r="BB106" s="276" cm="1">
        <f t="array" ref="BB106">IF(AND(BB$2&lt;&gt;0,TblTech[[#This Row],[Hour]:[Hour]]&gt;=BB$2),1,0)</f>
        <v>0</v>
      </c>
      <c r="BC106" s="276" cm="1">
        <f t="array" ref="BC106">IF(AND(BC$2&lt;&gt;0,TblTech[[#This Row],[Hour]:[Hour]]&gt;=BC$2),1,0)</f>
        <v>0</v>
      </c>
      <c r="BD106" s="276" cm="1">
        <f t="array" ref="BD106">IF(AND(BD$2&lt;&gt;0,TblTech[[#This Row],[Hour]:[Hour]]&gt;=BD$2),1,0)</f>
        <v>0</v>
      </c>
      <c r="BE106" s="276" cm="1">
        <f t="array" ref="BE106">IF(AND(BE$2&lt;&gt;0,TblTech[[#This Row],[Hour]:[Hour]]&gt;=BE$2),1,0)</f>
        <v>0</v>
      </c>
      <c r="BF106" s="276" cm="1">
        <f t="array" ref="BF106">IF(AND(BF$2&lt;&gt;0,TblTech[[#This Row],[Hour]:[Hour]]&gt;=BF$2),1,0)</f>
        <v>0</v>
      </c>
      <c r="BG106" s="276" cm="1">
        <f t="array" ref="BG106">IF(AND(BG$2&lt;&gt;0,TblTech[[#This Row],[Hour]:[Hour]]&gt;=BG$2),1,0)</f>
        <v>0</v>
      </c>
      <c r="BH106" s="276" cm="1">
        <f t="array" ref="BH106">IF(AND(BH$2&lt;&gt;0,TblTech[[#This Row],[Hour]:[Hour]]&gt;=BH$2),1,0)</f>
        <v>0</v>
      </c>
      <c r="BI106" s="276" cm="1">
        <f t="array" ref="BI106">IF(AND(BI$2&lt;&gt;0,TblTech[[#This Row],[Hour]:[Hour]]&gt;=BI$2),1,0)</f>
        <v>0</v>
      </c>
      <c r="BJ106" s="276" cm="1">
        <f t="array" ref="BJ106">IF(AND(BJ$2&lt;&gt;0,TblTech[[#This Row],[Hour]:[Hour]]&gt;=BJ$2),1,0)</f>
        <v>0</v>
      </c>
      <c r="BK106" s="276" cm="1">
        <f t="array" ref="BK106">IF(AND(BK$2&lt;&gt;0,TblTech[[#This Row],[Hour]:[Hour]]&gt;=BK$2),1,0)</f>
        <v>0</v>
      </c>
      <c r="BL106" s="276" cm="1">
        <f t="array" ref="BL106">IF(AND(BL$2&lt;&gt;0,TblTech[[#This Row],[Hour]:[Hour]]&gt;=BL$2),1,0)</f>
        <v>0</v>
      </c>
      <c r="BM106" s="276" cm="1">
        <f t="array" ref="BM106">IF(AND(BM$2&lt;&gt;0,TblTech[[#This Row],[Hour]:[Hour]]&gt;=BM$2),1,0)</f>
        <v>0</v>
      </c>
      <c r="BN106" s="276" cm="1">
        <f t="array" ref="BN106">IF(AND(BN$2&lt;&gt;0,TblTech[[#This Row],[Hour]:[Hour]]&gt;=BN$2),1,0)</f>
        <v>0</v>
      </c>
      <c r="BO106" s="276" cm="1">
        <f t="array" ref="BO106">IF(AND(BO$2&lt;&gt;0,TblTech[[#This Row],[Hour]:[Hour]]&gt;=BO$2),1,0)</f>
        <v>0</v>
      </c>
      <c r="BP106" s="276" cm="1">
        <f t="array" ref="BP106">IF(AND(BP$2&lt;&gt;0,TblTech[[#This Row],[Hour]:[Hour]]&gt;=BP$2),1,0)</f>
        <v>0</v>
      </c>
      <c r="BQ106" s="276" cm="1">
        <f t="array" ref="BQ106">IF(AND(BQ$2&lt;&gt;0,TblTech[[#This Row],[Hour]:[Hour]]&gt;=BQ$2),1,0)</f>
        <v>0</v>
      </c>
      <c r="BR106" s="276" cm="1">
        <f t="array" ref="BR106">IF(AND(BR$2&lt;&gt;0,TblTech[[#This Row],[Hour]:[Hour]]&gt;=BR$2),1,0)</f>
        <v>0</v>
      </c>
      <c r="BS106" s="276" cm="1">
        <f t="array" ref="BS106">IF(AND(BS$2&lt;&gt;0,TblTech[[#This Row],[Hour]:[Hour]]&gt;=BS$2),1,0)</f>
        <v>0</v>
      </c>
      <c r="BT106" s="276" cm="1">
        <f t="array" ref="BT106">IF(AND(BT$2&lt;&gt;0,TblTech[[#This Row],[Hour]:[Hour]]&gt;=BT$2),1,0)</f>
        <v>0</v>
      </c>
      <c r="BU106" s="276" cm="1">
        <f t="array" ref="BU106">IF(AND(BU$2&lt;&gt;0,TblTech[[#This Row],[Hour]:[Hour]]&gt;=BU$2),1,0)</f>
        <v>0</v>
      </c>
      <c r="BV106" s="276" cm="1">
        <f t="array" ref="BV106">IF(AND(BV$2&lt;&gt;0,TblTech[[#This Row],[Hour]:[Hour]]&gt;=BV$2),1,0)</f>
        <v>0</v>
      </c>
      <c r="BW106" s="276" cm="1">
        <f t="array" ref="BW106">IF(AND(BW$2&lt;&gt;0,TblTech[[#This Row],[Hour]:[Hour]]&gt;=BW$2),1,0)</f>
        <v>0</v>
      </c>
      <c r="BX106" s="276" cm="1">
        <f t="array" ref="BX106">IF(AND(BX$2&lt;&gt;0,TblTech[[#This Row],[Hour]:[Hour]]&gt;=BX$2),1,0)</f>
        <v>0</v>
      </c>
      <c r="BY106" s="276" cm="1">
        <f t="array" ref="BY106">IF(AND(BY$2&lt;&gt;0,TblTech[[#This Row],[Hour]:[Hour]]&gt;=BY$2),1,0)</f>
        <v>0</v>
      </c>
      <c r="BZ106" s="276" cm="1">
        <f t="array" ref="BZ106">IF(AND(BZ$2&lt;&gt;0,TblTech[[#This Row],[Hour]:[Hour]]&gt;=BZ$2),1,0)</f>
        <v>0</v>
      </c>
      <c r="CA106" s="377">
        <f>IFERROR(INDEX($H$4:$H$79,MATCH(INDEX(TblTech[[#Headers],[1-1]:[11-1]],1,MATCH(TblTech[[#This Row],[Hour]],$M$2:$BZ$2,0)),$G$4:$G$79,0)),)</f>
        <v>0</v>
      </c>
    </row>
    <row r="107" spans="1:79" x14ac:dyDescent="0.2">
      <c r="A107" s="268">
        <f>TblRezone[[#This Row],[Hour]]</f>
        <v>104</v>
      </c>
      <c r="B107" s="269">
        <f ca="1">TblExplore[[#This Row],[Land-DB]]</f>
        <v>50</v>
      </c>
      <c r="C107" s="270">
        <f ca="1">TblProd[[#This Row],[Techpoints]]</f>
        <v>0</v>
      </c>
      <c r="D107" s="270">
        <f ca="1">TblProd[[#This Row],[Required]]</f>
        <v>3750</v>
      </c>
      <c r="E107" s="279"/>
      <c r="F107" s="280"/>
      <c r="G107" s="273"/>
      <c r="H107" s="274"/>
      <c r="I107" s="274"/>
      <c r="J107" s="274"/>
      <c r="K107" s="93">
        <f ca="1">IF(TblTech[[#This Row],[Sum of tech]]&lt;&gt;OFFSET(TblTech[[#This Row],[Sum of tech]],-1,0),1,0)</f>
        <v>0</v>
      </c>
      <c r="L107" s="275">
        <f>COUNTIF(TblTech[[#This Row],[1-1]:[11-1]],1)</f>
        <v>0</v>
      </c>
      <c r="M107" s="276" cm="1">
        <f t="array" ref="M107">IF(AND(M$2&lt;&gt;0,TblTech[[#This Row],[Hour]:[Hour]]&gt;=M$2),1,0)</f>
        <v>0</v>
      </c>
      <c r="N107" s="276" cm="1">
        <f t="array" ref="N107">IF(AND(N$2&lt;&gt;0,TblTech[[#This Row],[Hour]:[Hour]]&gt;=N$2),1,0)</f>
        <v>0</v>
      </c>
      <c r="O107" s="276" cm="1">
        <f t="array" ref="O107">IF(AND(O$2&lt;&gt;0,TblTech[[#This Row],[Hour]:[Hour]]&gt;=O$2),1,0)</f>
        <v>0</v>
      </c>
      <c r="P107" s="276" cm="1">
        <f t="array" ref="P107">IF(AND(P$2&lt;&gt;0,TblTech[[#This Row],[Hour]:[Hour]]&gt;=P$2),1,0)</f>
        <v>0</v>
      </c>
      <c r="Q107" s="276" cm="1">
        <f t="array" ref="Q107">IF(AND(Q$2&lt;&gt;0,TblTech[[#This Row],[Hour]:[Hour]]&gt;=Q$2),1,0)</f>
        <v>0</v>
      </c>
      <c r="R107" s="276" cm="1">
        <f t="array" ref="R107">IF(AND(R$2&lt;&gt;0,TblTech[[#This Row],[Hour]:[Hour]]&gt;=R$2),1,0)</f>
        <v>0</v>
      </c>
      <c r="S107" s="276" cm="1">
        <f t="array" ref="S107">IF(AND(S$2&lt;&gt;0,TblTech[[#This Row],[Hour]:[Hour]]&gt;=S$2),1,0)</f>
        <v>0</v>
      </c>
      <c r="T107" s="276" cm="1">
        <f t="array" ref="T107">IF(AND(T$2&lt;&gt;0,TblTech[[#This Row],[Hour]:[Hour]]&gt;=T$2),1,0)</f>
        <v>0</v>
      </c>
      <c r="U107" s="276" cm="1">
        <f t="array" ref="U107">IF(AND(U$2&lt;&gt;0,TblTech[[#This Row],[Hour]:[Hour]]&gt;=U$2),1,0)</f>
        <v>0</v>
      </c>
      <c r="V107" s="276" cm="1">
        <f t="array" ref="V107">IF(AND(V$2&lt;&gt;0,TblTech[[#This Row],[Hour]:[Hour]]&gt;=V$2),1,0)</f>
        <v>0</v>
      </c>
      <c r="W107" s="276" cm="1">
        <f t="array" ref="W107">IF(AND(W$2&lt;&gt;0,TblTech[[#This Row],[Hour]:[Hour]]&gt;=W$2),1,0)</f>
        <v>0</v>
      </c>
      <c r="X107" s="276" cm="1">
        <f t="array" ref="X107">IF(AND(X$2&lt;&gt;0,TblTech[[#This Row],[Hour]:[Hour]]&gt;=X$2),1,0)</f>
        <v>0</v>
      </c>
      <c r="Y107" s="276" cm="1">
        <f t="array" ref="Y107">IF(AND(Y$2&lt;&gt;0,TblTech[[#This Row],[Hour]:[Hour]]&gt;=Y$2),1,0)</f>
        <v>0</v>
      </c>
      <c r="Z107" s="276" cm="1">
        <f t="array" ref="Z107">IF(AND(Z$2&lt;&gt;0,TblTech[[#This Row],[Hour]:[Hour]]&gt;=Z$2),1,0)</f>
        <v>0</v>
      </c>
      <c r="AA107" s="276" cm="1">
        <f t="array" ref="AA107">IF(AND(AA$2&lt;&gt;0,TblTech[[#This Row],[Hour]:[Hour]]&gt;=AA$2),1,0)</f>
        <v>0</v>
      </c>
      <c r="AB107" s="276" cm="1">
        <f t="array" ref="AB107">IF(AND(AB$2&lt;&gt;0,TblTech[[#This Row],[Hour]:[Hour]]&gt;=AB$2),1,0)</f>
        <v>0</v>
      </c>
      <c r="AC107" s="276" cm="1">
        <f t="array" ref="AC107">IF(AND(AC$2&lt;&gt;0,TblTech[[#This Row],[Hour]:[Hour]]&gt;=AC$2),1,0)</f>
        <v>0</v>
      </c>
      <c r="AD107" s="276" cm="1">
        <f t="array" ref="AD107">IF(AND(AD$2&lt;&gt;0,TblTech[[#This Row],[Hour]:[Hour]]&gt;=AD$2),1,0)</f>
        <v>0</v>
      </c>
      <c r="AE107" s="276" cm="1">
        <f t="array" ref="AE107">IF(AND(AE$2&lt;&gt;0,TblTech[[#This Row],[Hour]:[Hour]]&gt;=AE$2),1,0)</f>
        <v>0</v>
      </c>
      <c r="AF107" s="276" cm="1">
        <f t="array" ref="AF107">IF(AND(AF$2&lt;&gt;0,TblTech[[#This Row],[Hour]:[Hour]]&gt;=AF$2),1,0)</f>
        <v>0</v>
      </c>
      <c r="AG107" s="276" cm="1">
        <f t="array" ref="AG107">IF(AND(AG$2&lt;&gt;0,TblTech[[#This Row],[Hour]:[Hour]]&gt;=AG$2),1,0)</f>
        <v>0</v>
      </c>
      <c r="AH107" s="276" cm="1">
        <f t="array" ref="AH107">IF(AND(AH$2&lt;&gt;0,TblTech[[#This Row],[Hour]:[Hour]]&gt;=AH$2),1,0)</f>
        <v>0</v>
      </c>
      <c r="AI107" s="276" cm="1">
        <f t="array" ref="AI107">IF(AND(AI$2&lt;&gt;0,TblTech[[#This Row],[Hour]:[Hour]]&gt;=AI$2),1,0)</f>
        <v>0</v>
      </c>
      <c r="AJ107" s="276" cm="1">
        <f t="array" ref="AJ107">IF(AND(AJ$2&lt;&gt;0,TblTech[[#This Row],[Hour]:[Hour]]&gt;=AJ$2),1,0)</f>
        <v>0</v>
      </c>
      <c r="AK107" s="276" cm="1">
        <f t="array" ref="AK107">IF(AND(AK$2&lt;&gt;0,TblTech[[#This Row],[Hour]:[Hour]]&gt;=AK$2),1,0)</f>
        <v>0</v>
      </c>
      <c r="AL107" s="276" cm="1">
        <f t="array" ref="AL107">IF(AND(AL$2&lt;&gt;0,TblTech[[#This Row],[Hour]:[Hour]]&gt;=AL$2),1,0)</f>
        <v>0</v>
      </c>
      <c r="AM107" s="276" cm="1">
        <f t="array" ref="AM107">IF(AND(AM$2&lt;&gt;0,TblTech[[#This Row],[Hour]:[Hour]]&gt;=AM$2),1,0)</f>
        <v>0</v>
      </c>
      <c r="AN107" s="276" cm="1">
        <f t="array" ref="AN107">IF(AND(AN$2&lt;&gt;0,TblTech[[#This Row],[Hour]:[Hour]]&gt;=AN$2),1,0)</f>
        <v>0</v>
      </c>
      <c r="AO107" s="276" cm="1">
        <f t="array" ref="AO107">IF(AND(AO$2&lt;&gt;0,TblTech[[#This Row],[Hour]:[Hour]]&gt;=AO$2),1,0)</f>
        <v>0</v>
      </c>
      <c r="AP107" s="276" cm="1">
        <f t="array" ref="AP107">IF(AND(AP$2&lt;&gt;0,TblTech[[#This Row],[Hour]:[Hour]]&gt;=AP$2),1,0)</f>
        <v>0</v>
      </c>
      <c r="AQ107" s="276" cm="1">
        <f t="array" ref="AQ107">IF(AND(AQ$2&lt;&gt;0,TblTech[[#This Row],[Hour]:[Hour]]&gt;=AQ$2),1,0)</f>
        <v>0</v>
      </c>
      <c r="AR107" s="276" cm="1">
        <f t="array" ref="AR107">IF(AND(AR$2&lt;&gt;0,TblTech[[#This Row],[Hour]:[Hour]]&gt;=AR$2),1,0)</f>
        <v>0</v>
      </c>
      <c r="AS107" s="276" cm="1">
        <f t="array" ref="AS107">IF(AND(AS$2&lt;&gt;0,TblTech[[#This Row],[Hour]:[Hour]]&gt;=AS$2),1,0)</f>
        <v>0</v>
      </c>
      <c r="AT107" s="276" cm="1">
        <f t="array" ref="AT107">IF(AND(AT$2&lt;&gt;0,TblTech[[#This Row],[Hour]:[Hour]]&gt;=AT$2),1,0)</f>
        <v>0</v>
      </c>
      <c r="AU107" s="276" cm="1">
        <f t="array" ref="AU107">IF(AND(AU$2&lt;&gt;0,TblTech[[#This Row],[Hour]:[Hour]]&gt;=AU$2),1,0)</f>
        <v>0</v>
      </c>
      <c r="AV107" s="276" cm="1">
        <f t="array" ref="AV107">IF(AND(AV$2&lt;&gt;0,TblTech[[#This Row],[Hour]:[Hour]]&gt;=AV$2),1,0)</f>
        <v>0</v>
      </c>
      <c r="AW107" s="276" cm="1">
        <f t="array" ref="AW107">IF(AND(AW$2&lt;&gt;0,TblTech[[#This Row],[Hour]:[Hour]]&gt;=AW$2),1,0)</f>
        <v>0</v>
      </c>
      <c r="AX107" s="276" cm="1">
        <f t="array" ref="AX107">IF(AND(AX$2&lt;&gt;0,TblTech[[#This Row],[Hour]:[Hour]]&gt;=AX$2),1,0)</f>
        <v>0</v>
      </c>
      <c r="AY107" s="276" cm="1">
        <f t="array" ref="AY107">IF(AND(AY$2&lt;&gt;0,TblTech[[#This Row],[Hour]:[Hour]]&gt;=AY$2),1,0)</f>
        <v>0</v>
      </c>
      <c r="AZ107" s="276" cm="1">
        <f t="array" ref="AZ107">IF(AND(AZ$2&lt;&gt;0,TblTech[[#This Row],[Hour]:[Hour]]&gt;=AZ$2),1,0)</f>
        <v>0</v>
      </c>
      <c r="BA107" s="276" cm="1">
        <f t="array" ref="BA107">IF(AND(BA$2&lt;&gt;0,TblTech[[#This Row],[Hour]:[Hour]]&gt;=BA$2),1,0)</f>
        <v>0</v>
      </c>
      <c r="BB107" s="276" cm="1">
        <f t="array" ref="BB107">IF(AND(BB$2&lt;&gt;0,TblTech[[#This Row],[Hour]:[Hour]]&gt;=BB$2),1,0)</f>
        <v>0</v>
      </c>
      <c r="BC107" s="276" cm="1">
        <f t="array" ref="BC107">IF(AND(BC$2&lt;&gt;0,TblTech[[#This Row],[Hour]:[Hour]]&gt;=BC$2),1,0)</f>
        <v>0</v>
      </c>
      <c r="BD107" s="276" cm="1">
        <f t="array" ref="BD107">IF(AND(BD$2&lt;&gt;0,TblTech[[#This Row],[Hour]:[Hour]]&gt;=BD$2),1,0)</f>
        <v>0</v>
      </c>
      <c r="BE107" s="276" cm="1">
        <f t="array" ref="BE107">IF(AND(BE$2&lt;&gt;0,TblTech[[#This Row],[Hour]:[Hour]]&gt;=BE$2),1,0)</f>
        <v>0</v>
      </c>
      <c r="BF107" s="276" cm="1">
        <f t="array" ref="BF107">IF(AND(BF$2&lt;&gt;0,TblTech[[#This Row],[Hour]:[Hour]]&gt;=BF$2),1,0)</f>
        <v>0</v>
      </c>
      <c r="BG107" s="276" cm="1">
        <f t="array" ref="BG107">IF(AND(BG$2&lt;&gt;0,TblTech[[#This Row],[Hour]:[Hour]]&gt;=BG$2),1,0)</f>
        <v>0</v>
      </c>
      <c r="BH107" s="276" cm="1">
        <f t="array" ref="BH107">IF(AND(BH$2&lt;&gt;0,TblTech[[#This Row],[Hour]:[Hour]]&gt;=BH$2),1,0)</f>
        <v>0</v>
      </c>
      <c r="BI107" s="276" cm="1">
        <f t="array" ref="BI107">IF(AND(BI$2&lt;&gt;0,TblTech[[#This Row],[Hour]:[Hour]]&gt;=BI$2),1,0)</f>
        <v>0</v>
      </c>
      <c r="BJ107" s="276" cm="1">
        <f t="array" ref="BJ107">IF(AND(BJ$2&lt;&gt;0,TblTech[[#This Row],[Hour]:[Hour]]&gt;=BJ$2),1,0)</f>
        <v>0</v>
      </c>
      <c r="BK107" s="276" cm="1">
        <f t="array" ref="BK107">IF(AND(BK$2&lt;&gt;0,TblTech[[#This Row],[Hour]:[Hour]]&gt;=BK$2),1,0)</f>
        <v>0</v>
      </c>
      <c r="BL107" s="276" cm="1">
        <f t="array" ref="BL107">IF(AND(BL$2&lt;&gt;0,TblTech[[#This Row],[Hour]:[Hour]]&gt;=BL$2),1,0)</f>
        <v>0</v>
      </c>
      <c r="BM107" s="276" cm="1">
        <f t="array" ref="BM107">IF(AND(BM$2&lt;&gt;0,TblTech[[#This Row],[Hour]:[Hour]]&gt;=BM$2),1,0)</f>
        <v>0</v>
      </c>
      <c r="BN107" s="276" cm="1">
        <f t="array" ref="BN107">IF(AND(BN$2&lt;&gt;0,TblTech[[#This Row],[Hour]:[Hour]]&gt;=BN$2),1,0)</f>
        <v>0</v>
      </c>
      <c r="BO107" s="276" cm="1">
        <f t="array" ref="BO107">IF(AND(BO$2&lt;&gt;0,TblTech[[#This Row],[Hour]:[Hour]]&gt;=BO$2),1,0)</f>
        <v>0</v>
      </c>
      <c r="BP107" s="276" cm="1">
        <f t="array" ref="BP107">IF(AND(BP$2&lt;&gt;0,TblTech[[#This Row],[Hour]:[Hour]]&gt;=BP$2),1,0)</f>
        <v>0</v>
      </c>
      <c r="BQ107" s="276" cm="1">
        <f t="array" ref="BQ107">IF(AND(BQ$2&lt;&gt;0,TblTech[[#This Row],[Hour]:[Hour]]&gt;=BQ$2),1,0)</f>
        <v>0</v>
      </c>
      <c r="BR107" s="276" cm="1">
        <f t="array" ref="BR107">IF(AND(BR$2&lt;&gt;0,TblTech[[#This Row],[Hour]:[Hour]]&gt;=BR$2),1,0)</f>
        <v>0</v>
      </c>
      <c r="BS107" s="276" cm="1">
        <f t="array" ref="BS107">IF(AND(BS$2&lt;&gt;0,TblTech[[#This Row],[Hour]:[Hour]]&gt;=BS$2),1,0)</f>
        <v>0</v>
      </c>
      <c r="BT107" s="276" cm="1">
        <f t="array" ref="BT107">IF(AND(BT$2&lt;&gt;0,TblTech[[#This Row],[Hour]:[Hour]]&gt;=BT$2),1,0)</f>
        <v>0</v>
      </c>
      <c r="BU107" s="276" cm="1">
        <f t="array" ref="BU107">IF(AND(BU$2&lt;&gt;0,TblTech[[#This Row],[Hour]:[Hour]]&gt;=BU$2),1,0)</f>
        <v>0</v>
      </c>
      <c r="BV107" s="276" cm="1">
        <f t="array" ref="BV107">IF(AND(BV$2&lt;&gt;0,TblTech[[#This Row],[Hour]:[Hour]]&gt;=BV$2),1,0)</f>
        <v>0</v>
      </c>
      <c r="BW107" s="276" cm="1">
        <f t="array" ref="BW107">IF(AND(BW$2&lt;&gt;0,TblTech[[#This Row],[Hour]:[Hour]]&gt;=BW$2),1,0)</f>
        <v>0</v>
      </c>
      <c r="BX107" s="276" cm="1">
        <f t="array" ref="BX107">IF(AND(BX$2&lt;&gt;0,TblTech[[#This Row],[Hour]:[Hour]]&gt;=BX$2),1,0)</f>
        <v>0</v>
      </c>
      <c r="BY107" s="276" cm="1">
        <f t="array" ref="BY107">IF(AND(BY$2&lt;&gt;0,TblTech[[#This Row],[Hour]:[Hour]]&gt;=BY$2),1,0)</f>
        <v>0</v>
      </c>
      <c r="BZ107" s="276" cm="1">
        <f t="array" ref="BZ107">IF(AND(BZ$2&lt;&gt;0,TblTech[[#This Row],[Hour]:[Hour]]&gt;=BZ$2),1,0)</f>
        <v>0</v>
      </c>
      <c r="CA107" s="377">
        <f>IFERROR(INDEX($H$4:$H$79,MATCH(INDEX(TblTech[[#Headers],[1-1]:[11-1]],1,MATCH(TblTech[[#This Row],[Hour]],$M$2:$BZ$2,0)),$G$4:$G$79,0)),)</f>
        <v>0</v>
      </c>
    </row>
    <row r="108" spans="1:79" x14ac:dyDescent="0.2">
      <c r="A108" s="268">
        <f>TblRezone[[#This Row],[Hour]]</f>
        <v>105</v>
      </c>
      <c r="B108" s="269">
        <f ca="1">TblExplore[[#This Row],[Land-DB]]</f>
        <v>50</v>
      </c>
      <c r="C108" s="270">
        <f ca="1">TblProd[[#This Row],[Techpoints]]</f>
        <v>0</v>
      </c>
      <c r="D108" s="270">
        <f ca="1">TblProd[[#This Row],[Required]]</f>
        <v>3750</v>
      </c>
      <c r="E108" s="279"/>
      <c r="F108" s="280"/>
      <c r="G108" s="273"/>
      <c r="H108" s="274"/>
      <c r="I108" s="274"/>
      <c r="J108" s="274"/>
      <c r="K108" s="93">
        <f ca="1">IF(TblTech[[#This Row],[Sum of tech]]&lt;&gt;OFFSET(TblTech[[#This Row],[Sum of tech]],-1,0),1,0)</f>
        <v>0</v>
      </c>
      <c r="L108" s="275">
        <f>COUNTIF(TblTech[[#This Row],[1-1]:[11-1]],1)</f>
        <v>0</v>
      </c>
      <c r="M108" s="276" cm="1">
        <f t="array" ref="M108">IF(AND(M$2&lt;&gt;0,TblTech[[#This Row],[Hour]:[Hour]]&gt;=M$2),1,0)</f>
        <v>0</v>
      </c>
      <c r="N108" s="276" cm="1">
        <f t="array" ref="N108">IF(AND(N$2&lt;&gt;0,TblTech[[#This Row],[Hour]:[Hour]]&gt;=N$2),1,0)</f>
        <v>0</v>
      </c>
      <c r="O108" s="276" cm="1">
        <f t="array" ref="O108">IF(AND(O$2&lt;&gt;0,TblTech[[#This Row],[Hour]:[Hour]]&gt;=O$2),1,0)</f>
        <v>0</v>
      </c>
      <c r="P108" s="276" cm="1">
        <f t="array" ref="P108">IF(AND(P$2&lt;&gt;0,TblTech[[#This Row],[Hour]:[Hour]]&gt;=P$2),1,0)</f>
        <v>0</v>
      </c>
      <c r="Q108" s="276" cm="1">
        <f t="array" ref="Q108">IF(AND(Q$2&lt;&gt;0,TblTech[[#This Row],[Hour]:[Hour]]&gt;=Q$2),1,0)</f>
        <v>0</v>
      </c>
      <c r="R108" s="276" cm="1">
        <f t="array" ref="R108">IF(AND(R$2&lt;&gt;0,TblTech[[#This Row],[Hour]:[Hour]]&gt;=R$2),1,0)</f>
        <v>0</v>
      </c>
      <c r="S108" s="276" cm="1">
        <f t="array" ref="S108">IF(AND(S$2&lt;&gt;0,TblTech[[#This Row],[Hour]:[Hour]]&gt;=S$2),1,0)</f>
        <v>0</v>
      </c>
      <c r="T108" s="276" cm="1">
        <f t="array" ref="T108">IF(AND(T$2&lt;&gt;0,TblTech[[#This Row],[Hour]:[Hour]]&gt;=T$2),1,0)</f>
        <v>0</v>
      </c>
      <c r="U108" s="276" cm="1">
        <f t="array" ref="U108">IF(AND(U$2&lt;&gt;0,TblTech[[#This Row],[Hour]:[Hour]]&gt;=U$2),1,0)</f>
        <v>0</v>
      </c>
      <c r="V108" s="276" cm="1">
        <f t="array" ref="V108">IF(AND(V$2&lt;&gt;0,TblTech[[#This Row],[Hour]:[Hour]]&gt;=V$2),1,0)</f>
        <v>0</v>
      </c>
      <c r="W108" s="276" cm="1">
        <f t="array" ref="W108">IF(AND(W$2&lt;&gt;0,TblTech[[#This Row],[Hour]:[Hour]]&gt;=W$2),1,0)</f>
        <v>0</v>
      </c>
      <c r="X108" s="276" cm="1">
        <f t="array" ref="X108">IF(AND(X$2&lt;&gt;0,TblTech[[#This Row],[Hour]:[Hour]]&gt;=X$2),1,0)</f>
        <v>0</v>
      </c>
      <c r="Y108" s="276" cm="1">
        <f t="array" ref="Y108">IF(AND(Y$2&lt;&gt;0,TblTech[[#This Row],[Hour]:[Hour]]&gt;=Y$2),1,0)</f>
        <v>0</v>
      </c>
      <c r="Z108" s="276" cm="1">
        <f t="array" ref="Z108">IF(AND(Z$2&lt;&gt;0,TblTech[[#This Row],[Hour]:[Hour]]&gt;=Z$2),1,0)</f>
        <v>0</v>
      </c>
      <c r="AA108" s="276" cm="1">
        <f t="array" ref="AA108">IF(AND(AA$2&lt;&gt;0,TblTech[[#This Row],[Hour]:[Hour]]&gt;=AA$2),1,0)</f>
        <v>0</v>
      </c>
      <c r="AB108" s="276" cm="1">
        <f t="array" ref="AB108">IF(AND(AB$2&lt;&gt;0,TblTech[[#This Row],[Hour]:[Hour]]&gt;=AB$2),1,0)</f>
        <v>0</v>
      </c>
      <c r="AC108" s="276" cm="1">
        <f t="array" ref="AC108">IF(AND(AC$2&lt;&gt;0,TblTech[[#This Row],[Hour]:[Hour]]&gt;=AC$2),1,0)</f>
        <v>0</v>
      </c>
      <c r="AD108" s="276" cm="1">
        <f t="array" ref="AD108">IF(AND(AD$2&lt;&gt;0,TblTech[[#This Row],[Hour]:[Hour]]&gt;=AD$2),1,0)</f>
        <v>0</v>
      </c>
      <c r="AE108" s="276" cm="1">
        <f t="array" ref="AE108">IF(AND(AE$2&lt;&gt;0,TblTech[[#This Row],[Hour]:[Hour]]&gt;=AE$2),1,0)</f>
        <v>0</v>
      </c>
      <c r="AF108" s="276" cm="1">
        <f t="array" ref="AF108">IF(AND(AF$2&lt;&gt;0,TblTech[[#This Row],[Hour]:[Hour]]&gt;=AF$2),1,0)</f>
        <v>0</v>
      </c>
      <c r="AG108" s="276" cm="1">
        <f t="array" ref="AG108">IF(AND(AG$2&lt;&gt;0,TblTech[[#This Row],[Hour]:[Hour]]&gt;=AG$2),1,0)</f>
        <v>0</v>
      </c>
      <c r="AH108" s="276" cm="1">
        <f t="array" ref="AH108">IF(AND(AH$2&lt;&gt;0,TblTech[[#This Row],[Hour]:[Hour]]&gt;=AH$2),1,0)</f>
        <v>0</v>
      </c>
      <c r="AI108" s="276" cm="1">
        <f t="array" ref="AI108">IF(AND(AI$2&lt;&gt;0,TblTech[[#This Row],[Hour]:[Hour]]&gt;=AI$2),1,0)</f>
        <v>0</v>
      </c>
      <c r="AJ108" s="276" cm="1">
        <f t="array" ref="AJ108">IF(AND(AJ$2&lt;&gt;0,TblTech[[#This Row],[Hour]:[Hour]]&gt;=AJ$2),1,0)</f>
        <v>0</v>
      </c>
      <c r="AK108" s="276" cm="1">
        <f t="array" ref="AK108">IF(AND(AK$2&lt;&gt;0,TblTech[[#This Row],[Hour]:[Hour]]&gt;=AK$2),1,0)</f>
        <v>0</v>
      </c>
      <c r="AL108" s="276" cm="1">
        <f t="array" ref="AL108">IF(AND(AL$2&lt;&gt;0,TblTech[[#This Row],[Hour]:[Hour]]&gt;=AL$2),1,0)</f>
        <v>0</v>
      </c>
      <c r="AM108" s="276" cm="1">
        <f t="array" ref="AM108">IF(AND(AM$2&lt;&gt;0,TblTech[[#This Row],[Hour]:[Hour]]&gt;=AM$2),1,0)</f>
        <v>0</v>
      </c>
      <c r="AN108" s="276" cm="1">
        <f t="array" ref="AN108">IF(AND(AN$2&lt;&gt;0,TblTech[[#This Row],[Hour]:[Hour]]&gt;=AN$2),1,0)</f>
        <v>0</v>
      </c>
      <c r="AO108" s="276" cm="1">
        <f t="array" ref="AO108">IF(AND(AO$2&lt;&gt;0,TblTech[[#This Row],[Hour]:[Hour]]&gt;=AO$2),1,0)</f>
        <v>0</v>
      </c>
      <c r="AP108" s="276" cm="1">
        <f t="array" ref="AP108">IF(AND(AP$2&lt;&gt;0,TblTech[[#This Row],[Hour]:[Hour]]&gt;=AP$2),1,0)</f>
        <v>0</v>
      </c>
      <c r="AQ108" s="276" cm="1">
        <f t="array" ref="AQ108">IF(AND(AQ$2&lt;&gt;0,TblTech[[#This Row],[Hour]:[Hour]]&gt;=AQ$2),1,0)</f>
        <v>0</v>
      </c>
      <c r="AR108" s="276" cm="1">
        <f t="array" ref="AR108">IF(AND(AR$2&lt;&gt;0,TblTech[[#This Row],[Hour]:[Hour]]&gt;=AR$2),1,0)</f>
        <v>0</v>
      </c>
      <c r="AS108" s="276" cm="1">
        <f t="array" ref="AS108">IF(AND(AS$2&lt;&gt;0,TblTech[[#This Row],[Hour]:[Hour]]&gt;=AS$2),1,0)</f>
        <v>0</v>
      </c>
      <c r="AT108" s="276" cm="1">
        <f t="array" ref="AT108">IF(AND(AT$2&lt;&gt;0,TblTech[[#This Row],[Hour]:[Hour]]&gt;=AT$2),1,0)</f>
        <v>0</v>
      </c>
      <c r="AU108" s="276" cm="1">
        <f t="array" ref="AU108">IF(AND(AU$2&lt;&gt;0,TblTech[[#This Row],[Hour]:[Hour]]&gt;=AU$2),1,0)</f>
        <v>0</v>
      </c>
      <c r="AV108" s="276" cm="1">
        <f t="array" ref="AV108">IF(AND(AV$2&lt;&gt;0,TblTech[[#This Row],[Hour]:[Hour]]&gt;=AV$2),1,0)</f>
        <v>0</v>
      </c>
      <c r="AW108" s="276" cm="1">
        <f t="array" ref="AW108">IF(AND(AW$2&lt;&gt;0,TblTech[[#This Row],[Hour]:[Hour]]&gt;=AW$2),1,0)</f>
        <v>0</v>
      </c>
      <c r="AX108" s="276" cm="1">
        <f t="array" ref="AX108">IF(AND(AX$2&lt;&gt;0,TblTech[[#This Row],[Hour]:[Hour]]&gt;=AX$2),1,0)</f>
        <v>0</v>
      </c>
      <c r="AY108" s="276" cm="1">
        <f t="array" ref="AY108">IF(AND(AY$2&lt;&gt;0,TblTech[[#This Row],[Hour]:[Hour]]&gt;=AY$2),1,0)</f>
        <v>0</v>
      </c>
      <c r="AZ108" s="276" cm="1">
        <f t="array" ref="AZ108">IF(AND(AZ$2&lt;&gt;0,TblTech[[#This Row],[Hour]:[Hour]]&gt;=AZ$2),1,0)</f>
        <v>0</v>
      </c>
      <c r="BA108" s="276" cm="1">
        <f t="array" ref="BA108">IF(AND(BA$2&lt;&gt;0,TblTech[[#This Row],[Hour]:[Hour]]&gt;=BA$2),1,0)</f>
        <v>0</v>
      </c>
      <c r="BB108" s="276" cm="1">
        <f t="array" ref="BB108">IF(AND(BB$2&lt;&gt;0,TblTech[[#This Row],[Hour]:[Hour]]&gt;=BB$2),1,0)</f>
        <v>0</v>
      </c>
      <c r="BC108" s="276" cm="1">
        <f t="array" ref="BC108">IF(AND(BC$2&lt;&gt;0,TblTech[[#This Row],[Hour]:[Hour]]&gt;=BC$2),1,0)</f>
        <v>0</v>
      </c>
      <c r="BD108" s="276" cm="1">
        <f t="array" ref="BD108">IF(AND(BD$2&lt;&gt;0,TblTech[[#This Row],[Hour]:[Hour]]&gt;=BD$2),1,0)</f>
        <v>0</v>
      </c>
      <c r="BE108" s="276" cm="1">
        <f t="array" ref="BE108">IF(AND(BE$2&lt;&gt;0,TblTech[[#This Row],[Hour]:[Hour]]&gt;=BE$2),1,0)</f>
        <v>0</v>
      </c>
      <c r="BF108" s="276" cm="1">
        <f t="array" ref="BF108">IF(AND(BF$2&lt;&gt;0,TblTech[[#This Row],[Hour]:[Hour]]&gt;=BF$2),1,0)</f>
        <v>0</v>
      </c>
      <c r="BG108" s="276" cm="1">
        <f t="array" ref="BG108">IF(AND(BG$2&lt;&gt;0,TblTech[[#This Row],[Hour]:[Hour]]&gt;=BG$2),1,0)</f>
        <v>0</v>
      </c>
      <c r="BH108" s="276" cm="1">
        <f t="array" ref="BH108">IF(AND(BH$2&lt;&gt;0,TblTech[[#This Row],[Hour]:[Hour]]&gt;=BH$2),1,0)</f>
        <v>0</v>
      </c>
      <c r="BI108" s="276" cm="1">
        <f t="array" ref="BI108">IF(AND(BI$2&lt;&gt;0,TblTech[[#This Row],[Hour]:[Hour]]&gt;=BI$2),1,0)</f>
        <v>0</v>
      </c>
      <c r="BJ108" s="276" cm="1">
        <f t="array" ref="BJ108">IF(AND(BJ$2&lt;&gt;0,TblTech[[#This Row],[Hour]:[Hour]]&gt;=BJ$2),1,0)</f>
        <v>0</v>
      </c>
      <c r="BK108" s="276" cm="1">
        <f t="array" ref="BK108">IF(AND(BK$2&lt;&gt;0,TblTech[[#This Row],[Hour]:[Hour]]&gt;=BK$2),1,0)</f>
        <v>0</v>
      </c>
      <c r="BL108" s="276" cm="1">
        <f t="array" ref="BL108">IF(AND(BL$2&lt;&gt;0,TblTech[[#This Row],[Hour]:[Hour]]&gt;=BL$2),1,0)</f>
        <v>0</v>
      </c>
      <c r="BM108" s="276" cm="1">
        <f t="array" ref="BM108">IF(AND(BM$2&lt;&gt;0,TblTech[[#This Row],[Hour]:[Hour]]&gt;=BM$2),1,0)</f>
        <v>0</v>
      </c>
      <c r="BN108" s="276" cm="1">
        <f t="array" ref="BN108">IF(AND(BN$2&lt;&gt;0,TblTech[[#This Row],[Hour]:[Hour]]&gt;=BN$2),1,0)</f>
        <v>0</v>
      </c>
      <c r="BO108" s="276" cm="1">
        <f t="array" ref="BO108">IF(AND(BO$2&lt;&gt;0,TblTech[[#This Row],[Hour]:[Hour]]&gt;=BO$2),1,0)</f>
        <v>0</v>
      </c>
      <c r="BP108" s="276" cm="1">
        <f t="array" ref="BP108">IF(AND(BP$2&lt;&gt;0,TblTech[[#This Row],[Hour]:[Hour]]&gt;=BP$2),1,0)</f>
        <v>0</v>
      </c>
      <c r="BQ108" s="276" cm="1">
        <f t="array" ref="BQ108">IF(AND(BQ$2&lt;&gt;0,TblTech[[#This Row],[Hour]:[Hour]]&gt;=BQ$2),1,0)</f>
        <v>0</v>
      </c>
      <c r="BR108" s="276" cm="1">
        <f t="array" ref="BR108">IF(AND(BR$2&lt;&gt;0,TblTech[[#This Row],[Hour]:[Hour]]&gt;=BR$2),1,0)</f>
        <v>0</v>
      </c>
      <c r="BS108" s="276" cm="1">
        <f t="array" ref="BS108">IF(AND(BS$2&lt;&gt;0,TblTech[[#This Row],[Hour]:[Hour]]&gt;=BS$2),1,0)</f>
        <v>0</v>
      </c>
      <c r="BT108" s="276" cm="1">
        <f t="array" ref="BT108">IF(AND(BT$2&lt;&gt;0,TblTech[[#This Row],[Hour]:[Hour]]&gt;=BT$2),1,0)</f>
        <v>0</v>
      </c>
      <c r="BU108" s="276" cm="1">
        <f t="array" ref="BU108">IF(AND(BU$2&lt;&gt;0,TblTech[[#This Row],[Hour]:[Hour]]&gt;=BU$2),1,0)</f>
        <v>0</v>
      </c>
      <c r="BV108" s="276" cm="1">
        <f t="array" ref="BV108">IF(AND(BV$2&lt;&gt;0,TblTech[[#This Row],[Hour]:[Hour]]&gt;=BV$2),1,0)</f>
        <v>0</v>
      </c>
      <c r="BW108" s="276" cm="1">
        <f t="array" ref="BW108">IF(AND(BW$2&lt;&gt;0,TblTech[[#This Row],[Hour]:[Hour]]&gt;=BW$2),1,0)</f>
        <v>0</v>
      </c>
      <c r="BX108" s="276" cm="1">
        <f t="array" ref="BX108">IF(AND(BX$2&lt;&gt;0,TblTech[[#This Row],[Hour]:[Hour]]&gt;=BX$2),1,0)</f>
        <v>0</v>
      </c>
      <c r="BY108" s="276" cm="1">
        <f t="array" ref="BY108">IF(AND(BY$2&lt;&gt;0,TblTech[[#This Row],[Hour]:[Hour]]&gt;=BY$2),1,0)</f>
        <v>0</v>
      </c>
      <c r="BZ108" s="276" cm="1">
        <f t="array" ref="BZ108">IF(AND(BZ$2&lt;&gt;0,TblTech[[#This Row],[Hour]:[Hour]]&gt;=BZ$2),1,0)</f>
        <v>0</v>
      </c>
      <c r="CA108" s="377">
        <f>IFERROR(INDEX($H$4:$H$79,MATCH(INDEX(TblTech[[#Headers],[1-1]:[11-1]],1,MATCH(TblTech[[#This Row],[Hour]],$M$2:$BZ$2,0)),$G$4:$G$79,0)),)</f>
        <v>0</v>
      </c>
    </row>
    <row r="109" spans="1:79" x14ac:dyDescent="0.2">
      <c r="A109" s="268">
        <f>TblRezone[[#This Row],[Hour]]</f>
        <v>106</v>
      </c>
      <c r="B109" s="269">
        <f ca="1">TblExplore[[#This Row],[Land-DB]]</f>
        <v>50</v>
      </c>
      <c r="C109" s="270">
        <f ca="1">TblProd[[#This Row],[Techpoints]]</f>
        <v>0</v>
      </c>
      <c r="D109" s="270">
        <f ca="1">TblProd[[#This Row],[Required]]</f>
        <v>3750</v>
      </c>
      <c r="E109" s="279"/>
      <c r="F109" s="280"/>
      <c r="G109" s="273"/>
      <c r="H109" s="274"/>
      <c r="I109" s="274"/>
      <c r="J109" s="274"/>
      <c r="K109" s="93">
        <f ca="1">IF(TblTech[[#This Row],[Sum of tech]]&lt;&gt;OFFSET(TblTech[[#This Row],[Sum of tech]],-1,0),1,0)</f>
        <v>0</v>
      </c>
      <c r="L109" s="275">
        <f>COUNTIF(TblTech[[#This Row],[1-1]:[11-1]],1)</f>
        <v>0</v>
      </c>
      <c r="M109" s="276" cm="1">
        <f t="array" ref="M109">IF(AND(M$2&lt;&gt;0,TblTech[[#This Row],[Hour]:[Hour]]&gt;=M$2),1,0)</f>
        <v>0</v>
      </c>
      <c r="N109" s="276" cm="1">
        <f t="array" ref="N109">IF(AND(N$2&lt;&gt;0,TblTech[[#This Row],[Hour]:[Hour]]&gt;=N$2),1,0)</f>
        <v>0</v>
      </c>
      <c r="O109" s="276" cm="1">
        <f t="array" ref="O109">IF(AND(O$2&lt;&gt;0,TblTech[[#This Row],[Hour]:[Hour]]&gt;=O$2),1,0)</f>
        <v>0</v>
      </c>
      <c r="P109" s="276" cm="1">
        <f t="array" ref="P109">IF(AND(P$2&lt;&gt;0,TblTech[[#This Row],[Hour]:[Hour]]&gt;=P$2),1,0)</f>
        <v>0</v>
      </c>
      <c r="Q109" s="276" cm="1">
        <f t="array" ref="Q109">IF(AND(Q$2&lt;&gt;0,TblTech[[#This Row],[Hour]:[Hour]]&gt;=Q$2),1,0)</f>
        <v>0</v>
      </c>
      <c r="R109" s="276" cm="1">
        <f t="array" ref="R109">IF(AND(R$2&lt;&gt;0,TblTech[[#This Row],[Hour]:[Hour]]&gt;=R$2),1,0)</f>
        <v>0</v>
      </c>
      <c r="S109" s="276" cm="1">
        <f t="array" ref="S109">IF(AND(S$2&lt;&gt;0,TblTech[[#This Row],[Hour]:[Hour]]&gt;=S$2),1,0)</f>
        <v>0</v>
      </c>
      <c r="T109" s="276" cm="1">
        <f t="array" ref="T109">IF(AND(T$2&lt;&gt;0,TblTech[[#This Row],[Hour]:[Hour]]&gt;=T$2),1,0)</f>
        <v>0</v>
      </c>
      <c r="U109" s="276" cm="1">
        <f t="array" ref="U109">IF(AND(U$2&lt;&gt;0,TblTech[[#This Row],[Hour]:[Hour]]&gt;=U$2),1,0)</f>
        <v>0</v>
      </c>
      <c r="V109" s="276" cm="1">
        <f t="array" ref="V109">IF(AND(V$2&lt;&gt;0,TblTech[[#This Row],[Hour]:[Hour]]&gt;=V$2),1,0)</f>
        <v>0</v>
      </c>
      <c r="W109" s="276" cm="1">
        <f t="array" ref="W109">IF(AND(W$2&lt;&gt;0,TblTech[[#This Row],[Hour]:[Hour]]&gt;=W$2),1,0)</f>
        <v>0</v>
      </c>
      <c r="X109" s="276" cm="1">
        <f t="array" ref="X109">IF(AND(X$2&lt;&gt;0,TblTech[[#This Row],[Hour]:[Hour]]&gt;=X$2),1,0)</f>
        <v>0</v>
      </c>
      <c r="Y109" s="276" cm="1">
        <f t="array" ref="Y109">IF(AND(Y$2&lt;&gt;0,TblTech[[#This Row],[Hour]:[Hour]]&gt;=Y$2),1,0)</f>
        <v>0</v>
      </c>
      <c r="Z109" s="276" cm="1">
        <f t="array" ref="Z109">IF(AND(Z$2&lt;&gt;0,TblTech[[#This Row],[Hour]:[Hour]]&gt;=Z$2),1,0)</f>
        <v>0</v>
      </c>
      <c r="AA109" s="276" cm="1">
        <f t="array" ref="AA109">IF(AND(AA$2&lt;&gt;0,TblTech[[#This Row],[Hour]:[Hour]]&gt;=AA$2),1,0)</f>
        <v>0</v>
      </c>
      <c r="AB109" s="276" cm="1">
        <f t="array" ref="AB109">IF(AND(AB$2&lt;&gt;0,TblTech[[#This Row],[Hour]:[Hour]]&gt;=AB$2),1,0)</f>
        <v>0</v>
      </c>
      <c r="AC109" s="276" cm="1">
        <f t="array" ref="AC109">IF(AND(AC$2&lt;&gt;0,TblTech[[#This Row],[Hour]:[Hour]]&gt;=AC$2),1,0)</f>
        <v>0</v>
      </c>
      <c r="AD109" s="276" cm="1">
        <f t="array" ref="AD109">IF(AND(AD$2&lt;&gt;0,TblTech[[#This Row],[Hour]:[Hour]]&gt;=AD$2),1,0)</f>
        <v>0</v>
      </c>
      <c r="AE109" s="276" cm="1">
        <f t="array" ref="AE109">IF(AND(AE$2&lt;&gt;0,TblTech[[#This Row],[Hour]:[Hour]]&gt;=AE$2),1,0)</f>
        <v>0</v>
      </c>
      <c r="AF109" s="276" cm="1">
        <f t="array" ref="AF109">IF(AND(AF$2&lt;&gt;0,TblTech[[#This Row],[Hour]:[Hour]]&gt;=AF$2),1,0)</f>
        <v>0</v>
      </c>
      <c r="AG109" s="276" cm="1">
        <f t="array" ref="AG109">IF(AND(AG$2&lt;&gt;0,TblTech[[#This Row],[Hour]:[Hour]]&gt;=AG$2),1,0)</f>
        <v>0</v>
      </c>
      <c r="AH109" s="276" cm="1">
        <f t="array" ref="AH109">IF(AND(AH$2&lt;&gt;0,TblTech[[#This Row],[Hour]:[Hour]]&gt;=AH$2),1,0)</f>
        <v>0</v>
      </c>
      <c r="AI109" s="276" cm="1">
        <f t="array" ref="AI109">IF(AND(AI$2&lt;&gt;0,TblTech[[#This Row],[Hour]:[Hour]]&gt;=AI$2),1,0)</f>
        <v>0</v>
      </c>
      <c r="AJ109" s="276" cm="1">
        <f t="array" ref="AJ109">IF(AND(AJ$2&lt;&gt;0,TblTech[[#This Row],[Hour]:[Hour]]&gt;=AJ$2),1,0)</f>
        <v>0</v>
      </c>
      <c r="AK109" s="276" cm="1">
        <f t="array" ref="AK109">IF(AND(AK$2&lt;&gt;0,TblTech[[#This Row],[Hour]:[Hour]]&gt;=AK$2),1,0)</f>
        <v>0</v>
      </c>
      <c r="AL109" s="276" cm="1">
        <f t="array" ref="AL109">IF(AND(AL$2&lt;&gt;0,TblTech[[#This Row],[Hour]:[Hour]]&gt;=AL$2),1,0)</f>
        <v>0</v>
      </c>
      <c r="AM109" s="276" cm="1">
        <f t="array" ref="AM109">IF(AND(AM$2&lt;&gt;0,TblTech[[#This Row],[Hour]:[Hour]]&gt;=AM$2),1,0)</f>
        <v>0</v>
      </c>
      <c r="AN109" s="276" cm="1">
        <f t="array" ref="AN109">IF(AND(AN$2&lt;&gt;0,TblTech[[#This Row],[Hour]:[Hour]]&gt;=AN$2),1,0)</f>
        <v>0</v>
      </c>
      <c r="AO109" s="276" cm="1">
        <f t="array" ref="AO109">IF(AND(AO$2&lt;&gt;0,TblTech[[#This Row],[Hour]:[Hour]]&gt;=AO$2),1,0)</f>
        <v>0</v>
      </c>
      <c r="AP109" s="276" cm="1">
        <f t="array" ref="AP109">IF(AND(AP$2&lt;&gt;0,TblTech[[#This Row],[Hour]:[Hour]]&gt;=AP$2),1,0)</f>
        <v>0</v>
      </c>
      <c r="AQ109" s="276" cm="1">
        <f t="array" ref="AQ109">IF(AND(AQ$2&lt;&gt;0,TblTech[[#This Row],[Hour]:[Hour]]&gt;=AQ$2),1,0)</f>
        <v>0</v>
      </c>
      <c r="AR109" s="276" cm="1">
        <f t="array" ref="AR109">IF(AND(AR$2&lt;&gt;0,TblTech[[#This Row],[Hour]:[Hour]]&gt;=AR$2),1,0)</f>
        <v>0</v>
      </c>
      <c r="AS109" s="276" cm="1">
        <f t="array" ref="AS109">IF(AND(AS$2&lt;&gt;0,TblTech[[#This Row],[Hour]:[Hour]]&gt;=AS$2),1,0)</f>
        <v>0</v>
      </c>
      <c r="AT109" s="276" cm="1">
        <f t="array" ref="AT109">IF(AND(AT$2&lt;&gt;0,TblTech[[#This Row],[Hour]:[Hour]]&gt;=AT$2),1,0)</f>
        <v>0</v>
      </c>
      <c r="AU109" s="276" cm="1">
        <f t="array" ref="AU109">IF(AND(AU$2&lt;&gt;0,TblTech[[#This Row],[Hour]:[Hour]]&gt;=AU$2),1,0)</f>
        <v>0</v>
      </c>
      <c r="AV109" s="276" cm="1">
        <f t="array" ref="AV109">IF(AND(AV$2&lt;&gt;0,TblTech[[#This Row],[Hour]:[Hour]]&gt;=AV$2),1,0)</f>
        <v>0</v>
      </c>
      <c r="AW109" s="276" cm="1">
        <f t="array" ref="AW109">IF(AND(AW$2&lt;&gt;0,TblTech[[#This Row],[Hour]:[Hour]]&gt;=AW$2),1,0)</f>
        <v>0</v>
      </c>
      <c r="AX109" s="276" cm="1">
        <f t="array" ref="AX109">IF(AND(AX$2&lt;&gt;0,TblTech[[#This Row],[Hour]:[Hour]]&gt;=AX$2),1,0)</f>
        <v>0</v>
      </c>
      <c r="AY109" s="276" cm="1">
        <f t="array" ref="AY109">IF(AND(AY$2&lt;&gt;0,TblTech[[#This Row],[Hour]:[Hour]]&gt;=AY$2),1,0)</f>
        <v>0</v>
      </c>
      <c r="AZ109" s="276" cm="1">
        <f t="array" ref="AZ109">IF(AND(AZ$2&lt;&gt;0,TblTech[[#This Row],[Hour]:[Hour]]&gt;=AZ$2),1,0)</f>
        <v>0</v>
      </c>
      <c r="BA109" s="276" cm="1">
        <f t="array" ref="BA109">IF(AND(BA$2&lt;&gt;0,TblTech[[#This Row],[Hour]:[Hour]]&gt;=BA$2),1,0)</f>
        <v>0</v>
      </c>
      <c r="BB109" s="276" cm="1">
        <f t="array" ref="BB109">IF(AND(BB$2&lt;&gt;0,TblTech[[#This Row],[Hour]:[Hour]]&gt;=BB$2),1,0)</f>
        <v>0</v>
      </c>
      <c r="BC109" s="276" cm="1">
        <f t="array" ref="BC109">IF(AND(BC$2&lt;&gt;0,TblTech[[#This Row],[Hour]:[Hour]]&gt;=BC$2),1,0)</f>
        <v>0</v>
      </c>
      <c r="BD109" s="276" cm="1">
        <f t="array" ref="BD109">IF(AND(BD$2&lt;&gt;0,TblTech[[#This Row],[Hour]:[Hour]]&gt;=BD$2),1,0)</f>
        <v>0</v>
      </c>
      <c r="BE109" s="276" cm="1">
        <f t="array" ref="BE109">IF(AND(BE$2&lt;&gt;0,TblTech[[#This Row],[Hour]:[Hour]]&gt;=BE$2),1,0)</f>
        <v>0</v>
      </c>
      <c r="BF109" s="276" cm="1">
        <f t="array" ref="BF109">IF(AND(BF$2&lt;&gt;0,TblTech[[#This Row],[Hour]:[Hour]]&gt;=BF$2),1,0)</f>
        <v>0</v>
      </c>
      <c r="BG109" s="276" cm="1">
        <f t="array" ref="BG109">IF(AND(BG$2&lt;&gt;0,TblTech[[#This Row],[Hour]:[Hour]]&gt;=BG$2),1,0)</f>
        <v>0</v>
      </c>
      <c r="BH109" s="276" cm="1">
        <f t="array" ref="BH109">IF(AND(BH$2&lt;&gt;0,TblTech[[#This Row],[Hour]:[Hour]]&gt;=BH$2),1,0)</f>
        <v>0</v>
      </c>
      <c r="BI109" s="276" cm="1">
        <f t="array" ref="BI109">IF(AND(BI$2&lt;&gt;0,TblTech[[#This Row],[Hour]:[Hour]]&gt;=BI$2),1,0)</f>
        <v>0</v>
      </c>
      <c r="BJ109" s="276" cm="1">
        <f t="array" ref="BJ109">IF(AND(BJ$2&lt;&gt;0,TblTech[[#This Row],[Hour]:[Hour]]&gt;=BJ$2),1,0)</f>
        <v>0</v>
      </c>
      <c r="BK109" s="276" cm="1">
        <f t="array" ref="BK109">IF(AND(BK$2&lt;&gt;0,TblTech[[#This Row],[Hour]:[Hour]]&gt;=BK$2),1,0)</f>
        <v>0</v>
      </c>
      <c r="BL109" s="276" cm="1">
        <f t="array" ref="BL109">IF(AND(BL$2&lt;&gt;0,TblTech[[#This Row],[Hour]:[Hour]]&gt;=BL$2),1,0)</f>
        <v>0</v>
      </c>
      <c r="BM109" s="276" cm="1">
        <f t="array" ref="BM109">IF(AND(BM$2&lt;&gt;0,TblTech[[#This Row],[Hour]:[Hour]]&gt;=BM$2),1,0)</f>
        <v>0</v>
      </c>
      <c r="BN109" s="276" cm="1">
        <f t="array" ref="BN109">IF(AND(BN$2&lt;&gt;0,TblTech[[#This Row],[Hour]:[Hour]]&gt;=BN$2),1,0)</f>
        <v>0</v>
      </c>
      <c r="BO109" s="276" cm="1">
        <f t="array" ref="BO109">IF(AND(BO$2&lt;&gt;0,TblTech[[#This Row],[Hour]:[Hour]]&gt;=BO$2),1,0)</f>
        <v>0</v>
      </c>
      <c r="BP109" s="276" cm="1">
        <f t="array" ref="BP109">IF(AND(BP$2&lt;&gt;0,TblTech[[#This Row],[Hour]:[Hour]]&gt;=BP$2),1,0)</f>
        <v>0</v>
      </c>
      <c r="BQ109" s="276" cm="1">
        <f t="array" ref="BQ109">IF(AND(BQ$2&lt;&gt;0,TblTech[[#This Row],[Hour]:[Hour]]&gt;=BQ$2),1,0)</f>
        <v>0</v>
      </c>
      <c r="BR109" s="276" cm="1">
        <f t="array" ref="BR109">IF(AND(BR$2&lt;&gt;0,TblTech[[#This Row],[Hour]:[Hour]]&gt;=BR$2),1,0)</f>
        <v>0</v>
      </c>
      <c r="BS109" s="276" cm="1">
        <f t="array" ref="BS109">IF(AND(BS$2&lt;&gt;0,TblTech[[#This Row],[Hour]:[Hour]]&gt;=BS$2),1,0)</f>
        <v>0</v>
      </c>
      <c r="BT109" s="276" cm="1">
        <f t="array" ref="BT109">IF(AND(BT$2&lt;&gt;0,TblTech[[#This Row],[Hour]:[Hour]]&gt;=BT$2),1,0)</f>
        <v>0</v>
      </c>
      <c r="BU109" s="276" cm="1">
        <f t="array" ref="BU109">IF(AND(BU$2&lt;&gt;0,TblTech[[#This Row],[Hour]:[Hour]]&gt;=BU$2),1,0)</f>
        <v>0</v>
      </c>
      <c r="BV109" s="276" cm="1">
        <f t="array" ref="BV109">IF(AND(BV$2&lt;&gt;0,TblTech[[#This Row],[Hour]:[Hour]]&gt;=BV$2),1,0)</f>
        <v>0</v>
      </c>
      <c r="BW109" s="276" cm="1">
        <f t="array" ref="BW109">IF(AND(BW$2&lt;&gt;0,TblTech[[#This Row],[Hour]:[Hour]]&gt;=BW$2),1,0)</f>
        <v>0</v>
      </c>
      <c r="BX109" s="276" cm="1">
        <f t="array" ref="BX109">IF(AND(BX$2&lt;&gt;0,TblTech[[#This Row],[Hour]:[Hour]]&gt;=BX$2),1,0)</f>
        <v>0</v>
      </c>
      <c r="BY109" s="276" cm="1">
        <f t="array" ref="BY109">IF(AND(BY$2&lt;&gt;0,TblTech[[#This Row],[Hour]:[Hour]]&gt;=BY$2),1,0)</f>
        <v>0</v>
      </c>
      <c r="BZ109" s="276" cm="1">
        <f t="array" ref="BZ109">IF(AND(BZ$2&lt;&gt;0,TblTech[[#This Row],[Hour]:[Hour]]&gt;=BZ$2),1,0)</f>
        <v>0</v>
      </c>
      <c r="CA109" s="377">
        <f>IFERROR(INDEX($H$4:$H$79,MATCH(INDEX(TblTech[[#Headers],[1-1]:[11-1]],1,MATCH(TblTech[[#This Row],[Hour]],$M$2:$BZ$2,0)),$G$4:$G$79,0)),)</f>
        <v>0</v>
      </c>
    </row>
    <row r="110" spans="1:79" x14ac:dyDescent="0.2">
      <c r="A110" s="268">
        <f>TblRezone[[#This Row],[Hour]]</f>
        <v>107</v>
      </c>
      <c r="B110" s="269">
        <f ca="1">TblExplore[[#This Row],[Land-DB]]</f>
        <v>50</v>
      </c>
      <c r="C110" s="270">
        <f ca="1">TblProd[[#This Row],[Techpoints]]</f>
        <v>0</v>
      </c>
      <c r="D110" s="270">
        <f ca="1">TblProd[[#This Row],[Required]]</f>
        <v>3750</v>
      </c>
      <c r="E110" s="279"/>
      <c r="F110" s="280"/>
      <c r="G110" s="273"/>
      <c r="H110" s="274"/>
      <c r="I110" s="274"/>
      <c r="J110" s="274"/>
      <c r="K110" s="93">
        <f ca="1">IF(TblTech[[#This Row],[Sum of tech]]&lt;&gt;OFFSET(TblTech[[#This Row],[Sum of tech]],-1,0),1,0)</f>
        <v>0</v>
      </c>
      <c r="L110" s="275">
        <f>COUNTIF(TblTech[[#This Row],[1-1]:[11-1]],1)</f>
        <v>0</v>
      </c>
      <c r="M110" s="276" cm="1">
        <f t="array" ref="M110">IF(AND(M$2&lt;&gt;0,TblTech[[#This Row],[Hour]:[Hour]]&gt;=M$2),1,0)</f>
        <v>0</v>
      </c>
      <c r="N110" s="276" cm="1">
        <f t="array" ref="N110">IF(AND(N$2&lt;&gt;0,TblTech[[#This Row],[Hour]:[Hour]]&gt;=N$2),1,0)</f>
        <v>0</v>
      </c>
      <c r="O110" s="276" cm="1">
        <f t="array" ref="O110">IF(AND(O$2&lt;&gt;0,TblTech[[#This Row],[Hour]:[Hour]]&gt;=O$2),1,0)</f>
        <v>0</v>
      </c>
      <c r="P110" s="276" cm="1">
        <f t="array" ref="P110">IF(AND(P$2&lt;&gt;0,TblTech[[#This Row],[Hour]:[Hour]]&gt;=P$2),1,0)</f>
        <v>0</v>
      </c>
      <c r="Q110" s="276" cm="1">
        <f t="array" ref="Q110">IF(AND(Q$2&lt;&gt;0,TblTech[[#This Row],[Hour]:[Hour]]&gt;=Q$2),1,0)</f>
        <v>0</v>
      </c>
      <c r="R110" s="276" cm="1">
        <f t="array" ref="R110">IF(AND(R$2&lt;&gt;0,TblTech[[#This Row],[Hour]:[Hour]]&gt;=R$2),1,0)</f>
        <v>0</v>
      </c>
      <c r="S110" s="276" cm="1">
        <f t="array" ref="S110">IF(AND(S$2&lt;&gt;0,TblTech[[#This Row],[Hour]:[Hour]]&gt;=S$2),1,0)</f>
        <v>0</v>
      </c>
      <c r="T110" s="276" cm="1">
        <f t="array" ref="T110">IF(AND(T$2&lt;&gt;0,TblTech[[#This Row],[Hour]:[Hour]]&gt;=T$2),1,0)</f>
        <v>0</v>
      </c>
      <c r="U110" s="276" cm="1">
        <f t="array" ref="U110">IF(AND(U$2&lt;&gt;0,TblTech[[#This Row],[Hour]:[Hour]]&gt;=U$2),1,0)</f>
        <v>0</v>
      </c>
      <c r="V110" s="276" cm="1">
        <f t="array" ref="V110">IF(AND(V$2&lt;&gt;0,TblTech[[#This Row],[Hour]:[Hour]]&gt;=V$2),1,0)</f>
        <v>0</v>
      </c>
      <c r="W110" s="276" cm="1">
        <f t="array" ref="W110">IF(AND(W$2&lt;&gt;0,TblTech[[#This Row],[Hour]:[Hour]]&gt;=W$2),1,0)</f>
        <v>0</v>
      </c>
      <c r="X110" s="276" cm="1">
        <f t="array" ref="X110">IF(AND(X$2&lt;&gt;0,TblTech[[#This Row],[Hour]:[Hour]]&gt;=X$2),1,0)</f>
        <v>0</v>
      </c>
      <c r="Y110" s="276" cm="1">
        <f t="array" ref="Y110">IF(AND(Y$2&lt;&gt;0,TblTech[[#This Row],[Hour]:[Hour]]&gt;=Y$2),1,0)</f>
        <v>0</v>
      </c>
      <c r="Z110" s="276" cm="1">
        <f t="array" ref="Z110">IF(AND(Z$2&lt;&gt;0,TblTech[[#This Row],[Hour]:[Hour]]&gt;=Z$2),1,0)</f>
        <v>0</v>
      </c>
      <c r="AA110" s="276" cm="1">
        <f t="array" ref="AA110">IF(AND(AA$2&lt;&gt;0,TblTech[[#This Row],[Hour]:[Hour]]&gt;=AA$2),1,0)</f>
        <v>0</v>
      </c>
      <c r="AB110" s="276" cm="1">
        <f t="array" ref="AB110">IF(AND(AB$2&lt;&gt;0,TblTech[[#This Row],[Hour]:[Hour]]&gt;=AB$2),1,0)</f>
        <v>0</v>
      </c>
      <c r="AC110" s="276" cm="1">
        <f t="array" ref="AC110">IF(AND(AC$2&lt;&gt;0,TblTech[[#This Row],[Hour]:[Hour]]&gt;=AC$2),1,0)</f>
        <v>0</v>
      </c>
      <c r="AD110" s="276" cm="1">
        <f t="array" ref="AD110">IF(AND(AD$2&lt;&gt;0,TblTech[[#This Row],[Hour]:[Hour]]&gt;=AD$2),1,0)</f>
        <v>0</v>
      </c>
      <c r="AE110" s="276" cm="1">
        <f t="array" ref="AE110">IF(AND(AE$2&lt;&gt;0,TblTech[[#This Row],[Hour]:[Hour]]&gt;=AE$2),1,0)</f>
        <v>0</v>
      </c>
      <c r="AF110" s="276" cm="1">
        <f t="array" ref="AF110">IF(AND(AF$2&lt;&gt;0,TblTech[[#This Row],[Hour]:[Hour]]&gt;=AF$2),1,0)</f>
        <v>0</v>
      </c>
      <c r="AG110" s="276" cm="1">
        <f t="array" ref="AG110">IF(AND(AG$2&lt;&gt;0,TblTech[[#This Row],[Hour]:[Hour]]&gt;=AG$2),1,0)</f>
        <v>0</v>
      </c>
      <c r="AH110" s="276" cm="1">
        <f t="array" ref="AH110">IF(AND(AH$2&lt;&gt;0,TblTech[[#This Row],[Hour]:[Hour]]&gt;=AH$2),1,0)</f>
        <v>0</v>
      </c>
      <c r="AI110" s="276" cm="1">
        <f t="array" ref="AI110">IF(AND(AI$2&lt;&gt;0,TblTech[[#This Row],[Hour]:[Hour]]&gt;=AI$2),1,0)</f>
        <v>0</v>
      </c>
      <c r="AJ110" s="276" cm="1">
        <f t="array" ref="AJ110">IF(AND(AJ$2&lt;&gt;0,TblTech[[#This Row],[Hour]:[Hour]]&gt;=AJ$2),1,0)</f>
        <v>0</v>
      </c>
      <c r="AK110" s="276" cm="1">
        <f t="array" ref="AK110">IF(AND(AK$2&lt;&gt;0,TblTech[[#This Row],[Hour]:[Hour]]&gt;=AK$2),1,0)</f>
        <v>0</v>
      </c>
      <c r="AL110" s="276" cm="1">
        <f t="array" ref="AL110">IF(AND(AL$2&lt;&gt;0,TblTech[[#This Row],[Hour]:[Hour]]&gt;=AL$2),1,0)</f>
        <v>0</v>
      </c>
      <c r="AM110" s="276" cm="1">
        <f t="array" ref="AM110">IF(AND(AM$2&lt;&gt;0,TblTech[[#This Row],[Hour]:[Hour]]&gt;=AM$2),1,0)</f>
        <v>0</v>
      </c>
      <c r="AN110" s="276" cm="1">
        <f t="array" ref="AN110">IF(AND(AN$2&lt;&gt;0,TblTech[[#This Row],[Hour]:[Hour]]&gt;=AN$2),1,0)</f>
        <v>0</v>
      </c>
      <c r="AO110" s="276" cm="1">
        <f t="array" ref="AO110">IF(AND(AO$2&lt;&gt;0,TblTech[[#This Row],[Hour]:[Hour]]&gt;=AO$2),1,0)</f>
        <v>0</v>
      </c>
      <c r="AP110" s="276" cm="1">
        <f t="array" ref="AP110">IF(AND(AP$2&lt;&gt;0,TblTech[[#This Row],[Hour]:[Hour]]&gt;=AP$2),1,0)</f>
        <v>0</v>
      </c>
      <c r="AQ110" s="276" cm="1">
        <f t="array" ref="AQ110">IF(AND(AQ$2&lt;&gt;0,TblTech[[#This Row],[Hour]:[Hour]]&gt;=AQ$2),1,0)</f>
        <v>0</v>
      </c>
      <c r="AR110" s="276" cm="1">
        <f t="array" ref="AR110">IF(AND(AR$2&lt;&gt;0,TblTech[[#This Row],[Hour]:[Hour]]&gt;=AR$2),1,0)</f>
        <v>0</v>
      </c>
      <c r="AS110" s="276" cm="1">
        <f t="array" ref="AS110">IF(AND(AS$2&lt;&gt;0,TblTech[[#This Row],[Hour]:[Hour]]&gt;=AS$2),1,0)</f>
        <v>0</v>
      </c>
      <c r="AT110" s="276" cm="1">
        <f t="array" ref="AT110">IF(AND(AT$2&lt;&gt;0,TblTech[[#This Row],[Hour]:[Hour]]&gt;=AT$2),1,0)</f>
        <v>0</v>
      </c>
      <c r="AU110" s="276" cm="1">
        <f t="array" ref="AU110">IF(AND(AU$2&lt;&gt;0,TblTech[[#This Row],[Hour]:[Hour]]&gt;=AU$2),1,0)</f>
        <v>0</v>
      </c>
      <c r="AV110" s="276" cm="1">
        <f t="array" ref="AV110">IF(AND(AV$2&lt;&gt;0,TblTech[[#This Row],[Hour]:[Hour]]&gt;=AV$2),1,0)</f>
        <v>0</v>
      </c>
      <c r="AW110" s="276" cm="1">
        <f t="array" ref="AW110">IF(AND(AW$2&lt;&gt;0,TblTech[[#This Row],[Hour]:[Hour]]&gt;=AW$2),1,0)</f>
        <v>0</v>
      </c>
      <c r="AX110" s="276" cm="1">
        <f t="array" ref="AX110">IF(AND(AX$2&lt;&gt;0,TblTech[[#This Row],[Hour]:[Hour]]&gt;=AX$2),1,0)</f>
        <v>0</v>
      </c>
      <c r="AY110" s="276" cm="1">
        <f t="array" ref="AY110">IF(AND(AY$2&lt;&gt;0,TblTech[[#This Row],[Hour]:[Hour]]&gt;=AY$2),1,0)</f>
        <v>0</v>
      </c>
      <c r="AZ110" s="276" cm="1">
        <f t="array" ref="AZ110">IF(AND(AZ$2&lt;&gt;0,TblTech[[#This Row],[Hour]:[Hour]]&gt;=AZ$2),1,0)</f>
        <v>0</v>
      </c>
      <c r="BA110" s="276" cm="1">
        <f t="array" ref="BA110">IF(AND(BA$2&lt;&gt;0,TblTech[[#This Row],[Hour]:[Hour]]&gt;=BA$2),1,0)</f>
        <v>0</v>
      </c>
      <c r="BB110" s="276" cm="1">
        <f t="array" ref="BB110">IF(AND(BB$2&lt;&gt;0,TblTech[[#This Row],[Hour]:[Hour]]&gt;=BB$2),1,0)</f>
        <v>0</v>
      </c>
      <c r="BC110" s="276" cm="1">
        <f t="array" ref="BC110">IF(AND(BC$2&lt;&gt;0,TblTech[[#This Row],[Hour]:[Hour]]&gt;=BC$2),1,0)</f>
        <v>0</v>
      </c>
      <c r="BD110" s="276" cm="1">
        <f t="array" ref="BD110">IF(AND(BD$2&lt;&gt;0,TblTech[[#This Row],[Hour]:[Hour]]&gt;=BD$2),1,0)</f>
        <v>0</v>
      </c>
      <c r="BE110" s="276" cm="1">
        <f t="array" ref="BE110">IF(AND(BE$2&lt;&gt;0,TblTech[[#This Row],[Hour]:[Hour]]&gt;=BE$2),1,0)</f>
        <v>0</v>
      </c>
      <c r="BF110" s="276" cm="1">
        <f t="array" ref="BF110">IF(AND(BF$2&lt;&gt;0,TblTech[[#This Row],[Hour]:[Hour]]&gt;=BF$2),1,0)</f>
        <v>0</v>
      </c>
      <c r="BG110" s="276" cm="1">
        <f t="array" ref="BG110">IF(AND(BG$2&lt;&gt;0,TblTech[[#This Row],[Hour]:[Hour]]&gt;=BG$2),1,0)</f>
        <v>0</v>
      </c>
      <c r="BH110" s="276" cm="1">
        <f t="array" ref="BH110">IF(AND(BH$2&lt;&gt;0,TblTech[[#This Row],[Hour]:[Hour]]&gt;=BH$2),1,0)</f>
        <v>0</v>
      </c>
      <c r="BI110" s="276" cm="1">
        <f t="array" ref="BI110">IF(AND(BI$2&lt;&gt;0,TblTech[[#This Row],[Hour]:[Hour]]&gt;=BI$2),1,0)</f>
        <v>0</v>
      </c>
      <c r="BJ110" s="276" cm="1">
        <f t="array" ref="BJ110">IF(AND(BJ$2&lt;&gt;0,TblTech[[#This Row],[Hour]:[Hour]]&gt;=BJ$2),1,0)</f>
        <v>0</v>
      </c>
      <c r="BK110" s="276" cm="1">
        <f t="array" ref="BK110">IF(AND(BK$2&lt;&gt;0,TblTech[[#This Row],[Hour]:[Hour]]&gt;=BK$2),1,0)</f>
        <v>0</v>
      </c>
      <c r="BL110" s="276" cm="1">
        <f t="array" ref="BL110">IF(AND(BL$2&lt;&gt;0,TblTech[[#This Row],[Hour]:[Hour]]&gt;=BL$2),1,0)</f>
        <v>0</v>
      </c>
      <c r="BM110" s="276" cm="1">
        <f t="array" ref="BM110">IF(AND(BM$2&lt;&gt;0,TblTech[[#This Row],[Hour]:[Hour]]&gt;=BM$2),1,0)</f>
        <v>0</v>
      </c>
      <c r="BN110" s="276" cm="1">
        <f t="array" ref="BN110">IF(AND(BN$2&lt;&gt;0,TblTech[[#This Row],[Hour]:[Hour]]&gt;=BN$2),1,0)</f>
        <v>0</v>
      </c>
      <c r="BO110" s="276" cm="1">
        <f t="array" ref="BO110">IF(AND(BO$2&lt;&gt;0,TblTech[[#This Row],[Hour]:[Hour]]&gt;=BO$2),1,0)</f>
        <v>0</v>
      </c>
      <c r="BP110" s="276" cm="1">
        <f t="array" ref="BP110">IF(AND(BP$2&lt;&gt;0,TblTech[[#This Row],[Hour]:[Hour]]&gt;=BP$2),1,0)</f>
        <v>0</v>
      </c>
      <c r="BQ110" s="276" cm="1">
        <f t="array" ref="BQ110">IF(AND(BQ$2&lt;&gt;0,TblTech[[#This Row],[Hour]:[Hour]]&gt;=BQ$2),1,0)</f>
        <v>0</v>
      </c>
      <c r="BR110" s="276" cm="1">
        <f t="array" ref="BR110">IF(AND(BR$2&lt;&gt;0,TblTech[[#This Row],[Hour]:[Hour]]&gt;=BR$2),1,0)</f>
        <v>0</v>
      </c>
      <c r="BS110" s="276" cm="1">
        <f t="array" ref="BS110">IF(AND(BS$2&lt;&gt;0,TblTech[[#This Row],[Hour]:[Hour]]&gt;=BS$2),1,0)</f>
        <v>0</v>
      </c>
      <c r="BT110" s="276" cm="1">
        <f t="array" ref="BT110">IF(AND(BT$2&lt;&gt;0,TblTech[[#This Row],[Hour]:[Hour]]&gt;=BT$2),1,0)</f>
        <v>0</v>
      </c>
      <c r="BU110" s="276" cm="1">
        <f t="array" ref="BU110">IF(AND(BU$2&lt;&gt;0,TblTech[[#This Row],[Hour]:[Hour]]&gt;=BU$2),1,0)</f>
        <v>0</v>
      </c>
      <c r="BV110" s="276" cm="1">
        <f t="array" ref="BV110">IF(AND(BV$2&lt;&gt;0,TblTech[[#This Row],[Hour]:[Hour]]&gt;=BV$2),1,0)</f>
        <v>0</v>
      </c>
      <c r="BW110" s="276" cm="1">
        <f t="array" ref="BW110">IF(AND(BW$2&lt;&gt;0,TblTech[[#This Row],[Hour]:[Hour]]&gt;=BW$2),1,0)</f>
        <v>0</v>
      </c>
      <c r="BX110" s="276" cm="1">
        <f t="array" ref="BX110">IF(AND(BX$2&lt;&gt;0,TblTech[[#This Row],[Hour]:[Hour]]&gt;=BX$2),1,0)</f>
        <v>0</v>
      </c>
      <c r="BY110" s="276" cm="1">
        <f t="array" ref="BY110">IF(AND(BY$2&lt;&gt;0,TblTech[[#This Row],[Hour]:[Hour]]&gt;=BY$2),1,0)</f>
        <v>0</v>
      </c>
      <c r="BZ110" s="276" cm="1">
        <f t="array" ref="BZ110">IF(AND(BZ$2&lt;&gt;0,TblTech[[#This Row],[Hour]:[Hour]]&gt;=BZ$2),1,0)</f>
        <v>0</v>
      </c>
      <c r="CA110" s="377">
        <f>IFERROR(INDEX($H$4:$H$79,MATCH(INDEX(TblTech[[#Headers],[1-1]:[11-1]],1,MATCH(TblTech[[#This Row],[Hour]],$M$2:$BZ$2,0)),$G$4:$G$79,0)),)</f>
        <v>0</v>
      </c>
    </row>
    <row r="111" spans="1:79" x14ac:dyDescent="0.2">
      <c r="A111" s="268">
        <f>TblRezone[[#This Row],[Hour]]</f>
        <v>108</v>
      </c>
      <c r="B111" s="269">
        <f ca="1">TblExplore[[#This Row],[Land-DB]]</f>
        <v>50</v>
      </c>
      <c r="C111" s="270">
        <f ca="1">TblProd[[#This Row],[Techpoints]]</f>
        <v>0</v>
      </c>
      <c r="D111" s="270">
        <f ca="1">TblProd[[#This Row],[Required]]</f>
        <v>3750</v>
      </c>
      <c r="E111" s="279"/>
      <c r="F111" s="280"/>
      <c r="G111" s="273"/>
      <c r="H111" s="274"/>
      <c r="I111" s="274"/>
      <c r="J111" s="274"/>
      <c r="K111" s="93">
        <f ca="1">IF(TblTech[[#This Row],[Sum of tech]]&lt;&gt;OFFSET(TblTech[[#This Row],[Sum of tech]],-1,0),1,0)</f>
        <v>0</v>
      </c>
      <c r="L111" s="275">
        <f>COUNTIF(TblTech[[#This Row],[1-1]:[11-1]],1)</f>
        <v>0</v>
      </c>
      <c r="M111" s="276" cm="1">
        <f t="array" ref="M111">IF(AND(M$2&lt;&gt;0,TblTech[[#This Row],[Hour]:[Hour]]&gt;=M$2),1,0)</f>
        <v>0</v>
      </c>
      <c r="N111" s="276" cm="1">
        <f t="array" ref="N111">IF(AND(N$2&lt;&gt;0,TblTech[[#This Row],[Hour]:[Hour]]&gt;=N$2),1,0)</f>
        <v>0</v>
      </c>
      <c r="O111" s="276" cm="1">
        <f t="array" ref="O111">IF(AND(O$2&lt;&gt;0,TblTech[[#This Row],[Hour]:[Hour]]&gt;=O$2),1,0)</f>
        <v>0</v>
      </c>
      <c r="P111" s="276" cm="1">
        <f t="array" ref="P111">IF(AND(P$2&lt;&gt;0,TblTech[[#This Row],[Hour]:[Hour]]&gt;=P$2),1,0)</f>
        <v>0</v>
      </c>
      <c r="Q111" s="276" cm="1">
        <f t="array" ref="Q111">IF(AND(Q$2&lt;&gt;0,TblTech[[#This Row],[Hour]:[Hour]]&gt;=Q$2),1,0)</f>
        <v>0</v>
      </c>
      <c r="R111" s="276" cm="1">
        <f t="array" ref="R111">IF(AND(R$2&lt;&gt;0,TblTech[[#This Row],[Hour]:[Hour]]&gt;=R$2),1,0)</f>
        <v>0</v>
      </c>
      <c r="S111" s="276" cm="1">
        <f t="array" ref="S111">IF(AND(S$2&lt;&gt;0,TblTech[[#This Row],[Hour]:[Hour]]&gt;=S$2),1,0)</f>
        <v>0</v>
      </c>
      <c r="T111" s="276" cm="1">
        <f t="array" ref="T111">IF(AND(T$2&lt;&gt;0,TblTech[[#This Row],[Hour]:[Hour]]&gt;=T$2),1,0)</f>
        <v>0</v>
      </c>
      <c r="U111" s="276" cm="1">
        <f t="array" ref="U111">IF(AND(U$2&lt;&gt;0,TblTech[[#This Row],[Hour]:[Hour]]&gt;=U$2),1,0)</f>
        <v>0</v>
      </c>
      <c r="V111" s="276" cm="1">
        <f t="array" ref="V111">IF(AND(V$2&lt;&gt;0,TblTech[[#This Row],[Hour]:[Hour]]&gt;=V$2),1,0)</f>
        <v>0</v>
      </c>
      <c r="W111" s="276" cm="1">
        <f t="array" ref="W111">IF(AND(W$2&lt;&gt;0,TblTech[[#This Row],[Hour]:[Hour]]&gt;=W$2),1,0)</f>
        <v>0</v>
      </c>
      <c r="X111" s="276" cm="1">
        <f t="array" ref="X111">IF(AND(X$2&lt;&gt;0,TblTech[[#This Row],[Hour]:[Hour]]&gt;=X$2),1,0)</f>
        <v>0</v>
      </c>
      <c r="Y111" s="276" cm="1">
        <f t="array" ref="Y111">IF(AND(Y$2&lt;&gt;0,TblTech[[#This Row],[Hour]:[Hour]]&gt;=Y$2),1,0)</f>
        <v>0</v>
      </c>
      <c r="Z111" s="276" cm="1">
        <f t="array" ref="Z111">IF(AND(Z$2&lt;&gt;0,TblTech[[#This Row],[Hour]:[Hour]]&gt;=Z$2),1,0)</f>
        <v>0</v>
      </c>
      <c r="AA111" s="276" cm="1">
        <f t="array" ref="AA111">IF(AND(AA$2&lt;&gt;0,TblTech[[#This Row],[Hour]:[Hour]]&gt;=AA$2),1,0)</f>
        <v>0</v>
      </c>
      <c r="AB111" s="276" cm="1">
        <f t="array" ref="AB111">IF(AND(AB$2&lt;&gt;0,TblTech[[#This Row],[Hour]:[Hour]]&gt;=AB$2),1,0)</f>
        <v>0</v>
      </c>
      <c r="AC111" s="276" cm="1">
        <f t="array" ref="AC111">IF(AND(AC$2&lt;&gt;0,TblTech[[#This Row],[Hour]:[Hour]]&gt;=AC$2),1,0)</f>
        <v>0</v>
      </c>
      <c r="AD111" s="276" cm="1">
        <f t="array" ref="AD111">IF(AND(AD$2&lt;&gt;0,TblTech[[#This Row],[Hour]:[Hour]]&gt;=AD$2),1,0)</f>
        <v>0</v>
      </c>
      <c r="AE111" s="276" cm="1">
        <f t="array" ref="AE111">IF(AND(AE$2&lt;&gt;0,TblTech[[#This Row],[Hour]:[Hour]]&gt;=AE$2),1,0)</f>
        <v>0</v>
      </c>
      <c r="AF111" s="276" cm="1">
        <f t="array" ref="AF111">IF(AND(AF$2&lt;&gt;0,TblTech[[#This Row],[Hour]:[Hour]]&gt;=AF$2),1,0)</f>
        <v>0</v>
      </c>
      <c r="AG111" s="276" cm="1">
        <f t="array" ref="AG111">IF(AND(AG$2&lt;&gt;0,TblTech[[#This Row],[Hour]:[Hour]]&gt;=AG$2),1,0)</f>
        <v>0</v>
      </c>
      <c r="AH111" s="276" cm="1">
        <f t="array" ref="AH111">IF(AND(AH$2&lt;&gt;0,TblTech[[#This Row],[Hour]:[Hour]]&gt;=AH$2),1,0)</f>
        <v>0</v>
      </c>
      <c r="AI111" s="276" cm="1">
        <f t="array" ref="AI111">IF(AND(AI$2&lt;&gt;0,TblTech[[#This Row],[Hour]:[Hour]]&gt;=AI$2),1,0)</f>
        <v>0</v>
      </c>
      <c r="AJ111" s="276" cm="1">
        <f t="array" ref="AJ111">IF(AND(AJ$2&lt;&gt;0,TblTech[[#This Row],[Hour]:[Hour]]&gt;=AJ$2),1,0)</f>
        <v>0</v>
      </c>
      <c r="AK111" s="276" cm="1">
        <f t="array" ref="AK111">IF(AND(AK$2&lt;&gt;0,TblTech[[#This Row],[Hour]:[Hour]]&gt;=AK$2),1,0)</f>
        <v>0</v>
      </c>
      <c r="AL111" s="276" cm="1">
        <f t="array" ref="AL111">IF(AND(AL$2&lt;&gt;0,TblTech[[#This Row],[Hour]:[Hour]]&gt;=AL$2),1,0)</f>
        <v>0</v>
      </c>
      <c r="AM111" s="276" cm="1">
        <f t="array" ref="AM111">IF(AND(AM$2&lt;&gt;0,TblTech[[#This Row],[Hour]:[Hour]]&gt;=AM$2),1,0)</f>
        <v>0</v>
      </c>
      <c r="AN111" s="276" cm="1">
        <f t="array" ref="AN111">IF(AND(AN$2&lt;&gt;0,TblTech[[#This Row],[Hour]:[Hour]]&gt;=AN$2),1,0)</f>
        <v>0</v>
      </c>
      <c r="AO111" s="276" cm="1">
        <f t="array" ref="AO111">IF(AND(AO$2&lt;&gt;0,TblTech[[#This Row],[Hour]:[Hour]]&gt;=AO$2),1,0)</f>
        <v>0</v>
      </c>
      <c r="AP111" s="276" cm="1">
        <f t="array" ref="AP111">IF(AND(AP$2&lt;&gt;0,TblTech[[#This Row],[Hour]:[Hour]]&gt;=AP$2),1,0)</f>
        <v>0</v>
      </c>
      <c r="AQ111" s="276" cm="1">
        <f t="array" ref="AQ111">IF(AND(AQ$2&lt;&gt;0,TblTech[[#This Row],[Hour]:[Hour]]&gt;=AQ$2),1,0)</f>
        <v>0</v>
      </c>
      <c r="AR111" s="276" cm="1">
        <f t="array" ref="AR111">IF(AND(AR$2&lt;&gt;0,TblTech[[#This Row],[Hour]:[Hour]]&gt;=AR$2),1,0)</f>
        <v>0</v>
      </c>
      <c r="AS111" s="276" cm="1">
        <f t="array" ref="AS111">IF(AND(AS$2&lt;&gt;0,TblTech[[#This Row],[Hour]:[Hour]]&gt;=AS$2),1,0)</f>
        <v>0</v>
      </c>
      <c r="AT111" s="276" cm="1">
        <f t="array" ref="AT111">IF(AND(AT$2&lt;&gt;0,TblTech[[#This Row],[Hour]:[Hour]]&gt;=AT$2),1,0)</f>
        <v>0</v>
      </c>
      <c r="AU111" s="276" cm="1">
        <f t="array" ref="AU111">IF(AND(AU$2&lt;&gt;0,TblTech[[#This Row],[Hour]:[Hour]]&gt;=AU$2),1,0)</f>
        <v>0</v>
      </c>
      <c r="AV111" s="276" cm="1">
        <f t="array" ref="AV111">IF(AND(AV$2&lt;&gt;0,TblTech[[#This Row],[Hour]:[Hour]]&gt;=AV$2),1,0)</f>
        <v>0</v>
      </c>
      <c r="AW111" s="276" cm="1">
        <f t="array" ref="AW111">IF(AND(AW$2&lt;&gt;0,TblTech[[#This Row],[Hour]:[Hour]]&gt;=AW$2),1,0)</f>
        <v>0</v>
      </c>
      <c r="AX111" s="276" cm="1">
        <f t="array" ref="AX111">IF(AND(AX$2&lt;&gt;0,TblTech[[#This Row],[Hour]:[Hour]]&gt;=AX$2),1,0)</f>
        <v>0</v>
      </c>
      <c r="AY111" s="276" cm="1">
        <f t="array" ref="AY111">IF(AND(AY$2&lt;&gt;0,TblTech[[#This Row],[Hour]:[Hour]]&gt;=AY$2),1,0)</f>
        <v>0</v>
      </c>
      <c r="AZ111" s="276" cm="1">
        <f t="array" ref="AZ111">IF(AND(AZ$2&lt;&gt;0,TblTech[[#This Row],[Hour]:[Hour]]&gt;=AZ$2),1,0)</f>
        <v>0</v>
      </c>
      <c r="BA111" s="276" cm="1">
        <f t="array" ref="BA111">IF(AND(BA$2&lt;&gt;0,TblTech[[#This Row],[Hour]:[Hour]]&gt;=BA$2),1,0)</f>
        <v>0</v>
      </c>
      <c r="BB111" s="276" cm="1">
        <f t="array" ref="BB111">IF(AND(BB$2&lt;&gt;0,TblTech[[#This Row],[Hour]:[Hour]]&gt;=BB$2),1,0)</f>
        <v>0</v>
      </c>
      <c r="BC111" s="276" cm="1">
        <f t="array" ref="BC111">IF(AND(BC$2&lt;&gt;0,TblTech[[#This Row],[Hour]:[Hour]]&gt;=BC$2),1,0)</f>
        <v>0</v>
      </c>
      <c r="BD111" s="276" cm="1">
        <f t="array" ref="BD111">IF(AND(BD$2&lt;&gt;0,TblTech[[#This Row],[Hour]:[Hour]]&gt;=BD$2),1,0)</f>
        <v>0</v>
      </c>
      <c r="BE111" s="276" cm="1">
        <f t="array" ref="BE111">IF(AND(BE$2&lt;&gt;0,TblTech[[#This Row],[Hour]:[Hour]]&gt;=BE$2),1,0)</f>
        <v>0</v>
      </c>
      <c r="BF111" s="276" cm="1">
        <f t="array" ref="BF111">IF(AND(BF$2&lt;&gt;0,TblTech[[#This Row],[Hour]:[Hour]]&gt;=BF$2),1,0)</f>
        <v>0</v>
      </c>
      <c r="BG111" s="276" cm="1">
        <f t="array" ref="BG111">IF(AND(BG$2&lt;&gt;0,TblTech[[#This Row],[Hour]:[Hour]]&gt;=BG$2),1,0)</f>
        <v>0</v>
      </c>
      <c r="BH111" s="276" cm="1">
        <f t="array" ref="BH111">IF(AND(BH$2&lt;&gt;0,TblTech[[#This Row],[Hour]:[Hour]]&gt;=BH$2),1,0)</f>
        <v>0</v>
      </c>
      <c r="BI111" s="276" cm="1">
        <f t="array" ref="BI111">IF(AND(BI$2&lt;&gt;0,TblTech[[#This Row],[Hour]:[Hour]]&gt;=BI$2),1,0)</f>
        <v>0</v>
      </c>
      <c r="BJ111" s="276" cm="1">
        <f t="array" ref="BJ111">IF(AND(BJ$2&lt;&gt;0,TblTech[[#This Row],[Hour]:[Hour]]&gt;=BJ$2),1,0)</f>
        <v>0</v>
      </c>
      <c r="BK111" s="276" cm="1">
        <f t="array" ref="BK111">IF(AND(BK$2&lt;&gt;0,TblTech[[#This Row],[Hour]:[Hour]]&gt;=BK$2),1,0)</f>
        <v>0</v>
      </c>
      <c r="BL111" s="276" cm="1">
        <f t="array" ref="BL111">IF(AND(BL$2&lt;&gt;0,TblTech[[#This Row],[Hour]:[Hour]]&gt;=BL$2),1,0)</f>
        <v>0</v>
      </c>
      <c r="BM111" s="276" cm="1">
        <f t="array" ref="BM111">IF(AND(BM$2&lt;&gt;0,TblTech[[#This Row],[Hour]:[Hour]]&gt;=BM$2),1,0)</f>
        <v>0</v>
      </c>
      <c r="BN111" s="276" cm="1">
        <f t="array" ref="BN111">IF(AND(BN$2&lt;&gt;0,TblTech[[#This Row],[Hour]:[Hour]]&gt;=BN$2),1,0)</f>
        <v>0</v>
      </c>
      <c r="BO111" s="276" cm="1">
        <f t="array" ref="BO111">IF(AND(BO$2&lt;&gt;0,TblTech[[#This Row],[Hour]:[Hour]]&gt;=BO$2),1,0)</f>
        <v>0</v>
      </c>
      <c r="BP111" s="276" cm="1">
        <f t="array" ref="BP111">IF(AND(BP$2&lt;&gt;0,TblTech[[#This Row],[Hour]:[Hour]]&gt;=BP$2),1,0)</f>
        <v>0</v>
      </c>
      <c r="BQ111" s="276" cm="1">
        <f t="array" ref="BQ111">IF(AND(BQ$2&lt;&gt;0,TblTech[[#This Row],[Hour]:[Hour]]&gt;=BQ$2),1,0)</f>
        <v>0</v>
      </c>
      <c r="BR111" s="276" cm="1">
        <f t="array" ref="BR111">IF(AND(BR$2&lt;&gt;0,TblTech[[#This Row],[Hour]:[Hour]]&gt;=BR$2),1,0)</f>
        <v>0</v>
      </c>
      <c r="BS111" s="276" cm="1">
        <f t="array" ref="BS111">IF(AND(BS$2&lt;&gt;0,TblTech[[#This Row],[Hour]:[Hour]]&gt;=BS$2),1,0)</f>
        <v>0</v>
      </c>
      <c r="BT111" s="276" cm="1">
        <f t="array" ref="BT111">IF(AND(BT$2&lt;&gt;0,TblTech[[#This Row],[Hour]:[Hour]]&gt;=BT$2),1,0)</f>
        <v>0</v>
      </c>
      <c r="BU111" s="276" cm="1">
        <f t="array" ref="BU111">IF(AND(BU$2&lt;&gt;0,TblTech[[#This Row],[Hour]:[Hour]]&gt;=BU$2),1,0)</f>
        <v>0</v>
      </c>
      <c r="BV111" s="276" cm="1">
        <f t="array" ref="BV111">IF(AND(BV$2&lt;&gt;0,TblTech[[#This Row],[Hour]:[Hour]]&gt;=BV$2),1,0)</f>
        <v>0</v>
      </c>
      <c r="BW111" s="276" cm="1">
        <f t="array" ref="BW111">IF(AND(BW$2&lt;&gt;0,TblTech[[#This Row],[Hour]:[Hour]]&gt;=BW$2),1,0)</f>
        <v>0</v>
      </c>
      <c r="BX111" s="276" cm="1">
        <f t="array" ref="BX111">IF(AND(BX$2&lt;&gt;0,TblTech[[#This Row],[Hour]:[Hour]]&gt;=BX$2),1,0)</f>
        <v>0</v>
      </c>
      <c r="BY111" s="276" cm="1">
        <f t="array" ref="BY111">IF(AND(BY$2&lt;&gt;0,TblTech[[#This Row],[Hour]:[Hour]]&gt;=BY$2),1,0)</f>
        <v>0</v>
      </c>
      <c r="BZ111" s="276" cm="1">
        <f t="array" ref="BZ111">IF(AND(BZ$2&lt;&gt;0,TblTech[[#This Row],[Hour]:[Hour]]&gt;=BZ$2),1,0)</f>
        <v>0</v>
      </c>
      <c r="CA111" s="377">
        <f>IFERROR(INDEX($H$4:$H$79,MATCH(INDEX(TblTech[[#Headers],[1-1]:[11-1]],1,MATCH(TblTech[[#This Row],[Hour]],$M$2:$BZ$2,0)),$G$4:$G$79,0)),)</f>
        <v>0</v>
      </c>
    </row>
    <row r="112" spans="1:79" x14ac:dyDescent="0.2">
      <c r="A112" s="268">
        <f>TblRezone[[#This Row],[Hour]]</f>
        <v>109</v>
      </c>
      <c r="B112" s="269">
        <f ca="1">TblExplore[[#This Row],[Land-DB]]</f>
        <v>50</v>
      </c>
      <c r="C112" s="270">
        <f ca="1">TblProd[[#This Row],[Techpoints]]</f>
        <v>0</v>
      </c>
      <c r="D112" s="270">
        <f ca="1">TblProd[[#This Row],[Required]]</f>
        <v>3750</v>
      </c>
      <c r="E112" s="279"/>
      <c r="F112" s="280"/>
      <c r="G112" s="273"/>
      <c r="H112" s="274"/>
      <c r="I112" s="274"/>
      <c r="J112" s="274"/>
      <c r="K112" s="93">
        <f ca="1">IF(TblTech[[#This Row],[Sum of tech]]&lt;&gt;OFFSET(TblTech[[#This Row],[Sum of tech]],-1,0),1,0)</f>
        <v>0</v>
      </c>
      <c r="L112" s="275">
        <f>COUNTIF(TblTech[[#This Row],[1-1]:[11-1]],1)</f>
        <v>0</v>
      </c>
      <c r="M112" s="276" cm="1">
        <f t="array" ref="M112">IF(AND(M$2&lt;&gt;0,TblTech[[#This Row],[Hour]:[Hour]]&gt;=M$2),1,0)</f>
        <v>0</v>
      </c>
      <c r="N112" s="276" cm="1">
        <f t="array" ref="N112">IF(AND(N$2&lt;&gt;0,TblTech[[#This Row],[Hour]:[Hour]]&gt;=N$2),1,0)</f>
        <v>0</v>
      </c>
      <c r="O112" s="276" cm="1">
        <f t="array" ref="O112">IF(AND(O$2&lt;&gt;0,TblTech[[#This Row],[Hour]:[Hour]]&gt;=O$2),1,0)</f>
        <v>0</v>
      </c>
      <c r="P112" s="276" cm="1">
        <f t="array" ref="P112">IF(AND(P$2&lt;&gt;0,TblTech[[#This Row],[Hour]:[Hour]]&gt;=P$2),1,0)</f>
        <v>0</v>
      </c>
      <c r="Q112" s="276" cm="1">
        <f t="array" ref="Q112">IF(AND(Q$2&lt;&gt;0,TblTech[[#This Row],[Hour]:[Hour]]&gt;=Q$2),1,0)</f>
        <v>0</v>
      </c>
      <c r="R112" s="276" cm="1">
        <f t="array" ref="R112">IF(AND(R$2&lt;&gt;0,TblTech[[#This Row],[Hour]:[Hour]]&gt;=R$2),1,0)</f>
        <v>0</v>
      </c>
      <c r="S112" s="276" cm="1">
        <f t="array" ref="S112">IF(AND(S$2&lt;&gt;0,TblTech[[#This Row],[Hour]:[Hour]]&gt;=S$2),1,0)</f>
        <v>0</v>
      </c>
      <c r="T112" s="276" cm="1">
        <f t="array" ref="T112">IF(AND(T$2&lt;&gt;0,TblTech[[#This Row],[Hour]:[Hour]]&gt;=T$2),1,0)</f>
        <v>0</v>
      </c>
      <c r="U112" s="276" cm="1">
        <f t="array" ref="U112">IF(AND(U$2&lt;&gt;0,TblTech[[#This Row],[Hour]:[Hour]]&gt;=U$2),1,0)</f>
        <v>0</v>
      </c>
      <c r="V112" s="276" cm="1">
        <f t="array" ref="V112">IF(AND(V$2&lt;&gt;0,TblTech[[#This Row],[Hour]:[Hour]]&gt;=V$2),1,0)</f>
        <v>0</v>
      </c>
      <c r="W112" s="276" cm="1">
        <f t="array" ref="W112">IF(AND(W$2&lt;&gt;0,TblTech[[#This Row],[Hour]:[Hour]]&gt;=W$2),1,0)</f>
        <v>0</v>
      </c>
      <c r="X112" s="276" cm="1">
        <f t="array" ref="X112">IF(AND(X$2&lt;&gt;0,TblTech[[#This Row],[Hour]:[Hour]]&gt;=X$2),1,0)</f>
        <v>0</v>
      </c>
      <c r="Y112" s="276" cm="1">
        <f t="array" ref="Y112">IF(AND(Y$2&lt;&gt;0,TblTech[[#This Row],[Hour]:[Hour]]&gt;=Y$2),1,0)</f>
        <v>0</v>
      </c>
      <c r="Z112" s="276" cm="1">
        <f t="array" ref="Z112">IF(AND(Z$2&lt;&gt;0,TblTech[[#This Row],[Hour]:[Hour]]&gt;=Z$2),1,0)</f>
        <v>0</v>
      </c>
      <c r="AA112" s="276" cm="1">
        <f t="array" ref="AA112">IF(AND(AA$2&lt;&gt;0,TblTech[[#This Row],[Hour]:[Hour]]&gt;=AA$2),1,0)</f>
        <v>0</v>
      </c>
      <c r="AB112" s="276" cm="1">
        <f t="array" ref="AB112">IF(AND(AB$2&lt;&gt;0,TblTech[[#This Row],[Hour]:[Hour]]&gt;=AB$2),1,0)</f>
        <v>0</v>
      </c>
      <c r="AC112" s="276" cm="1">
        <f t="array" ref="AC112">IF(AND(AC$2&lt;&gt;0,TblTech[[#This Row],[Hour]:[Hour]]&gt;=AC$2),1,0)</f>
        <v>0</v>
      </c>
      <c r="AD112" s="276" cm="1">
        <f t="array" ref="AD112">IF(AND(AD$2&lt;&gt;0,TblTech[[#This Row],[Hour]:[Hour]]&gt;=AD$2),1,0)</f>
        <v>0</v>
      </c>
      <c r="AE112" s="276" cm="1">
        <f t="array" ref="AE112">IF(AND(AE$2&lt;&gt;0,TblTech[[#This Row],[Hour]:[Hour]]&gt;=AE$2),1,0)</f>
        <v>0</v>
      </c>
      <c r="AF112" s="276" cm="1">
        <f t="array" ref="AF112">IF(AND(AF$2&lt;&gt;0,TblTech[[#This Row],[Hour]:[Hour]]&gt;=AF$2),1,0)</f>
        <v>0</v>
      </c>
      <c r="AG112" s="276" cm="1">
        <f t="array" ref="AG112">IF(AND(AG$2&lt;&gt;0,TblTech[[#This Row],[Hour]:[Hour]]&gt;=AG$2),1,0)</f>
        <v>0</v>
      </c>
      <c r="AH112" s="276" cm="1">
        <f t="array" ref="AH112">IF(AND(AH$2&lt;&gt;0,TblTech[[#This Row],[Hour]:[Hour]]&gt;=AH$2),1,0)</f>
        <v>0</v>
      </c>
      <c r="AI112" s="276" cm="1">
        <f t="array" ref="AI112">IF(AND(AI$2&lt;&gt;0,TblTech[[#This Row],[Hour]:[Hour]]&gt;=AI$2),1,0)</f>
        <v>0</v>
      </c>
      <c r="AJ112" s="276" cm="1">
        <f t="array" ref="AJ112">IF(AND(AJ$2&lt;&gt;0,TblTech[[#This Row],[Hour]:[Hour]]&gt;=AJ$2),1,0)</f>
        <v>0</v>
      </c>
      <c r="AK112" s="276" cm="1">
        <f t="array" ref="AK112">IF(AND(AK$2&lt;&gt;0,TblTech[[#This Row],[Hour]:[Hour]]&gt;=AK$2),1,0)</f>
        <v>0</v>
      </c>
      <c r="AL112" s="276" cm="1">
        <f t="array" ref="AL112">IF(AND(AL$2&lt;&gt;0,TblTech[[#This Row],[Hour]:[Hour]]&gt;=AL$2),1,0)</f>
        <v>0</v>
      </c>
      <c r="AM112" s="276" cm="1">
        <f t="array" ref="AM112">IF(AND(AM$2&lt;&gt;0,TblTech[[#This Row],[Hour]:[Hour]]&gt;=AM$2),1,0)</f>
        <v>0</v>
      </c>
      <c r="AN112" s="276" cm="1">
        <f t="array" ref="AN112">IF(AND(AN$2&lt;&gt;0,TblTech[[#This Row],[Hour]:[Hour]]&gt;=AN$2),1,0)</f>
        <v>0</v>
      </c>
      <c r="AO112" s="276" cm="1">
        <f t="array" ref="AO112">IF(AND(AO$2&lt;&gt;0,TblTech[[#This Row],[Hour]:[Hour]]&gt;=AO$2),1,0)</f>
        <v>0</v>
      </c>
      <c r="AP112" s="276" cm="1">
        <f t="array" ref="AP112">IF(AND(AP$2&lt;&gt;0,TblTech[[#This Row],[Hour]:[Hour]]&gt;=AP$2),1,0)</f>
        <v>0</v>
      </c>
      <c r="AQ112" s="276" cm="1">
        <f t="array" ref="AQ112">IF(AND(AQ$2&lt;&gt;0,TblTech[[#This Row],[Hour]:[Hour]]&gt;=AQ$2),1,0)</f>
        <v>0</v>
      </c>
      <c r="AR112" s="276" cm="1">
        <f t="array" ref="AR112">IF(AND(AR$2&lt;&gt;0,TblTech[[#This Row],[Hour]:[Hour]]&gt;=AR$2),1,0)</f>
        <v>0</v>
      </c>
      <c r="AS112" s="276" cm="1">
        <f t="array" ref="AS112">IF(AND(AS$2&lt;&gt;0,TblTech[[#This Row],[Hour]:[Hour]]&gt;=AS$2),1,0)</f>
        <v>0</v>
      </c>
      <c r="AT112" s="276" cm="1">
        <f t="array" ref="AT112">IF(AND(AT$2&lt;&gt;0,TblTech[[#This Row],[Hour]:[Hour]]&gt;=AT$2),1,0)</f>
        <v>0</v>
      </c>
      <c r="AU112" s="276" cm="1">
        <f t="array" ref="AU112">IF(AND(AU$2&lt;&gt;0,TblTech[[#This Row],[Hour]:[Hour]]&gt;=AU$2),1,0)</f>
        <v>0</v>
      </c>
      <c r="AV112" s="276" cm="1">
        <f t="array" ref="AV112">IF(AND(AV$2&lt;&gt;0,TblTech[[#This Row],[Hour]:[Hour]]&gt;=AV$2),1,0)</f>
        <v>0</v>
      </c>
      <c r="AW112" s="276" cm="1">
        <f t="array" ref="AW112">IF(AND(AW$2&lt;&gt;0,TblTech[[#This Row],[Hour]:[Hour]]&gt;=AW$2),1,0)</f>
        <v>0</v>
      </c>
      <c r="AX112" s="276" cm="1">
        <f t="array" ref="AX112">IF(AND(AX$2&lt;&gt;0,TblTech[[#This Row],[Hour]:[Hour]]&gt;=AX$2),1,0)</f>
        <v>0</v>
      </c>
      <c r="AY112" s="276" cm="1">
        <f t="array" ref="AY112">IF(AND(AY$2&lt;&gt;0,TblTech[[#This Row],[Hour]:[Hour]]&gt;=AY$2),1,0)</f>
        <v>0</v>
      </c>
      <c r="AZ112" s="276" cm="1">
        <f t="array" ref="AZ112">IF(AND(AZ$2&lt;&gt;0,TblTech[[#This Row],[Hour]:[Hour]]&gt;=AZ$2),1,0)</f>
        <v>0</v>
      </c>
      <c r="BA112" s="276" cm="1">
        <f t="array" ref="BA112">IF(AND(BA$2&lt;&gt;0,TblTech[[#This Row],[Hour]:[Hour]]&gt;=BA$2),1,0)</f>
        <v>0</v>
      </c>
      <c r="BB112" s="276" cm="1">
        <f t="array" ref="BB112">IF(AND(BB$2&lt;&gt;0,TblTech[[#This Row],[Hour]:[Hour]]&gt;=BB$2),1,0)</f>
        <v>0</v>
      </c>
      <c r="BC112" s="276" cm="1">
        <f t="array" ref="BC112">IF(AND(BC$2&lt;&gt;0,TblTech[[#This Row],[Hour]:[Hour]]&gt;=BC$2),1,0)</f>
        <v>0</v>
      </c>
      <c r="BD112" s="276" cm="1">
        <f t="array" ref="BD112">IF(AND(BD$2&lt;&gt;0,TblTech[[#This Row],[Hour]:[Hour]]&gt;=BD$2),1,0)</f>
        <v>0</v>
      </c>
      <c r="BE112" s="276" cm="1">
        <f t="array" ref="BE112">IF(AND(BE$2&lt;&gt;0,TblTech[[#This Row],[Hour]:[Hour]]&gt;=BE$2),1,0)</f>
        <v>0</v>
      </c>
      <c r="BF112" s="276" cm="1">
        <f t="array" ref="BF112">IF(AND(BF$2&lt;&gt;0,TblTech[[#This Row],[Hour]:[Hour]]&gt;=BF$2),1,0)</f>
        <v>0</v>
      </c>
      <c r="BG112" s="276" cm="1">
        <f t="array" ref="BG112">IF(AND(BG$2&lt;&gt;0,TblTech[[#This Row],[Hour]:[Hour]]&gt;=BG$2),1,0)</f>
        <v>0</v>
      </c>
      <c r="BH112" s="276" cm="1">
        <f t="array" ref="BH112">IF(AND(BH$2&lt;&gt;0,TblTech[[#This Row],[Hour]:[Hour]]&gt;=BH$2),1,0)</f>
        <v>0</v>
      </c>
      <c r="BI112" s="276" cm="1">
        <f t="array" ref="BI112">IF(AND(BI$2&lt;&gt;0,TblTech[[#This Row],[Hour]:[Hour]]&gt;=BI$2),1,0)</f>
        <v>0</v>
      </c>
      <c r="BJ112" s="276" cm="1">
        <f t="array" ref="BJ112">IF(AND(BJ$2&lt;&gt;0,TblTech[[#This Row],[Hour]:[Hour]]&gt;=BJ$2),1,0)</f>
        <v>0</v>
      </c>
      <c r="BK112" s="276" cm="1">
        <f t="array" ref="BK112">IF(AND(BK$2&lt;&gt;0,TblTech[[#This Row],[Hour]:[Hour]]&gt;=BK$2),1,0)</f>
        <v>0</v>
      </c>
      <c r="BL112" s="276" cm="1">
        <f t="array" ref="BL112">IF(AND(BL$2&lt;&gt;0,TblTech[[#This Row],[Hour]:[Hour]]&gt;=BL$2),1,0)</f>
        <v>0</v>
      </c>
      <c r="BM112" s="276" cm="1">
        <f t="array" ref="BM112">IF(AND(BM$2&lt;&gt;0,TblTech[[#This Row],[Hour]:[Hour]]&gt;=BM$2),1,0)</f>
        <v>0</v>
      </c>
      <c r="BN112" s="276" cm="1">
        <f t="array" ref="BN112">IF(AND(BN$2&lt;&gt;0,TblTech[[#This Row],[Hour]:[Hour]]&gt;=BN$2),1,0)</f>
        <v>0</v>
      </c>
      <c r="BO112" s="276" cm="1">
        <f t="array" ref="BO112">IF(AND(BO$2&lt;&gt;0,TblTech[[#This Row],[Hour]:[Hour]]&gt;=BO$2),1,0)</f>
        <v>0</v>
      </c>
      <c r="BP112" s="276" cm="1">
        <f t="array" ref="BP112">IF(AND(BP$2&lt;&gt;0,TblTech[[#This Row],[Hour]:[Hour]]&gt;=BP$2),1,0)</f>
        <v>0</v>
      </c>
      <c r="BQ112" s="276" cm="1">
        <f t="array" ref="BQ112">IF(AND(BQ$2&lt;&gt;0,TblTech[[#This Row],[Hour]:[Hour]]&gt;=BQ$2),1,0)</f>
        <v>0</v>
      </c>
      <c r="BR112" s="276" cm="1">
        <f t="array" ref="BR112">IF(AND(BR$2&lt;&gt;0,TblTech[[#This Row],[Hour]:[Hour]]&gt;=BR$2),1,0)</f>
        <v>0</v>
      </c>
      <c r="BS112" s="276" cm="1">
        <f t="array" ref="BS112">IF(AND(BS$2&lt;&gt;0,TblTech[[#This Row],[Hour]:[Hour]]&gt;=BS$2),1,0)</f>
        <v>0</v>
      </c>
      <c r="BT112" s="276" cm="1">
        <f t="array" ref="BT112">IF(AND(BT$2&lt;&gt;0,TblTech[[#This Row],[Hour]:[Hour]]&gt;=BT$2),1,0)</f>
        <v>0</v>
      </c>
      <c r="BU112" s="276" cm="1">
        <f t="array" ref="BU112">IF(AND(BU$2&lt;&gt;0,TblTech[[#This Row],[Hour]:[Hour]]&gt;=BU$2),1,0)</f>
        <v>0</v>
      </c>
      <c r="BV112" s="276" cm="1">
        <f t="array" ref="BV112">IF(AND(BV$2&lt;&gt;0,TblTech[[#This Row],[Hour]:[Hour]]&gt;=BV$2),1,0)</f>
        <v>0</v>
      </c>
      <c r="BW112" s="276" cm="1">
        <f t="array" ref="BW112">IF(AND(BW$2&lt;&gt;0,TblTech[[#This Row],[Hour]:[Hour]]&gt;=BW$2),1,0)</f>
        <v>0</v>
      </c>
      <c r="BX112" s="276" cm="1">
        <f t="array" ref="BX112">IF(AND(BX$2&lt;&gt;0,TblTech[[#This Row],[Hour]:[Hour]]&gt;=BX$2),1,0)</f>
        <v>0</v>
      </c>
      <c r="BY112" s="276" cm="1">
        <f t="array" ref="BY112">IF(AND(BY$2&lt;&gt;0,TblTech[[#This Row],[Hour]:[Hour]]&gt;=BY$2),1,0)</f>
        <v>0</v>
      </c>
      <c r="BZ112" s="276" cm="1">
        <f t="array" ref="BZ112">IF(AND(BZ$2&lt;&gt;0,TblTech[[#This Row],[Hour]:[Hour]]&gt;=BZ$2),1,0)</f>
        <v>0</v>
      </c>
      <c r="CA112" s="377">
        <f>IFERROR(INDEX($H$4:$H$79,MATCH(INDEX(TblTech[[#Headers],[1-1]:[11-1]],1,MATCH(TblTech[[#This Row],[Hour]],$M$2:$BZ$2,0)),$G$4:$G$79,0)),)</f>
        <v>0</v>
      </c>
    </row>
    <row r="113" spans="1:79" x14ac:dyDescent="0.2">
      <c r="A113" s="268">
        <f>TblRezone[[#This Row],[Hour]]</f>
        <v>110</v>
      </c>
      <c r="B113" s="269">
        <f ca="1">TblExplore[[#This Row],[Land-DB]]</f>
        <v>50</v>
      </c>
      <c r="C113" s="270">
        <f ca="1">TblProd[[#This Row],[Techpoints]]</f>
        <v>0</v>
      </c>
      <c r="D113" s="270">
        <f ca="1">TblProd[[#This Row],[Required]]</f>
        <v>3750</v>
      </c>
      <c r="E113" s="279"/>
      <c r="F113" s="280"/>
      <c r="G113" s="273"/>
      <c r="H113" s="274"/>
      <c r="I113" s="274"/>
      <c r="J113" s="274"/>
      <c r="K113" s="93">
        <f ca="1">IF(TblTech[[#This Row],[Sum of tech]]&lt;&gt;OFFSET(TblTech[[#This Row],[Sum of tech]],-1,0),1,0)</f>
        <v>0</v>
      </c>
      <c r="L113" s="275">
        <f>COUNTIF(TblTech[[#This Row],[1-1]:[11-1]],1)</f>
        <v>0</v>
      </c>
      <c r="M113" s="276" cm="1">
        <f t="array" ref="M113">IF(AND(M$2&lt;&gt;0,TblTech[[#This Row],[Hour]:[Hour]]&gt;=M$2),1,0)</f>
        <v>0</v>
      </c>
      <c r="N113" s="276" cm="1">
        <f t="array" ref="N113">IF(AND(N$2&lt;&gt;0,TblTech[[#This Row],[Hour]:[Hour]]&gt;=N$2),1,0)</f>
        <v>0</v>
      </c>
      <c r="O113" s="276" cm="1">
        <f t="array" ref="O113">IF(AND(O$2&lt;&gt;0,TblTech[[#This Row],[Hour]:[Hour]]&gt;=O$2),1,0)</f>
        <v>0</v>
      </c>
      <c r="P113" s="276" cm="1">
        <f t="array" ref="P113">IF(AND(P$2&lt;&gt;0,TblTech[[#This Row],[Hour]:[Hour]]&gt;=P$2),1,0)</f>
        <v>0</v>
      </c>
      <c r="Q113" s="276" cm="1">
        <f t="array" ref="Q113">IF(AND(Q$2&lt;&gt;0,TblTech[[#This Row],[Hour]:[Hour]]&gt;=Q$2),1,0)</f>
        <v>0</v>
      </c>
      <c r="R113" s="276" cm="1">
        <f t="array" ref="R113">IF(AND(R$2&lt;&gt;0,TblTech[[#This Row],[Hour]:[Hour]]&gt;=R$2),1,0)</f>
        <v>0</v>
      </c>
      <c r="S113" s="276" cm="1">
        <f t="array" ref="S113">IF(AND(S$2&lt;&gt;0,TblTech[[#This Row],[Hour]:[Hour]]&gt;=S$2),1,0)</f>
        <v>0</v>
      </c>
      <c r="T113" s="276" cm="1">
        <f t="array" ref="T113">IF(AND(T$2&lt;&gt;0,TblTech[[#This Row],[Hour]:[Hour]]&gt;=T$2),1,0)</f>
        <v>0</v>
      </c>
      <c r="U113" s="276" cm="1">
        <f t="array" ref="U113">IF(AND(U$2&lt;&gt;0,TblTech[[#This Row],[Hour]:[Hour]]&gt;=U$2),1,0)</f>
        <v>0</v>
      </c>
      <c r="V113" s="276" cm="1">
        <f t="array" ref="V113">IF(AND(V$2&lt;&gt;0,TblTech[[#This Row],[Hour]:[Hour]]&gt;=V$2),1,0)</f>
        <v>0</v>
      </c>
      <c r="W113" s="276" cm="1">
        <f t="array" ref="W113">IF(AND(W$2&lt;&gt;0,TblTech[[#This Row],[Hour]:[Hour]]&gt;=W$2),1,0)</f>
        <v>0</v>
      </c>
      <c r="X113" s="276" cm="1">
        <f t="array" ref="X113">IF(AND(X$2&lt;&gt;0,TblTech[[#This Row],[Hour]:[Hour]]&gt;=X$2),1,0)</f>
        <v>0</v>
      </c>
      <c r="Y113" s="276" cm="1">
        <f t="array" ref="Y113">IF(AND(Y$2&lt;&gt;0,TblTech[[#This Row],[Hour]:[Hour]]&gt;=Y$2),1,0)</f>
        <v>0</v>
      </c>
      <c r="Z113" s="276" cm="1">
        <f t="array" ref="Z113">IF(AND(Z$2&lt;&gt;0,TblTech[[#This Row],[Hour]:[Hour]]&gt;=Z$2),1,0)</f>
        <v>0</v>
      </c>
      <c r="AA113" s="276" cm="1">
        <f t="array" ref="AA113">IF(AND(AA$2&lt;&gt;0,TblTech[[#This Row],[Hour]:[Hour]]&gt;=AA$2),1,0)</f>
        <v>0</v>
      </c>
      <c r="AB113" s="276" cm="1">
        <f t="array" ref="AB113">IF(AND(AB$2&lt;&gt;0,TblTech[[#This Row],[Hour]:[Hour]]&gt;=AB$2),1,0)</f>
        <v>0</v>
      </c>
      <c r="AC113" s="276" cm="1">
        <f t="array" ref="AC113">IF(AND(AC$2&lt;&gt;0,TblTech[[#This Row],[Hour]:[Hour]]&gt;=AC$2),1,0)</f>
        <v>0</v>
      </c>
      <c r="AD113" s="276" cm="1">
        <f t="array" ref="AD113">IF(AND(AD$2&lt;&gt;0,TblTech[[#This Row],[Hour]:[Hour]]&gt;=AD$2),1,0)</f>
        <v>0</v>
      </c>
      <c r="AE113" s="276" cm="1">
        <f t="array" ref="AE113">IF(AND(AE$2&lt;&gt;0,TblTech[[#This Row],[Hour]:[Hour]]&gt;=AE$2),1,0)</f>
        <v>0</v>
      </c>
      <c r="AF113" s="276" cm="1">
        <f t="array" ref="AF113">IF(AND(AF$2&lt;&gt;0,TblTech[[#This Row],[Hour]:[Hour]]&gt;=AF$2),1,0)</f>
        <v>0</v>
      </c>
      <c r="AG113" s="276" cm="1">
        <f t="array" ref="AG113">IF(AND(AG$2&lt;&gt;0,TblTech[[#This Row],[Hour]:[Hour]]&gt;=AG$2),1,0)</f>
        <v>0</v>
      </c>
      <c r="AH113" s="276" cm="1">
        <f t="array" ref="AH113">IF(AND(AH$2&lt;&gt;0,TblTech[[#This Row],[Hour]:[Hour]]&gt;=AH$2),1,0)</f>
        <v>0</v>
      </c>
      <c r="AI113" s="276" cm="1">
        <f t="array" ref="AI113">IF(AND(AI$2&lt;&gt;0,TblTech[[#This Row],[Hour]:[Hour]]&gt;=AI$2),1,0)</f>
        <v>0</v>
      </c>
      <c r="AJ113" s="276" cm="1">
        <f t="array" ref="AJ113">IF(AND(AJ$2&lt;&gt;0,TblTech[[#This Row],[Hour]:[Hour]]&gt;=AJ$2),1,0)</f>
        <v>0</v>
      </c>
      <c r="AK113" s="276" cm="1">
        <f t="array" ref="AK113">IF(AND(AK$2&lt;&gt;0,TblTech[[#This Row],[Hour]:[Hour]]&gt;=AK$2),1,0)</f>
        <v>0</v>
      </c>
      <c r="AL113" s="276" cm="1">
        <f t="array" ref="AL113">IF(AND(AL$2&lt;&gt;0,TblTech[[#This Row],[Hour]:[Hour]]&gt;=AL$2),1,0)</f>
        <v>0</v>
      </c>
      <c r="AM113" s="276" cm="1">
        <f t="array" ref="AM113">IF(AND(AM$2&lt;&gt;0,TblTech[[#This Row],[Hour]:[Hour]]&gt;=AM$2),1,0)</f>
        <v>0</v>
      </c>
      <c r="AN113" s="276" cm="1">
        <f t="array" ref="AN113">IF(AND(AN$2&lt;&gt;0,TblTech[[#This Row],[Hour]:[Hour]]&gt;=AN$2),1,0)</f>
        <v>0</v>
      </c>
      <c r="AO113" s="276" cm="1">
        <f t="array" ref="AO113">IF(AND(AO$2&lt;&gt;0,TblTech[[#This Row],[Hour]:[Hour]]&gt;=AO$2),1,0)</f>
        <v>0</v>
      </c>
      <c r="AP113" s="276" cm="1">
        <f t="array" ref="AP113">IF(AND(AP$2&lt;&gt;0,TblTech[[#This Row],[Hour]:[Hour]]&gt;=AP$2),1,0)</f>
        <v>0</v>
      </c>
      <c r="AQ113" s="276" cm="1">
        <f t="array" ref="AQ113">IF(AND(AQ$2&lt;&gt;0,TblTech[[#This Row],[Hour]:[Hour]]&gt;=AQ$2),1,0)</f>
        <v>0</v>
      </c>
      <c r="AR113" s="276" cm="1">
        <f t="array" ref="AR113">IF(AND(AR$2&lt;&gt;0,TblTech[[#This Row],[Hour]:[Hour]]&gt;=AR$2),1,0)</f>
        <v>0</v>
      </c>
      <c r="AS113" s="276" cm="1">
        <f t="array" ref="AS113">IF(AND(AS$2&lt;&gt;0,TblTech[[#This Row],[Hour]:[Hour]]&gt;=AS$2),1,0)</f>
        <v>0</v>
      </c>
      <c r="AT113" s="276" cm="1">
        <f t="array" ref="AT113">IF(AND(AT$2&lt;&gt;0,TblTech[[#This Row],[Hour]:[Hour]]&gt;=AT$2),1,0)</f>
        <v>0</v>
      </c>
      <c r="AU113" s="276" cm="1">
        <f t="array" ref="AU113">IF(AND(AU$2&lt;&gt;0,TblTech[[#This Row],[Hour]:[Hour]]&gt;=AU$2),1,0)</f>
        <v>0</v>
      </c>
      <c r="AV113" s="276" cm="1">
        <f t="array" ref="AV113">IF(AND(AV$2&lt;&gt;0,TblTech[[#This Row],[Hour]:[Hour]]&gt;=AV$2),1,0)</f>
        <v>0</v>
      </c>
      <c r="AW113" s="276" cm="1">
        <f t="array" ref="AW113">IF(AND(AW$2&lt;&gt;0,TblTech[[#This Row],[Hour]:[Hour]]&gt;=AW$2),1,0)</f>
        <v>0</v>
      </c>
      <c r="AX113" s="276" cm="1">
        <f t="array" ref="AX113">IF(AND(AX$2&lt;&gt;0,TblTech[[#This Row],[Hour]:[Hour]]&gt;=AX$2),1,0)</f>
        <v>0</v>
      </c>
      <c r="AY113" s="276" cm="1">
        <f t="array" ref="AY113">IF(AND(AY$2&lt;&gt;0,TblTech[[#This Row],[Hour]:[Hour]]&gt;=AY$2),1,0)</f>
        <v>0</v>
      </c>
      <c r="AZ113" s="276" cm="1">
        <f t="array" ref="AZ113">IF(AND(AZ$2&lt;&gt;0,TblTech[[#This Row],[Hour]:[Hour]]&gt;=AZ$2),1,0)</f>
        <v>0</v>
      </c>
      <c r="BA113" s="276" cm="1">
        <f t="array" ref="BA113">IF(AND(BA$2&lt;&gt;0,TblTech[[#This Row],[Hour]:[Hour]]&gt;=BA$2),1,0)</f>
        <v>0</v>
      </c>
      <c r="BB113" s="276" cm="1">
        <f t="array" ref="BB113">IF(AND(BB$2&lt;&gt;0,TblTech[[#This Row],[Hour]:[Hour]]&gt;=BB$2),1,0)</f>
        <v>0</v>
      </c>
      <c r="BC113" s="276" cm="1">
        <f t="array" ref="BC113">IF(AND(BC$2&lt;&gt;0,TblTech[[#This Row],[Hour]:[Hour]]&gt;=BC$2),1,0)</f>
        <v>0</v>
      </c>
      <c r="BD113" s="276" cm="1">
        <f t="array" ref="BD113">IF(AND(BD$2&lt;&gt;0,TblTech[[#This Row],[Hour]:[Hour]]&gt;=BD$2),1,0)</f>
        <v>0</v>
      </c>
      <c r="BE113" s="276" cm="1">
        <f t="array" ref="BE113">IF(AND(BE$2&lt;&gt;0,TblTech[[#This Row],[Hour]:[Hour]]&gt;=BE$2),1,0)</f>
        <v>0</v>
      </c>
      <c r="BF113" s="276" cm="1">
        <f t="array" ref="BF113">IF(AND(BF$2&lt;&gt;0,TblTech[[#This Row],[Hour]:[Hour]]&gt;=BF$2),1,0)</f>
        <v>0</v>
      </c>
      <c r="BG113" s="276" cm="1">
        <f t="array" ref="BG113">IF(AND(BG$2&lt;&gt;0,TblTech[[#This Row],[Hour]:[Hour]]&gt;=BG$2),1,0)</f>
        <v>0</v>
      </c>
      <c r="BH113" s="276" cm="1">
        <f t="array" ref="BH113">IF(AND(BH$2&lt;&gt;0,TblTech[[#This Row],[Hour]:[Hour]]&gt;=BH$2),1,0)</f>
        <v>0</v>
      </c>
      <c r="BI113" s="276" cm="1">
        <f t="array" ref="BI113">IF(AND(BI$2&lt;&gt;0,TblTech[[#This Row],[Hour]:[Hour]]&gt;=BI$2),1,0)</f>
        <v>0</v>
      </c>
      <c r="BJ113" s="276" cm="1">
        <f t="array" ref="BJ113">IF(AND(BJ$2&lt;&gt;0,TblTech[[#This Row],[Hour]:[Hour]]&gt;=BJ$2),1,0)</f>
        <v>0</v>
      </c>
      <c r="BK113" s="276" cm="1">
        <f t="array" ref="BK113">IF(AND(BK$2&lt;&gt;0,TblTech[[#This Row],[Hour]:[Hour]]&gt;=BK$2),1,0)</f>
        <v>0</v>
      </c>
      <c r="BL113" s="276" cm="1">
        <f t="array" ref="BL113">IF(AND(BL$2&lt;&gt;0,TblTech[[#This Row],[Hour]:[Hour]]&gt;=BL$2),1,0)</f>
        <v>0</v>
      </c>
      <c r="BM113" s="276" cm="1">
        <f t="array" ref="BM113">IF(AND(BM$2&lt;&gt;0,TblTech[[#This Row],[Hour]:[Hour]]&gt;=BM$2),1,0)</f>
        <v>0</v>
      </c>
      <c r="BN113" s="276" cm="1">
        <f t="array" ref="BN113">IF(AND(BN$2&lt;&gt;0,TblTech[[#This Row],[Hour]:[Hour]]&gt;=BN$2),1,0)</f>
        <v>0</v>
      </c>
      <c r="BO113" s="276" cm="1">
        <f t="array" ref="BO113">IF(AND(BO$2&lt;&gt;0,TblTech[[#This Row],[Hour]:[Hour]]&gt;=BO$2),1,0)</f>
        <v>0</v>
      </c>
      <c r="BP113" s="276" cm="1">
        <f t="array" ref="BP113">IF(AND(BP$2&lt;&gt;0,TblTech[[#This Row],[Hour]:[Hour]]&gt;=BP$2),1,0)</f>
        <v>0</v>
      </c>
      <c r="BQ113" s="276" cm="1">
        <f t="array" ref="BQ113">IF(AND(BQ$2&lt;&gt;0,TblTech[[#This Row],[Hour]:[Hour]]&gt;=BQ$2),1,0)</f>
        <v>0</v>
      </c>
      <c r="BR113" s="276" cm="1">
        <f t="array" ref="BR113">IF(AND(BR$2&lt;&gt;0,TblTech[[#This Row],[Hour]:[Hour]]&gt;=BR$2),1,0)</f>
        <v>0</v>
      </c>
      <c r="BS113" s="276" cm="1">
        <f t="array" ref="BS113">IF(AND(BS$2&lt;&gt;0,TblTech[[#This Row],[Hour]:[Hour]]&gt;=BS$2),1,0)</f>
        <v>0</v>
      </c>
      <c r="BT113" s="276" cm="1">
        <f t="array" ref="BT113">IF(AND(BT$2&lt;&gt;0,TblTech[[#This Row],[Hour]:[Hour]]&gt;=BT$2),1,0)</f>
        <v>0</v>
      </c>
      <c r="BU113" s="276" cm="1">
        <f t="array" ref="BU113">IF(AND(BU$2&lt;&gt;0,TblTech[[#This Row],[Hour]:[Hour]]&gt;=BU$2),1,0)</f>
        <v>0</v>
      </c>
      <c r="BV113" s="276" cm="1">
        <f t="array" ref="BV113">IF(AND(BV$2&lt;&gt;0,TblTech[[#This Row],[Hour]:[Hour]]&gt;=BV$2),1,0)</f>
        <v>0</v>
      </c>
      <c r="BW113" s="276" cm="1">
        <f t="array" ref="BW113">IF(AND(BW$2&lt;&gt;0,TblTech[[#This Row],[Hour]:[Hour]]&gt;=BW$2),1,0)</f>
        <v>0</v>
      </c>
      <c r="BX113" s="276" cm="1">
        <f t="array" ref="BX113">IF(AND(BX$2&lt;&gt;0,TblTech[[#This Row],[Hour]:[Hour]]&gt;=BX$2),1,0)</f>
        <v>0</v>
      </c>
      <c r="BY113" s="276" cm="1">
        <f t="array" ref="BY113">IF(AND(BY$2&lt;&gt;0,TblTech[[#This Row],[Hour]:[Hour]]&gt;=BY$2),1,0)</f>
        <v>0</v>
      </c>
      <c r="BZ113" s="276" cm="1">
        <f t="array" ref="BZ113">IF(AND(BZ$2&lt;&gt;0,TblTech[[#This Row],[Hour]:[Hour]]&gt;=BZ$2),1,0)</f>
        <v>0</v>
      </c>
      <c r="CA113" s="377">
        <f>IFERROR(INDEX($H$4:$H$79,MATCH(INDEX(TblTech[[#Headers],[1-1]:[11-1]],1,MATCH(TblTech[[#This Row],[Hour]],$M$2:$BZ$2,0)),$G$4:$G$79,0)),)</f>
        <v>0</v>
      </c>
    </row>
    <row r="114" spans="1:79" x14ac:dyDescent="0.2">
      <c r="A114" s="268">
        <f>TblRezone[[#This Row],[Hour]]</f>
        <v>111</v>
      </c>
      <c r="B114" s="269">
        <f ca="1">TblExplore[[#This Row],[Land-DB]]</f>
        <v>50</v>
      </c>
      <c r="C114" s="270">
        <f ca="1">TblProd[[#This Row],[Techpoints]]</f>
        <v>0</v>
      </c>
      <c r="D114" s="270">
        <f ca="1">TblProd[[#This Row],[Required]]</f>
        <v>3750</v>
      </c>
      <c r="E114" s="279"/>
      <c r="F114" s="280"/>
      <c r="G114" s="273"/>
      <c r="H114" s="274"/>
      <c r="I114" s="274"/>
      <c r="J114" s="274"/>
      <c r="K114" s="93">
        <f ca="1">IF(TblTech[[#This Row],[Sum of tech]]&lt;&gt;OFFSET(TblTech[[#This Row],[Sum of tech]],-1,0),1,0)</f>
        <v>0</v>
      </c>
      <c r="L114" s="275">
        <f>COUNTIF(TblTech[[#This Row],[1-1]:[11-1]],1)</f>
        <v>0</v>
      </c>
      <c r="M114" s="276" cm="1">
        <f t="array" ref="M114">IF(AND(M$2&lt;&gt;0,TblTech[[#This Row],[Hour]:[Hour]]&gt;=M$2),1,0)</f>
        <v>0</v>
      </c>
      <c r="N114" s="276" cm="1">
        <f t="array" ref="N114">IF(AND(N$2&lt;&gt;0,TblTech[[#This Row],[Hour]:[Hour]]&gt;=N$2),1,0)</f>
        <v>0</v>
      </c>
      <c r="O114" s="276" cm="1">
        <f t="array" ref="O114">IF(AND(O$2&lt;&gt;0,TblTech[[#This Row],[Hour]:[Hour]]&gt;=O$2),1,0)</f>
        <v>0</v>
      </c>
      <c r="P114" s="276" cm="1">
        <f t="array" ref="P114">IF(AND(P$2&lt;&gt;0,TblTech[[#This Row],[Hour]:[Hour]]&gt;=P$2),1,0)</f>
        <v>0</v>
      </c>
      <c r="Q114" s="276" cm="1">
        <f t="array" ref="Q114">IF(AND(Q$2&lt;&gt;0,TblTech[[#This Row],[Hour]:[Hour]]&gt;=Q$2),1,0)</f>
        <v>0</v>
      </c>
      <c r="R114" s="276" cm="1">
        <f t="array" ref="R114">IF(AND(R$2&lt;&gt;0,TblTech[[#This Row],[Hour]:[Hour]]&gt;=R$2),1,0)</f>
        <v>0</v>
      </c>
      <c r="S114" s="276" cm="1">
        <f t="array" ref="S114">IF(AND(S$2&lt;&gt;0,TblTech[[#This Row],[Hour]:[Hour]]&gt;=S$2),1,0)</f>
        <v>0</v>
      </c>
      <c r="T114" s="276" cm="1">
        <f t="array" ref="T114">IF(AND(T$2&lt;&gt;0,TblTech[[#This Row],[Hour]:[Hour]]&gt;=T$2),1,0)</f>
        <v>0</v>
      </c>
      <c r="U114" s="276" cm="1">
        <f t="array" ref="U114">IF(AND(U$2&lt;&gt;0,TblTech[[#This Row],[Hour]:[Hour]]&gt;=U$2),1,0)</f>
        <v>0</v>
      </c>
      <c r="V114" s="276" cm="1">
        <f t="array" ref="V114">IF(AND(V$2&lt;&gt;0,TblTech[[#This Row],[Hour]:[Hour]]&gt;=V$2),1,0)</f>
        <v>0</v>
      </c>
      <c r="W114" s="276" cm="1">
        <f t="array" ref="W114">IF(AND(W$2&lt;&gt;0,TblTech[[#This Row],[Hour]:[Hour]]&gt;=W$2),1,0)</f>
        <v>0</v>
      </c>
      <c r="X114" s="276" cm="1">
        <f t="array" ref="X114">IF(AND(X$2&lt;&gt;0,TblTech[[#This Row],[Hour]:[Hour]]&gt;=X$2),1,0)</f>
        <v>0</v>
      </c>
      <c r="Y114" s="276" cm="1">
        <f t="array" ref="Y114">IF(AND(Y$2&lt;&gt;0,TblTech[[#This Row],[Hour]:[Hour]]&gt;=Y$2),1,0)</f>
        <v>0</v>
      </c>
      <c r="Z114" s="276" cm="1">
        <f t="array" ref="Z114">IF(AND(Z$2&lt;&gt;0,TblTech[[#This Row],[Hour]:[Hour]]&gt;=Z$2),1,0)</f>
        <v>0</v>
      </c>
      <c r="AA114" s="276" cm="1">
        <f t="array" ref="AA114">IF(AND(AA$2&lt;&gt;0,TblTech[[#This Row],[Hour]:[Hour]]&gt;=AA$2),1,0)</f>
        <v>0</v>
      </c>
      <c r="AB114" s="276" cm="1">
        <f t="array" ref="AB114">IF(AND(AB$2&lt;&gt;0,TblTech[[#This Row],[Hour]:[Hour]]&gt;=AB$2),1,0)</f>
        <v>0</v>
      </c>
      <c r="AC114" s="276" cm="1">
        <f t="array" ref="AC114">IF(AND(AC$2&lt;&gt;0,TblTech[[#This Row],[Hour]:[Hour]]&gt;=AC$2),1,0)</f>
        <v>0</v>
      </c>
      <c r="AD114" s="276" cm="1">
        <f t="array" ref="AD114">IF(AND(AD$2&lt;&gt;0,TblTech[[#This Row],[Hour]:[Hour]]&gt;=AD$2),1,0)</f>
        <v>0</v>
      </c>
      <c r="AE114" s="276" cm="1">
        <f t="array" ref="AE114">IF(AND(AE$2&lt;&gt;0,TblTech[[#This Row],[Hour]:[Hour]]&gt;=AE$2),1,0)</f>
        <v>0</v>
      </c>
      <c r="AF114" s="276" cm="1">
        <f t="array" ref="AF114">IF(AND(AF$2&lt;&gt;0,TblTech[[#This Row],[Hour]:[Hour]]&gt;=AF$2),1,0)</f>
        <v>0</v>
      </c>
      <c r="AG114" s="276" cm="1">
        <f t="array" ref="AG114">IF(AND(AG$2&lt;&gt;0,TblTech[[#This Row],[Hour]:[Hour]]&gt;=AG$2),1,0)</f>
        <v>0</v>
      </c>
      <c r="AH114" s="276" cm="1">
        <f t="array" ref="AH114">IF(AND(AH$2&lt;&gt;0,TblTech[[#This Row],[Hour]:[Hour]]&gt;=AH$2),1,0)</f>
        <v>0</v>
      </c>
      <c r="AI114" s="276" cm="1">
        <f t="array" ref="AI114">IF(AND(AI$2&lt;&gt;0,TblTech[[#This Row],[Hour]:[Hour]]&gt;=AI$2),1,0)</f>
        <v>0</v>
      </c>
      <c r="AJ114" s="276" cm="1">
        <f t="array" ref="AJ114">IF(AND(AJ$2&lt;&gt;0,TblTech[[#This Row],[Hour]:[Hour]]&gt;=AJ$2),1,0)</f>
        <v>0</v>
      </c>
      <c r="AK114" s="276" cm="1">
        <f t="array" ref="AK114">IF(AND(AK$2&lt;&gt;0,TblTech[[#This Row],[Hour]:[Hour]]&gt;=AK$2),1,0)</f>
        <v>0</v>
      </c>
      <c r="AL114" s="276" cm="1">
        <f t="array" ref="AL114">IF(AND(AL$2&lt;&gt;0,TblTech[[#This Row],[Hour]:[Hour]]&gt;=AL$2),1,0)</f>
        <v>0</v>
      </c>
      <c r="AM114" s="276" cm="1">
        <f t="array" ref="AM114">IF(AND(AM$2&lt;&gt;0,TblTech[[#This Row],[Hour]:[Hour]]&gt;=AM$2),1,0)</f>
        <v>0</v>
      </c>
      <c r="AN114" s="276" cm="1">
        <f t="array" ref="AN114">IF(AND(AN$2&lt;&gt;0,TblTech[[#This Row],[Hour]:[Hour]]&gt;=AN$2),1,0)</f>
        <v>0</v>
      </c>
      <c r="AO114" s="276" cm="1">
        <f t="array" ref="AO114">IF(AND(AO$2&lt;&gt;0,TblTech[[#This Row],[Hour]:[Hour]]&gt;=AO$2),1,0)</f>
        <v>0</v>
      </c>
      <c r="AP114" s="276" cm="1">
        <f t="array" ref="AP114">IF(AND(AP$2&lt;&gt;0,TblTech[[#This Row],[Hour]:[Hour]]&gt;=AP$2),1,0)</f>
        <v>0</v>
      </c>
      <c r="AQ114" s="276" cm="1">
        <f t="array" ref="AQ114">IF(AND(AQ$2&lt;&gt;0,TblTech[[#This Row],[Hour]:[Hour]]&gt;=AQ$2),1,0)</f>
        <v>0</v>
      </c>
      <c r="AR114" s="276" cm="1">
        <f t="array" ref="AR114">IF(AND(AR$2&lt;&gt;0,TblTech[[#This Row],[Hour]:[Hour]]&gt;=AR$2),1,0)</f>
        <v>0</v>
      </c>
      <c r="AS114" s="276" cm="1">
        <f t="array" ref="AS114">IF(AND(AS$2&lt;&gt;0,TblTech[[#This Row],[Hour]:[Hour]]&gt;=AS$2),1,0)</f>
        <v>0</v>
      </c>
      <c r="AT114" s="276" cm="1">
        <f t="array" ref="AT114">IF(AND(AT$2&lt;&gt;0,TblTech[[#This Row],[Hour]:[Hour]]&gt;=AT$2),1,0)</f>
        <v>0</v>
      </c>
      <c r="AU114" s="276" cm="1">
        <f t="array" ref="AU114">IF(AND(AU$2&lt;&gt;0,TblTech[[#This Row],[Hour]:[Hour]]&gt;=AU$2),1,0)</f>
        <v>0</v>
      </c>
      <c r="AV114" s="276" cm="1">
        <f t="array" ref="AV114">IF(AND(AV$2&lt;&gt;0,TblTech[[#This Row],[Hour]:[Hour]]&gt;=AV$2),1,0)</f>
        <v>0</v>
      </c>
      <c r="AW114" s="276" cm="1">
        <f t="array" ref="AW114">IF(AND(AW$2&lt;&gt;0,TblTech[[#This Row],[Hour]:[Hour]]&gt;=AW$2),1,0)</f>
        <v>0</v>
      </c>
      <c r="AX114" s="276" cm="1">
        <f t="array" ref="AX114">IF(AND(AX$2&lt;&gt;0,TblTech[[#This Row],[Hour]:[Hour]]&gt;=AX$2),1,0)</f>
        <v>0</v>
      </c>
      <c r="AY114" s="276" cm="1">
        <f t="array" ref="AY114">IF(AND(AY$2&lt;&gt;0,TblTech[[#This Row],[Hour]:[Hour]]&gt;=AY$2),1,0)</f>
        <v>0</v>
      </c>
      <c r="AZ114" s="276" cm="1">
        <f t="array" ref="AZ114">IF(AND(AZ$2&lt;&gt;0,TblTech[[#This Row],[Hour]:[Hour]]&gt;=AZ$2),1,0)</f>
        <v>0</v>
      </c>
      <c r="BA114" s="276" cm="1">
        <f t="array" ref="BA114">IF(AND(BA$2&lt;&gt;0,TblTech[[#This Row],[Hour]:[Hour]]&gt;=BA$2),1,0)</f>
        <v>0</v>
      </c>
      <c r="BB114" s="276" cm="1">
        <f t="array" ref="BB114">IF(AND(BB$2&lt;&gt;0,TblTech[[#This Row],[Hour]:[Hour]]&gt;=BB$2),1,0)</f>
        <v>0</v>
      </c>
      <c r="BC114" s="276" cm="1">
        <f t="array" ref="BC114">IF(AND(BC$2&lt;&gt;0,TblTech[[#This Row],[Hour]:[Hour]]&gt;=BC$2),1,0)</f>
        <v>0</v>
      </c>
      <c r="BD114" s="276" cm="1">
        <f t="array" ref="BD114">IF(AND(BD$2&lt;&gt;0,TblTech[[#This Row],[Hour]:[Hour]]&gt;=BD$2),1,0)</f>
        <v>0</v>
      </c>
      <c r="BE114" s="276" cm="1">
        <f t="array" ref="BE114">IF(AND(BE$2&lt;&gt;0,TblTech[[#This Row],[Hour]:[Hour]]&gt;=BE$2),1,0)</f>
        <v>0</v>
      </c>
      <c r="BF114" s="276" cm="1">
        <f t="array" ref="BF114">IF(AND(BF$2&lt;&gt;0,TblTech[[#This Row],[Hour]:[Hour]]&gt;=BF$2),1,0)</f>
        <v>0</v>
      </c>
      <c r="BG114" s="276" cm="1">
        <f t="array" ref="BG114">IF(AND(BG$2&lt;&gt;0,TblTech[[#This Row],[Hour]:[Hour]]&gt;=BG$2),1,0)</f>
        <v>0</v>
      </c>
      <c r="BH114" s="276" cm="1">
        <f t="array" ref="BH114">IF(AND(BH$2&lt;&gt;0,TblTech[[#This Row],[Hour]:[Hour]]&gt;=BH$2),1,0)</f>
        <v>0</v>
      </c>
      <c r="BI114" s="276" cm="1">
        <f t="array" ref="BI114">IF(AND(BI$2&lt;&gt;0,TblTech[[#This Row],[Hour]:[Hour]]&gt;=BI$2),1,0)</f>
        <v>0</v>
      </c>
      <c r="BJ114" s="276" cm="1">
        <f t="array" ref="BJ114">IF(AND(BJ$2&lt;&gt;0,TblTech[[#This Row],[Hour]:[Hour]]&gt;=BJ$2),1,0)</f>
        <v>0</v>
      </c>
      <c r="BK114" s="276" cm="1">
        <f t="array" ref="BK114">IF(AND(BK$2&lt;&gt;0,TblTech[[#This Row],[Hour]:[Hour]]&gt;=BK$2),1,0)</f>
        <v>0</v>
      </c>
      <c r="BL114" s="276" cm="1">
        <f t="array" ref="BL114">IF(AND(BL$2&lt;&gt;0,TblTech[[#This Row],[Hour]:[Hour]]&gt;=BL$2),1,0)</f>
        <v>0</v>
      </c>
      <c r="BM114" s="276" cm="1">
        <f t="array" ref="BM114">IF(AND(BM$2&lt;&gt;0,TblTech[[#This Row],[Hour]:[Hour]]&gt;=BM$2),1,0)</f>
        <v>0</v>
      </c>
      <c r="BN114" s="276" cm="1">
        <f t="array" ref="BN114">IF(AND(BN$2&lt;&gt;0,TblTech[[#This Row],[Hour]:[Hour]]&gt;=BN$2),1,0)</f>
        <v>0</v>
      </c>
      <c r="BO114" s="276" cm="1">
        <f t="array" ref="BO114">IF(AND(BO$2&lt;&gt;0,TblTech[[#This Row],[Hour]:[Hour]]&gt;=BO$2),1,0)</f>
        <v>0</v>
      </c>
      <c r="BP114" s="276" cm="1">
        <f t="array" ref="BP114">IF(AND(BP$2&lt;&gt;0,TblTech[[#This Row],[Hour]:[Hour]]&gt;=BP$2),1,0)</f>
        <v>0</v>
      </c>
      <c r="BQ114" s="276" cm="1">
        <f t="array" ref="BQ114">IF(AND(BQ$2&lt;&gt;0,TblTech[[#This Row],[Hour]:[Hour]]&gt;=BQ$2),1,0)</f>
        <v>0</v>
      </c>
      <c r="BR114" s="276" cm="1">
        <f t="array" ref="BR114">IF(AND(BR$2&lt;&gt;0,TblTech[[#This Row],[Hour]:[Hour]]&gt;=BR$2),1,0)</f>
        <v>0</v>
      </c>
      <c r="BS114" s="276" cm="1">
        <f t="array" ref="BS114">IF(AND(BS$2&lt;&gt;0,TblTech[[#This Row],[Hour]:[Hour]]&gt;=BS$2),1,0)</f>
        <v>0</v>
      </c>
      <c r="BT114" s="276" cm="1">
        <f t="array" ref="BT114">IF(AND(BT$2&lt;&gt;0,TblTech[[#This Row],[Hour]:[Hour]]&gt;=BT$2),1,0)</f>
        <v>0</v>
      </c>
      <c r="BU114" s="276" cm="1">
        <f t="array" ref="BU114">IF(AND(BU$2&lt;&gt;0,TblTech[[#This Row],[Hour]:[Hour]]&gt;=BU$2),1,0)</f>
        <v>0</v>
      </c>
      <c r="BV114" s="276" cm="1">
        <f t="array" ref="BV114">IF(AND(BV$2&lt;&gt;0,TblTech[[#This Row],[Hour]:[Hour]]&gt;=BV$2),1,0)</f>
        <v>0</v>
      </c>
      <c r="BW114" s="276" cm="1">
        <f t="array" ref="BW114">IF(AND(BW$2&lt;&gt;0,TblTech[[#This Row],[Hour]:[Hour]]&gt;=BW$2),1,0)</f>
        <v>0</v>
      </c>
      <c r="BX114" s="276" cm="1">
        <f t="array" ref="BX114">IF(AND(BX$2&lt;&gt;0,TblTech[[#This Row],[Hour]:[Hour]]&gt;=BX$2),1,0)</f>
        <v>0</v>
      </c>
      <c r="BY114" s="276" cm="1">
        <f t="array" ref="BY114">IF(AND(BY$2&lt;&gt;0,TblTech[[#This Row],[Hour]:[Hour]]&gt;=BY$2),1,0)</f>
        <v>0</v>
      </c>
      <c r="BZ114" s="276" cm="1">
        <f t="array" ref="BZ114">IF(AND(BZ$2&lt;&gt;0,TblTech[[#This Row],[Hour]:[Hour]]&gt;=BZ$2),1,0)</f>
        <v>0</v>
      </c>
      <c r="CA114" s="377">
        <f>IFERROR(INDEX($H$4:$H$79,MATCH(INDEX(TblTech[[#Headers],[1-1]:[11-1]],1,MATCH(TblTech[[#This Row],[Hour]],$M$2:$BZ$2,0)),$G$4:$G$79,0)),)</f>
        <v>0</v>
      </c>
    </row>
    <row r="115" spans="1:79" x14ac:dyDescent="0.2">
      <c r="A115" s="268">
        <f>TblRezone[[#This Row],[Hour]]</f>
        <v>112</v>
      </c>
      <c r="B115" s="269">
        <f ca="1">TblExplore[[#This Row],[Land-DB]]</f>
        <v>50</v>
      </c>
      <c r="C115" s="270">
        <f ca="1">TblProd[[#This Row],[Techpoints]]</f>
        <v>0</v>
      </c>
      <c r="D115" s="270">
        <f ca="1">TblProd[[#This Row],[Required]]</f>
        <v>3750</v>
      </c>
      <c r="E115" s="279"/>
      <c r="F115" s="280"/>
      <c r="G115" s="273"/>
      <c r="H115" s="274"/>
      <c r="I115" s="274"/>
      <c r="J115" s="274"/>
      <c r="K115" s="93">
        <f ca="1">IF(TblTech[[#This Row],[Sum of tech]]&lt;&gt;OFFSET(TblTech[[#This Row],[Sum of tech]],-1,0),1,0)</f>
        <v>0</v>
      </c>
      <c r="L115" s="275">
        <f>COUNTIF(TblTech[[#This Row],[1-1]:[11-1]],1)</f>
        <v>0</v>
      </c>
      <c r="M115" s="276" cm="1">
        <f t="array" ref="M115">IF(AND(M$2&lt;&gt;0,TblTech[[#This Row],[Hour]:[Hour]]&gt;=M$2),1,0)</f>
        <v>0</v>
      </c>
      <c r="N115" s="276" cm="1">
        <f t="array" ref="N115">IF(AND(N$2&lt;&gt;0,TblTech[[#This Row],[Hour]:[Hour]]&gt;=N$2),1,0)</f>
        <v>0</v>
      </c>
      <c r="O115" s="276" cm="1">
        <f t="array" ref="O115">IF(AND(O$2&lt;&gt;0,TblTech[[#This Row],[Hour]:[Hour]]&gt;=O$2),1,0)</f>
        <v>0</v>
      </c>
      <c r="P115" s="276" cm="1">
        <f t="array" ref="P115">IF(AND(P$2&lt;&gt;0,TblTech[[#This Row],[Hour]:[Hour]]&gt;=P$2),1,0)</f>
        <v>0</v>
      </c>
      <c r="Q115" s="276" cm="1">
        <f t="array" ref="Q115">IF(AND(Q$2&lt;&gt;0,TblTech[[#This Row],[Hour]:[Hour]]&gt;=Q$2),1,0)</f>
        <v>0</v>
      </c>
      <c r="R115" s="276" cm="1">
        <f t="array" ref="R115">IF(AND(R$2&lt;&gt;0,TblTech[[#This Row],[Hour]:[Hour]]&gt;=R$2),1,0)</f>
        <v>0</v>
      </c>
      <c r="S115" s="276" cm="1">
        <f t="array" ref="S115">IF(AND(S$2&lt;&gt;0,TblTech[[#This Row],[Hour]:[Hour]]&gt;=S$2),1,0)</f>
        <v>0</v>
      </c>
      <c r="T115" s="276" cm="1">
        <f t="array" ref="T115">IF(AND(T$2&lt;&gt;0,TblTech[[#This Row],[Hour]:[Hour]]&gt;=T$2),1,0)</f>
        <v>0</v>
      </c>
      <c r="U115" s="276" cm="1">
        <f t="array" ref="U115">IF(AND(U$2&lt;&gt;0,TblTech[[#This Row],[Hour]:[Hour]]&gt;=U$2),1,0)</f>
        <v>0</v>
      </c>
      <c r="V115" s="276" cm="1">
        <f t="array" ref="V115">IF(AND(V$2&lt;&gt;0,TblTech[[#This Row],[Hour]:[Hour]]&gt;=V$2),1,0)</f>
        <v>0</v>
      </c>
      <c r="W115" s="276" cm="1">
        <f t="array" ref="W115">IF(AND(W$2&lt;&gt;0,TblTech[[#This Row],[Hour]:[Hour]]&gt;=W$2),1,0)</f>
        <v>0</v>
      </c>
      <c r="X115" s="276" cm="1">
        <f t="array" ref="X115">IF(AND(X$2&lt;&gt;0,TblTech[[#This Row],[Hour]:[Hour]]&gt;=X$2),1,0)</f>
        <v>0</v>
      </c>
      <c r="Y115" s="276" cm="1">
        <f t="array" ref="Y115">IF(AND(Y$2&lt;&gt;0,TblTech[[#This Row],[Hour]:[Hour]]&gt;=Y$2),1,0)</f>
        <v>0</v>
      </c>
      <c r="Z115" s="276" cm="1">
        <f t="array" ref="Z115">IF(AND(Z$2&lt;&gt;0,TblTech[[#This Row],[Hour]:[Hour]]&gt;=Z$2),1,0)</f>
        <v>0</v>
      </c>
      <c r="AA115" s="276" cm="1">
        <f t="array" ref="AA115">IF(AND(AA$2&lt;&gt;0,TblTech[[#This Row],[Hour]:[Hour]]&gt;=AA$2),1,0)</f>
        <v>0</v>
      </c>
      <c r="AB115" s="276" cm="1">
        <f t="array" ref="AB115">IF(AND(AB$2&lt;&gt;0,TblTech[[#This Row],[Hour]:[Hour]]&gt;=AB$2),1,0)</f>
        <v>0</v>
      </c>
      <c r="AC115" s="276" cm="1">
        <f t="array" ref="AC115">IF(AND(AC$2&lt;&gt;0,TblTech[[#This Row],[Hour]:[Hour]]&gt;=AC$2),1,0)</f>
        <v>0</v>
      </c>
      <c r="AD115" s="276" cm="1">
        <f t="array" ref="AD115">IF(AND(AD$2&lt;&gt;0,TblTech[[#This Row],[Hour]:[Hour]]&gt;=AD$2),1,0)</f>
        <v>0</v>
      </c>
      <c r="AE115" s="276" cm="1">
        <f t="array" ref="AE115">IF(AND(AE$2&lt;&gt;0,TblTech[[#This Row],[Hour]:[Hour]]&gt;=AE$2),1,0)</f>
        <v>0</v>
      </c>
      <c r="AF115" s="276" cm="1">
        <f t="array" ref="AF115">IF(AND(AF$2&lt;&gt;0,TblTech[[#This Row],[Hour]:[Hour]]&gt;=AF$2),1,0)</f>
        <v>0</v>
      </c>
      <c r="AG115" s="276" cm="1">
        <f t="array" ref="AG115">IF(AND(AG$2&lt;&gt;0,TblTech[[#This Row],[Hour]:[Hour]]&gt;=AG$2),1,0)</f>
        <v>0</v>
      </c>
      <c r="AH115" s="276" cm="1">
        <f t="array" ref="AH115">IF(AND(AH$2&lt;&gt;0,TblTech[[#This Row],[Hour]:[Hour]]&gt;=AH$2),1,0)</f>
        <v>0</v>
      </c>
      <c r="AI115" s="276" cm="1">
        <f t="array" ref="AI115">IF(AND(AI$2&lt;&gt;0,TblTech[[#This Row],[Hour]:[Hour]]&gt;=AI$2),1,0)</f>
        <v>0</v>
      </c>
      <c r="AJ115" s="276" cm="1">
        <f t="array" ref="AJ115">IF(AND(AJ$2&lt;&gt;0,TblTech[[#This Row],[Hour]:[Hour]]&gt;=AJ$2),1,0)</f>
        <v>0</v>
      </c>
      <c r="AK115" s="276" cm="1">
        <f t="array" ref="AK115">IF(AND(AK$2&lt;&gt;0,TblTech[[#This Row],[Hour]:[Hour]]&gt;=AK$2),1,0)</f>
        <v>0</v>
      </c>
      <c r="AL115" s="276" cm="1">
        <f t="array" ref="AL115">IF(AND(AL$2&lt;&gt;0,TblTech[[#This Row],[Hour]:[Hour]]&gt;=AL$2),1,0)</f>
        <v>0</v>
      </c>
      <c r="AM115" s="276" cm="1">
        <f t="array" ref="AM115">IF(AND(AM$2&lt;&gt;0,TblTech[[#This Row],[Hour]:[Hour]]&gt;=AM$2),1,0)</f>
        <v>0</v>
      </c>
      <c r="AN115" s="276" cm="1">
        <f t="array" ref="AN115">IF(AND(AN$2&lt;&gt;0,TblTech[[#This Row],[Hour]:[Hour]]&gt;=AN$2),1,0)</f>
        <v>0</v>
      </c>
      <c r="AO115" s="276" cm="1">
        <f t="array" ref="AO115">IF(AND(AO$2&lt;&gt;0,TblTech[[#This Row],[Hour]:[Hour]]&gt;=AO$2),1,0)</f>
        <v>0</v>
      </c>
      <c r="AP115" s="276" cm="1">
        <f t="array" ref="AP115">IF(AND(AP$2&lt;&gt;0,TblTech[[#This Row],[Hour]:[Hour]]&gt;=AP$2),1,0)</f>
        <v>0</v>
      </c>
      <c r="AQ115" s="276" cm="1">
        <f t="array" ref="AQ115">IF(AND(AQ$2&lt;&gt;0,TblTech[[#This Row],[Hour]:[Hour]]&gt;=AQ$2),1,0)</f>
        <v>0</v>
      </c>
      <c r="AR115" s="276" cm="1">
        <f t="array" ref="AR115">IF(AND(AR$2&lt;&gt;0,TblTech[[#This Row],[Hour]:[Hour]]&gt;=AR$2),1,0)</f>
        <v>0</v>
      </c>
      <c r="AS115" s="276" cm="1">
        <f t="array" ref="AS115">IF(AND(AS$2&lt;&gt;0,TblTech[[#This Row],[Hour]:[Hour]]&gt;=AS$2),1,0)</f>
        <v>0</v>
      </c>
      <c r="AT115" s="276" cm="1">
        <f t="array" ref="AT115">IF(AND(AT$2&lt;&gt;0,TblTech[[#This Row],[Hour]:[Hour]]&gt;=AT$2),1,0)</f>
        <v>0</v>
      </c>
      <c r="AU115" s="276" cm="1">
        <f t="array" ref="AU115">IF(AND(AU$2&lt;&gt;0,TblTech[[#This Row],[Hour]:[Hour]]&gt;=AU$2),1,0)</f>
        <v>0</v>
      </c>
      <c r="AV115" s="276" cm="1">
        <f t="array" ref="AV115">IF(AND(AV$2&lt;&gt;0,TblTech[[#This Row],[Hour]:[Hour]]&gt;=AV$2),1,0)</f>
        <v>0</v>
      </c>
      <c r="AW115" s="276" cm="1">
        <f t="array" ref="AW115">IF(AND(AW$2&lt;&gt;0,TblTech[[#This Row],[Hour]:[Hour]]&gt;=AW$2),1,0)</f>
        <v>0</v>
      </c>
      <c r="AX115" s="276" cm="1">
        <f t="array" ref="AX115">IF(AND(AX$2&lt;&gt;0,TblTech[[#This Row],[Hour]:[Hour]]&gt;=AX$2),1,0)</f>
        <v>0</v>
      </c>
      <c r="AY115" s="276" cm="1">
        <f t="array" ref="AY115">IF(AND(AY$2&lt;&gt;0,TblTech[[#This Row],[Hour]:[Hour]]&gt;=AY$2),1,0)</f>
        <v>0</v>
      </c>
      <c r="AZ115" s="276" cm="1">
        <f t="array" ref="AZ115">IF(AND(AZ$2&lt;&gt;0,TblTech[[#This Row],[Hour]:[Hour]]&gt;=AZ$2),1,0)</f>
        <v>0</v>
      </c>
      <c r="BA115" s="276" cm="1">
        <f t="array" ref="BA115">IF(AND(BA$2&lt;&gt;0,TblTech[[#This Row],[Hour]:[Hour]]&gt;=BA$2),1,0)</f>
        <v>0</v>
      </c>
      <c r="BB115" s="276" cm="1">
        <f t="array" ref="BB115">IF(AND(BB$2&lt;&gt;0,TblTech[[#This Row],[Hour]:[Hour]]&gt;=BB$2),1,0)</f>
        <v>0</v>
      </c>
      <c r="BC115" s="276" cm="1">
        <f t="array" ref="BC115">IF(AND(BC$2&lt;&gt;0,TblTech[[#This Row],[Hour]:[Hour]]&gt;=BC$2),1,0)</f>
        <v>0</v>
      </c>
      <c r="BD115" s="276" cm="1">
        <f t="array" ref="BD115">IF(AND(BD$2&lt;&gt;0,TblTech[[#This Row],[Hour]:[Hour]]&gt;=BD$2),1,0)</f>
        <v>0</v>
      </c>
      <c r="BE115" s="276" cm="1">
        <f t="array" ref="BE115">IF(AND(BE$2&lt;&gt;0,TblTech[[#This Row],[Hour]:[Hour]]&gt;=BE$2),1,0)</f>
        <v>0</v>
      </c>
      <c r="BF115" s="276" cm="1">
        <f t="array" ref="BF115">IF(AND(BF$2&lt;&gt;0,TblTech[[#This Row],[Hour]:[Hour]]&gt;=BF$2),1,0)</f>
        <v>0</v>
      </c>
      <c r="BG115" s="276" cm="1">
        <f t="array" ref="BG115">IF(AND(BG$2&lt;&gt;0,TblTech[[#This Row],[Hour]:[Hour]]&gt;=BG$2),1,0)</f>
        <v>0</v>
      </c>
      <c r="BH115" s="276" cm="1">
        <f t="array" ref="BH115">IF(AND(BH$2&lt;&gt;0,TblTech[[#This Row],[Hour]:[Hour]]&gt;=BH$2),1,0)</f>
        <v>0</v>
      </c>
      <c r="BI115" s="276" cm="1">
        <f t="array" ref="BI115">IF(AND(BI$2&lt;&gt;0,TblTech[[#This Row],[Hour]:[Hour]]&gt;=BI$2),1,0)</f>
        <v>0</v>
      </c>
      <c r="BJ115" s="276" cm="1">
        <f t="array" ref="BJ115">IF(AND(BJ$2&lt;&gt;0,TblTech[[#This Row],[Hour]:[Hour]]&gt;=BJ$2),1,0)</f>
        <v>0</v>
      </c>
      <c r="BK115" s="276" cm="1">
        <f t="array" ref="BK115">IF(AND(BK$2&lt;&gt;0,TblTech[[#This Row],[Hour]:[Hour]]&gt;=BK$2),1,0)</f>
        <v>0</v>
      </c>
      <c r="BL115" s="276" cm="1">
        <f t="array" ref="BL115">IF(AND(BL$2&lt;&gt;0,TblTech[[#This Row],[Hour]:[Hour]]&gt;=BL$2),1,0)</f>
        <v>0</v>
      </c>
      <c r="BM115" s="276" cm="1">
        <f t="array" ref="BM115">IF(AND(BM$2&lt;&gt;0,TblTech[[#This Row],[Hour]:[Hour]]&gt;=BM$2),1,0)</f>
        <v>0</v>
      </c>
      <c r="BN115" s="276" cm="1">
        <f t="array" ref="BN115">IF(AND(BN$2&lt;&gt;0,TblTech[[#This Row],[Hour]:[Hour]]&gt;=BN$2),1,0)</f>
        <v>0</v>
      </c>
      <c r="BO115" s="276" cm="1">
        <f t="array" ref="BO115">IF(AND(BO$2&lt;&gt;0,TblTech[[#This Row],[Hour]:[Hour]]&gt;=BO$2),1,0)</f>
        <v>0</v>
      </c>
      <c r="BP115" s="276" cm="1">
        <f t="array" ref="BP115">IF(AND(BP$2&lt;&gt;0,TblTech[[#This Row],[Hour]:[Hour]]&gt;=BP$2),1,0)</f>
        <v>0</v>
      </c>
      <c r="BQ115" s="276" cm="1">
        <f t="array" ref="BQ115">IF(AND(BQ$2&lt;&gt;0,TblTech[[#This Row],[Hour]:[Hour]]&gt;=BQ$2),1,0)</f>
        <v>0</v>
      </c>
      <c r="BR115" s="276" cm="1">
        <f t="array" ref="BR115">IF(AND(BR$2&lt;&gt;0,TblTech[[#This Row],[Hour]:[Hour]]&gt;=BR$2),1,0)</f>
        <v>0</v>
      </c>
      <c r="BS115" s="276" cm="1">
        <f t="array" ref="BS115">IF(AND(BS$2&lt;&gt;0,TblTech[[#This Row],[Hour]:[Hour]]&gt;=BS$2),1,0)</f>
        <v>0</v>
      </c>
      <c r="BT115" s="276" cm="1">
        <f t="array" ref="BT115">IF(AND(BT$2&lt;&gt;0,TblTech[[#This Row],[Hour]:[Hour]]&gt;=BT$2),1,0)</f>
        <v>0</v>
      </c>
      <c r="BU115" s="276" cm="1">
        <f t="array" ref="BU115">IF(AND(BU$2&lt;&gt;0,TblTech[[#This Row],[Hour]:[Hour]]&gt;=BU$2),1,0)</f>
        <v>0</v>
      </c>
      <c r="BV115" s="276" cm="1">
        <f t="array" ref="BV115">IF(AND(BV$2&lt;&gt;0,TblTech[[#This Row],[Hour]:[Hour]]&gt;=BV$2),1,0)</f>
        <v>0</v>
      </c>
      <c r="BW115" s="276" cm="1">
        <f t="array" ref="BW115">IF(AND(BW$2&lt;&gt;0,TblTech[[#This Row],[Hour]:[Hour]]&gt;=BW$2),1,0)</f>
        <v>0</v>
      </c>
      <c r="BX115" s="276" cm="1">
        <f t="array" ref="BX115">IF(AND(BX$2&lt;&gt;0,TblTech[[#This Row],[Hour]:[Hour]]&gt;=BX$2),1,0)</f>
        <v>0</v>
      </c>
      <c r="BY115" s="276" cm="1">
        <f t="array" ref="BY115">IF(AND(BY$2&lt;&gt;0,TblTech[[#This Row],[Hour]:[Hour]]&gt;=BY$2),1,0)</f>
        <v>0</v>
      </c>
      <c r="BZ115" s="276" cm="1">
        <f t="array" ref="BZ115">IF(AND(BZ$2&lt;&gt;0,TblTech[[#This Row],[Hour]:[Hour]]&gt;=BZ$2),1,0)</f>
        <v>0</v>
      </c>
      <c r="CA115" s="377">
        <f>IFERROR(INDEX($H$4:$H$79,MATCH(INDEX(TblTech[[#Headers],[1-1]:[11-1]],1,MATCH(TblTech[[#This Row],[Hour]],$M$2:$BZ$2,0)),$G$4:$G$79,0)),)</f>
        <v>0</v>
      </c>
    </row>
    <row r="116" spans="1:79" x14ac:dyDescent="0.2">
      <c r="A116" s="268">
        <f>TblRezone[[#This Row],[Hour]]</f>
        <v>113</v>
      </c>
      <c r="B116" s="269">
        <f ca="1">TblExplore[[#This Row],[Land-DB]]</f>
        <v>50</v>
      </c>
      <c r="C116" s="270">
        <f ca="1">TblProd[[#This Row],[Techpoints]]</f>
        <v>0</v>
      </c>
      <c r="D116" s="270">
        <f ca="1">TblProd[[#This Row],[Required]]</f>
        <v>3750</v>
      </c>
      <c r="E116" s="279"/>
      <c r="F116" s="280"/>
      <c r="G116" s="273"/>
      <c r="H116" s="274"/>
      <c r="I116" s="274"/>
      <c r="J116" s="274"/>
      <c r="K116" s="93">
        <f ca="1">IF(TblTech[[#This Row],[Sum of tech]]&lt;&gt;OFFSET(TblTech[[#This Row],[Sum of tech]],-1,0),1,0)</f>
        <v>0</v>
      </c>
      <c r="L116" s="275">
        <f>COUNTIF(TblTech[[#This Row],[1-1]:[11-1]],1)</f>
        <v>0</v>
      </c>
      <c r="M116" s="276" cm="1">
        <f t="array" ref="M116">IF(AND(M$2&lt;&gt;0,TblTech[[#This Row],[Hour]:[Hour]]&gt;=M$2),1,0)</f>
        <v>0</v>
      </c>
      <c r="N116" s="276" cm="1">
        <f t="array" ref="N116">IF(AND(N$2&lt;&gt;0,TblTech[[#This Row],[Hour]:[Hour]]&gt;=N$2),1,0)</f>
        <v>0</v>
      </c>
      <c r="O116" s="276" cm="1">
        <f t="array" ref="O116">IF(AND(O$2&lt;&gt;0,TblTech[[#This Row],[Hour]:[Hour]]&gt;=O$2),1,0)</f>
        <v>0</v>
      </c>
      <c r="P116" s="276" cm="1">
        <f t="array" ref="P116">IF(AND(P$2&lt;&gt;0,TblTech[[#This Row],[Hour]:[Hour]]&gt;=P$2),1,0)</f>
        <v>0</v>
      </c>
      <c r="Q116" s="276" cm="1">
        <f t="array" ref="Q116">IF(AND(Q$2&lt;&gt;0,TblTech[[#This Row],[Hour]:[Hour]]&gt;=Q$2),1,0)</f>
        <v>0</v>
      </c>
      <c r="R116" s="276" cm="1">
        <f t="array" ref="R116">IF(AND(R$2&lt;&gt;0,TblTech[[#This Row],[Hour]:[Hour]]&gt;=R$2),1,0)</f>
        <v>0</v>
      </c>
      <c r="S116" s="276" cm="1">
        <f t="array" ref="S116">IF(AND(S$2&lt;&gt;0,TblTech[[#This Row],[Hour]:[Hour]]&gt;=S$2),1,0)</f>
        <v>0</v>
      </c>
      <c r="T116" s="276" cm="1">
        <f t="array" ref="T116">IF(AND(T$2&lt;&gt;0,TblTech[[#This Row],[Hour]:[Hour]]&gt;=T$2),1,0)</f>
        <v>0</v>
      </c>
      <c r="U116" s="276" cm="1">
        <f t="array" ref="U116">IF(AND(U$2&lt;&gt;0,TblTech[[#This Row],[Hour]:[Hour]]&gt;=U$2),1,0)</f>
        <v>0</v>
      </c>
      <c r="V116" s="276" cm="1">
        <f t="array" ref="V116">IF(AND(V$2&lt;&gt;0,TblTech[[#This Row],[Hour]:[Hour]]&gt;=V$2),1,0)</f>
        <v>0</v>
      </c>
      <c r="W116" s="276" cm="1">
        <f t="array" ref="W116">IF(AND(W$2&lt;&gt;0,TblTech[[#This Row],[Hour]:[Hour]]&gt;=W$2),1,0)</f>
        <v>0</v>
      </c>
      <c r="X116" s="276" cm="1">
        <f t="array" ref="X116">IF(AND(X$2&lt;&gt;0,TblTech[[#This Row],[Hour]:[Hour]]&gt;=X$2),1,0)</f>
        <v>0</v>
      </c>
      <c r="Y116" s="276" cm="1">
        <f t="array" ref="Y116">IF(AND(Y$2&lt;&gt;0,TblTech[[#This Row],[Hour]:[Hour]]&gt;=Y$2),1,0)</f>
        <v>0</v>
      </c>
      <c r="Z116" s="276" cm="1">
        <f t="array" ref="Z116">IF(AND(Z$2&lt;&gt;0,TblTech[[#This Row],[Hour]:[Hour]]&gt;=Z$2),1,0)</f>
        <v>0</v>
      </c>
      <c r="AA116" s="276" cm="1">
        <f t="array" ref="AA116">IF(AND(AA$2&lt;&gt;0,TblTech[[#This Row],[Hour]:[Hour]]&gt;=AA$2),1,0)</f>
        <v>0</v>
      </c>
      <c r="AB116" s="276" cm="1">
        <f t="array" ref="AB116">IF(AND(AB$2&lt;&gt;0,TblTech[[#This Row],[Hour]:[Hour]]&gt;=AB$2),1,0)</f>
        <v>0</v>
      </c>
      <c r="AC116" s="276" cm="1">
        <f t="array" ref="AC116">IF(AND(AC$2&lt;&gt;0,TblTech[[#This Row],[Hour]:[Hour]]&gt;=AC$2),1,0)</f>
        <v>0</v>
      </c>
      <c r="AD116" s="276" cm="1">
        <f t="array" ref="AD116">IF(AND(AD$2&lt;&gt;0,TblTech[[#This Row],[Hour]:[Hour]]&gt;=AD$2),1,0)</f>
        <v>0</v>
      </c>
      <c r="AE116" s="276" cm="1">
        <f t="array" ref="AE116">IF(AND(AE$2&lt;&gt;0,TblTech[[#This Row],[Hour]:[Hour]]&gt;=AE$2),1,0)</f>
        <v>0</v>
      </c>
      <c r="AF116" s="276" cm="1">
        <f t="array" ref="AF116">IF(AND(AF$2&lt;&gt;0,TblTech[[#This Row],[Hour]:[Hour]]&gt;=AF$2),1,0)</f>
        <v>0</v>
      </c>
      <c r="AG116" s="276" cm="1">
        <f t="array" ref="AG116">IF(AND(AG$2&lt;&gt;0,TblTech[[#This Row],[Hour]:[Hour]]&gt;=AG$2),1,0)</f>
        <v>0</v>
      </c>
      <c r="AH116" s="276" cm="1">
        <f t="array" ref="AH116">IF(AND(AH$2&lt;&gt;0,TblTech[[#This Row],[Hour]:[Hour]]&gt;=AH$2),1,0)</f>
        <v>0</v>
      </c>
      <c r="AI116" s="276" cm="1">
        <f t="array" ref="AI116">IF(AND(AI$2&lt;&gt;0,TblTech[[#This Row],[Hour]:[Hour]]&gt;=AI$2),1,0)</f>
        <v>0</v>
      </c>
      <c r="AJ116" s="276" cm="1">
        <f t="array" ref="AJ116">IF(AND(AJ$2&lt;&gt;0,TblTech[[#This Row],[Hour]:[Hour]]&gt;=AJ$2),1,0)</f>
        <v>0</v>
      </c>
      <c r="AK116" s="276" cm="1">
        <f t="array" ref="AK116">IF(AND(AK$2&lt;&gt;0,TblTech[[#This Row],[Hour]:[Hour]]&gt;=AK$2),1,0)</f>
        <v>0</v>
      </c>
      <c r="AL116" s="276" cm="1">
        <f t="array" ref="AL116">IF(AND(AL$2&lt;&gt;0,TblTech[[#This Row],[Hour]:[Hour]]&gt;=AL$2),1,0)</f>
        <v>0</v>
      </c>
      <c r="AM116" s="276" cm="1">
        <f t="array" ref="AM116">IF(AND(AM$2&lt;&gt;0,TblTech[[#This Row],[Hour]:[Hour]]&gt;=AM$2),1,0)</f>
        <v>0</v>
      </c>
      <c r="AN116" s="276" cm="1">
        <f t="array" ref="AN116">IF(AND(AN$2&lt;&gt;0,TblTech[[#This Row],[Hour]:[Hour]]&gt;=AN$2),1,0)</f>
        <v>0</v>
      </c>
      <c r="AO116" s="276" cm="1">
        <f t="array" ref="AO116">IF(AND(AO$2&lt;&gt;0,TblTech[[#This Row],[Hour]:[Hour]]&gt;=AO$2),1,0)</f>
        <v>0</v>
      </c>
      <c r="AP116" s="276" cm="1">
        <f t="array" ref="AP116">IF(AND(AP$2&lt;&gt;0,TblTech[[#This Row],[Hour]:[Hour]]&gt;=AP$2),1,0)</f>
        <v>0</v>
      </c>
      <c r="AQ116" s="276" cm="1">
        <f t="array" ref="AQ116">IF(AND(AQ$2&lt;&gt;0,TblTech[[#This Row],[Hour]:[Hour]]&gt;=AQ$2),1,0)</f>
        <v>0</v>
      </c>
      <c r="AR116" s="276" cm="1">
        <f t="array" ref="AR116">IF(AND(AR$2&lt;&gt;0,TblTech[[#This Row],[Hour]:[Hour]]&gt;=AR$2),1,0)</f>
        <v>0</v>
      </c>
      <c r="AS116" s="276" cm="1">
        <f t="array" ref="AS116">IF(AND(AS$2&lt;&gt;0,TblTech[[#This Row],[Hour]:[Hour]]&gt;=AS$2),1,0)</f>
        <v>0</v>
      </c>
      <c r="AT116" s="276" cm="1">
        <f t="array" ref="AT116">IF(AND(AT$2&lt;&gt;0,TblTech[[#This Row],[Hour]:[Hour]]&gt;=AT$2),1,0)</f>
        <v>0</v>
      </c>
      <c r="AU116" s="276" cm="1">
        <f t="array" ref="AU116">IF(AND(AU$2&lt;&gt;0,TblTech[[#This Row],[Hour]:[Hour]]&gt;=AU$2),1,0)</f>
        <v>0</v>
      </c>
      <c r="AV116" s="276" cm="1">
        <f t="array" ref="AV116">IF(AND(AV$2&lt;&gt;0,TblTech[[#This Row],[Hour]:[Hour]]&gt;=AV$2),1,0)</f>
        <v>0</v>
      </c>
      <c r="AW116" s="276" cm="1">
        <f t="array" ref="AW116">IF(AND(AW$2&lt;&gt;0,TblTech[[#This Row],[Hour]:[Hour]]&gt;=AW$2),1,0)</f>
        <v>0</v>
      </c>
      <c r="AX116" s="276" cm="1">
        <f t="array" ref="AX116">IF(AND(AX$2&lt;&gt;0,TblTech[[#This Row],[Hour]:[Hour]]&gt;=AX$2),1,0)</f>
        <v>0</v>
      </c>
      <c r="AY116" s="276" cm="1">
        <f t="array" ref="AY116">IF(AND(AY$2&lt;&gt;0,TblTech[[#This Row],[Hour]:[Hour]]&gt;=AY$2),1,0)</f>
        <v>0</v>
      </c>
      <c r="AZ116" s="276" cm="1">
        <f t="array" ref="AZ116">IF(AND(AZ$2&lt;&gt;0,TblTech[[#This Row],[Hour]:[Hour]]&gt;=AZ$2),1,0)</f>
        <v>0</v>
      </c>
      <c r="BA116" s="276" cm="1">
        <f t="array" ref="BA116">IF(AND(BA$2&lt;&gt;0,TblTech[[#This Row],[Hour]:[Hour]]&gt;=BA$2),1,0)</f>
        <v>0</v>
      </c>
      <c r="BB116" s="276" cm="1">
        <f t="array" ref="BB116">IF(AND(BB$2&lt;&gt;0,TblTech[[#This Row],[Hour]:[Hour]]&gt;=BB$2),1,0)</f>
        <v>0</v>
      </c>
      <c r="BC116" s="276" cm="1">
        <f t="array" ref="BC116">IF(AND(BC$2&lt;&gt;0,TblTech[[#This Row],[Hour]:[Hour]]&gt;=BC$2),1,0)</f>
        <v>0</v>
      </c>
      <c r="BD116" s="276" cm="1">
        <f t="array" ref="BD116">IF(AND(BD$2&lt;&gt;0,TblTech[[#This Row],[Hour]:[Hour]]&gt;=BD$2),1,0)</f>
        <v>0</v>
      </c>
      <c r="BE116" s="276" cm="1">
        <f t="array" ref="BE116">IF(AND(BE$2&lt;&gt;0,TblTech[[#This Row],[Hour]:[Hour]]&gt;=BE$2),1,0)</f>
        <v>0</v>
      </c>
      <c r="BF116" s="276" cm="1">
        <f t="array" ref="BF116">IF(AND(BF$2&lt;&gt;0,TblTech[[#This Row],[Hour]:[Hour]]&gt;=BF$2),1,0)</f>
        <v>0</v>
      </c>
      <c r="BG116" s="276" cm="1">
        <f t="array" ref="BG116">IF(AND(BG$2&lt;&gt;0,TblTech[[#This Row],[Hour]:[Hour]]&gt;=BG$2),1,0)</f>
        <v>0</v>
      </c>
      <c r="BH116" s="276" cm="1">
        <f t="array" ref="BH116">IF(AND(BH$2&lt;&gt;0,TblTech[[#This Row],[Hour]:[Hour]]&gt;=BH$2),1,0)</f>
        <v>0</v>
      </c>
      <c r="BI116" s="276" cm="1">
        <f t="array" ref="BI116">IF(AND(BI$2&lt;&gt;0,TblTech[[#This Row],[Hour]:[Hour]]&gt;=BI$2),1,0)</f>
        <v>0</v>
      </c>
      <c r="BJ116" s="276" cm="1">
        <f t="array" ref="BJ116">IF(AND(BJ$2&lt;&gt;0,TblTech[[#This Row],[Hour]:[Hour]]&gt;=BJ$2),1,0)</f>
        <v>0</v>
      </c>
      <c r="BK116" s="276" cm="1">
        <f t="array" ref="BK116">IF(AND(BK$2&lt;&gt;0,TblTech[[#This Row],[Hour]:[Hour]]&gt;=BK$2),1,0)</f>
        <v>0</v>
      </c>
      <c r="BL116" s="276" cm="1">
        <f t="array" ref="BL116">IF(AND(BL$2&lt;&gt;0,TblTech[[#This Row],[Hour]:[Hour]]&gt;=BL$2),1,0)</f>
        <v>0</v>
      </c>
      <c r="BM116" s="276" cm="1">
        <f t="array" ref="BM116">IF(AND(BM$2&lt;&gt;0,TblTech[[#This Row],[Hour]:[Hour]]&gt;=BM$2),1,0)</f>
        <v>0</v>
      </c>
      <c r="BN116" s="276" cm="1">
        <f t="array" ref="BN116">IF(AND(BN$2&lt;&gt;0,TblTech[[#This Row],[Hour]:[Hour]]&gt;=BN$2),1,0)</f>
        <v>0</v>
      </c>
      <c r="BO116" s="276" cm="1">
        <f t="array" ref="BO116">IF(AND(BO$2&lt;&gt;0,TblTech[[#This Row],[Hour]:[Hour]]&gt;=BO$2),1,0)</f>
        <v>0</v>
      </c>
      <c r="BP116" s="276" cm="1">
        <f t="array" ref="BP116">IF(AND(BP$2&lt;&gt;0,TblTech[[#This Row],[Hour]:[Hour]]&gt;=BP$2),1,0)</f>
        <v>0</v>
      </c>
      <c r="BQ116" s="276" cm="1">
        <f t="array" ref="BQ116">IF(AND(BQ$2&lt;&gt;0,TblTech[[#This Row],[Hour]:[Hour]]&gt;=BQ$2),1,0)</f>
        <v>0</v>
      </c>
      <c r="BR116" s="276" cm="1">
        <f t="array" ref="BR116">IF(AND(BR$2&lt;&gt;0,TblTech[[#This Row],[Hour]:[Hour]]&gt;=BR$2),1,0)</f>
        <v>0</v>
      </c>
      <c r="BS116" s="276" cm="1">
        <f t="array" ref="BS116">IF(AND(BS$2&lt;&gt;0,TblTech[[#This Row],[Hour]:[Hour]]&gt;=BS$2),1,0)</f>
        <v>0</v>
      </c>
      <c r="BT116" s="276" cm="1">
        <f t="array" ref="BT116">IF(AND(BT$2&lt;&gt;0,TblTech[[#This Row],[Hour]:[Hour]]&gt;=BT$2),1,0)</f>
        <v>0</v>
      </c>
      <c r="BU116" s="276" cm="1">
        <f t="array" ref="BU116">IF(AND(BU$2&lt;&gt;0,TblTech[[#This Row],[Hour]:[Hour]]&gt;=BU$2),1,0)</f>
        <v>0</v>
      </c>
      <c r="BV116" s="276" cm="1">
        <f t="array" ref="BV116">IF(AND(BV$2&lt;&gt;0,TblTech[[#This Row],[Hour]:[Hour]]&gt;=BV$2),1,0)</f>
        <v>0</v>
      </c>
      <c r="BW116" s="276" cm="1">
        <f t="array" ref="BW116">IF(AND(BW$2&lt;&gt;0,TblTech[[#This Row],[Hour]:[Hour]]&gt;=BW$2),1,0)</f>
        <v>0</v>
      </c>
      <c r="BX116" s="276" cm="1">
        <f t="array" ref="BX116">IF(AND(BX$2&lt;&gt;0,TblTech[[#This Row],[Hour]:[Hour]]&gt;=BX$2),1,0)</f>
        <v>0</v>
      </c>
      <c r="BY116" s="276" cm="1">
        <f t="array" ref="BY116">IF(AND(BY$2&lt;&gt;0,TblTech[[#This Row],[Hour]:[Hour]]&gt;=BY$2),1,0)</f>
        <v>0</v>
      </c>
      <c r="BZ116" s="276" cm="1">
        <f t="array" ref="BZ116">IF(AND(BZ$2&lt;&gt;0,TblTech[[#This Row],[Hour]:[Hour]]&gt;=BZ$2),1,0)</f>
        <v>0</v>
      </c>
      <c r="CA116" s="377">
        <f>IFERROR(INDEX($H$4:$H$79,MATCH(INDEX(TblTech[[#Headers],[1-1]:[11-1]],1,MATCH(TblTech[[#This Row],[Hour]],$M$2:$BZ$2,0)),$G$4:$G$79,0)),)</f>
        <v>0</v>
      </c>
    </row>
    <row r="117" spans="1:79" x14ac:dyDescent="0.2">
      <c r="A117" s="268">
        <f>TblRezone[[#This Row],[Hour]]</f>
        <v>114</v>
      </c>
      <c r="B117" s="269">
        <f ca="1">TblExplore[[#This Row],[Land-DB]]</f>
        <v>50</v>
      </c>
      <c r="C117" s="270">
        <f ca="1">TblProd[[#This Row],[Techpoints]]</f>
        <v>0</v>
      </c>
      <c r="D117" s="270">
        <f ca="1">TblProd[[#This Row],[Required]]</f>
        <v>3750</v>
      </c>
      <c r="E117" s="279"/>
      <c r="F117" s="280"/>
      <c r="G117" s="273"/>
      <c r="H117" s="274"/>
      <c r="I117" s="274"/>
      <c r="J117" s="274"/>
      <c r="K117" s="93">
        <f ca="1">IF(TblTech[[#This Row],[Sum of tech]]&lt;&gt;OFFSET(TblTech[[#This Row],[Sum of tech]],-1,0),1,0)</f>
        <v>0</v>
      </c>
      <c r="L117" s="275">
        <f>COUNTIF(TblTech[[#This Row],[1-1]:[11-1]],1)</f>
        <v>0</v>
      </c>
      <c r="M117" s="276" cm="1">
        <f t="array" ref="M117">IF(AND(M$2&lt;&gt;0,TblTech[[#This Row],[Hour]:[Hour]]&gt;=M$2),1,0)</f>
        <v>0</v>
      </c>
      <c r="N117" s="276" cm="1">
        <f t="array" ref="N117">IF(AND(N$2&lt;&gt;0,TblTech[[#This Row],[Hour]:[Hour]]&gt;=N$2),1,0)</f>
        <v>0</v>
      </c>
      <c r="O117" s="276" cm="1">
        <f t="array" ref="O117">IF(AND(O$2&lt;&gt;0,TblTech[[#This Row],[Hour]:[Hour]]&gt;=O$2),1,0)</f>
        <v>0</v>
      </c>
      <c r="P117" s="276" cm="1">
        <f t="array" ref="P117">IF(AND(P$2&lt;&gt;0,TblTech[[#This Row],[Hour]:[Hour]]&gt;=P$2),1,0)</f>
        <v>0</v>
      </c>
      <c r="Q117" s="276" cm="1">
        <f t="array" ref="Q117">IF(AND(Q$2&lt;&gt;0,TblTech[[#This Row],[Hour]:[Hour]]&gt;=Q$2),1,0)</f>
        <v>0</v>
      </c>
      <c r="R117" s="276" cm="1">
        <f t="array" ref="R117">IF(AND(R$2&lt;&gt;0,TblTech[[#This Row],[Hour]:[Hour]]&gt;=R$2),1,0)</f>
        <v>0</v>
      </c>
      <c r="S117" s="276" cm="1">
        <f t="array" ref="S117">IF(AND(S$2&lt;&gt;0,TblTech[[#This Row],[Hour]:[Hour]]&gt;=S$2),1,0)</f>
        <v>0</v>
      </c>
      <c r="T117" s="276" cm="1">
        <f t="array" ref="T117">IF(AND(T$2&lt;&gt;0,TblTech[[#This Row],[Hour]:[Hour]]&gt;=T$2),1,0)</f>
        <v>0</v>
      </c>
      <c r="U117" s="276" cm="1">
        <f t="array" ref="U117">IF(AND(U$2&lt;&gt;0,TblTech[[#This Row],[Hour]:[Hour]]&gt;=U$2),1,0)</f>
        <v>0</v>
      </c>
      <c r="V117" s="276" cm="1">
        <f t="array" ref="V117">IF(AND(V$2&lt;&gt;0,TblTech[[#This Row],[Hour]:[Hour]]&gt;=V$2),1,0)</f>
        <v>0</v>
      </c>
      <c r="W117" s="276" cm="1">
        <f t="array" ref="W117">IF(AND(W$2&lt;&gt;0,TblTech[[#This Row],[Hour]:[Hour]]&gt;=W$2),1,0)</f>
        <v>0</v>
      </c>
      <c r="X117" s="276" cm="1">
        <f t="array" ref="X117">IF(AND(X$2&lt;&gt;0,TblTech[[#This Row],[Hour]:[Hour]]&gt;=X$2),1,0)</f>
        <v>0</v>
      </c>
      <c r="Y117" s="276" cm="1">
        <f t="array" ref="Y117">IF(AND(Y$2&lt;&gt;0,TblTech[[#This Row],[Hour]:[Hour]]&gt;=Y$2),1,0)</f>
        <v>0</v>
      </c>
      <c r="Z117" s="276" cm="1">
        <f t="array" ref="Z117">IF(AND(Z$2&lt;&gt;0,TblTech[[#This Row],[Hour]:[Hour]]&gt;=Z$2),1,0)</f>
        <v>0</v>
      </c>
      <c r="AA117" s="276" cm="1">
        <f t="array" ref="AA117">IF(AND(AA$2&lt;&gt;0,TblTech[[#This Row],[Hour]:[Hour]]&gt;=AA$2),1,0)</f>
        <v>0</v>
      </c>
      <c r="AB117" s="276" cm="1">
        <f t="array" ref="AB117">IF(AND(AB$2&lt;&gt;0,TblTech[[#This Row],[Hour]:[Hour]]&gt;=AB$2),1,0)</f>
        <v>0</v>
      </c>
      <c r="AC117" s="276" cm="1">
        <f t="array" ref="AC117">IF(AND(AC$2&lt;&gt;0,TblTech[[#This Row],[Hour]:[Hour]]&gt;=AC$2),1,0)</f>
        <v>0</v>
      </c>
      <c r="AD117" s="276" cm="1">
        <f t="array" ref="AD117">IF(AND(AD$2&lt;&gt;0,TblTech[[#This Row],[Hour]:[Hour]]&gt;=AD$2),1,0)</f>
        <v>0</v>
      </c>
      <c r="AE117" s="276" cm="1">
        <f t="array" ref="AE117">IF(AND(AE$2&lt;&gt;0,TblTech[[#This Row],[Hour]:[Hour]]&gt;=AE$2),1,0)</f>
        <v>0</v>
      </c>
      <c r="AF117" s="276" cm="1">
        <f t="array" ref="AF117">IF(AND(AF$2&lt;&gt;0,TblTech[[#This Row],[Hour]:[Hour]]&gt;=AF$2),1,0)</f>
        <v>0</v>
      </c>
      <c r="AG117" s="276" cm="1">
        <f t="array" ref="AG117">IF(AND(AG$2&lt;&gt;0,TblTech[[#This Row],[Hour]:[Hour]]&gt;=AG$2),1,0)</f>
        <v>0</v>
      </c>
      <c r="AH117" s="276" cm="1">
        <f t="array" ref="AH117">IF(AND(AH$2&lt;&gt;0,TblTech[[#This Row],[Hour]:[Hour]]&gt;=AH$2),1,0)</f>
        <v>0</v>
      </c>
      <c r="AI117" s="276" cm="1">
        <f t="array" ref="AI117">IF(AND(AI$2&lt;&gt;0,TblTech[[#This Row],[Hour]:[Hour]]&gt;=AI$2),1,0)</f>
        <v>0</v>
      </c>
      <c r="AJ117" s="276" cm="1">
        <f t="array" ref="AJ117">IF(AND(AJ$2&lt;&gt;0,TblTech[[#This Row],[Hour]:[Hour]]&gt;=AJ$2),1,0)</f>
        <v>0</v>
      </c>
      <c r="AK117" s="276" cm="1">
        <f t="array" ref="AK117">IF(AND(AK$2&lt;&gt;0,TblTech[[#This Row],[Hour]:[Hour]]&gt;=AK$2),1,0)</f>
        <v>0</v>
      </c>
      <c r="AL117" s="276" cm="1">
        <f t="array" ref="AL117">IF(AND(AL$2&lt;&gt;0,TblTech[[#This Row],[Hour]:[Hour]]&gt;=AL$2),1,0)</f>
        <v>0</v>
      </c>
      <c r="AM117" s="276" cm="1">
        <f t="array" ref="AM117">IF(AND(AM$2&lt;&gt;0,TblTech[[#This Row],[Hour]:[Hour]]&gt;=AM$2),1,0)</f>
        <v>0</v>
      </c>
      <c r="AN117" s="276" cm="1">
        <f t="array" ref="AN117">IF(AND(AN$2&lt;&gt;0,TblTech[[#This Row],[Hour]:[Hour]]&gt;=AN$2),1,0)</f>
        <v>0</v>
      </c>
      <c r="AO117" s="276" cm="1">
        <f t="array" ref="AO117">IF(AND(AO$2&lt;&gt;0,TblTech[[#This Row],[Hour]:[Hour]]&gt;=AO$2),1,0)</f>
        <v>0</v>
      </c>
      <c r="AP117" s="276" cm="1">
        <f t="array" ref="AP117">IF(AND(AP$2&lt;&gt;0,TblTech[[#This Row],[Hour]:[Hour]]&gt;=AP$2),1,0)</f>
        <v>0</v>
      </c>
      <c r="AQ117" s="276" cm="1">
        <f t="array" ref="AQ117">IF(AND(AQ$2&lt;&gt;0,TblTech[[#This Row],[Hour]:[Hour]]&gt;=AQ$2),1,0)</f>
        <v>0</v>
      </c>
      <c r="AR117" s="276" cm="1">
        <f t="array" ref="AR117">IF(AND(AR$2&lt;&gt;0,TblTech[[#This Row],[Hour]:[Hour]]&gt;=AR$2),1,0)</f>
        <v>0</v>
      </c>
      <c r="AS117" s="276" cm="1">
        <f t="array" ref="AS117">IF(AND(AS$2&lt;&gt;0,TblTech[[#This Row],[Hour]:[Hour]]&gt;=AS$2),1,0)</f>
        <v>0</v>
      </c>
      <c r="AT117" s="276" cm="1">
        <f t="array" ref="AT117">IF(AND(AT$2&lt;&gt;0,TblTech[[#This Row],[Hour]:[Hour]]&gt;=AT$2),1,0)</f>
        <v>0</v>
      </c>
      <c r="AU117" s="276" cm="1">
        <f t="array" ref="AU117">IF(AND(AU$2&lt;&gt;0,TblTech[[#This Row],[Hour]:[Hour]]&gt;=AU$2),1,0)</f>
        <v>0</v>
      </c>
      <c r="AV117" s="276" cm="1">
        <f t="array" ref="AV117">IF(AND(AV$2&lt;&gt;0,TblTech[[#This Row],[Hour]:[Hour]]&gt;=AV$2),1,0)</f>
        <v>0</v>
      </c>
      <c r="AW117" s="276" cm="1">
        <f t="array" ref="AW117">IF(AND(AW$2&lt;&gt;0,TblTech[[#This Row],[Hour]:[Hour]]&gt;=AW$2),1,0)</f>
        <v>0</v>
      </c>
      <c r="AX117" s="276" cm="1">
        <f t="array" ref="AX117">IF(AND(AX$2&lt;&gt;0,TblTech[[#This Row],[Hour]:[Hour]]&gt;=AX$2),1,0)</f>
        <v>0</v>
      </c>
      <c r="AY117" s="276" cm="1">
        <f t="array" ref="AY117">IF(AND(AY$2&lt;&gt;0,TblTech[[#This Row],[Hour]:[Hour]]&gt;=AY$2),1,0)</f>
        <v>0</v>
      </c>
      <c r="AZ117" s="276" cm="1">
        <f t="array" ref="AZ117">IF(AND(AZ$2&lt;&gt;0,TblTech[[#This Row],[Hour]:[Hour]]&gt;=AZ$2),1,0)</f>
        <v>0</v>
      </c>
      <c r="BA117" s="276" cm="1">
        <f t="array" ref="BA117">IF(AND(BA$2&lt;&gt;0,TblTech[[#This Row],[Hour]:[Hour]]&gt;=BA$2),1,0)</f>
        <v>0</v>
      </c>
      <c r="BB117" s="276" cm="1">
        <f t="array" ref="BB117">IF(AND(BB$2&lt;&gt;0,TblTech[[#This Row],[Hour]:[Hour]]&gt;=BB$2),1,0)</f>
        <v>0</v>
      </c>
      <c r="BC117" s="276" cm="1">
        <f t="array" ref="BC117">IF(AND(BC$2&lt;&gt;0,TblTech[[#This Row],[Hour]:[Hour]]&gt;=BC$2),1,0)</f>
        <v>0</v>
      </c>
      <c r="BD117" s="276" cm="1">
        <f t="array" ref="BD117">IF(AND(BD$2&lt;&gt;0,TblTech[[#This Row],[Hour]:[Hour]]&gt;=BD$2),1,0)</f>
        <v>0</v>
      </c>
      <c r="BE117" s="276" cm="1">
        <f t="array" ref="BE117">IF(AND(BE$2&lt;&gt;0,TblTech[[#This Row],[Hour]:[Hour]]&gt;=BE$2),1,0)</f>
        <v>0</v>
      </c>
      <c r="BF117" s="276" cm="1">
        <f t="array" ref="BF117">IF(AND(BF$2&lt;&gt;0,TblTech[[#This Row],[Hour]:[Hour]]&gt;=BF$2),1,0)</f>
        <v>0</v>
      </c>
      <c r="BG117" s="276" cm="1">
        <f t="array" ref="BG117">IF(AND(BG$2&lt;&gt;0,TblTech[[#This Row],[Hour]:[Hour]]&gt;=BG$2),1,0)</f>
        <v>0</v>
      </c>
      <c r="BH117" s="276" cm="1">
        <f t="array" ref="BH117">IF(AND(BH$2&lt;&gt;0,TblTech[[#This Row],[Hour]:[Hour]]&gt;=BH$2),1,0)</f>
        <v>0</v>
      </c>
      <c r="BI117" s="276" cm="1">
        <f t="array" ref="BI117">IF(AND(BI$2&lt;&gt;0,TblTech[[#This Row],[Hour]:[Hour]]&gt;=BI$2),1,0)</f>
        <v>0</v>
      </c>
      <c r="BJ117" s="276" cm="1">
        <f t="array" ref="BJ117">IF(AND(BJ$2&lt;&gt;0,TblTech[[#This Row],[Hour]:[Hour]]&gt;=BJ$2),1,0)</f>
        <v>0</v>
      </c>
      <c r="BK117" s="276" cm="1">
        <f t="array" ref="BK117">IF(AND(BK$2&lt;&gt;0,TblTech[[#This Row],[Hour]:[Hour]]&gt;=BK$2),1,0)</f>
        <v>0</v>
      </c>
      <c r="BL117" s="276" cm="1">
        <f t="array" ref="BL117">IF(AND(BL$2&lt;&gt;0,TblTech[[#This Row],[Hour]:[Hour]]&gt;=BL$2),1,0)</f>
        <v>0</v>
      </c>
      <c r="BM117" s="276" cm="1">
        <f t="array" ref="BM117">IF(AND(BM$2&lt;&gt;0,TblTech[[#This Row],[Hour]:[Hour]]&gt;=BM$2),1,0)</f>
        <v>0</v>
      </c>
      <c r="BN117" s="276" cm="1">
        <f t="array" ref="BN117">IF(AND(BN$2&lt;&gt;0,TblTech[[#This Row],[Hour]:[Hour]]&gt;=BN$2),1,0)</f>
        <v>0</v>
      </c>
      <c r="BO117" s="276" cm="1">
        <f t="array" ref="BO117">IF(AND(BO$2&lt;&gt;0,TblTech[[#This Row],[Hour]:[Hour]]&gt;=BO$2),1,0)</f>
        <v>0</v>
      </c>
      <c r="BP117" s="276" cm="1">
        <f t="array" ref="BP117">IF(AND(BP$2&lt;&gt;0,TblTech[[#This Row],[Hour]:[Hour]]&gt;=BP$2),1,0)</f>
        <v>0</v>
      </c>
      <c r="BQ117" s="276" cm="1">
        <f t="array" ref="BQ117">IF(AND(BQ$2&lt;&gt;0,TblTech[[#This Row],[Hour]:[Hour]]&gt;=BQ$2),1,0)</f>
        <v>0</v>
      </c>
      <c r="BR117" s="276" cm="1">
        <f t="array" ref="BR117">IF(AND(BR$2&lt;&gt;0,TblTech[[#This Row],[Hour]:[Hour]]&gt;=BR$2),1,0)</f>
        <v>0</v>
      </c>
      <c r="BS117" s="276" cm="1">
        <f t="array" ref="BS117">IF(AND(BS$2&lt;&gt;0,TblTech[[#This Row],[Hour]:[Hour]]&gt;=BS$2),1,0)</f>
        <v>0</v>
      </c>
      <c r="BT117" s="276" cm="1">
        <f t="array" ref="BT117">IF(AND(BT$2&lt;&gt;0,TblTech[[#This Row],[Hour]:[Hour]]&gt;=BT$2),1,0)</f>
        <v>0</v>
      </c>
      <c r="BU117" s="276" cm="1">
        <f t="array" ref="BU117">IF(AND(BU$2&lt;&gt;0,TblTech[[#This Row],[Hour]:[Hour]]&gt;=BU$2),1,0)</f>
        <v>0</v>
      </c>
      <c r="BV117" s="276" cm="1">
        <f t="array" ref="BV117">IF(AND(BV$2&lt;&gt;0,TblTech[[#This Row],[Hour]:[Hour]]&gt;=BV$2),1,0)</f>
        <v>0</v>
      </c>
      <c r="BW117" s="276" cm="1">
        <f t="array" ref="BW117">IF(AND(BW$2&lt;&gt;0,TblTech[[#This Row],[Hour]:[Hour]]&gt;=BW$2),1,0)</f>
        <v>0</v>
      </c>
      <c r="BX117" s="276" cm="1">
        <f t="array" ref="BX117">IF(AND(BX$2&lt;&gt;0,TblTech[[#This Row],[Hour]:[Hour]]&gt;=BX$2),1,0)</f>
        <v>0</v>
      </c>
      <c r="BY117" s="276" cm="1">
        <f t="array" ref="BY117">IF(AND(BY$2&lt;&gt;0,TblTech[[#This Row],[Hour]:[Hour]]&gt;=BY$2),1,0)</f>
        <v>0</v>
      </c>
      <c r="BZ117" s="276" cm="1">
        <f t="array" ref="BZ117">IF(AND(BZ$2&lt;&gt;0,TblTech[[#This Row],[Hour]:[Hour]]&gt;=BZ$2),1,0)</f>
        <v>0</v>
      </c>
      <c r="CA117" s="377">
        <f>IFERROR(INDEX($H$4:$H$79,MATCH(INDEX(TblTech[[#Headers],[1-1]:[11-1]],1,MATCH(TblTech[[#This Row],[Hour]],$M$2:$BZ$2,0)),$G$4:$G$79,0)),)</f>
        <v>0</v>
      </c>
    </row>
    <row r="118" spans="1:79" x14ac:dyDescent="0.2">
      <c r="A118" s="268">
        <f>TblRezone[[#This Row],[Hour]]</f>
        <v>115</v>
      </c>
      <c r="B118" s="269">
        <f ca="1">TblExplore[[#This Row],[Land-DB]]</f>
        <v>50</v>
      </c>
      <c r="C118" s="270">
        <f ca="1">TblProd[[#This Row],[Techpoints]]</f>
        <v>0</v>
      </c>
      <c r="D118" s="270">
        <f ca="1">TblProd[[#This Row],[Required]]</f>
        <v>3750</v>
      </c>
      <c r="E118" s="279"/>
      <c r="F118" s="280"/>
      <c r="G118" s="273"/>
      <c r="H118" s="274"/>
      <c r="I118" s="274"/>
      <c r="J118" s="274"/>
      <c r="K118" s="93">
        <f ca="1">IF(TblTech[[#This Row],[Sum of tech]]&lt;&gt;OFFSET(TblTech[[#This Row],[Sum of tech]],-1,0),1,0)</f>
        <v>0</v>
      </c>
      <c r="L118" s="275">
        <f>COUNTIF(TblTech[[#This Row],[1-1]:[11-1]],1)</f>
        <v>0</v>
      </c>
      <c r="M118" s="276" cm="1">
        <f t="array" ref="M118">IF(AND(M$2&lt;&gt;0,TblTech[[#This Row],[Hour]:[Hour]]&gt;=M$2),1,0)</f>
        <v>0</v>
      </c>
      <c r="N118" s="276" cm="1">
        <f t="array" ref="N118">IF(AND(N$2&lt;&gt;0,TblTech[[#This Row],[Hour]:[Hour]]&gt;=N$2),1,0)</f>
        <v>0</v>
      </c>
      <c r="O118" s="276" cm="1">
        <f t="array" ref="O118">IF(AND(O$2&lt;&gt;0,TblTech[[#This Row],[Hour]:[Hour]]&gt;=O$2),1,0)</f>
        <v>0</v>
      </c>
      <c r="P118" s="276" cm="1">
        <f t="array" ref="P118">IF(AND(P$2&lt;&gt;0,TblTech[[#This Row],[Hour]:[Hour]]&gt;=P$2),1,0)</f>
        <v>0</v>
      </c>
      <c r="Q118" s="276" cm="1">
        <f t="array" ref="Q118">IF(AND(Q$2&lt;&gt;0,TblTech[[#This Row],[Hour]:[Hour]]&gt;=Q$2),1,0)</f>
        <v>0</v>
      </c>
      <c r="R118" s="276" cm="1">
        <f t="array" ref="R118">IF(AND(R$2&lt;&gt;0,TblTech[[#This Row],[Hour]:[Hour]]&gt;=R$2),1,0)</f>
        <v>0</v>
      </c>
      <c r="S118" s="276" cm="1">
        <f t="array" ref="S118">IF(AND(S$2&lt;&gt;0,TblTech[[#This Row],[Hour]:[Hour]]&gt;=S$2),1,0)</f>
        <v>0</v>
      </c>
      <c r="T118" s="276" cm="1">
        <f t="array" ref="T118">IF(AND(T$2&lt;&gt;0,TblTech[[#This Row],[Hour]:[Hour]]&gt;=T$2),1,0)</f>
        <v>0</v>
      </c>
      <c r="U118" s="276" cm="1">
        <f t="array" ref="U118">IF(AND(U$2&lt;&gt;0,TblTech[[#This Row],[Hour]:[Hour]]&gt;=U$2),1,0)</f>
        <v>0</v>
      </c>
      <c r="V118" s="276" cm="1">
        <f t="array" ref="V118">IF(AND(V$2&lt;&gt;0,TblTech[[#This Row],[Hour]:[Hour]]&gt;=V$2),1,0)</f>
        <v>0</v>
      </c>
      <c r="W118" s="276" cm="1">
        <f t="array" ref="W118">IF(AND(W$2&lt;&gt;0,TblTech[[#This Row],[Hour]:[Hour]]&gt;=W$2),1,0)</f>
        <v>0</v>
      </c>
      <c r="X118" s="276" cm="1">
        <f t="array" ref="X118">IF(AND(X$2&lt;&gt;0,TblTech[[#This Row],[Hour]:[Hour]]&gt;=X$2),1,0)</f>
        <v>0</v>
      </c>
      <c r="Y118" s="276" cm="1">
        <f t="array" ref="Y118">IF(AND(Y$2&lt;&gt;0,TblTech[[#This Row],[Hour]:[Hour]]&gt;=Y$2),1,0)</f>
        <v>0</v>
      </c>
      <c r="Z118" s="276" cm="1">
        <f t="array" ref="Z118">IF(AND(Z$2&lt;&gt;0,TblTech[[#This Row],[Hour]:[Hour]]&gt;=Z$2),1,0)</f>
        <v>0</v>
      </c>
      <c r="AA118" s="276" cm="1">
        <f t="array" ref="AA118">IF(AND(AA$2&lt;&gt;0,TblTech[[#This Row],[Hour]:[Hour]]&gt;=AA$2),1,0)</f>
        <v>0</v>
      </c>
      <c r="AB118" s="276" cm="1">
        <f t="array" ref="AB118">IF(AND(AB$2&lt;&gt;0,TblTech[[#This Row],[Hour]:[Hour]]&gt;=AB$2),1,0)</f>
        <v>0</v>
      </c>
      <c r="AC118" s="276" cm="1">
        <f t="array" ref="AC118">IF(AND(AC$2&lt;&gt;0,TblTech[[#This Row],[Hour]:[Hour]]&gt;=AC$2),1,0)</f>
        <v>0</v>
      </c>
      <c r="AD118" s="276" cm="1">
        <f t="array" ref="AD118">IF(AND(AD$2&lt;&gt;0,TblTech[[#This Row],[Hour]:[Hour]]&gt;=AD$2),1,0)</f>
        <v>0</v>
      </c>
      <c r="AE118" s="276" cm="1">
        <f t="array" ref="AE118">IF(AND(AE$2&lt;&gt;0,TblTech[[#This Row],[Hour]:[Hour]]&gt;=AE$2),1,0)</f>
        <v>0</v>
      </c>
      <c r="AF118" s="276" cm="1">
        <f t="array" ref="AF118">IF(AND(AF$2&lt;&gt;0,TblTech[[#This Row],[Hour]:[Hour]]&gt;=AF$2),1,0)</f>
        <v>0</v>
      </c>
      <c r="AG118" s="276" cm="1">
        <f t="array" ref="AG118">IF(AND(AG$2&lt;&gt;0,TblTech[[#This Row],[Hour]:[Hour]]&gt;=AG$2),1,0)</f>
        <v>0</v>
      </c>
      <c r="AH118" s="276" cm="1">
        <f t="array" ref="AH118">IF(AND(AH$2&lt;&gt;0,TblTech[[#This Row],[Hour]:[Hour]]&gt;=AH$2),1,0)</f>
        <v>0</v>
      </c>
      <c r="AI118" s="276" cm="1">
        <f t="array" ref="AI118">IF(AND(AI$2&lt;&gt;0,TblTech[[#This Row],[Hour]:[Hour]]&gt;=AI$2),1,0)</f>
        <v>0</v>
      </c>
      <c r="AJ118" s="276" cm="1">
        <f t="array" ref="AJ118">IF(AND(AJ$2&lt;&gt;0,TblTech[[#This Row],[Hour]:[Hour]]&gt;=AJ$2),1,0)</f>
        <v>0</v>
      </c>
      <c r="AK118" s="276" cm="1">
        <f t="array" ref="AK118">IF(AND(AK$2&lt;&gt;0,TblTech[[#This Row],[Hour]:[Hour]]&gt;=AK$2),1,0)</f>
        <v>0</v>
      </c>
      <c r="AL118" s="276" cm="1">
        <f t="array" ref="AL118">IF(AND(AL$2&lt;&gt;0,TblTech[[#This Row],[Hour]:[Hour]]&gt;=AL$2),1,0)</f>
        <v>0</v>
      </c>
      <c r="AM118" s="276" cm="1">
        <f t="array" ref="AM118">IF(AND(AM$2&lt;&gt;0,TblTech[[#This Row],[Hour]:[Hour]]&gt;=AM$2),1,0)</f>
        <v>0</v>
      </c>
      <c r="AN118" s="276" cm="1">
        <f t="array" ref="AN118">IF(AND(AN$2&lt;&gt;0,TblTech[[#This Row],[Hour]:[Hour]]&gt;=AN$2),1,0)</f>
        <v>0</v>
      </c>
      <c r="AO118" s="276" cm="1">
        <f t="array" ref="AO118">IF(AND(AO$2&lt;&gt;0,TblTech[[#This Row],[Hour]:[Hour]]&gt;=AO$2),1,0)</f>
        <v>0</v>
      </c>
      <c r="AP118" s="276" cm="1">
        <f t="array" ref="AP118">IF(AND(AP$2&lt;&gt;0,TblTech[[#This Row],[Hour]:[Hour]]&gt;=AP$2),1,0)</f>
        <v>0</v>
      </c>
      <c r="AQ118" s="276" cm="1">
        <f t="array" ref="AQ118">IF(AND(AQ$2&lt;&gt;0,TblTech[[#This Row],[Hour]:[Hour]]&gt;=AQ$2),1,0)</f>
        <v>0</v>
      </c>
      <c r="AR118" s="276" cm="1">
        <f t="array" ref="AR118">IF(AND(AR$2&lt;&gt;0,TblTech[[#This Row],[Hour]:[Hour]]&gt;=AR$2),1,0)</f>
        <v>0</v>
      </c>
      <c r="AS118" s="276" cm="1">
        <f t="array" ref="AS118">IF(AND(AS$2&lt;&gt;0,TblTech[[#This Row],[Hour]:[Hour]]&gt;=AS$2),1,0)</f>
        <v>0</v>
      </c>
      <c r="AT118" s="276" cm="1">
        <f t="array" ref="AT118">IF(AND(AT$2&lt;&gt;0,TblTech[[#This Row],[Hour]:[Hour]]&gt;=AT$2),1,0)</f>
        <v>0</v>
      </c>
      <c r="AU118" s="276" cm="1">
        <f t="array" ref="AU118">IF(AND(AU$2&lt;&gt;0,TblTech[[#This Row],[Hour]:[Hour]]&gt;=AU$2),1,0)</f>
        <v>0</v>
      </c>
      <c r="AV118" s="276" cm="1">
        <f t="array" ref="AV118">IF(AND(AV$2&lt;&gt;0,TblTech[[#This Row],[Hour]:[Hour]]&gt;=AV$2),1,0)</f>
        <v>0</v>
      </c>
      <c r="AW118" s="276" cm="1">
        <f t="array" ref="AW118">IF(AND(AW$2&lt;&gt;0,TblTech[[#This Row],[Hour]:[Hour]]&gt;=AW$2),1,0)</f>
        <v>0</v>
      </c>
      <c r="AX118" s="276" cm="1">
        <f t="array" ref="AX118">IF(AND(AX$2&lt;&gt;0,TblTech[[#This Row],[Hour]:[Hour]]&gt;=AX$2),1,0)</f>
        <v>0</v>
      </c>
      <c r="AY118" s="276" cm="1">
        <f t="array" ref="AY118">IF(AND(AY$2&lt;&gt;0,TblTech[[#This Row],[Hour]:[Hour]]&gt;=AY$2),1,0)</f>
        <v>0</v>
      </c>
      <c r="AZ118" s="276" cm="1">
        <f t="array" ref="AZ118">IF(AND(AZ$2&lt;&gt;0,TblTech[[#This Row],[Hour]:[Hour]]&gt;=AZ$2),1,0)</f>
        <v>0</v>
      </c>
      <c r="BA118" s="276" cm="1">
        <f t="array" ref="BA118">IF(AND(BA$2&lt;&gt;0,TblTech[[#This Row],[Hour]:[Hour]]&gt;=BA$2),1,0)</f>
        <v>0</v>
      </c>
      <c r="BB118" s="276" cm="1">
        <f t="array" ref="BB118">IF(AND(BB$2&lt;&gt;0,TblTech[[#This Row],[Hour]:[Hour]]&gt;=BB$2),1,0)</f>
        <v>0</v>
      </c>
      <c r="BC118" s="276" cm="1">
        <f t="array" ref="BC118">IF(AND(BC$2&lt;&gt;0,TblTech[[#This Row],[Hour]:[Hour]]&gt;=BC$2),1,0)</f>
        <v>0</v>
      </c>
      <c r="BD118" s="276" cm="1">
        <f t="array" ref="BD118">IF(AND(BD$2&lt;&gt;0,TblTech[[#This Row],[Hour]:[Hour]]&gt;=BD$2),1,0)</f>
        <v>0</v>
      </c>
      <c r="BE118" s="276" cm="1">
        <f t="array" ref="BE118">IF(AND(BE$2&lt;&gt;0,TblTech[[#This Row],[Hour]:[Hour]]&gt;=BE$2),1,0)</f>
        <v>0</v>
      </c>
      <c r="BF118" s="276" cm="1">
        <f t="array" ref="BF118">IF(AND(BF$2&lt;&gt;0,TblTech[[#This Row],[Hour]:[Hour]]&gt;=BF$2),1,0)</f>
        <v>0</v>
      </c>
      <c r="BG118" s="276" cm="1">
        <f t="array" ref="BG118">IF(AND(BG$2&lt;&gt;0,TblTech[[#This Row],[Hour]:[Hour]]&gt;=BG$2),1,0)</f>
        <v>0</v>
      </c>
      <c r="BH118" s="276" cm="1">
        <f t="array" ref="BH118">IF(AND(BH$2&lt;&gt;0,TblTech[[#This Row],[Hour]:[Hour]]&gt;=BH$2),1,0)</f>
        <v>0</v>
      </c>
      <c r="BI118" s="276" cm="1">
        <f t="array" ref="BI118">IF(AND(BI$2&lt;&gt;0,TblTech[[#This Row],[Hour]:[Hour]]&gt;=BI$2),1,0)</f>
        <v>0</v>
      </c>
      <c r="BJ118" s="276" cm="1">
        <f t="array" ref="BJ118">IF(AND(BJ$2&lt;&gt;0,TblTech[[#This Row],[Hour]:[Hour]]&gt;=BJ$2),1,0)</f>
        <v>0</v>
      </c>
      <c r="BK118" s="276" cm="1">
        <f t="array" ref="BK118">IF(AND(BK$2&lt;&gt;0,TblTech[[#This Row],[Hour]:[Hour]]&gt;=BK$2),1,0)</f>
        <v>0</v>
      </c>
      <c r="BL118" s="276" cm="1">
        <f t="array" ref="BL118">IF(AND(BL$2&lt;&gt;0,TblTech[[#This Row],[Hour]:[Hour]]&gt;=BL$2),1,0)</f>
        <v>0</v>
      </c>
      <c r="BM118" s="276" cm="1">
        <f t="array" ref="BM118">IF(AND(BM$2&lt;&gt;0,TblTech[[#This Row],[Hour]:[Hour]]&gt;=BM$2),1,0)</f>
        <v>0</v>
      </c>
      <c r="BN118" s="276" cm="1">
        <f t="array" ref="BN118">IF(AND(BN$2&lt;&gt;0,TblTech[[#This Row],[Hour]:[Hour]]&gt;=BN$2),1,0)</f>
        <v>0</v>
      </c>
      <c r="BO118" s="276" cm="1">
        <f t="array" ref="BO118">IF(AND(BO$2&lt;&gt;0,TblTech[[#This Row],[Hour]:[Hour]]&gt;=BO$2),1,0)</f>
        <v>0</v>
      </c>
      <c r="BP118" s="276" cm="1">
        <f t="array" ref="BP118">IF(AND(BP$2&lt;&gt;0,TblTech[[#This Row],[Hour]:[Hour]]&gt;=BP$2),1,0)</f>
        <v>0</v>
      </c>
      <c r="BQ118" s="276" cm="1">
        <f t="array" ref="BQ118">IF(AND(BQ$2&lt;&gt;0,TblTech[[#This Row],[Hour]:[Hour]]&gt;=BQ$2),1,0)</f>
        <v>0</v>
      </c>
      <c r="BR118" s="276" cm="1">
        <f t="array" ref="BR118">IF(AND(BR$2&lt;&gt;0,TblTech[[#This Row],[Hour]:[Hour]]&gt;=BR$2),1,0)</f>
        <v>0</v>
      </c>
      <c r="BS118" s="276" cm="1">
        <f t="array" ref="BS118">IF(AND(BS$2&lt;&gt;0,TblTech[[#This Row],[Hour]:[Hour]]&gt;=BS$2),1,0)</f>
        <v>0</v>
      </c>
      <c r="BT118" s="276" cm="1">
        <f t="array" ref="BT118">IF(AND(BT$2&lt;&gt;0,TblTech[[#This Row],[Hour]:[Hour]]&gt;=BT$2),1,0)</f>
        <v>0</v>
      </c>
      <c r="BU118" s="276" cm="1">
        <f t="array" ref="BU118">IF(AND(BU$2&lt;&gt;0,TblTech[[#This Row],[Hour]:[Hour]]&gt;=BU$2),1,0)</f>
        <v>0</v>
      </c>
      <c r="BV118" s="276" cm="1">
        <f t="array" ref="BV118">IF(AND(BV$2&lt;&gt;0,TblTech[[#This Row],[Hour]:[Hour]]&gt;=BV$2),1,0)</f>
        <v>0</v>
      </c>
      <c r="BW118" s="276" cm="1">
        <f t="array" ref="BW118">IF(AND(BW$2&lt;&gt;0,TblTech[[#This Row],[Hour]:[Hour]]&gt;=BW$2),1,0)</f>
        <v>0</v>
      </c>
      <c r="BX118" s="276" cm="1">
        <f t="array" ref="BX118">IF(AND(BX$2&lt;&gt;0,TblTech[[#This Row],[Hour]:[Hour]]&gt;=BX$2),1,0)</f>
        <v>0</v>
      </c>
      <c r="BY118" s="276" cm="1">
        <f t="array" ref="BY118">IF(AND(BY$2&lt;&gt;0,TblTech[[#This Row],[Hour]:[Hour]]&gt;=BY$2),1,0)</f>
        <v>0</v>
      </c>
      <c r="BZ118" s="276" cm="1">
        <f t="array" ref="BZ118">IF(AND(BZ$2&lt;&gt;0,TblTech[[#This Row],[Hour]:[Hour]]&gt;=BZ$2),1,0)</f>
        <v>0</v>
      </c>
      <c r="CA118" s="377">
        <f>IFERROR(INDEX($H$4:$H$79,MATCH(INDEX(TblTech[[#Headers],[1-1]:[11-1]],1,MATCH(TblTech[[#This Row],[Hour]],$M$2:$BZ$2,0)),$G$4:$G$79,0)),)</f>
        <v>0</v>
      </c>
    </row>
    <row r="119" spans="1:79" x14ac:dyDescent="0.2">
      <c r="A119" s="268">
        <f>TblRezone[[#This Row],[Hour]]</f>
        <v>116</v>
      </c>
      <c r="B119" s="269">
        <f ca="1">TblExplore[[#This Row],[Land-DB]]</f>
        <v>50</v>
      </c>
      <c r="C119" s="270">
        <f ca="1">TblProd[[#This Row],[Techpoints]]</f>
        <v>0</v>
      </c>
      <c r="D119" s="270">
        <f ca="1">TblProd[[#This Row],[Required]]</f>
        <v>3750</v>
      </c>
      <c r="E119" s="279"/>
      <c r="F119" s="280"/>
      <c r="G119" s="273"/>
      <c r="H119" s="274"/>
      <c r="I119" s="274"/>
      <c r="J119" s="274"/>
      <c r="K119" s="93">
        <f ca="1">IF(TblTech[[#This Row],[Sum of tech]]&lt;&gt;OFFSET(TblTech[[#This Row],[Sum of tech]],-1,0),1,0)</f>
        <v>0</v>
      </c>
      <c r="L119" s="275">
        <f>COUNTIF(TblTech[[#This Row],[1-1]:[11-1]],1)</f>
        <v>0</v>
      </c>
      <c r="M119" s="276" cm="1">
        <f t="array" ref="M119">IF(AND(M$2&lt;&gt;0,TblTech[[#This Row],[Hour]:[Hour]]&gt;=M$2),1,0)</f>
        <v>0</v>
      </c>
      <c r="N119" s="276" cm="1">
        <f t="array" ref="N119">IF(AND(N$2&lt;&gt;0,TblTech[[#This Row],[Hour]:[Hour]]&gt;=N$2),1,0)</f>
        <v>0</v>
      </c>
      <c r="O119" s="276" cm="1">
        <f t="array" ref="O119">IF(AND(O$2&lt;&gt;0,TblTech[[#This Row],[Hour]:[Hour]]&gt;=O$2),1,0)</f>
        <v>0</v>
      </c>
      <c r="P119" s="276" cm="1">
        <f t="array" ref="P119">IF(AND(P$2&lt;&gt;0,TblTech[[#This Row],[Hour]:[Hour]]&gt;=P$2),1,0)</f>
        <v>0</v>
      </c>
      <c r="Q119" s="276" cm="1">
        <f t="array" ref="Q119">IF(AND(Q$2&lt;&gt;0,TblTech[[#This Row],[Hour]:[Hour]]&gt;=Q$2),1,0)</f>
        <v>0</v>
      </c>
      <c r="R119" s="276" cm="1">
        <f t="array" ref="R119">IF(AND(R$2&lt;&gt;0,TblTech[[#This Row],[Hour]:[Hour]]&gt;=R$2),1,0)</f>
        <v>0</v>
      </c>
      <c r="S119" s="276" cm="1">
        <f t="array" ref="S119">IF(AND(S$2&lt;&gt;0,TblTech[[#This Row],[Hour]:[Hour]]&gt;=S$2),1,0)</f>
        <v>0</v>
      </c>
      <c r="T119" s="276" cm="1">
        <f t="array" ref="T119">IF(AND(T$2&lt;&gt;0,TblTech[[#This Row],[Hour]:[Hour]]&gt;=T$2),1,0)</f>
        <v>0</v>
      </c>
      <c r="U119" s="276" cm="1">
        <f t="array" ref="U119">IF(AND(U$2&lt;&gt;0,TblTech[[#This Row],[Hour]:[Hour]]&gt;=U$2),1,0)</f>
        <v>0</v>
      </c>
      <c r="V119" s="276" cm="1">
        <f t="array" ref="V119">IF(AND(V$2&lt;&gt;0,TblTech[[#This Row],[Hour]:[Hour]]&gt;=V$2),1,0)</f>
        <v>0</v>
      </c>
      <c r="W119" s="276" cm="1">
        <f t="array" ref="W119">IF(AND(W$2&lt;&gt;0,TblTech[[#This Row],[Hour]:[Hour]]&gt;=W$2),1,0)</f>
        <v>0</v>
      </c>
      <c r="X119" s="276" cm="1">
        <f t="array" ref="X119">IF(AND(X$2&lt;&gt;0,TblTech[[#This Row],[Hour]:[Hour]]&gt;=X$2),1,0)</f>
        <v>0</v>
      </c>
      <c r="Y119" s="276" cm="1">
        <f t="array" ref="Y119">IF(AND(Y$2&lt;&gt;0,TblTech[[#This Row],[Hour]:[Hour]]&gt;=Y$2),1,0)</f>
        <v>0</v>
      </c>
      <c r="Z119" s="276" cm="1">
        <f t="array" ref="Z119">IF(AND(Z$2&lt;&gt;0,TblTech[[#This Row],[Hour]:[Hour]]&gt;=Z$2),1,0)</f>
        <v>0</v>
      </c>
      <c r="AA119" s="276" cm="1">
        <f t="array" ref="AA119">IF(AND(AA$2&lt;&gt;0,TblTech[[#This Row],[Hour]:[Hour]]&gt;=AA$2),1,0)</f>
        <v>0</v>
      </c>
      <c r="AB119" s="276" cm="1">
        <f t="array" ref="AB119">IF(AND(AB$2&lt;&gt;0,TblTech[[#This Row],[Hour]:[Hour]]&gt;=AB$2),1,0)</f>
        <v>0</v>
      </c>
      <c r="AC119" s="276" cm="1">
        <f t="array" ref="AC119">IF(AND(AC$2&lt;&gt;0,TblTech[[#This Row],[Hour]:[Hour]]&gt;=AC$2),1,0)</f>
        <v>0</v>
      </c>
      <c r="AD119" s="276" cm="1">
        <f t="array" ref="AD119">IF(AND(AD$2&lt;&gt;0,TblTech[[#This Row],[Hour]:[Hour]]&gt;=AD$2),1,0)</f>
        <v>0</v>
      </c>
      <c r="AE119" s="276" cm="1">
        <f t="array" ref="AE119">IF(AND(AE$2&lt;&gt;0,TblTech[[#This Row],[Hour]:[Hour]]&gt;=AE$2),1,0)</f>
        <v>0</v>
      </c>
      <c r="AF119" s="276" cm="1">
        <f t="array" ref="AF119">IF(AND(AF$2&lt;&gt;0,TblTech[[#This Row],[Hour]:[Hour]]&gt;=AF$2),1,0)</f>
        <v>0</v>
      </c>
      <c r="AG119" s="276" cm="1">
        <f t="array" ref="AG119">IF(AND(AG$2&lt;&gt;0,TblTech[[#This Row],[Hour]:[Hour]]&gt;=AG$2),1,0)</f>
        <v>0</v>
      </c>
      <c r="AH119" s="276" cm="1">
        <f t="array" ref="AH119">IF(AND(AH$2&lt;&gt;0,TblTech[[#This Row],[Hour]:[Hour]]&gt;=AH$2),1,0)</f>
        <v>0</v>
      </c>
      <c r="AI119" s="276" cm="1">
        <f t="array" ref="AI119">IF(AND(AI$2&lt;&gt;0,TblTech[[#This Row],[Hour]:[Hour]]&gt;=AI$2),1,0)</f>
        <v>0</v>
      </c>
      <c r="AJ119" s="276" cm="1">
        <f t="array" ref="AJ119">IF(AND(AJ$2&lt;&gt;0,TblTech[[#This Row],[Hour]:[Hour]]&gt;=AJ$2),1,0)</f>
        <v>0</v>
      </c>
      <c r="AK119" s="276" cm="1">
        <f t="array" ref="AK119">IF(AND(AK$2&lt;&gt;0,TblTech[[#This Row],[Hour]:[Hour]]&gt;=AK$2),1,0)</f>
        <v>0</v>
      </c>
      <c r="AL119" s="276" cm="1">
        <f t="array" ref="AL119">IF(AND(AL$2&lt;&gt;0,TblTech[[#This Row],[Hour]:[Hour]]&gt;=AL$2),1,0)</f>
        <v>0</v>
      </c>
      <c r="AM119" s="276" cm="1">
        <f t="array" ref="AM119">IF(AND(AM$2&lt;&gt;0,TblTech[[#This Row],[Hour]:[Hour]]&gt;=AM$2),1,0)</f>
        <v>0</v>
      </c>
      <c r="AN119" s="276" cm="1">
        <f t="array" ref="AN119">IF(AND(AN$2&lt;&gt;0,TblTech[[#This Row],[Hour]:[Hour]]&gt;=AN$2),1,0)</f>
        <v>0</v>
      </c>
      <c r="AO119" s="276" cm="1">
        <f t="array" ref="AO119">IF(AND(AO$2&lt;&gt;0,TblTech[[#This Row],[Hour]:[Hour]]&gt;=AO$2),1,0)</f>
        <v>0</v>
      </c>
      <c r="AP119" s="276" cm="1">
        <f t="array" ref="AP119">IF(AND(AP$2&lt;&gt;0,TblTech[[#This Row],[Hour]:[Hour]]&gt;=AP$2),1,0)</f>
        <v>0</v>
      </c>
      <c r="AQ119" s="276" cm="1">
        <f t="array" ref="AQ119">IF(AND(AQ$2&lt;&gt;0,TblTech[[#This Row],[Hour]:[Hour]]&gt;=AQ$2),1,0)</f>
        <v>0</v>
      </c>
      <c r="AR119" s="276" cm="1">
        <f t="array" ref="AR119">IF(AND(AR$2&lt;&gt;0,TblTech[[#This Row],[Hour]:[Hour]]&gt;=AR$2),1,0)</f>
        <v>0</v>
      </c>
      <c r="AS119" s="276" cm="1">
        <f t="array" ref="AS119">IF(AND(AS$2&lt;&gt;0,TblTech[[#This Row],[Hour]:[Hour]]&gt;=AS$2),1,0)</f>
        <v>0</v>
      </c>
      <c r="AT119" s="276" cm="1">
        <f t="array" ref="AT119">IF(AND(AT$2&lt;&gt;0,TblTech[[#This Row],[Hour]:[Hour]]&gt;=AT$2),1,0)</f>
        <v>0</v>
      </c>
      <c r="AU119" s="276" cm="1">
        <f t="array" ref="AU119">IF(AND(AU$2&lt;&gt;0,TblTech[[#This Row],[Hour]:[Hour]]&gt;=AU$2),1,0)</f>
        <v>0</v>
      </c>
      <c r="AV119" s="276" cm="1">
        <f t="array" ref="AV119">IF(AND(AV$2&lt;&gt;0,TblTech[[#This Row],[Hour]:[Hour]]&gt;=AV$2),1,0)</f>
        <v>0</v>
      </c>
      <c r="AW119" s="276" cm="1">
        <f t="array" ref="AW119">IF(AND(AW$2&lt;&gt;0,TblTech[[#This Row],[Hour]:[Hour]]&gt;=AW$2),1,0)</f>
        <v>0</v>
      </c>
      <c r="AX119" s="276" cm="1">
        <f t="array" ref="AX119">IF(AND(AX$2&lt;&gt;0,TblTech[[#This Row],[Hour]:[Hour]]&gt;=AX$2),1,0)</f>
        <v>0</v>
      </c>
      <c r="AY119" s="276" cm="1">
        <f t="array" ref="AY119">IF(AND(AY$2&lt;&gt;0,TblTech[[#This Row],[Hour]:[Hour]]&gt;=AY$2),1,0)</f>
        <v>0</v>
      </c>
      <c r="AZ119" s="276" cm="1">
        <f t="array" ref="AZ119">IF(AND(AZ$2&lt;&gt;0,TblTech[[#This Row],[Hour]:[Hour]]&gt;=AZ$2),1,0)</f>
        <v>0</v>
      </c>
      <c r="BA119" s="276" cm="1">
        <f t="array" ref="BA119">IF(AND(BA$2&lt;&gt;0,TblTech[[#This Row],[Hour]:[Hour]]&gt;=BA$2),1,0)</f>
        <v>0</v>
      </c>
      <c r="BB119" s="276" cm="1">
        <f t="array" ref="BB119">IF(AND(BB$2&lt;&gt;0,TblTech[[#This Row],[Hour]:[Hour]]&gt;=BB$2),1,0)</f>
        <v>0</v>
      </c>
      <c r="BC119" s="276" cm="1">
        <f t="array" ref="BC119">IF(AND(BC$2&lt;&gt;0,TblTech[[#This Row],[Hour]:[Hour]]&gt;=BC$2),1,0)</f>
        <v>0</v>
      </c>
      <c r="BD119" s="276" cm="1">
        <f t="array" ref="BD119">IF(AND(BD$2&lt;&gt;0,TblTech[[#This Row],[Hour]:[Hour]]&gt;=BD$2),1,0)</f>
        <v>0</v>
      </c>
      <c r="BE119" s="276" cm="1">
        <f t="array" ref="BE119">IF(AND(BE$2&lt;&gt;0,TblTech[[#This Row],[Hour]:[Hour]]&gt;=BE$2),1,0)</f>
        <v>0</v>
      </c>
      <c r="BF119" s="276" cm="1">
        <f t="array" ref="BF119">IF(AND(BF$2&lt;&gt;0,TblTech[[#This Row],[Hour]:[Hour]]&gt;=BF$2),1,0)</f>
        <v>0</v>
      </c>
      <c r="BG119" s="276" cm="1">
        <f t="array" ref="BG119">IF(AND(BG$2&lt;&gt;0,TblTech[[#This Row],[Hour]:[Hour]]&gt;=BG$2),1,0)</f>
        <v>0</v>
      </c>
      <c r="BH119" s="276" cm="1">
        <f t="array" ref="BH119">IF(AND(BH$2&lt;&gt;0,TblTech[[#This Row],[Hour]:[Hour]]&gt;=BH$2),1,0)</f>
        <v>0</v>
      </c>
      <c r="BI119" s="276" cm="1">
        <f t="array" ref="BI119">IF(AND(BI$2&lt;&gt;0,TblTech[[#This Row],[Hour]:[Hour]]&gt;=BI$2),1,0)</f>
        <v>0</v>
      </c>
      <c r="BJ119" s="276" cm="1">
        <f t="array" ref="BJ119">IF(AND(BJ$2&lt;&gt;0,TblTech[[#This Row],[Hour]:[Hour]]&gt;=BJ$2),1,0)</f>
        <v>0</v>
      </c>
      <c r="BK119" s="276" cm="1">
        <f t="array" ref="BK119">IF(AND(BK$2&lt;&gt;0,TblTech[[#This Row],[Hour]:[Hour]]&gt;=BK$2),1,0)</f>
        <v>0</v>
      </c>
      <c r="BL119" s="276" cm="1">
        <f t="array" ref="BL119">IF(AND(BL$2&lt;&gt;0,TblTech[[#This Row],[Hour]:[Hour]]&gt;=BL$2),1,0)</f>
        <v>0</v>
      </c>
      <c r="BM119" s="276" cm="1">
        <f t="array" ref="BM119">IF(AND(BM$2&lt;&gt;0,TblTech[[#This Row],[Hour]:[Hour]]&gt;=BM$2),1,0)</f>
        <v>0</v>
      </c>
      <c r="BN119" s="276" cm="1">
        <f t="array" ref="BN119">IF(AND(BN$2&lt;&gt;0,TblTech[[#This Row],[Hour]:[Hour]]&gt;=BN$2),1,0)</f>
        <v>0</v>
      </c>
      <c r="BO119" s="276" cm="1">
        <f t="array" ref="BO119">IF(AND(BO$2&lt;&gt;0,TblTech[[#This Row],[Hour]:[Hour]]&gt;=BO$2),1,0)</f>
        <v>0</v>
      </c>
      <c r="BP119" s="276" cm="1">
        <f t="array" ref="BP119">IF(AND(BP$2&lt;&gt;0,TblTech[[#This Row],[Hour]:[Hour]]&gt;=BP$2),1,0)</f>
        <v>0</v>
      </c>
      <c r="BQ119" s="276" cm="1">
        <f t="array" ref="BQ119">IF(AND(BQ$2&lt;&gt;0,TblTech[[#This Row],[Hour]:[Hour]]&gt;=BQ$2),1,0)</f>
        <v>0</v>
      </c>
      <c r="BR119" s="276" cm="1">
        <f t="array" ref="BR119">IF(AND(BR$2&lt;&gt;0,TblTech[[#This Row],[Hour]:[Hour]]&gt;=BR$2),1,0)</f>
        <v>0</v>
      </c>
      <c r="BS119" s="276" cm="1">
        <f t="array" ref="BS119">IF(AND(BS$2&lt;&gt;0,TblTech[[#This Row],[Hour]:[Hour]]&gt;=BS$2),1,0)</f>
        <v>0</v>
      </c>
      <c r="BT119" s="276" cm="1">
        <f t="array" ref="BT119">IF(AND(BT$2&lt;&gt;0,TblTech[[#This Row],[Hour]:[Hour]]&gt;=BT$2),1,0)</f>
        <v>0</v>
      </c>
      <c r="BU119" s="276" cm="1">
        <f t="array" ref="BU119">IF(AND(BU$2&lt;&gt;0,TblTech[[#This Row],[Hour]:[Hour]]&gt;=BU$2),1,0)</f>
        <v>0</v>
      </c>
      <c r="BV119" s="276" cm="1">
        <f t="array" ref="BV119">IF(AND(BV$2&lt;&gt;0,TblTech[[#This Row],[Hour]:[Hour]]&gt;=BV$2),1,0)</f>
        <v>0</v>
      </c>
      <c r="BW119" s="276" cm="1">
        <f t="array" ref="BW119">IF(AND(BW$2&lt;&gt;0,TblTech[[#This Row],[Hour]:[Hour]]&gt;=BW$2),1,0)</f>
        <v>0</v>
      </c>
      <c r="BX119" s="276" cm="1">
        <f t="array" ref="BX119">IF(AND(BX$2&lt;&gt;0,TblTech[[#This Row],[Hour]:[Hour]]&gt;=BX$2),1,0)</f>
        <v>0</v>
      </c>
      <c r="BY119" s="276" cm="1">
        <f t="array" ref="BY119">IF(AND(BY$2&lt;&gt;0,TblTech[[#This Row],[Hour]:[Hour]]&gt;=BY$2),1,0)</f>
        <v>0</v>
      </c>
      <c r="BZ119" s="276" cm="1">
        <f t="array" ref="BZ119">IF(AND(BZ$2&lt;&gt;0,TblTech[[#This Row],[Hour]:[Hour]]&gt;=BZ$2),1,0)</f>
        <v>0</v>
      </c>
      <c r="CA119" s="377">
        <f>IFERROR(INDEX($H$4:$H$79,MATCH(INDEX(TblTech[[#Headers],[1-1]:[11-1]],1,MATCH(TblTech[[#This Row],[Hour]],$M$2:$BZ$2,0)),$G$4:$G$79,0)),)</f>
        <v>0</v>
      </c>
    </row>
    <row r="120" spans="1:79" x14ac:dyDescent="0.2">
      <c r="A120" s="268">
        <f>TblRezone[[#This Row],[Hour]]</f>
        <v>117</v>
      </c>
      <c r="B120" s="269">
        <f ca="1">TblExplore[[#This Row],[Land-DB]]</f>
        <v>50</v>
      </c>
      <c r="C120" s="270">
        <f ca="1">TblProd[[#This Row],[Techpoints]]</f>
        <v>0</v>
      </c>
      <c r="D120" s="270">
        <f ca="1">TblProd[[#This Row],[Required]]</f>
        <v>3750</v>
      </c>
      <c r="E120" s="279"/>
      <c r="F120" s="280"/>
      <c r="G120" s="273"/>
      <c r="H120" s="274"/>
      <c r="I120" s="274"/>
      <c r="J120" s="274"/>
      <c r="K120" s="93">
        <f ca="1">IF(TblTech[[#This Row],[Sum of tech]]&lt;&gt;OFFSET(TblTech[[#This Row],[Sum of tech]],-1,0),1,0)</f>
        <v>0</v>
      </c>
      <c r="L120" s="275">
        <f>COUNTIF(TblTech[[#This Row],[1-1]:[11-1]],1)</f>
        <v>0</v>
      </c>
      <c r="M120" s="276" cm="1">
        <f t="array" ref="M120">IF(AND(M$2&lt;&gt;0,TblTech[[#This Row],[Hour]:[Hour]]&gt;=M$2),1,0)</f>
        <v>0</v>
      </c>
      <c r="N120" s="276" cm="1">
        <f t="array" ref="N120">IF(AND(N$2&lt;&gt;0,TblTech[[#This Row],[Hour]:[Hour]]&gt;=N$2),1,0)</f>
        <v>0</v>
      </c>
      <c r="O120" s="276" cm="1">
        <f t="array" ref="O120">IF(AND(O$2&lt;&gt;0,TblTech[[#This Row],[Hour]:[Hour]]&gt;=O$2),1,0)</f>
        <v>0</v>
      </c>
      <c r="P120" s="276" cm="1">
        <f t="array" ref="P120">IF(AND(P$2&lt;&gt;0,TblTech[[#This Row],[Hour]:[Hour]]&gt;=P$2),1,0)</f>
        <v>0</v>
      </c>
      <c r="Q120" s="276" cm="1">
        <f t="array" ref="Q120">IF(AND(Q$2&lt;&gt;0,TblTech[[#This Row],[Hour]:[Hour]]&gt;=Q$2),1,0)</f>
        <v>0</v>
      </c>
      <c r="R120" s="276" cm="1">
        <f t="array" ref="R120">IF(AND(R$2&lt;&gt;0,TblTech[[#This Row],[Hour]:[Hour]]&gt;=R$2),1,0)</f>
        <v>0</v>
      </c>
      <c r="S120" s="276" cm="1">
        <f t="array" ref="S120">IF(AND(S$2&lt;&gt;0,TblTech[[#This Row],[Hour]:[Hour]]&gt;=S$2),1,0)</f>
        <v>0</v>
      </c>
      <c r="T120" s="276" cm="1">
        <f t="array" ref="T120">IF(AND(T$2&lt;&gt;0,TblTech[[#This Row],[Hour]:[Hour]]&gt;=T$2),1,0)</f>
        <v>0</v>
      </c>
      <c r="U120" s="276" cm="1">
        <f t="array" ref="U120">IF(AND(U$2&lt;&gt;0,TblTech[[#This Row],[Hour]:[Hour]]&gt;=U$2),1,0)</f>
        <v>0</v>
      </c>
      <c r="V120" s="276" cm="1">
        <f t="array" ref="V120">IF(AND(V$2&lt;&gt;0,TblTech[[#This Row],[Hour]:[Hour]]&gt;=V$2),1,0)</f>
        <v>0</v>
      </c>
      <c r="W120" s="276" cm="1">
        <f t="array" ref="W120">IF(AND(W$2&lt;&gt;0,TblTech[[#This Row],[Hour]:[Hour]]&gt;=W$2),1,0)</f>
        <v>0</v>
      </c>
      <c r="X120" s="276" cm="1">
        <f t="array" ref="X120">IF(AND(X$2&lt;&gt;0,TblTech[[#This Row],[Hour]:[Hour]]&gt;=X$2),1,0)</f>
        <v>0</v>
      </c>
      <c r="Y120" s="276" cm="1">
        <f t="array" ref="Y120">IF(AND(Y$2&lt;&gt;0,TblTech[[#This Row],[Hour]:[Hour]]&gt;=Y$2),1,0)</f>
        <v>0</v>
      </c>
      <c r="Z120" s="276" cm="1">
        <f t="array" ref="Z120">IF(AND(Z$2&lt;&gt;0,TblTech[[#This Row],[Hour]:[Hour]]&gt;=Z$2),1,0)</f>
        <v>0</v>
      </c>
      <c r="AA120" s="276" cm="1">
        <f t="array" ref="AA120">IF(AND(AA$2&lt;&gt;0,TblTech[[#This Row],[Hour]:[Hour]]&gt;=AA$2),1,0)</f>
        <v>0</v>
      </c>
      <c r="AB120" s="276" cm="1">
        <f t="array" ref="AB120">IF(AND(AB$2&lt;&gt;0,TblTech[[#This Row],[Hour]:[Hour]]&gt;=AB$2),1,0)</f>
        <v>0</v>
      </c>
      <c r="AC120" s="276" cm="1">
        <f t="array" ref="AC120">IF(AND(AC$2&lt;&gt;0,TblTech[[#This Row],[Hour]:[Hour]]&gt;=AC$2),1,0)</f>
        <v>0</v>
      </c>
      <c r="AD120" s="276" cm="1">
        <f t="array" ref="AD120">IF(AND(AD$2&lt;&gt;0,TblTech[[#This Row],[Hour]:[Hour]]&gt;=AD$2),1,0)</f>
        <v>0</v>
      </c>
      <c r="AE120" s="276" cm="1">
        <f t="array" ref="AE120">IF(AND(AE$2&lt;&gt;0,TblTech[[#This Row],[Hour]:[Hour]]&gt;=AE$2),1,0)</f>
        <v>0</v>
      </c>
      <c r="AF120" s="276" cm="1">
        <f t="array" ref="AF120">IF(AND(AF$2&lt;&gt;0,TblTech[[#This Row],[Hour]:[Hour]]&gt;=AF$2),1,0)</f>
        <v>0</v>
      </c>
      <c r="AG120" s="276" cm="1">
        <f t="array" ref="AG120">IF(AND(AG$2&lt;&gt;0,TblTech[[#This Row],[Hour]:[Hour]]&gt;=AG$2),1,0)</f>
        <v>0</v>
      </c>
      <c r="AH120" s="276" cm="1">
        <f t="array" ref="AH120">IF(AND(AH$2&lt;&gt;0,TblTech[[#This Row],[Hour]:[Hour]]&gt;=AH$2),1,0)</f>
        <v>0</v>
      </c>
      <c r="AI120" s="276" cm="1">
        <f t="array" ref="AI120">IF(AND(AI$2&lt;&gt;0,TblTech[[#This Row],[Hour]:[Hour]]&gt;=AI$2),1,0)</f>
        <v>0</v>
      </c>
      <c r="AJ120" s="276" cm="1">
        <f t="array" ref="AJ120">IF(AND(AJ$2&lt;&gt;0,TblTech[[#This Row],[Hour]:[Hour]]&gt;=AJ$2),1,0)</f>
        <v>0</v>
      </c>
      <c r="AK120" s="276" cm="1">
        <f t="array" ref="AK120">IF(AND(AK$2&lt;&gt;0,TblTech[[#This Row],[Hour]:[Hour]]&gt;=AK$2),1,0)</f>
        <v>0</v>
      </c>
      <c r="AL120" s="276" cm="1">
        <f t="array" ref="AL120">IF(AND(AL$2&lt;&gt;0,TblTech[[#This Row],[Hour]:[Hour]]&gt;=AL$2),1,0)</f>
        <v>0</v>
      </c>
      <c r="AM120" s="276" cm="1">
        <f t="array" ref="AM120">IF(AND(AM$2&lt;&gt;0,TblTech[[#This Row],[Hour]:[Hour]]&gt;=AM$2),1,0)</f>
        <v>0</v>
      </c>
      <c r="AN120" s="276" cm="1">
        <f t="array" ref="AN120">IF(AND(AN$2&lt;&gt;0,TblTech[[#This Row],[Hour]:[Hour]]&gt;=AN$2),1,0)</f>
        <v>0</v>
      </c>
      <c r="AO120" s="276" cm="1">
        <f t="array" ref="AO120">IF(AND(AO$2&lt;&gt;0,TblTech[[#This Row],[Hour]:[Hour]]&gt;=AO$2),1,0)</f>
        <v>0</v>
      </c>
      <c r="AP120" s="276" cm="1">
        <f t="array" ref="AP120">IF(AND(AP$2&lt;&gt;0,TblTech[[#This Row],[Hour]:[Hour]]&gt;=AP$2),1,0)</f>
        <v>0</v>
      </c>
      <c r="AQ120" s="276" cm="1">
        <f t="array" ref="AQ120">IF(AND(AQ$2&lt;&gt;0,TblTech[[#This Row],[Hour]:[Hour]]&gt;=AQ$2),1,0)</f>
        <v>0</v>
      </c>
      <c r="AR120" s="276" cm="1">
        <f t="array" ref="AR120">IF(AND(AR$2&lt;&gt;0,TblTech[[#This Row],[Hour]:[Hour]]&gt;=AR$2),1,0)</f>
        <v>0</v>
      </c>
      <c r="AS120" s="276" cm="1">
        <f t="array" ref="AS120">IF(AND(AS$2&lt;&gt;0,TblTech[[#This Row],[Hour]:[Hour]]&gt;=AS$2),1,0)</f>
        <v>0</v>
      </c>
      <c r="AT120" s="276" cm="1">
        <f t="array" ref="AT120">IF(AND(AT$2&lt;&gt;0,TblTech[[#This Row],[Hour]:[Hour]]&gt;=AT$2),1,0)</f>
        <v>0</v>
      </c>
      <c r="AU120" s="276" cm="1">
        <f t="array" ref="AU120">IF(AND(AU$2&lt;&gt;0,TblTech[[#This Row],[Hour]:[Hour]]&gt;=AU$2),1,0)</f>
        <v>0</v>
      </c>
      <c r="AV120" s="276" cm="1">
        <f t="array" ref="AV120">IF(AND(AV$2&lt;&gt;0,TblTech[[#This Row],[Hour]:[Hour]]&gt;=AV$2),1,0)</f>
        <v>0</v>
      </c>
      <c r="AW120" s="276" cm="1">
        <f t="array" ref="AW120">IF(AND(AW$2&lt;&gt;0,TblTech[[#This Row],[Hour]:[Hour]]&gt;=AW$2),1,0)</f>
        <v>0</v>
      </c>
      <c r="AX120" s="276" cm="1">
        <f t="array" ref="AX120">IF(AND(AX$2&lt;&gt;0,TblTech[[#This Row],[Hour]:[Hour]]&gt;=AX$2),1,0)</f>
        <v>0</v>
      </c>
      <c r="AY120" s="276" cm="1">
        <f t="array" ref="AY120">IF(AND(AY$2&lt;&gt;0,TblTech[[#This Row],[Hour]:[Hour]]&gt;=AY$2),1,0)</f>
        <v>0</v>
      </c>
      <c r="AZ120" s="276" cm="1">
        <f t="array" ref="AZ120">IF(AND(AZ$2&lt;&gt;0,TblTech[[#This Row],[Hour]:[Hour]]&gt;=AZ$2),1,0)</f>
        <v>0</v>
      </c>
      <c r="BA120" s="276" cm="1">
        <f t="array" ref="BA120">IF(AND(BA$2&lt;&gt;0,TblTech[[#This Row],[Hour]:[Hour]]&gt;=BA$2),1,0)</f>
        <v>0</v>
      </c>
      <c r="BB120" s="276" cm="1">
        <f t="array" ref="BB120">IF(AND(BB$2&lt;&gt;0,TblTech[[#This Row],[Hour]:[Hour]]&gt;=BB$2),1,0)</f>
        <v>0</v>
      </c>
      <c r="BC120" s="276" cm="1">
        <f t="array" ref="BC120">IF(AND(BC$2&lt;&gt;0,TblTech[[#This Row],[Hour]:[Hour]]&gt;=BC$2),1,0)</f>
        <v>0</v>
      </c>
      <c r="BD120" s="276" cm="1">
        <f t="array" ref="BD120">IF(AND(BD$2&lt;&gt;0,TblTech[[#This Row],[Hour]:[Hour]]&gt;=BD$2),1,0)</f>
        <v>0</v>
      </c>
      <c r="BE120" s="276" cm="1">
        <f t="array" ref="BE120">IF(AND(BE$2&lt;&gt;0,TblTech[[#This Row],[Hour]:[Hour]]&gt;=BE$2),1,0)</f>
        <v>0</v>
      </c>
      <c r="BF120" s="276" cm="1">
        <f t="array" ref="BF120">IF(AND(BF$2&lt;&gt;0,TblTech[[#This Row],[Hour]:[Hour]]&gt;=BF$2),1,0)</f>
        <v>0</v>
      </c>
      <c r="BG120" s="276" cm="1">
        <f t="array" ref="BG120">IF(AND(BG$2&lt;&gt;0,TblTech[[#This Row],[Hour]:[Hour]]&gt;=BG$2),1,0)</f>
        <v>0</v>
      </c>
      <c r="BH120" s="276" cm="1">
        <f t="array" ref="BH120">IF(AND(BH$2&lt;&gt;0,TblTech[[#This Row],[Hour]:[Hour]]&gt;=BH$2),1,0)</f>
        <v>0</v>
      </c>
      <c r="BI120" s="276" cm="1">
        <f t="array" ref="BI120">IF(AND(BI$2&lt;&gt;0,TblTech[[#This Row],[Hour]:[Hour]]&gt;=BI$2),1,0)</f>
        <v>0</v>
      </c>
      <c r="BJ120" s="276" cm="1">
        <f t="array" ref="BJ120">IF(AND(BJ$2&lt;&gt;0,TblTech[[#This Row],[Hour]:[Hour]]&gt;=BJ$2),1,0)</f>
        <v>0</v>
      </c>
      <c r="BK120" s="276" cm="1">
        <f t="array" ref="BK120">IF(AND(BK$2&lt;&gt;0,TblTech[[#This Row],[Hour]:[Hour]]&gt;=BK$2),1,0)</f>
        <v>0</v>
      </c>
      <c r="BL120" s="276" cm="1">
        <f t="array" ref="BL120">IF(AND(BL$2&lt;&gt;0,TblTech[[#This Row],[Hour]:[Hour]]&gt;=BL$2),1,0)</f>
        <v>0</v>
      </c>
      <c r="BM120" s="276" cm="1">
        <f t="array" ref="BM120">IF(AND(BM$2&lt;&gt;0,TblTech[[#This Row],[Hour]:[Hour]]&gt;=BM$2),1,0)</f>
        <v>0</v>
      </c>
      <c r="BN120" s="276" cm="1">
        <f t="array" ref="BN120">IF(AND(BN$2&lt;&gt;0,TblTech[[#This Row],[Hour]:[Hour]]&gt;=BN$2),1,0)</f>
        <v>0</v>
      </c>
      <c r="BO120" s="276" cm="1">
        <f t="array" ref="BO120">IF(AND(BO$2&lt;&gt;0,TblTech[[#This Row],[Hour]:[Hour]]&gt;=BO$2),1,0)</f>
        <v>0</v>
      </c>
      <c r="BP120" s="276" cm="1">
        <f t="array" ref="BP120">IF(AND(BP$2&lt;&gt;0,TblTech[[#This Row],[Hour]:[Hour]]&gt;=BP$2),1,0)</f>
        <v>0</v>
      </c>
      <c r="BQ120" s="276" cm="1">
        <f t="array" ref="BQ120">IF(AND(BQ$2&lt;&gt;0,TblTech[[#This Row],[Hour]:[Hour]]&gt;=BQ$2),1,0)</f>
        <v>0</v>
      </c>
      <c r="BR120" s="276" cm="1">
        <f t="array" ref="BR120">IF(AND(BR$2&lt;&gt;0,TblTech[[#This Row],[Hour]:[Hour]]&gt;=BR$2),1,0)</f>
        <v>0</v>
      </c>
      <c r="BS120" s="276" cm="1">
        <f t="array" ref="BS120">IF(AND(BS$2&lt;&gt;0,TblTech[[#This Row],[Hour]:[Hour]]&gt;=BS$2),1,0)</f>
        <v>0</v>
      </c>
      <c r="BT120" s="276" cm="1">
        <f t="array" ref="BT120">IF(AND(BT$2&lt;&gt;0,TblTech[[#This Row],[Hour]:[Hour]]&gt;=BT$2),1,0)</f>
        <v>0</v>
      </c>
      <c r="BU120" s="276" cm="1">
        <f t="array" ref="BU120">IF(AND(BU$2&lt;&gt;0,TblTech[[#This Row],[Hour]:[Hour]]&gt;=BU$2),1,0)</f>
        <v>0</v>
      </c>
      <c r="BV120" s="276" cm="1">
        <f t="array" ref="BV120">IF(AND(BV$2&lt;&gt;0,TblTech[[#This Row],[Hour]:[Hour]]&gt;=BV$2),1,0)</f>
        <v>0</v>
      </c>
      <c r="BW120" s="276" cm="1">
        <f t="array" ref="BW120">IF(AND(BW$2&lt;&gt;0,TblTech[[#This Row],[Hour]:[Hour]]&gt;=BW$2),1,0)</f>
        <v>0</v>
      </c>
      <c r="BX120" s="276" cm="1">
        <f t="array" ref="BX120">IF(AND(BX$2&lt;&gt;0,TblTech[[#This Row],[Hour]:[Hour]]&gt;=BX$2),1,0)</f>
        <v>0</v>
      </c>
      <c r="BY120" s="276" cm="1">
        <f t="array" ref="BY120">IF(AND(BY$2&lt;&gt;0,TblTech[[#This Row],[Hour]:[Hour]]&gt;=BY$2),1,0)</f>
        <v>0</v>
      </c>
      <c r="BZ120" s="276" cm="1">
        <f t="array" ref="BZ120">IF(AND(BZ$2&lt;&gt;0,TblTech[[#This Row],[Hour]:[Hour]]&gt;=BZ$2),1,0)</f>
        <v>0</v>
      </c>
      <c r="CA120" s="377">
        <f>IFERROR(INDEX($H$4:$H$79,MATCH(INDEX(TblTech[[#Headers],[1-1]:[11-1]],1,MATCH(TblTech[[#This Row],[Hour]],$M$2:$BZ$2,0)),$G$4:$G$79,0)),)</f>
        <v>0</v>
      </c>
    </row>
    <row r="121" spans="1:79" x14ac:dyDescent="0.2">
      <c r="A121" s="268">
        <f>TblRezone[[#This Row],[Hour]]</f>
        <v>118</v>
      </c>
      <c r="B121" s="269">
        <f ca="1">TblExplore[[#This Row],[Land-DB]]</f>
        <v>50</v>
      </c>
      <c r="C121" s="270">
        <f ca="1">TblProd[[#This Row],[Techpoints]]</f>
        <v>0</v>
      </c>
      <c r="D121" s="270">
        <f ca="1">TblProd[[#This Row],[Required]]</f>
        <v>3750</v>
      </c>
      <c r="E121" s="279"/>
      <c r="F121" s="280"/>
      <c r="G121" s="273"/>
      <c r="H121" s="274"/>
      <c r="I121" s="274"/>
      <c r="J121" s="274"/>
      <c r="K121" s="93">
        <f ca="1">IF(TblTech[[#This Row],[Sum of tech]]&lt;&gt;OFFSET(TblTech[[#This Row],[Sum of tech]],-1,0),1,0)</f>
        <v>0</v>
      </c>
      <c r="L121" s="275">
        <f>COUNTIF(TblTech[[#This Row],[1-1]:[11-1]],1)</f>
        <v>0</v>
      </c>
      <c r="M121" s="276" cm="1">
        <f t="array" ref="M121">IF(AND(M$2&lt;&gt;0,TblTech[[#This Row],[Hour]:[Hour]]&gt;=M$2),1,0)</f>
        <v>0</v>
      </c>
      <c r="N121" s="276" cm="1">
        <f t="array" ref="N121">IF(AND(N$2&lt;&gt;0,TblTech[[#This Row],[Hour]:[Hour]]&gt;=N$2),1,0)</f>
        <v>0</v>
      </c>
      <c r="O121" s="276" cm="1">
        <f t="array" ref="O121">IF(AND(O$2&lt;&gt;0,TblTech[[#This Row],[Hour]:[Hour]]&gt;=O$2),1,0)</f>
        <v>0</v>
      </c>
      <c r="P121" s="276" cm="1">
        <f t="array" ref="P121">IF(AND(P$2&lt;&gt;0,TblTech[[#This Row],[Hour]:[Hour]]&gt;=P$2),1,0)</f>
        <v>0</v>
      </c>
      <c r="Q121" s="276" cm="1">
        <f t="array" ref="Q121">IF(AND(Q$2&lt;&gt;0,TblTech[[#This Row],[Hour]:[Hour]]&gt;=Q$2),1,0)</f>
        <v>0</v>
      </c>
      <c r="R121" s="276" cm="1">
        <f t="array" ref="R121">IF(AND(R$2&lt;&gt;0,TblTech[[#This Row],[Hour]:[Hour]]&gt;=R$2),1,0)</f>
        <v>0</v>
      </c>
      <c r="S121" s="276" cm="1">
        <f t="array" ref="S121">IF(AND(S$2&lt;&gt;0,TblTech[[#This Row],[Hour]:[Hour]]&gt;=S$2),1,0)</f>
        <v>0</v>
      </c>
      <c r="T121" s="276" cm="1">
        <f t="array" ref="T121">IF(AND(T$2&lt;&gt;0,TblTech[[#This Row],[Hour]:[Hour]]&gt;=T$2),1,0)</f>
        <v>0</v>
      </c>
      <c r="U121" s="276" cm="1">
        <f t="array" ref="U121">IF(AND(U$2&lt;&gt;0,TblTech[[#This Row],[Hour]:[Hour]]&gt;=U$2),1,0)</f>
        <v>0</v>
      </c>
      <c r="V121" s="276" cm="1">
        <f t="array" ref="V121">IF(AND(V$2&lt;&gt;0,TblTech[[#This Row],[Hour]:[Hour]]&gt;=V$2),1,0)</f>
        <v>0</v>
      </c>
      <c r="W121" s="276" cm="1">
        <f t="array" ref="W121">IF(AND(W$2&lt;&gt;0,TblTech[[#This Row],[Hour]:[Hour]]&gt;=W$2),1,0)</f>
        <v>0</v>
      </c>
      <c r="X121" s="276" cm="1">
        <f t="array" ref="X121">IF(AND(X$2&lt;&gt;0,TblTech[[#This Row],[Hour]:[Hour]]&gt;=X$2),1,0)</f>
        <v>0</v>
      </c>
      <c r="Y121" s="276" cm="1">
        <f t="array" ref="Y121">IF(AND(Y$2&lt;&gt;0,TblTech[[#This Row],[Hour]:[Hour]]&gt;=Y$2),1,0)</f>
        <v>0</v>
      </c>
      <c r="Z121" s="276" cm="1">
        <f t="array" ref="Z121">IF(AND(Z$2&lt;&gt;0,TblTech[[#This Row],[Hour]:[Hour]]&gt;=Z$2),1,0)</f>
        <v>0</v>
      </c>
      <c r="AA121" s="276" cm="1">
        <f t="array" ref="AA121">IF(AND(AA$2&lt;&gt;0,TblTech[[#This Row],[Hour]:[Hour]]&gt;=AA$2),1,0)</f>
        <v>0</v>
      </c>
      <c r="AB121" s="276" cm="1">
        <f t="array" ref="AB121">IF(AND(AB$2&lt;&gt;0,TblTech[[#This Row],[Hour]:[Hour]]&gt;=AB$2),1,0)</f>
        <v>0</v>
      </c>
      <c r="AC121" s="276" cm="1">
        <f t="array" ref="AC121">IF(AND(AC$2&lt;&gt;0,TblTech[[#This Row],[Hour]:[Hour]]&gt;=AC$2),1,0)</f>
        <v>0</v>
      </c>
      <c r="AD121" s="276" cm="1">
        <f t="array" ref="AD121">IF(AND(AD$2&lt;&gt;0,TblTech[[#This Row],[Hour]:[Hour]]&gt;=AD$2),1,0)</f>
        <v>0</v>
      </c>
      <c r="AE121" s="276" cm="1">
        <f t="array" ref="AE121">IF(AND(AE$2&lt;&gt;0,TblTech[[#This Row],[Hour]:[Hour]]&gt;=AE$2),1,0)</f>
        <v>0</v>
      </c>
      <c r="AF121" s="276" cm="1">
        <f t="array" ref="AF121">IF(AND(AF$2&lt;&gt;0,TblTech[[#This Row],[Hour]:[Hour]]&gt;=AF$2),1,0)</f>
        <v>0</v>
      </c>
      <c r="AG121" s="276" cm="1">
        <f t="array" ref="AG121">IF(AND(AG$2&lt;&gt;0,TblTech[[#This Row],[Hour]:[Hour]]&gt;=AG$2),1,0)</f>
        <v>0</v>
      </c>
      <c r="AH121" s="276" cm="1">
        <f t="array" ref="AH121">IF(AND(AH$2&lt;&gt;0,TblTech[[#This Row],[Hour]:[Hour]]&gt;=AH$2),1,0)</f>
        <v>0</v>
      </c>
      <c r="AI121" s="276" cm="1">
        <f t="array" ref="AI121">IF(AND(AI$2&lt;&gt;0,TblTech[[#This Row],[Hour]:[Hour]]&gt;=AI$2),1,0)</f>
        <v>0</v>
      </c>
      <c r="AJ121" s="276" cm="1">
        <f t="array" ref="AJ121">IF(AND(AJ$2&lt;&gt;0,TblTech[[#This Row],[Hour]:[Hour]]&gt;=AJ$2),1,0)</f>
        <v>0</v>
      </c>
      <c r="AK121" s="276" cm="1">
        <f t="array" ref="AK121">IF(AND(AK$2&lt;&gt;0,TblTech[[#This Row],[Hour]:[Hour]]&gt;=AK$2),1,0)</f>
        <v>0</v>
      </c>
      <c r="AL121" s="276" cm="1">
        <f t="array" ref="AL121">IF(AND(AL$2&lt;&gt;0,TblTech[[#This Row],[Hour]:[Hour]]&gt;=AL$2),1,0)</f>
        <v>0</v>
      </c>
      <c r="AM121" s="276" cm="1">
        <f t="array" ref="AM121">IF(AND(AM$2&lt;&gt;0,TblTech[[#This Row],[Hour]:[Hour]]&gt;=AM$2),1,0)</f>
        <v>0</v>
      </c>
      <c r="AN121" s="276" cm="1">
        <f t="array" ref="AN121">IF(AND(AN$2&lt;&gt;0,TblTech[[#This Row],[Hour]:[Hour]]&gt;=AN$2),1,0)</f>
        <v>0</v>
      </c>
      <c r="AO121" s="276" cm="1">
        <f t="array" ref="AO121">IF(AND(AO$2&lt;&gt;0,TblTech[[#This Row],[Hour]:[Hour]]&gt;=AO$2),1,0)</f>
        <v>0</v>
      </c>
      <c r="AP121" s="276" cm="1">
        <f t="array" ref="AP121">IF(AND(AP$2&lt;&gt;0,TblTech[[#This Row],[Hour]:[Hour]]&gt;=AP$2),1,0)</f>
        <v>0</v>
      </c>
      <c r="AQ121" s="276" cm="1">
        <f t="array" ref="AQ121">IF(AND(AQ$2&lt;&gt;0,TblTech[[#This Row],[Hour]:[Hour]]&gt;=AQ$2),1,0)</f>
        <v>0</v>
      </c>
      <c r="AR121" s="276" cm="1">
        <f t="array" ref="AR121">IF(AND(AR$2&lt;&gt;0,TblTech[[#This Row],[Hour]:[Hour]]&gt;=AR$2),1,0)</f>
        <v>0</v>
      </c>
      <c r="AS121" s="276" cm="1">
        <f t="array" ref="AS121">IF(AND(AS$2&lt;&gt;0,TblTech[[#This Row],[Hour]:[Hour]]&gt;=AS$2),1,0)</f>
        <v>0</v>
      </c>
      <c r="AT121" s="276" cm="1">
        <f t="array" ref="AT121">IF(AND(AT$2&lt;&gt;0,TblTech[[#This Row],[Hour]:[Hour]]&gt;=AT$2),1,0)</f>
        <v>0</v>
      </c>
      <c r="AU121" s="276" cm="1">
        <f t="array" ref="AU121">IF(AND(AU$2&lt;&gt;0,TblTech[[#This Row],[Hour]:[Hour]]&gt;=AU$2),1,0)</f>
        <v>0</v>
      </c>
      <c r="AV121" s="276" cm="1">
        <f t="array" ref="AV121">IF(AND(AV$2&lt;&gt;0,TblTech[[#This Row],[Hour]:[Hour]]&gt;=AV$2),1,0)</f>
        <v>0</v>
      </c>
      <c r="AW121" s="276" cm="1">
        <f t="array" ref="AW121">IF(AND(AW$2&lt;&gt;0,TblTech[[#This Row],[Hour]:[Hour]]&gt;=AW$2),1,0)</f>
        <v>0</v>
      </c>
      <c r="AX121" s="276" cm="1">
        <f t="array" ref="AX121">IF(AND(AX$2&lt;&gt;0,TblTech[[#This Row],[Hour]:[Hour]]&gt;=AX$2),1,0)</f>
        <v>0</v>
      </c>
      <c r="AY121" s="276" cm="1">
        <f t="array" ref="AY121">IF(AND(AY$2&lt;&gt;0,TblTech[[#This Row],[Hour]:[Hour]]&gt;=AY$2),1,0)</f>
        <v>0</v>
      </c>
      <c r="AZ121" s="276" cm="1">
        <f t="array" ref="AZ121">IF(AND(AZ$2&lt;&gt;0,TblTech[[#This Row],[Hour]:[Hour]]&gt;=AZ$2),1,0)</f>
        <v>0</v>
      </c>
      <c r="BA121" s="276" cm="1">
        <f t="array" ref="BA121">IF(AND(BA$2&lt;&gt;0,TblTech[[#This Row],[Hour]:[Hour]]&gt;=BA$2),1,0)</f>
        <v>0</v>
      </c>
      <c r="BB121" s="276" cm="1">
        <f t="array" ref="BB121">IF(AND(BB$2&lt;&gt;0,TblTech[[#This Row],[Hour]:[Hour]]&gt;=BB$2),1,0)</f>
        <v>0</v>
      </c>
      <c r="BC121" s="276" cm="1">
        <f t="array" ref="BC121">IF(AND(BC$2&lt;&gt;0,TblTech[[#This Row],[Hour]:[Hour]]&gt;=BC$2),1,0)</f>
        <v>0</v>
      </c>
      <c r="BD121" s="276" cm="1">
        <f t="array" ref="BD121">IF(AND(BD$2&lt;&gt;0,TblTech[[#This Row],[Hour]:[Hour]]&gt;=BD$2),1,0)</f>
        <v>0</v>
      </c>
      <c r="BE121" s="276" cm="1">
        <f t="array" ref="BE121">IF(AND(BE$2&lt;&gt;0,TblTech[[#This Row],[Hour]:[Hour]]&gt;=BE$2),1,0)</f>
        <v>0</v>
      </c>
      <c r="BF121" s="276" cm="1">
        <f t="array" ref="BF121">IF(AND(BF$2&lt;&gt;0,TblTech[[#This Row],[Hour]:[Hour]]&gt;=BF$2),1,0)</f>
        <v>0</v>
      </c>
      <c r="BG121" s="276" cm="1">
        <f t="array" ref="BG121">IF(AND(BG$2&lt;&gt;0,TblTech[[#This Row],[Hour]:[Hour]]&gt;=BG$2),1,0)</f>
        <v>0</v>
      </c>
      <c r="BH121" s="276" cm="1">
        <f t="array" ref="BH121">IF(AND(BH$2&lt;&gt;0,TblTech[[#This Row],[Hour]:[Hour]]&gt;=BH$2),1,0)</f>
        <v>0</v>
      </c>
      <c r="BI121" s="276" cm="1">
        <f t="array" ref="BI121">IF(AND(BI$2&lt;&gt;0,TblTech[[#This Row],[Hour]:[Hour]]&gt;=BI$2),1,0)</f>
        <v>0</v>
      </c>
      <c r="BJ121" s="276" cm="1">
        <f t="array" ref="BJ121">IF(AND(BJ$2&lt;&gt;0,TblTech[[#This Row],[Hour]:[Hour]]&gt;=BJ$2),1,0)</f>
        <v>0</v>
      </c>
      <c r="BK121" s="276" cm="1">
        <f t="array" ref="BK121">IF(AND(BK$2&lt;&gt;0,TblTech[[#This Row],[Hour]:[Hour]]&gt;=BK$2),1,0)</f>
        <v>0</v>
      </c>
      <c r="BL121" s="276" cm="1">
        <f t="array" ref="BL121">IF(AND(BL$2&lt;&gt;0,TblTech[[#This Row],[Hour]:[Hour]]&gt;=BL$2),1,0)</f>
        <v>0</v>
      </c>
      <c r="BM121" s="276" cm="1">
        <f t="array" ref="BM121">IF(AND(BM$2&lt;&gt;0,TblTech[[#This Row],[Hour]:[Hour]]&gt;=BM$2),1,0)</f>
        <v>0</v>
      </c>
      <c r="BN121" s="276" cm="1">
        <f t="array" ref="BN121">IF(AND(BN$2&lt;&gt;0,TblTech[[#This Row],[Hour]:[Hour]]&gt;=BN$2),1,0)</f>
        <v>0</v>
      </c>
      <c r="BO121" s="276" cm="1">
        <f t="array" ref="BO121">IF(AND(BO$2&lt;&gt;0,TblTech[[#This Row],[Hour]:[Hour]]&gt;=BO$2),1,0)</f>
        <v>0</v>
      </c>
      <c r="BP121" s="276" cm="1">
        <f t="array" ref="BP121">IF(AND(BP$2&lt;&gt;0,TblTech[[#This Row],[Hour]:[Hour]]&gt;=BP$2),1,0)</f>
        <v>0</v>
      </c>
      <c r="BQ121" s="276" cm="1">
        <f t="array" ref="BQ121">IF(AND(BQ$2&lt;&gt;0,TblTech[[#This Row],[Hour]:[Hour]]&gt;=BQ$2),1,0)</f>
        <v>0</v>
      </c>
      <c r="BR121" s="276" cm="1">
        <f t="array" ref="BR121">IF(AND(BR$2&lt;&gt;0,TblTech[[#This Row],[Hour]:[Hour]]&gt;=BR$2),1,0)</f>
        <v>0</v>
      </c>
      <c r="BS121" s="276" cm="1">
        <f t="array" ref="BS121">IF(AND(BS$2&lt;&gt;0,TblTech[[#This Row],[Hour]:[Hour]]&gt;=BS$2),1,0)</f>
        <v>0</v>
      </c>
      <c r="BT121" s="276" cm="1">
        <f t="array" ref="BT121">IF(AND(BT$2&lt;&gt;0,TblTech[[#This Row],[Hour]:[Hour]]&gt;=BT$2),1,0)</f>
        <v>0</v>
      </c>
      <c r="BU121" s="276" cm="1">
        <f t="array" ref="BU121">IF(AND(BU$2&lt;&gt;0,TblTech[[#This Row],[Hour]:[Hour]]&gt;=BU$2),1,0)</f>
        <v>0</v>
      </c>
      <c r="BV121" s="276" cm="1">
        <f t="array" ref="BV121">IF(AND(BV$2&lt;&gt;0,TblTech[[#This Row],[Hour]:[Hour]]&gt;=BV$2),1,0)</f>
        <v>0</v>
      </c>
      <c r="BW121" s="276" cm="1">
        <f t="array" ref="BW121">IF(AND(BW$2&lt;&gt;0,TblTech[[#This Row],[Hour]:[Hour]]&gt;=BW$2),1,0)</f>
        <v>0</v>
      </c>
      <c r="BX121" s="276" cm="1">
        <f t="array" ref="BX121">IF(AND(BX$2&lt;&gt;0,TblTech[[#This Row],[Hour]:[Hour]]&gt;=BX$2),1,0)</f>
        <v>0</v>
      </c>
      <c r="BY121" s="276" cm="1">
        <f t="array" ref="BY121">IF(AND(BY$2&lt;&gt;0,TblTech[[#This Row],[Hour]:[Hour]]&gt;=BY$2),1,0)</f>
        <v>0</v>
      </c>
      <c r="BZ121" s="276" cm="1">
        <f t="array" ref="BZ121">IF(AND(BZ$2&lt;&gt;0,TblTech[[#This Row],[Hour]:[Hour]]&gt;=BZ$2),1,0)</f>
        <v>0</v>
      </c>
      <c r="CA121" s="377">
        <f>IFERROR(INDEX($H$4:$H$79,MATCH(INDEX(TblTech[[#Headers],[1-1]:[11-1]],1,MATCH(TblTech[[#This Row],[Hour]],$M$2:$BZ$2,0)),$G$4:$G$79,0)),)</f>
        <v>0</v>
      </c>
    </row>
    <row r="122" spans="1:79" x14ac:dyDescent="0.2">
      <c r="A122" s="268">
        <f>TblRezone[[#This Row],[Hour]]</f>
        <v>119</v>
      </c>
      <c r="B122" s="269">
        <f ca="1">TblExplore[[#This Row],[Land-DB]]</f>
        <v>50</v>
      </c>
      <c r="C122" s="270">
        <f ca="1">TblProd[[#This Row],[Techpoints]]</f>
        <v>0</v>
      </c>
      <c r="D122" s="270">
        <f ca="1">TblProd[[#This Row],[Required]]</f>
        <v>3750</v>
      </c>
      <c r="E122" s="279"/>
      <c r="F122" s="280"/>
      <c r="G122" s="273"/>
      <c r="H122" s="274"/>
      <c r="I122" s="274"/>
      <c r="J122" s="274"/>
      <c r="K122" s="93">
        <f ca="1">IF(TblTech[[#This Row],[Sum of tech]]&lt;&gt;OFFSET(TblTech[[#This Row],[Sum of tech]],-1,0),1,0)</f>
        <v>0</v>
      </c>
      <c r="L122" s="275">
        <f>COUNTIF(TblTech[[#This Row],[1-1]:[11-1]],1)</f>
        <v>0</v>
      </c>
      <c r="M122" s="276" cm="1">
        <f t="array" ref="M122">IF(AND(M$2&lt;&gt;0,TblTech[[#This Row],[Hour]:[Hour]]&gt;=M$2),1,0)</f>
        <v>0</v>
      </c>
      <c r="N122" s="276" cm="1">
        <f t="array" ref="N122">IF(AND(N$2&lt;&gt;0,TblTech[[#This Row],[Hour]:[Hour]]&gt;=N$2),1,0)</f>
        <v>0</v>
      </c>
      <c r="O122" s="276" cm="1">
        <f t="array" ref="O122">IF(AND(O$2&lt;&gt;0,TblTech[[#This Row],[Hour]:[Hour]]&gt;=O$2),1,0)</f>
        <v>0</v>
      </c>
      <c r="P122" s="276" cm="1">
        <f t="array" ref="P122">IF(AND(P$2&lt;&gt;0,TblTech[[#This Row],[Hour]:[Hour]]&gt;=P$2),1,0)</f>
        <v>0</v>
      </c>
      <c r="Q122" s="276" cm="1">
        <f t="array" ref="Q122">IF(AND(Q$2&lt;&gt;0,TblTech[[#This Row],[Hour]:[Hour]]&gt;=Q$2),1,0)</f>
        <v>0</v>
      </c>
      <c r="R122" s="276" cm="1">
        <f t="array" ref="R122">IF(AND(R$2&lt;&gt;0,TblTech[[#This Row],[Hour]:[Hour]]&gt;=R$2),1,0)</f>
        <v>0</v>
      </c>
      <c r="S122" s="276" cm="1">
        <f t="array" ref="S122">IF(AND(S$2&lt;&gt;0,TblTech[[#This Row],[Hour]:[Hour]]&gt;=S$2),1,0)</f>
        <v>0</v>
      </c>
      <c r="T122" s="276" cm="1">
        <f t="array" ref="T122">IF(AND(T$2&lt;&gt;0,TblTech[[#This Row],[Hour]:[Hour]]&gt;=T$2),1,0)</f>
        <v>0</v>
      </c>
      <c r="U122" s="276" cm="1">
        <f t="array" ref="U122">IF(AND(U$2&lt;&gt;0,TblTech[[#This Row],[Hour]:[Hour]]&gt;=U$2),1,0)</f>
        <v>0</v>
      </c>
      <c r="V122" s="276" cm="1">
        <f t="array" ref="V122">IF(AND(V$2&lt;&gt;0,TblTech[[#This Row],[Hour]:[Hour]]&gt;=V$2),1,0)</f>
        <v>0</v>
      </c>
      <c r="W122" s="276" cm="1">
        <f t="array" ref="W122">IF(AND(W$2&lt;&gt;0,TblTech[[#This Row],[Hour]:[Hour]]&gt;=W$2),1,0)</f>
        <v>0</v>
      </c>
      <c r="X122" s="276" cm="1">
        <f t="array" ref="X122">IF(AND(X$2&lt;&gt;0,TblTech[[#This Row],[Hour]:[Hour]]&gt;=X$2),1,0)</f>
        <v>0</v>
      </c>
      <c r="Y122" s="276" cm="1">
        <f t="array" ref="Y122">IF(AND(Y$2&lt;&gt;0,TblTech[[#This Row],[Hour]:[Hour]]&gt;=Y$2),1,0)</f>
        <v>0</v>
      </c>
      <c r="Z122" s="276" cm="1">
        <f t="array" ref="Z122">IF(AND(Z$2&lt;&gt;0,TblTech[[#This Row],[Hour]:[Hour]]&gt;=Z$2),1,0)</f>
        <v>0</v>
      </c>
      <c r="AA122" s="276" cm="1">
        <f t="array" ref="AA122">IF(AND(AA$2&lt;&gt;0,TblTech[[#This Row],[Hour]:[Hour]]&gt;=AA$2),1,0)</f>
        <v>0</v>
      </c>
      <c r="AB122" s="276" cm="1">
        <f t="array" ref="AB122">IF(AND(AB$2&lt;&gt;0,TblTech[[#This Row],[Hour]:[Hour]]&gt;=AB$2),1,0)</f>
        <v>0</v>
      </c>
      <c r="AC122" s="276" cm="1">
        <f t="array" ref="AC122">IF(AND(AC$2&lt;&gt;0,TblTech[[#This Row],[Hour]:[Hour]]&gt;=AC$2),1,0)</f>
        <v>0</v>
      </c>
      <c r="AD122" s="276" cm="1">
        <f t="array" ref="AD122">IF(AND(AD$2&lt;&gt;0,TblTech[[#This Row],[Hour]:[Hour]]&gt;=AD$2),1,0)</f>
        <v>0</v>
      </c>
      <c r="AE122" s="276" cm="1">
        <f t="array" ref="AE122">IF(AND(AE$2&lt;&gt;0,TblTech[[#This Row],[Hour]:[Hour]]&gt;=AE$2),1,0)</f>
        <v>0</v>
      </c>
      <c r="AF122" s="276" cm="1">
        <f t="array" ref="AF122">IF(AND(AF$2&lt;&gt;0,TblTech[[#This Row],[Hour]:[Hour]]&gt;=AF$2),1,0)</f>
        <v>0</v>
      </c>
      <c r="AG122" s="276" cm="1">
        <f t="array" ref="AG122">IF(AND(AG$2&lt;&gt;0,TblTech[[#This Row],[Hour]:[Hour]]&gt;=AG$2),1,0)</f>
        <v>0</v>
      </c>
      <c r="AH122" s="276" cm="1">
        <f t="array" ref="AH122">IF(AND(AH$2&lt;&gt;0,TblTech[[#This Row],[Hour]:[Hour]]&gt;=AH$2),1,0)</f>
        <v>0</v>
      </c>
      <c r="AI122" s="276" cm="1">
        <f t="array" ref="AI122">IF(AND(AI$2&lt;&gt;0,TblTech[[#This Row],[Hour]:[Hour]]&gt;=AI$2),1,0)</f>
        <v>0</v>
      </c>
      <c r="AJ122" s="276" cm="1">
        <f t="array" ref="AJ122">IF(AND(AJ$2&lt;&gt;0,TblTech[[#This Row],[Hour]:[Hour]]&gt;=AJ$2),1,0)</f>
        <v>0</v>
      </c>
      <c r="AK122" s="276" cm="1">
        <f t="array" ref="AK122">IF(AND(AK$2&lt;&gt;0,TblTech[[#This Row],[Hour]:[Hour]]&gt;=AK$2),1,0)</f>
        <v>0</v>
      </c>
      <c r="AL122" s="276" cm="1">
        <f t="array" ref="AL122">IF(AND(AL$2&lt;&gt;0,TblTech[[#This Row],[Hour]:[Hour]]&gt;=AL$2),1,0)</f>
        <v>0</v>
      </c>
      <c r="AM122" s="276" cm="1">
        <f t="array" ref="AM122">IF(AND(AM$2&lt;&gt;0,TblTech[[#This Row],[Hour]:[Hour]]&gt;=AM$2),1,0)</f>
        <v>0</v>
      </c>
      <c r="AN122" s="276" cm="1">
        <f t="array" ref="AN122">IF(AND(AN$2&lt;&gt;0,TblTech[[#This Row],[Hour]:[Hour]]&gt;=AN$2),1,0)</f>
        <v>0</v>
      </c>
      <c r="AO122" s="276" cm="1">
        <f t="array" ref="AO122">IF(AND(AO$2&lt;&gt;0,TblTech[[#This Row],[Hour]:[Hour]]&gt;=AO$2),1,0)</f>
        <v>0</v>
      </c>
      <c r="AP122" s="276" cm="1">
        <f t="array" ref="AP122">IF(AND(AP$2&lt;&gt;0,TblTech[[#This Row],[Hour]:[Hour]]&gt;=AP$2),1,0)</f>
        <v>0</v>
      </c>
      <c r="AQ122" s="276" cm="1">
        <f t="array" ref="AQ122">IF(AND(AQ$2&lt;&gt;0,TblTech[[#This Row],[Hour]:[Hour]]&gt;=AQ$2),1,0)</f>
        <v>0</v>
      </c>
      <c r="AR122" s="276" cm="1">
        <f t="array" ref="AR122">IF(AND(AR$2&lt;&gt;0,TblTech[[#This Row],[Hour]:[Hour]]&gt;=AR$2),1,0)</f>
        <v>0</v>
      </c>
      <c r="AS122" s="276" cm="1">
        <f t="array" ref="AS122">IF(AND(AS$2&lt;&gt;0,TblTech[[#This Row],[Hour]:[Hour]]&gt;=AS$2),1,0)</f>
        <v>0</v>
      </c>
      <c r="AT122" s="276" cm="1">
        <f t="array" ref="AT122">IF(AND(AT$2&lt;&gt;0,TblTech[[#This Row],[Hour]:[Hour]]&gt;=AT$2),1,0)</f>
        <v>0</v>
      </c>
      <c r="AU122" s="276" cm="1">
        <f t="array" ref="AU122">IF(AND(AU$2&lt;&gt;0,TblTech[[#This Row],[Hour]:[Hour]]&gt;=AU$2),1,0)</f>
        <v>0</v>
      </c>
      <c r="AV122" s="276" cm="1">
        <f t="array" ref="AV122">IF(AND(AV$2&lt;&gt;0,TblTech[[#This Row],[Hour]:[Hour]]&gt;=AV$2),1,0)</f>
        <v>0</v>
      </c>
      <c r="AW122" s="276" cm="1">
        <f t="array" ref="AW122">IF(AND(AW$2&lt;&gt;0,TblTech[[#This Row],[Hour]:[Hour]]&gt;=AW$2),1,0)</f>
        <v>0</v>
      </c>
      <c r="AX122" s="276" cm="1">
        <f t="array" ref="AX122">IF(AND(AX$2&lt;&gt;0,TblTech[[#This Row],[Hour]:[Hour]]&gt;=AX$2),1,0)</f>
        <v>0</v>
      </c>
      <c r="AY122" s="276" cm="1">
        <f t="array" ref="AY122">IF(AND(AY$2&lt;&gt;0,TblTech[[#This Row],[Hour]:[Hour]]&gt;=AY$2),1,0)</f>
        <v>0</v>
      </c>
      <c r="AZ122" s="276" cm="1">
        <f t="array" ref="AZ122">IF(AND(AZ$2&lt;&gt;0,TblTech[[#This Row],[Hour]:[Hour]]&gt;=AZ$2),1,0)</f>
        <v>0</v>
      </c>
      <c r="BA122" s="276" cm="1">
        <f t="array" ref="BA122">IF(AND(BA$2&lt;&gt;0,TblTech[[#This Row],[Hour]:[Hour]]&gt;=BA$2),1,0)</f>
        <v>0</v>
      </c>
      <c r="BB122" s="276" cm="1">
        <f t="array" ref="BB122">IF(AND(BB$2&lt;&gt;0,TblTech[[#This Row],[Hour]:[Hour]]&gt;=BB$2),1,0)</f>
        <v>0</v>
      </c>
      <c r="BC122" s="276" cm="1">
        <f t="array" ref="BC122">IF(AND(BC$2&lt;&gt;0,TblTech[[#This Row],[Hour]:[Hour]]&gt;=BC$2),1,0)</f>
        <v>0</v>
      </c>
      <c r="BD122" s="276" cm="1">
        <f t="array" ref="BD122">IF(AND(BD$2&lt;&gt;0,TblTech[[#This Row],[Hour]:[Hour]]&gt;=BD$2),1,0)</f>
        <v>0</v>
      </c>
      <c r="BE122" s="276" cm="1">
        <f t="array" ref="BE122">IF(AND(BE$2&lt;&gt;0,TblTech[[#This Row],[Hour]:[Hour]]&gt;=BE$2),1,0)</f>
        <v>0</v>
      </c>
      <c r="BF122" s="276" cm="1">
        <f t="array" ref="BF122">IF(AND(BF$2&lt;&gt;0,TblTech[[#This Row],[Hour]:[Hour]]&gt;=BF$2),1,0)</f>
        <v>0</v>
      </c>
      <c r="BG122" s="276" cm="1">
        <f t="array" ref="BG122">IF(AND(BG$2&lt;&gt;0,TblTech[[#This Row],[Hour]:[Hour]]&gt;=BG$2),1,0)</f>
        <v>0</v>
      </c>
      <c r="BH122" s="276" cm="1">
        <f t="array" ref="BH122">IF(AND(BH$2&lt;&gt;0,TblTech[[#This Row],[Hour]:[Hour]]&gt;=BH$2),1,0)</f>
        <v>0</v>
      </c>
      <c r="BI122" s="276" cm="1">
        <f t="array" ref="BI122">IF(AND(BI$2&lt;&gt;0,TblTech[[#This Row],[Hour]:[Hour]]&gt;=BI$2),1,0)</f>
        <v>0</v>
      </c>
      <c r="BJ122" s="276" cm="1">
        <f t="array" ref="BJ122">IF(AND(BJ$2&lt;&gt;0,TblTech[[#This Row],[Hour]:[Hour]]&gt;=BJ$2),1,0)</f>
        <v>0</v>
      </c>
      <c r="BK122" s="276" cm="1">
        <f t="array" ref="BK122">IF(AND(BK$2&lt;&gt;0,TblTech[[#This Row],[Hour]:[Hour]]&gt;=BK$2),1,0)</f>
        <v>0</v>
      </c>
      <c r="BL122" s="276" cm="1">
        <f t="array" ref="BL122">IF(AND(BL$2&lt;&gt;0,TblTech[[#This Row],[Hour]:[Hour]]&gt;=BL$2),1,0)</f>
        <v>0</v>
      </c>
      <c r="BM122" s="276" cm="1">
        <f t="array" ref="BM122">IF(AND(BM$2&lt;&gt;0,TblTech[[#This Row],[Hour]:[Hour]]&gt;=BM$2),1,0)</f>
        <v>0</v>
      </c>
      <c r="BN122" s="276" cm="1">
        <f t="array" ref="BN122">IF(AND(BN$2&lt;&gt;0,TblTech[[#This Row],[Hour]:[Hour]]&gt;=BN$2),1,0)</f>
        <v>0</v>
      </c>
      <c r="BO122" s="276" cm="1">
        <f t="array" ref="BO122">IF(AND(BO$2&lt;&gt;0,TblTech[[#This Row],[Hour]:[Hour]]&gt;=BO$2),1,0)</f>
        <v>0</v>
      </c>
      <c r="BP122" s="276" cm="1">
        <f t="array" ref="BP122">IF(AND(BP$2&lt;&gt;0,TblTech[[#This Row],[Hour]:[Hour]]&gt;=BP$2),1,0)</f>
        <v>0</v>
      </c>
      <c r="BQ122" s="276" cm="1">
        <f t="array" ref="BQ122">IF(AND(BQ$2&lt;&gt;0,TblTech[[#This Row],[Hour]:[Hour]]&gt;=BQ$2),1,0)</f>
        <v>0</v>
      </c>
      <c r="BR122" s="276" cm="1">
        <f t="array" ref="BR122">IF(AND(BR$2&lt;&gt;0,TblTech[[#This Row],[Hour]:[Hour]]&gt;=BR$2),1,0)</f>
        <v>0</v>
      </c>
      <c r="BS122" s="276" cm="1">
        <f t="array" ref="BS122">IF(AND(BS$2&lt;&gt;0,TblTech[[#This Row],[Hour]:[Hour]]&gt;=BS$2),1,0)</f>
        <v>0</v>
      </c>
      <c r="BT122" s="276" cm="1">
        <f t="array" ref="BT122">IF(AND(BT$2&lt;&gt;0,TblTech[[#This Row],[Hour]:[Hour]]&gt;=BT$2),1,0)</f>
        <v>0</v>
      </c>
      <c r="BU122" s="276" cm="1">
        <f t="array" ref="BU122">IF(AND(BU$2&lt;&gt;0,TblTech[[#This Row],[Hour]:[Hour]]&gt;=BU$2),1,0)</f>
        <v>0</v>
      </c>
      <c r="BV122" s="276" cm="1">
        <f t="array" ref="BV122">IF(AND(BV$2&lt;&gt;0,TblTech[[#This Row],[Hour]:[Hour]]&gt;=BV$2),1,0)</f>
        <v>0</v>
      </c>
      <c r="BW122" s="276" cm="1">
        <f t="array" ref="BW122">IF(AND(BW$2&lt;&gt;0,TblTech[[#This Row],[Hour]:[Hour]]&gt;=BW$2),1,0)</f>
        <v>0</v>
      </c>
      <c r="BX122" s="276" cm="1">
        <f t="array" ref="BX122">IF(AND(BX$2&lt;&gt;0,TblTech[[#This Row],[Hour]:[Hour]]&gt;=BX$2),1,0)</f>
        <v>0</v>
      </c>
      <c r="BY122" s="276" cm="1">
        <f t="array" ref="BY122">IF(AND(BY$2&lt;&gt;0,TblTech[[#This Row],[Hour]:[Hour]]&gt;=BY$2),1,0)</f>
        <v>0</v>
      </c>
      <c r="BZ122" s="276" cm="1">
        <f t="array" ref="BZ122">IF(AND(BZ$2&lt;&gt;0,TblTech[[#This Row],[Hour]:[Hour]]&gt;=BZ$2),1,0)</f>
        <v>0</v>
      </c>
      <c r="CA122" s="377">
        <f>IFERROR(INDEX($H$4:$H$79,MATCH(INDEX(TblTech[[#Headers],[1-1]:[11-1]],1,MATCH(TblTech[[#This Row],[Hour]],$M$2:$BZ$2,0)),$G$4:$G$79,0)),)</f>
        <v>0</v>
      </c>
    </row>
    <row r="123" spans="1:79" x14ac:dyDescent="0.2">
      <c r="A123" s="268">
        <f>TblRezone[[#This Row],[Hour]]</f>
        <v>120</v>
      </c>
      <c r="B123" s="269">
        <f ca="1">TblExplore[[#This Row],[Land-DB]]</f>
        <v>50</v>
      </c>
      <c r="C123" s="270">
        <f ca="1">TblProd[[#This Row],[Techpoints]]</f>
        <v>0</v>
      </c>
      <c r="D123" s="270">
        <f ca="1">TblProd[[#This Row],[Required]]</f>
        <v>3750</v>
      </c>
      <c r="E123" s="279"/>
      <c r="F123" s="280"/>
      <c r="G123" s="273"/>
      <c r="H123" s="274"/>
      <c r="I123" s="274"/>
      <c r="J123" s="274"/>
      <c r="K123" s="93">
        <f ca="1">IF(TblTech[[#This Row],[Sum of tech]]&lt;&gt;OFFSET(TblTech[[#This Row],[Sum of tech]],-1,0),1,0)</f>
        <v>0</v>
      </c>
      <c r="L123" s="275">
        <f>COUNTIF(TblTech[[#This Row],[1-1]:[11-1]],1)</f>
        <v>0</v>
      </c>
      <c r="M123" s="276" cm="1">
        <f t="array" ref="M123">IF(AND(M$2&lt;&gt;0,TblTech[[#This Row],[Hour]:[Hour]]&gt;=M$2),1,0)</f>
        <v>0</v>
      </c>
      <c r="N123" s="276" cm="1">
        <f t="array" ref="N123">IF(AND(N$2&lt;&gt;0,TblTech[[#This Row],[Hour]:[Hour]]&gt;=N$2),1,0)</f>
        <v>0</v>
      </c>
      <c r="O123" s="276" cm="1">
        <f t="array" ref="O123">IF(AND(O$2&lt;&gt;0,TblTech[[#This Row],[Hour]:[Hour]]&gt;=O$2),1,0)</f>
        <v>0</v>
      </c>
      <c r="P123" s="276" cm="1">
        <f t="array" ref="P123">IF(AND(P$2&lt;&gt;0,TblTech[[#This Row],[Hour]:[Hour]]&gt;=P$2),1,0)</f>
        <v>0</v>
      </c>
      <c r="Q123" s="276" cm="1">
        <f t="array" ref="Q123">IF(AND(Q$2&lt;&gt;0,TblTech[[#This Row],[Hour]:[Hour]]&gt;=Q$2),1,0)</f>
        <v>0</v>
      </c>
      <c r="R123" s="276" cm="1">
        <f t="array" ref="R123">IF(AND(R$2&lt;&gt;0,TblTech[[#This Row],[Hour]:[Hour]]&gt;=R$2),1,0)</f>
        <v>0</v>
      </c>
      <c r="S123" s="276" cm="1">
        <f t="array" ref="S123">IF(AND(S$2&lt;&gt;0,TblTech[[#This Row],[Hour]:[Hour]]&gt;=S$2),1,0)</f>
        <v>0</v>
      </c>
      <c r="T123" s="276" cm="1">
        <f t="array" ref="T123">IF(AND(T$2&lt;&gt;0,TblTech[[#This Row],[Hour]:[Hour]]&gt;=T$2),1,0)</f>
        <v>0</v>
      </c>
      <c r="U123" s="276" cm="1">
        <f t="array" ref="U123">IF(AND(U$2&lt;&gt;0,TblTech[[#This Row],[Hour]:[Hour]]&gt;=U$2),1,0)</f>
        <v>0</v>
      </c>
      <c r="V123" s="276" cm="1">
        <f t="array" ref="V123">IF(AND(V$2&lt;&gt;0,TblTech[[#This Row],[Hour]:[Hour]]&gt;=V$2),1,0)</f>
        <v>0</v>
      </c>
      <c r="W123" s="276" cm="1">
        <f t="array" ref="W123">IF(AND(W$2&lt;&gt;0,TblTech[[#This Row],[Hour]:[Hour]]&gt;=W$2),1,0)</f>
        <v>0</v>
      </c>
      <c r="X123" s="276" cm="1">
        <f t="array" ref="X123">IF(AND(X$2&lt;&gt;0,TblTech[[#This Row],[Hour]:[Hour]]&gt;=X$2),1,0)</f>
        <v>0</v>
      </c>
      <c r="Y123" s="276" cm="1">
        <f t="array" ref="Y123">IF(AND(Y$2&lt;&gt;0,TblTech[[#This Row],[Hour]:[Hour]]&gt;=Y$2),1,0)</f>
        <v>0</v>
      </c>
      <c r="Z123" s="276" cm="1">
        <f t="array" ref="Z123">IF(AND(Z$2&lt;&gt;0,TblTech[[#This Row],[Hour]:[Hour]]&gt;=Z$2),1,0)</f>
        <v>0</v>
      </c>
      <c r="AA123" s="276" cm="1">
        <f t="array" ref="AA123">IF(AND(AA$2&lt;&gt;0,TblTech[[#This Row],[Hour]:[Hour]]&gt;=AA$2),1,0)</f>
        <v>0</v>
      </c>
      <c r="AB123" s="276" cm="1">
        <f t="array" ref="AB123">IF(AND(AB$2&lt;&gt;0,TblTech[[#This Row],[Hour]:[Hour]]&gt;=AB$2),1,0)</f>
        <v>0</v>
      </c>
      <c r="AC123" s="276" cm="1">
        <f t="array" ref="AC123">IF(AND(AC$2&lt;&gt;0,TblTech[[#This Row],[Hour]:[Hour]]&gt;=AC$2),1,0)</f>
        <v>0</v>
      </c>
      <c r="AD123" s="276" cm="1">
        <f t="array" ref="AD123">IF(AND(AD$2&lt;&gt;0,TblTech[[#This Row],[Hour]:[Hour]]&gt;=AD$2),1,0)</f>
        <v>0</v>
      </c>
      <c r="AE123" s="276" cm="1">
        <f t="array" ref="AE123">IF(AND(AE$2&lt;&gt;0,TblTech[[#This Row],[Hour]:[Hour]]&gt;=AE$2),1,0)</f>
        <v>0</v>
      </c>
      <c r="AF123" s="276" cm="1">
        <f t="array" ref="AF123">IF(AND(AF$2&lt;&gt;0,TblTech[[#This Row],[Hour]:[Hour]]&gt;=AF$2),1,0)</f>
        <v>0</v>
      </c>
      <c r="AG123" s="276" cm="1">
        <f t="array" ref="AG123">IF(AND(AG$2&lt;&gt;0,TblTech[[#This Row],[Hour]:[Hour]]&gt;=AG$2),1,0)</f>
        <v>0</v>
      </c>
      <c r="AH123" s="276" cm="1">
        <f t="array" ref="AH123">IF(AND(AH$2&lt;&gt;0,TblTech[[#This Row],[Hour]:[Hour]]&gt;=AH$2),1,0)</f>
        <v>0</v>
      </c>
      <c r="AI123" s="276" cm="1">
        <f t="array" ref="AI123">IF(AND(AI$2&lt;&gt;0,TblTech[[#This Row],[Hour]:[Hour]]&gt;=AI$2),1,0)</f>
        <v>0</v>
      </c>
      <c r="AJ123" s="276" cm="1">
        <f t="array" ref="AJ123">IF(AND(AJ$2&lt;&gt;0,TblTech[[#This Row],[Hour]:[Hour]]&gt;=AJ$2),1,0)</f>
        <v>0</v>
      </c>
      <c r="AK123" s="276" cm="1">
        <f t="array" ref="AK123">IF(AND(AK$2&lt;&gt;0,TblTech[[#This Row],[Hour]:[Hour]]&gt;=AK$2),1,0)</f>
        <v>0</v>
      </c>
      <c r="AL123" s="276" cm="1">
        <f t="array" ref="AL123">IF(AND(AL$2&lt;&gt;0,TblTech[[#This Row],[Hour]:[Hour]]&gt;=AL$2),1,0)</f>
        <v>0</v>
      </c>
      <c r="AM123" s="276" cm="1">
        <f t="array" ref="AM123">IF(AND(AM$2&lt;&gt;0,TblTech[[#This Row],[Hour]:[Hour]]&gt;=AM$2),1,0)</f>
        <v>0</v>
      </c>
      <c r="AN123" s="276" cm="1">
        <f t="array" ref="AN123">IF(AND(AN$2&lt;&gt;0,TblTech[[#This Row],[Hour]:[Hour]]&gt;=AN$2),1,0)</f>
        <v>0</v>
      </c>
      <c r="AO123" s="276" cm="1">
        <f t="array" ref="AO123">IF(AND(AO$2&lt;&gt;0,TblTech[[#This Row],[Hour]:[Hour]]&gt;=AO$2),1,0)</f>
        <v>0</v>
      </c>
      <c r="AP123" s="276" cm="1">
        <f t="array" ref="AP123">IF(AND(AP$2&lt;&gt;0,TblTech[[#This Row],[Hour]:[Hour]]&gt;=AP$2),1,0)</f>
        <v>0</v>
      </c>
      <c r="AQ123" s="276" cm="1">
        <f t="array" ref="AQ123">IF(AND(AQ$2&lt;&gt;0,TblTech[[#This Row],[Hour]:[Hour]]&gt;=AQ$2),1,0)</f>
        <v>0</v>
      </c>
      <c r="AR123" s="276" cm="1">
        <f t="array" ref="AR123">IF(AND(AR$2&lt;&gt;0,TblTech[[#This Row],[Hour]:[Hour]]&gt;=AR$2),1,0)</f>
        <v>0</v>
      </c>
      <c r="AS123" s="276" cm="1">
        <f t="array" ref="AS123">IF(AND(AS$2&lt;&gt;0,TblTech[[#This Row],[Hour]:[Hour]]&gt;=AS$2),1,0)</f>
        <v>0</v>
      </c>
      <c r="AT123" s="276" cm="1">
        <f t="array" ref="AT123">IF(AND(AT$2&lt;&gt;0,TblTech[[#This Row],[Hour]:[Hour]]&gt;=AT$2),1,0)</f>
        <v>0</v>
      </c>
      <c r="AU123" s="276" cm="1">
        <f t="array" ref="AU123">IF(AND(AU$2&lt;&gt;0,TblTech[[#This Row],[Hour]:[Hour]]&gt;=AU$2),1,0)</f>
        <v>0</v>
      </c>
      <c r="AV123" s="276" cm="1">
        <f t="array" ref="AV123">IF(AND(AV$2&lt;&gt;0,TblTech[[#This Row],[Hour]:[Hour]]&gt;=AV$2),1,0)</f>
        <v>0</v>
      </c>
      <c r="AW123" s="276" cm="1">
        <f t="array" ref="AW123">IF(AND(AW$2&lt;&gt;0,TblTech[[#This Row],[Hour]:[Hour]]&gt;=AW$2),1,0)</f>
        <v>0</v>
      </c>
      <c r="AX123" s="276" cm="1">
        <f t="array" ref="AX123">IF(AND(AX$2&lt;&gt;0,TblTech[[#This Row],[Hour]:[Hour]]&gt;=AX$2),1,0)</f>
        <v>0</v>
      </c>
      <c r="AY123" s="276" cm="1">
        <f t="array" ref="AY123">IF(AND(AY$2&lt;&gt;0,TblTech[[#This Row],[Hour]:[Hour]]&gt;=AY$2),1,0)</f>
        <v>0</v>
      </c>
      <c r="AZ123" s="276" cm="1">
        <f t="array" ref="AZ123">IF(AND(AZ$2&lt;&gt;0,TblTech[[#This Row],[Hour]:[Hour]]&gt;=AZ$2),1,0)</f>
        <v>0</v>
      </c>
      <c r="BA123" s="276" cm="1">
        <f t="array" ref="BA123">IF(AND(BA$2&lt;&gt;0,TblTech[[#This Row],[Hour]:[Hour]]&gt;=BA$2),1,0)</f>
        <v>0</v>
      </c>
      <c r="BB123" s="276" cm="1">
        <f t="array" ref="BB123">IF(AND(BB$2&lt;&gt;0,TblTech[[#This Row],[Hour]:[Hour]]&gt;=BB$2),1,0)</f>
        <v>0</v>
      </c>
      <c r="BC123" s="276" cm="1">
        <f t="array" ref="BC123">IF(AND(BC$2&lt;&gt;0,TblTech[[#This Row],[Hour]:[Hour]]&gt;=BC$2),1,0)</f>
        <v>0</v>
      </c>
      <c r="BD123" s="276" cm="1">
        <f t="array" ref="BD123">IF(AND(BD$2&lt;&gt;0,TblTech[[#This Row],[Hour]:[Hour]]&gt;=BD$2),1,0)</f>
        <v>0</v>
      </c>
      <c r="BE123" s="276" cm="1">
        <f t="array" ref="BE123">IF(AND(BE$2&lt;&gt;0,TblTech[[#This Row],[Hour]:[Hour]]&gt;=BE$2),1,0)</f>
        <v>0</v>
      </c>
      <c r="BF123" s="276" cm="1">
        <f t="array" ref="BF123">IF(AND(BF$2&lt;&gt;0,TblTech[[#This Row],[Hour]:[Hour]]&gt;=BF$2),1,0)</f>
        <v>0</v>
      </c>
      <c r="BG123" s="276" cm="1">
        <f t="array" ref="BG123">IF(AND(BG$2&lt;&gt;0,TblTech[[#This Row],[Hour]:[Hour]]&gt;=BG$2),1,0)</f>
        <v>0</v>
      </c>
      <c r="BH123" s="276" cm="1">
        <f t="array" ref="BH123">IF(AND(BH$2&lt;&gt;0,TblTech[[#This Row],[Hour]:[Hour]]&gt;=BH$2),1,0)</f>
        <v>0</v>
      </c>
      <c r="BI123" s="276" cm="1">
        <f t="array" ref="BI123">IF(AND(BI$2&lt;&gt;0,TblTech[[#This Row],[Hour]:[Hour]]&gt;=BI$2),1,0)</f>
        <v>0</v>
      </c>
      <c r="BJ123" s="276" cm="1">
        <f t="array" ref="BJ123">IF(AND(BJ$2&lt;&gt;0,TblTech[[#This Row],[Hour]:[Hour]]&gt;=BJ$2),1,0)</f>
        <v>0</v>
      </c>
      <c r="BK123" s="276" cm="1">
        <f t="array" ref="BK123">IF(AND(BK$2&lt;&gt;0,TblTech[[#This Row],[Hour]:[Hour]]&gt;=BK$2),1,0)</f>
        <v>0</v>
      </c>
      <c r="BL123" s="276" cm="1">
        <f t="array" ref="BL123">IF(AND(BL$2&lt;&gt;0,TblTech[[#This Row],[Hour]:[Hour]]&gt;=BL$2),1,0)</f>
        <v>0</v>
      </c>
      <c r="BM123" s="276" cm="1">
        <f t="array" ref="BM123">IF(AND(BM$2&lt;&gt;0,TblTech[[#This Row],[Hour]:[Hour]]&gt;=BM$2),1,0)</f>
        <v>0</v>
      </c>
      <c r="BN123" s="276" cm="1">
        <f t="array" ref="BN123">IF(AND(BN$2&lt;&gt;0,TblTech[[#This Row],[Hour]:[Hour]]&gt;=BN$2),1,0)</f>
        <v>0</v>
      </c>
      <c r="BO123" s="276" cm="1">
        <f t="array" ref="BO123">IF(AND(BO$2&lt;&gt;0,TblTech[[#This Row],[Hour]:[Hour]]&gt;=BO$2),1,0)</f>
        <v>0</v>
      </c>
      <c r="BP123" s="276" cm="1">
        <f t="array" ref="BP123">IF(AND(BP$2&lt;&gt;0,TblTech[[#This Row],[Hour]:[Hour]]&gt;=BP$2),1,0)</f>
        <v>0</v>
      </c>
      <c r="BQ123" s="276" cm="1">
        <f t="array" ref="BQ123">IF(AND(BQ$2&lt;&gt;0,TblTech[[#This Row],[Hour]:[Hour]]&gt;=BQ$2),1,0)</f>
        <v>0</v>
      </c>
      <c r="BR123" s="276" cm="1">
        <f t="array" ref="BR123">IF(AND(BR$2&lt;&gt;0,TblTech[[#This Row],[Hour]:[Hour]]&gt;=BR$2),1,0)</f>
        <v>0</v>
      </c>
      <c r="BS123" s="276" cm="1">
        <f t="array" ref="BS123">IF(AND(BS$2&lt;&gt;0,TblTech[[#This Row],[Hour]:[Hour]]&gt;=BS$2),1,0)</f>
        <v>0</v>
      </c>
      <c r="BT123" s="276" cm="1">
        <f t="array" ref="BT123">IF(AND(BT$2&lt;&gt;0,TblTech[[#This Row],[Hour]:[Hour]]&gt;=BT$2),1,0)</f>
        <v>0</v>
      </c>
      <c r="BU123" s="276" cm="1">
        <f t="array" ref="BU123">IF(AND(BU$2&lt;&gt;0,TblTech[[#This Row],[Hour]:[Hour]]&gt;=BU$2),1,0)</f>
        <v>0</v>
      </c>
      <c r="BV123" s="276" cm="1">
        <f t="array" ref="BV123">IF(AND(BV$2&lt;&gt;0,TblTech[[#This Row],[Hour]:[Hour]]&gt;=BV$2),1,0)</f>
        <v>0</v>
      </c>
      <c r="BW123" s="276" cm="1">
        <f t="array" ref="BW123">IF(AND(BW$2&lt;&gt;0,TblTech[[#This Row],[Hour]:[Hour]]&gt;=BW$2),1,0)</f>
        <v>0</v>
      </c>
      <c r="BX123" s="276" cm="1">
        <f t="array" ref="BX123">IF(AND(BX$2&lt;&gt;0,TblTech[[#This Row],[Hour]:[Hour]]&gt;=BX$2),1,0)</f>
        <v>0</v>
      </c>
      <c r="BY123" s="276" cm="1">
        <f t="array" ref="BY123">IF(AND(BY$2&lt;&gt;0,TblTech[[#This Row],[Hour]:[Hour]]&gt;=BY$2),1,0)</f>
        <v>0</v>
      </c>
      <c r="BZ123" s="276" cm="1">
        <f t="array" ref="BZ123">IF(AND(BZ$2&lt;&gt;0,TblTech[[#This Row],[Hour]:[Hour]]&gt;=BZ$2),1,0)</f>
        <v>0</v>
      </c>
      <c r="CA123" s="377">
        <f>IFERROR(INDEX($H$4:$H$79,MATCH(INDEX(TblTech[[#Headers],[1-1]:[11-1]],1,MATCH(TblTech[[#This Row],[Hour]],$M$2:$BZ$2,0)),$G$4:$G$79,0)),)</f>
        <v>0</v>
      </c>
    </row>
    <row r="124" spans="1:79" x14ac:dyDescent="0.2">
      <c r="A124" s="268">
        <f>TblRezone[[#This Row],[Hour]]</f>
        <v>121</v>
      </c>
      <c r="B124" s="269">
        <f ca="1">TblExplore[[#This Row],[Land-DB]]</f>
        <v>50</v>
      </c>
      <c r="C124" s="270">
        <f ca="1">TblProd[[#This Row],[Techpoints]]</f>
        <v>0</v>
      </c>
      <c r="D124" s="270">
        <f ca="1">TblProd[[#This Row],[Required]]</f>
        <v>3750</v>
      </c>
      <c r="E124" s="279"/>
      <c r="F124" s="280"/>
      <c r="G124" s="273"/>
      <c r="H124" s="274"/>
      <c r="I124" s="274"/>
      <c r="J124" s="274"/>
      <c r="K124" s="93">
        <f ca="1">IF(TblTech[[#This Row],[Sum of tech]]&lt;&gt;OFFSET(TblTech[[#This Row],[Sum of tech]],-1,0),1,0)</f>
        <v>0</v>
      </c>
      <c r="L124" s="275">
        <f>COUNTIF(TblTech[[#This Row],[1-1]:[11-1]],1)</f>
        <v>0</v>
      </c>
      <c r="M124" s="276" cm="1">
        <f t="array" ref="M124">IF(AND(M$2&lt;&gt;0,TblTech[[#This Row],[Hour]:[Hour]]&gt;=M$2),1,0)</f>
        <v>0</v>
      </c>
      <c r="N124" s="276" cm="1">
        <f t="array" ref="N124">IF(AND(N$2&lt;&gt;0,TblTech[[#This Row],[Hour]:[Hour]]&gt;=N$2),1,0)</f>
        <v>0</v>
      </c>
      <c r="O124" s="276" cm="1">
        <f t="array" ref="O124">IF(AND(O$2&lt;&gt;0,TblTech[[#This Row],[Hour]:[Hour]]&gt;=O$2),1,0)</f>
        <v>0</v>
      </c>
      <c r="P124" s="276" cm="1">
        <f t="array" ref="P124">IF(AND(P$2&lt;&gt;0,TblTech[[#This Row],[Hour]:[Hour]]&gt;=P$2),1,0)</f>
        <v>0</v>
      </c>
      <c r="Q124" s="276" cm="1">
        <f t="array" ref="Q124">IF(AND(Q$2&lt;&gt;0,TblTech[[#This Row],[Hour]:[Hour]]&gt;=Q$2),1,0)</f>
        <v>0</v>
      </c>
      <c r="R124" s="276" cm="1">
        <f t="array" ref="R124">IF(AND(R$2&lt;&gt;0,TblTech[[#This Row],[Hour]:[Hour]]&gt;=R$2),1,0)</f>
        <v>0</v>
      </c>
      <c r="S124" s="276" cm="1">
        <f t="array" ref="S124">IF(AND(S$2&lt;&gt;0,TblTech[[#This Row],[Hour]:[Hour]]&gt;=S$2),1,0)</f>
        <v>0</v>
      </c>
      <c r="T124" s="276" cm="1">
        <f t="array" ref="T124">IF(AND(T$2&lt;&gt;0,TblTech[[#This Row],[Hour]:[Hour]]&gt;=T$2),1,0)</f>
        <v>0</v>
      </c>
      <c r="U124" s="276" cm="1">
        <f t="array" ref="U124">IF(AND(U$2&lt;&gt;0,TblTech[[#This Row],[Hour]:[Hour]]&gt;=U$2),1,0)</f>
        <v>0</v>
      </c>
      <c r="V124" s="276" cm="1">
        <f t="array" ref="V124">IF(AND(V$2&lt;&gt;0,TblTech[[#This Row],[Hour]:[Hour]]&gt;=V$2),1,0)</f>
        <v>0</v>
      </c>
      <c r="W124" s="276" cm="1">
        <f t="array" ref="W124">IF(AND(W$2&lt;&gt;0,TblTech[[#This Row],[Hour]:[Hour]]&gt;=W$2),1,0)</f>
        <v>0</v>
      </c>
      <c r="X124" s="276" cm="1">
        <f t="array" ref="X124">IF(AND(X$2&lt;&gt;0,TblTech[[#This Row],[Hour]:[Hour]]&gt;=X$2),1,0)</f>
        <v>0</v>
      </c>
      <c r="Y124" s="276" cm="1">
        <f t="array" ref="Y124">IF(AND(Y$2&lt;&gt;0,TblTech[[#This Row],[Hour]:[Hour]]&gt;=Y$2),1,0)</f>
        <v>0</v>
      </c>
      <c r="Z124" s="276" cm="1">
        <f t="array" ref="Z124">IF(AND(Z$2&lt;&gt;0,TblTech[[#This Row],[Hour]:[Hour]]&gt;=Z$2),1,0)</f>
        <v>0</v>
      </c>
      <c r="AA124" s="276" cm="1">
        <f t="array" ref="AA124">IF(AND(AA$2&lt;&gt;0,TblTech[[#This Row],[Hour]:[Hour]]&gt;=AA$2),1,0)</f>
        <v>0</v>
      </c>
      <c r="AB124" s="276" cm="1">
        <f t="array" ref="AB124">IF(AND(AB$2&lt;&gt;0,TblTech[[#This Row],[Hour]:[Hour]]&gt;=AB$2),1,0)</f>
        <v>0</v>
      </c>
      <c r="AC124" s="276" cm="1">
        <f t="array" ref="AC124">IF(AND(AC$2&lt;&gt;0,TblTech[[#This Row],[Hour]:[Hour]]&gt;=AC$2),1,0)</f>
        <v>0</v>
      </c>
      <c r="AD124" s="276" cm="1">
        <f t="array" ref="AD124">IF(AND(AD$2&lt;&gt;0,TblTech[[#This Row],[Hour]:[Hour]]&gt;=AD$2),1,0)</f>
        <v>0</v>
      </c>
      <c r="AE124" s="276" cm="1">
        <f t="array" ref="AE124">IF(AND(AE$2&lt;&gt;0,TblTech[[#This Row],[Hour]:[Hour]]&gt;=AE$2),1,0)</f>
        <v>0</v>
      </c>
      <c r="AF124" s="276" cm="1">
        <f t="array" ref="AF124">IF(AND(AF$2&lt;&gt;0,TblTech[[#This Row],[Hour]:[Hour]]&gt;=AF$2),1,0)</f>
        <v>0</v>
      </c>
      <c r="AG124" s="276" cm="1">
        <f t="array" ref="AG124">IF(AND(AG$2&lt;&gt;0,TblTech[[#This Row],[Hour]:[Hour]]&gt;=AG$2),1,0)</f>
        <v>0</v>
      </c>
      <c r="AH124" s="276" cm="1">
        <f t="array" ref="AH124">IF(AND(AH$2&lt;&gt;0,TblTech[[#This Row],[Hour]:[Hour]]&gt;=AH$2),1,0)</f>
        <v>0</v>
      </c>
      <c r="AI124" s="276" cm="1">
        <f t="array" ref="AI124">IF(AND(AI$2&lt;&gt;0,TblTech[[#This Row],[Hour]:[Hour]]&gt;=AI$2),1,0)</f>
        <v>0</v>
      </c>
      <c r="AJ124" s="276" cm="1">
        <f t="array" ref="AJ124">IF(AND(AJ$2&lt;&gt;0,TblTech[[#This Row],[Hour]:[Hour]]&gt;=AJ$2),1,0)</f>
        <v>0</v>
      </c>
      <c r="AK124" s="276" cm="1">
        <f t="array" ref="AK124">IF(AND(AK$2&lt;&gt;0,TblTech[[#This Row],[Hour]:[Hour]]&gt;=AK$2),1,0)</f>
        <v>0</v>
      </c>
      <c r="AL124" s="276" cm="1">
        <f t="array" ref="AL124">IF(AND(AL$2&lt;&gt;0,TblTech[[#This Row],[Hour]:[Hour]]&gt;=AL$2),1,0)</f>
        <v>0</v>
      </c>
      <c r="AM124" s="276" cm="1">
        <f t="array" ref="AM124">IF(AND(AM$2&lt;&gt;0,TblTech[[#This Row],[Hour]:[Hour]]&gt;=AM$2),1,0)</f>
        <v>0</v>
      </c>
      <c r="AN124" s="276" cm="1">
        <f t="array" ref="AN124">IF(AND(AN$2&lt;&gt;0,TblTech[[#This Row],[Hour]:[Hour]]&gt;=AN$2),1,0)</f>
        <v>0</v>
      </c>
      <c r="AO124" s="276" cm="1">
        <f t="array" ref="AO124">IF(AND(AO$2&lt;&gt;0,TblTech[[#This Row],[Hour]:[Hour]]&gt;=AO$2),1,0)</f>
        <v>0</v>
      </c>
      <c r="AP124" s="276" cm="1">
        <f t="array" ref="AP124">IF(AND(AP$2&lt;&gt;0,TblTech[[#This Row],[Hour]:[Hour]]&gt;=AP$2),1,0)</f>
        <v>0</v>
      </c>
      <c r="AQ124" s="276" cm="1">
        <f t="array" ref="AQ124">IF(AND(AQ$2&lt;&gt;0,TblTech[[#This Row],[Hour]:[Hour]]&gt;=AQ$2),1,0)</f>
        <v>0</v>
      </c>
      <c r="AR124" s="276" cm="1">
        <f t="array" ref="AR124">IF(AND(AR$2&lt;&gt;0,TblTech[[#This Row],[Hour]:[Hour]]&gt;=AR$2),1,0)</f>
        <v>0</v>
      </c>
      <c r="AS124" s="276" cm="1">
        <f t="array" ref="AS124">IF(AND(AS$2&lt;&gt;0,TblTech[[#This Row],[Hour]:[Hour]]&gt;=AS$2),1,0)</f>
        <v>0</v>
      </c>
      <c r="AT124" s="276" cm="1">
        <f t="array" ref="AT124">IF(AND(AT$2&lt;&gt;0,TblTech[[#This Row],[Hour]:[Hour]]&gt;=AT$2),1,0)</f>
        <v>0</v>
      </c>
      <c r="AU124" s="276" cm="1">
        <f t="array" ref="AU124">IF(AND(AU$2&lt;&gt;0,TblTech[[#This Row],[Hour]:[Hour]]&gt;=AU$2),1,0)</f>
        <v>0</v>
      </c>
      <c r="AV124" s="276" cm="1">
        <f t="array" ref="AV124">IF(AND(AV$2&lt;&gt;0,TblTech[[#This Row],[Hour]:[Hour]]&gt;=AV$2),1,0)</f>
        <v>0</v>
      </c>
      <c r="AW124" s="276" cm="1">
        <f t="array" ref="AW124">IF(AND(AW$2&lt;&gt;0,TblTech[[#This Row],[Hour]:[Hour]]&gt;=AW$2),1,0)</f>
        <v>0</v>
      </c>
      <c r="AX124" s="276" cm="1">
        <f t="array" ref="AX124">IF(AND(AX$2&lt;&gt;0,TblTech[[#This Row],[Hour]:[Hour]]&gt;=AX$2),1,0)</f>
        <v>0</v>
      </c>
      <c r="AY124" s="276" cm="1">
        <f t="array" ref="AY124">IF(AND(AY$2&lt;&gt;0,TblTech[[#This Row],[Hour]:[Hour]]&gt;=AY$2),1,0)</f>
        <v>0</v>
      </c>
      <c r="AZ124" s="276" cm="1">
        <f t="array" ref="AZ124">IF(AND(AZ$2&lt;&gt;0,TblTech[[#This Row],[Hour]:[Hour]]&gt;=AZ$2),1,0)</f>
        <v>0</v>
      </c>
      <c r="BA124" s="276" cm="1">
        <f t="array" ref="BA124">IF(AND(BA$2&lt;&gt;0,TblTech[[#This Row],[Hour]:[Hour]]&gt;=BA$2),1,0)</f>
        <v>0</v>
      </c>
      <c r="BB124" s="276" cm="1">
        <f t="array" ref="BB124">IF(AND(BB$2&lt;&gt;0,TblTech[[#This Row],[Hour]:[Hour]]&gt;=BB$2),1,0)</f>
        <v>0</v>
      </c>
      <c r="BC124" s="276" cm="1">
        <f t="array" ref="BC124">IF(AND(BC$2&lt;&gt;0,TblTech[[#This Row],[Hour]:[Hour]]&gt;=BC$2),1,0)</f>
        <v>0</v>
      </c>
      <c r="BD124" s="276" cm="1">
        <f t="array" ref="BD124">IF(AND(BD$2&lt;&gt;0,TblTech[[#This Row],[Hour]:[Hour]]&gt;=BD$2),1,0)</f>
        <v>0</v>
      </c>
      <c r="BE124" s="276" cm="1">
        <f t="array" ref="BE124">IF(AND(BE$2&lt;&gt;0,TblTech[[#This Row],[Hour]:[Hour]]&gt;=BE$2),1,0)</f>
        <v>0</v>
      </c>
      <c r="BF124" s="276" cm="1">
        <f t="array" ref="BF124">IF(AND(BF$2&lt;&gt;0,TblTech[[#This Row],[Hour]:[Hour]]&gt;=BF$2),1,0)</f>
        <v>0</v>
      </c>
      <c r="BG124" s="276" cm="1">
        <f t="array" ref="BG124">IF(AND(BG$2&lt;&gt;0,TblTech[[#This Row],[Hour]:[Hour]]&gt;=BG$2),1,0)</f>
        <v>0</v>
      </c>
      <c r="BH124" s="276" cm="1">
        <f t="array" ref="BH124">IF(AND(BH$2&lt;&gt;0,TblTech[[#This Row],[Hour]:[Hour]]&gt;=BH$2),1,0)</f>
        <v>0</v>
      </c>
      <c r="BI124" s="276" cm="1">
        <f t="array" ref="BI124">IF(AND(BI$2&lt;&gt;0,TblTech[[#This Row],[Hour]:[Hour]]&gt;=BI$2),1,0)</f>
        <v>0</v>
      </c>
      <c r="BJ124" s="276" cm="1">
        <f t="array" ref="BJ124">IF(AND(BJ$2&lt;&gt;0,TblTech[[#This Row],[Hour]:[Hour]]&gt;=BJ$2),1,0)</f>
        <v>0</v>
      </c>
      <c r="BK124" s="276" cm="1">
        <f t="array" ref="BK124">IF(AND(BK$2&lt;&gt;0,TblTech[[#This Row],[Hour]:[Hour]]&gt;=BK$2),1,0)</f>
        <v>0</v>
      </c>
      <c r="BL124" s="276" cm="1">
        <f t="array" ref="BL124">IF(AND(BL$2&lt;&gt;0,TblTech[[#This Row],[Hour]:[Hour]]&gt;=BL$2),1,0)</f>
        <v>0</v>
      </c>
      <c r="BM124" s="276" cm="1">
        <f t="array" ref="BM124">IF(AND(BM$2&lt;&gt;0,TblTech[[#This Row],[Hour]:[Hour]]&gt;=BM$2),1,0)</f>
        <v>0</v>
      </c>
      <c r="BN124" s="276" cm="1">
        <f t="array" ref="BN124">IF(AND(BN$2&lt;&gt;0,TblTech[[#This Row],[Hour]:[Hour]]&gt;=BN$2),1,0)</f>
        <v>0</v>
      </c>
      <c r="BO124" s="276" cm="1">
        <f t="array" ref="BO124">IF(AND(BO$2&lt;&gt;0,TblTech[[#This Row],[Hour]:[Hour]]&gt;=BO$2),1,0)</f>
        <v>0</v>
      </c>
      <c r="BP124" s="276" cm="1">
        <f t="array" ref="BP124">IF(AND(BP$2&lt;&gt;0,TblTech[[#This Row],[Hour]:[Hour]]&gt;=BP$2),1,0)</f>
        <v>0</v>
      </c>
      <c r="BQ124" s="276" cm="1">
        <f t="array" ref="BQ124">IF(AND(BQ$2&lt;&gt;0,TblTech[[#This Row],[Hour]:[Hour]]&gt;=BQ$2),1,0)</f>
        <v>0</v>
      </c>
      <c r="BR124" s="276" cm="1">
        <f t="array" ref="BR124">IF(AND(BR$2&lt;&gt;0,TblTech[[#This Row],[Hour]:[Hour]]&gt;=BR$2),1,0)</f>
        <v>0</v>
      </c>
      <c r="BS124" s="276" cm="1">
        <f t="array" ref="BS124">IF(AND(BS$2&lt;&gt;0,TblTech[[#This Row],[Hour]:[Hour]]&gt;=BS$2),1,0)</f>
        <v>0</v>
      </c>
      <c r="BT124" s="276" cm="1">
        <f t="array" ref="BT124">IF(AND(BT$2&lt;&gt;0,TblTech[[#This Row],[Hour]:[Hour]]&gt;=BT$2),1,0)</f>
        <v>0</v>
      </c>
      <c r="BU124" s="276" cm="1">
        <f t="array" ref="BU124">IF(AND(BU$2&lt;&gt;0,TblTech[[#This Row],[Hour]:[Hour]]&gt;=BU$2),1,0)</f>
        <v>0</v>
      </c>
      <c r="BV124" s="276" cm="1">
        <f t="array" ref="BV124">IF(AND(BV$2&lt;&gt;0,TblTech[[#This Row],[Hour]:[Hour]]&gt;=BV$2),1,0)</f>
        <v>0</v>
      </c>
      <c r="BW124" s="276" cm="1">
        <f t="array" ref="BW124">IF(AND(BW$2&lt;&gt;0,TblTech[[#This Row],[Hour]:[Hour]]&gt;=BW$2),1,0)</f>
        <v>0</v>
      </c>
      <c r="BX124" s="276" cm="1">
        <f t="array" ref="BX124">IF(AND(BX$2&lt;&gt;0,TblTech[[#This Row],[Hour]:[Hour]]&gt;=BX$2),1,0)</f>
        <v>0</v>
      </c>
      <c r="BY124" s="276" cm="1">
        <f t="array" ref="BY124">IF(AND(BY$2&lt;&gt;0,TblTech[[#This Row],[Hour]:[Hour]]&gt;=BY$2),1,0)</f>
        <v>0</v>
      </c>
      <c r="BZ124" s="276" cm="1">
        <f t="array" ref="BZ124">IF(AND(BZ$2&lt;&gt;0,TblTech[[#This Row],[Hour]:[Hour]]&gt;=BZ$2),1,0)</f>
        <v>0</v>
      </c>
      <c r="CA124" s="377">
        <f>IFERROR(INDEX($H$4:$H$79,MATCH(INDEX(TblTech[[#Headers],[1-1]:[11-1]],1,MATCH(TblTech[[#This Row],[Hour]],$M$2:$BZ$2,0)),$G$4:$G$79,0)),)</f>
        <v>0</v>
      </c>
    </row>
    <row r="125" spans="1:79" x14ac:dyDescent="0.2">
      <c r="A125" s="268">
        <f>TblRezone[[#This Row],[Hour]]</f>
        <v>122</v>
      </c>
      <c r="B125" s="269">
        <f ca="1">TblExplore[[#This Row],[Land-DB]]</f>
        <v>50</v>
      </c>
      <c r="C125" s="270">
        <f ca="1">TblProd[[#This Row],[Techpoints]]</f>
        <v>0</v>
      </c>
      <c r="D125" s="270">
        <f ca="1">TblProd[[#This Row],[Required]]</f>
        <v>3750</v>
      </c>
      <c r="E125" s="279"/>
      <c r="F125" s="280"/>
      <c r="G125" s="273"/>
      <c r="H125" s="274"/>
      <c r="I125" s="274"/>
      <c r="J125" s="274"/>
      <c r="K125" s="93">
        <f ca="1">IF(TblTech[[#This Row],[Sum of tech]]&lt;&gt;OFFSET(TblTech[[#This Row],[Sum of tech]],-1,0),1,0)</f>
        <v>0</v>
      </c>
      <c r="L125" s="275">
        <f>COUNTIF(TblTech[[#This Row],[1-1]:[11-1]],1)</f>
        <v>0</v>
      </c>
      <c r="M125" s="276" cm="1">
        <f t="array" ref="M125">IF(AND(M$2&lt;&gt;0,TblTech[[#This Row],[Hour]:[Hour]]&gt;=M$2),1,0)</f>
        <v>0</v>
      </c>
      <c r="N125" s="276" cm="1">
        <f t="array" ref="N125">IF(AND(N$2&lt;&gt;0,TblTech[[#This Row],[Hour]:[Hour]]&gt;=N$2),1,0)</f>
        <v>0</v>
      </c>
      <c r="O125" s="276" cm="1">
        <f t="array" ref="O125">IF(AND(O$2&lt;&gt;0,TblTech[[#This Row],[Hour]:[Hour]]&gt;=O$2),1,0)</f>
        <v>0</v>
      </c>
      <c r="P125" s="276" cm="1">
        <f t="array" ref="P125">IF(AND(P$2&lt;&gt;0,TblTech[[#This Row],[Hour]:[Hour]]&gt;=P$2),1,0)</f>
        <v>0</v>
      </c>
      <c r="Q125" s="276" cm="1">
        <f t="array" ref="Q125">IF(AND(Q$2&lt;&gt;0,TblTech[[#This Row],[Hour]:[Hour]]&gt;=Q$2),1,0)</f>
        <v>0</v>
      </c>
      <c r="R125" s="276" cm="1">
        <f t="array" ref="R125">IF(AND(R$2&lt;&gt;0,TblTech[[#This Row],[Hour]:[Hour]]&gt;=R$2),1,0)</f>
        <v>0</v>
      </c>
      <c r="S125" s="276" cm="1">
        <f t="array" ref="S125">IF(AND(S$2&lt;&gt;0,TblTech[[#This Row],[Hour]:[Hour]]&gt;=S$2),1,0)</f>
        <v>0</v>
      </c>
      <c r="T125" s="276" cm="1">
        <f t="array" ref="T125">IF(AND(T$2&lt;&gt;0,TblTech[[#This Row],[Hour]:[Hour]]&gt;=T$2),1,0)</f>
        <v>0</v>
      </c>
      <c r="U125" s="276" cm="1">
        <f t="array" ref="U125">IF(AND(U$2&lt;&gt;0,TblTech[[#This Row],[Hour]:[Hour]]&gt;=U$2),1,0)</f>
        <v>0</v>
      </c>
      <c r="V125" s="276" cm="1">
        <f t="array" ref="V125">IF(AND(V$2&lt;&gt;0,TblTech[[#This Row],[Hour]:[Hour]]&gt;=V$2),1,0)</f>
        <v>0</v>
      </c>
      <c r="W125" s="276" cm="1">
        <f t="array" ref="W125">IF(AND(W$2&lt;&gt;0,TblTech[[#This Row],[Hour]:[Hour]]&gt;=W$2),1,0)</f>
        <v>0</v>
      </c>
      <c r="X125" s="276" cm="1">
        <f t="array" ref="X125">IF(AND(X$2&lt;&gt;0,TblTech[[#This Row],[Hour]:[Hour]]&gt;=X$2),1,0)</f>
        <v>0</v>
      </c>
      <c r="Y125" s="276" cm="1">
        <f t="array" ref="Y125">IF(AND(Y$2&lt;&gt;0,TblTech[[#This Row],[Hour]:[Hour]]&gt;=Y$2),1,0)</f>
        <v>0</v>
      </c>
      <c r="Z125" s="276" cm="1">
        <f t="array" ref="Z125">IF(AND(Z$2&lt;&gt;0,TblTech[[#This Row],[Hour]:[Hour]]&gt;=Z$2),1,0)</f>
        <v>0</v>
      </c>
      <c r="AA125" s="276" cm="1">
        <f t="array" ref="AA125">IF(AND(AA$2&lt;&gt;0,TblTech[[#This Row],[Hour]:[Hour]]&gt;=AA$2),1,0)</f>
        <v>0</v>
      </c>
      <c r="AB125" s="276" cm="1">
        <f t="array" ref="AB125">IF(AND(AB$2&lt;&gt;0,TblTech[[#This Row],[Hour]:[Hour]]&gt;=AB$2),1,0)</f>
        <v>0</v>
      </c>
      <c r="AC125" s="276" cm="1">
        <f t="array" ref="AC125">IF(AND(AC$2&lt;&gt;0,TblTech[[#This Row],[Hour]:[Hour]]&gt;=AC$2),1,0)</f>
        <v>0</v>
      </c>
      <c r="AD125" s="276" cm="1">
        <f t="array" ref="AD125">IF(AND(AD$2&lt;&gt;0,TblTech[[#This Row],[Hour]:[Hour]]&gt;=AD$2),1,0)</f>
        <v>0</v>
      </c>
      <c r="AE125" s="276" cm="1">
        <f t="array" ref="AE125">IF(AND(AE$2&lt;&gt;0,TblTech[[#This Row],[Hour]:[Hour]]&gt;=AE$2),1,0)</f>
        <v>0</v>
      </c>
      <c r="AF125" s="276" cm="1">
        <f t="array" ref="AF125">IF(AND(AF$2&lt;&gt;0,TblTech[[#This Row],[Hour]:[Hour]]&gt;=AF$2),1,0)</f>
        <v>0</v>
      </c>
      <c r="AG125" s="276" cm="1">
        <f t="array" ref="AG125">IF(AND(AG$2&lt;&gt;0,TblTech[[#This Row],[Hour]:[Hour]]&gt;=AG$2),1,0)</f>
        <v>0</v>
      </c>
      <c r="AH125" s="276" cm="1">
        <f t="array" ref="AH125">IF(AND(AH$2&lt;&gt;0,TblTech[[#This Row],[Hour]:[Hour]]&gt;=AH$2),1,0)</f>
        <v>0</v>
      </c>
      <c r="AI125" s="276" cm="1">
        <f t="array" ref="AI125">IF(AND(AI$2&lt;&gt;0,TblTech[[#This Row],[Hour]:[Hour]]&gt;=AI$2),1,0)</f>
        <v>0</v>
      </c>
      <c r="AJ125" s="276" cm="1">
        <f t="array" ref="AJ125">IF(AND(AJ$2&lt;&gt;0,TblTech[[#This Row],[Hour]:[Hour]]&gt;=AJ$2),1,0)</f>
        <v>0</v>
      </c>
      <c r="AK125" s="276" cm="1">
        <f t="array" ref="AK125">IF(AND(AK$2&lt;&gt;0,TblTech[[#This Row],[Hour]:[Hour]]&gt;=AK$2),1,0)</f>
        <v>0</v>
      </c>
      <c r="AL125" s="276" cm="1">
        <f t="array" ref="AL125">IF(AND(AL$2&lt;&gt;0,TblTech[[#This Row],[Hour]:[Hour]]&gt;=AL$2),1,0)</f>
        <v>0</v>
      </c>
      <c r="AM125" s="276" cm="1">
        <f t="array" ref="AM125">IF(AND(AM$2&lt;&gt;0,TblTech[[#This Row],[Hour]:[Hour]]&gt;=AM$2),1,0)</f>
        <v>0</v>
      </c>
      <c r="AN125" s="276" cm="1">
        <f t="array" ref="AN125">IF(AND(AN$2&lt;&gt;0,TblTech[[#This Row],[Hour]:[Hour]]&gt;=AN$2),1,0)</f>
        <v>0</v>
      </c>
      <c r="AO125" s="276" cm="1">
        <f t="array" ref="AO125">IF(AND(AO$2&lt;&gt;0,TblTech[[#This Row],[Hour]:[Hour]]&gt;=AO$2),1,0)</f>
        <v>0</v>
      </c>
      <c r="AP125" s="276" cm="1">
        <f t="array" ref="AP125">IF(AND(AP$2&lt;&gt;0,TblTech[[#This Row],[Hour]:[Hour]]&gt;=AP$2),1,0)</f>
        <v>0</v>
      </c>
      <c r="AQ125" s="276" cm="1">
        <f t="array" ref="AQ125">IF(AND(AQ$2&lt;&gt;0,TblTech[[#This Row],[Hour]:[Hour]]&gt;=AQ$2),1,0)</f>
        <v>0</v>
      </c>
      <c r="AR125" s="276" cm="1">
        <f t="array" ref="AR125">IF(AND(AR$2&lt;&gt;0,TblTech[[#This Row],[Hour]:[Hour]]&gt;=AR$2),1,0)</f>
        <v>0</v>
      </c>
      <c r="AS125" s="276" cm="1">
        <f t="array" ref="AS125">IF(AND(AS$2&lt;&gt;0,TblTech[[#This Row],[Hour]:[Hour]]&gt;=AS$2),1,0)</f>
        <v>0</v>
      </c>
      <c r="AT125" s="276" cm="1">
        <f t="array" ref="AT125">IF(AND(AT$2&lt;&gt;0,TblTech[[#This Row],[Hour]:[Hour]]&gt;=AT$2),1,0)</f>
        <v>0</v>
      </c>
      <c r="AU125" s="276" cm="1">
        <f t="array" ref="AU125">IF(AND(AU$2&lt;&gt;0,TblTech[[#This Row],[Hour]:[Hour]]&gt;=AU$2),1,0)</f>
        <v>0</v>
      </c>
      <c r="AV125" s="276" cm="1">
        <f t="array" ref="AV125">IF(AND(AV$2&lt;&gt;0,TblTech[[#This Row],[Hour]:[Hour]]&gt;=AV$2),1,0)</f>
        <v>0</v>
      </c>
      <c r="AW125" s="276" cm="1">
        <f t="array" ref="AW125">IF(AND(AW$2&lt;&gt;0,TblTech[[#This Row],[Hour]:[Hour]]&gt;=AW$2),1,0)</f>
        <v>0</v>
      </c>
      <c r="AX125" s="276" cm="1">
        <f t="array" ref="AX125">IF(AND(AX$2&lt;&gt;0,TblTech[[#This Row],[Hour]:[Hour]]&gt;=AX$2),1,0)</f>
        <v>0</v>
      </c>
      <c r="AY125" s="276" cm="1">
        <f t="array" ref="AY125">IF(AND(AY$2&lt;&gt;0,TblTech[[#This Row],[Hour]:[Hour]]&gt;=AY$2),1,0)</f>
        <v>0</v>
      </c>
      <c r="AZ125" s="276" cm="1">
        <f t="array" ref="AZ125">IF(AND(AZ$2&lt;&gt;0,TblTech[[#This Row],[Hour]:[Hour]]&gt;=AZ$2),1,0)</f>
        <v>0</v>
      </c>
      <c r="BA125" s="276" cm="1">
        <f t="array" ref="BA125">IF(AND(BA$2&lt;&gt;0,TblTech[[#This Row],[Hour]:[Hour]]&gt;=BA$2),1,0)</f>
        <v>0</v>
      </c>
      <c r="BB125" s="276" cm="1">
        <f t="array" ref="BB125">IF(AND(BB$2&lt;&gt;0,TblTech[[#This Row],[Hour]:[Hour]]&gt;=BB$2),1,0)</f>
        <v>0</v>
      </c>
      <c r="BC125" s="276" cm="1">
        <f t="array" ref="BC125">IF(AND(BC$2&lt;&gt;0,TblTech[[#This Row],[Hour]:[Hour]]&gt;=BC$2),1,0)</f>
        <v>0</v>
      </c>
      <c r="BD125" s="276" cm="1">
        <f t="array" ref="BD125">IF(AND(BD$2&lt;&gt;0,TblTech[[#This Row],[Hour]:[Hour]]&gt;=BD$2),1,0)</f>
        <v>0</v>
      </c>
      <c r="BE125" s="276" cm="1">
        <f t="array" ref="BE125">IF(AND(BE$2&lt;&gt;0,TblTech[[#This Row],[Hour]:[Hour]]&gt;=BE$2),1,0)</f>
        <v>0</v>
      </c>
      <c r="BF125" s="276" cm="1">
        <f t="array" ref="BF125">IF(AND(BF$2&lt;&gt;0,TblTech[[#This Row],[Hour]:[Hour]]&gt;=BF$2),1,0)</f>
        <v>0</v>
      </c>
      <c r="BG125" s="276" cm="1">
        <f t="array" ref="BG125">IF(AND(BG$2&lt;&gt;0,TblTech[[#This Row],[Hour]:[Hour]]&gt;=BG$2),1,0)</f>
        <v>0</v>
      </c>
      <c r="BH125" s="276" cm="1">
        <f t="array" ref="BH125">IF(AND(BH$2&lt;&gt;0,TblTech[[#This Row],[Hour]:[Hour]]&gt;=BH$2),1,0)</f>
        <v>0</v>
      </c>
      <c r="BI125" s="276" cm="1">
        <f t="array" ref="BI125">IF(AND(BI$2&lt;&gt;0,TblTech[[#This Row],[Hour]:[Hour]]&gt;=BI$2),1,0)</f>
        <v>0</v>
      </c>
      <c r="BJ125" s="276" cm="1">
        <f t="array" ref="BJ125">IF(AND(BJ$2&lt;&gt;0,TblTech[[#This Row],[Hour]:[Hour]]&gt;=BJ$2),1,0)</f>
        <v>0</v>
      </c>
      <c r="BK125" s="276" cm="1">
        <f t="array" ref="BK125">IF(AND(BK$2&lt;&gt;0,TblTech[[#This Row],[Hour]:[Hour]]&gt;=BK$2),1,0)</f>
        <v>0</v>
      </c>
      <c r="BL125" s="276" cm="1">
        <f t="array" ref="BL125">IF(AND(BL$2&lt;&gt;0,TblTech[[#This Row],[Hour]:[Hour]]&gt;=BL$2),1,0)</f>
        <v>0</v>
      </c>
      <c r="BM125" s="276" cm="1">
        <f t="array" ref="BM125">IF(AND(BM$2&lt;&gt;0,TblTech[[#This Row],[Hour]:[Hour]]&gt;=BM$2),1,0)</f>
        <v>0</v>
      </c>
      <c r="BN125" s="276" cm="1">
        <f t="array" ref="BN125">IF(AND(BN$2&lt;&gt;0,TblTech[[#This Row],[Hour]:[Hour]]&gt;=BN$2),1,0)</f>
        <v>0</v>
      </c>
      <c r="BO125" s="276" cm="1">
        <f t="array" ref="BO125">IF(AND(BO$2&lt;&gt;0,TblTech[[#This Row],[Hour]:[Hour]]&gt;=BO$2),1,0)</f>
        <v>0</v>
      </c>
      <c r="BP125" s="276" cm="1">
        <f t="array" ref="BP125">IF(AND(BP$2&lt;&gt;0,TblTech[[#This Row],[Hour]:[Hour]]&gt;=BP$2),1,0)</f>
        <v>0</v>
      </c>
      <c r="BQ125" s="276" cm="1">
        <f t="array" ref="BQ125">IF(AND(BQ$2&lt;&gt;0,TblTech[[#This Row],[Hour]:[Hour]]&gt;=BQ$2),1,0)</f>
        <v>0</v>
      </c>
      <c r="BR125" s="276" cm="1">
        <f t="array" ref="BR125">IF(AND(BR$2&lt;&gt;0,TblTech[[#This Row],[Hour]:[Hour]]&gt;=BR$2),1,0)</f>
        <v>0</v>
      </c>
      <c r="BS125" s="276" cm="1">
        <f t="array" ref="BS125">IF(AND(BS$2&lt;&gt;0,TblTech[[#This Row],[Hour]:[Hour]]&gt;=BS$2),1,0)</f>
        <v>0</v>
      </c>
      <c r="BT125" s="276" cm="1">
        <f t="array" ref="BT125">IF(AND(BT$2&lt;&gt;0,TblTech[[#This Row],[Hour]:[Hour]]&gt;=BT$2),1,0)</f>
        <v>0</v>
      </c>
      <c r="BU125" s="276" cm="1">
        <f t="array" ref="BU125">IF(AND(BU$2&lt;&gt;0,TblTech[[#This Row],[Hour]:[Hour]]&gt;=BU$2),1,0)</f>
        <v>0</v>
      </c>
      <c r="BV125" s="276" cm="1">
        <f t="array" ref="BV125">IF(AND(BV$2&lt;&gt;0,TblTech[[#This Row],[Hour]:[Hour]]&gt;=BV$2),1,0)</f>
        <v>0</v>
      </c>
      <c r="BW125" s="276" cm="1">
        <f t="array" ref="BW125">IF(AND(BW$2&lt;&gt;0,TblTech[[#This Row],[Hour]:[Hour]]&gt;=BW$2),1,0)</f>
        <v>0</v>
      </c>
      <c r="BX125" s="276" cm="1">
        <f t="array" ref="BX125">IF(AND(BX$2&lt;&gt;0,TblTech[[#This Row],[Hour]:[Hour]]&gt;=BX$2),1,0)</f>
        <v>0</v>
      </c>
      <c r="BY125" s="276" cm="1">
        <f t="array" ref="BY125">IF(AND(BY$2&lt;&gt;0,TblTech[[#This Row],[Hour]:[Hour]]&gt;=BY$2),1,0)</f>
        <v>0</v>
      </c>
      <c r="BZ125" s="276" cm="1">
        <f t="array" ref="BZ125">IF(AND(BZ$2&lt;&gt;0,TblTech[[#This Row],[Hour]:[Hour]]&gt;=BZ$2),1,0)</f>
        <v>0</v>
      </c>
      <c r="CA125" s="377">
        <f>IFERROR(INDEX($H$4:$H$79,MATCH(INDEX(TblTech[[#Headers],[1-1]:[11-1]],1,MATCH(TblTech[[#This Row],[Hour]],$M$2:$BZ$2,0)),$G$4:$G$79,0)),)</f>
        <v>0</v>
      </c>
    </row>
    <row r="126" spans="1:79" x14ac:dyDescent="0.2">
      <c r="A126" s="268">
        <f>TblRezone[[#This Row],[Hour]]</f>
        <v>123</v>
      </c>
      <c r="B126" s="269">
        <f ca="1">TblExplore[[#This Row],[Land-DB]]</f>
        <v>50</v>
      </c>
      <c r="C126" s="270">
        <f ca="1">TblProd[[#This Row],[Techpoints]]</f>
        <v>0</v>
      </c>
      <c r="D126" s="270">
        <f ca="1">TblProd[[#This Row],[Required]]</f>
        <v>3750</v>
      </c>
      <c r="E126" s="279"/>
      <c r="F126" s="280"/>
      <c r="G126" s="273"/>
      <c r="H126" s="274"/>
      <c r="I126" s="274"/>
      <c r="J126" s="274"/>
      <c r="K126" s="93">
        <f ca="1">IF(TblTech[[#This Row],[Sum of tech]]&lt;&gt;OFFSET(TblTech[[#This Row],[Sum of tech]],-1,0),1,0)</f>
        <v>0</v>
      </c>
      <c r="L126" s="275">
        <f>COUNTIF(TblTech[[#This Row],[1-1]:[11-1]],1)</f>
        <v>0</v>
      </c>
      <c r="M126" s="276" cm="1">
        <f t="array" ref="M126">IF(AND(M$2&lt;&gt;0,TblTech[[#This Row],[Hour]:[Hour]]&gt;=M$2),1,0)</f>
        <v>0</v>
      </c>
      <c r="N126" s="276" cm="1">
        <f t="array" ref="N126">IF(AND(N$2&lt;&gt;0,TblTech[[#This Row],[Hour]:[Hour]]&gt;=N$2),1,0)</f>
        <v>0</v>
      </c>
      <c r="O126" s="276" cm="1">
        <f t="array" ref="O126">IF(AND(O$2&lt;&gt;0,TblTech[[#This Row],[Hour]:[Hour]]&gt;=O$2),1,0)</f>
        <v>0</v>
      </c>
      <c r="P126" s="276" cm="1">
        <f t="array" ref="P126">IF(AND(P$2&lt;&gt;0,TblTech[[#This Row],[Hour]:[Hour]]&gt;=P$2),1,0)</f>
        <v>0</v>
      </c>
      <c r="Q126" s="276" cm="1">
        <f t="array" ref="Q126">IF(AND(Q$2&lt;&gt;0,TblTech[[#This Row],[Hour]:[Hour]]&gt;=Q$2),1,0)</f>
        <v>0</v>
      </c>
      <c r="R126" s="276" cm="1">
        <f t="array" ref="R126">IF(AND(R$2&lt;&gt;0,TblTech[[#This Row],[Hour]:[Hour]]&gt;=R$2),1,0)</f>
        <v>0</v>
      </c>
      <c r="S126" s="276" cm="1">
        <f t="array" ref="S126">IF(AND(S$2&lt;&gt;0,TblTech[[#This Row],[Hour]:[Hour]]&gt;=S$2),1,0)</f>
        <v>0</v>
      </c>
      <c r="T126" s="276" cm="1">
        <f t="array" ref="T126">IF(AND(T$2&lt;&gt;0,TblTech[[#This Row],[Hour]:[Hour]]&gt;=T$2),1,0)</f>
        <v>0</v>
      </c>
      <c r="U126" s="276" cm="1">
        <f t="array" ref="U126">IF(AND(U$2&lt;&gt;0,TblTech[[#This Row],[Hour]:[Hour]]&gt;=U$2),1,0)</f>
        <v>0</v>
      </c>
      <c r="V126" s="276" cm="1">
        <f t="array" ref="V126">IF(AND(V$2&lt;&gt;0,TblTech[[#This Row],[Hour]:[Hour]]&gt;=V$2),1,0)</f>
        <v>0</v>
      </c>
      <c r="W126" s="276" cm="1">
        <f t="array" ref="W126">IF(AND(W$2&lt;&gt;0,TblTech[[#This Row],[Hour]:[Hour]]&gt;=W$2),1,0)</f>
        <v>0</v>
      </c>
      <c r="X126" s="276" cm="1">
        <f t="array" ref="X126">IF(AND(X$2&lt;&gt;0,TblTech[[#This Row],[Hour]:[Hour]]&gt;=X$2),1,0)</f>
        <v>0</v>
      </c>
      <c r="Y126" s="276" cm="1">
        <f t="array" ref="Y126">IF(AND(Y$2&lt;&gt;0,TblTech[[#This Row],[Hour]:[Hour]]&gt;=Y$2),1,0)</f>
        <v>0</v>
      </c>
      <c r="Z126" s="276" cm="1">
        <f t="array" ref="Z126">IF(AND(Z$2&lt;&gt;0,TblTech[[#This Row],[Hour]:[Hour]]&gt;=Z$2),1,0)</f>
        <v>0</v>
      </c>
      <c r="AA126" s="276" cm="1">
        <f t="array" ref="AA126">IF(AND(AA$2&lt;&gt;0,TblTech[[#This Row],[Hour]:[Hour]]&gt;=AA$2),1,0)</f>
        <v>0</v>
      </c>
      <c r="AB126" s="276" cm="1">
        <f t="array" ref="AB126">IF(AND(AB$2&lt;&gt;0,TblTech[[#This Row],[Hour]:[Hour]]&gt;=AB$2),1,0)</f>
        <v>0</v>
      </c>
      <c r="AC126" s="276" cm="1">
        <f t="array" ref="AC126">IF(AND(AC$2&lt;&gt;0,TblTech[[#This Row],[Hour]:[Hour]]&gt;=AC$2),1,0)</f>
        <v>0</v>
      </c>
      <c r="AD126" s="276" cm="1">
        <f t="array" ref="AD126">IF(AND(AD$2&lt;&gt;0,TblTech[[#This Row],[Hour]:[Hour]]&gt;=AD$2),1,0)</f>
        <v>0</v>
      </c>
      <c r="AE126" s="276" cm="1">
        <f t="array" ref="AE126">IF(AND(AE$2&lt;&gt;0,TblTech[[#This Row],[Hour]:[Hour]]&gt;=AE$2),1,0)</f>
        <v>0</v>
      </c>
      <c r="AF126" s="276" cm="1">
        <f t="array" ref="AF126">IF(AND(AF$2&lt;&gt;0,TblTech[[#This Row],[Hour]:[Hour]]&gt;=AF$2),1,0)</f>
        <v>0</v>
      </c>
      <c r="AG126" s="276" cm="1">
        <f t="array" ref="AG126">IF(AND(AG$2&lt;&gt;0,TblTech[[#This Row],[Hour]:[Hour]]&gt;=AG$2),1,0)</f>
        <v>0</v>
      </c>
      <c r="AH126" s="276" cm="1">
        <f t="array" ref="AH126">IF(AND(AH$2&lt;&gt;0,TblTech[[#This Row],[Hour]:[Hour]]&gt;=AH$2),1,0)</f>
        <v>0</v>
      </c>
      <c r="AI126" s="276" cm="1">
        <f t="array" ref="AI126">IF(AND(AI$2&lt;&gt;0,TblTech[[#This Row],[Hour]:[Hour]]&gt;=AI$2),1,0)</f>
        <v>0</v>
      </c>
      <c r="AJ126" s="276" cm="1">
        <f t="array" ref="AJ126">IF(AND(AJ$2&lt;&gt;0,TblTech[[#This Row],[Hour]:[Hour]]&gt;=AJ$2),1,0)</f>
        <v>0</v>
      </c>
      <c r="AK126" s="276" cm="1">
        <f t="array" ref="AK126">IF(AND(AK$2&lt;&gt;0,TblTech[[#This Row],[Hour]:[Hour]]&gt;=AK$2),1,0)</f>
        <v>0</v>
      </c>
      <c r="AL126" s="276" cm="1">
        <f t="array" ref="AL126">IF(AND(AL$2&lt;&gt;0,TblTech[[#This Row],[Hour]:[Hour]]&gt;=AL$2),1,0)</f>
        <v>0</v>
      </c>
      <c r="AM126" s="276" cm="1">
        <f t="array" ref="AM126">IF(AND(AM$2&lt;&gt;0,TblTech[[#This Row],[Hour]:[Hour]]&gt;=AM$2),1,0)</f>
        <v>0</v>
      </c>
      <c r="AN126" s="276" cm="1">
        <f t="array" ref="AN126">IF(AND(AN$2&lt;&gt;0,TblTech[[#This Row],[Hour]:[Hour]]&gt;=AN$2),1,0)</f>
        <v>0</v>
      </c>
      <c r="AO126" s="276" cm="1">
        <f t="array" ref="AO126">IF(AND(AO$2&lt;&gt;0,TblTech[[#This Row],[Hour]:[Hour]]&gt;=AO$2),1,0)</f>
        <v>0</v>
      </c>
      <c r="AP126" s="276" cm="1">
        <f t="array" ref="AP126">IF(AND(AP$2&lt;&gt;0,TblTech[[#This Row],[Hour]:[Hour]]&gt;=AP$2),1,0)</f>
        <v>0</v>
      </c>
      <c r="AQ126" s="276" cm="1">
        <f t="array" ref="AQ126">IF(AND(AQ$2&lt;&gt;0,TblTech[[#This Row],[Hour]:[Hour]]&gt;=AQ$2),1,0)</f>
        <v>0</v>
      </c>
      <c r="AR126" s="276" cm="1">
        <f t="array" ref="AR126">IF(AND(AR$2&lt;&gt;0,TblTech[[#This Row],[Hour]:[Hour]]&gt;=AR$2),1,0)</f>
        <v>0</v>
      </c>
      <c r="AS126" s="276" cm="1">
        <f t="array" ref="AS126">IF(AND(AS$2&lt;&gt;0,TblTech[[#This Row],[Hour]:[Hour]]&gt;=AS$2),1,0)</f>
        <v>0</v>
      </c>
      <c r="AT126" s="276" cm="1">
        <f t="array" ref="AT126">IF(AND(AT$2&lt;&gt;0,TblTech[[#This Row],[Hour]:[Hour]]&gt;=AT$2),1,0)</f>
        <v>0</v>
      </c>
      <c r="AU126" s="276" cm="1">
        <f t="array" ref="AU126">IF(AND(AU$2&lt;&gt;0,TblTech[[#This Row],[Hour]:[Hour]]&gt;=AU$2),1,0)</f>
        <v>0</v>
      </c>
      <c r="AV126" s="276" cm="1">
        <f t="array" ref="AV126">IF(AND(AV$2&lt;&gt;0,TblTech[[#This Row],[Hour]:[Hour]]&gt;=AV$2),1,0)</f>
        <v>0</v>
      </c>
      <c r="AW126" s="276" cm="1">
        <f t="array" ref="AW126">IF(AND(AW$2&lt;&gt;0,TblTech[[#This Row],[Hour]:[Hour]]&gt;=AW$2),1,0)</f>
        <v>0</v>
      </c>
      <c r="AX126" s="276" cm="1">
        <f t="array" ref="AX126">IF(AND(AX$2&lt;&gt;0,TblTech[[#This Row],[Hour]:[Hour]]&gt;=AX$2),1,0)</f>
        <v>0</v>
      </c>
      <c r="AY126" s="276" cm="1">
        <f t="array" ref="AY126">IF(AND(AY$2&lt;&gt;0,TblTech[[#This Row],[Hour]:[Hour]]&gt;=AY$2),1,0)</f>
        <v>0</v>
      </c>
      <c r="AZ126" s="276" cm="1">
        <f t="array" ref="AZ126">IF(AND(AZ$2&lt;&gt;0,TblTech[[#This Row],[Hour]:[Hour]]&gt;=AZ$2),1,0)</f>
        <v>0</v>
      </c>
      <c r="BA126" s="276" cm="1">
        <f t="array" ref="BA126">IF(AND(BA$2&lt;&gt;0,TblTech[[#This Row],[Hour]:[Hour]]&gt;=BA$2),1,0)</f>
        <v>0</v>
      </c>
      <c r="BB126" s="276" cm="1">
        <f t="array" ref="BB126">IF(AND(BB$2&lt;&gt;0,TblTech[[#This Row],[Hour]:[Hour]]&gt;=BB$2),1,0)</f>
        <v>0</v>
      </c>
      <c r="BC126" s="276" cm="1">
        <f t="array" ref="BC126">IF(AND(BC$2&lt;&gt;0,TblTech[[#This Row],[Hour]:[Hour]]&gt;=BC$2),1,0)</f>
        <v>0</v>
      </c>
      <c r="BD126" s="276" cm="1">
        <f t="array" ref="BD126">IF(AND(BD$2&lt;&gt;0,TblTech[[#This Row],[Hour]:[Hour]]&gt;=BD$2),1,0)</f>
        <v>0</v>
      </c>
      <c r="BE126" s="276" cm="1">
        <f t="array" ref="BE126">IF(AND(BE$2&lt;&gt;0,TblTech[[#This Row],[Hour]:[Hour]]&gt;=BE$2),1,0)</f>
        <v>0</v>
      </c>
      <c r="BF126" s="276" cm="1">
        <f t="array" ref="BF126">IF(AND(BF$2&lt;&gt;0,TblTech[[#This Row],[Hour]:[Hour]]&gt;=BF$2),1,0)</f>
        <v>0</v>
      </c>
      <c r="BG126" s="276" cm="1">
        <f t="array" ref="BG126">IF(AND(BG$2&lt;&gt;0,TblTech[[#This Row],[Hour]:[Hour]]&gt;=BG$2),1,0)</f>
        <v>0</v>
      </c>
      <c r="BH126" s="276" cm="1">
        <f t="array" ref="BH126">IF(AND(BH$2&lt;&gt;0,TblTech[[#This Row],[Hour]:[Hour]]&gt;=BH$2),1,0)</f>
        <v>0</v>
      </c>
      <c r="BI126" s="276" cm="1">
        <f t="array" ref="BI126">IF(AND(BI$2&lt;&gt;0,TblTech[[#This Row],[Hour]:[Hour]]&gt;=BI$2),1,0)</f>
        <v>0</v>
      </c>
      <c r="BJ126" s="276" cm="1">
        <f t="array" ref="BJ126">IF(AND(BJ$2&lt;&gt;0,TblTech[[#This Row],[Hour]:[Hour]]&gt;=BJ$2),1,0)</f>
        <v>0</v>
      </c>
      <c r="BK126" s="276" cm="1">
        <f t="array" ref="BK126">IF(AND(BK$2&lt;&gt;0,TblTech[[#This Row],[Hour]:[Hour]]&gt;=BK$2),1,0)</f>
        <v>0</v>
      </c>
      <c r="BL126" s="276" cm="1">
        <f t="array" ref="BL126">IF(AND(BL$2&lt;&gt;0,TblTech[[#This Row],[Hour]:[Hour]]&gt;=BL$2),1,0)</f>
        <v>0</v>
      </c>
      <c r="BM126" s="276" cm="1">
        <f t="array" ref="BM126">IF(AND(BM$2&lt;&gt;0,TblTech[[#This Row],[Hour]:[Hour]]&gt;=BM$2),1,0)</f>
        <v>0</v>
      </c>
      <c r="BN126" s="276" cm="1">
        <f t="array" ref="BN126">IF(AND(BN$2&lt;&gt;0,TblTech[[#This Row],[Hour]:[Hour]]&gt;=BN$2),1,0)</f>
        <v>0</v>
      </c>
      <c r="BO126" s="276" cm="1">
        <f t="array" ref="BO126">IF(AND(BO$2&lt;&gt;0,TblTech[[#This Row],[Hour]:[Hour]]&gt;=BO$2),1,0)</f>
        <v>0</v>
      </c>
      <c r="BP126" s="276" cm="1">
        <f t="array" ref="BP126">IF(AND(BP$2&lt;&gt;0,TblTech[[#This Row],[Hour]:[Hour]]&gt;=BP$2),1,0)</f>
        <v>0</v>
      </c>
      <c r="BQ126" s="276" cm="1">
        <f t="array" ref="BQ126">IF(AND(BQ$2&lt;&gt;0,TblTech[[#This Row],[Hour]:[Hour]]&gt;=BQ$2),1,0)</f>
        <v>0</v>
      </c>
      <c r="BR126" s="276" cm="1">
        <f t="array" ref="BR126">IF(AND(BR$2&lt;&gt;0,TblTech[[#This Row],[Hour]:[Hour]]&gt;=BR$2),1,0)</f>
        <v>0</v>
      </c>
      <c r="BS126" s="276" cm="1">
        <f t="array" ref="BS126">IF(AND(BS$2&lt;&gt;0,TblTech[[#This Row],[Hour]:[Hour]]&gt;=BS$2),1,0)</f>
        <v>0</v>
      </c>
      <c r="BT126" s="276" cm="1">
        <f t="array" ref="BT126">IF(AND(BT$2&lt;&gt;0,TblTech[[#This Row],[Hour]:[Hour]]&gt;=BT$2),1,0)</f>
        <v>0</v>
      </c>
      <c r="BU126" s="276" cm="1">
        <f t="array" ref="BU126">IF(AND(BU$2&lt;&gt;0,TblTech[[#This Row],[Hour]:[Hour]]&gt;=BU$2),1,0)</f>
        <v>0</v>
      </c>
      <c r="BV126" s="276" cm="1">
        <f t="array" ref="BV126">IF(AND(BV$2&lt;&gt;0,TblTech[[#This Row],[Hour]:[Hour]]&gt;=BV$2),1,0)</f>
        <v>0</v>
      </c>
      <c r="BW126" s="276" cm="1">
        <f t="array" ref="BW126">IF(AND(BW$2&lt;&gt;0,TblTech[[#This Row],[Hour]:[Hour]]&gt;=BW$2),1,0)</f>
        <v>0</v>
      </c>
      <c r="BX126" s="276" cm="1">
        <f t="array" ref="BX126">IF(AND(BX$2&lt;&gt;0,TblTech[[#This Row],[Hour]:[Hour]]&gt;=BX$2),1,0)</f>
        <v>0</v>
      </c>
      <c r="BY126" s="276" cm="1">
        <f t="array" ref="BY126">IF(AND(BY$2&lt;&gt;0,TblTech[[#This Row],[Hour]:[Hour]]&gt;=BY$2),1,0)</f>
        <v>0</v>
      </c>
      <c r="BZ126" s="276" cm="1">
        <f t="array" ref="BZ126">IF(AND(BZ$2&lt;&gt;0,TblTech[[#This Row],[Hour]:[Hour]]&gt;=BZ$2),1,0)</f>
        <v>0</v>
      </c>
      <c r="CA126" s="377">
        <f>IFERROR(INDEX($H$4:$H$79,MATCH(INDEX(TblTech[[#Headers],[1-1]:[11-1]],1,MATCH(TblTech[[#This Row],[Hour]],$M$2:$BZ$2,0)),$G$4:$G$79,0)),)</f>
        <v>0</v>
      </c>
    </row>
    <row r="127" spans="1:79" x14ac:dyDescent="0.2">
      <c r="A127" s="268">
        <f>TblRezone[[#This Row],[Hour]]</f>
        <v>124</v>
      </c>
      <c r="B127" s="269">
        <f ca="1">TblExplore[[#This Row],[Land-DB]]</f>
        <v>50</v>
      </c>
      <c r="C127" s="270">
        <f ca="1">TblProd[[#This Row],[Techpoints]]</f>
        <v>0</v>
      </c>
      <c r="D127" s="270">
        <f ca="1">TblProd[[#This Row],[Required]]</f>
        <v>3750</v>
      </c>
      <c r="E127" s="279"/>
      <c r="F127" s="280"/>
      <c r="G127" s="273"/>
      <c r="H127" s="274"/>
      <c r="I127" s="274"/>
      <c r="J127" s="274"/>
      <c r="K127" s="93">
        <f ca="1">IF(TblTech[[#This Row],[Sum of tech]]&lt;&gt;OFFSET(TblTech[[#This Row],[Sum of tech]],-1,0),1,0)</f>
        <v>0</v>
      </c>
      <c r="L127" s="275">
        <f>COUNTIF(TblTech[[#This Row],[1-1]:[11-1]],1)</f>
        <v>0</v>
      </c>
      <c r="M127" s="276" cm="1">
        <f t="array" ref="M127">IF(AND(M$2&lt;&gt;0,TblTech[[#This Row],[Hour]:[Hour]]&gt;=M$2),1,0)</f>
        <v>0</v>
      </c>
      <c r="N127" s="276" cm="1">
        <f t="array" ref="N127">IF(AND(N$2&lt;&gt;0,TblTech[[#This Row],[Hour]:[Hour]]&gt;=N$2),1,0)</f>
        <v>0</v>
      </c>
      <c r="O127" s="276" cm="1">
        <f t="array" ref="O127">IF(AND(O$2&lt;&gt;0,TblTech[[#This Row],[Hour]:[Hour]]&gt;=O$2),1,0)</f>
        <v>0</v>
      </c>
      <c r="P127" s="276" cm="1">
        <f t="array" ref="P127">IF(AND(P$2&lt;&gt;0,TblTech[[#This Row],[Hour]:[Hour]]&gt;=P$2),1,0)</f>
        <v>0</v>
      </c>
      <c r="Q127" s="276" cm="1">
        <f t="array" ref="Q127">IF(AND(Q$2&lt;&gt;0,TblTech[[#This Row],[Hour]:[Hour]]&gt;=Q$2),1,0)</f>
        <v>0</v>
      </c>
      <c r="R127" s="276" cm="1">
        <f t="array" ref="R127">IF(AND(R$2&lt;&gt;0,TblTech[[#This Row],[Hour]:[Hour]]&gt;=R$2),1,0)</f>
        <v>0</v>
      </c>
      <c r="S127" s="276" cm="1">
        <f t="array" ref="S127">IF(AND(S$2&lt;&gt;0,TblTech[[#This Row],[Hour]:[Hour]]&gt;=S$2),1,0)</f>
        <v>0</v>
      </c>
      <c r="T127" s="276" cm="1">
        <f t="array" ref="T127">IF(AND(T$2&lt;&gt;0,TblTech[[#This Row],[Hour]:[Hour]]&gt;=T$2),1,0)</f>
        <v>0</v>
      </c>
      <c r="U127" s="276" cm="1">
        <f t="array" ref="U127">IF(AND(U$2&lt;&gt;0,TblTech[[#This Row],[Hour]:[Hour]]&gt;=U$2),1,0)</f>
        <v>0</v>
      </c>
      <c r="V127" s="276" cm="1">
        <f t="array" ref="V127">IF(AND(V$2&lt;&gt;0,TblTech[[#This Row],[Hour]:[Hour]]&gt;=V$2),1,0)</f>
        <v>0</v>
      </c>
      <c r="W127" s="276" cm="1">
        <f t="array" ref="W127">IF(AND(W$2&lt;&gt;0,TblTech[[#This Row],[Hour]:[Hour]]&gt;=W$2),1,0)</f>
        <v>0</v>
      </c>
      <c r="X127" s="276" cm="1">
        <f t="array" ref="X127">IF(AND(X$2&lt;&gt;0,TblTech[[#This Row],[Hour]:[Hour]]&gt;=X$2),1,0)</f>
        <v>0</v>
      </c>
      <c r="Y127" s="276" cm="1">
        <f t="array" ref="Y127">IF(AND(Y$2&lt;&gt;0,TblTech[[#This Row],[Hour]:[Hour]]&gt;=Y$2),1,0)</f>
        <v>0</v>
      </c>
      <c r="Z127" s="276" cm="1">
        <f t="array" ref="Z127">IF(AND(Z$2&lt;&gt;0,TblTech[[#This Row],[Hour]:[Hour]]&gt;=Z$2),1,0)</f>
        <v>0</v>
      </c>
      <c r="AA127" s="276" cm="1">
        <f t="array" ref="AA127">IF(AND(AA$2&lt;&gt;0,TblTech[[#This Row],[Hour]:[Hour]]&gt;=AA$2),1,0)</f>
        <v>0</v>
      </c>
      <c r="AB127" s="276" cm="1">
        <f t="array" ref="AB127">IF(AND(AB$2&lt;&gt;0,TblTech[[#This Row],[Hour]:[Hour]]&gt;=AB$2),1,0)</f>
        <v>0</v>
      </c>
      <c r="AC127" s="276" cm="1">
        <f t="array" ref="AC127">IF(AND(AC$2&lt;&gt;0,TblTech[[#This Row],[Hour]:[Hour]]&gt;=AC$2),1,0)</f>
        <v>0</v>
      </c>
      <c r="AD127" s="276" cm="1">
        <f t="array" ref="AD127">IF(AND(AD$2&lt;&gt;0,TblTech[[#This Row],[Hour]:[Hour]]&gt;=AD$2),1,0)</f>
        <v>0</v>
      </c>
      <c r="AE127" s="276" cm="1">
        <f t="array" ref="AE127">IF(AND(AE$2&lt;&gt;0,TblTech[[#This Row],[Hour]:[Hour]]&gt;=AE$2),1,0)</f>
        <v>0</v>
      </c>
      <c r="AF127" s="276" cm="1">
        <f t="array" ref="AF127">IF(AND(AF$2&lt;&gt;0,TblTech[[#This Row],[Hour]:[Hour]]&gt;=AF$2),1,0)</f>
        <v>0</v>
      </c>
      <c r="AG127" s="276" cm="1">
        <f t="array" ref="AG127">IF(AND(AG$2&lt;&gt;0,TblTech[[#This Row],[Hour]:[Hour]]&gt;=AG$2),1,0)</f>
        <v>0</v>
      </c>
      <c r="AH127" s="276" cm="1">
        <f t="array" ref="AH127">IF(AND(AH$2&lt;&gt;0,TblTech[[#This Row],[Hour]:[Hour]]&gt;=AH$2),1,0)</f>
        <v>0</v>
      </c>
      <c r="AI127" s="276" cm="1">
        <f t="array" ref="AI127">IF(AND(AI$2&lt;&gt;0,TblTech[[#This Row],[Hour]:[Hour]]&gt;=AI$2),1,0)</f>
        <v>0</v>
      </c>
      <c r="AJ127" s="276" cm="1">
        <f t="array" ref="AJ127">IF(AND(AJ$2&lt;&gt;0,TblTech[[#This Row],[Hour]:[Hour]]&gt;=AJ$2),1,0)</f>
        <v>0</v>
      </c>
      <c r="AK127" s="276" cm="1">
        <f t="array" ref="AK127">IF(AND(AK$2&lt;&gt;0,TblTech[[#This Row],[Hour]:[Hour]]&gt;=AK$2),1,0)</f>
        <v>0</v>
      </c>
      <c r="AL127" s="276" cm="1">
        <f t="array" ref="AL127">IF(AND(AL$2&lt;&gt;0,TblTech[[#This Row],[Hour]:[Hour]]&gt;=AL$2),1,0)</f>
        <v>0</v>
      </c>
      <c r="AM127" s="276" cm="1">
        <f t="array" ref="AM127">IF(AND(AM$2&lt;&gt;0,TblTech[[#This Row],[Hour]:[Hour]]&gt;=AM$2),1,0)</f>
        <v>0</v>
      </c>
      <c r="AN127" s="276" cm="1">
        <f t="array" ref="AN127">IF(AND(AN$2&lt;&gt;0,TblTech[[#This Row],[Hour]:[Hour]]&gt;=AN$2),1,0)</f>
        <v>0</v>
      </c>
      <c r="AO127" s="276" cm="1">
        <f t="array" ref="AO127">IF(AND(AO$2&lt;&gt;0,TblTech[[#This Row],[Hour]:[Hour]]&gt;=AO$2),1,0)</f>
        <v>0</v>
      </c>
      <c r="AP127" s="276" cm="1">
        <f t="array" ref="AP127">IF(AND(AP$2&lt;&gt;0,TblTech[[#This Row],[Hour]:[Hour]]&gt;=AP$2),1,0)</f>
        <v>0</v>
      </c>
      <c r="AQ127" s="276" cm="1">
        <f t="array" ref="AQ127">IF(AND(AQ$2&lt;&gt;0,TblTech[[#This Row],[Hour]:[Hour]]&gt;=AQ$2),1,0)</f>
        <v>0</v>
      </c>
      <c r="AR127" s="276" cm="1">
        <f t="array" ref="AR127">IF(AND(AR$2&lt;&gt;0,TblTech[[#This Row],[Hour]:[Hour]]&gt;=AR$2),1,0)</f>
        <v>0</v>
      </c>
      <c r="AS127" s="276" cm="1">
        <f t="array" ref="AS127">IF(AND(AS$2&lt;&gt;0,TblTech[[#This Row],[Hour]:[Hour]]&gt;=AS$2),1,0)</f>
        <v>0</v>
      </c>
      <c r="AT127" s="276" cm="1">
        <f t="array" ref="AT127">IF(AND(AT$2&lt;&gt;0,TblTech[[#This Row],[Hour]:[Hour]]&gt;=AT$2),1,0)</f>
        <v>0</v>
      </c>
      <c r="AU127" s="276" cm="1">
        <f t="array" ref="AU127">IF(AND(AU$2&lt;&gt;0,TblTech[[#This Row],[Hour]:[Hour]]&gt;=AU$2),1,0)</f>
        <v>0</v>
      </c>
      <c r="AV127" s="276" cm="1">
        <f t="array" ref="AV127">IF(AND(AV$2&lt;&gt;0,TblTech[[#This Row],[Hour]:[Hour]]&gt;=AV$2),1,0)</f>
        <v>0</v>
      </c>
      <c r="AW127" s="276" cm="1">
        <f t="array" ref="AW127">IF(AND(AW$2&lt;&gt;0,TblTech[[#This Row],[Hour]:[Hour]]&gt;=AW$2),1,0)</f>
        <v>0</v>
      </c>
      <c r="AX127" s="276" cm="1">
        <f t="array" ref="AX127">IF(AND(AX$2&lt;&gt;0,TblTech[[#This Row],[Hour]:[Hour]]&gt;=AX$2),1,0)</f>
        <v>0</v>
      </c>
      <c r="AY127" s="276" cm="1">
        <f t="array" ref="AY127">IF(AND(AY$2&lt;&gt;0,TblTech[[#This Row],[Hour]:[Hour]]&gt;=AY$2),1,0)</f>
        <v>0</v>
      </c>
      <c r="AZ127" s="276" cm="1">
        <f t="array" ref="AZ127">IF(AND(AZ$2&lt;&gt;0,TblTech[[#This Row],[Hour]:[Hour]]&gt;=AZ$2),1,0)</f>
        <v>0</v>
      </c>
      <c r="BA127" s="276" cm="1">
        <f t="array" ref="BA127">IF(AND(BA$2&lt;&gt;0,TblTech[[#This Row],[Hour]:[Hour]]&gt;=BA$2),1,0)</f>
        <v>0</v>
      </c>
      <c r="BB127" s="276" cm="1">
        <f t="array" ref="BB127">IF(AND(BB$2&lt;&gt;0,TblTech[[#This Row],[Hour]:[Hour]]&gt;=BB$2),1,0)</f>
        <v>0</v>
      </c>
      <c r="BC127" s="276" cm="1">
        <f t="array" ref="BC127">IF(AND(BC$2&lt;&gt;0,TblTech[[#This Row],[Hour]:[Hour]]&gt;=BC$2),1,0)</f>
        <v>0</v>
      </c>
      <c r="BD127" s="276" cm="1">
        <f t="array" ref="BD127">IF(AND(BD$2&lt;&gt;0,TblTech[[#This Row],[Hour]:[Hour]]&gt;=BD$2),1,0)</f>
        <v>0</v>
      </c>
      <c r="BE127" s="276" cm="1">
        <f t="array" ref="BE127">IF(AND(BE$2&lt;&gt;0,TblTech[[#This Row],[Hour]:[Hour]]&gt;=BE$2),1,0)</f>
        <v>0</v>
      </c>
      <c r="BF127" s="276" cm="1">
        <f t="array" ref="BF127">IF(AND(BF$2&lt;&gt;0,TblTech[[#This Row],[Hour]:[Hour]]&gt;=BF$2),1,0)</f>
        <v>0</v>
      </c>
      <c r="BG127" s="276" cm="1">
        <f t="array" ref="BG127">IF(AND(BG$2&lt;&gt;0,TblTech[[#This Row],[Hour]:[Hour]]&gt;=BG$2),1,0)</f>
        <v>0</v>
      </c>
      <c r="BH127" s="276" cm="1">
        <f t="array" ref="BH127">IF(AND(BH$2&lt;&gt;0,TblTech[[#This Row],[Hour]:[Hour]]&gt;=BH$2),1,0)</f>
        <v>0</v>
      </c>
      <c r="BI127" s="276" cm="1">
        <f t="array" ref="BI127">IF(AND(BI$2&lt;&gt;0,TblTech[[#This Row],[Hour]:[Hour]]&gt;=BI$2),1,0)</f>
        <v>0</v>
      </c>
      <c r="BJ127" s="276" cm="1">
        <f t="array" ref="BJ127">IF(AND(BJ$2&lt;&gt;0,TblTech[[#This Row],[Hour]:[Hour]]&gt;=BJ$2),1,0)</f>
        <v>0</v>
      </c>
      <c r="BK127" s="276" cm="1">
        <f t="array" ref="BK127">IF(AND(BK$2&lt;&gt;0,TblTech[[#This Row],[Hour]:[Hour]]&gt;=BK$2),1,0)</f>
        <v>0</v>
      </c>
      <c r="BL127" s="276" cm="1">
        <f t="array" ref="BL127">IF(AND(BL$2&lt;&gt;0,TblTech[[#This Row],[Hour]:[Hour]]&gt;=BL$2),1,0)</f>
        <v>0</v>
      </c>
      <c r="BM127" s="276" cm="1">
        <f t="array" ref="BM127">IF(AND(BM$2&lt;&gt;0,TblTech[[#This Row],[Hour]:[Hour]]&gt;=BM$2),1,0)</f>
        <v>0</v>
      </c>
      <c r="BN127" s="276" cm="1">
        <f t="array" ref="BN127">IF(AND(BN$2&lt;&gt;0,TblTech[[#This Row],[Hour]:[Hour]]&gt;=BN$2),1,0)</f>
        <v>0</v>
      </c>
      <c r="BO127" s="276" cm="1">
        <f t="array" ref="BO127">IF(AND(BO$2&lt;&gt;0,TblTech[[#This Row],[Hour]:[Hour]]&gt;=BO$2),1,0)</f>
        <v>0</v>
      </c>
      <c r="BP127" s="276" cm="1">
        <f t="array" ref="BP127">IF(AND(BP$2&lt;&gt;0,TblTech[[#This Row],[Hour]:[Hour]]&gt;=BP$2),1,0)</f>
        <v>0</v>
      </c>
      <c r="BQ127" s="276" cm="1">
        <f t="array" ref="BQ127">IF(AND(BQ$2&lt;&gt;0,TblTech[[#This Row],[Hour]:[Hour]]&gt;=BQ$2),1,0)</f>
        <v>0</v>
      </c>
      <c r="BR127" s="276" cm="1">
        <f t="array" ref="BR127">IF(AND(BR$2&lt;&gt;0,TblTech[[#This Row],[Hour]:[Hour]]&gt;=BR$2),1,0)</f>
        <v>0</v>
      </c>
      <c r="BS127" s="276" cm="1">
        <f t="array" ref="BS127">IF(AND(BS$2&lt;&gt;0,TblTech[[#This Row],[Hour]:[Hour]]&gt;=BS$2),1,0)</f>
        <v>0</v>
      </c>
      <c r="BT127" s="276" cm="1">
        <f t="array" ref="BT127">IF(AND(BT$2&lt;&gt;0,TblTech[[#This Row],[Hour]:[Hour]]&gt;=BT$2),1,0)</f>
        <v>0</v>
      </c>
      <c r="BU127" s="276" cm="1">
        <f t="array" ref="BU127">IF(AND(BU$2&lt;&gt;0,TblTech[[#This Row],[Hour]:[Hour]]&gt;=BU$2),1,0)</f>
        <v>0</v>
      </c>
      <c r="BV127" s="276" cm="1">
        <f t="array" ref="BV127">IF(AND(BV$2&lt;&gt;0,TblTech[[#This Row],[Hour]:[Hour]]&gt;=BV$2),1,0)</f>
        <v>0</v>
      </c>
      <c r="BW127" s="276" cm="1">
        <f t="array" ref="BW127">IF(AND(BW$2&lt;&gt;0,TblTech[[#This Row],[Hour]:[Hour]]&gt;=BW$2),1,0)</f>
        <v>0</v>
      </c>
      <c r="BX127" s="276" cm="1">
        <f t="array" ref="BX127">IF(AND(BX$2&lt;&gt;0,TblTech[[#This Row],[Hour]:[Hour]]&gt;=BX$2),1,0)</f>
        <v>0</v>
      </c>
      <c r="BY127" s="276" cm="1">
        <f t="array" ref="BY127">IF(AND(BY$2&lt;&gt;0,TblTech[[#This Row],[Hour]:[Hour]]&gt;=BY$2),1,0)</f>
        <v>0</v>
      </c>
      <c r="BZ127" s="276" cm="1">
        <f t="array" ref="BZ127">IF(AND(BZ$2&lt;&gt;0,TblTech[[#This Row],[Hour]:[Hour]]&gt;=BZ$2),1,0)</f>
        <v>0</v>
      </c>
      <c r="CA127" s="377">
        <f>IFERROR(INDEX($H$4:$H$79,MATCH(INDEX(TblTech[[#Headers],[1-1]:[11-1]],1,MATCH(TblTech[[#This Row],[Hour]],$M$2:$BZ$2,0)),$G$4:$G$79,0)),)</f>
        <v>0</v>
      </c>
    </row>
    <row r="128" spans="1:79" x14ac:dyDescent="0.2">
      <c r="A128" s="268">
        <f>TblRezone[[#This Row],[Hour]]</f>
        <v>125</v>
      </c>
      <c r="B128" s="269">
        <f ca="1">TblExplore[[#This Row],[Land-DB]]</f>
        <v>50</v>
      </c>
      <c r="C128" s="270">
        <f ca="1">TblProd[[#This Row],[Techpoints]]</f>
        <v>0</v>
      </c>
      <c r="D128" s="270">
        <f ca="1">TblProd[[#This Row],[Required]]</f>
        <v>3750</v>
      </c>
      <c r="E128" s="279"/>
      <c r="F128" s="280"/>
      <c r="G128" s="273"/>
      <c r="H128" s="274"/>
      <c r="I128" s="274"/>
      <c r="J128" s="274"/>
      <c r="K128" s="93">
        <f ca="1">IF(TblTech[[#This Row],[Sum of tech]]&lt;&gt;OFFSET(TblTech[[#This Row],[Sum of tech]],-1,0),1,0)</f>
        <v>0</v>
      </c>
      <c r="L128" s="275">
        <f>COUNTIF(TblTech[[#This Row],[1-1]:[11-1]],1)</f>
        <v>0</v>
      </c>
      <c r="M128" s="276" cm="1">
        <f t="array" ref="M128">IF(AND(M$2&lt;&gt;0,TblTech[[#This Row],[Hour]:[Hour]]&gt;=M$2),1,0)</f>
        <v>0</v>
      </c>
      <c r="N128" s="276" cm="1">
        <f t="array" ref="N128">IF(AND(N$2&lt;&gt;0,TblTech[[#This Row],[Hour]:[Hour]]&gt;=N$2),1,0)</f>
        <v>0</v>
      </c>
      <c r="O128" s="276" cm="1">
        <f t="array" ref="O128">IF(AND(O$2&lt;&gt;0,TblTech[[#This Row],[Hour]:[Hour]]&gt;=O$2),1,0)</f>
        <v>0</v>
      </c>
      <c r="P128" s="276" cm="1">
        <f t="array" ref="P128">IF(AND(P$2&lt;&gt;0,TblTech[[#This Row],[Hour]:[Hour]]&gt;=P$2),1,0)</f>
        <v>0</v>
      </c>
      <c r="Q128" s="276" cm="1">
        <f t="array" ref="Q128">IF(AND(Q$2&lt;&gt;0,TblTech[[#This Row],[Hour]:[Hour]]&gt;=Q$2),1,0)</f>
        <v>0</v>
      </c>
      <c r="R128" s="276" cm="1">
        <f t="array" ref="R128">IF(AND(R$2&lt;&gt;0,TblTech[[#This Row],[Hour]:[Hour]]&gt;=R$2),1,0)</f>
        <v>0</v>
      </c>
      <c r="S128" s="276" cm="1">
        <f t="array" ref="S128">IF(AND(S$2&lt;&gt;0,TblTech[[#This Row],[Hour]:[Hour]]&gt;=S$2),1,0)</f>
        <v>0</v>
      </c>
      <c r="T128" s="276" cm="1">
        <f t="array" ref="T128">IF(AND(T$2&lt;&gt;0,TblTech[[#This Row],[Hour]:[Hour]]&gt;=T$2),1,0)</f>
        <v>0</v>
      </c>
      <c r="U128" s="276" cm="1">
        <f t="array" ref="U128">IF(AND(U$2&lt;&gt;0,TblTech[[#This Row],[Hour]:[Hour]]&gt;=U$2),1,0)</f>
        <v>0</v>
      </c>
      <c r="V128" s="276" cm="1">
        <f t="array" ref="V128">IF(AND(V$2&lt;&gt;0,TblTech[[#This Row],[Hour]:[Hour]]&gt;=V$2),1,0)</f>
        <v>0</v>
      </c>
      <c r="W128" s="276" cm="1">
        <f t="array" ref="W128">IF(AND(W$2&lt;&gt;0,TblTech[[#This Row],[Hour]:[Hour]]&gt;=W$2),1,0)</f>
        <v>0</v>
      </c>
      <c r="X128" s="276" cm="1">
        <f t="array" ref="X128">IF(AND(X$2&lt;&gt;0,TblTech[[#This Row],[Hour]:[Hour]]&gt;=X$2),1,0)</f>
        <v>0</v>
      </c>
      <c r="Y128" s="276" cm="1">
        <f t="array" ref="Y128">IF(AND(Y$2&lt;&gt;0,TblTech[[#This Row],[Hour]:[Hour]]&gt;=Y$2),1,0)</f>
        <v>0</v>
      </c>
      <c r="Z128" s="276" cm="1">
        <f t="array" ref="Z128">IF(AND(Z$2&lt;&gt;0,TblTech[[#This Row],[Hour]:[Hour]]&gt;=Z$2),1,0)</f>
        <v>0</v>
      </c>
      <c r="AA128" s="276" cm="1">
        <f t="array" ref="AA128">IF(AND(AA$2&lt;&gt;0,TblTech[[#This Row],[Hour]:[Hour]]&gt;=AA$2),1,0)</f>
        <v>0</v>
      </c>
      <c r="AB128" s="276" cm="1">
        <f t="array" ref="AB128">IF(AND(AB$2&lt;&gt;0,TblTech[[#This Row],[Hour]:[Hour]]&gt;=AB$2),1,0)</f>
        <v>0</v>
      </c>
      <c r="AC128" s="276" cm="1">
        <f t="array" ref="AC128">IF(AND(AC$2&lt;&gt;0,TblTech[[#This Row],[Hour]:[Hour]]&gt;=AC$2),1,0)</f>
        <v>0</v>
      </c>
      <c r="AD128" s="276" cm="1">
        <f t="array" ref="AD128">IF(AND(AD$2&lt;&gt;0,TblTech[[#This Row],[Hour]:[Hour]]&gt;=AD$2),1,0)</f>
        <v>0</v>
      </c>
      <c r="AE128" s="276" cm="1">
        <f t="array" ref="AE128">IF(AND(AE$2&lt;&gt;0,TblTech[[#This Row],[Hour]:[Hour]]&gt;=AE$2),1,0)</f>
        <v>0</v>
      </c>
      <c r="AF128" s="276" cm="1">
        <f t="array" ref="AF128">IF(AND(AF$2&lt;&gt;0,TblTech[[#This Row],[Hour]:[Hour]]&gt;=AF$2),1,0)</f>
        <v>0</v>
      </c>
      <c r="AG128" s="276" cm="1">
        <f t="array" ref="AG128">IF(AND(AG$2&lt;&gt;0,TblTech[[#This Row],[Hour]:[Hour]]&gt;=AG$2),1,0)</f>
        <v>0</v>
      </c>
      <c r="AH128" s="276" cm="1">
        <f t="array" ref="AH128">IF(AND(AH$2&lt;&gt;0,TblTech[[#This Row],[Hour]:[Hour]]&gt;=AH$2),1,0)</f>
        <v>0</v>
      </c>
      <c r="AI128" s="276" cm="1">
        <f t="array" ref="AI128">IF(AND(AI$2&lt;&gt;0,TblTech[[#This Row],[Hour]:[Hour]]&gt;=AI$2),1,0)</f>
        <v>0</v>
      </c>
      <c r="AJ128" s="276" cm="1">
        <f t="array" ref="AJ128">IF(AND(AJ$2&lt;&gt;0,TblTech[[#This Row],[Hour]:[Hour]]&gt;=AJ$2),1,0)</f>
        <v>0</v>
      </c>
      <c r="AK128" s="276" cm="1">
        <f t="array" ref="AK128">IF(AND(AK$2&lt;&gt;0,TblTech[[#This Row],[Hour]:[Hour]]&gt;=AK$2),1,0)</f>
        <v>0</v>
      </c>
      <c r="AL128" s="276" cm="1">
        <f t="array" ref="AL128">IF(AND(AL$2&lt;&gt;0,TblTech[[#This Row],[Hour]:[Hour]]&gt;=AL$2),1,0)</f>
        <v>0</v>
      </c>
      <c r="AM128" s="276" cm="1">
        <f t="array" ref="AM128">IF(AND(AM$2&lt;&gt;0,TblTech[[#This Row],[Hour]:[Hour]]&gt;=AM$2),1,0)</f>
        <v>0</v>
      </c>
      <c r="AN128" s="276" cm="1">
        <f t="array" ref="AN128">IF(AND(AN$2&lt;&gt;0,TblTech[[#This Row],[Hour]:[Hour]]&gt;=AN$2),1,0)</f>
        <v>0</v>
      </c>
      <c r="AO128" s="276" cm="1">
        <f t="array" ref="AO128">IF(AND(AO$2&lt;&gt;0,TblTech[[#This Row],[Hour]:[Hour]]&gt;=AO$2),1,0)</f>
        <v>0</v>
      </c>
      <c r="AP128" s="276" cm="1">
        <f t="array" ref="AP128">IF(AND(AP$2&lt;&gt;0,TblTech[[#This Row],[Hour]:[Hour]]&gt;=AP$2),1,0)</f>
        <v>0</v>
      </c>
      <c r="AQ128" s="276" cm="1">
        <f t="array" ref="AQ128">IF(AND(AQ$2&lt;&gt;0,TblTech[[#This Row],[Hour]:[Hour]]&gt;=AQ$2),1,0)</f>
        <v>0</v>
      </c>
      <c r="AR128" s="276" cm="1">
        <f t="array" ref="AR128">IF(AND(AR$2&lt;&gt;0,TblTech[[#This Row],[Hour]:[Hour]]&gt;=AR$2),1,0)</f>
        <v>0</v>
      </c>
      <c r="AS128" s="276" cm="1">
        <f t="array" ref="AS128">IF(AND(AS$2&lt;&gt;0,TblTech[[#This Row],[Hour]:[Hour]]&gt;=AS$2),1,0)</f>
        <v>0</v>
      </c>
      <c r="AT128" s="276" cm="1">
        <f t="array" ref="AT128">IF(AND(AT$2&lt;&gt;0,TblTech[[#This Row],[Hour]:[Hour]]&gt;=AT$2),1,0)</f>
        <v>0</v>
      </c>
      <c r="AU128" s="276" cm="1">
        <f t="array" ref="AU128">IF(AND(AU$2&lt;&gt;0,TblTech[[#This Row],[Hour]:[Hour]]&gt;=AU$2),1,0)</f>
        <v>0</v>
      </c>
      <c r="AV128" s="276" cm="1">
        <f t="array" ref="AV128">IF(AND(AV$2&lt;&gt;0,TblTech[[#This Row],[Hour]:[Hour]]&gt;=AV$2),1,0)</f>
        <v>0</v>
      </c>
      <c r="AW128" s="276" cm="1">
        <f t="array" ref="AW128">IF(AND(AW$2&lt;&gt;0,TblTech[[#This Row],[Hour]:[Hour]]&gt;=AW$2),1,0)</f>
        <v>0</v>
      </c>
      <c r="AX128" s="276" cm="1">
        <f t="array" ref="AX128">IF(AND(AX$2&lt;&gt;0,TblTech[[#This Row],[Hour]:[Hour]]&gt;=AX$2),1,0)</f>
        <v>0</v>
      </c>
      <c r="AY128" s="276" cm="1">
        <f t="array" ref="AY128">IF(AND(AY$2&lt;&gt;0,TblTech[[#This Row],[Hour]:[Hour]]&gt;=AY$2),1,0)</f>
        <v>0</v>
      </c>
      <c r="AZ128" s="276" cm="1">
        <f t="array" ref="AZ128">IF(AND(AZ$2&lt;&gt;0,TblTech[[#This Row],[Hour]:[Hour]]&gt;=AZ$2),1,0)</f>
        <v>0</v>
      </c>
      <c r="BA128" s="276" cm="1">
        <f t="array" ref="BA128">IF(AND(BA$2&lt;&gt;0,TblTech[[#This Row],[Hour]:[Hour]]&gt;=BA$2),1,0)</f>
        <v>0</v>
      </c>
      <c r="BB128" s="276" cm="1">
        <f t="array" ref="BB128">IF(AND(BB$2&lt;&gt;0,TblTech[[#This Row],[Hour]:[Hour]]&gt;=BB$2),1,0)</f>
        <v>0</v>
      </c>
      <c r="BC128" s="276" cm="1">
        <f t="array" ref="BC128">IF(AND(BC$2&lt;&gt;0,TblTech[[#This Row],[Hour]:[Hour]]&gt;=BC$2),1,0)</f>
        <v>0</v>
      </c>
      <c r="BD128" s="276" cm="1">
        <f t="array" ref="BD128">IF(AND(BD$2&lt;&gt;0,TblTech[[#This Row],[Hour]:[Hour]]&gt;=BD$2),1,0)</f>
        <v>0</v>
      </c>
      <c r="BE128" s="276" cm="1">
        <f t="array" ref="BE128">IF(AND(BE$2&lt;&gt;0,TblTech[[#This Row],[Hour]:[Hour]]&gt;=BE$2),1,0)</f>
        <v>0</v>
      </c>
      <c r="BF128" s="276" cm="1">
        <f t="array" ref="BF128">IF(AND(BF$2&lt;&gt;0,TblTech[[#This Row],[Hour]:[Hour]]&gt;=BF$2),1,0)</f>
        <v>0</v>
      </c>
      <c r="BG128" s="276" cm="1">
        <f t="array" ref="BG128">IF(AND(BG$2&lt;&gt;0,TblTech[[#This Row],[Hour]:[Hour]]&gt;=BG$2),1,0)</f>
        <v>0</v>
      </c>
      <c r="BH128" s="276" cm="1">
        <f t="array" ref="BH128">IF(AND(BH$2&lt;&gt;0,TblTech[[#This Row],[Hour]:[Hour]]&gt;=BH$2),1,0)</f>
        <v>0</v>
      </c>
      <c r="BI128" s="276" cm="1">
        <f t="array" ref="BI128">IF(AND(BI$2&lt;&gt;0,TblTech[[#This Row],[Hour]:[Hour]]&gt;=BI$2),1,0)</f>
        <v>0</v>
      </c>
      <c r="BJ128" s="276" cm="1">
        <f t="array" ref="BJ128">IF(AND(BJ$2&lt;&gt;0,TblTech[[#This Row],[Hour]:[Hour]]&gt;=BJ$2),1,0)</f>
        <v>0</v>
      </c>
      <c r="BK128" s="276" cm="1">
        <f t="array" ref="BK128">IF(AND(BK$2&lt;&gt;0,TblTech[[#This Row],[Hour]:[Hour]]&gt;=BK$2),1,0)</f>
        <v>0</v>
      </c>
      <c r="BL128" s="276" cm="1">
        <f t="array" ref="BL128">IF(AND(BL$2&lt;&gt;0,TblTech[[#This Row],[Hour]:[Hour]]&gt;=BL$2),1,0)</f>
        <v>0</v>
      </c>
      <c r="BM128" s="276" cm="1">
        <f t="array" ref="BM128">IF(AND(BM$2&lt;&gt;0,TblTech[[#This Row],[Hour]:[Hour]]&gt;=BM$2),1,0)</f>
        <v>0</v>
      </c>
      <c r="BN128" s="276" cm="1">
        <f t="array" ref="BN128">IF(AND(BN$2&lt;&gt;0,TblTech[[#This Row],[Hour]:[Hour]]&gt;=BN$2),1,0)</f>
        <v>0</v>
      </c>
      <c r="BO128" s="276" cm="1">
        <f t="array" ref="BO128">IF(AND(BO$2&lt;&gt;0,TblTech[[#This Row],[Hour]:[Hour]]&gt;=BO$2),1,0)</f>
        <v>0</v>
      </c>
      <c r="BP128" s="276" cm="1">
        <f t="array" ref="BP128">IF(AND(BP$2&lt;&gt;0,TblTech[[#This Row],[Hour]:[Hour]]&gt;=BP$2),1,0)</f>
        <v>0</v>
      </c>
      <c r="BQ128" s="276" cm="1">
        <f t="array" ref="BQ128">IF(AND(BQ$2&lt;&gt;0,TblTech[[#This Row],[Hour]:[Hour]]&gt;=BQ$2),1,0)</f>
        <v>0</v>
      </c>
      <c r="BR128" s="276" cm="1">
        <f t="array" ref="BR128">IF(AND(BR$2&lt;&gt;0,TblTech[[#This Row],[Hour]:[Hour]]&gt;=BR$2),1,0)</f>
        <v>0</v>
      </c>
      <c r="BS128" s="276" cm="1">
        <f t="array" ref="BS128">IF(AND(BS$2&lt;&gt;0,TblTech[[#This Row],[Hour]:[Hour]]&gt;=BS$2),1,0)</f>
        <v>0</v>
      </c>
      <c r="BT128" s="276" cm="1">
        <f t="array" ref="BT128">IF(AND(BT$2&lt;&gt;0,TblTech[[#This Row],[Hour]:[Hour]]&gt;=BT$2),1,0)</f>
        <v>0</v>
      </c>
      <c r="BU128" s="276" cm="1">
        <f t="array" ref="BU128">IF(AND(BU$2&lt;&gt;0,TblTech[[#This Row],[Hour]:[Hour]]&gt;=BU$2),1,0)</f>
        <v>0</v>
      </c>
      <c r="BV128" s="276" cm="1">
        <f t="array" ref="BV128">IF(AND(BV$2&lt;&gt;0,TblTech[[#This Row],[Hour]:[Hour]]&gt;=BV$2),1,0)</f>
        <v>0</v>
      </c>
      <c r="BW128" s="276" cm="1">
        <f t="array" ref="BW128">IF(AND(BW$2&lt;&gt;0,TblTech[[#This Row],[Hour]:[Hour]]&gt;=BW$2),1,0)</f>
        <v>0</v>
      </c>
      <c r="BX128" s="276" cm="1">
        <f t="array" ref="BX128">IF(AND(BX$2&lt;&gt;0,TblTech[[#This Row],[Hour]:[Hour]]&gt;=BX$2),1,0)</f>
        <v>0</v>
      </c>
      <c r="BY128" s="276" cm="1">
        <f t="array" ref="BY128">IF(AND(BY$2&lt;&gt;0,TblTech[[#This Row],[Hour]:[Hour]]&gt;=BY$2),1,0)</f>
        <v>0</v>
      </c>
      <c r="BZ128" s="276" cm="1">
        <f t="array" ref="BZ128">IF(AND(BZ$2&lt;&gt;0,TblTech[[#This Row],[Hour]:[Hour]]&gt;=BZ$2),1,0)</f>
        <v>0</v>
      </c>
      <c r="CA128" s="377">
        <f>IFERROR(INDEX($H$4:$H$79,MATCH(INDEX(TblTech[[#Headers],[1-1]:[11-1]],1,MATCH(TblTech[[#This Row],[Hour]],$M$2:$BZ$2,0)),$G$4:$G$79,0)),)</f>
        <v>0</v>
      </c>
    </row>
    <row r="129" spans="1:79" x14ac:dyDescent="0.2">
      <c r="A129" s="268">
        <f>TblRezone[[#This Row],[Hour]]</f>
        <v>126</v>
      </c>
      <c r="B129" s="269">
        <f ca="1">TblExplore[[#This Row],[Land-DB]]</f>
        <v>50</v>
      </c>
      <c r="C129" s="270">
        <f ca="1">TblProd[[#This Row],[Techpoints]]</f>
        <v>0</v>
      </c>
      <c r="D129" s="270">
        <f ca="1">TblProd[[#This Row],[Required]]</f>
        <v>3750</v>
      </c>
      <c r="E129" s="279"/>
      <c r="F129" s="280"/>
      <c r="G129" s="273"/>
      <c r="H129" s="274"/>
      <c r="I129" s="274"/>
      <c r="J129" s="274"/>
      <c r="K129" s="93">
        <f ca="1">IF(TblTech[[#This Row],[Sum of tech]]&lt;&gt;OFFSET(TblTech[[#This Row],[Sum of tech]],-1,0),1,0)</f>
        <v>0</v>
      </c>
      <c r="L129" s="275">
        <f>COUNTIF(TblTech[[#This Row],[1-1]:[11-1]],1)</f>
        <v>0</v>
      </c>
      <c r="M129" s="276" cm="1">
        <f t="array" ref="M129">IF(AND(M$2&lt;&gt;0,TblTech[[#This Row],[Hour]:[Hour]]&gt;=M$2),1,0)</f>
        <v>0</v>
      </c>
      <c r="N129" s="276" cm="1">
        <f t="array" ref="N129">IF(AND(N$2&lt;&gt;0,TblTech[[#This Row],[Hour]:[Hour]]&gt;=N$2),1,0)</f>
        <v>0</v>
      </c>
      <c r="O129" s="276" cm="1">
        <f t="array" ref="O129">IF(AND(O$2&lt;&gt;0,TblTech[[#This Row],[Hour]:[Hour]]&gt;=O$2),1,0)</f>
        <v>0</v>
      </c>
      <c r="P129" s="276" cm="1">
        <f t="array" ref="P129">IF(AND(P$2&lt;&gt;0,TblTech[[#This Row],[Hour]:[Hour]]&gt;=P$2),1,0)</f>
        <v>0</v>
      </c>
      <c r="Q129" s="276" cm="1">
        <f t="array" ref="Q129">IF(AND(Q$2&lt;&gt;0,TblTech[[#This Row],[Hour]:[Hour]]&gt;=Q$2),1,0)</f>
        <v>0</v>
      </c>
      <c r="R129" s="276" cm="1">
        <f t="array" ref="R129">IF(AND(R$2&lt;&gt;0,TblTech[[#This Row],[Hour]:[Hour]]&gt;=R$2),1,0)</f>
        <v>0</v>
      </c>
      <c r="S129" s="276" cm="1">
        <f t="array" ref="S129">IF(AND(S$2&lt;&gt;0,TblTech[[#This Row],[Hour]:[Hour]]&gt;=S$2),1,0)</f>
        <v>0</v>
      </c>
      <c r="T129" s="276" cm="1">
        <f t="array" ref="T129">IF(AND(T$2&lt;&gt;0,TblTech[[#This Row],[Hour]:[Hour]]&gt;=T$2),1,0)</f>
        <v>0</v>
      </c>
      <c r="U129" s="276" cm="1">
        <f t="array" ref="U129">IF(AND(U$2&lt;&gt;0,TblTech[[#This Row],[Hour]:[Hour]]&gt;=U$2),1,0)</f>
        <v>0</v>
      </c>
      <c r="V129" s="276" cm="1">
        <f t="array" ref="V129">IF(AND(V$2&lt;&gt;0,TblTech[[#This Row],[Hour]:[Hour]]&gt;=V$2),1,0)</f>
        <v>0</v>
      </c>
      <c r="W129" s="276" cm="1">
        <f t="array" ref="W129">IF(AND(W$2&lt;&gt;0,TblTech[[#This Row],[Hour]:[Hour]]&gt;=W$2),1,0)</f>
        <v>0</v>
      </c>
      <c r="X129" s="276" cm="1">
        <f t="array" ref="X129">IF(AND(X$2&lt;&gt;0,TblTech[[#This Row],[Hour]:[Hour]]&gt;=X$2),1,0)</f>
        <v>0</v>
      </c>
      <c r="Y129" s="276" cm="1">
        <f t="array" ref="Y129">IF(AND(Y$2&lt;&gt;0,TblTech[[#This Row],[Hour]:[Hour]]&gt;=Y$2),1,0)</f>
        <v>0</v>
      </c>
      <c r="Z129" s="276" cm="1">
        <f t="array" ref="Z129">IF(AND(Z$2&lt;&gt;0,TblTech[[#This Row],[Hour]:[Hour]]&gt;=Z$2),1,0)</f>
        <v>0</v>
      </c>
      <c r="AA129" s="276" cm="1">
        <f t="array" ref="AA129">IF(AND(AA$2&lt;&gt;0,TblTech[[#This Row],[Hour]:[Hour]]&gt;=AA$2),1,0)</f>
        <v>0</v>
      </c>
      <c r="AB129" s="276" cm="1">
        <f t="array" ref="AB129">IF(AND(AB$2&lt;&gt;0,TblTech[[#This Row],[Hour]:[Hour]]&gt;=AB$2),1,0)</f>
        <v>0</v>
      </c>
      <c r="AC129" s="276" cm="1">
        <f t="array" ref="AC129">IF(AND(AC$2&lt;&gt;0,TblTech[[#This Row],[Hour]:[Hour]]&gt;=AC$2),1,0)</f>
        <v>0</v>
      </c>
      <c r="AD129" s="276" cm="1">
        <f t="array" ref="AD129">IF(AND(AD$2&lt;&gt;0,TblTech[[#This Row],[Hour]:[Hour]]&gt;=AD$2),1,0)</f>
        <v>0</v>
      </c>
      <c r="AE129" s="276" cm="1">
        <f t="array" ref="AE129">IF(AND(AE$2&lt;&gt;0,TblTech[[#This Row],[Hour]:[Hour]]&gt;=AE$2),1,0)</f>
        <v>0</v>
      </c>
      <c r="AF129" s="276" cm="1">
        <f t="array" ref="AF129">IF(AND(AF$2&lt;&gt;0,TblTech[[#This Row],[Hour]:[Hour]]&gt;=AF$2),1,0)</f>
        <v>0</v>
      </c>
      <c r="AG129" s="276" cm="1">
        <f t="array" ref="AG129">IF(AND(AG$2&lt;&gt;0,TblTech[[#This Row],[Hour]:[Hour]]&gt;=AG$2),1,0)</f>
        <v>0</v>
      </c>
      <c r="AH129" s="276" cm="1">
        <f t="array" ref="AH129">IF(AND(AH$2&lt;&gt;0,TblTech[[#This Row],[Hour]:[Hour]]&gt;=AH$2),1,0)</f>
        <v>0</v>
      </c>
      <c r="AI129" s="276" cm="1">
        <f t="array" ref="AI129">IF(AND(AI$2&lt;&gt;0,TblTech[[#This Row],[Hour]:[Hour]]&gt;=AI$2),1,0)</f>
        <v>0</v>
      </c>
      <c r="AJ129" s="276" cm="1">
        <f t="array" ref="AJ129">IF(AND(AJ$2&lt;&gt;0,TblTech[[#This Row],[Hour]:[Hour]]&gt;=AJ$2),1,0)</f>
        <v>0</v>
      </c>
      <c r="AK129" s="276" cm="1">
        <f t="array" ref="AK129">IF(AND(AK$2&lt;&gt;0,TblTech[[#This Row],[Hour]:[Hour]]&gt;=AK$2),1,0)</f>
        <v>0</v>
      </c>
      <c r="AL129" s="276" cm="1">
        <f t="array" ref="AL129">IF(AND(AL$2&lt;&gt;0,TblTech[[#This Row],[Hour]:[Hour]]&gt;=AL$2),1,0)</f>
        <v>0</v>
      </c>
      <c r="AM129" s="276" cm="1">
        <f t="array" ref="AM129">IF(AND(AM$2&lt;&gt;0,TblTech[[#This Row],[Hour]:[Hour]]&gt;=AM$2),1,0)</f>
        <v>0</v>
      </c>
      <c r="AN129" s="276" cm="1">
        <f t="array" ref="AN129">IF(AND(AN$2&lt;&gt;0,TblTech[[#This Row],[Hour]:[Hour]]&gt;=AN$2),1,0)</f>
        <v>0</v>
      </c>
      <c r="AO129" s="276" cm="1">
        <f t="array" ref="AO129">IF(AND(AO$2&lt;&gt;0,TblTech[[#This Row],[Hour]:[Hour]]&gt;=AO$2),1,0)</f>
        <v>0</v>
      </c>
      <c r="AP129" s="276" cm="1">
        <f t="array" ref="AP129">IF(AND(AP$2&lt;&gt;0,TblTech[[#This Row],[Hour]:[Hour]]&gt;=AP$2),1,0)</f>
        <v>0</v>
      </c>
      <c r="AQ129" s="276" cm="1">
        <f t="array" ref="AQ129">IF(AND(AQ$2&lt;&gt;0,TblTech[[#This Row],[Hour]:[Hour]]&gt;=AQ$2),1,0)</f>
        <v>0</v>
      </c>
      <c r="AR129" s="276" cm="1">
        <f t="array" ref="AR129">IF(AND(AR$2&lt;&gt;0,TblTech[[#This Row],[Hour]:[Hour]]&gt;=AR$2),1,0)</f>
        <v>0</v>
      </c>
      <c r="AS129" s="276" cm="1">
        <f t="array" ref="AS129">IF(AND(AS$2&lt;&gt;0,TblTech[[#This Row],[Hour]:[Hour]]&gt;=AS$2),1,0)</f>
        <v>0</v>
      </c>
      <c r="AT129" s="276" cm="1">
        <f t="array" ref="AT129">IF(AND(AT$2&lt;&gt;0,TblTech[[#This Row],[Hour]:[Hour]]&gt;=AT$2),1,0)</f>
        <v>0</v>
      </c>
      <c r="AU129" s="276" cm="1">
        <f t="array" ref="AU129">IF(AND(AU$2&lt;&gt;0,TblTech[[#This Row],[Hour]:[Hour]]&gt;=AU$2),1,0)</f>
        <v>0</v>
      </c>
      <c r="AV129" s="276" cm="1">
        <f t="array" ref="AV129">IF(AND(AV$2&lt;&gt;0,TblTech[[#This Row],[Hour]:[Hour]]&gt;=AV$2),1,0)</f>
        <v>0</v>
      </c>
      <c r="AW129" s="276" cm="1">
        <f t="array" ref="AW129">IF(AND(AW$2&lt;&gt;0,TblTech[[#This Row],[Hour]:[Hour]]&gt;=AW$2),1,0)</f>
        <v>0</v>
      </c>
      <c r="AX129" s="276" cm="1">
        <f t="array" ref="AX129">IF(AND(AX$2&lt;&gt;0,TblTech[[#This Row],[Hour]:[Hour]]&gt;=AX$2),1,0)</f>
        <v>0</v>
      </c>
      <c r="AY129" s="276" cm="1">
        <f t="array" ref="AY129">IF(AND(AY$2&lt;&gt;0,TblTech[[#This Row],[Hour]:[Hour]]&gt;=AY$2),1,0)</f>
        <v>0</v>
      </c>
      <c r="AZ129" s="276" cm="1">
        <f t="array" ref="AZ129">IF(AND(AZ$2&lt;&gt;0,TblTech[[#This Row],[Hour]:[Hour]]&gt;=AZ$2),1,0)</f>
        <v>0</v>
      </c>
      <c r="BA129" s="276" cm="1">
        <f t="array" ref="BA129">IF(AND(BA$2&lt;&gt;0,TblTech[[#This Row],[Hour]:[Hour]]&gt;=BA$2),1,0)</f>
        <v>0</v>
      </c>
      <c r="BB129" s="276" cm="1">
        <f t="array" ref="BB129">IF(AND(BB$2&lt;&gt;0,TblTech[[#This Row],[Hour]:[Hour]]&gt;=BB$2),1,0)</f>
        <v>0</v>
      </c>
      <c r="BC129" s="276" cm="1">
        <f t="array" ref="BC129">IF(AND(BC$2&lt;&gt;0,TblTech[[#This Row],[Hour]:[Hour]]&gt;=BC$2),1,0)</f>
        <v>0</v>
      </c>
      <c r="BD129" s="276" cm="1">
        <f t="array" ref="BD129">IF(AND(BD$2&lt;&gt;0,TblTech[[#This Row],[Hour]:[Hour]]&gt;=BD$2),1,0)</f>
        <v>0</v>
      </c>
      <c r="BE129" s="276" cm="1">
        <f t="array" ref="BE129">IF(AND(BE$2&lt;&gt;0,TblTech[[#This Row],[Hour]:[Hour]]&gt;=BE$2),1,0)</f>
        <v>0</v>
      </c>
      <c r="BF129" s="276" cm="1">
        <f t="array" ref="BF129">IF(AND(BF$2&lt;&gt;0,TblTech[[#This Row],[Hour]:[Hour]]&gt;=BF$2),1,0)</f>
        <v>0</v>
      </c>
      <c r="BG129" s="276" cm="1">
        <f t="array" ref="BG129">IF(AND(BG$2&lt;&gt;0,TblTech[[#This Row],[Hour]:[Hour]]&gt;=BG$2),1,0)</f>
        <v>0</v>
      </c>
      <c r="BH129" s="276" cm="1">
        <f t="array" ref="BH129">IF(AND(BH$2&lt;&gt;0,TblTech[[#This Row],[Hour]:[Hour]]&gt;=BH$2),1,0)</f>
        <v>0</v>
      </c>
      <c r="BI129" s="276" cm="1">
        <f t="array" ref="BI129">IF(AND(BI$2&lt;&gt;0,TblTech[[#This Row],[Hour]:[Hour]]&gt;=BI$2),1,0)</f>
        <v>0</v>
      </c>
      <c r="BJ129" s="276" cm="1">
        <f t="array" ref="BJ129">IF(AND(BJ$2&lt;&gt;0,TblTech[[#This Row],[Hour]:[Hour]]&gt;=BJ$2),1,0)</f>
        <v>0</v>
      </c>
      <c r="BK129" s="276" cm="1">
        <f t="array" ref="BK129">IF(AND(BK$2&lt;&gt;0,TblTech[[#This Row],[Hour]:[Hour]]&gt;=BK$2),1,0)</f>
        <v>0</v>
      </c>
      <c r="BL129" s="276" cm="1">
        <f t="array" ref="BL129">IF(AND(BL$2&lt;&gt;0,TblTech[[#This Row],[Hour]:[Hour]]&gt;=BL$2),1,0)</f>
        <v>0</v>
      </c>
      <c r="BM129" s="276" cm="1">
        <f t="array" ref="BM129">IF(AND(BM$2&lt;&gt;0,TblTech[[#This Row],[Hour]:[Hour]]&gt;=BM$2),1,0)</f>
        <v>0</v>
      </c>
      <c r="BN129" s="276" cm="1">
        <f t="array" ref="BN129">IF(AND(BN$2&lt;&gt;0,TblTech[[#This Row],[Hour]:[Hour]]&gt;=BN$2),1,0)</f>
        <v>0</v>
      </c>
      <c r="BO129" s="276" cm="1">
        <f t="array" ref="BO129">IF(AND(BO$2&lt;&gt;0,TblTech[[#This Row],[Hour]:[Hour]]&gt;=BO$2),1,0)</f>
        <v>0</v>
      </c>
      <c r="BP129" s="276" cm="1">
        <f t="array" ref="BP129">IF(AND(BP$2&lt;&gt;0,TblTech[[#This Row],[Hour]:[Hour]]&gt;=BP$2),1,0)</f>
        <v>0</v>
      </c>
      <c r="BQ129" s="276" cm="1">
        <f t="array" ref="BQ129">IF(AND(BQ$2&lt;&gt;0,TblTech[[#This Row],[Hour]:[Hour]]&gt;=BQ$2),1,0)</f>
        <v>0</v>
      </c>
      <c r="BR129" s="276" cm="1">
        <f t="array" ref="BR129">IF(AND(BR$2&lt;&gt;0,TblTech[[#This Row],[Hour]:[Hour]]&gt;=BR$2),1,0)</f>
        <v>0</v>
      </c>
      <c r="BS129" s="276" cm="1">
        <f t="array" ref="BS129">IF(AND(BS$2&lt;&gt;0,TblTech[[#This Row],[Hour]:[Hour]]&gt;=BS$2),1,0)</f>
        <v>0</v>
      </c>
      <c r="BT129" s="276" cm="1">
        <f t="array" ref="BT129">IF(AND(BT$2&lt;&gt;0,TblTech[[#This Row],[Hour]:[Hour]]&gt;=BT$2),1,0)</f>
        <v>0</v>
      </c>
      <c r="BU129" s="276" cm="1">
        <f t="array" ref="BU129">IF(AND(BU$2&lt;&gt;0,TblTech[[#This Row],[Hour]:[Hour]]&gt;=BU$2),1,0)</f>
        <v>0</v>
      </c>
      <c r="BV129" s="276" cm="1">
        <f t="array" ref="BV129">IF(AND(BV$2&lt;&gt;0,TblTech[[#This Row],[Hour]:[Hour]]&gt;=BV$2),1,0)</f>
        <v>0</v>
      </c>
      <c r="BW129" s="276" cm="1">
        <f t="array" ref="BW129">IF(AND(BW$2&lt;&gt;0,TblTech[[#This Row],[Hour]:[Hour]]&gt;=BW$2),1,0)</f>
        <v>0</v>
      </c>
      <c r="BX129" s="276" cm="1">
        <f t="array" ref="BX129">IF(AND(BX$2&lt;&gt;0,TblTech[[#This Row],[Hour]:[Hour]]&gt;=BX$2),1,0)</f>
        <v>0</v>
      </c>
      <c r="BY129" s="276" cm="1">
        <f t="array" ref="BY129">IF(AND(BY$2&lt;&gt;0,TblTech[[#This Row],[Hour]:[Hour]]&gt;=BY$2),1,0)</f>
        <v>0</v>
      </c>
      <c r="BZ129" s="276" cm="1">
        <f t="array" ref="BZ129">IF(AND(BZ$2&lt;&gt;0,TblTech[[#This Row],[Hour]:[Hour]]&gt;=BZ$2),1,0)</f>
        <v>0</v>
      </c>
      <c r="CA129" s="377">
        <f>IFERROR(INDEX($H$4:$H$79,MATCH(INDEX(TblTech[[#Headers],[1-1]:[11-1]],1,MATCH(TblTech[[#This Row],[Hour]],$M$2:$BZ$2,0)),$G$4:$G$79,0)),)</f>
        <v>0</v>
      </c>
    </row>
    <row r="130" spans="1:79" x14ac:dyDescent="0.2">
      <c r="A130" s="268">
        <f>TblRezone[[#This Row],[Hour]]</f>
        <v>127</v>
      </c>
      <c r="B130" s="269">
        <f ca="1">TblExplore[[#This Row],[Land-DB]]</f>
        <v>50</v>
      </c>
      <c r="C130" s="270">
        <f ca="1">TblProd[[#This Row],[Techpoints]]</f>
        <v>0</v>
      </c>
      <c r="D130" s="270">
        <f ca="1">TblProd[[#This Row],[Required]]</f>
        <v>3750</v>
      </c>
      <c r="E130" s="279"/>
      <c r="F130" s="280"/>
      <c r="G130" s="273"/>
      <c r="H130" s="274"/>
      <c r="I130" s="274"/>
      <c r="J130" s="274"/>
      <c r="K130" s="93">
        <f ca="1">IF(TblTech[[#This Row],[Sum of tech]]&lt;&gt;OFFSET(TblTech[[#This Row],[Sum of tech]],-1,0),1,0)</f>
        <v>0</v>
      </c>
      <c r="L130" s="275">
        <f>COUNTIF(TblTech[[#This Row],[1-1]:[11-1]],1)</f>
        <v>0</v>
      </c>
      <c r="M130" s="276" cm="1">
        <f t="array" ref="M130">IF(AND(M$2&lt;&gt;0,TblTech[[#This Row],[Hour]:[Hour]]&gt;=M$2),1,0)</f>
        <v>0</v>
      </c>
      <c r="N130" s="276" cm="1">
        <f t="array" ref="N130">IF(AND(N$2&lt;&gt;0,TblTech[[#This Row],[Hour]:[Hour]]&gt;=N$2),1,0)</f>
        <v>0</v>
      </c>
      <c r="O130" s="276" cm="1">
        <f t="array" ref="O130">IF(AND(O$2&lt;&gt;0,TblTech[[#This Row],[Hour]:[Hour]]&gt;=O$2),1,0)</f>
        <v>0</v>
      </c>
      <c r="P130" s="276" cm="1">
        <f t="array" ref="P130">IF(AND(P$2&lt;&gt;0,TblTech[[#This Row],[Hour]:[Hour]]&gt;=P$2),1,0)</f>
        <v>0</v>
      </c>
      <c r="Q130" s="276" cm="1">
        <f t="array" ref="Q130">IF(AND(Q$2&lt;&gt;0,TblTech[[#This Row],[Hour]:[Hour]]&gt;=Q$2),1,0)</f>
        <v>0</v>
      </c>
      <c r="R130" s="276" cm="1">
        <f t="array" ref="R130">IF(AND(R$2&lt;&gt;0,TblTech[[#This Row],[Hour]:[Hour]]&gt;=R$2),1,0)</f>
        <v>0</v>
      </c>
      <c r="S130" s="276" cm="1">
        <f t="array" ref="S130">IF(AND(S$2&lt;&gt;0,TblTech[[#This Row],[Hour]:[Hour]]&gt;=S$2),1,0)</f>
        <v>0</v>
      </c>
      <c r="T130" s="276" cm="1">
        <f t="array" ref="T130">IF(AND(T$2&lt;&gt;0,TblTech[[#This Row],[Hour]:[Hour]]&gt;=T$2),1,0)</f>
        <v>0</v>
      </c>
      <c r="U130" s="276" cm="1">
        <f t="array" ref="U130">IF(AND(U$2&lt;&gt;0,TblTech[[#This Row],[Hour]:[Hour]]&gt;=U$2),1,0)</f>
        <v>0</v>
      </c>
      <c r="V130" s="276" cm="1">
        <f t="array" ref="V130">IF(AND(V$2&lt;&gt;0,TblTech[[#This Row],[Hour]:[Hour]]&gt;=V$2),1,0)</f>
        <v>0</v>
      </c>
      <c r="W130" s="276" cm="1">
        <f t="array" ref="W130">IF(AND(W$2&lt;&gt;0,TblTech[[#This Row],[Hour]:[Hour]]&gt;=W$2),1,0)</f>
        <v>0</v>
      </c>
      <c r="X130" s="276" cm="1">
        <f t="array" ref="X130">IF(AND(X$2&lt;&gt;0,TblTech[[#This Row],[Hour]:[Hour]]&gt;=X$2),1,0)</f>
        <v>0</v>
      </c>
      <c r="Y130" s="276" cm="1">
        <f t="array" ref="Y130">IF(AND(Y$2&lt;&gt;0,TblTech[[#This Row],[Hour]:[Hour]]&gt;=Y$2),1,0)</f>
        <v>0</v>
      </c>
      <c r="Z130" s="276" cm="1">
        <f t="array" ref="Z130">IF(AND(Z$2&lt;&gt;0,TblTech[[#This Row],[Hour]:[Hour]]&gt;=Z$2),1,0)</f>
        <v>0</v>
      </c>
      <c r="AA130" s="276" cm="1">
        <f t="array" ref="AA130">IF(AND(AA$2&lt;&gt;0,TblTech[[#This Row],[Hour]:[Hour]]&gt;=AA$2),1,0)</f>
        <v>0</v>
      </c>
      <c r="AB130" s="276" cm="1">
        <f t="array" ref="AB130">IF(AND(AB$2&lt;&gt;0,TblTech[[#This Row],[Hour]:[Hour]]&gt;=AB$2),1,0)</f>
        <v>0</v>
      </c>
      <c r="AC130" s="276" cm="1">
        <f t="array" ref="AC130">IF(AND(AC$2&lt;&gt;0,TblTech[[#This Row],[Hour]:[Hour]]&gt;=AC$2),1,0)</f>
        <v>0</v>
      </c>
      <c r="AD130" s="276" cm="1">
        <f t="array" ref="AD130">IF(AND(AD$2&lt;&gt;0,TblTech[[#This Row],[Hour]:[Hour]]&gt;=AD$2),1,0)</f>
        <v>0</v>
      </c>
      <c r="AE130" s="276" cm="1">
        <f t="array" ref="AE130">IF(AND(AE$2&lt;&gt;0,TblTech[[#This Row],[Hour]:[Hour]]&gt;=AE$2),1,0)</f>
        <v>0</v>
      </c>
      <c r="AF130" s="276" cm="1">
        <f t="array" ref="AF130">IF(AND(AF$2&lt;&gt;0,TblTech[[#This Row],[Hour]:[Hour]]&gt;=AF$2),1,0)</f>
        <v>0</v>
      </c>
      <c r="AG130" s="276" cm="1">
        <f t="array" ref="AG130">IF(AND(AG$2&lt;&gt;0,TblTech[[#This Row],[Hour]:[Hour]]&gt;=AG$2),1,0)</f>
        <v>0</v>
      </c>
      <c r="AH130" s="276" cm="1">
        <f t="array" ref="AH130">IF(AND(AH$2&lt;&gt;0,TblTech[[#This Row],[Hour]:[Hour]]&gt;=AH$2),1,0)</f>
        <v>0</v>
      </c>
      <c r="AI130" s="276" cm="1">
        <f t="array" ref="AI130">IF(AND(AI$2&lt;&gt;0,TblTech[[#This Row],[Hour]:[Hour]]&gt;=AI$2),1,0)</f>
        <v>0</v>
      </c>
      <c r="AJ130" s="276" cm="1">
        <f t="array" ref="AJ130">IF(AND(AJ$2&lt;&gt;0,TblTech[[#This Row],[Hour]:[Hour]]&gt;=AJ$2),1,0)</f>
        <v>0</v>
      </c>
      <c r="AK130" s="276" cm="1">
        <f t="array" ref="AK130">IF(AND(AK$2&lt;&gt;0,TblTech[[#This Row],[Hour]:[Hour]]&gt;=AK$2),1,0)</f>
        <v>0</v>
      </c>
      <c r="AL130" s="276" cm="1">
        <f t="array" ref="AL130">IF(AND(AL$2&lt;&gt;0,TblTech[[#This Row],[Hour]:[Hour]]&gt;=AL$2),1,0)</f>
        <v>0</v>
      </c>
      <c r="AM130" s="276" cm="1">
        <f t="array" ref="AM130">IF(AND(AM$2&lt;&gt;0,TblTech[[#This Row],[Hour]:[Hour]]&gt;=AM$2),1,0)</f>
        <v>0</v>
      </c>
      <c r="AN130" s="276" cm="1">
        <f t="array" ref="AN130">IF(AND(AN$2&lt;&gt;0,TblTech[[#This Row],[Hour]:[Hour]]&gt;=AN$2),1,0)</f>
        <v>0</v>
      </c>
      <c r="AO130" s="276" cm="1">
        <f t="array" ref="AO130">IF(AND(AO$2&lt;&gt;0,TblTech[[#This Row],[Hour]:[Hour]]&gt;=AO$2),1,0)</f>
        <v>0</v>
      </c>
      <c r="AP130" s="276" cm="1">
        <f t="array" ref="AP130">IF(AND(AP$2&lt;&gt;0,TblTech[[#This Row],[Hour]:[Hour]]&gt;=AP$2),1,0)</f>
        <v>0</v>
      </c>
      <c r="AQ130" s="276" cm="1">
        <f t="array" ref="AQ130">IF(AND(AQ$2&lt;&gt;0,TblTech[[#This Row],[Hour]:[Hour]]&gt;=AQ$2),1,0)</f>
        <v>0</v>
      </c>
      <c r="AR130" s="276" cm="1">
        <f t="array" ref="AR130">IF(AND(AR$2&lt;&gt;0,TblTech[[#This Row],[Hour]:[Hour]]&gt;=AR$2),1,0)</f>
        <v>0</v>
      </c>
      <c r="AS130" s="276" cm="1">
        <f t="array" ref="AS130">IF(AND(AS$2&lt;&gt;0,TblTech[[#This Row],[Hour]:[Hour]]&gt;=AS$2),1,0)</f>
        <v>0</v>
      </c>
      <c r="AT130" s="276" cm="1">
        <f t="array" ref="AT130">IF(AND(AT$2&lt;&gt;0,TblTech[[#This Row],[Hour]:[Hour]]&gt;=AT$2),1,0)</f>
        <v>0</v>
      </c>
      <c r="AU130" s="276" cm="1">
        <f t="array" ref="AU130">IF(AND(AU$2&lt;&gt;0,TblTech[[#This Row],[Hour]:[Hour]]&gt;=AU$2),1,0)</f>
        <v>0</v>
      </c>
      <c r="AV130" s="276" cm="1">
        <f t="array" ref="AV130">IF(AND(AV$2&lt;&gt;0,TblTech[[#This Row],[Hour]:[Hour]]&gt;=AV$2),1,0)</f>
        <v>0</v>
      </c>
      <c r="AW130" s="276" cm="1">
        <f t="array" ref="AW130">IF(AND(AW$2&lt;&gt;0,TblTech[[#This Row],[Hour]:[Hour]]&gt;=AW$2),1,0)</f>
        <v>0</v>
      </c>
      <c r="AX130" s="276" cm="1">
        <f t="array" ref="AX130">IF(AND(AX$2&lt;&gt;0,TblTech[[#This Row],[Hour]:[Hour]]&gt;=AX$2),1,0)</f>
        <v>0</v>
      </c>
      <c r="AY130" s="276" cm="1">
        <f t="array" ref="AY130">IF(AND(AY$2&lt;&gt;0,TblTech[[#This Row],[Hour]:[Hour]]&gt;=AY$2),1,0)</f>
        <v>0</v>
      </c>
      <c r="AZ130" s="276" cm="1">
        <f t="array" ref="AZ130">IF(AND(AZ$2&lt;&gt;0,TblTech[[#This Row],[Hour]:[Hour]]&gt;=AZ$2),1,0)</f>
        <v>0</v>
      </c>
      <c r="BA130" s="276" cm="1">
        <f t="array" ref="BA130">IF(AND(BA$2&lt;&gt;0,TblTech[[#This Row],[Hour]:[Hour]]&gt;=BA$2),1,0)</f>
        <v>0</v>
      </c>
      <c r="BB130" s="276" cm="1">
        <f t="array" ref="BB130">IF(AND(BB$2&lt;&gt;0,TblTech[[#This Row],[Hour]:[Hour]]&gt;=BB$2),1,0)</f>
        <v>0</v>
      </c>
      <c r="BC130" s="276" cm="1">
        <f t="array" ref="BC130">IF(AND(BC$2&lt;&gt;0,TblTech[[#This Row],[Hour]:[Hour]]&gt;=BC$2),1,0)</f>
        <v>0</v>
      </c>
      <c r="BD130" s="276" cm="1">
        <f t="array" ref="BD130">IF(AND(BD$2&lt;&gt;0,TblTech[[#This Row],[Hour]:[Hour]]&gt;=BD$2),1,0)</f>
        <v>0</v>
      </c>
      <c r="BE130" s="276" cm="1">
        <f t="array" ref="BE130">IF(AND(BE$2&lt;&gt;0,TblTech[[#This Row],[Hour]:[Hour]]&gt;=BE$2),1,0)</f>
        <v>0</v>
      </c>
      <c r="BF130" s="276" cm="1">
        <f t="array" ref="BF130">IF(AND(BF$2&lt;&gt;0,TblTech[[#This Row],[Hour]:[Hour]]&gt;=BF$2),1,0)</f>
        <v>0</v>
      </c>
      <c r="BG130" s="276" cm="1">
        <f t="array" ref="BG130">IF(AND(BG$2&lt;&gt;0,TblTech[[#This Row],[Hour]:[Hour]]&gt;=BG$2),1,0)</f>
        <v>0</v>
      </c>
      <c r="BH130" s="276" cm="1">
        <f t="array" ref="BH130">IF(AND(BH$2&lt;&gt;0,TblTech[[#This Row],[Hour]:[Hour]]&gt;=BH$2),1,0)</f>
        <v>0</v>
      </c>
      <c r="BI130" s="276" cm="1">
        <f t="array" ref="BI130">IF(AND(BI$2&lt;&gt;0,TblTech[[#This Row],[Hour]:[Hour]]&gt;=BI$2),1,0)</f>
        <v>0</v>
      </c>
      <c r="BJ130" s="276" cm="1">
        <f t="array" ref="BJ130">IF(AND(BJ$2&lt;&gt;0,TblTech[[#This Row],[Hour]:[Hour]]&gt;=BJ$2),1,0)</f>
        <v>0</v>
      </c>
      <c r="BK130" s="276" cm="1">
        <f t="array" ref="BK130">IF(AND(BK$2&lt;&gt;0,TblTech[[#This Row],[Hour]:[Hour]]&gt;=BK$2),1,0)</f>
        <v>0</v>
      </c>
      <c r="BL130" s="276" cm="1">
        <f t="array" ref="BL130">IF(AND(BL$2&lt;&gt;0,TblTech[[#This Row],[Hour]:[Hour]]&gt;=BL$2),1,0)</f>
        <v>0</v>
      </c>
      <c r="BM130" s="276" cm="1">
        <f t="array" ref="BM130">IF(AND(BM$2&lt;&gt;0,TblTech[[#This Row],[Hour]:[Hour]]&gt;=BM$2),1,0)</f>
        <v>0</v>
      </c>
      <c r="BN130" s="276" cm="1">
        <f t="array" ref="BN130">IF(AND(BN$2&lt;&gt;0,TblTech[[#This Row],[Hour]:[Hour]]&gt;=BN$2),1,0)</f>
        <v>0</v>
      </c>
      <c r="BO130" s="276" cm="1">
        <f t="array" ref="BO130">IF(AND(BO$2&lt;&gt;0,TblTech[[#This Row],[Hour]:[Hour]]&gt;=BO$2),1,0)</f>
        <v>0</v>
      </c>
      <c r="BP130" s="276" cm="1">
        <f t="array" ref="BP130">IF(AND(BP$2&lt;&gt;0,TblTech[[#This Row],[Hour]:[Hour]]&gt;=BP$2),1,0)</f>
        <v>0</v>
      </c>
      <c r="BQ130" s="276" cm="1">
        <f t="array" ref="BQ130">IF(AND(BQ$2&lt;&gt;0,TblTech[[#This Row],[Hour]:[Hour]]&gt;=BQ$2),1,0)</f>
        <v>0</v>
      </c>
      <c r="BR130" s="276" cm="1">
        <f t="array" ref="BR130">IF(AND(BR$2&lt;&gt;0,TblTech[[#This Row],[Hour]:[Hour]]&gt;=BR$2),1,0)</f>
        <v>0</v>
      </c>
      <c r="BS130" s="276" cm="1">
        <f t="array" ref="BS130">IF(AND(BS$2&lt;&gt;0,TblTech[[#This Row],[Hour]:[Hour]]&gt;=BS$2),1,0)</f>
        <v>0</v>
      </c>
      <c r="BT130" s="276" cm="1">
        <f t="array" ref="BT130">IF(AND(BT$2&lt;&gt;0,TblTech[[#This Row],[Hour]:[Hour]]&gt;=BT$2),1,0)</f>
        <v>0</v>
      </c>
      <c r="BU130" s="276" cm="1">
        <f t="array" ref="BU130">IF(AND(BU$2&lt;&gt;0,TblTech[[#This Row],[Hour]:[Hour]]&gt;=BU$2),1,0)</f>
        <v>0</v>
      </c>
      <c r="BV130" s="276" cm="1">
        <f t="array" ref="BV130">IF(AND(BV$2&lt;&gt;0,TblTech[[#This Row],[Hour]:[Hour]]&gt;=BV$2),1,0)</f>
        <v>0</v>
      </c>
      <c r="BW130" s="276" cm="1">
        <f t="array" ref="BW130">IF(AND(BW$2&lt;&gt;0,TblTech[[#This Row],[Hour]:[Hour]]&gt;=BW$2),1,0)</f>
        <v>0</v>
      </c>
      <c r="BX130" s="276" cm="1">
        <f t="array" ref="BX130">IF(AND(BX$2&lt;&gt;0,TblTech[[#This Row],[Hour]:[Hour]]&gt;=BX$2),1,0)</f>
        <v>0</v>
      </c>
      <c r="BY130" s="276" cm="1">
        <f t="array" ref="BY130">IF(AND(BY$2&lt;&gt;0,TblTech[[#This Row],[Hour]:[Hour]]&gt;=BY$2),1,0)</f>
        <v>0</v>
      </c>
      <c r="BZ130" s="276" cm="1">
        <f t="array" ref="BZ130">IF(AND(BZ$2&lt;&gt;0,TblTech[[#This Row],[Hour]:[Hour]]&gt;=BZ$2),1,0)</f>
        <v>0</v>
      </c>
      <c r="CA130" s="377">
        <f>IFERROR(INDEX($H$4:$H$79,MATCH(INDEX(TblTech[[#Headers],[1-1]:[11-1]],1,MATCH(TblTech[[#This Row],[Hour]],$M$2:$BZ$2,0)),$G$4:$G$79,0)),)</f>
        <v>0</v>
      </c>
    </row>
    <row r="131" spans="1:79" x14ac:dyDescent="0.2">
      <c r="A131" s="268">
        <f>TblRezone[[#This Row],[Hour]]</f>
        <v>128</v>
      </c>
      <c r="B131" s="269">
        <f ca="1">TblExplore[[#This Row],[Land-DB]]</f>
        <v>50</v>
      </c>
      <c r="C131" s="270">
        <f ca="1">TblProd[[#This Row],[Techpoints]]</f>
        <v>0</v>
      </c>
      <c r="D131" s="270">
        <f ca="1">TblProd[[#This Row],[Required]]</f>
        <v>3750</v>
      </c>
      <c r="E131" s="279"/>
      <c r="F131" s="280"/>
      <c r="G131" s="273"/>
      <c r="H131" s="274"/>
      <c r="I131" s="274"/>
      <c r="J131" s="274"/>
      <c r="K131" s="93">
        <f ca="1">IF(TblTech[[#This Row],[Sum of tech]]&lt;&gt;OFFSET(TblTech[[#This Row],[Sum of tech]],-1,0),1,0)</f>
        <v>0</v>
      </c>
      <c r="L131" s="275">
        <f>COUNTIF(TblTech[[#This Row],[1-1]:[11-1]],1)</f>
        <v>0</v>
      </c>
      <c r="M131" s="276" cm="1">
        <f t="array" ref="M131">IF(AND(M$2&lt;&gt;0,TblTech[[#This Row],[Hour]:[Hour]]&gt;=M$2),1,0)</f>
        <v>0</v>
      </c>
      <c r="N131" s="276" cm="1">
        <f t="array" ref="N131">IF(AND(N$2&lt;&gt;0,TblTech[[#This Row],[Hour]:[Hour]]&gt;=N$2),1,0)</f>
        <v>0</v>
      </c>
      <c r="O131" s="276" cm="1">
        <f t="array" ref="O131">IF(AND(O$2&lt;&gt;0,TblTech[[#This Row],[Hour]:[Hour]]&gt;=O$2),1,0)</f>
        <v>0</v>
      </c>
      <c r="P131" s="276" cm="1">
        <f t="array" ref="P131">IF(AND(P$2&lt;&gt;0,TblTech[[#This Row],[Hour]:[Hour]]&gt;=P$2),1,0)</f>
        <v>0</v>
      </c>
      <c r="Q131" s="276" cm="1">
        <f t="array" ref="Q131">IF(AND(Q$2&lt;&gt;0,TblTech[[#This Row],[Hour]:[Hour]]&gt;=Q$2),1,0)</f>
        <v>0</v>
      </c>
      <c r="R131" s="276" cm="1">
        <f t="array" ref="R131">IF(AND(R$2&lt;&gt;0,TblTech[[#This Row],[Hour]:[Hour]]&gt;=R$2),1,0)</f>
        <v>0</v>
      </c>
      <c r="S131" s="276" cm="1">
        <f t="array" ref="S131">IF(AND(S$2&lt;&gt;0,TblTech[[#This Row],[Hour]:[Hour]]&gt;=S$2),1,0)</f>
        <v>0</v>
      </c>
      <c r="T131" s="276" cm="1">
        <f t="array" ref="T131">IF(AND(T$2&lt;&gt;0,TblTech[[#This Row],[Hour]:[Hour]]&gt;=T$2),1,0)</f>
        <v>0</v>
      </c>
      <c r="U131" s="276" cm="1">
        <f t="array" ref="U131">IF(AND(U$2&lt;&gt;0,TblTech[[#This Row],[Hour]:[Hour]]&gt;=U$2),1,0)</f>
        <v>0</v>
      </c>
      <c r="V131" s="276" cm="1">
        <f t="array" ref="V131">IF(AND(V$2&lt;&gt;0,TblTech[[#This Row],[Hour]:[Hour]]&gt;=V$2),1,0)</f>
        <v>0</v>
      </c>
      <c r="W131" s="276" cm="1">
        <f t="array" ref="W131">IF(AND(W$2&lt;&gt;0,TblTech[[#This Row],[Hour]:[Hour]]&gt;=W$2),1,0)</f>
        <v>0</v>
      </c>
      <c r="X131" s="276" cm="1">
        <f t="array" ref="X131">IF(AND(X$2&lt;&gt;0,TblTech[[#This Row],[Hour]:[Hour]]&gt;=X$2),1,0)</f>
        <v>0</v>
      </c>
      <c r="Y131" s="276" cm="1">
        <f t="array" ref="Y131">IF(AND(Y$2&lt;&gt;0,TblTech[[#This Row],[Hour]:[Hour]]&gt;=Y$2),1,0)</f>
        <v>0</v>
      </c>
      <c r="Z131" s="276" cm="1">
        <f t="array" ref="Z131">IF(AND(Z$2&lt;&gt;0,TblTech[[#This Row],[Hour]:[Hour]]&gt;=Z$2),1,0)</f>
        <v>0</v>
      </c>
      <c r="AA131" s="276" cm="1">
        <f t="array" ref="AA131">IF(AND(AA$2&lt;&gt;0,TblTech[[#This Row],[Hour]:[Hour]]&gt;=AA$2),1,0)</f>
        <v>0</v>
      </c>
      <c r="AB131" s="276" cm="1">
        <f t="array" ref="AB131">IF(AND(AB$2&lt;&gt;0,TblTech[[#This Row],[Hour]:[Hour]]&gt;=AB$2),1,0)</f>
        <v>0</v>
      </c>
      <c r="AC131" s="276" cm="1">
        <f t="array" ref="AC131">IF(AND(AC$2&lt;&gt;0,TblTech[[#This Row],[Hour]:[Hour]]&gt;=AC$2),1,0)</f>
        <v>0</v>
      </c>
      <c r="AD131" s="276" cm="1">
        <f t="array" ref="AD131">IF(AND(AD$2&lt;&gt;0,TblTech[[#This Row],[Hour]:[Hour]]&gt;=AD$2),1,0)</f>
        <v>0</v>
      </c>
      <c r="AE131" s="276" cm="1">
        <f t="array" ref="AE131">IF(AND(AE$2&lt;&gt;0,TblTech[[#This Row],[Hour]:[Hour]]&gt;=AE$2),1,0)</f>
        <v>0</v>
      </c>
      <c r="AF131" s="276" cm="1">
        <f t="array" ref="AF131">IF(AND(AF$2&lt;&gt;0,TblTech[[#This Row],[Hour]:[Hour]]&gt;=AF$2),1,0)</f>
        <v>0</v>
      </c>
      <c r="AG131" s="276" cm="1">
        <f t="array" ref="AG131">IF(AND(AG$2&lt;&gt;0,TblTech[[#This Row],[Hour]:[Hour]]&gt;=AG$2),1,0)</f>
        <v>0</v>
      </c>
      <c r="AH131" s="276" cm="1">
        <f t="array" ref="AH131">IF(AND(AH$2&lt;&gt;0,TblTech[[#This Row],[Hour]:[Hour]]&gt;=AH$2),1,0)</f>
        <v>0</v>
      </c>
      <c r="AI131" s="276" cm="1">
        <f t="array" ref="AI131">IF(AND(AI$2&lt;&gt;0,TblTech[[#This Row],[Hour]:[Hour]]&gt;=AI$2),1,0)</f>
        <v>0</v>
      </c>
      <c r="AJ131" s="276" cm="1">
        <f t="array" ref="AJ131">IF(AND(AJ$2&lt;&gt;0,TblTech[[#This Row],[Hour]:[Hour]]&gt;=AJ$2),1,0)</f>
        <v>0</v>
      </c>
      <c r="AK131" s="276" cm="1">
        <f t="array" ref="AK131">IF(AND(AK$2&lt;&gt;0,TblTech[[#This Row],[Hour]:[Hour]]&gt;=AK$2),1,0)</f>
        <v>0</v>
      </c>
      <c r="AL131" s="276" cm="1">
        <f t="array" ref="AL131">IF(AND(AL$2&lt;&gt;0,TblTech[[#This Row],[Hour]:[Hour]]&gt;=AL$2),1,0)</f>
        <v>0</v>
      </c>
      <c r="AM131" s="276" cm="1">
        <f t="array" ref="AM131">IF(AND(AM$2&lt;&gt;0,TblTech[[#This Row],[Hour]:[Hour]]&gt;=AM$2),1,0)</f>
        <v>0</v>
      </c>
      <c r="AN131" s="276" cm="1">
        <f t="array" ref="AN131">IF(AND(AN$2&lt;&gt;0,TblTech[[#This Row],[Hour]:[Hour]]&gt;=AN$2),1,0)</f>
        <v>0</v>
      </c>
      <c r="AO131" s="276" cm="1">
        <f t="array" ref="AO131">IF(AND(AO$2&lt;&gt;0,TblTech[[#This Row],[Hour]:[Hour]]&gt;=AO$2),1,0)</f>
        <v>0</v>
      </c>
      <c r="AP131" s="276" cm="1">
        <f t="array" ref="AP131">IF(AND(AP$2&lt;&gt;0,TblTech[[#This Row],[Hour]:[Hour]]&gt;=AP$2),1,0)</f>
        <v>0</v>
      </c>
      <c r="AQ131" s="276" cm="1">
        <f t="array" ref="AQ131">IF(AND(AQ$2&lt;&gt;0,TblTech[[#This Row],[Hour]:[Hour]]&gt;=AQ$2),1,0)</f>
        <v>0</v>
      </c>
      <c r="AR131" s="276" cm="1">
        <f t="array" ref="AR131">IF(AND(AR$2&lt;&gt;0,TblTech[[#This Row],[Hour]:[Hour]]&gt;=AR$2),1,0)</f>
        <v>0</v>
      </c>
      <c r="AS131" s="276" cm="1">
        <f t="array" ref="AS131">IF(AND(AS$2&lt;&gt;0,TblTech[[#This Row],[Hour]:[Hour]]&gt;=AS$2),1,0)</f>
        <v>0</v>
      </c>
      <c r="AT131" s="276" cm="1">
        <f t="array" ref="AT131">IF(AND(AT$2&lt;&gt;0,TblTech[[#This Row],[Hour]:[Hour]]&gt;=AT$2),1,0)</f>
        <v>0</v>
      </c>
      <c r="AU131" s="276" cm="1">
        <f t="array" ref="AU131">IF(AND(AU$2&lt;&gt;0,TblTech[[#This Row],[Hour]:[Hour]]&gt;=AU$2),1,0)</f>
        <v>0</v>
      </c>
      <c r="AV131" s="276" cm="1">
        <f t="array" ref="AV131">IF(AND(AV$2&lt;&gt;0,TblTech[[#This Row],[Hour]:[Hour]]&gt;=AV$2),1,0)</f>
        <v>0</v>
      </c>
      <c r="AW131" s="276" cm="1">
        <f t="array" ref="AW131">IF(AND(AW$2&lt;&gt;0,TblTech[[#This Row],[Hour]:[Hour]]&gt;=AW$2),1,0)</f>
        <v>0</v>
      </c>
      <c r="AX131" s="276" cm="1">
        <f t="array" ref="AX131">IF(AND(AX$2&lt;&gt;0,TblTech[[#This Row],[Hour]:[Hour]]&gt;=AX$2),1,0)</f>
        <v>0</v>
      </c>
      <c r="AY131" s="276" cm="1">
        <f t="array" ref="AY131">IF(AND(AY$2&lt;&gt;0,TblTech[[#This Row],[Hour]:[Hour]]&gt;=AY$2),1,0)</f>
        <v>0</v>
      </c>
      <c r="AZ131" s="276" cm="1">
        <f t="array" ref="AZ131">IF(AND(AZ$2&lt;&gt;0,TblTech[[#This Row],[Hour]:[Hour]]&gt;=AZ$2),1,0)</f>
        <v>0</v>
      </c>
      <c r="BA131" s="276" cm="1">
        <f t="array" ref="BA131">IF(AND(BA$2&lt;&gt;0,TblTech[[#This Row],[Hour]:[Hour]]&gt;=BA$2),1,0)</f>
        <v>0</v>
      </c>
      <c r="BB131" s="276" cm="1">
        <f t="array" ref="BB131">IF(AND(BB$2&lt;&gt;0,TblTech[[#This Row],[Hour]:[Hour]]&gt;=BB$2),1,0)</f>
        <v>0</v>
      </c>
      <c r="BC131" s="276" cm="1">
        <f t="array" ref="BC131">IF(AND(BC$2&lt;&gt;0,TblTech[[#This Row],[Hour]:[Hour]]&gt;=BC$2),1,0)</f>
        <v>0</v>
      </c>
      <c r="BD131" s="276" cm="1">
        <f t="array" ref="BD131">IF(AND(BD$2&lt;&gt;0,TblTech[[#This Row],[Hour]:[Hour]]&gt;=BD$2),1,0)</f>
        <v>0</v>
      </c>
      <c r="BE131" s="276" cm="1">
        <f t="array" ref="BE131">IF(AND(BE$2&lt;&gt;0,TblTech[[#This Row],[Hour]:[Hour]]&gt;=BE$2),1,0)</f>
        <v>0</v>
      </c>
      <c r="BF131" s="276" cm="1">
        <f t="array" ref="BF131">IF(AND(BF$2&lt;&gt;0,TblTech[[#This Row],[Hour]:[Hour]]&gt;=BF$2),1,0)</f>
        <v>0</v>
      </c>
      <c r="BG131" s="276" cm="1">
        <f t="array" ref="BG131">IF(AND(BG$2&lt;&gt;0,TblTech[[#This Row],[Hour]:[Hour]]&gt;=BG$2),1,0)</f>
        <v>0</v>
      </c>
      <c r="BH131" s="276" cm="1">
        <f t="array" ref="BH131">IF(AND(BH$2&lt;&gt;0,TblTech[[#This Row],[Hour]:[Hour]]&gt;=BH$2),1,0)</f>
        <v>0</v>
      </c>
      <c r="BI131" s="276" cm="1">
        <f t="array" ref="BI131">IF(AND(BI$2&lt;&gt;0,TblTech[[#This Row],[Hour]:[Hour]]&gt;=BI$2),1,0)</f>
        <v>0</v>
      </c>
      <c r="BJ131" s="276" cm="1">
        <f t="array" ref="BJ131">IF(AND(BJ$2&lt;&gt;0,TblTech[[#This Row],[Hour]:[Hour]]&gt;=BJ$2),1,0)</f>
        <v>0</v>
      </c>
      <c r="BK131" s="276" cm="1">
        <f t="array" ref="BK131">IF(AND(BK$2&lt;&gt;0,TblTech[[#This Row],[Hour]:[Hour]]&gt;=BK$2),1,0)</f>
        <v>0</v>
      </c>
      <c r="BL131" s="276" cm="1">
        <f t="array" ref="BL131">IF(AND(BL$2&lt;&gt;0,TblTech[[#This Row],[Hour]:[Hour]]&gt;=BL$2),1,0)</f>
        <v>0</v>
      </c>
      <c r="BM131" s="276" cm="1">
        <f t="array" ref="BM131">IF(AND(BM$2&lt;&gt;0,TblTech[[#This Row],[Hour]:[Hour]]&gt;=BM$2),1,0)</f>
        <v>0</v>
      </c>
      <c r="BN131" s="276" cm="1">
        <f t="array" ref="BN131">IF(AND(BN$2&lt;&gt;0,TblTech[[#This Row],[Hour]:[Hour]]&gt;=BN$2),1,0)</f>
        <v>0</v>
      </c>
      <c r="BO131" s="276" cm="1">
        <f t="array" ref="BO131">IF(AND(BO$2&lt;&gt;0,TblTech[[#This Row],[Hour]:[Hour]]&gt;=BO$2),1,0)</f>
        <v>0</v>
      </c>
      <c r="BP131" s="276" cm="1">
        <f t="array" ref="BP131">IF(AND(BP$2&lt;&gt;0,TblTech[[#This Row],[Hour]:[Hour]]&gt;=BP$2),1,0)</f>
        <v>0</v>
      </c>
      <c r="BQ131" s="276" cm="1">
        <f t="array" ref="BQ131">IF(AND(BQ$2&lt;&gt;0,TblTech[[#This Row],[Hour]:[Hour]]&gt;=BQ$2),1,0)</f>
        <v>0</v>
      </c>
      <c r="BR131" s="276" cm="1">
        <f t="array" ref="BR131">IF(AND(BR$2&lt;&gt;0,TblTech[[#This Row],[Hour]:[Hour]]&gt;=BR$2),1,0)</f>
        <v>0</v>
      </c>
      <c r="BS131" s="276" cm="1">
        <f t="array" ref="BS131">IF(AND(BS$2&lt;&gt;0,TblTech[[#This Row],[Hour]:[Hour]]&gt;=BS$2),1,0)</f>
        <v>0</v>
      </c>
      <c r="BT131" s="276" cm="1">
        <f t="array" ref="BT131">IF(AND(BT$2&lt;&gt;0,TblTech[[#This Row],[Hour]:[Hour]]&gt;=BT$2),1,0)</f>
        <v>0</v>
      </c>
      <c r="BU131" s="276" cm="1">
        <f t="array" ref="BU131">IF(AND(BU$2&lt;&gt;0,TblTech[[#This Row],[Hour]:[Hour]]&gt;=BU$2),1,0)</f>
        <v>0</v>
      </c>
      <c r="BV131" s="276" cm="1">
        <f t="array" ref="BV131">IF(AND(BV$2&lt;&gt;0,TblTech[[#This Row],[Hour]:[Hour]]&gt;=BV$2),1,0)</f>
        <v>0</v>
      </c>
      <c r="BW131" s="276" cm="1">
        <f t="array" ref="BW131">IF(AND(BW$2&lt;&gt;0,TblTech[[#This Row],[Hour]:[Hour]]&gt;=BW$2),1,0)</f>
        <v>0</v>
      </c>
      <c r="BX131" s="276" cm="1">
        <f t="array" ref="BX131">IF(AND(BX$2&lt;&gt;0,TblTech[[#This Row],[Hour]:[Hour]]&gt;=BX$2),1,0)</f>
        <v>0</v>
      </c>
      <c r="BY131" s="276" cm="1">
        <f t="array" ref="BY131">IF(AND(BY$2&lt;&gt;0,TblTech[[#This Row],[Hour]:[Hour]]&gt;=BY$2),1,0)</f>
        <v>0</v>
      </c>
      <c r="BZ131" s="276" cm="1">
        <f t="array" ref="BZ131">IF(AND(BZ$2&lt;&gt;0,TblTech[[#This Row],[Hour]:[Hour]]&gt;=BZ$2),1,0)</f>
        <v>0</v>
      </c>
      <c r="CA131" s="377">
        <f>IFERROR(INDEX($H$4:$H$79,MATCH(INDEX(TblTech[[#Headers],[1-1]:[11-1]],1,MATCH(TblTech[[#This Row],[Hour]],$M$2:$BZ$2,0)),$G$4:$G$79,0)),)</f>
        <v>0</v>
      </c>
    </row>
    <row r="132" spans="1:79" x14ac:dyDescent="0.2">
      <c r="A132" s="268">
        <f>TblRezone[[#This Row],[Hour]]</f>
        <v>129</v>
      </c>
      <c r="B132" s="269">
        <f ca="1">TblExplore[[#This Row],[Land-DB]]</f>
        <v>50</v>
      </c>
      <c r="C132" s="270">
        <f ca="1">TblProd[[#This Row],[Techpoints]]</f>
        <v>0</v>
      </c>
      <c r="D132" s="270">
        <f ca="1">TblProd[[#This Row],[Required]]</f>
        <v>3750</v>
      </c>
      <c r="E132" s="279"/>
      <c r="F132" s="280"/>
      <c r="G132" s="273"/>
      <c r="H132" s="274"/>
      <c r="I132" s="274"/>
      <c r="J132" s="274"/>
      <c r="K132" s="93">
        <f ca="1">IF(TblTech[[#This Row],[Sum of tech]]&lt;&gt;OFFSET(TblTech[[#This Row],[Sum of tech]],-1,0),1,0)</f>
        <v>0</v>
      </c>
      <c r="L132" s="275">
        <f>COUNTIF(TblTech[[#This Row],[1-1]:[11-1]],1)</f>
        <v>0</v>
      </c>
      <c r="M132" s="276" cm="1">
        <f t="array" ref="M132">IF(AND(M$2&lt;&gt;0,TblTech[[#This Row],[Hour]:[Hour]]&gt;=M$2),1,0)</f>
        <v>0</v>
      </c>
      <c r="N132" s="276" cm="1">
        <f t="array" ref="N132">IF(AND(N$2&lt;&gt;0,TblTech[[#This Row],[Hour]:[Hour]]&gt;=N$2),1,0)</f>
        <v>0</v>
      </c>
      <c r="O132" s="276" cm="1">
        <f t="array" ref="O132">IF(AND(O$2&lt;&gt;0,TblTech[[#This Row],[Hour]:[Hour]]&gt;=O$2),1,0)</f>
        <v>0</v>
      </c>
      <c r="P132" s="276" cm="1">
        <f t="array" ref="P132">IF(AND(P$2&lt;&gt;0,TblTech[[#This Row],[Hour]:[Hour]]&gt;=P$2),1,0)</f>
        <v>0</v>
      </c>
      <c r="Q132" s="276" cm="1">
        <f t="array" ref="Q132">IF(AND(Q$2&lt;&gt;0,TblTech[[#This Row],[Hour]:[Hour]]&gt;=Q$2),1,0)</f>
        <v>0</v>
      </c>
      <c r="R132" s="276" cm="1">
        <f t="array" ref="R132">IF(AND(R$2&lt;&gt;0,TblTech[[#This Row],[Hour]:[Hour]]&gt;=R$2),1,0)</f>
        <v>0</v>
      </c>
      <c r="S132" s="276" cm="1">
        <f t="array" ref="S132">IF(AND(S$2&lt;&gt;0,TblTech[[#This Row],[Hour]:[Hour]]&gt;=S$2),1,0)</f>
        <v>0</v>
      </c>
      <c r="T132" s="276" cm="1">
        <f t="array" ref="T132">IF(AND(T$2&lt;&gt;0,TblTech[[#This Row],[Hour]:[Hour]]&gt;=T$2),1,0)</f>
        <v>0</v>
      </c>
      <c r="U132" s="276" cm="1">
        <f t="array" ref="U132">IF(AND(U$2&lt;&gt;0,TblTech[[#This Row],[Hour]:[Hour]]&gt;=U$2),1,0)</f>
        <v>0</v>
      </c>
      <c r="V132" s="276" cm="1">
        <f t="array" ref="V132">IF(AND(V$2&lt;&gt;0,TblTech[[#This Row],[Hour]:[Hour]]&gt;=V$2),1,0)</f>
        <v>0</v>
      </c>
      <c r="W132" s="276" cm="1">
        <f t="array" ref="W132">IF(AND(W$2&lt;&gt;0,TblTech[[#This Row],[Hour]:[Hour]]&gt;=W$2),1,0)</f>
        <v>0</v>
      </c>
      <c r="X132" s="276" cm="1">
        <f t="array" ref="X132">IF(AND(X$2&lt;&gt;0,TblTech[[#This Row],[Hour]:[Hour]]&gt;=X$2),1,0)</f>
        <v>0</v>
      </c>
      <c r="Y132" s="276" cm="1">
        <f t="array" ref="Y132">IF(AND(Y$2&lt;&gt;0,TblTech[[#This Row],[Hour]:[Hour]]&gt;=Y$2),1,0)</f>
        <v>0</v>
      </c>
      <c r="Z132" s="276" cm="1">
        <f t="array" ref="Z132">IF(AND(Z$2&lt;&gt;0,TblTech[[#This Row],[Hour]:[Hour]]&gt;=Z$2),1,0)</f>
        <v>0</v>
      </c>
      <c r="AA132" s="276" cm="1">
        <f t="array" ref="AA132">IF(AND(AA$2&lt;&gt;0,TblTech[[#This Row],[Hour]:[Hour]]&gt;=AA$2),1,0)</f>
        <v>0</v>
      </c>
      <c r="AB132" s="276" cm="1">
        <f t="array" ref="AB132">IF(AND(AB$2&lt;&gt;0,TblTech[[#This Row],[Hour]:[Hour]]&gt;=AB$2),1,0)</f>
        <v>0</v>
      </c>
      <c r="AC132" s="276" cm="1">
        <f t="array" ref="AC132">IF(AND(AC$2&lt;&gt;0,TblTech[[#This Row],[Hour]:[Hour]]&gt;=AC$2),1,0)</f>
        <v>0</v>
      </c>
      <c r="AD132" s="276" cm="1">
        <f t="array" ref="AD132">IF(AND(AD$2&lt;&gt;0,TblTech[[#This Row],[Hour]:[Hour]]&gt;=AD$2),1,0)</f>
        <v>0</v>
      </c>
      <c r="AE132" s="276" cm="1">
        <f t="array" ref="AE132">IF(AND(AE$2&lt;&gt;0,TblTech[[#This Row],[Hour]:[Hour]]&gt;=AE$2),1,0)</f>
        <v>0</v>
      </c>
      <c r="AF132" s="276" cm="1">
        <f t="array" ref="AF132">IF(AND(AF$2&lt;&gt;0,TblTech[[#This Row],[Hour]:[Hour]]&gt;=AF$2),1,0)</f>
        <v>0</v>
      </c>
      <c r="AG132" s="276" cm="1">
        <f t="array" ref="AG132">IF(AND(AG$2&lt;&gt;0,TblTech[[#This Row],[Hour]:[Hour]]&gt;=AG$2),1,0)</f>
        <v>0</v>
      </c>
      <c r="AH132" s="276" cm="1">
        <f t="array" ref="AH132">IF(AND(AH$2&lt;&gt;0,TblTech[[#This Row],[Hour]:[Hour]]&gt;=AH$2),1,0)</f>
        <v>0</v>
      </c>
      <c r="AI132" s="276" cm="1">
        <f t="array" ref="AI132">IF(AND(AI$2&lt;&gt;0,TblTech[[#This Row],[Hour]:[Hour]]&gt;=AI$2),1,0)</f>
        <v>0</v>
      </c>
      <c r="AJ132" s="276" cm="1">
        <f t="array" ref="AJ132">IF(AND(AJ$2&lt;&gt;0,TblTech[[#This Row],[Hour]:[Hour]]&gt;=AJ$2),1,0)</f>
        <v>0</v>
      </c>
      <c r="AK132" s="276" cm="1">
        <f t="array" ref="AK132">IF(AND(AK$2&lt;&gt;0,TblTech[[#This Row],[Hour]:[Hour]]&gt;=AK$2),1,0)</f>
        <v>0</v>
      </c>
      <c r="AL132" s="276" cm="1">
        <f t="array" ref="AL132">IF(AND(AL$2&lt;&gt;0,TblTech[[#This Row],[Hour]:[Hour]]&gt;=AL$2),1,0)</f>
        <v>0</v>
      </c>
      <c r="AM132" s="276" cm="1">
        <f t="array" ref="AM132">IF(AND(AM$2&lt;&gt;0,TblTech[[#This Row],[Hour]:[Hour]]&gt;=AM$2),1,0)</f>
        <v>0</v>
      </c>
      <c r="AN132" s="276" cm="1">
        <f t="array" ref="AN132">IF(AND(AN$2&lt;&gt;0,TblTech[[#This Row],[Hour]:[Hour]]&gt;=AN$2),1,0)</f>
        <v>0</v>
      </c>
      <c r="AO132" s="276" cm="1">
        <f t="array" ref="AO132">IF(AND(AO$2&lt;&gt;0,TblTech[[#This Row],[Hour]:[Hour]]&gt;=AO$2),1,0)</f>
        <v>0</v>
      </c>
      <c r="AP132" s="276" cm="1">
        <f t="array" ref="AP132">IF(AND(AP$2&lt;&gt;0,TblTech[[#This Row],[Hour]:[Hour]]&gt;=AP$2),1,0)</f>
        <v>0</v>
      </c>
      <c r="AQ132" s="276" cm="1">
        <f t="array" ref="AQ132">IF(AND(AQ$2&lt;&gt;0,TblTech[[#This Row],[Hour]:[Hour]]&gt;=AQ$2),1,0)</f>
        <v>0</v>
      </c>
      <c r="AR132" s="276" cm="1">
        <f t="array" ref="AR132">IF(AND(AR$2&lt;&gt;0,TblTech[[#This Row],[Hour]:[Hour]]&gt;=AR$2),1,0)</f>
        <v>0</v>
      </c>
      <c r="AS132" s="276" cm="1">
        <f t="array" ref="AS132">IF(AND(AS$2&lt;&gt;0,TblTech[[#This Row],[Hour]:[Hour]]&gt;=AS$2),1,0)</f>
        <v>0</v>
      </c>
      <c r="AT132" s="276" cm="1">
        <f t="array" ref="AT132">IF(AND(AT$2&lt;&gt;0,TblTech[[#This Row],[Hour]:[Hour]]&gt;=AT$2),1,0)</f>
        <v>0</v>
      </c>
      <c r="AU132" s="276" cm="1">
        <f t="array" ref="AU132">IF(AND(AU$2&lt;&gt;0,TblTech[[#This Row],[Hour]:[Hour]]&gt;=AU$2),1,0)</f>
        <v>0</v>
      </c>
      <c r="AV132" s="276" cm="1">
        <f t="array" ref="AV132">IF(AND(AV$2&lt;&gt;0,TblTech[[#This Row],[Hour]:[Hour]]&gt;=AV$2),1,0)</f>
        <v>0</v>
      </c>
      <c r="AW132" s="276" cm="1">
        <f t="array" ref="AW132">IF(AND(AW$2&lt;&gt;0,TblTech[[#This Row],[Hour]:[Hour]]&gt;=AW$2),1,0)</f>
        <v>0</v>
      </c>
      <c r="AX132" s="276" cm="1">
        <f t="array" ref="AX132">IF(AND(AX$2&lt;&gt;0,TblTech[[#This Row],[Hour]:[Hour]]&gt;=AX$2),1,0)</f>
        <v>0</v>
      </c>
      <c r="AY132" s="276" cm="1">
        <f t="array" ref="AY132">IF(AND(AY$2&lt;&gt;0,TblTech[[#This Row],[Hour]:[Hour]]&gt;=AY$2),1,0)</f>
        <v>0</v>
      </c>
      <c r="AZ132" s="276" cm="1">
        <f t="array" ref="AZ132">IF(AND(AZ$2&lt;&gt;0,TblTech[[#This Row],[Hour]:[Hour]]&gt;=AZ$2),1,0)</f>
        <v>0</v>
      </c>
      <c r="BA132" s="276" cm="1">
        <f t="array" ref="BA132">IF(AND(BA$2&lt;&gt;0,TblTech[[#This Row],[Hour]:[Hour]]&gt;=BA$2),1,0)</f>
        <v>0</v>
      </c>
      <c r="BB132" s="276" cm="1">
        <f t="array" ref="BB132">IF(AND(BB$2&lt;&gt;0,TblTech[[#This Row],[Hour]:[Hour]]&gt;=BB$2),1,0)</f>
        <v>0</v>
      </c>
      <c r="BC132" s="276" cm="1">
        <f t="array" ref="BC132">IF(AND(BC$2&lt;&gt;0,TblTech[[#This Row],[Hour]:[Hour]]&gt;=BC$2),1,0)</f>
        <v>0</v>
      </c>
      <c r="BD132" s="276" cm="1">
        <f t="array" ref="BD132">IF(AND(BD$2&lt;&gt;0,TblTech[[#This Row],[Hour]:[Hour]]&gt;=BD$2),1,0)</f>
        <v>0</v>
      </c>
      <c r="BE132" s="276" cm="1">
        <f t="array" ref="BE132">IF(AND(BE$2&lt;&gt;0,TblTech[[#This Row],[Hour]:[Hour]]&gt;=BE$2),1,0)</f>
        <v>0</v>
      </c>
      <c r="BF132" s="276" cm="1">
        <f t="array" ref="BF132">IF(AND(BF$2&lt;&gt;0,TblTech[[#This Row],[Hour]:[Hour]]&gt;=BF$2),1,0)</f>
        <v>0</v>
      </c>
      <c r="BG132" s="276" cm="1">
        <f t="array" ref="BG132">IF(AND(BG$2&lt;&gt;0,TblTech[[#This Row],[Hour]:[Hour]]&gt;=BG$2),1,0)</f>
        <v>0</v>
      </c>
      <c r="BH132" s="276" cm="1">
        <f t="array" ref="BH132">IF(AND(BH$2&lt;&gt;0,TblTech[[#This Row],[Hour]:[Hour]]&gt;=BH$2),1,0)</f>
        <v>0</v>
      </c>
      <c r="BI132" s="276" cm="1">
        <f t="array" ref="BI132">IF(AND(BI$2&lt;&gt;0,TblTech[[#This Row],[Hour]:[Hour]]&gt;=BI$2),1,0)</f>
        <v>0</v>
      </c>
      <c r="BJ132" s="276" cm="1">
        <f t="array" ref="BJ132">IF(AND(BJ$2&lt;&gt;0,TblTech[[#This Row],[Hour]:[Hour]]&gt;=BJ$2),1,0)</f>
        <v>0</v>
      </c>
      <c r="BK132" s="276" cm="1">
        <f t="array" ref="BK132">IF(AND(BK$2&lt;&gt;0,TblTech[[#This Row],[Hour]:[Hour]]&gt;=BK$2),1,0)</f>
        <v>0</v>
      </c>
      <c r="BL132" s="276" cm="1">
        <f t="array" ref="BL132">IF(AND(BL$2&lt;&gt;0,TblTech[[#This Row],[Hour]:[Hour]]&gt;=BL$2),1,0)</f>
        <v>0</v>
      </c>
      <c r="BM132" s="276" cm="1">
        <f t="array" ref="BM132">IF(AND(BM$2&lt;&gt;0,TblTech[[#This Row],[Hour]:[Hour]]&gt;=BM$2),1,0)</f>
        <v>0</v>
      </c>
      <c r="BN132" s="276" cm="1">
        <f t="array" ref="BN132">IF(AND(BN$2&lt;&gt;0,TblTech[[#This Row],[Hour]:[Hour]]&gt;=BN$2),1,0)</f>
        <v>0</v>
      </c>
      <c r="BO132" s="276" cm="1">
        <f t="array" ref="BO132">IF(AND(BO$2&lt;&gt;0,TblTech[[#This Row],[Hour]:[Hour]]&gt;=BO$2),1,0)</f>
        <v>0</v>
      </c>
      <c r="BP132" s="276" cm="1">
        <f t="array" ref="BP132">IF(AND(BP$2&lt;&gt;0,TblTech[[#This Row],[Hour]:[Hour]]&gt;=BP$2),1,0)</f>
        <v>0</v>
      </c>
      <c r="BQ132" s="276" cm="1">
        <f t="array" ref="BQ132">IF(AND(BQ$2&lt;&gt;0,TblTech[[#This Row],[Hour]:[Hour]]&gt;=BQ$2),1,0)</f>
        <v>0</v>
      </c>
      <c r="BR132" s="276" cm="1">
        <f t="array" ref="BR132">IF(AND(BR$2&lt;&gt;0,TblTech[[#This Row],[Hour]:[Hour]]&gt;=BR$2),1,0)</f>
        <v>0</v>
      </c>
      <c r="BS132" s="276" cm="1">
        <f t="array" ref="BS132">IF(AND(BS$2&lt;&gt;0,TblTech[[#This Row],[Hour]:[Hour]]&gt;=BS$2),1,0)</f>
        <v>0</v>
      </c>
      <c r="BT132" s="276" cm="1">
        <f t="array" ref="BT132">IF(AND(BT$2&lt;&gt;0,TblTech[[#This Row],[Hour]:[Hour]]&gt;=BT$2),1,0)</f>
        <v>0</v>
      </c>
      <c r="BU132" s="276" cm="1">
        <f t="array" ref="BU132">IF(AND(BU$2&lt;&gt;0,TblTech[[#This Row],[Hour]:[Hour]]&gt;=BU$2),1,0)</f>
        <v>0</v>
      </c>
      <c r="BV132" s="276" cm="1">
        <f t="array" ref="BV132">IF(AND(BV$2&lt;&gt;0,TblTech[[#This Row],[Hour]:[Hour]]&gt;=BV$2),1,0)</f>
        <v>0</v>
      </c>
      <c r="BW132" s="276" cm="1">
        <f t="array" ref="BW132">IF(AND(BW$2&lt;&gt;0,TblTech[[#This Row],[Hour]:[Hour]]&gt;=BW$2),1,0)</f>
        <v>0</v>
      </c>
      <c r="BX132" s="276" cm="1">
        <f t="array" ref="BX132">IF(AND(BX$2&lt;&gt;0,TblTech[[#This Row],[Hour]:[Hour]]&gt;=BX$2),1,0)</f>
        <v>0</v>
      </c>
      <c r="BY132" s="276" cm="1">
        <f t="array" ref="BY132">IF(AND(BY$2&lt;&gt;0,TblTech[[#This Row],[Hour]:[Hour]]&gt;=BY$2),1,0)</f>
        <v>0</v>
      </c>
      <c r="BZ132" s="276" cm="1">
        <f t="array" ref="BZ132">IF(AND(BZ$2&lt;&gt;0,TblTech[[#This Row],[Hour]:[Hour]]&gt;=BZ$2),1,0)</f>
        <v>0</v>
      </c>
      <c r="CA132" s="377">
        <f>IFERROR(INDEX($H$4:$H$79,MATCH(INDEX(TblTech[[#Headers],[1-1]:[11-1]],1,MATCH(TblTech[[#This Row],[Hour]],$M$2:$BZ$2,0)),$G$4:$G$79,0)),)</f>
        <v>0</v>
      </c>
    </row>
    <row r="133" spans="1:79" x14ac:dyDescent="0.2">
      <c r="A133" s="268">
        <f>TblRezone[[#This Row],[Hour]]</f>
        <v>130</v>
      </c>
      <c r="B133" s="269">
        <f ca="1">TblExplore[[#This Row],[Land-DB]]</f>
        <v>50</v>
      </c>
      <c r="C133" s="270">
        <f ca="1">TblProd[[#This Row],[Techpoints]]</f>
        <v>0</v>
      </c>
      <c r="D133" s="270">
        <f ca="1">TblProd[[#This Row],[Required]]</f>
        <v>3750</v>
      </c>
      <c r="E133" s="279"/>
      <c r="F133" s="280"/>
      <c r="G133" s="273"/>
      <c r="H133" s="274"/>
      <c r="I133" s="274"/>
      <c r="J133" s="274"/>
      <c r="K133" s="93">
        <f ca="1">IF(TblTech[[#This Row],[Sum of tech]]&lt;&gt;OFFSET(TblTech[[#This Row],[Sum of tech]],-1,0),1,0)</f>
        <v>0</v>
      </c>
      <c r="L133" s="275">
        <f>COUNTIF(TblTech[[#This Row],[1-1]:[11-1]],1)</f>
        <v>0</v>
      </c>
      <c r="M133" s="276" cm="1">
        <f t="array" ref="M133">IF(AND(M$2&lt;&gt;0,TblTech[[#This Row],[Hour]:[Hour]]&gt;=M$2),1,0)</f>
        <v>0</v>
      </c>
      <c r="N133" s="276" cm="1">
        <f t="array" ref="N133">IF(AND(N$2&lt;&gt;0,TblTech[[#This Row],[Hour]:[Hour]]&gt;=N$2),1,0)</f>
        <v>0</v>
      </c>
      <c r="O133" s="276" cm="1">
        <f t="array" ref="O133">IF(AND(O$2&lt;&gt;0,TblTech[[#This Row],[Hour]:[Hour]]&gt;=O$2),1,0)</f>
        <v>0</v>
      </c>
      <c r="P133" s="276" cm="1">
        <f t="array" ref="P133">IF(AND(P$2&lt;&gt;0,TblTech[[#This Row],[Hour]:[Hour]]&gt;=P$2),1,0)</f>
        <v>0</v>
      </c>
      <c r="Q133" s="276" cm="1">
        <f t="array" ref="Q133">IF(AND(Q$2&lt;&gt;0,TblTech[[#This Row],[Hour]:[Hour]]&gt;=Q$2),1,0)</f>
        <v>0</v>
      </c>
      <c r="R133" s="276" cm="1">
        <f t="array" ref="R133">IF(AND(R$2&lt;&gt;0,TblTech[[#This Row],[Hour]:[Hour]]&gt;=R$2),1,0)</f>
        <v>0</v>
      </c>
      <c r="S133" s="276" cm="1">
        <f t="array" ref="S133">IF(AND(S$2&lt;&gt;0,TblTech[[#This Row],[Hour]:[Hour]]&gt;=S$2),1,0)</f>
        <v>0</v>
      </c>
      <c r="T133" s="276" cm="1">
        <f t="array" ref="T133">IF(AND(T$2&lt;&gt;0,TblTech[[#This Row],[Hour]:[Hour]]&gt;=T$2),1,0)</f>
        <v>0</v>
      </c>
      <c r="U133" s="276" cm="1">
        <f t="array" ref="U133">IF(AND(U$2&lt;&gt;0,TblTech[[#This Row],[Hour]:[Hour]]&gt;=U$2),1,0)</f>
        <v>0</v>
      </c>
      <c r="V133" s="276" cm="1">
        <f t="array" ref="V133">IF(AND(V$2&lt;&gt;0,TblTech[[#This Row],[Hour]:[Hour]]&gt;=V$2),1,0)</f>
        <v>0</v>
      </c>
      <c r="W133" s="276" cm="1">
        <f t="array" ref="W133">IF(AND(W$2&lt;&gt;0,TblTech[[#This Row],[Hour]:[Hour]]&gt;=W$2),1,0)</f>
        <v>0</v>
      </c>
      <c r="X133" s="276" cm="1">
        <f t="array" ref="X133">IF(AND(X$2&lt;&gt;0,TblTech[[#This Row],[Hour]:[Hour]]&gt;=X$2),1,0)</f>
        <v>0</v>
      </c>
      <c r="Y133" s="276" cm="1">
        <f t="array" ref="Y133">IF(AND(Y$2&lt;&gt;0,TblTech[[#This Row],[Hour]:[Hour]]&gt;=Y$2),1,0)</f>
        <v>0</v>
      </c>
      <c r="Z133" s="276" cm="1">
        <f t="array" ref="Z133">IF(AND(Z$2&lt;&gt;0,TblTech[[#This Row],[Hour]:[Hour]]&gt;=Z$2),1,0)</f>
        <v>0</v>
      </c>
      <c r="AA133" s="276" cm="1">
        <f t="array" ref="AA133">IF(AND(AA$2&lt;&gt;0,TblTech[[#This Row],[Hour]:[Hour]]&gt;=AA$2),1,0)</f>
        <v>0</v>
      </c>
      <c r="AB133" s="276" cm="1">
        <f t="array" ref="AB133">IF(AND(AB$2&lt;&gt;0,TblTech[[#This Row],[Hour]:[Hour]]&gt;=AB$2),1,0)</f>
        <v>0</v>
      </c>
      <c r="AC133" s="276" cm="1">
        <f t="array" ref="AC133">IF(AND(AC$2&lt;&gt;0,TblTech[[#This Row],[Hour]:[Hour]]&gt;=AC$2),1,0)</f>
        <v>0</v>
      </c>
      <c r="AD133" s="276" cm="1">
        <f t="array" ref="AD133">IF(AND(AD$2&lt;&gt;0,TblTech[[#This Row],[Hour]:[Hour]]&gt;=AD$2),1,0)</f>
        <v>0</v>
      </c>
      <c r="AE133" s="276" cm="1">
        <f t="array" ref="AE133">IF(AND(AE$2&lt;&gt;0,TblTech[[#This Row],[Hour]:[Hour]]&gt;=AE$2),1,0)</f>
        <v>0</v>
      </c>
      <c r="AF133" s="276" cm="1">
        <f t="array" ref="AF133">IF(AND(AF$2&lt;&gt;0,TblTech[[#This Row],[Hour]:[Hour]]&gt;=AF$2),1,0)</f>
        <v>0</v>
      </c>
      <c r="AG133" s="276" cm="1">
        <f t="array" ref="AG133">IF(AND(AG$2&lt;&gt;0,TblTech[[#This Row],[Hour]:[Hour]]&gt;=AG$2),1,0)</f>
        <v>0</v>
      </c>
      <c r="AH133" s="276" cm="1">
        <f t="array" ref="AH133">IF(AND(AH$2&lt;&gt;0,TblTech[[#This Row],[Hour]:[Hour]]&gt;=AH$2),1,0)</f>
        <v>0</v>
      </c>
      <c r="AI133" s="276" cm="1">
        <f t="array" ref="AI133">IF(AND(AI$2&lt;&gt;0,TblTech[[#This Row],[Hour]:[Hour]]&gt;=AI$2),1,0)</f>
        <v>0</v>
      </c>
      <c r="AJ133" s="276" cm="1">
        <f t="array" ref="AJ133">IF(AND(AJ$2&lt;&gt;0,TblTech[[#This Row],[Hour]:[Hour]]&gt;=AJ$2),1,0)</f>
        <v>0</v>
      </c>
      <c r="AK133" s="276" cm="1">
        <f t="array" ref="AK133">IF(AND(AK$2&lt;&gt;0,TblTech[[#This Row],[Hour]:[Hour]]&gt;=AK$2),1,0)</f>
        <v>0</v>
      </c>
      <c r="AL133" s="276" cm="1">
        <f t="array" ref="AL133">IF(AND(AL$2&lt;&gt;0,TblTech[[#This Row],[Hour]:[Hour]]&gt;=AL$2),1,0)</f>
        <v>0</v>
      </c>
      <c r="AM133" s="276" cm="1">
        <f t="array" ref="AM133">IF(AND(AM$2&lt;&gt;0,TblTech[[#This Row],[Hour]:[Hour]]&gt;=AM$2),1,0)</f>
        <v>0</v>
      </c>
      <c r="AN133" s="276" cm="1">
        <f t="array" ref="AN133">IF(AND(AN$2&lt;&gt;0,TblTech[[#This Row],[Hour]:[Hour]]&gt;=AN$2),1,0)</f>
        <v>0</v>
      </c>
      <c r="AO133" s="276" cm="1">
        <f t="array" ref="AO133">IF(AND(AO$2&lt;&gt;0,TblTech[[#This Row],[Hour]:[Hour]]&gt;=AO$2),1,0)</f>
        <v>0</v>
      </c>
      <c r="AP133" s="276" cm="1">
        <f t="array" ref="AP133">IF(AND(AP$2&lt;&gt;0,TblTech[[#This Row],[Hour]:[Hour]]&gt;=AP$2),1,0)</f>
        <v>0</v>
      </c>
      <c r="AQ133" s="276" cm="1">
        <f t="array" ref="AQ133">IF(AND(AQ$2&lt;&gt;0,TblTech[[#This Row],[Hour]:[Hour]]&gt;=AQ$2),1,0)</f>
        <v>0</v>
      </c>
      <c r="AR133" s="276" cm="1">
        <f t="array" ref="AR133">IF(AND(AR$2&lt;&gt;0,TblTech[[#This Row],[Hour]:[Hour]]&gt;=AR$2),1,0)</f>
        <v>0</v>
      </c>
      <c r="AS133" s="276" cm="1">
        <f t="array" ref="AS133">IF(AND(AS$2&lt;&gt;0,TblTech[[#This Row],[Hour]:[Hour]]&gt;=AS$2),1,0)</f>
        <v>0</v>
      </c>
      <c r="AT133" s="276" cm="1">
        <f t="array" ref="AT133">IF(AND(AT$2&lt;&gt;0,TblTech[[#This Row],[Hour]:[Hour]]&gt;=AT$2),1,0)</f>
        <v>0</v>
      </c>
      <c r="AU133" s="276" cm="1">
        <f t="array" ref="AU133">IF(AND(AU$2&lt;&gt;0,TblTech[[#This Row],[Hour]:[Hour]]&gt;=AU$2),1,0)</f>
        <v>0</v>
      </c>
      <c r="AV133" s="276" cm="1">
        <f t="array" ref="AV133">IF(AND(AV$2&lt;&gt;0,TblTech[[#This Row],[Hour]:[Hour]]&gt;=AV$2),1,0)</f>
        <v>0</v>
      </c>
      <c r="AW133" s="276" cm="1">
        <f t="array" ref="AW133">IF(AND(AW$2&lt;&gt;0,TblTech[[#This Row],[Hour]:[Hour]]&gt;=AW$2),1,0)</f>
        <v>0</v>
      </c>
      <c r="AX133" s="276" cm="1">
        <f t="array" ref="AX133">IF(AND(AX$2&lt;&gt;0,TblTech[[#This Row],[Hour]:[Hour]]&gt;=AX$2),1,0)</f>
        <v>0</v>
      </c>
      <c r="AY133" s="276" cm="1">
        <f t="array" ref="AY133">IF(AND(AY$2&lt;&gt;0,TblTech[[#This Row],[Hour]:[Hour]]&gt;=AY$2),1,0)</f>
        <v>0</v>
      </c>
      <c r="AZ133" s="276" cm="1">
        <f t="array" ref="AZ133">IF(AND(AZ$2&lt;&gt;0,TblTech[[#This Row],[Hour]:[Hour]]&gt;=AZ$2),1,0)</f>
        <v>0</v>
      </c>
      <c r="BA133" s="276" cm="1">
        <f t="array" ref="BA133">IF(AND(BA$2&lt;&gt;0,TblTech[[#This Row],[Hour]:[Hour]]&gt;=BA$2),1,0)</f>
        <v>0</v>
      </c>
      <c r="BB133" s="276" cm="1">
        <f t="array" ref="BB133">IF(AND(BB$2&lt;&gt;0,TblTech[[#This Row],[Hour]:[Hour]]&gt;=BB$2),1,0)</f>
        <v>0</v>
      </c>
      <c r="BC133" s="276" cm="1">
        <f t="array" ref="BC133">IF(AND(BC$2&lt;&gt;0,TblTech[[#This Row],[Hour]:[Hour]]&gt;=BC$2),1,0)</f>
        <v>0</v>
      </c>
      <c r="BD133" s="276" cm="1">
        <f t="array" ref="BD133">IF(AND(BD$2&lt;&gt;0,TblTech[[#This Row],[Hour]:[Hour]]&gt;=BD$2),1,0)</f>
        <v>0</v>
      </c>
      <c r="BE133" s="276" cm="1">
        <f t="array" ref="BE133">IF(AND(BE$2&lt;&gt;0,TblTech[[#This Row],[Hour]:[Hour]]&gt;=BE$2),1,0)</f>
        <v>0</v>
      </c>
      <c r="BF133" s="276" cm="1">
        <f t="array" ref="BF133">IF(AND(BF$2&lt;&gt;0,TblTech[[#This Row],[Hour]:[Hour]]&gt;=BF$2),1,0)</f>
        <v>0</v>
      </c>
      <c r="BG133" s="276" cm="1">
        <f t="array" ref="BG133">IF(AND(BG$2&lt;&gt;0,TblTech[[#This Row],[Hour]:[Hour]]&gt;=BG$2),1,0)</f>
        <v>0</v>
      </c>
      <c r="BH133" s="276" cm="1">
        <f t="array" ref="BH133">IF(AND(BH$2&lt;&gt;0,TblTech[[#This Row],[Hour]:[Hour]]&gt;=BH$2),1,0)</f>
        <v>0</v>
      </c>
      <c r="BI133" s="276" cm="1">
        <f t="array" ref="BI133">IF(AND(BI$2&lt;&gt;0,TblTech[[#This Row],[Hour]:[Hour]]&gt;=BI$2),1,0)</f>
        <v>0</v>
      </c>
      <c r="BJ133" s="276" cm="1">
        <f t="array" ref="BJ133">IF(AND(BJ$2&lt;&gt;0,TblTech[[#This Row],[Hour]:[Hour]]&gt;=BJ$2),1,0)</f>
        <v>0</v>
      </c>
      <c r="BK133" s="276" cm="1">
        <f t="array" ref="BK133">IF(AND(BK$2&lt;&gt;0,TblTech[[#This Row],[Hour]:[Hour]]&gt;=BK$2),1,0)</f>
        <v>0</v>
      </c>
      <c r="BL133" s="276" cm="1">
        <f t="array" ref="BL133">IF(AND(BL$2&lt;&gt;0,TblTech[[#This Row],[Hour]:[Hour]]&gt;=BL$2),1,0)</f>
        <v>0</v>
      </c>
      <c r="BM133" s="276" cm="1">
        <f t="array" ref="BM133">IF(AND(BM$2&lt;&gt;0,TblTech[[#This Row],[Hour]:[Hour]]&gt;=BM$2),1,0)</f>
        <v>0</v>
      </c>
      <c r="BN133" s="276" cm="1">
        <f t="array" ref="BN133">IF(AND(BN$2&lt;&gt;0,TblTech[[#This Row],[Hour]:[Hour]]&gt;=BN$2),1,0)</f>
        <v>0</v>
      </c>
      <c r="BO133" s="276" cm="1">
        <f t="array" ref="BO133">IF(AND(BO$2&lt;&gt;0,TblTech[[#This Row],[Hour]:[Hour]]&gt;=BO$2),1,0)</f>
        <v>0</v>
      </c>
      <c r="BP133" s="276" cm="1">
        <f t="array" ref="BP133">IF(AND(BP$2&lt;&gt;0,TblTech[[#This Row],[Hour]:[Hour]]&gt;=BP$2),1,0)</f>
        <v>0</v>
      </c>
      <c r="BQ133" s="276" cm="1">
        <f t="array" ref="BQ133">IF(AND(BQ$2&lt;&gt;0,TblTech[[#This Row],[Hour]:[Hour]]&gt;=BQ$2),1,0)</f>
        <v>0</v>
      </c>
      <c r="BR133" s="276" cm="1">
        <f t="array" ref="BR133">IF(AND(BR$2&lt;&gt;0,TblTech[[#This Row],[Hour]:[Hour]]&gt;=BR$2),1,0)</f>
        <v>0</v>
      </c>
      <c r="BS133" s="276" cm="1">
        <f t="array" ref="BS133">IF(AND(BS$2&lt;&gt;0,TblTech[[#This Row],[Hour]:[Hour]]&gt;=BS$2),1,0)</f>
        <v>0</v>
      </c>
      <c r="BT133" s="276" cm="1">
        <f t="array" ref="BT133">IF(AND(BT$2&lt;&gt;0,TblTech[[#This Row],[Hour]:[Hour]]&gt;=BT$2),1,0)</f>
        <v>0</v>
      </c>
      <c r="BU133" s="276" cm="1">
        <f t="array" ref="BU133">IF(AND(BU$2&lt;&gt;0,TblTech[[#This Row],[Hour]:[Hour]]&gt;=BU$2),1,0)</f>
        <v>0</v>
      </c>
      <c r="BV133" s="276" cm="1">
        <f t="array" ref="BV133">IF(AND(BV$2&lt;&gt;0,TblTech[[#This Row],[Hour]:[Hour]]&gt;=BV$2),1,0)</f>
        <v>0</v>
      </c>
      <c r="BW133" s="276" cm="1">
        <f t="array" ref="BW133">IF(AND(BW$2&lt;&gt;0,TblTech[[#This Row],[Hour]:[Hour]]&gt;=BW$2),1,0)</f>
        <v>0</v>
      </c>
      <c r="BX133" s="276" cm="1">
        <f t="array" ref="BX133">IF(AND(BX$2&lt;&gt;0,TblTech[[#This Row],[Hour]:[Hour]]&gt;=BX$2),1,0)</f>
        <v>0</v>
      </c>
      <c r="BY133" s="276" cm="1">
        <f t="array" ref="BY133">IF(AND(BY$2&lt;&gt;0,TblTech[[#This Row],[Hour]:[Hour]]&gt;=BY$2),1,0)</f>
        <v>0</v>
      </c>
      <c r="BZ133" s="276" cm="1">
        <f t="array" ref="BZ133">IF(AND(BZ$2&lt;&gt;0,TblTech[[#This Row],[Hour]:[Hour]]&gt;=BZ$2),1,0)</f>
        <v>0</v>
      </c>
      <c r="CA133" s="377">
        <f>IFERROR(INDEX($H$4:$H$79,MATCH(INDEX(TblTech[[#Headers],[1-1]:[11-1]],1,MATCH(TblTech[[#This Row],[Hour]],$M$2:$BZ$2,0)),$G$4:$G$79,0)),)</f>
        <v>0</v>
      </c>
    </row>
    <row r="134" spans="1:79" x14ac:dyDescent="0.2">
      <c r="A134" s="268">
        <f>TblRezone[[#This Row],[Hour]]</f>
        <v>131</v>
      </c>
      <c r="B134" s="269">
        <f ca="1">TblExplore[[#This Row],[Land-DB]]</f>
        <v>50</v>
      </c>
      <c r="C134" s="270">
        <f ca="1">TblProd[[#This Row],[Techpoints]]</f>
        <v>0</v>
      </c>
      <c r="D134" s="270">
        <f ca="1">TblProd[[#This Row],[Required]]</f>
        <v>3750</v>
      </c>
      <c r="E134" s="279"/>
      <c r="F134" s="280"/>
      <c r="G134" s="273"/>
      <c r="H134" s="274"/>
      <c r="I134" s="274"/>
      <c r="J134" s="274"/>
      <c r="K134" s="93">
        <f ca="1">IF(TblTech[[#This Row],[Sum of tech]]&lt;&gt;OFFSET(TblTech[[#This Row],[Sum of tech]],-1,0),1,0)</f>
        <v>0</v>
      </c>
      <c r="L134" s="275">
        <f>COUNTIF(TblTech[[#This Row],[1-1]:[11-1]],1)</f>
        <v>0</v>
      </c>
      <c r="M134" s="276" cm="1">
        <f t="array" ref="M134">IF(AND(M$2&lt;&gt;0,TblTech[[#This Row],[Hour]:[Hour]]&gt;=M$2),1,0)</f>
        <v>0</v>
      </c>
      <c r="N134" s="276" cm="1">
        <f t="array" ref="N134">IF(AND(N$2&lt;&gt;0,TblTech[[#This Row],[Hour]:[Hour]]&gt;=N$2),1,0)</f>
        <v>0</v>
      </c>
      <c r="O134" s="276" cm="1">
        <f t="array" ref="O134">IF(AND(O$2&lt;&gt;0,TblTech[[#This Row],[Hour]:[Hour]]&gt;=O$2),1,0)</f>
        <v>0</v>
      </c>
      <c r="P134" s="276" cm="1">
        <f t="array" ref="P134">IF(AND(P$2&lt;&gt;0,TblTech[[#This Row],[Hour]:[Hour]]&gt;=P$2),1,0)</f>
        <v>0</v>
      </c>
      <c r="Q134" s="276" cm="1">
        <f t="array" ref="Q134">IF(AND(Q$2&lt;&gt;0,TblTech[[#This Row],[Hour]:[Hour]]&gt;=Q$2),1,0)</f>
        <v>0</v>
      </c>
      <c r="R134" s="276" cm="1">
        <f t="array" ref="R134">IF(AND(R$2&lt;&gt;0,TblTech[[#This Row],[Hour]:[Hour]]&gt;=R$2),1,0)</f>
        <v>0</v>
      </c>
      <c r="S134" s="276" cm="1">
        <f t="array" ref="S134">IF(AND(S$2&lt;&gt;0,TblTech[[#This Row],[Hour]:[Hour]]&gt;=S$2),1,0)</f>
        <v>0</v>
      </c>
      <c r="T134" s="276" cm="1">
        <f t="array" ref="T134">IF(AND(T$2&lt;&gt;0,TblTech[[#This Row],[Hour]:[Hour]]&gt;=T$2),1,0)</f>
        <v>0</v>
      </c>
      <c r="U134" s="276" cm="1">
        <f t="array" ref="U134">IF(AND(U$2&lt;&gt;0,TblTech[[#This Row],[Hour]:[Hour]]&gt;=U$2),1,0)</f>
        <v>0</v>
      </c>
      <c r="V134" s="276" cm="1">
        <f t="array" ref="V134">IF(AND(V$2&lt;&gt;0,TblTech[[#This Row],[Hour]:[Hour]]&gt;=V$2),1,0)</f>
        <v>0</v>
      </c>
      <c r="W134" s="276" cm="1">
        <f t="array" ref="W134">IF(AND(W$2&lt;&gt;0,TblTech[[#This Row],[Hour]:[Hour]]&gt;=W$2),1,0)</f>
        <v>0</v>
      </c>
      <c r="X134" s="276" cm="1">
        <f t="array" ref="X134">IF(AND(X$2&lt;&gt;0,TblTech[[#This Row],[Hour]:[Hour]]&gt;=X$2),1,0)</f>
        <v>0</v>
      </c>
      <c r="Y134" s="276" cm="1">
        <f t="array" ref="Y134">IF(AND(Y$2&lt;&gt;0,TblTech[[#This Row],[Hour]:[Hour]]&gt;=Y$2),1,0)</f>
        <v>0</v>
      </c>
      <c r="Z134" s="276" cm="1">
        <f t="array" ref="Z134">IF(AND(Z$2&lt;&gt;0,TblTech[[#This Row],[Hour]:[Hour]]&gt;=Z$2),1,0)</f>
        <v>0</v>
      </c>
      <c r="AA134" s="276" cm="1">
        <f t="array" ref="AA134">IF(AND(AA$2&lt;&gt;0,TblTech[[#This Row],[Hour]:[Hour]]&gt;=AA$2),1,0)</f>
        <v>0</v>
      </c>
      <c r="AB134" s="276" cm="1">
        <f t="array" ref="AB134">IF(AND(AB$2&lt;&gt;0,TblTech[[#This Row],[Hour]:[Hour]]&gt;=AB$2),1,0)</f>
        <v>0</v>
      </c>
      <c r="AC134" s="276" cm="1">
        <f t="array" ref="AC134">IF(AND(AC$2&lt;&gt;0,TblTech[[#This Row],[Hour]:[Hour]]&gt;=AC$2),1,0)</f>
        <v>0</v>
      </c>
      <c r="AD134" s="276" cm="1">
        <f t="array" ref="AD134">IF(AND(AD$2&lt;&gt;0,TblTech[[#This Row],[Hour]:[Hour]]&gt;=AD$2),1,0)</f>
        <v>0</v>
      </c>
      <c r="AE134" s="276" cm="1">
        <f t="array" ref="AE134">IF(AND(AE$2&lt;&gt;0,TblTech[[#This Row],[Hour]:[Hour]]&gt;=AE$2),1,0)</f>
        <v>0</v>
      </c>
      <c r="AF134" s="276" cm="1">
        <f t="array" ref="AF134">IF(AND(AF$2&lt;&gt;0,TblTech[[#This Row],[Hour]:[Hour]]&gt;=AF$2),1,0)</f>
        <v>0</v>
      </c>
      <c r="AG134" s="276" cm="1">
        <f t="array" ref="AG134">IF(AND(AG$2&lt;&gt;0,TblTech[[#This Row],[Hour]:[Hour]]&gt;=AG$2),1,0)</f>
        <v>0</v>
      </c>
      <c r="AH134" s="276" cm="1">
        <f t="array" ref="AH134">IF(AND(AH$2&lt;&gt;0,TblTech[[#This Row],[Hour]:[Hour]]&gt;=AH$2),1,0)</f>
        <v>0</v>
      </c>
      <c r="AI134" s="276" cm="1">
        <f t="array" ref="AI134">IF(AND(AI$2&lt;&gt;0,TblTech[[#This Row],[Hour]:[Hour]]&gt;=AI$2),1,0)</f>
        <v>0</v>
      </c>
      <c r="AJ134" s="276" cm="1">
        <f t="array" ref="AJ134">IF(AND(AJ$2&lt;&gt;0,TblTech[[#This Row],[Hour]:[Hour]]&gt;=AJ$2),1,0)</f>
        <v>0</v>
      </c>
      <c r="AK134" s="276" cm="1">
        <f t="array" ref="AK134">IF(AND(AK$2&lt;&gt;0,TblTech[[#This Row],[Hour]:[Hour]]&gt;=AK$2),1,0)</f>
        <v>0</v>
      </c>
      <c r="AL134" s="276" cm="1">
        <f t="array" ref="AL134">IF(AND(AL$2&lt;&gt;0,TblTech[[#This Row],[Hour]:[Hour]]&gt;=AL$2),1,0)</f>
        <v>0</v>
      </c>
      <c r="AM134" s="276" cm="1">
        <f t="array" ref="AM134">IF(AND(AM$2&lt;&gt;0,TblTech[[#This Row],[Hour]:[Hour]]&gt;=AM$2),1,0)</f>
        <v>0</v>
      </c>
      <c r="AN134" s="276" cm="1">
        <f t="array" ref="AN134">IF(AND(AN$2&lt;&gt;0,TblTech[[#This Row],[Hour]:[Hour]]&gt;=AN$2),1,0)</f>
        <v>0</v>
      </c>
      <c r="AO134" s="276" cm="1">
        <f t="array" ref="AO134">IF(AND(AO$2&lt;&gt;0,TblTech[[#This Row],[Hour]:[Hour]]&gt;=AO$2),1,0)</f>
        <v>0</v>
      </c>
      <c r="AP134" s="276" cm="1">
        <f t="array" ref="AP134">IF(AND(AP$2&lt;&gt;0,TblTech[[#This Row],[Hour]:[Hour]]&gt;=AP$2),1,0)</f>
        <v>0</v>
      </c>
      <c r="AQ134" s="276" cm="1">
        <f t="array" ref="AQ134">IF(AND(AQ$2&lt;&gt;0,TblTech[[#This Row],[Hour]:[Hour]]&gt;=AQ$2),1,0)</f>
        <v>0</v>
      </c>
      <c r="AR134" s="276" cm="1">
        <f t="array" ref="AR134">IF(AND(AR$2&lt;&gt;0,TblTech[[#This Row],[Hour]:[Hour]]&gt;=AR$2),1,0)</f>
        <v>0</v>
      </c>
      <c r="AS134" s="276" cm="1">
        <f t="array" ref="AS134">IF(AND(AS$2&lt;&gt;0,TblTech[[#This Row],[Hour]:[Hour]]&gt;=AS$2),1,0)</f>
        <v>0</v>
      </c>
      <c r="AT134" s="276" cm="1">
        <f t="array" ref="AT134">IF(AND(AT$2&lt;&gt;0,TblTech[[#This Row],[Hour]:[Hour]]&gt;=AT$2),1,0)</f>
        <v>0</v>
      </c>
      <c r="AU134" s="276" cm="1">
        <f t="array" ref="AU134">IF(AND(AU$2&lt;&gt;0,TblTech[[#This Row],[Hour]:[Hour]]&gt;=AU$2),1,0)</f>
        <v>0</v>
      </c>
      <c r="AV134" s="276" cm="1">
        <f t="array" ref="AV134">IF(AND(AV$2&lt;&gt;0,TblTech[[#This Row],[Hour]:[Hour]]&gt;=AV$2),1,0)</f>
        <v>0</v>
      </c>
      <c r="AW134" s="276" cm="1">
        <f t="array" ref="AW134">IF(AND(AW$2&lt;&gt;0,TblTech[[#This Row],[Hour]:[Hour]]&gt;=AW$2),1,0)</f>
        <v>0</v>
      </c>
      <c r="AX134" s="276" cm="1">
        <f t="array" ref="AX134">IF(AND(AX$2&lt;&gt;0,TblTech[[#This Row],[Hour]:[Hour]]&gt;=AX$2),1,0)</f>
        <v>0</v>
      </c>
      <c r="AY134" s="276" cm="1">
        <f t="array" ref="AY134">IF(AND(AY$2&lt;&gt;0,TblTech[[#This Row],[Hour]:[Hour]]&gt;=AY$2),1,0)</f>
        <v>0</v>
      </c>
      <c r="AZ134" s="276" cm="1">
        <f t="array" ref="AZ134">IF(AND(AZ$2&lt;&gt;0,TblTech[[#This Row],[Hour]:[Hour]]&gt;=AZ$2),1,0)</f>
        <v>0</v>
      </c>
      <c r="BA134" s="276" cm="1">
        <f t="array" ref="BA134">IF(AND(BA$2&lt;&gt;0,TblTech[[#This Row],[Hour]:[Hour]]&gt;=BA$2),1,0)</f>
        <v>0</v>
      </c>
      <c r="BB134" s="276" cm="1">
        <f t="array" ref="BB134">IF(AND(BB$2&lt;&gt;0,TblTech[[#This Row],[Hour]:[Hour]]&gt;=BB$2),1,0)</f>
        <v>0</v>
      </c>
      <c r="BC134" s="276" cm="1">
        <f t="array" ref="BC134">IF(AND(BC$2&lt;&gt;0,TblTech[[#This Row],[Hour]:[Hour]]&gt;=BC$2),1,0)</f>
        <v>0</v>
      </c>
      <c r="BD134" s="276" cm="1">
        <f t="array" ref="BD134">IF(AND(BD$2&lt;&gt;0,TblTech[[#This Row],[Hour]:[Hour]]&gt;=BD$2),1,0)</f>
        <v>0</v>
      </c>
      <c r="BE134" s="276" cm="1">
        <f t="array" ref="BE134">IF(AND(BE$2&lt;&gt;0,TblTech[[#This Row],[Hour]:[Hour]]&gt;=BE$2),1,0)</f>
        <v>0</v>
      </c>
      <c r="BF134" s="276" cm="1">
        <f t="array" ref="BF134">IF(AND(BF$2&lt;&gt;0,TblTech[[#This Row],[Hour]:[Hour]]&gt;=BF$2),1,0)</f>
        <v>0</v>
      </c>
      <c r="BG134" s="276" cm="1">
        <f t="array" ref="BG134">IF(AND(BG$2&lt;&gt;0,TblTech[[#This Row],[Hour]:[Hour]]&gt;=BG$2),1,0)</f>
        <v>0</v>
      </c>
      <c r="BH134" s="276" cm="1">
        <f t="array" ref="BH134">IF(AND(BH$2&lt;&gt;0,TblTech[[#This Row],[Hour]:[Hour]]&gt;=BH$2),1,0)</f>
        <v>0</v>
      </c>
      <c r="BI134" s="276" cm="1">
        <f t="array" ref="BI134">IF(AND(BI$2&lt;&gt;0,TblTech[[#This Row],[Hour]:[Hour]]&gt;=BI$2),1,0)</f>
        <v>0</v>
      </c>
      <c r="BJ134" s="276" cm="1">
        <f t="array" ref="BJ134">IF(AND(BJ$2&lt;&gt;0,TblTech[[#This Row],[Hour]:[Hour]]&gt;=BJ$2),1,0)</f>
        <v>0</v>
      </c>
      <c r="BK134" s="276" cm="1">
        <f t="array" ref="BK134">IF(AND(BK$2&lt;&gt;0,TblTech[[#This Row],[Hour]:[Hour]]&gt;=BK$2),1,0)</f>
        <v>0</v>
      </c>
      <c r="BL134" s="276" cm="1">
        <f t="array" ref="BL134">IF(AND(BL$2&lt;&gt;0,TblTech[[#This Row],[Hour]:[Hour]]&gt;=BL$2),1,0)</f>
        <v>0</v>
      </c>
      <c r="BM134" s="276" cm="1">
        <f t="array" ref="BM134">IF(AND(BM$2&lt;&gt;0,TblTech[[#This Row],[Hour]:[Hour]]&gt;=BM$2),1,0)</f>
        <v>0</v>
      </c>
      <c r="BN134" s="276" cm="1">
        <f t="array" ref="BN134">IF(AND(BN$2&lt;&gt;0,TblTech[[#This Row],[Hour]:[Hour]]&gt;=BN$2),1,0)</f>
        <v>0</v>
      </c>
      <c r="BO134" s="276" cm="1">
        <f t="array" ref="BO134">IF(AND(BO$2&lt;&gt;0,TblTech[[#This Row],[Hour]:[Hour]]&gt;=BO$2),1,0)</f>
        <v>0</v>
      </c>
      <c r="BP134" s="276" cm="1">
        <f t="array" ref="BP134">IF(AND(BP$2&lt;&gt;0,TblTech[[#This Row],[Hour]:[Hour]]&gt;=BP$2),1,0)</f>
        <v>0</v>
      </c>
      <c r="BQ134" s="276" cm="1">
        <f t="array" ref="BQ134">IF(AND(BQ$2&lt;&gt;0,TblTech[[#This Row],[Hour]:[Hour]]&gt;=BQ$2),1,0)</f>
        <v>0</v>
      </c>
      <c r="BR134" s="276" cm="1">
        <f t="array" ref="BR134">IF(AND(BR$2&lt;&gt;0,TblTech[[#This Row],[Hour]:[Hour]]&gt;=BR$2),1,0)</f>
        <v>0</v>
      </c>
      <c r="BS134" s="276" cm="1">
        <f t="array" ref="BS134">IF(AND(BS$2&lt;&gt;0,TblTech[[#This Row],[Hour]:[Hour]]&gt;=BS$2),1,0)</f>
        <v>0</v>
      </c>
      <c r="BT134" s="276" cm="1">
        <f t="array" ref="BT134">IF(AND(BT$2&lt;&gt;0,TblTech[[#This Row],[Hour]:[Hour]]&gt;=BT$2),1,0)</f>
        <v>0</v>
      </c>
      <c r="BU134" s="276" cm="1">
        <f t="array" ref="BU134">IF(AND(BU$2&lt;&gt;0,TblTech[[#This Row],[Hour]:[Hour]]&gt;=BU$2),1,0)</f>
        <v>0</v>
      </c>
      <c r="BV134" s="276" cm="1">
        <f t="array" ref="BV134">IF(AND(BV$2&lt;&gt;0,TblTech[[#This Row],[Hour]:[Hour]]&gt;=BV$2),1,0)</f>
        <v>0</v>
      </c>
      <c r="BW134" s="276" cm="1">
        <f t="array" ref="BW134">IF(AND(BW$2&lt;&gt;0,TblTech[[#This Row],[Hour]:[Hour]]&gt;=BW$2),1,0)</f>
        <v>0</v>
      </c>
      <c r="BX134" s="276" cm="1">
        <f t="array" ref="BX134">IF(AND(BX$2&lt;&gt;0,TblTech[[#This Row],[Hour]:[Hour]]&gt;=BX$2),1,0)</f>
        <v>0</v>
      </c>
      <c r="BY134" s="276" cm="1">
        <f t="array" ref="BY134">IF(AND(BY$2&lt;&gt;0,TblTech[[#This Row],[Hour]:[Hour]]&gt;=BY$2),1,0)</f>
        <v>0</v>
      </c>
      <c r="BZ134" s="276" cm="1">
        <f t="array" ref="BZ134">IF(AND(BZ$2&lt;&gt;0,TblTech[[#This Row],[Hour]:[Hour]]&gt;=BZ$2),1,0)</f>
        <v>0</v>
      </c>
      <c r="CA134" s="377">
        <f>IFERROR(INDEX($H$4:$H$79,MATCH(INDEX(TblTech[[#Headers],[1-1]:[11-1]],1,MATCH(TblTech[[#This Row],[Hour]],$M$2:$BZ$2,0)),$G$4:$G$79,0)),)</f>
        <v>0</v>
      </c>
    </row>
    <row r="135" spans="1:79" x14ac:dyDescent="0.2">
      <c r="A135" s="268">
        <f>TblRezone[[#This Row],[Hour]]</f>
        <v>132</v>
      </c>
      <c r="B135" s="269">
        <f ca="1">TblExplore[[#This Row],[Land-DB]]</f>
        <v>50</v>
      </c>
      <c r="C135" s="270">
        <f ca="1">TblProd[[#This Row],[Techpoints]]</f>
        <v>0</v>
      </c>
      <c r="D135" s="270">
        <f ca="1">TblProd[[#This Row],[Required]]</f>
        <v>3750</v>
      </c>
      <c r="E135" s="279"/>
      <c r="F135" s="280"/>
      <c r="G135" s="273"/>
      <c r="H135" s="274"/>
      <c r="I135" s="274"/>
      <c r="J135" s="274"/>
      <c r="K135" s="93">
        <f ca="1">IF(TblTech[[#This Row],[Sum of tech]]&lt;&gt;OFFSET(TblTech[[#This Row],[Sum of tech]],-1,0),1,0)</f>
        <v>0</v>
      </c>
      <c r="L135" s="275">
        <f>COUNTIF(TblTech[[#This Row],[1-1]:[11-1]],1)</f>
        <v>0</v>
      </c>
      <c r="M135" s="276" cm="1">
        <f t="array" ref="M135">IF(AND(M$2&lt;&gt;0,TblTech[[#This Row],[Hour]:[Hour]]&gt;=M$2),1,0)</f>
        <v>0</v>
      </c>
      <c r="N135" s="276" cm="1">
        <f t="array" ref="N135">IF(AND(N$2&lt;&gt;0,TblTech[[#This Row],[Hour]:[Hour]]&gt;=N$2),1,0)</f>
        <v>0</v>
      </c>
      <c r="O135" s="276" cm="1">
        <f t="array" ref="O135">IF(AND(O$2&lt;&gt;0,TblTech[[#This Row],[Hour]:[Hour]]&gt;=O$2),1,0)</f>
        <v>0</v>
      </c>
      <c r="P135" s="276" cm="1">
        <f t="array" ref="P135">IF(AND(P$2&lt;&gt;0,TblTech[[#This Row],[Hour]:[Hour]]&gt;=P$2),1,0)</f>
        <v>0</v>
      </c>
      <c r="Q135" s="276" cm="1">
        <f t="array" ref="Q135">IF(AND(Q$2&lt;&gt;0,TblTech[[#This Row],[Hour]:[Hour]]&gt;=Q$2),1,0)</f>
        <v>0</v>
      </c>
      <c r="R135" s="276" cm="1">
        <f t="array" ref="R135">IF(AND(R$2&lt;&gt;0,TblTech[[#This Row],[Hour]:[Hour]]&gt;=R$2),1,0)</f>
        <v>0</v>
      </c>
      <c r="S135" s="276" cm="1">
        <f t="array" ref="S135">IF(AND(S$2&lt;&gt;0,TblTech[[#This Row],[Hour]:[Hour]]&gt;=S$2),1,0)</f>
        <v>0</v>
      </c>
      <c r="T135" s="276" cm="1">
        <f t="array" ref="T135">IF(AND(T$2&lt;&gt;0,TblTech[[#This Row],[Hour]:[Hour]]&gt;=T$2),1,0)</f>
        <v>0</v>
      </c>
      <c r="U135" s="276" cm="1">
        <f t="array" ref="U135">IF(AND(U$2&lt;&gt;0,TblTech[[#This Row],[Hour]:[Hour]]&gt;=U$2),1,0)</f>
        <v>0</v>
      </c>
      <c r="V135" s="276" cm="1">
        <f t="array" ref="V135">IF(AND(V$2&lt;&gt;0,TblTech[[#This Row],[Hour]:[Hour]]&gt;=V$2),1,0)</f>
        <v>0</v>
      </c>
      <c r="W135" s="276" cm="1">
        <f t="array" ref="W135">IF(AND(W$2&lt;&gt;0,TblTech[[#This Row],[Hour]:[Hour]]&gt;=W$2),1,0)</f>
        <v>0</v>
      </c>
      <c r="X135" s="276" cm="1">
        <f t="array" ref="X135">IF(AND(X$2&lt;&gt;0,TblTech[[#This Row],[Hour]:[Hour]]&gt;=X$2),1,0)</f>
        <v>0</v>
      </c>
      <c r="Y135" s="276" cm="1">
        <f t="array" ref="Y135">IF(AND(Y$2&lt;&gt;0,TblTech[[#This Row],[Hour]:[Hour]]&gt;=Y$2),1,0)</f>
        <v>0</v>
      </c>
      <c r="Z135" s="276" cm="1">
        <f t="array" ref="Z135">IF(AND(Z$2&lt;&gt;0,TblTech[[#This Row],[Hour]:[Hour]]&gt;=Z$2),1,0)</f>
        <v>0</v>
      </c>
      <c r="AA135" s="276" cm="1">
        <f t="array" ref="AA135">IF(AND(AA$2&lt;&gt;0,TblTech[[#This Row],[Hour]:[Hour]]&gt;=AA$2),1,0)</f>
        <v>0</v>
      </c>
      <c r="AB135" s="276" cm="1">
        <f t="array" ref="AB135">IF(AND(AB$2&lt;&gt;0,TblTech[[#This Row],[Hour]:[Hour]]&gt;=AB$2),1,0)</f>
        <v>0</v>
      </c>
      <c r="AC135" s="276" cm="1">
        <f t="array" ref="AC135">IF(AND(AC$2&lt;&gt;0,TblTech[[#This Row],[Hour]:[Hour]]&gt;=AC$2),1,0)</f>
        <v>0</v>
      </c>
      <c r="AD135" s="276" cm="1">
        <f t="array" ref="AD135">IF(AND(AD$2&lt;&gt;0,TblTech[[#This Row],[Hour]:[Hour]]&gt;=AD$2),1,0)</f>
        <v>0</v>
      </c>
      <c r="AE135" s="276" cm="1">
        <f t="array" ref="AE135">IF(AND(AE$2&lt;&gt;0,TblTech[[#This Row],[Hour]:[Hour]]&gt;=AE$2),1,0)</f>
        <v>0</v>
      </c>
      <c r="AF135" s="276" cm="1">
        <f t="array" ref="AF135">IF(AND(AF$2&lt;&gt;0,TblTech[[#This Row],[Hour]:[Hour]]&gt;=AF$2),1,0)</f>
        <v>0</v>
      </c>
      <c r="AG135" s="276" cm="1">
        <f t="array" ref="AG135">IF(AND(AG$2&lt;&gt;0,TblTech[[#This Row],[Hour]:[Hour]]&gt;=AG$2),1,0)</f>
        <v>0</v>
      </c>
      <c r="AH135" s="276" cm="1">
        <f t="array" ref="AH135">IF(AND(AH$2&lt;&gt;0,TblTech[[#This Row],[Hour]:[Hour]]&gt;=AH$2),1,0)</f>
        <v>0</v>
      </c>
      <c r="AI135" s="276" cm="1">
        <f t="array" ref="AI135">IF(AND(AI$2&lt;&gt;0,TblTech[[#This Row],[Hour]:[Hour]]&gt;=AI$2),1,0)</f>
        <v>0</v>
      </c>
      <c r="AJ135" s="276" cm="1">
        <f t="array" ref="AJ135">IF(AND(AJ$2&lt;&gt;0,TblTech[[#This Row],[Hour]:[Hour]]&gt;=AJ$2),1,0)</f>
        <v>0</v>
      </c>
      <c r="AK135" s="276" cm="1">
        <f t="array" ref="AK135">IF(AND(AK$2&lt;&gt;0,TblTech[[#This Row],[Hour]:[Hour]]&gt;=AK$2),1,0)</f>
        <v>0</v>
      </c>
      <c r="AL135" s="276" cm="1">
        <f t="array" ref="AL135">IF(AND(AL$2&lt;&gt;0,TblTech[[#This Row],[Hour]:[Hour]]&gt;=AL$2),1,0)</f>
        <v>0</v>
      </c>
      <c r="AM135" s="276" cm="1">
        <f t="array" ref="AM135">IF(AND(AM$2&lt;&gt;0,TblTech[[#This Row],[Hour]:[Hour]]&gt;=AM$2),1,0)</f>
        <v>0</v>
      </c>
      <c r="AN135" s="276" cm="1">
        <f t="array" ref="AN135">IF(AND(AN$2&lt;&gt;0,TblTech[[#This Row],[Hour]:[Hour]]&gt;=AN$2),1,0)</f>
        <v>0</v>
      </c>
      <c r="AO135" s="276" cm="1">
        <f t="array" ref="AO135">IF(AND(AO$2&lt;&gt;0,TblTech[[#This Row],[Hour]:[Hour]]&gt;=AO$2),1,0)</f>
        <v>0</v>
      </c>
      <c r="AP135" s="276" cm="1">
        <f t="array" ref="AP135">IF(AND(AP$2&lt;&gt;0,TblTech[[#This Row],[Hour]:[Hour]]&gt;=AP$2),1,0)</f>
        <v>0</v>
      </c>
      <c r="AQ135" s="276" cm="1">
        <f t="array" ref="AQ135">IF(AND(AQ$2&lt;&gt;0,TblTech[[#This Row],[Hour]:[Hour]]&gt;=AQ$2),1,0)</f>
        <v>0</v>
      </c>
      <c r="AR135" s="276" cm="1">
        <f t="array" ref="AR135">IF(AND(AR$2&lt;&gt;0,TblTech[[#This Row],[Hour]:[Hour]]&gt;=AR$2),1,0)</f>
        <v>0</v>
      </c>
      <c r="AS135" s="276" cm="1">
        <f t="array" ref="AS135">IF(AND(AS$2&lt;&gt;0,TblTech[[#This Row],[Hour]:[Hour]]&gt;=AS$2),1,0)</f>
        <v>0</v>
      </c>
      <c r="AT135" s="276" cm="1">
        <f t="array" ref="AT135">IF(AND(AT$2&lt;&gt;0,TblTech[[#This Row],[Hour]:[Hour]]&gt;=AT$2),1,0)</f>
        <v>0</v>
      </c>
      <c r="AU135" s="276" cm="1">
        <f t="array" ref="AU135">IF(AND(AU$2&lt;&gt;0,TblTech[[#This Row],[Hour]:[Hour]]&gt;=AU$2),1,0)</f>
        <v>0</v>
      </c>
      <c r="AV135" s="276" cm="1">
        <f t="array" ref="AV135">IF(AND(AV$2&lt;&gt;0,TblTech[[#This Row],[Hour]:[Hour]]&gt;=AV$2),1,0)</f>
        <v>0</v>
      </c>
      <c r="AW135" s="276" cm="1">
        <f t="array" ref="AW135">IF(AND(AW$2&lt;&gt;0,TblTech[[#This Row],[Hour]:[Hour]]&gt;=AW$2),1,0)</f>
        <v>0</v>
      </c>
      <c r="AX135" s="276" cm="1">
        <f t="array" ref="AX135">IF(AND(AX$2&lt;&gt;0,TblTech[[#This Row],[Hour]:[Hour]]&gt;=AX$2),1,0)</f>
        <v>0</v>
      </c>
      <c r="AY135" s="276" cm="1">
        <f t="array" ref="AY135">IF(AND(AY$2&lt;&gt;0,TblTech[[#This Row],[Hour]:[Hour]]&gt;=AY$2),1,0)</f>
        <v>0</v>
      </c>
      <c r="AZ135" s="276" cm="1">
        <f t="array" ref="AZ135">IF(AND(AZ$2&lt;&gt;0,TblTech[[#This Row],[Hour]:[Hour]]&gt;=AZ$2),1,0)</f>
        <v>0</v>
      </c>
      <c r="BA135" s="276" cm="1">
        <f t="array" ref="BA135">IF(AND(BA$2&lt;&gt;0,TblTech[[#This Row],[Hour]:[Hour]]&gt;=BA$2),1,0)</f>
        <v>0</v>
      </c>
      <c r="BB135" s="276" cm="1">
        <f t="array" ref="BB135">IF(AND(BB$2&lt;&gt;0,TblTech[[#This Row],[Hour]:[Hour]]&gt;=BB$2),1,0)</f>
        <v>0</v>
      </c>
      <c r="BC135" s="276" cm="1">
        <f t="array" ref="BC135">IF(AND(BC$2&lt;&gt;0,TblTech[[#This Row],[Hour]:[Hour]]&gt;=BC$2),1,0)</f>
        <v>0</v>
      </c>
      <c r="BD135" s="276" cm="1">
        <f t="array" ref="BD135">IF(AND(BD$2&lt;&gt;0,TblTech[[#This Row],[Hour]:[Hour]]&gt;=BD$2),1,0)</f>
        <v>0</v>
      </c>
      <c r="BE135" s="276" cm="1">
        <f t="array" ref="BE135">IF(AND(BE$2&lt;&gt;0,TblTech[[#This Row],[Hour]:[Hour]]&gt;=BE$2),1,0)</f>
        <v>0</v>
      </c>
      <c r="BF135" s="276" cm="1">
        <f t="array" ref="BF135">IF(AND(BF$2&lt;&gt;0,TblTech[[#This Row],[Hour]:[Hour]]&gt;=BF$2),1,0)</f>
        <v>0</v>
      </c>
      <c r="BG135" s="276" cm="1">
        <f t="array" ref="BG135">IF(AND(BG$2&lt;&gt;0,TblTech[[#This Row],[Hour]:[Hour]]&gt;=BG$2),1,0)</f>
        <v>0</v>
      </c>
      <c r="BH135" s="276" cm="1">
        <f t="array" ref="BH135">IF(AND(BH$2&lt;&gt;0,TblTech[[#This Row],[Hour]:[Hour]]&gt;=BH$2),1,0)</f>
        <v>0</v>
      </c>
      <c r="BI135" s="276" cm="1">
        <f t="array" ref="BI135">IF(AND(BI$2&lt;&gt;0,TblTech[[#This Row],[Hour]:[Hour]]&gt;=BI$2),1,0)</f>
        <v>0</v>
      </c>
      <c r="BJ135" s="276" cm="1">
        <f t="array" ref="BJ135">IF(AND(BJ$2&lt;&gt;0,TblTech[[#This Row],[Hour]:[Hour]]&gt;=BJ$2),1,0)</f>
        <v>0</v>
      </c>
      <c r="BK135" s="276" cm="1">
        <f t="array" ref="BK135">IF(AND(BK$2&lt;&gt;0,TblTech[[#This Row],[Hour]:[Hour]]&gt;=BK$2),1,0)</f>
        <v>0</v>
      </c>
      <c r="BL135" s="276" cm="1">
        <f t="array" ref="BL135">IF(AND(BL$2&lt;&gt;0,TblTech[[#This Row],[Hour]:[Hour]]&gt;=BL$2),1,0)</f>
        <v>0</v>
      </c>
      <c r="BM135" s="276" cm="1">
        <f t="array" ref="BM135">IF(AND(BM$2&lt;&gt;0,TblTech[[#This Row],[Hour]:[Hour]]&gt;=BM$2),1,0)</f>
        <v>0</v>
      </c>
      <c r="BN135" s="276" cm="1">
        <f t="array" ref="BN135">IF(AND(BN$2&lt;&gt;0,TblTech[[#This Row],[Hour]:[Hour]]&gt;=BN$2),1,0)</f>
        <v>0</v>
      </c>
      <c r="BO135" s="276" cm="1">
        <f t="array" ref="BO135">IF(AND(BO$2&lt;&gt;0,TblTech[[#This Row],[Hour]:[Hour]]&gt;=BO$2),1,0)</f>
        <v>0</v>
      </c>
      <c r="BP135" s="276" cm="1">
        <f t="array" ref="BP135">IF(AND(BP$2&lt;&gt;0,TblTech[[#This Row],[Hour]:[Hour]]&gt;=BP$2),1,0)</f>
        <v>0</v>
      </c>
      <c r="BQ135" s="276" cm="1">
        <f t="array" ref="BQ135">IF(AND(BQ$2&lt;&gt;0,TblTech[[#This Row],[Hour]:[Hour]]&gt;=BQ$2),1,0)</f>
        <v>0</v>
      </c>
      <c r="BR135" s="276" cm="1">
        <f t="array" ref="BR135">IF(AND(BR$2&lt;&gt;0,TblTech[[#This Row],[Hour]:[Hour]]&gt;=BR$2),1,0)</f>
        <v>0</v>
      </c>
      <c r="BS135" s="276" cm="1">
        <f t="array" ref="BS135">IF(AND(BS$2&lt;&gt;0,TblTech[[#This Row],[Hour]:[Hour]]&gt;=BS$2),1,0)</f>
        <v>0</v>
      </c>
      <c r="BT135" s="276" cm="1">
        <f t="array" ref="BT135">IF(AND(BT$2&lt;&gt;0,TblTech[[#This Row],[Hour]:[Hour]]&gt;=BT$2),1,0)</f>
        <v>0</v>
      </c>
      <c r="BU135" s="276" cm="1">
        <f t="array" ref="BU135">IF(AND(BU$2&lt;&gt;0,TblTech[[#This Row],[Hour]:[Hour]]&gt;=BU$2),1,0)</f>
        <v>0</v>
      </c>
      <c r="BV135" s="276" cm="1">
        <f t="array" ref="BV135">IF(AND(BV$2&lt;&gt;0,TblTech[[#This Row],[Hour]:[Hour]]&gt;=BV$2),1,0)</f>
        <v>0</v>
      </c>
      <c r="BW135" s="276" cm="1">
        <f t="array" ref="BW135">IF(AND(BW$2&lt;&gt;0,TblTech[[#This Row],[Hour]:[Hour]]&gt;=BW$2),1,0)</f>
        <v>0</v>
      </c>
      <c r="BX135" s="276" cm="1">
        <f t="array" ref="BX135">IF(AND(BX$2&lt;&gt;0,TblTech[[#This Row],[Hour]:[Hour]]&gt;=BX$2),1,0)</f>
        <v>0</v>
      </c>
      <c r="BY135" s="276" cm="1">
        <f t="array" ref="BY135">IF(AND(BY$2&lt;&gt;0,TblTech[[#This Row],[Hour]:[Hour]]&gt;=BY$2),1,0)</f>
        <v>0</v>
      </c>
      <c r="BZ135" s="276" cm="1">
        <f t="array" ref="BZ135">IF(AND(BZ$2&lt;&gt;0,TblTech[[#This Row],[Hour]:[Hour]]&gt;=BZ$2),1,0)</f>
        <v>0</v>
      </c>
      <c r="CA135" s="377">
        <f>IFERROR(INDEX($H$4:$H$79,MATCH(INDEX(TblTech[[#Headers],[1-1]:[11-1]],1,MATCH(TblTech[[#This Row],[Hour]],$M$2:$BZ$2,0)),$G$4:$G$79,0)),)</f>
        <v>0</v>
      </c>
    </row>
    <row r="136" spans="1:79" x14ac:dyDescent="0.2">
      <c r="A136" s="268">
        <f>TblRezone[[#This Row],[Hour]]</f>
        <v>133</v>
      </c>
      <c r="B136" s="269">
        <f ca="1">TblExplore[[#This Row],[Land-DB]]</f>
        <v>50</v>
      </c>
      <c r="C136" s="270">
        <f ca="1">TblProd[[#This Row],[Techpoints]]</f>
        <v>0</v>
      </c>
      <c r="D136" s="270">
        <f ca="1">TblProd[[#This Row],[Required]]</f>
        <v>3750</v>
      </c>
      <c r="E136" s="279"/>
      <c r="F136" s="280"/>
      <c r="G136" s="273"/>
      <c r="H136" s="274"/>
      <c r="I136" s="274"/>
      <c r="J136" s="274"/>
      <c r="K136" s="93">
        <f ca="1">IF(TblTech[[#This Row],[Sum of tech]]&lt;&gt;OFFSET(TblTech[[#This Row],[Sum of tech]],-1,0),1,0)</f>
        <v>0</v>
      </c>
      <c r="L136" s="275">
        <f>COUNTIF(TblTech[[#This Row],[1-1]:[11-1]],1)</f>
        <v>0</v>
      </c>
      <c r="M136" s="276" cm="1">
        <f t="array" ref="M136">IF(AND(M$2&lt;&gt;0,TblTech[[#This Row],[Hour]:[Hour]]&gt;=M$2),1,0)</f>
        <v>0</v>
      </c>
      <c r="N136" s="276" cm="1">
        <f t="array" ref="N136">IF(AND(N$2&lt;&gt;0,TblTech[[#This Row],[Hour]:[Hour]]&gt;=N$2),1,0)</f>
        <v>0</v>
      </c>
      <c r="O136" s="276" cm="1">
        <f t="array" ref="O136">IF(AND(O$2&lt;&gt;0,TblTech[[#This Row],[Hour]:[Hour]]&gt;=O$2),1,0)</f>
        <v>0</v>
      </c>
      <c r="P136" s="276" cm="1">
        <f t="array" ref="P136">IF(AND(P$2&lt;&gt;0,TblTech[[#This Row],[Hour]:[Hour]]&gt;=P$2),1,0)</f>
        <v>0</v>
      </c>
      <c r="Q136" s="276" cm="1">
        <f t="array" ref="Q136">IF(AND(Q$2&lt;&gt;0,TblTech[[#This Row],[Hour]:[Hour]]&gt;=Q$2),1,0)</f>
        <v>0</v>
      </c>
      <c r="R136" s="276" cm="1">
        <f t="array" ref="R136">IF(AND(R$2&lt;&gt;0,TblTech[[#This Row],[Hour]:[Hour]]&gt;=R$2),1,0)</f>
        <v>0</v>
      </c>
      <c r="S136" s="276" cm="1">
        <f t="array" ref="S136">IF(AND(S$2&lt;&gt;0,TblTech[[#This Row],[Hour]:[Hour]]&gt;=S$2),1,0)</f>
        <v>0</v>
      </c>
      <c r="T136" s="276" cm="1">
        <f t="array" ref="T136">IF(AND(T$2&lt;&gt;0,TblTech[[#This Row],[Hour]:[Hour]]&gt;=T$2),1,0)</f>
        <v>0</v>
      </c>
      <c r="U136" s="276" cm="1">
        <f t="array" ref="U136">IF(AND(U$2&lt;&gt;0,TblTech[[#This Row],[Hour]:[Hour]]&gt;=U$2),1,0)</f>
        <v>0</v>
      </c>
      <c r="V136" s="276" cm="1">
        <f t="array" ref="V136">IF(AND(V$2&lt;&gt;0,TblTech[[#This Row],[Hour]:[Hour]]&gt;=V$2),1,0)</f>
        <v>0</v>
      </c>
      <c r="W136" s="276" cm="1">
        <f t="array" ref="W136">IF(AND(W$2&lt;&gt;0,TblTech[[#This Row],[Hour]:[Hour]]&gt;=W$2),1,0)</f>
        <v>0</v>
      </c>
      <c r="X136" s="276" cm="1">
        <f t="array" ref="X136">IF(AND(X$2&lt;&gt;0,TblTech[[#This Row],[Hour]:[Hour]]&gt;=X$2),1,0)</f>
        <v>0</v>
      </c>
      <c r="Y136" s="276" cm="1">
        <f t="array" ref="Y136">IF(AND(Y$2&lt;&gt;0,TblTech[[#This Row],[Hour]:[Hour]]&gt;=Y$2),1,0)</f>
        <v>0</v>
      </c>
      <c r="Z136" s="276" cm="1">
        <f t="array" ref="Z136">IF(AND(Z$2&lt;&gt;0,TblTech[[#This Row],[Hour]:[Hour]]&gt;=Z$2),1,0)</f>
        <v>0</v>
      </c>
      <c r="AA136" s="276" cm="1">
        <f t="array" ref="AA136">IF(AND(AA$2&lt;&gt;0,TblTech[[#This Row],[Hour]:[Hour]]&gt;=AA$2),1,0)</f>
        <v>0</v>
      </c>
      <c r="AB136" s="276" cm="1">
        <f t="array" ref="AB136">IF(AND(AB$2&lt;&gt;0,TblTech[[#This Row],[Hour]:[Hour]]&gt;=AB$2),1,0)</f>
        <v>0</v>
      </c>
      <c r="AC136" s="276" cm="1">
        <f t="array" ref="AC136">IF(AND(AC$2&lt;&gt;0,TblTech[[#This Row],[Hour]:[Hour]]&gt;=AC$2),1,0)</f>
        <v>0</v>
      </c>
      <c r="AD136" s="276" cm="1">
        <f t="array" ref="AD136">IF(AND(AD$2&lt;&gt;0,TblTech[[#This Row],[Hour]:[Hour]]&gt;=AD$2),1,0)</f>
        <v>0</v>
      </c>
      <c r="AE136" s="276" cm="1">
        <f t="array" ref="AE136">IF(AND(AE$2&lt;&gt;0,TblTech[[#This Row],[Hour]:[Hour]]&gt;=AE$2),1,0)</f>
        <v>0</v>
      </c>
      <c r="AF136" s="276" cm="1">
        <f t="array" ref="AF136">IF(AND(AF$2&lt;&gt;0,TblTech[[#This Row],[Hour]:[Hour]]&gt;=AF$2),1,0)</f>
        <v>0</v>
      </c>
      <c r="AG136" s="276" cm="1">
        <f t="array" ref="AG136">IF(AND(AG$2&lt;&gt;0,TblTech[[#This Row],[Hour]:[Hour]]&gt;=AG$2),1,0)</f>
        <v>0</v>
      </c>
      <c r="AH136" s="276" cm="1">
        <f t="array" ref="AH136">IF(AND(AH$2&lt;&gt;0,TblTech[[#This Row],[Hour]:[Hour]]&gt;=AH$2),1,0)</f>
        <v>0</v>
      </c>
      <c r="AI136" s="276" cm="1">
        <f t="array" ref="AI136">IF(AND(AI$2&lt;&gt;0,TblTech[[#This Row],[Hour]:[Hour]]&gt;=AI$2),1,0)</f>
        <v>0</v>
      </c>
      <c r="AJ136" s="276" cm="1">
        <f t="array" ref="AJ136">IF(AND(AJ$2&lt;&gt;0,TblTech[[#This Row],[Hour]:[Hour]]&gt;=AJ$2),1,0)</f>
        <v>0</v>
      </c>
      <c r="AK136" s="276" cm="1">
        <f t="array" ref="AK136">IF(AND(AK$2&lt;&gt;0,TblTech[[#This Row],[Hour]:[Hour]]&gt;=AK$2),1,0)</f>
        <v>0</v>
      </c>
      <c r="AL136" s="276" cm="1">
        <f t="array" ref="AL136">IF(AND(AL$2&lt;&gt;0,TblTech[[#This Row],[Hour]:[Hour]]&gt;=AL$2),1,0)</f>
        <v>0</v>
      </c>
      <c r="AM136" s="276" cm="1">
        <f t="array" ref="AM136">IF(AND(AM$2&lt;&gt;0,TblTech[[#This Row],[Hour]:[Hour]]&gt;=AM$2),1,0)</f>
        <v>0</v>
      </c>
      <c r="AN136" s="276" cm="1">
        <f t="array" ref="AN136">IF(AND(AN$2&lt;&gt;0,TblTech[[#This Row],[Hour]:[Hour]]&gt;=AN$2),1,0)</f>
        <v>0</v>
      </c>
      <c r="AO136" s="276" cm="1">
        <f t="array" ref="AO136">IF(AND(AO$2&lt;&gt;0,TblTech[[#This Row],[Hour]:[Hour]]&gt;=AO$2),1,0)</f>
        <v>0</v>
      </c>
      <c r="AP136" s="276" cm="1">
        <f t="array" ref="AP136">IF(AND(AP$2&lt;&gt;0,TblTech[[#This Row],[Hour]:[Hour]]&gt;=AP$2),1,0)</f>
        <v>0</v>
      </c>
      <c r="AQ136" s="276" cm="1">
        <f t="array" ref="AQ136">IF(AND(AQ$2&lt;&gt;0,TblTech[[#This Row],[Hour]:[Hour]]&gt;=AQ$2),1,0)</f>
        <v>0</v>
      </c>
      <c r="AR136" s="276" cm="1">
        <f t="array" ref="AR136">IF(AND(AR$2&lt;&gt;0,TblTech[[#This Row],[Hour]:[Hour]]&gt;=AR$2),1,0)</f>
        <v>0</v>
      </c>
      <c r="AS136" s="276" cm="1">
        <f t="array" ref="AS136">IF(AND(AS$2&lt;&gt;0,TblTech[[#This Row],[Hour]:[Hour]]&gt;=AS$2),1,0)</f>
        <v>0</v>
      </c>
      <c r="AT136" s="276" cm="1">
        <f t="array" ref="AT136">IF(AND(AT$2&lt;&gt;0,TblTech[[#This Row],[Hour]:[Hour]]&gt;=AT$2),1,0)</f>
        <v>0</v>
      </c>
      <c r="AU136" s="276" cm="1">
        <f t="array" ref="AU136">IF(AND(AU$2&lt;&gt;0,TblTech[[#This Row],[Hour]:[Hour]]&gt;=AU$2),1,0)</f>
        <v>0</v>
      </c>
      <c r="AV136" s="276" cm="1">
        <f t="array" ref="AV136">IF(AND(AV$2&lt;&gt;0,TblTech[[#This Row],[Hour]:[Hour]]&gt;=AV$2),1,0)</f>
        <v>0</v>
      </c>
      <c r="AW136" s="276" cm="1">
        <f t="array" ref="AW136">IF(AND(AW$2&lt;&gt;0,TblTech[[#This Row],[Hour]:[Hour]]&gt;=AW$2),1,0)</f>
        <v>0</v>
      </c>
      <c r="AX136" s="276" cm="1">
        <f t="array" ref="AX136">IF(AND(AX$2&lt;&gt;0,TblTech[[#This Row],[Hour]:[Hour]]&gt;=AX$2),1,0)</f>
        <v>0</v>
      </c>
      <c r="AY136" s="276" cm="1">
        <f t="array" ref="AY136">IF(AND(AY$2&lt;&gt;0,TblTech[[#This Row],[Hour]:[Hour]]&gt;=AY$2),1,0)</f>
        <v>0</v>
      </c>
      <c r="AZ136" s="276" cm="1">
        <f t="array" ref="AZ136">IF(AND(AZ$2&lt;&gt;0,TblTech[[#This Row],[Hour]:[Hour]]&gt;=AZ$2),1,0)</f>
        <v>0</v>
      </c>
      <c r="BA136" s="276" cm="1">
        <f t="array" ref="BA136">IF(AND(BA$2&lt;&gt;0,TblTech[[#This Row],[Hour]:[Hour]]&gt;=BA$2),1,0)</f>
        <v>0</v>
      </c>
      <c r="BB136" s="276" cm="1">
        <f t="array" ref="BB136">IF(AND(BB$2&lt;&gt;0,TblTech[[#This Row],[Hour]:[Hour]]&gt;=BB$2),1,0)</f>
        <v>0</v>
      </c>
      <c r="BC136" s="276" cm="1">
        <f t="array" ref="BC136">IF(AND(BC$2&lt;&gt;0,TblTech[[#This Row],[Hour]:[Hour]]&gt;=BC$2),1,0)</f>
        <v>0</v>
      </c>
      <c r="BD136" s="276" cm="1">
        <f t="array" ref="BD136">IF(AND(BD$2&lt;&gt;0,TblTech[[#This Row],[Hour]:[Hour]]&gt;=BD$2),1,0)</f>
        <v>0</v>
      </c>
      <c r="BE136" s="276" cm="1">
        <f t="array" ref="BE136">IF(AND(BE$2&lt;&gt;0,TblTech[[#This Row],[Hour]:[Hour]]&gt;=BE$2),1,0)</f>
        <v>0</v>
      </c>
      <c r="BF136" s="276" cm="1">
        <f t="array" ref="BF136">IF(AND(BF$2&lt;&gt;0,TblTech[[#This Row],[Hour]:[Hour]]&gt;=BF$2),1,0)</f>
        <v>0</v>
      </c>
      <c r="BG136" s="276" cm="1">
        <f t="array" ref="BG136">IF(AND(BG$2&lt;&gt;0,TblTech[[#This Row],[Hour]:[Hour]]&gt;=BG$2),1,0)</f>
        <v>0</v>
      </c>
      <c r="BH136" s="276" cm="1">
        <f t="array" ref="BH136">IF(AND(BH$2&lt;&gt;0,TblTech[[#This Row],[Hour]:[Hour]]&gt;=BH$2),1,0)</f>
        <v>0</v>
      </c>
      <c r="BI136" s="276" cm="1">
        <f t="array" ref="BI136">IF(AND(BI$2&lt;&gt;0,TblTech[[#This Row],[Hour]:[Hour]]&gt;=BI$2),1,0)</f>
        <v>0</v>
      </c>
      <c r="BJ136" s="276" cm="1">
        <f t="array" ref="BJ136">IF(AND(BJ$2&lt;&gt;0,TblTech[[#This Row],[Hour]:[Hour]]&gt;=BJ$2),1,0)</f>
        <v>0</v>
      </c>
      <c r="BK136" s="276" cm="1">
        <f t="array" ref="BK136">IF(AND(BK$2&lt;&gt;0,TblTech[[#This Row],[Hour]:[Hour]]&gt;=BK$2),1,0)</f>
        <v>0</v>
      </c>
      <c r="BL136" s="276" cm="1">
        <f t="array" ref="BL136">IF(AND(BL$2&lt;&gt;0,TblTech[[#This Row],[Hour]:[Hour]]&gt;=BL$2),1,0)</f>
        <v>0</v>
      </c>
      <c r="BM136" s="276" cm="1">
        <f t="array" ref="BM136">IF(AND(BM$2&lt;&gt;0,TblTech[[#This Row],[Hour]:[Hour]]&gt;=BM$2),1,0)</f>
        <v>0</v>
      </c>
      <c r="BN136" s="276" cm="1">
        <f t="array" ref="BN136">IF(AND(BN$2&lt;&gt;0,TblTech[[#This Row],[Hour]:[Hour]]&gt;=BN$2),1,0)</f>
        <v>0</v>
      </c>
      <c r="BO136" s="276" cm="1">
        <f t="array" ref="BO136">IF(AND(BO$2&lt;&gt;0,TblTech[[#This Row],[Hour]:[Hour]]&gt;=BO$2),1,0)</f>
        <v>0</v>
      </c>
      <c r="BP136" s="276" cm="1">
        <f t="array" ref="BP136">IF(AND(BP$2&lt;&gt;0,TblTech[[#This Row],[Hour]:[Hour]]&gt;=BP$2),1,0)</f>
        <v>0</v>
      </c>
      <c r="BQ136" s="276" cm="1">
        <f t="array" ref="BQ136">IF(AND(BQ$2&lt;&gt;0,TblTech[[#This Row],[Hour]:[Hour]]&gt;=BQ$2),1,0)</f>
        <v>0</v>
      </c>
      <c r="BR136" s="276" cm="1">
        <f t="array" ref="BR136">IF(AND(BR$2&lt;&gt;0,TblTech[[#This Row],[Hour]:[Hour]]&gt;=BR$2),1,0)</f>
        <v>0</v>
      </c>
      <c r="BS136" s="276" cm="1">
        <f t="array" ref="BS136">IF(AND(BS$2&lt;&gt;0,TblTech[[#This Row],[Hour]:[Hour]]&gt;=BS$2),1,0)</f>
        <v>0</v>
      </c>
      <c r="BT136" s="276" cm="1">
        <f t="array" ref="BT136">IF(AND(BT$2&lt;&gt;0,TblTech[[#This Row],[Hour]:[Hour]]&gt;=BT$2),1,0)</f>
        <v>0</v>
      </c>
      <c r="BU136" s="276" cm="1">
        <f t="array" ref="BU136">IF(AND(BU$2&lt;&gt;0,TblTech[[#This Row],[Hour]:[Hour]]&gt;=BU$2),1,0)</f>
        <v>0</v>
      </c>
      <c r="BV136" s="276" cm="1">
        <f t="array" ref="BV136">IF(AND(BV$2&lt;&gt;0,TblTech[[#This Row],[Hour]:[Hour]]&gt;=BV$2),1,0)</f>
        <v>0</v>
      </c>
      <c r="BW136" s="276" cm="1">
        <f t="array" ref="BW136">IF(AND(BW$2&lt;&gt;0,TblTech[[#This Row],[Hour]:[Hour]]&gt;=BW$2),1,0)</f>
        <v>0</v>
      </c>
      <c r="BX136" s="276" cm="1">
        <f t="array" ref="BX136">IF(AND(BX$2&lt;&gt;0,TblTech[[#This Row],[Hour]:[Hour]]&gt;=BX$2),1,0)</f>
        <v>0</v>
      </c>
      <c r="BY136" s="276" cm="1">
        <f t="array" ref="BY136">IF(AND(BY$2&lt;&gt;0,TblTech[[#This Row],[Hour]:[Hour]]&gt;=BY$2),1,0)</f>
        <v>0</v>
      </c>
      <c r="BZ136" s="276" cm="1">
        <f t="array" ref="BZ136">IF(AND(BZ$2&lt;&gt;0,TblTech[[#This Row],[Hour]:[Hour]]&gt;=BZ$2),1,0)</f>
        <v>0</v>
      </c>
      <c r="CA136" s="377">
        <f>IFERROR(INDEX($H$4:$H$79,MATCH(INDEX(TblTech[[#Headers],[1-1]:[11-1]],1,MATCH(TblTech[[#This Row],[Hour]],$M$2:$BZ$2,0)),$G$4:$G$79,0)),)</f>
        <v>0</v>
      </c>
    </row>
    <row r="1269" spans="13:39" x14ac:dyDescent="0.2">
      <c r="M1269" s="45" t="e">
        <f>MAX(M89,#REF!)</f>
        <v>#REF!</v>
      </c>
      <c r="N1269" s="45" t="e">
        <f>MAX(N89,#REF!)</f>
        <v>#REF!</v>
      </c>
      <c r="O1269" s="45" t="e">
        <f>MAX(O89,#REF!)</f>
        <v>#REF!</v>
      </c>
      <c r="P1269" s="45" t="e">
        <f>MAX(P89,#REF!)</f>
        <v>#REF!</v>
      </c>
      <c r="Q1269" s="45" t="e">
        <f>MAX(Q89,#REF!)</f>
        <v>#REF!</v>
      </c>
      <c r="R1269" s="45" t="e">
        <f>MAX(R89,#REF!)</f>
        <v>#REF!</v>
      </c>
      <c r="S1269" s="45" t="e">
        <f>MAX(S89,#REF!)</f>
        <v>#REF!</v>
      </c>
      <c r="T1269" s="45" t="e">
        <f>MAX(T89,#REF!)</f>
        <v>#REF!</v>
      </c>
      <c r="U1269" s="45" t="e">
        <f>MAX(U89,#REF!)</f>
        <v>#REF!</v>
      </c>
      <c r="V1269" s="45" t="e">
        <f>MAX(V89,#REF!)</f>
        <v>#REF!</v>
      </c>
      <c r="W1269" s="45" t="e">
        <f>MAX(W89,#REF!)</f>
        <v>#REF!</v>
      </c>
      <c r="X1269" s="45" t="e">
        <f>MAX(X89,#REF!)</f>
        <v>#REF!</v>
      </c>
      <c r="Y1269" s="45" t="e">
        <f>MAX(Y89,#REF!)</f>
        <v>#REF!</v>
      </c>
      <c r="Z1269" s="45" t="e">
        <f>MAX(Z89,#REF!)</f>
        <v>#REF!</v>
      </c>
      <c r="AA1269" s="45" t="e">
        <f>MAX(AA89,#REF!)</f>
        <v>#REF!</v>
      </c>
      <c r="AB1269" s="45" t="e">
        <f>MAX(AB89,#REF!)</f>
        <v>#REF!</v>
      </c>
      <c r="AC1269" s="45" t="e">
        <f>MAX(AC89,#REF!)</f>
        <v>#REF!</v>
      </c>
      <c r="AD1269" s="45" t="e">
        <f>MAX(AD89,#REF!)</f>
        <v>#REF!</v>
      </c>
      <c r="AE1269" s="45" t="e">
        <f>MAX(AE89,#REF!)</f>
        <v>#REF!</v>
      </c>
      <c r="AF1269" s="45" t="e">
        <f>MAX(AF89,#REF!)</f>
        <v>#REF!</v>
      </c>
      <c r="AG1269" s="45" t="e">
        <f>MAX(AG89,#REF!)</f>
        <v>#REF!</v>
      </c>
      <c r="AH1269" s="45" t="e">
        <f>MAX(AH89,#REF!)</f>
        <v>#REF!</v>
      </c>
      <c r="AI1269" s="45" t="e">
        <f>MAX(AI89,#REF!)</f>
        <v>#REF!</v>
      </c>
      <c r="AJ1269" s="45" t="e">
        <f>MAX(AJ89,#REF!)</f>
        <v>#REF!</v>
      </c>
      <c r="AK1269" s="45" t="e">
        <f>MAX(AK89,#REF!)</f>
        <v>#REF!</v>
      </c>
      <c r="AL1269" s="45" t="e">
        <f>MAX(AL89,#REF!)</f>
        <v>#REF!</v>
      </c>
      <c r="AM1269" s="45" t="e">
        <f>MAX(AM89,#REF!)</f>
        <v>#REF!</v>
      </c>
    </row>
    <row r="1270" spans="13:39" x14ac:dyDescent="0.2">
      <c r="M1270" s="45" t="e">
        <f>MAX(M1269,#REF!)</f>
        <v>#REF!</v>
      </c>
      <c r="N1270" s="45" t="e">
        <f>MAX(N1269,#REF!)</f>
        <v>#REF!</v>
      </c>
      <c r="O1270" s="45" t="e">
        <f>MAX(O1269,#REF!)</f>
        <v>#REF!</v>
      </c>
      <c r="P1270" s="45" t="e">
        <f>MAX(P1269,#REF!)</f>
        <v>#REF!</v>
      </c>
      <c r="Q1270" s="45" t="e">
        <f>MAX(Q1269,#REF!)</f>
        <v>#REF!</v>
      </c>
      <c r="R1270" s="45" t="e">
        <f>MAX(R1269,#REF!)</f>
        <v>#REF!</v>
      </c>
      <c r="S1270" s="45" t="e">
        <f>MAX(S1269,#REF!)</f>
        <v>#REF!</v>
      </c>
      <c r="T1270" s="45" t="e">
        <f>MAX(T1269,#REF!)</f>
        <v>#REF!</v>
      </c>
      <c r="U1270" s="45" t="e">
        <f>MAX(U1269,#REF!)</f>
        <v>#REF!</v>
      </c>
      <c r="V1270" s="45" t="e">
        <f>MAX(V1269,#REF!)</f>
        <v>#REF!</v>
      </c>
      <c r="W1270" s="45" t="e">
        <f>MAX(W1269,#REF!)</f>
        <v>#REF!</v>
      </c>
      <c r="X1270" s="45" t="e">
        <f>MAX(X1269,#REF!)</f>
        <v>#REF!</v>
      </c>
      <c r="Y1270" s="45" t="e">
        <f>MAX(Y1269,#REF!)</f>
        <v>#REF!</v>
      </c>
      <c r="Z1270" s="45" t="e">
        <f>MAX(Z1269,#REF!)</f>
        <v>#REF!</v>
      </c>
      <c r="AA1270" s="45" t="e">
        <f>MAX(AA1269,#REF!)</f>
        <v>#REF!</v>
      </c>
      <c r="AB1270" s="45" t="e">
        <f>MAX(AB1269,#REF!)</f>
        <v>#REF!</v>
      </c>
      <c r="AC1270" s="45" t="e">
        <f>MAX(AC1269,#REF!)</f>
        <v>#REF!</v>
      </c>
      <c r="AD1270" s="45" t="e">
        <f>MAX(AD1269,#REF!)</f>
        <v>#REF!</v>
      </c>
      <c r="AE1270" s="45" t="e">
        <f>MAX(AE1269,#REF!)</f>
        <v>#REF!</v>
      </c>
      <c r="AF1270" s="45" t="e">
        <f>MAX(AF1269,#REF!)</f>
        <v>#REF!</v>
      </c>
      <c r="AG1270" s="45" t="e">
        <f>MAX(AG1269,#REF!)</f>
        <v>#REF!</v>
      </c>
      <c r="AH1270" s="45" t="e">
        <f>MAX(AH1269,#REF!)</f>
        <v>#REF!</v>
      </c>
      <c r="AI1270" s="45" t="e">
        <f>MAX(AI1269,#REF!)</f>
        <v>#REF!</v>
      </c>
      <c r="AJ1270" s="45" t="e">
        <f>MAX(AJ1269,#REF!)</f>
        <v>#REF!</v>
      </c>
      <c r="AK1270" s="45" t="e">
        <f>MAX(AK1269,#REF!)</f>
        <v>#REF!</v>
      </c>
      <c r="AL1270" s="45" t="e">
        <f>MAX(AL1269,#REF!)</f>
        <v>#REF!</v>
      </c>
      <c r="AM1270" s="45"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G1270"/>
  <sheetViews>
    <sheetView zoomScale="85" zoomScaleNormal="85" workbookViewId="0">
      <pane ySplit="3" topLeftCell="A4" activePane="bottomLeft" state="frozenSplit"/>
      <selection activeCell="A3" sqref="A3"/>
      <selection pane="bottomLeft" activeCell="P4" sqref="P4"/>
    </sheetView>
  </sheetViews>
  <sheetFormatPr defaultColWidth="9.140625" defaultRowHeight="12.75" x14ac:dyDescent="0.2"/>
  <cols>
    <col min="1" max="1" width="9.28515625" style="45" customWidth="1"/>
    <col min="2" max="2" width="3.28515625" style="45" customWidth="1"/>
    <col min="3" max="3" width="11.28515625" style="45" bestFit="1" customWidth="1"/>
    <col min="4" max="4" width="10.5703125" style="45" customWidth="1"/>
    <col min="5" max="5" width="7.7109375" style="45" bestFit="1" customWidth="1"/>
    <col min="6" max="6" width="8.7109375" style="45" customWidth="1"/>
    <col min="7" max="7" width="2.85546875" style="45" customWidth="1"/>
    <col min="8" max="8" width="10.42578125" style="45" customWidth="1"/>
    <col min="9" max="9" width="12.28515625" style="45" customWidth="1"/>
    <col min="10" max="10" width="13" style="45" customWidth="1"/>
    <col min="11" max="11" width="7.5703125" style="57" customWidth="1"/>
    <col min="12" max="12" width="7.85546875" style="45" customWidth="1"/>
    <col min="13" max="13" width="8.42578125" style="45" customWidth="1"/>
    <col min="14" max="14" width="8.7109375" style="45" customWidth="1"/>
    <col min="15" max="23" width="13" style="45" customWidth="1"/>
    <col min="24" max="24" width="3.42578125" style="45" customWidth="1"/>
    <col min="25" max="30" width="11.42578125" style="57" customWidth="1"/>
    <col min="31" max="31" width="3" style="45" customWidth="1"/>
    <col min="32" max="37" width="11.42578125" style="57" customWidth="1"/>
    <col min="38" max="38" width="3" style="45" customWidth="1"/>
    <col min="39" max="42" width="11.42578125" style="57" customWidth="1"/>
    <col min="43" max="43" width="3" style="45" customWidth="1"/>
    <col min="44" max="47" width="11.42578125" style="57" hidden="1" customWidth="1"/>
    <col min="48" max="48" width="3" style="45" hidden="1" customWidth="1"/>
    <col min="49" max="52" width="11.42578125" style="57" hidden="1" customWidth="1"/>
    <col min="53" max="53" width="3" style="45" hidden="1" customWidth="1"/>
    <col min="54" max="57" width="11.42578125" style="57" hidden="1" customWidth="1"/>
    <col min="58" max="58" width="3" style="45" hidden="1" customWidth="1"/>
    <col min="59" max="63" width="11.42578125" style="57" hidden="1" customWidth="1"/>
    <col min="64" max="64" width="3" style="45" hidden="1" customWidth="1"/>
    <col min="65" max="68" width="11.42578125" style="57" hidden="1" customWidth="1"/>
    <col min="69" max="69" width="3" style="45" hidden="1" customWidth="1"/>
    <col min="70" max="73" width="11.42578125" style="57" hidden="1" customWidth="1"/>
    <col min="74" max="74" width="3" style="45" hidden="1" customWidth="1"/>
    <col min="75" max="75" width="12.140625" style="45" hidden="1" customWidth="1"/>
    <col min="76" max="76" width="10.42578125" style="45" hidden="1" customWidth="1"/>
    <col min="77" max="77" width="3" style="45" hidden="1" customWidth="1"/>
    <col min="78" max="78" width="9.85546875" style="45" hidden="1" customWidth="1"/>
    <col min="79" max="79" width="13.5703125" style="45" hidden="1" customWidth="1"/>
    <col min="80" max="80" width="10.7109375" style="45" customWidth="1"/>
    <col min="81" max="81" width="11" style="45" customWidth="1"/>
    <col min="82" max="82" width="10" style="45" customWidth="1"/>
    <col min="83" max="83" width="10.85546875" style="45" bestFit="1" customWidth="1"/>
    <col min="84" max="16384" width="9.140625" style="45"/>
  </cols>
  <sheetData>
    <row r="1" spans="1:85" s="5" customFormat="1" x14ac:dyDescent="0.2">
      <c r="C1" s="5" t="s">
        <v>77</v>
      </c>
      <c r="H1" s="5" t="s">
        <v>280</v>
      </c>
      <c r="K1" s="28"/>
      <c r="O1" s="5" t="s">
        <v>215</v>
      </c>
      <c r="W1" s="5" t="s">
        <v>996</v>
      </c>
      <c r="Y1" s="28" t="s">
        <v>37</v>
      </c>
      <c r="Z1" s="28"/>
      <c r="AA1" s="28"/>
      <c r="AB1" s="28"/>
      <c r="AC1" s="28"/>
      <c r="AD1" s="28"/>
      <c r="AF1" s="532" t="s">
        <v>209</v>
      </c>
      <c r="AG1" s="532"/>
      <c r="AH1" s="28"/>
      <c r="AI1" s="28"/>
      <c r="AJ1" s="28"/>
      <c r="AK1" s="28"/>
      <c r="AM1" s="532" t="s">
        <v>217</v>
      </c>
      <c r="AN1" s="532"/>
      <c r="AO1" s="28"/>
      <c r="AP1" s="28"/>
      <c r="AR1" s="532" t="s">
        <v>218</v>
      </c>
      <c r="AS1" s="532"/>
      <c r="AT1" s="533"/>
      <c r="AU1" s="28"/>
      <c r="AW1" s="532" t="s">
        <v>219</v>
      </c>
      <c r="AX1" s="532"/>
      <c r="AY1" s="532"/>
      <c r="AZ1" s="28"/>
      <c r="BB1" s="532" t="s">
        <v>220</v>
      </c>
      <c r="BC1" s="532"/>
      <c r="BD1" s="532"/>
      <c r="BE1" s="532"/>
      <c r="BG1" s="532" t="s">
        <v>221</v>
      </c>
      <c r="BH1" s="532"/>
      <c r="BI1" s="532"/>
      <c r="BJ1" s="28"/>
      <c r="BK1" s="28"/>
      <c r="BM1" s="532" t="s">
        <v>222</v>
      </c>
      <c r="BN1" s="533"/>
      <c r="BO1" s="533"/>
      <c r="BP1" s="28"/>
      <c r="BR1" s="532" t="s">
        <v>223</v>
      </c>
      <c r="BS1" s="532"/>
      <c r="BT1" s="532"/>
      <c r="BU1" s="28"/>
      <c r="BW1" s="5" t="s">
        <v>306</v>
      </c>
    </row>
    <row r="2" spans="1:85" s="5" customFormat="1" x14ac:dyDescent="0.2">
      <c r="C2" s="28"/>
      <c r="D2" s="28"/>
      <c r="E2" s="28"/>
      <c r="F2" s="28"/>
      <c r="K2" s="28"/>
      <c r="Y2" s="266" t="s">
        <v>208</v>
      </c>
      <c r="Z2" s="266" t="s">
        <v>210</v>
      </c>
      <c r="AA2" s="266" t="s">
        <v>1097</v>
      </c>
      <c r="AB2" s="266" t="s">
        <v>212</v>
      </c>
      <c r="AC2" s="266" t="s">
        <v>213</v>
      </c>
      <c r="AD2" s="266" t="s">
        <v>526</v>
      </c>
      <c r="AF2" s="266" t="s">
        <v>208</v>
      </c>
      <c r="AG2" s="266" t="s">
        <v>210</v>
      </c>
      <c r="AH2" s="266" t="s">
        <v>1097</v>
      </c>
      <c r="AI2" s="266" t="s">
        <v>212</v>
      </c>
      <c r="AJ2" s="266" t="s">
        <v>213</v>
      </c>
      <c r="AK2" s="266" t="s">
        <v>526</v>
      </c>
      <c r="AM2" s="266" t="s">
        <v>2</v>
      </c>
      <c r="AN2" s="266" t="s">
        <v>7</v>
      </c>
      <c r="AO2" s="266" t="s">
        <v>3</v>
      </c>
      <c r="AP2" s="266" t="s">
        <v>4</v>
      </c>
      <c r="AR2" s="266" t="s">
        <v>2</v>
      </c>
      <c r="AS2" s="266" t="s">
        <v>7</v>
      </c>
      <c r="AT2" s="266" t="s">
        <v>3</v>
      </c>
      <c r="AU2" s="266" t="s">
        <v>4</v>
      </c>
      <c r="AW2" s="266" t="s">
        <v>2</v>
      </c>
      <c r="AX2" s="266" t="s">
        <v>7</v>
      </c>
      <c r="AY2" s="266" t="s">
        <v>3</v>
      </c>
      <c r="AZ2" s="266" t="s">
        <v>4</v>
      </c>
      <c r="BB2" s="266" t="s">
        <v>2</v>
      </c>
      <c r="BC2" s="266" t="s">
        <v>7</v>
      </c>
      <c r="BD2" s="266" t="s">
        <v>3</v>
      </c>
      <c r="BE2" s="266" t="s">
        <v>4</v>
      </c>
      <c r="BG2" s="266" t="s">
        <v>2</v>
      </c>
      <c r="BH2" s="266" t="s">
        <v>7</v>
      </c>
      <c r="BI2" s="266" t="s">
        <v>3</v>
      </c>
      <c r="BJ2" s="266" t="s">
        <v>4</v>
      </c>
      <c r="BK2" s="266" t="s">
        <v>1165</v>
      </c>
      <c r="BM2" s="266" t="s">
        <v>2</v>
      </c>
      <c r="BN2" s="266" t="s">
        <v>7</v>
      </c>
      <c r="BO2" s="266" t="s">
        <v>3</v>
      </c>
      <c r="BP2" s="266" t="s">
        <v>4</v>
      </c>
      <c r="BR2" s="266" t="s">
        <v>2</v>
      </c>
      <c r="BS2" s="266" t="s">
        <v>7</v>
      </c>
      <c r="BT2" s="266" t="s">
        <v>3</v>
      </c>
      <c r="BU2" s="266" t="s">
        <v>4</v>
      </c>
    </row>
    <row r="3" spans="1:85" s="151" customFormat="1" ht="15" customHeight="1" x14ac:dyDescent="0.2">
      <c r="A3" s="135" t="s">
        <v>1</v>
      </c>
      <c r="B3" s="135" t="s">
        <v>765</v>
      </c>
      <c r="C3" s="135" t="s">
        <v>2</v>
      </c>
      <c r="D3" s="135" t="s">
        <v>7</v>
      </c>
      <c r="E3" s="135" t="s">
        <v>3</v>
      </c>
      <c r="F3" s="135" t="s">
        <v>4</v>
      </c>
      <c r="G3" s="135" t="s">
        <v>766</v>
      </c>
      <c r="H3" s="135" t="s">
        <v>272</v>
      </c>
      <c r="I3" s="135" t="s">
        <v>224</v>
      </c>
      <c r="J3" s="135" t="s">
        <v>23</v>
      </c>
      <c r="K3" s="135" t="s">
        <v>0</v>
      </c>
      <c r="L3" s="135" t="s">
        <v>309</v>
      </c>
      <c r="M3" s="135" t="s">
        <v>305</v>
      </c>
      <c r="N3" s="135" t="s">
        <v>957</v>
      </c>
      <c r="O3" s="135" t="s">
        <v>312</v>
      </c>
      <c r="P3" s="135" t="s">
        <v>216</v>
      </c>
      <c r="Q3" s="135" t="s">
        <v>313</v>
      </c>
      <c r="R3" s="135" t="s">
        <v>958</v>
      </c>
      <c r="S3" s="135" t="s">
        <v>959</v>
      </c>
      <c r="T3" s="135" t="s">
        <v>960</v>
      </c>
      <c r="U3" s="135" t="s">
        <v>961</v>
      </c>
      <c r="V3" s="135" t="s">
        <v>962</v>
      </c>
      <c r="W3" s="135" t="s">
        <v>963</v>
      </c>
      <c r="X3" s="135" t="s">
        <v>767</v>
      </c>
      <c r="Y3" s="135" t="s">
        <v>208</v>
      </c>
      <c r="Z3" s="135" t="s">
        <v>210</v>
      </c>
      <c r="AA3" s="135" t="s">
        <v>1097</v>
      </c>
      <c r="AB3" s="135" t="s">
        <v>212</v>
      </c>
      <c r="AC3" s="135" t="s">
        <v>213</v>
      </c>
      <c r="AD3" s="135" t="s">
        <v>526</v>
      </c>
      <c r="AE3" s="135" t="s">
        <v>780</v>
      </c>
      <c r="AF3" s="135" t="s">
        <v>1026</v>
      </c>
      <c r="AG3" s="135" t="s">
        <v>926</v>
      </c>
      <c r="AH3" s="135" t="s">
        <v>1098</v>
      </c>
      <c r="AI3" s="135" t="s">
        <v>927</v>
      </c>
      <c r="AJ3" s="135" t="s">
        <v>928</v>
      </c>
      <c r="AK3" s="135" t="s">
        <v>1099</v>
      </c>
      <c r="AL3" s="135" t="s">
        <v>781</v>
      </c>
      <c r="AM3" s="243" t="s">
        <v>929</v>
      </c>
      <c r="AN3" s="243" t="s">
        <v>930</v>
      </c>
      <c r="AO3" s="243" t="s">
        <v>931</v>
      </c>
      <c r="AP3" s="243" t="s">
        <v>932</v>
      </c>
      <c r="AQ3" s="243" t="s">
        <v>782</v>
      </c>
      <c r="AR3" s="243" t="s">
        <v>933</v>
      </c>
      <c r="AS3" s="243" t="s">
        <v>934</v>
      </c>
      <c r="AT3" s="243" t="s">
        <v>935</v>
      </c>
      <c r="AU3" s="243" t="s">
        <v>936</v>
      </c>
      <c r="AV3" s="243" t="s">
        <v>856</v>
      </c>
      <c r="AW3" s="243" t="s">
        <v>937</v>
      </c>
      <c r="AX3" s="243" t="s">
        <v>938</v>
      </c>
      <c r="AY3" s="243" t="s">
        <v>939</v>
      </c>
      <c r="AZ3" s="243" t="s">
        <v>940</v>
      </c>
      <c r="BA3" s="243" t="s">
        <v>857</v>
      </c>
      <c r="BB3" s="243" t="s">
        <v>941</v>
      </c>
      <c r="BC3" s="243" t="s">
        <v>942</v>
      </c>
      <c r="BD3" s="243" t="s">
        <v>943</v>
      </c>
      <c r="BE3" s="243" t="s">
        <v>944</v>
      </c>
      <c r="BF3" s="243" t="s">
        <v>1027</v>
      </c>
      <c r="BG3" s="243" t="s">
        <v>945</v>
      </c>
      <c r="BH3" s="243" t="s">
        <v>946</v>
      </c>
      <c r="BI3" s="243" t="s">
        <v>947</v>
      </c>
      <c r="BJ3" s="243" t="s">
        <v>948</v>
      </c>
      <c r="BK3" s="243" t="s">
        <v>1164</v>
      </c>
      <c r="BL3" s="243" t="s">
        <v>1028</v>
      </c>
      <c r="BM3" s="243" t="s">
        <v>949</v>
      </c>
      <c r="BN3" s="243" t="s">
        <v>950</v>
      </c>
      <c r="BO3" s="243" t="s">
        <v>951</v>
      </c>
      <c r="BP3" s="243" t="s">
        <v>952</v>
      </c>
      <c r="BQ3" s="243" t="s">
        <v>1029</v>
      </c>
      <c r="BR3" s="243" t="s">
        <v>953</v>
      </c>
      <c r="BS3" s="243" t="s">
        <v>954</v>
      </c>
      <c r="BT3" s="243" t="s">
        <v>955</v>
      </c>
      <c r="BU3" s="243" t="s">
        <v>956</v>
      </c>
      <c r="BV3" s="135" t="s">
        <v>1030</v>
      </c>
      <c r="BW3" s="282" t="s">
        <v>307</v>
      </c>
      <c r="BX3" s="135" t="s">
        <v>964</v>
      </c>
      <c r="BY3" s="135" t="s">
        <v>1031</v>
      </c>
      <c r="BZ3" s="135" t="s">
        <v>965</v>
      </c>
      <c r="CA3" s="135" t="s">
        <v>308</v>
      </c>
    </row>
    <row r="4" spans="1:85" x14ac:dyDescent="0.2">
      <c r="A4" s="214">
        <f ca="1">TblConstr[[#This Row],[Land]]</f>
        <v>50</v>
      </c>
      <c r="B4" s="142"/>
      <c r="C4" s="94">
        <f ca="1">TblProd[[#This Row],[Platinum]]</f>
        <v>120000</v>
      </c>
      <c r="D4" s="94">
        <f ca="1">TblProd[[#This Row],[Lumber]]</f>
        <v>15000</v>
      </c>
      <c r="E4" s="94">
        <f ca="1">TblProd[[#This Row],[Ore]]</f>
        <v>0</v>
      </c>
      <c r="F4" s="94">
        <f>TblProd[[#This Row],[Gems]]</f>
        <v>0</v>
      </c>
      <c r="G4" s="154"/>
      <c r="H4" s="94">
        <f ca="1">TblMili[[#This Row],[Draftees]]</f>
        <v>300</v>
      </c>
      <c r="I4" s="180">
        <f ca="1">TblPop[[#This Row],[Employment]]</f>
        <v>1</v>
      </c>
      <c r="J4" s="180">
        <f ca="1">TblPop[[#This Row],[Total]]/TblPop[[#This Row],[Net max]]</f>
        <v>1</v>
      </c>
      <c r="K4" s="283">
        <f>TblRezone[[#This Row],[Hour]]</f>
        <v>1</v>
      </c>
      <c r="L4" s="284">
        <f>TblImps[[#This Row],[Real time]]</f>
        <v>46320</v>
      </c>
      <c r="M4" s="61">
        <f>IF(ISERROR(TblImps[[#This Row],[algorithm]]),0,TblImps[[#This Row],[algorithm]]*1)</f>
        <v>0</v>
      </c>
      <c r="N4" s="94">
        <f ca="1">TblImps[[#This Row],[Land]]</f>
        <v>50</v>
      </c>
      <c r="O4" s="285" t="s">
        <v>4</v>
      </c>
      <c r="P4" s="286"/>
      <c r="Q4" s="285" t="s">
        <v>210</v>
      </c>
      <c r="R4" s="285" t="s">
        <v>7</v>
      </c>
      <c r="S4" s="286"/>
      <c r="T4" s="285" t="s">
        <v>208</v>
      </c>
      <c r="U4" s="285" t="s">
        <v>3</v>
      </c>
      <c r="V4" s="286"/>
      <c r="W4" s="285" t="s">
        <v>208</v>
      </c>
      <c r="X4" s="142"/>
      <c r="Y4" s="287">
        <f ca="1">science_cap*(1-EXP(-TblImps[[#This Row],[Σ Science]]/(science_param*(OFFSET(TblImps[[#This Row],[Land]],1,0)-OFFSET(TblExplore[[#This Row],[Land Bonus]],1,0)*20)+15000)))*(1+(mason_bonus*TblConstr[[#This Row],[Tot Mas]]/TblConstr[[#This Row],[Land (2)]]))</f>
        <v>0</v>
      </c>
      <c r="Z4" s="287">
        <f ca="1">keep_cap*(1-EXP(-TblImps[[#This Row],[Σ Keep]]/(keep_param*(OFFSET(TblImps[[#This Row],[Land]],1,0)-OFFSET(TblExplore[[#This Row],[Land Bonus]],1,0)*20)+15000)))*(1+(mason_bonus*TblConstr[[#This Row],[Tot Mas]]/TblConstr[[#This Row],[Land (2)]]))</f>
        <v>0</v>
      </c>
      <c r="AA4" s="287">
        <f ca="1">harbor_towers_cap*(1-EXP(-TblImps[[#This Row],[Σ Spires]]/(towers_param*(OFFSET(TblImps[[#This Row],[Land]],1,0)-OFFSET(TblExplore[[#This Row],[Land Bonus]],1,0)*20)+15000)))*(1+(mason_bonus*TblConstr[[#This Row],[Tot Mas]]/TblConstr[[#This Row],[Land (2)]]))</f>
        <v>0</v>
      </c>
      <c r="AB4" s="287">
        <f ca="1">walls_forges_cap*(1-EXP(-TblImps[[#This Row],[Σ Forges]]/(walls_forges_param*(OFFSET(TblImps[[#This Row],[Land]],1,0)-OFFSET(TblExplore[[#This Row],[Land Bonus]],1,0)*20)+15000)))*(1+(mason_bonus*TblConstr[[#This Row],[Tot Mas]]/TblConstr[[#This Row],[Land (2)]]))</f>
        <v>0</v>
      </c>
      <c r="AC4" s="287">
        <f ca="1">walls_forges_cap*(1-EXP(-TblImps[[#This Row],[Σ Walls]]/(walls_forges_param*(OFFSET(TblImps[[#This Row],[Land]],1,0)-OFFSET(TblExplore[[#This Row],[Land Bonus]],1,0)*20)+15000)))*(1+(mason_bonus*TblConstr[[#This Row],[Tot Mas]]/TblConstr[[#This Row],[Land (2)]]))</f>
        <v>0</v>
      </c>
      <c r="AD4" s="287">
        <f ca="1">harbor_towers_cap*(1-EXP(-TblImps[[#This Row],[Σ Harbor]]/(harbor_towers_param*(OFFSET(TblImps[[#This Row],[Land]],1,0)-OFFSET(TblExplore[[#This Row],[Land Bonus]],1,0)*20)+15000)))*(1+(mason_bonus*TblConstr[[#This Row],[Tot Mas]]/TblConstr[[#This Row],[Land (2)]]))</f>
        <v>0</v>
      </c>
      <c r="AE4" s="142"/>
      <c r="AF4" s="288">
        <f>(1+Overview!$I$29)*SUM(TblImps[[#This Row],[P2]:[G2]])</f>
        <v>0</v>
      </c>
      <c r="AG4" s="288">
        <f>(1+Overview!$I$29)*SUM(TblImps[[#This Row],[P3]:[G3]])</f>
        <v>0</v>
      </c>
      <c r="AH4" s="288">
        <f>(1+Overview!$I$29 + tech_7_1*TblTech[[#This Row],[7-1]])*SUM(TblImps[[#This Row],[P4]:[G4]])</f>
        <v>0</v>
      </c>
      <c r="AI4" s="288">
        <f>(1+Overview!$I$29)*SUM(TblImps[[#This Row],[P5]:[FW5]])</f>
        <v>0</v>
      </c>
      <c r="AJ4" s="288">
        <f>(1+Overview!$I$29)*SUM(TblImps[[#This Row],[P6]:[G6]])</f>
        <v>0</v>
      </c>
      <c r="AK4" s="288">
        <f>(1+Overview!$I$29 + tech_7_1*TblTech[[#This Row],[7-1]])*SUM(TblImps[[#This Row],[P7]:[G7]])</f>
        <v>0</v>
      </c>
      <c r="AL4" s="142"/>
      <c r="AM4" s="57">
        <f>IF(AND(TblImps[[#This Row],[Resource]]=AM$2,TblImps[[#This Row],[Part]]&lt;&gt;""),TblImps[[#This Row],[Amount]]) + IF(AND(TblImps[[#This Row],[Resource 2]]=AM$2,TblImps[[#This Row],[Part 2]]&lt;&gt;""),TblImps[[#This Row],[Amount 2]]) + IF(AND(TblImps[[#This Row],[Resource 3]]=AM$2,TblImps[[#This Row],[Part 3]]&lt;&gt;""),TblImps[[#This Row],[Amount 3]])</f>
        <v>0</v>
      </c>
      <c r="AN4" s="57">
        <f>IF(AND(TblImps[[#This Row],[Resource]]=AN$2,TblImps[[#This Row],[Part]]&lt;&gt;""),TblImps[[#This Row],[Amount]]) + IF(AND(TblImps[[#This Row],[Resource 2]]=AN$2,TblImps[[#This Row],[Part 2]]&lt;&gt;""),TblImps[[#This Row],[Amount 2]]) + IF(AND(TblImps[[#This Row],[Resource 3]]=AN$2,TblImps[[#This Row],[Part 3]]&lt;&gt;""),TblImps[[#This Row],[Amount 3]])</f>
        <v>0</v>
      </c>
      <c r="AO4" s="57">
        <f>IF(AND(TblImps[[#This Row],[Resource]]=AO$2,TblImps[[#This Row],[Part]]&lt;&gt;""),TblImps[[#This Row],[Amount]]) + IF(AND(TblImps[[#This Row],[Resource 2]]=AO$2,TblImps[[#This Row],[Part 2]]&lt;&gt;""),TblImps[[#This Row],[Amount 2]]) + IF(AND(TblImps[[#This Row],[Resource 3]]=AO$2,TblImps[[#This Row],[Part 3]]&lt;&gt;""),TblImps[[#This Row],[Amount 3]])</f>
        <v>0</v>
      </c>
      <c r="AP4" s="57">
        <f>IF(AND(TblImps[[#This Row],[Resource]]=AP$2,TblImps[[#This Row],[Part]]&lt;&gt;""),TblImps[[#This Row],[Amount]]) + IF(AND(TblImps[[#This Row],[Resource 2]]=AP$2,TblImps[[#This Row],[Part 2]]&lt;&gt;""),TblImps[[#This Row],[Amount 2]]) + IF(AND(TblImps[[#This Row],[Resource 3]]=AP$2,TblImps[[#This Row],[Part 3]]&lt;&gt;""),TblImps[[#This Row],[Amount 3]])</f>
        <v>0</v>
      </c>
      <c r="AQ4" s="142"/>
      <c r="AR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142"/>
      <c r="AW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142"/>
      <c r="BB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142"/>
      <c r="BG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57">
        <v>0</v>
      </c>
      <c r="BL4" s="142"/>
      <c r="BM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 s="142"/>
      <c r="BR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 s="142"/>
      <c r="BW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 s="61">
        <f>TblImps[[#This Row],[Login]]</f>
        <v>0</v>
      </c>
      <c r="BY4" s="137"/>
      <c r="BZ4" s="289">
        <f>Overview!E15</f>
        <v>46320</v>
      </c>
      <c r="CA4" s="290">
        <f>Overview!B15</f>
        <v>46320</v>
      </c>
      <c r="CB4" s="57"/>
      <c r="CC4" s="291"/>
      <c r="CD4" s="292"/>
    </row>
    <row r="5" spans="1:85" x14ac:dyDescent="0.2">
      <c r="A5" s="214">
        <f ca="1">TblConstr[[#This Row],[Land]]</f>
        <v>50</v>
      </c>
      <c r="B5" s="142"/>
      <c r="C5" s="94">
        <f ca="1">TblProd[[#This Row],[Platinum]]</f>
        <v>121266</v>
      </c>
      <c r="D5" s="94">
        <f ca="1">TblProd[[#This Row],[Lumber]]</f>
        <v>15850</v>
      </c>
      <c r="E5" s="94">
        <f ca="1">TblProd[[#This Row],[Ore]]</f>
        <v>0</v>
      </c>
      <c r="F5" s="94">
        <f ca="1">TblProd[[#This Row],[Gems]]</f>
        <v>0</v>
      </c>
      <c r="G5" s="154"/>
      <c r="H5" s="94">
        <f ca="1">TblMili[[#This Row],[Draftees]]</f>
        <v>305</v>
      </c>
      <c r="I5" s="180">
        <f ca="1">TblPop[[#This Row],[Employment]]</f>
        <v>1</v>
      </c>
      <c r="J5" s="180">
        <f ca="1">TblPop[[#This Row],[Total]]/TblPop[[#This Row],[Net max]]</f>
        <v>1</v>
      </c>
      <c r="K5" s="283">
        <f>TblRezone[[#This Row],[Hour]]</f>
        <v>2</v>
      </c>
      <c r="L5" s="284">
        <f ca="1">TblImps[[#This Row],[Real time]]</f>
        <v>46320.041666666664</v>
      </c>
      <c r="M5" s="61">
        <f>IF(ISERROR(TblImps[[#This Row],[algorithm]]),0,TblImps[[#This Row],[algorithm]]*1)</f>
        <v>0</v>
      </c>
      <c r="N5" s="94">
        <f ca="1">TblImps[[#This Row],[Land]]</f>
        <v>50</v>
      </c>
      <c r="O5" s="285" t="s">
        <v>4</v>
      </c>
      <c r="P5" s="286"/>
      <c r="Q5" s="285" t="s">
        <v>210</v>
      </c>
      <c r="R5" s="285" t="s">
        <v>7</v>
      </c>
      <c r="S5" s="286"/>
      <c r="T5" s="285" t="s">
        <v>210</v>
      </c>
      <c r="U5" s="285" t="s">
        <v>3</v>
      </c>
      <c r="V5" s="286"/>
      <c r="W5" s="285" t="s">
        <v>210</v>
      </c>
      <c r="X5" s="142"/>
      <c r="Y5" s="287">
        <f ca="1">science_cap*(1-EXP(-TblImps[[#This Row],[Σ Science]]/(science_param*(OFFSET(TblImps[[#This Row],[Land]],1,0)-OFFSET(TblExplore[[#This Row],[Land Bonus]],1,0)*20)+15000)))*(1+(mason_bonus*TblConstr[[#This Row],[Tot Mas]]/TblConstr[[#This Row],[Land (2)]]))</f>
        <v>0</v>
      </c>
      <c r="Z5" s="287">
        <f ca="1">keep_cap*(1-EXP(-TblImps[[#This Row],[Σ Keep]]/(keep_param*(OFFSET(TblImps[[#This Row],[Land]],1,0)-OFFSET(TblExplore[[#This Row],[Land Bonus]],1,0)*20)+15000)))*(1+(mason_bonus*TblConstr[[#This Row],[Tot Mas]]/TblConstr[[#This Row],[Land (2)]]))</f>
        <v>0</v>
      </c>
      <c r="AA5" s="287">
        <f ca="1">harbor_towers_cap*(1-EXP(-TblImps[[#This Row],[Σ Spires]]/(towers_param*(OFFSET(TblImps[[#This Row],[Land]],1,0)-OFFSET(TblExplore[[#This Row],[Land Bonus]],1,0)*20)+15000)))*(1+(mason_bonus*TblConstr[[#This Row],[Tot Mas]]/TblConstr[[#This Row],[Land (2)]]))</f>
        <v>0</v>
      </c>
      <c r="AB5" s="287">
        <f ca="1">walls_forges_cap*(1-EXP(-TblImps[[#This Row],[Σ Forges]]/(walls_forges_param*(OFFSET(TblImps[[#This Row],[Land]],1,0)-OFFSET(TblExplore[[#This Row],[Land Bonus]],1,0)*20)+15000)))*(1+(mason_bonus*TblConstr[[#This Row],[Tot Mas]]/TblConstr[[#This Row],[Land (2)]]))</f>
        <v>0</v>
      </c>
      <c r="AC5" s="287">
        <f ca="1">walls_forges_cap*(1-EXP(-TblImps[[#This Row],[Σ Walls]]/(walls_forges_param*(OFFSET(TblImps[[#This Row],[Land]],1,0)-OFFSET(TblExplore[[#This Row],[Land Bonus]],1,0)*20)+15000)))*(1+(mason_bonus*TblConstr[[#This Row],[Tot Mas]]/TblConstr[[#This Row],[Land (2)]]))</f>
        <v>0</v>
      </c>
      <c r="AD5" s="287">
        <f ca="1">harbor_towers_cap*(1-EXP(-TblImps[[#This Row],[Σ Harbor]]/(harbor_towers_param*(OFFSET(TblImps[[#This Row],[Land]],1,0)-OFFSET(TblExplore[[#This Row],[Land Bonus]],1,0)*20)+15000)))*(1+(mason_bonus*TblConstr[[#This Row],[Tot Mas]]/TblConstr[[#This Row],[Land (2)]]))</f>
        <v>0</v>
      </c>
      <c r="AE5" s="142"/>
      <c r="AF5" s="61">
        <f ca="1">(1+Overview!$I$29)*SUM(TblImps[[#This Row],[P2]:[G2]])+OFFSET(TblImps[[#This Row],[Σ Science]],-1,0)</f>
        <v>0</v>
      </c>
      <c r="AG5" s="61">
        <f ca="1">(1+Overview!$I$29)*SUM(TblImps[[#This Row],[P3]:[G3]])+OFFSET(TblImps[[#This Row],[Σ Keep]],-1,0)</f>
        <v>0</v>
      </c>
      <c r="AH5" s="61">
        <f ca="1">(1+Overview!$I$29 + tech_7_1*TblTech[[#This Row],[7-1]])*SUM(TblImps[[#This Row],[P4]:[G4]])+OFFSET(TblImps[[#This Row],[Σ Spires]],-1,0)</f>
        <v>0</v>
      </c>
      <c r="AI5" s="61">
        <f ca="1">(1+Overview!$I$29)*SUM(TblImps[[#This Row],[P5]:[FW5]])+OFFSET(TblImps[[#This Row],[Σ Forges]],-1,0)</f>
        <v>0</v>
      </c>
      <c r="AJ5" s="61">
        <f ca="1">(1+Overview!$I$29)*SUM(TblImps[[#This Row],[P6]:[G6]])+OFFSET(TblImps[[#This Row],[Σ Walls]],-1,0)</f>
        <v>0</v>
      </c>
      <c r="AK5" s="61">
        <f ca="1">(1+Overview!$I$29 + tech_7_1*TblTech[[#This Row],[7-1]])*SUM(TblImps[[#This Row],[P7]:[G7]])+OFFSET(TblImps[[#This Row],[Σ Harbor]],-1,0)</f>
        <v>0</v>
      </c>
      <c r="AL5" s="142"/>
      <c r="AM5" s="57">
        <f>IF(AND(TblImps[[#This Row],[Resource]]=AM$2,TblImps[[#This Row],[Part]]&lt;&gt;""),TblImps[[#This Row],[Amount]]) + IF(AND(TblImps[[#This Row],[Resource 2]]=AM$2,TblImps[[#This Row],[Part 2]]&lt;&gt;""),TblImps[[#This Row],[Amount 2]]) + IF(AND(TblImps[[#This Row],[Resource 3]]=AM$2,TblImps[[#This Row],[Part 3]]&lt;&gt;""),TblImps[[#This Row],[Amount 3]])</f>
        <v>0</v>
      </c>
      <c r="AN5" s="57">
        <f>IF(AND(TblImps[[#This Row],[Resource]]=AN$2,TblImps[[#This Row],[Part]]&lt;&gt;""),TblImps[[#This Row],[Amount]]) + IF(AND(TblImps[[#This Row],[Resource 2]]=AN$2,TblImps[[#This Row],[Part 2]]&lt;&gt;""),TblImps[[#This Row],[Amount 2]]) + IF(AND(TblImps[[#This Row],[Resource 3]]=AN$2,TblImps[[#This Row],[Part 3]]&lt;&gt;""),TblImps[[#This Row],[Amount 3]])</f>
        <v>0</v>
      </c>
      <c r="AO5" s="57">
        <f>IF(AND(TblImps[[#This Row],[Resource]]=AO$2,TblImps[[#This Row],[Part]]&lt;&gt;""),TblImps[[#This Row],[Amount]]) + IF(AND(TblImps[[#This Row],[Resource 2]]=AO$2,TblImps[[#This Row],[Part 2]]&lt;&gt;""),TblImps[[#This Row],[Amount 2]]) + IF(AND(TblImps[[#This Row],[Resource 3]]=AO$2,TblImps[[#This Row],[Part 3]]&lt;&gt;""),TblImps[[#This Row],[Amount 3]])</f>
        <v>0</v>
      </c>
      <c r="AP5" s="57">
        <f>IF(AND(TblImps[[#This Row],[Resource]]=AP$2,TblImps[[#This Row],[Part]]&lt;&gt;""),TblImps[[#This Row],[Amount]]) + IF(AND(TblImps[[#This Row],[Resource 2]]=AP$2,TblImps[[#This Row],[Part 2]]&lt;&gt;""),TblImps[[#This Row],[Amount 2]]) + IF(AND(TblImps[[#This Row],[Resource 3]]=AP$2,TblImps[[#This Row],[Part 3]]&lt;&gt;""),TblImps[[#This Row],[Amount 3]])</f>
        <v>0</v>
      </c>
      <c r="AQ5" s="142"/>
      <c r="AR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142"/>
      <c r="AW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142"/>
      <c r="BB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142"/>
      <c r="BG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57">
        <f ca="1">IF(OFFSET(TblMagic[[#This Row],[Active Alchemists Flame]],-1,0)&gt;0,TblConstr[[#This Row],[Tot Alc]]*alchemist_flame_invest,0)</f>
        <v>0</v>
      </c>
      <c r="BL5" s="142"/>
      <c r="BM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 s="142"/>
      <c r="BR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 s="142"/>
      <c r="BW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 s="61">
        <f>TblImps[[#This Row],[Login]]</f>
        <v>0</v>
      </c>
      <c r="BY5" s="137"/>
      <c r="BZ5" s="293">
        <f ca="1">OFFSET(TblImps[[#This Row],[Real time]],-1,0)+1/24</f>
        <v>46320.041666666664</v>
      </c>
      <c r="CA5" s="294">
        <f ca="1">OFFSET(TblImps[[#This Row],[Servertime]],-1,0)+1/24</f>
        <v>46320.041666666664</v>
      </c>
      <c r="CB5" s="57"/>
      <c r="CC5" s="292"/>
      <c r="CD5" s="292"/>
    </row>
    <row r="6" spans="1:85" x14ac:dyDescent="0.2">
      <c r="A6" s="214">
        <f ca="1">TblConstr[[#This Row],[Land]]</f>
        <v>50</v>
      </c>
      <c r="B6" s="142"/>
      <c r="C6" s="94">
        <f ca="1">TblProd[[#This Row],[Platinum]]</f>
        <v>122518</v>
      </c>
      <c r="D6" s="94">
        <f ca="1">TblProd[[#This Row],[Lumber]]</f>
        <v>16692</v>
      </c>
      <c r="E6" s="94">
        <f ca="1">TblProd[[#This Row],[Ore]]</f>
        <v>0</v>
      </c>
      <c r="F6" s="94">
        <f ca="1">TblProd[[#This Row],[Gems]]</f>
        <v>0</v>
      </c>
      <c r="G6" s="154"/>
      <c r="H6" s="94">
        <f ca="1">TblMili[[#This Row],[Draftees]]</f>
        <v>310</v>
      </c>
      <c r="I6" s="180">
        <f ca="1">TblPop[[#This Row],[Employment]]</f>
        <v>1</v>
      </c>
      <c r="J6" s="180">
        <f ca="1">TblPop[[#This Row],[Total]]/TblPop[[#This Row],[Net max]]</f>
        <v>1</v>
      </c>
      <c r="K6" s="283">
        <f>TblRezone[[#This Row],[Hour]]</f>
        <v>3</v>
      </c>
      <c r="L6" s="284">
        <f ca="1">TblImps[[#This Row],[Real time]]</f>
        <v>46320.083333333328</v>
      </c>
      <c r="M6" s="61">
        <f>IF(ISERROR(TblImps[[#This Row],[algorithm]]),0,TblImps[[#This Row],[algorithm]]*1)</f>
        <v>0</v>
      </c>
      <c r="N6" s="94">
        <f ca="1">TblImps[[#This Row],[Land]]</f>
        <v>50</v>
      </c>
      <c r="O6" s="285" t="s">
        <v>4</v>
      </c>
      <c r="P6" s="286"/>
      <c r="Q6" s="285" t="s">
        <v>210</v>
      </c>
      <c r="R6" s="285" t="s">
        <v>7</v>
      </c>
      <c r="S6" s="286"/>
      <c r="T6" s="285" t="s">
        <v>210</v>
      </c>
      <c r="U6" s="285" t="s">
        <v>3</v>
      </c>
      <c r="V6" s="286"/>
      <c r="W6" s="285" t="s">
        <v>210</v>
      </c>
      <c r="X6" s="142"/>
      <c r="Y6" s="287">
        <f ca="1">science_cap*(1-EXP(-TblImps[[#This Row],[Σ Science]]/(science_param*(OFFSET(TblImps[[#This Row],[Land]],1,0)-OFFSET(TblExplore[[#This Row],[Land Bonus]],1,0)*20)+15000)))*(1+(mason_bonus*TblConstr[[#This Row],[Tot Mas]]/TblConstr[[#This Row],[Land (2)]]))</f>
        <v>0</v>
      </c>
      <c r="Z6" s="287">
        <f ca="1">keep_cap*(1-EXP(-TblImps[[#This Row],[Σ Keep]]/(keep_param*(OFFSET(TblImps[[#This Row],[Land]],1,0)-OFFSET(TblExplore[[#This Row],[Land Bonus]],1,0)*20)+15000)))*(1+(mason_bonus*TblConstr[[#This Row],[Tot Mas]]/TblConstr[[#This Row],[Land (2)]]))</f>
        <v>0</v>
      </c>
      <c r="AA6" s="287">
        <f ca="1">harbor_towers_cap*(1-EXP(-TblImps[[#This Row],[Σ Spires]]/(towers_param*(OFFSET(TblImps[[#This Row],[Land]],1,0)-OFFSET(TblExplore[[#This Row],[Land Bonus]],1,0)*20)+15000)))*(1+(mason_bonus*TblConstr[[#This Row],[Tot Mas]]/TblConstr[[#This Row],[Land (2)]]))</f>
        <v>0</v>
      </c>
      <c r="AB6" s="287">
        <f ca="1">walls_forges_cap*(1-EXP(-TblImps[[#This Row],[Σ Forges]]/(walls_forges_param*(OFFSET(TblImps[[#This Row],[Land]],1,0)-OFFSET(TblExplore[[#This Row],[Land Bonus]],1,0)*20)+15000)))*(1+(mason_bonus*TblConstr[[#This Row],[Tot Mas]]/TblConstr[[#This Row],[Land (2)]]))</f>
        <v>0</v>
      </c>
      <c r="AC6" s="287">
        <f ca="1">walls_forges_cap*(1-EXP(-TblImps[[#This Row],[Σ Walls]]/(walls_forges_param*(OFFSET(TblImps[[#This Row],[Land]],1,0)-OFFSET(TblExplore[[#This Row],[Land Bonus]],1,0)*20)+15000)))*(1+(mason_bonus*TblConstr[[#This Row],[Tot Mas]]/TblConstr[[#This Row],[Land (2)]]))</f>
        <v>0</v>
      </c>
      <c r="AD6" s="287">
        <f ca="1">harbor_towers_cap*(1-EXP(-TblImps[[#This Row],[Σ Harbor]]/(harbor_towers_param*(OFFSET(TblImps[[#This Row],[Land]],1,0)-OFFSET(TblExplore[[#This Row],[Land Bonus]],1,0)*20)+15000)))*(1+(mason_bonus*TblConstr[[#This Row],[Tot Mas]]/TblConstr[[#This Row],[Land (2)]]))</f>
        <v>0</v>
      </c>
      <c r="AE6" s="142"/>
      <c r="AF6" s="61">
        <f ca="1">(1+Overview!$I$29)*SUM(TblImps[[#This Row],[P2]:[G2]])+OFFSET(TblImps[[#This Row],[Σ Science]],-1,0)</f>
        <v>0</v>
      </c>
      <c r="AG6" s="61">
        <f ca="1">(1+Overview!$I$29)*SUM(TblImps[[#This Row],[P3]:[G3]])+OFFSET(TblImps[[#This Row],[Σ Keep]],-1,0)</f>
        <v>0</v>
      </c>
      <c r="AH6" s="61">
        <f ca="1">(1+Overview!$I$29 + tech_7_1*TblTech[[#This Row],[7-1]])*SUM(TblImps[[#This Row],[P4]:[G4]])+OFFSET(TblImps[[#This Row],[Σ Spires]],-1,0)</f>
        <v>0</v>
      </c>
      <c r="AI6" s="61">
        <f ca="1">(1+Overview!$I$29)*SUM(TblImps[[#This Row],[P5]:[FW5]])+OFFSET(TblImps[[#This Row],[Σ Forges]],-1,0)</f>
        <v>0</v>
      </c>
      <c r="AJ6" s="61">
        <f ca="1">(1+Overview!$I$29)*SUM(TblImps[[#This Row],[P6]:[G6]])+OFFSET(TblImps[[#This Row],[Σ Walls]],-1,0)</f>
        <v>0</v>
      </c>
      <c r="AK6" s="61">
        <f ca="1">(1+Overview!$I$29 + tech_7_1*TblTech[[#This Row],[7-1]])*SUM(TblImps[[#This Row],[P7]:[G7]])+OFFSET(TblImps[[#This Row],[Σ Harbor]],-1,0)</f>
        <v>0</v>
      </c>
      <c r="AL6" s="142"/>
      <c r="AM6" s="57">
        <f>IF(AND(TblImps[[#This Row],[Resource]]=AM$2,TblImps[[#This Row],[Part]]&lt;&gt;""),TblImps[[#This Row],[Amount]]) + IF(AND(TblImps[[#This Row],[Resource 2]]=AM$2,TblImps[[#This Row],[Part 2]]&lt;&gt;""),TblImps[[#This Row],[Amount 2]]) + IF(AND(TblImps[[#This Row],[Resource 3]]=AM$2,TblImps[[#This Row],[Part 3]]&lt;&gt;""),TblImps[[#This Row],[Amount 3]])</f>
        <v>0</v>
      </c>
      <c r="AN6" s="57">
        <f>IF(AND(TblImps[[#This Row],[Resource]]=AN$2,TblImps[[#This Row],[Part]]&lt;&gt;""),TblImps[[#This Row],[Amount]]) + IF(AND(TblImps[[#This Row],[Resource 2]]=AN$2,TblImps[[#This Row],[Part 2]]&lt;&gt;""),TblImps[[#This Row],[Amount 2]]) + IF(AND(TblImps[[#This Row],[Resource 3]]=AN$2,TblImps[[#This Row],[Part 3]]&lt;&gt;""),TblImps[[#This Row],[Amount 3]])</f>
        <v>0</v>
      </c>
      <c r="AO6" s="57">
        <f>IF(AND(TblImps[[#This Row],[Resource]]=AO$2,TblImps[[#This Row],[Part]]&lt;&gt;""),TblImps[[#This Row],[Amount]]) + IF(AND(TblImps[[#This Row],[Resource 2]]=AO$2,TblImps[[#This Row],[Part 2]]&lt;&gt;""),TblImps[[#This Row],[Amount 2]]) + IF(AND(TblImps[[#This Row],[Resource 3]]=AO$2,TblImps[[#This Row],[Part 3]]&lt;&gt;""),TblImps[[#This Row],[Amount 3]])</f>
        <v>0</v>
      </c>
      <c r="AP6" s="57">
        <f>IF(AND(TblImps[[#This Row],[Resource]]=AP$2,TblImps[[#This Row],[Part]]&lt;&gt;""),TblImps[[#This Row],[Amount]]) + IF(AND(TblImps[[#This Row],[Resource 2]]=AP$2,TblImps[[#This Row],[Part 2]]&lt;&gt;""),TblImps[[#This Row],[Amount 2]]) + IF(AND(TblImps[[#This Row],[Resource 3]]=AP$2,TblImps[[#This Row],[Part 3]]&lt;&gt;""),TblImps[[#This Row],[Amount 3]])</f>
        <v>0</v>
      </c>
      <c r="AQ6" s="142"/>
      <c r="AR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142"/>
      <c r="AW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142"/>
      <c r="BB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142"/>
      <c r="BG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57">
        <f ca="1">IF(OFFSET(TblMagic[[#This Row],[Active Alchemists Flame]],-1,0)&gt;0,TblConstr[[#This Row],[Tot Alc]]*alchemist_flame_invest,0)</f>
        <v>0</v>
      </c>
      <c r="BL6" s="142"/>
      <c r="BM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 s="142"/>
      <c r="BR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 s="142"/>
      <c r="BW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 s="61">
        <f>TblImps[[#This Row],[Login]]</f>
        <v>0</v>
      </c>
      <c r="BY6" s="137"/>
      <c r="BZ6" s="293">
        <f ca="1">OFFSET(TblImps[[#This Row],[Real time]],-1,0)+1/24</f>
        <v>46320.083333333328</v>
      </c>
      <c r="CA6" s="294">
        <f ca="1">OFFSET(TblImps[[#This Row],[Servertime]],-1,0)+1/24</f>
        <v>46320.083333333328</v>
      </c>
      <c r="CB6" s="57"/>
      <c r="CC6" s="292"/>
      <c r="CD6" s="292"/>
      <c r="CG6" s="295"/>
    </row>
    <row r="7" spans="1:85" x14ac:dyDescent="0.2">
      <c r="A7" s="214">
        <f ca="1">TblConstr[[#This Row],[Land]]</f>
        <v>50</v>
      </c>
      <c r="B7" s="142"/>
      <c r="C7" s="94">
        <f ca="1">TblProd[[#This Row],[Platinum]]</f>
        <v>123757</v>
      </c>
      <c r="D7" s="94">
        <f ca="1">TblProd[[#This Row],[Lumber]]</f>
        <v>17525</v>
      </c>
      <c r="E7" s="94">
        <f ca="1">TblProd[[#This Row],[Ore]]</f>
        <v>0</v>
      </c>
      <c r="F7" s="94">
        <f ca="1">TblProd[[#This Row],[Gems]]</f>
        <v>0</v>
      </c>
      <c r="G7" s="154"/>
      <c r="H7" s="94">
        <f ca="1">TblMili[[#This Row],[Draftees]]</f>
        <v>315</v>
      </c>
      <c r="I7" s="180">
        <f ca="1">TblPop[[#This Row],[Employment]]</f>
        <v>1</v>
      </c>
      <c r="J7" s="180">
        <f ca="1">TblPop[[#This Row],[Total]]/TblPop[[#This Row],[Net max]]</f>
        <v>1</v>
      </c>
      <c r="K7" s="283">
        <f>TblRezone[[#This Row],[Hour]]</f>
        <v>4</v>
      </c>
      <c r="L7" s="284">
        <f ca="1">TblImps[[#This Row],[Real time]]</f>
        <v>46320.124999999993</v>
      </c>
      <c r="M7" s="61">
        <f>IF(ISERROR(TblImps[[#This Row],[algorithm]]),0,TblImps[[#This Row],[algorithm]]*1)</f>
        <v>0</v>
      </c>
      <c r="N7" s="94">
        <f ca="1">TblImps[[#This Row],[Land]]</f>
        <v>50</v>
      </c>
      <c r="O7" s="285" t="s">
        <v>4</v>
      </c>
      <c r="P7" s="286"/>
      <c r="Q7" s="285" t="s">
        <v>210</v>
      </c>
      <c r="R7" s="285" t="s">
        <v>7</v>
      </c>
      <c r="S7" s="286"/>
      <c r="T7" s="285" t="s">
        <v>210</v>
      </c>
      <c r="U7" s="285" t="s">
        <v>3</v>
      </c>
      <c r="V7" s="286"/>
      <c r="W7" s="285" t="s">
        <v>210</v>
      </c>
      <c r="X7" s="142"/>
      <c r="Y7" s="287">
        <f ca="1">science_cap*(1-EXP(-TblImps[[#This Row],[Σ Science]]/(science_param*(OFFSET(TblImps[[#This Row],[Land]],1,0)-OFFSET(TblExplore[[#This Row],[Land Bonus]],1,0)*20)+15000)))*(1+(mason_bonus*TblConstr[[#This Row],[Tot Mas]]/TblConstr[[#This Row],[Land (2)]]))</f>
        <v>0</v>
      </c>
      <c r="Z7" s="287">
        <f ca="1">keep_cap*(1-EXP(-TblImps[[#This Row],[Σ Keep]]/(keep_param*(OFFSET(TblImps[[#This Row],[Land]],1,0)-OFFSET(TblExplore[[#This Row],[Land Bonus]],1,0)*20)+15000)))*(1+(mason_bonus*TblConstr[[#This Row],[Tot Mas]]/TblConstr[[#This Row],[Land (2)]]))</f>
        <v>0</v>
      </c>
      <c r="AA7" s="287">
        <f ca="1">harbor_towers_cap*(1-EXP(-TblImps[[#This Row],[Σ Spires]]/(towers_param*(OFFSET(TblImps[[#This Row],[Land]],1,0)-OFFSET(TblExplore[[#This Row],[Land Bonus]],1,0)*20)+15000)))*(1+(mason_bonus*TblConstr[[#This Row],[Tot Mas]]/TblConstr[[#This Row],[Land (2)]]))</f>
        <v>0</v>
      </c>
      <c r="AB7" s="287">
        <f ca="1">walls_forges_cap*(1-EXP(-TblImps[[#This Row],[Σ Forges]]/(walls_forges_param*(OFFSET(TblImps[[#This Row],[Land]],1,0)-OFFSET(TblExplore[[#This Row],[Land Bonus]],1,0)*20)+15000)))*(1+(mason_bonus*TblConstr[[#This Row],[Tot Mas]]/TblConstr[[#This Row],[Land (2)]]))</f>
        <v>0</v>
      </c>
      <c r="AC7" s="287">
        <f ca="1">walls_forges_cap*(1-EXP(-TblImps[[#This Row],[Σ Walls]]/(walls_forges_param*(OFFSET(TblImps[[#This Row],[Land]],1,0)-OFFSET(TblExplore[[#This Row],[Land Bonus]],1,0)*20)+15000)))*(1+(mason_bonus*TblConstr[[#This Row],[Tot Mas]]/TblConstr[[#This Row],[Land (2)]]))</f>
        <v>0</v>
      </c>
      <c r="AD7" s="287">
        <f ca="1">harbor_towers_cap*(1-EXP(-TblImps[[#This Row],[Σ Harbor]]/(harbor_towers_param*(OFFSET(TblImps[[#This Row],[Land]],1,0)-OFFSET(TblExplore[[#This Row],[Land Bonus]],1,0)*20)+15000)))*(1+(mason_bonus*TblConstr[[#This Row],[Tot Mas]]/TblConstr[[#This Row],[Land (2)]]))</f>
        <v>0</v>
      </c>
      <c r="AE7" s="142"/>
      <c r="AF7" s="61">
        <f ca="1">(1+Overview!$I$29)*SUM(TblImps[[#This Row],[P2]:[G2]])+OFFSET(TblImps[[#This Row],[Σ Science]],-1,0)</f>
        <v>0</v>
      </c>
      <c r="AG7" s="61">
        <f ca="1">(1+Overview!$I$29)*SUM(TblImps[[#This Row],[P3]:[G3]])+OFFSET(TblImps[[#This Row],[Σ Keep]],-1,0)</f>
        <v>0</v>
      </c>
      <c r="AH7" s="61">
        <f ca="1">(1+Overview!$I$29 + tech_7_1*TblTech[[#This Row],[7-1]])*SUM(TblImps[[#This Row],[P4]:[G4]])+OFFSET(TblImps[[#This Row],[Σ Spires]],-1,0)</f>
        <v>0</v>
      </c>
      <c r="AI7" s="61">
        <f ca="1">(1+Overview!$I$29)*SUM(TblImps[[#This Row],[P5]:[FW5]])+OFFSET(TblImps[[#This Row],[Σ Forges]],-1,0)</f>
        <v>0</v>
      </c>
      <c r="AJ7" s="61">
        <f ca="1">(1+Overview!$I$29)*SUM(TblImps[[#This Row],[P6]:[G6]])+OFFSET(TblImps[[#This Row],[Σ Walls]],-1,0)</f>
        <v>0</v>
      </c>
      <c r="AK7" s="61">
        <f ca="1">(1+Overview!$I$29 + tech_7_1*TblTech[[#This Row],[7-1]])*SUM(TblImps[[#This Row],[P7]:[G7]])+OFFSET(TblImps[[#This Row],[Σ Harbor]],-1,0)</f>
        <v>0</v>
      </c>
      <c r="AL7" s="142"/>
      <c r="AM7" s="57">
        <f>IF(AND(TblImps[[#This Row],[Resource]]=AM$2,TblImps[[#This Row],[Part]]&lt;&gt;""),TblImps[[#This Row],[Amount]]) + IF(AND(TblImps[[#This Row],[Resource 2]]=AM$2,TblImps[[#This Row],[Part 2]]&lt;&gt;""),TblImps[[#This Row],[Amount 2]]) + IF(AND(TblImps[[#This Row],[Resource 3]]=AM$2,TblImps[[#This Row],[Part 3]]&lt;&gt;""),TblImps[[#This Row],[Amount 3]])</f>
        <v>0</v>
      </c>
      <c r="AN7" s="57">
        <f>IF(AND(TblImps[[#This Row],[Resource]]=AN$2,TblImps[[#This Row],[Part]]&lt;&gt;""),TblImps[[#This Row],[Amount]]) + IF(AND(TblImps[[#This Row],[Resource 2]]=AN$2,TblImps[[#This Row],[Part 2]]&lt;&gt;""),TblImps[[#This Row],[Amount 2]]) + IF(AND(TblImps[[#This Row],[Resource 3]]=AN$2,TblImps[[#This Row],[Part 3]]&lt;&gt;""),TblImps[[#This Row],[Amount 3]])</f>
        <v>0</v>
      </c>
      <c r="AO7" s="57">
        <f>IF(AND(TblImps[[#This Row],[Resource]]=AO$2,TblImps[[#This Row],[Part]]&lt;&gt;""),TblImps[[#This Row],[Amount]]) + IF(AND(TblImps[[#This Row],[Resource 2]]=AO$2,TblImps[[#This Row],[Part 2]]&lt;&gt;""),TblImps[[#This Row],[Amount 2]]) + IF(AND(TblImps[[#This Row],[Resource 3]]=AO$2,TblImps[[#This Row],[Part 3]]&lt;&gt;""),TblImps[[#This Row],[Amount 3]])</f>
        <v>0</v>
      </c>
      <c r="AP7" s="57">
        <f>IF(AND(TblImps[[#This Row],[Resource]]=AP$2,TblImps[[#This Row],[Part]]&lt;&gt;""),TblImps[[#This Row],[Amount]]) + IF(AND(TblImps[[#This Row],[Resource 2]]=AP$2,TblImps[[#This Row],[Part 2]]&lt;&gt;""),TblImps[[#This Row],[Amount 2]]) + IF(AND(TblImps[[#This Row],[Resource 3]]=AP$2,TblImps[[#This Row],[Part 3]]&lt;&gt;""),TblImps[[#This Row],[Amount 3]])</f>
        <v>0</v>
      </c>
      <c r="AQ7" s="142"/>
      <c r="AR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142"/>
      <c r="AW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142"/>
      <c r="BB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142"/>
      <c r="BG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57">
        <f ca="1">IF(OFFSET(TblMagic[[#This Row],[Active Alchemists Flame]],-1,0)&gt;0,TblConstr[[#This Row],[Tot Alc]]*alchemist_flame_invest,0)</f>
        <v>0</v>
      </c>
      <c r="BL7" s="142"/>
      <c r="BM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 s="142"/>
      <c r="BR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 s="142"/>
      <c r="BW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 s="61">
        <f>TblImps[[#This Row],[Login]]</f>
        <v>0</v>
      </c>
      <c r="BY7" s="137"/>
      <c r="BZ7" s="293">
        <f ca="1">OFFSET(TblImps[[#This Row],[Real time]],-1,0)+1/24</f>
        <v>46320.124999999993</v>
      </c>
      <c r="CA7" s="294">
        <f ca="1">OFFSET(TblImps[[#This Row],[Servertime]],-1,0)+1/24</f>
        <v>46320.124999999993</v>
      </c>
      <c r="CB7" s="57"/>
      <c r="CC7" s="292"/>
      <c r="CD7" s="292"/>
      <c r="CG7" s="296"/>
    </row>
    <row r="8" spans="1:85" x14ac:dyDescent="0.2">
      <c r="A8" s="214">
        <f ca="1">TblConstr[[#This Row],[Land]]</f>
        <v>50</v>
      </c>
      <c r="B8" s="142"/>
      <c r="C8" s="94">
        <f ca="1">TblProd[[#This Row],[Platinum]]</f>
        <v>124982</v>
      </c>
      <c r="D8" s="94">
        <f ca="1">TblProd[[#This Row],[Lumber]]</f>
        <v>18350</v>
      </c>
      <c r="E8" s="94">
        <f ca="1">TblProd[[#This Row],[Ore]]</f>
        <v>0</v>
      </c>
      <c r="F8" s="94">
        <f ca="1">TblProd[[#This Row],[Gems]]</f>
        <v>0</v>
      </c>
      <c r="G8" s="154"/>
      <c r="H8" s="94">
        <f ca="1">TblMili[[#This Row],[Draftees]]</f>
        <v>320</v>
      </c>
      <c r="I8" s="180">
        <f ca="1">TblPop[[#This Row],[Employment]]</f>
        <v>1</v>
      </c>
      <c r="J8" s="180">
        <f ca="1">TblPop[[#This Row],[Total]]/TblPop[[#This Row],[Net max]]</f>
        <v>1</v>
      </c>
      <c r="K8" s="283">
        <f>TblRezone[[#This Row],[Hour]]</f>
        <v>5</v>
      </c>
      <c r="L8" s="284">
        <f ca="1">TblImps[[#This Row],[Real time]]</f>
        <v>46320.166666666657</v>
      </c>
      <c r="M8" s="61">
        <f>IF(ISERROR(TblImps[[#This Row],[algorithm]]),0,TblImps[[#This Row],[algorithm]]*1)</f>
        <v>0</v>
      </c>
      <c r="N8" s="94">
        <f ca="1">TblImps[[#This Row],[Land]]</f>
        <v>50</v>
      </c>
      <c r="O8" s="285" t="s">
        <v>4</v>
      </c>
      <c r="P8" s="286"/>
      <c r="Q8" s="285" t="s">
        <v>210</v>
      </c>
      <c r="R8" s="285" t="s">
        <v>7</v>
      </c>
      <c r="S8" s="286"/>
      <c r="T8" s="285" t="s">
        <v>210</v>
      </c>
      <c r="U8" s="285" t="s">
        <v>3</v>
      </c>
      <c r="V8" s="286"/>
      <c r="W8" s="285" t="s">
        <v>210</v>
      </c>
      <c r="X8" s="142"/>
      <c r="Y8" s="287">
        <f ca="1">science_cap*(1-EXP(-TblImps[[#This Row],[Σ Science]]/(science_param*(OFFSET(TblImps[[#This Row],[Land]],1,0)-OFFSET(TblExplore[[#This Row],[Land Bonus]],1,0)*20)+15000)))*(1+(mason_bonus*TblConstr[[#This Row],[Tot Mas]]/TblConstr[[#This Row],[Land (2)]]))</f>
        <v>0</v>
      </c>
      <c r="Z8" s="287">
        <f ca="1">keep_cap*(1-EXP(-TblImps[[#This Row],[Σ Keep]]/(keep_param*(OFFSET(TblImps[[#This Row],[Land]],1,0)-OFFSET(TblExplore[[#This Row],[Land Bonus]],1,0)*20)+15000)))*(1+(mason_bonus*TblConstr[[#This Row],[Tot Mas]]/TblConstr[[#This Row],[Land (2)]]))</f>
        <v>0</v>
      </c>
      <c r="AA8" s="287">
        <f ca="1">harbor_towers_cap*(1-EXP(-TblImps[[#This Row],[Σ Spires]]/(towers_param*(OFFSET(TblImps[[#This Row],[Land]],1,0)-OFFSET(TblExplore[[#This Row],[Land Bonus]],1,0)*20)+15000)))*(1+(mason_bonus*TblConstr[[#This Row],[Tot Mas]]/TblConstr[[#This Row],[Land (2)]]))</f>
        <v>0</v>
      </c>
      <c r="AB8" s="287">
        <f ca="1">walls_forges_cap*(1-EXP(-TblImps[[#This Row],[Σ Forges]]/(walls_forges_param*(OFFSET(TblImps[[#This Row],[Land]],1,0)-OFFSET(TblExplore[[#This Row],[Land Bonus]],1,0)*20)+15000)))*(1+(mason_bonus*TblConstr[[#This Row],[Tot Mas]]/TblConstr[[#This Row],[Land (2)]]))</f>
        <v>0</v>
      </c>
      <c r="AC8" s="287">
        <f ca="1">walls_forges_cap*(1-EXP(-TblImps[[#This Row],[Σ Walls]]/(walls_forges_param*(OFFSET(TblImps[[#This Row],[Land]],1,0)-OFFSET(TblExplore[[#This Row],[Land Bonus]],1,0)*20)+15000)))*(1+(mason_bonus*TblConstr[[#This Row],[Tot Mas]]/TblConstr[[#This Row],[Land (2)]]))</f>
        <v>0</v>
      </c>
      <c r="AD8" s="287">
        <f ca="1">harbor_towers_cap*(1-EXP(-TblImps[[#This Row],[Σ Harbor]]/(harbor_towers_param*(OFFSET(TblImps[[#This Row],[Land]],1,0)-OFFSET(TblExplore[[#This Row],[Land Bonus]],1,0)*20)+15000)))*(1+(mason_bonus*TblConstr[[#This Row],[Tot Mas]]/TblConstr[[#This Row],[Land (2)]]))</f>
        <v>0</v>
      </c>
      <c r="AE8" s="142"/>
      <c r="AF8" s="61">
        <f ca="1">(1+Overview!$I$29)*SUM(TblImps[[#This Row],[P2]:[G2]])+OFFSET(TblImps[[#This Row],[Σ Science]],-1,0)</f>
        <v>0</v>
      </c>
      <c r="AG8" s="61">
        <f ca="1">(1+Overview!$I$29)*SUM(TblImps[[#This Row],[P3]:[G3]])+OFFSET(TblImps[[#This Row],[Σ Keep]],-1,0)</f>
        <v>0</v>
      </c>
      <c r="AH8" s="61">
        <f ca="1">(1+Overview!$I$29 + tech_7_1*TblTech[[#This Row],[7-1]])*SUM(TblImps[[#This Row],[P4]:[G4]])+OFFSET(TblImps[[#This Row],[Σ Spires]],-1,0)</f>
        <v>0</v>
      </c>
      <c r="AI8" s="61">
        <f ca="1">(1+Overview!$I$29)*SUM(TblImps[[#This Row],[P5]:[FW5]])+OFFSET(TblImps[[#This Row],[Σ Forges]],-1,0)</f>
        <v>0</v>
      </c>
      <c r="AJ8" s="61">
        <f ca="1">(1+Overview!$I$29)*SUM(TblImps[[#This Row],[P6]:[G6]])+OFFSET(TblImps[[#This Row],[Σ Walls]],-1,0)</f>
        <v>0</v>
      </c>
      <c r="AK8" s="61">
        <f ca="1">(1+Overview!$I$29 + tech_7_1*TblTech[[#This Row],[7-1]])*SUM(TblImps[[#This Row],[P7]:[G7]])+OFFSET(TblImps[[#This Row],[Σ Harbor]],-1,0)</f>
        <v>0</v>
      </c>
      <c r="AL8" s="142"/>
      <c r="AM8" s="57">
        <f>IF(AND(TblImps[[#This Row],[Resource]]=AM$2,TblImps[[#This Row],[Part]]&lt;&gt;""),TblImps[[#This Row],[Amount]]) + IF(AND(TblImps[[#This Row],[Resource 2]]=AM$2,TblImps[[#This Row],[Part 2]]&lt;&gt;""),TblImps[[#This Row],[Amount 2]]) + IF(AND(TblImps[[#This Row],[Resource 3]]=AM$2,TblImps[[#This Row],[Part 3]]&lt;&gt;""),TblImps[[#This Row],[Amount 3]])</f>
        <v>0</v>
      </c>
      <c r="AN8" s="57">
        <f>IF(AND(TblImps[[#This Row],[Resource]]=AN$2,TblImps[[#This Row],[Part]]&lt;&gt;""),TblImps[[#This Row],[Amount]]) + IF(AND(TblImps[[#This Row],[Resource 2]]=AN$2,TblImps[[#This Row],[Part 2]]&lt;&gt;""),TblImps[[#This Row],[Amount 2]]) + IF(AND(TblImps[[#This Row],[Resource 3]]=AN$2,TblImps[[#This Row],[Part 3]]&lt;&gt;""),TblImps[[#This Row],[Amount 3]])</f>
        <v>0</v>
      </c>
      <c r="AO8" s="57">
        <f>IF(AND(TblImps[[#This Row],[Resource]]=AO$2,TblImps[[#This Row],[Part]]&lt;&gt;""),TblImps[[#This Row],[Amount]]) + IF(AND(TblImps[[#This Row],[Resource 2]]=AO$2,TblImps[[#This Row],[Part 2]]&lt;&gt;""),TblImps[[#This Row],[Amount 2]]) + IF(AND(TblImps[[#This Row],[Resource 3]]=AO$2,TblImps[[#This Row],[Part 3]]&lt;&gt;""),TblImps[[#This Row],[Amount 3]])</f>
        <v>0</v>
      </c>
      <c r="AP8" s="57">
        <f>IF(AND(TblImps[[#This Row],[Resource]]=AP$2,TblImps[[#This Row],[Part]]&lt;&gt;""),TblImps[[#This Row],[Amount]]) + IF(AND(TblImps[[#This Row],[Resource 2]]=AP$2,TblImps[[#This Row],[Part 2]]&lt;&gt;""),TblImps[[#This Row],[Amount 2]]) + IF(AND(TblImps[[#This Row],[Resource 3]]=AP$2,TblImps[[#This Row],[Part 3]]&lt;&gt;""),TblImps[[#This Row],[Amount 3]])</f>
        <v>0</v>
      </c>
      <c r="AQ8" s="142"/>
      <c r="AR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142"/>
      <c r="AW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142"/>
      <c r="BB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142"/>
      <c r="BG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57">
        <f ca="1">IF(OFFSET(TblMagic[[#This Row],[Active Alchemists Flame]],-1,0)&gt;0,TblConstr[[#This Row],[Tot Alc]]*alchemist_flame_invest,0)</f>
        <v>0</v>
      </c>
      <c r="BL8" s="142"/>
      <c r="BM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 s="142"/>
      <c r="BR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 s="142"/>
      <c r="BW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 s="61">
        <f>TblImps[[#This Row],[Login]]</f>
        <v>0</v>
      </c>
      <c r="BY8" s="137"/>
      <c r="BZ8" s="293">
        <f ca="1">OFFSET(TblImps[[#This Row],[Real time]],-1,0)+1/24</f>
        <v>46320.166666666657</v>
      </c>
      <c r="CA8" s="294">
        <f ca="1">OFFSET(TblImps[[#This Row],[Servertime]],-1,0)+1/24</f>
        <v>46320.166666666657</v>
      </c>
      <c r="CB8" s="57"/>
      <c r="CC8" s="292"/>
      <c r="CD8" s="292"/>
      <c r="CG8" s="295"/>
    </row>
    <row r="9" spans="1:85" x14ac:dyDescent="0.2">
      <c r="A9" s="214">
        <f ca="1">TblConstr[[#This Row],[Land]]</f>
        <v>50</v>
      </c>
      <c r="B9" s="142"/>
      <c r="C9" s="94">
        <f ca="1">TblProd[[#This Row],[Platinum]]</f>
        <v>126194</v>
      </c>
      <c r="D9" s="94">
        <f ca="1">TblProd[[#This Row],[Lumber]]</f>
        <v>19167</v>
      </c>
      <c r="E9" s="94">
        <f ca="1">TblProd[[#This Row],[Ore]]</f>
        <v>0</v>
      </c>
      <c r="F9" s="94">
        <f ca="1">TblProd[[#This Row],[Gems]]</f>
        <v>0</v>
      </c>
      <c r="G9" s="154"/>
      <c r="H9" s="94">
        <f ca="1">TblMili[[#This Row],[Draftees]]</f>
        <v>324</v>
      </c>
      <c r="I9" s="180">
        <f ca="1">TblPop[[#This Row],[Employment]]</f>
        <v>1</v>
      </c>
      <c r="J9" s="180">
        <f ca="1">TblPop[[#This Row],[Total]]/TblPop[[#This Row],[Net max]]</f>
        <v>1</v>
      </c>
      <c r="K9" s="283">
        <f>TblRezone[[#This Row],[Hour]]</f>
        <v>6</v>
      </c>
      <c r="L9" s="284">
        <f ca="1">TblImps[[#This Row],[Real time]]</f>
        <v>46320.208333333321</v>
      </c>
      <c r="M9" s="61">
        <f>IF(ISERROR(TblImps[[#This Row],[algorithm]]),0,TblImps[[#This Row],[algorithm]]*1)</f>
        <v>0</v>
      </c>
      <c r="N9" s="94">
        <f ca="1">TblImps[[#This Row],[Land]]</f>
        <v>50</v>
      </c>
      <c r="O9" s="285" t="s">
        <v>4</v>
      </c>
      <c r="P9" s="286"/>
      <c r="Q9" s="285" t="s">
        <v>210</v>
      </c>
      <c r="R9" s="285" t="s">
        <v>7</v>
      </c>
      <c r="S9" s="286"/>
      <c r="T9" s="285" t="s">
        <v>210</v>
      </c>
      <c r="U9" s="285" t="s">
        <v>3</v>
      </c>
      <c r="V9" s="286"/>
      <c r="W9" s="285" t="s">
        <v>210</v>
      </c>
      <c r="X9" s="142"/>
      <c r="Y9" s="287">
        <f ca="1">science_cap*(1-EXP(-TblImps[[#This Row],[Σ Science]]/(science_param*(OFFSET(TblImps[[#This Row],[Land]],1,0)-OFFSET(TblExplore[[#This Row],[Land Bonus]],1,0)*20)+15000)))*(1+(mason_bonus*TblConstr[[#This Row],[Tot Mas]]/TblConstr[[#This Row],[Land (2)]]))</f>
        <v>0</v>
      </c>
      <c r="Z9" s="287">
        <f ca="1">keep_cap*(1-EXP(-TblImps[[#This Row],[Σ Keep]]/(keep_param*(OFFSET(TblImps[[#This Row],[Land]],1,0)-OFFSET(TblExplore[[#This Row],[Land Bonus]],1,0)*20)+15000)))*(1+(mason_bonus*TblConstr[[#This Row],[Tot Mas]]/TblConstr[[#This Row],[Land (2)]]))</f>
        <v>0</v>
      </c>
      <c r="AA9" s="287">
        <f ca="1">harbor_towers_cap*(1-EXP(-TblImps[[#This Row],[Σ Spires]]/(towers_param*(OFFSET(TblImps[[#This Row],[Land]],1,0)-OFFSET(TblExplore[[#This Row],[Land Bonus]],1,0)*20)+15000)))*(1+(mason_bonus*TblConstr[[#This Row],[Tot Mas]]/TblConstr[[#This Row],[Land (2)]]))</f>
        <v>0</v>
      </c>
      <c r="AB9" s="287">
        <f ca="1">walls_forges_cap*(1-EXP(-TblImps[[#This Row],[Σ Forges]]/(walls_forges_param*(OFFSET(TblImps[[#This Row],[Land]],1,0)-OFFSET(TblExplore[[#This Row],[Land Bonus]],1,0)*20)+15000)))*(1+(mason_bonus*TblConstr[[#This Row],[Tot Mas]]/TblConstr[[#This Row],[Land (2)]]))</f>
        <v>0</v>
      </c>
      <c r="AC9" s="287">
        <f ca="1">walls_forges_cap*(1-EXP(-TblImps[[#This Row],[Σ Walls]]/(walls_forges_param*(OFFSET(TblImps[[#This Row],[Land]],1,0)-OFFSET(TblExplore[[#This Row],[Land Bonus]],1,0)*20)+15000)))*(1+(mason_bonus*TblConstr[[#This Row],[Tot Mas]]/TblConstr[[#This Row],[Land (2)]]))</f>
        <v>0</v>
      </c>
      <c r="AD9" s="287">
        <f ca="1">harbor_towers_cap*(1-EXP(-TblImps[[#This Row],[Σ Harbor]]/(harbor_towers_param*(OFFSET(TblImps[[#This Row],[Land]],1,0)-OFFSET(TblExplore[[#This Row],[Land Bonus]],1,0)*20)+15000)))*(1+(mason_bonus*TblConstr[[#This Row],[Tot Mas]]/TblConstr[[#This Row],[Land (2)]]))</f>
        <v>0</v>
      </c>
      <c r="AE9" s="142"/>
      <c r="AF9" s="61">
        <f ca="1">(1+Overview!$I$29)*SUM(TblImps[[#This Row],[P2]:[G2]])+OFFSET(TblImps[[#This Row],[Σ Science]],-1,0)</f>
        <v>0</v>
      </c>
      <c r="AG9" s="61">
        <f ca="1">(1+Overview!$I$29)*SUM(TblImps[[#This Row],[P3]:[G3]])+OFFSET(TblImps[[#This Row],[Σ Keep]],-1,0)</f>
        <v>0</v>
      </c>
      <c r="AH9" s="61">
        <f ca="1">(1+Overview!$I$29 + tech_7_1*TblTech[[#This Row],[7-1]])*SUM(TblImps[[#This Row],[P4]:[G4]])+OFFSET(TblImps[[#This Row],[Σ Spires]],-1,0)</f>
        <v>0</v>
      </c>
      <c r="AI9" s="61">
        <f ca="1">(1+Overview!$I$29)*SUM(TblImps[[#This Row],[P5]:[FW5]])+OFFSET(TblImps[[#This Row],[Σ Forges]],-1,0)</f>
        <v>0</v>
      </c>
      <c r="AJ9" s="61">
        <f ca="1">(1+Overview!$I$29)*SUM(TblImps[[#This Row],[P6]:[G6]])+OFFSET(TblImps[[#This Row],[Σ Walls]],-1,0)</f>
        <v>0</v>
      </c>
      <c r="AK9" s="61">
        <f ca="1">(1+Overview!$I$29 + tech_7_1*TblTech[[#This Row],[7-1]])*SUM(TblImps[[#This Row],[P7]:[G7]])+OFFSET(TblImps[[#This Row],[Σ Harbor]],-1,0)</f>
        <v>0</v>
      </c>
      <c r="AL9" s="142"/>
      <c r="AM9" s="57">
        <f>IF(AND(TblImps[[#This Row],[Resource]]=AM$2,TblImps[[#This Row],[Part]]&lt;&gt;""),TblImps[[#This Row],[Amount]]) + IF(AND(TblImps[[#This Row],[Resource 2]]=AM$2,TblImps[[#This Row],[Part 2]]&lt;&gt;""),TblImps[[#This Row],[Amount 2]]) + IF(AND(TblImps[[#This Row],[Resource 3]]=AM$2,TblImps[[#This Row],[Part 3]]&lt;&gt;""),TblImps[[#This Row],[Amount 3]])</f>
        <v>0</v>
      </c>
      <c r="AN9" s="57">
        <f>IF(AND(TblImps[[#This Row],[Resource]]=AN$2,TblImps[[#This Row],[Part]]&lt;&gt;""),TblImps[[#This Row],[Amount]]) + IF(AND(TblImps[[#This Row],[Resource 2]]=AN$2,TblImps[[#This Row],[Part 2]]&lt;&gt;""),TblImps[[#This Row],[Amount 2]]) + IF(AND(TblImps[[#This Row],[Resource 3]]=AN$2,TblImps[[#This Row],[Part 3]]&lt;&gt;""),TblImps[[#This Row],[Amount 3]])</f>
        <v>0</v>
      </c>
      <c r="AO9" s="57">
        <f>IF(AND(TblImps[[#This Row],[Resource]]=AO$2,TblImps[[#This Row],[Part]]&lt;&gt;""),TblImps[[#This Row],[Amount]]) + IF(AND(TblImps[[#This Row],[Resource 2]]=AO$2,TblImps[[#This Row],[Part 2]]&lt;&gt;""),TblImps[[#This Row],[Amount 2]]) + IF(AND(TblImps[[#This Row],[Resource 3]]=AO$2,TblImps[[#This Row],[Part 3]]&lt;&gt;""),TblImps[[#This Row],[Amount 3]])</f>
        <v>0</v>
      </c>
      <c r="AP9" s="57">
        <f>IF(AND(TblImps[[#This Row],[Resource]]=AP$2,TblImps[[#This Row],[Part]]&lt;&gt;""),TblImps[[#This Row],[Amount]]) + IF(AND(TblImps[[#This Row],[Resource 2]]=AP$2,TblImps[[#This Row],[Part 2]]&lt;&gt;""),TblImps[[#This Row],[Amount 2]]) + IF(AND(TblImps[[#This Row],[Resource 3]]=AP$2,TblImps[[#This Row],[Part 3]]&lt;&gt;""),TblImps[[#This Row],[Amount 3]])</f>
        <v>0</v>
      </c>
      <c r="AQ9" s="142"/>
      <c r="AR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142"/>
      <c r="AW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142"/>
      <c r="BB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142"/>
      <c r="BG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57">
        <f ca="1">IF(OFFSET(TblMagic[[#This Row],[Active Alchemists Flame]],-1,0)&gt;0,TblConstr[[#This Row],[Tot Alc]]*alchemist_flame_invest,0)</f>
        <v>0</v>
      </c>
      <c r="BL9" s="142"/>
      <c r="BM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 s="142"/>
      <c r="BR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 s="142"/>
      <c r="BW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 s="61">
        <f>TblImps[[#This Row],[Login]]</f>
        <v>0</v>
      </c>
      <c r="BY9" s="137"/>
      <c r="BZ9" s="293">
        <f ca="1">OFFSET(TblImps[[#This Row],[Real time]],-1,0)+1/24</f>
        <v>46320.208333333321</v>
      </c>
      <c r="CA9" s="294">
        <f ca="1">OFFSET(TblImps[[#This Row],[Servertime]],-1,0)+1/24</f>
        <v>46320.208333333321</v>
      </c>
      <c r="CB9" s="57"/>
      <c r="CC9" s="292"/>
      <c r="CD9" s="292"/>
      <c r="CG9" s="295"/>
    </row>
    <row r="10" spans="1:85" x14ac:dyDescent="0.2">
      <c r="A10" s="214">
        <f ca="1">TblConstr[[#This Row],[Land]]</f>
        <v>50</v>
      </c>
      <c r="B10" s="142"/>
      <c r="C10" s="94">
        <f ca="1">TblProd[[#This Row],[Platinum]]</f>
        <v>127395</v>
      </c>
      <c r="D10" s="94">
        <f ca="1">TblProd[[#This Row],[Lumber]]</f>
        <v>19975</v>
      </c>
      <c r="E10" s="94">
        <f ca="1">TblProd[[#This Row],[Ore]]</f>
        <v>0</v>
      </c>
      <c r="F10" s="94">
        <f ca="1">TblProd[[#This Row],[Gems]]</f>
        <v>0</v>
      </c>
      <c r="G10" s="154"/>
      <c r="H10" s="94">
        <f ca="1">TblMili[[#This Row],[Draftees]]</f>
        <v>328</v>
      </c>
      <c r="I10" s="180">
        <f ca="1">TblPop[[#This Row],[Employment]]</f>
        <v>1</v>
      </c>
      <c r="J10" s="180">
        <f ca="1">TblPop[[#This Row],[Total]]/TblPop[[#This Row],[Net max]]</f>
        <v>1</v>
      </c>
      <c r="K10" s="283">
        <f>TblRezone[[#This Row],[Hour]]</f>
        <v>7</v>
      </c>
      <c r="L10" s="284">
        <f ca="1">TblImps[[#This Row],[Real time]]</f>
        <v>46320.249999999985</v>
      </c>
      <c r="M10" s="61">
        <f>IF(ISERROR(TblImps[[#This Row],[algorithm]]),0,TblImps[[#This Row],[algorithm]]*1)</f>
        <v>0</v>
      </c>
      <c r="N10" s="94">
        <f ca="1">TblImps[[#This Row],[Land]]</f>
        <v>50</v>
      </c>
      <c r="O10" s="285" t="s">
        <v>4</v>
      </c>
      <c r="P10" s="286"/>
      <c r="Q10" s="285" t="s">
        <v>210</v>
      </c>
      <c r="R10" s="285" t="s">
        <v>7</v>
      </c>
      <c r="S10" s="286"/>
      <c r="T10" s="285" t="s">
        <v>210</v>
      </c>
      <c r="U10" s="285" t="s">
        <v>3</v>
      </c>
      <c r="V10" s="286"/>
      <c r="W10" s="285" t="s">
        <v>210</v>
      </c>
      <c r="X10" s="142"/>
      <c r="Y10" s="287">
        <f ca="1">science_cap*(1-EXP(-TblImps[[#This Row],[Σ Science]]/(science_param*(OFFSET(TblImps[[#This Row],[Land]],1,0)-OFFSET(TblExplore[[#This Row],[Land Bonus]],1,0)*20)+15000)))*(1+(mason_bonus*TblConstr[[#This Row],[Tot Mas]]/TblConstr[[#This Row],[Land (2)]]))</f>
        <v>0</v>
      </c>
      <c r="Z10" s="287">
        <f ca="1">keep_cap*(1-EXP(-TblImps[[#This Row],[Σ Keep]]/(keep_param*(OFFSET(TblImps[[#This Row],[Land]],1,0)-OFFSET(TblExplore[[#This Row],[Land Bonus]],1,0)*20)+15000)))*(1+(mason_bonus*TblConstr[[#This Row],[Tot Mas]]/TblConstr[[#This Row],[Land (2)]]))</f>
        <v>0</v>
      </c>
      <c r="AA10" s="287">
        <f ca="1">harbor_towers_cap*(1-EXP(-TblImps[[#This Row],[Σ Spires]]/(towers_param*(OFFSET(TblImps[[#This Row],[Land]],1,0)-OFFSET(TblExplore[[#This Row],[Land Bonus]],1,0)*20)+15000)))*(1+(mason_bonus*TblConstr[[#This Row],[Tot Mas]]/TblConstr[[#This Row],[Land (2)]]))</f>
        <v>0</v>
      </c>
      <c r="AB10" s="287">
        <f ca="1">walls_forges_cap*(1-EXP(-TblImps[[#This Row],[Σ Forges]]/(walls_forges_param*(OFFSET(TblImps[[#This Row],[Land]],1,0)-OFFSET(TblExplore[[#This Row],[Land Bonus]],1,0)*20)+15000)))*(1+(mason_bonus*TblConstr[[#This Row],[Tot Mas]]/TblConstr[[#This Row],[Land (2)]]))</f>
        <v>0</v>
      </c>
      <c r="AC10" s="287">
        <f ca="1">walls_forges_cap*(1-EXP(-TblImps[[#This Row],[Σ Walls]]/(walls_forges_param*(OFFSET(TblImps[[#This Row],[Land]],1,0)-OFFSET(TblExplore[[#This Row],[Land Bonus]],1,0)*20)+15000)))*(1+(mason_bonus*TblConstr[[#This Row],[Tot Mas]]/TblConstr[[#This Row],[Land (2)]]))</f>
        <v>0</v>
      </c>
      <c r="AD10" s="287">
        <f ca="1">harbor_towers_cap*(1-EXP(-TblImps[[#This Row],[Σ Harbor]]/(harbor_towers_param*(OFFSET(TblImps[[#This Row],[Land]],1,0)-OFFSET(TblExplore[[#This Row],[Land Bonus]],1,0)*20)+15000)))*(1+(mason_bonus*TblConstr[[#This Row],[Tot Mas]]/TblConstr[[#This Row],[Land (2)]]))</f>
        <v>0</v>
      </c>
      <c r="AE10" s="142"/>
      <c r="AF10" s="61">
        <f ca="1">(1+Overview!$I$29)*SUM(TblImps[[#This Row],[P2]:[G2]])+OFFSET(TblImps[[#This Row],[Σ Science]],-1,0)</f>
        <v>0</v>
      </c>
      <c r="AG10" s="61">
        <f ca="1">(1+Overview!$I$29)*SUM(TblImps[[#This Row],[P3]:[G3]])+OFFSET(TblImps[[#This Row],[Σ Keep]],-1,0)</f>
        <v>0</v>
      </c>
      <c r="AH10" s="61">
        <f ca="1">(1+Overview!$I$29 + tech_7_1*TblTech[[#This Row],[7-1]])*SUM(TblImps[[#This Row],[P4]:[G4]])+OFFSET(TblImps[[#This Row],[Σ Spires]],-1,0)</f>
        <v>0</v>
      </c>
      <c r="AI10" s="61">
        <f ca="1">(1+Overview!$I$29)*SUM(TblImps[[#This Row],[P5]:[FW5]])+OFFSET(TblImps[[#This Row],[Σ Forges]],-1,0)</f>
        <v>0</v>
      </c>
      <c r="AJ10" s="61">
        <f ca="1">(1+Overview!$I$29)*SUM(TblImps[[#This Row],[P6]:[G6]])+OFFSET(TblImps[[#This Row],[Σ Walls]],-1,0)</f>
        <v>0</v>
      </c>
      <c r="AK10" s="61">
        <f ca="1">(1+Overview!$I$29 + tech_7_1*TblTech[[#This Row],[7-1]])*SUM(TblImps[[#This Row],[P7]:[G7]])+OFFSET(TblImps[[#This Row],[Σ Harbor]],-1,0)</f>
        <v>0</v>
      </c>
      <c r="AL10" s="142"/>
      <c r="AM10" s="57">
        <f>IF(AND(TblImps[[#This Row],[Resource]]=AM$2,TblImps[[#This Row],[Part]]&lt;&gt;""),TblImps[[#This Row],[Amount]]) + IF(AND(TblImps[[#This Row],[Resource 2]]=AM$2,TblImps[[#This Row],[Part 2]]&lt;&gt;""),TblImps[[#This Row],[Amount 2]]) + IF(AND(TblImps[[#This Row],[Resource 3]]=AM$2,TblImps[[#This Row],[Part 3]]&lt;&gt;""),TblImps[[#This Row],[Amount 3]])</f>
        <v>0</v>
      </c>
      <c r="AN10" s="57">
        <f>IF(AND(TblImps[[#This Row],[Resource]]=AN$2,TblImps[[#This Row],[Part]]&lt;&gt;""),TblImps[[#This Row],[Amount]]) + IF(AND(TblImps[[#This Row],[Resource 2]]=AN$2,TblImps[[#This Row],[Part 2]]&lt;&gt;""),TblImps[[#This Row],[Amount 2]]) + IF(AND(TblImps[[#This Row],[Resource 3]]=AN$2,TblImps[[#This Row],[Part 3]]&lt;&gt;""),TblImps[[#This Row],[Amount 3]])</f>
        <v>0</v>
      </c>
      <c r="AO10" s="57">
        <f>IF(AND(TblImps[[#This Row],[Resource]]=AO$2,TblImps[[#This Row],[Part]]&lt;&gt;""),TblImps[[#This Row],[Amount]]) + IF(AND(TblImps[[#This Row],[Resource 2]]=AO$2,TblImps[[#This Row],[Part 2]]&lt;&gt;""),TblImps[[#This Row],[Amount 2]]) + IF(AND(TblImps[[#This Row],[Resource 3]]=AO$2,TblImps[[#This Row],[Part 3]]&lt;&gt;""),TblImps[[#This Row],[Amount 3]])</f>
        <v>0</v>
      </c>
      <c r="AP10" s="57">
        <f>IF(AND(TblImps[[#This Row],[Resource]]=AP$2,TblImps[[#This Row],[Part]]&lt;&gt;""),TblImps[[#This Row],[Amount]]) + IF(AND(TblImps[[#This Row],[Resource 2]]=AP$2,TblImps[[#This Row],[Part 2]]&lt;&gt;""),TblImps[[#This Row],[Amount 2]]) + IF(AND(TblImps[[#This Row],[Resource 3]]=AP$2,TblImps[[#This Row],[Part 3]]&lt;&gt;""),TblImps[[#This Row],[Amount 3]])</f>
        <v>0</v>
      </c>
      <c r="AQ10" s="142"/>
      <c r="AR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142"/>
      <c r="AW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142"/>
      <c r="BB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142"/>
      <c r="BG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57">
        <f ca="1">IF(OFFSET(TblMagic[[#This Row],[Active Alchemists Flame]],-1,0)&gt;0,TblConstr[[#This Row],[Tot Alc]]*alchemist_flame_invest,0)</f>
        <v>0</v>
      </c>
      <c r="BL10" s="142"/>
      <c r="BM1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 s="142"/>
      <c r="BR1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 s="142"/>
      <c r="BW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 s="61">
        <f>TblImps[[#This Row],[Login]]</f>
        <v>0</v>
      </c>
      <c r="BY10" s="137"/>
      <c r="BZ10" s="293">
        <f ca="1">OFFSET(TblImps[[#This Row],[Real time]],-1,0)+1/24</f>
        <v>46320.249999999985</v>
      </c>
      <c r="CA10" s="294">
        <f ca="1">OFFSET(TblImps[[#This Row],[Servertime]],-1,0)+1/24</f>
        <v>46320.249999999985</v>
      </c>
      <c r="CB10" s="57"/>
      <c r="CC10" s="292"/>
      <c r="CD10" s="292"/>
    </row>
    <row r="11" spans="1:85" x14ac:dyDescent="0.2">
      <c r="A11" s="214">
        <f ca="1">TblConstr[[#This Row],[Land]]</f>
        <v>50</v>
      </c>
      <c r="B11" s="142"/>
      <c r="C11" s="94">
        <f ca="1">TblProd[[#This Row],[Platinum]]</f>
        <v>128585</v>
      </c>
      <c r="D11" s="94">
        <f ca="1">TblProd[[#This Row],[Lumber]]</f>
        <v>20775</v>
      </c>
      <c r="E11" s="94">
        <f ca="1">TblProd[[#This Row],[Ore]]</f>
        <v>0</v>
      </c>
      <c r="F11" s="94">
        <f ca="1">TblProd[[#This Row],[Gems]]</f>
        <v>0</v>
      </c>
      <c r="G11" s="154"/>
      <c r="H11" s="94">
        <f ca="1">TblMili[[#This Row],[Draftees]]</f>
        <v>332</v>
      </c>
      <c r="I11" s="180">
        <f ca="1">TblPop[[#This Row],[Employment]]</f>
        <v>1</v>
      </c>
      <c r="J11" s="180">
        <f ca="1">TblPop[[#This Row],[Total]]/TblPop[[#This Row],[Net max]]</f>
        <v>1</v>
      </c>
      <c r="K11" s="283">
        <f>TblRezone[[#This Row],[Hour]]</f>
        <v>8</v>
      </c>
      <c r="L11" s="284">
        <f ca="1">TblImps[[#This Row],[Real time]]</f>
        <v>46320.29166666665</v>
      </c>
      <c r="M11" s="61">
        <f>IF(ISERROR(TblImps[[#This Row],[algorithm]]),0,TblImps[[#This Row],[algorithm]]*1)</f>
        <v>0</v>
      </c>
      <c r="N11" s="94">
        <f ca="1">TblImps[[#This Row],[Land]]</f>
        <v>50</v>
      </c>
      <c r="O11" s="285" t="s">
        <v>4</v>
      </c>
      <c r="P11" s="286"/>
      <c r="Q11" s="285" t="s">
        <v>210</v>
      </c>
      <c r="R11" s="285" t="s">
        <v>7</v>
      </c>
      <c r="S11" s="286"/>
      <c r="T11" s="285" t="s">
        <v>210</v>
      </c>
      <c r="U11" s="285" t="s">
        <v>3</v>
      </c>
      <c r="V11" s="286"/>
      <c r="W11" s="285" t="s">
        <v>210</v>
      </c>
      <c r="X11" s="142"/>
      <c r="Y11" s="287">
        <f ca="1">science_cap*(1-EXP(-TblImps[[#This Row],[Σ Science]]/(science_param*(OFFSET(TblImps[[#This Row],[Land]],1,0)-OFFSET(TblExplore[[#This Row],[Land Bonus]],1,0)*20)+15000)))*(1+(mason_bonus*TblConstr[[#This Row],[Tot Mas]]/TblConstr[[#This Row],[Land (2)]]))</f>
        <v>0</v>
      </c>
      <c r="Z11" s="287">
        <f ca="1">keep_cap*(1-EXP(-TblImps[[#This Row],[Σ Keep]]/(keep_param*(OFFSET(TblImps[[#This Row],[Land]],1,0)-OFFSET(TblExplore[[#This Row],[Land Bonus]],1,0)*20)+15000)))*(1+(mason_bonus*TblConstr[[#This Row],[Tot Mas]]/TblConstr[[#This Row],[Land (2)]]))</f>
        <v>0</v>
      </c>
      <c r="AA11" s="287">
        <f ca="1">harbor_towers_cap*(1-EXP(-TblImps[[#This Row],[Σ Spires]]/(towers_param*(OFFSET(TblImps[[#This Row],[Land]],1,0)-OFFSET(TblExplore[[#This Row],[Land Bonus]],1,0)*20)+15000)))*(1+(mason_bonus*TblConstr[[#This Row],[Tot Mas]]/TblConstr[[#This Row],[Land (2)]]))</f>
        <v>0</v>
      </c>
      <c r="AB11" s="287">
        <f ca="1">walls_forges_cap*(1-EXP(-TblImps[[#This Row],[Σ Forges]]/(walls_forges_param*(OFFSET(TblImps[[#This Row],[Land]],1,0)-OFFSET(TblExplore[[#This Row],[Land Bonus]],1,0)*20)+15000)))*(1+(mason_bonus*TblConstr[[#This Row],[Tot Mas]]/TblConstr[[#This Row],[Land (2)]]))</f>
        <v>0</v>
      </c>
      <c r="AC11" s="287">
        <f ca="1">walls_forges_cap*(1-EXP(-TblImps[[#This Row],[Σ Walls]]/(walls_forges_param*(OFFSET(TblImps[[#This Row],[Land]],1,0)-OFFSET(TblExplore[[#This Row],[Land Bonus]],1,0)*20)+15000)))*(1+(mason_bonus*TblConstr[[#This Row],[Tot Mas]]/TblConstr[[#This Row],[Land (2)]]))</f>
        <v>0</v>
      </c>
      <c r="AD11" s="287">
        <f ca="1">harbor_towers_cap*(1-EXP(-TblImps[[#This Row],[Σ Harbor]]/(harbor_towers_param*(OFFSET(TblImps[[#This Row],[Land]],1,0)-OFFSET(TblExplore[[#This Row],[Land Bonus]],1,0)*20)+15000)))*(1+(mason_bonus*TblConstr[[#This Row],[Tot Mas]]/TblConstr[[#This Row],[Land (2)]]))</f>
        <v>0</v>
      </c>
      <c r="AE11" s="142"/>
      <c r="AF11" s="61">
        <f ca="1">(1+Overview!$I$29)*SUM(TblImps[[#This Row],[P2]:[G2]])+OFFSET(TblImps[[#This Row],[Σ Science]],-1,0)</f>
        <v>0</v>
      </c>
      <c r="AG11" s="61">
        <f ca="1">(1+Overview!$I$29)*SUM(TblImps[[#This Row],[P3]:[G3]])+OFFSET(TblImps[[#This Row],[Σ Keep]],-1,0)</f>
        <v>0</v>
      </c>
      <c r="AH11" s="61">
        <f ca="1">(1+Overview!$I$29 + tech_7_1*TblTech[[#This Row],[7-1]])*SUM(TblImps[[#This Row],[P4]:[G4]])+OFFSET(TblImps[[#This Row],[Σ Spires]],-1,0)</f>
        <v>0</v>
      </c>
      <c r="AI11" s="61">
        <f ca="1">(1+Overview!$I$29)*SUM(TblImps[[#This Row],[P5]:[FW5]])+OFFSET(TblImps[[#This Row],[Σ Forges]],-1,0)</f>
        <v>0</v>
      </c>
      <c r="AJ11" s="61">
        <f ca="1">(1+Overview!$I$29)*SUM(TblImps[[#This Row],[P6]:[G6]])+OFFSET(TblImps[[#This Row],[Σ Walls]],-1,0)</f>
        <v>0</v>
      </c>
      <c r="AK11" s="61">
        <f ca="1">(1+Overview!$I$29 + tech_7_1*TblTech[[#This Row],[7-1]])*SUM(TblImps[[#This Row],[P7]:[G7]])+OFFSET(TblImps[[#This Row],[Σ Harbor]],-1,0)</f>
        <v>0</v>
      </c>
      <c r="AL11" s="142"/>
      <c r="AM11" s="57">
        <f>IF(AND(TblImps[[#This Row],[Resource]]=AM$2,TblImps[[#This Row],[Part]]&lt;&gt;""),TblImps[[#This Row],[Amount]]) + IF(AND(TblImps[[#This Row],[Resource 2]]=AM$2,TblImps[[#This Row],[Part 2]]&lt;&gt;""),TblImps[[#This Row],[Amount 2]]) + IF(AND(TblImps[[#This Row],[Resource 3]]=AM$2,TblImps[[#This Row],[Part 3]]&lt;&gt;""),TblImps[[#This Row],[Amount 3]])</f>
        <v>0</v>
      </c>
      <c r="AN11" s="57">
        <f>IF(AND(TblImps[[#This Row],[Resource]]=AN$2,TblImps[[#This Row],[Part]]&lt;&gt;""),TblImps[[#This Row],[Amount]]) + IF(AND(TblImps[[#This Row],[Resource 2]]=AN$2,TblImps[[#This Row],[Part 2]]&lt;&gt;""),TblImps[[#This Row],[Amount 2]]) + IF(AND(TblImps[[#This Row],[Resource 3]]=AN$2,TblImps[[#This Row],[Part 3]]&lt;&gt;""),TblImps[[#This Row],[Amount 3]])</f>
        <v>0</v>
      </c>
      <c r="AO11" s="57">
        <f>IF(AND(TblImps[[#This Row],[Resource]]=AO$2,TblImps[[#This Row],[Part]]&lt;&gt;""),TblImps[[#This Row],[Amount]]) + IF(AND(TblImps[[#This Row],[Resource 2]]=AO$2,TblImps[[#This Row],[Part 2]]&lt;&gt;""),TblImps[[#This Row],[Amount 2]]) + IF(AND(TblImps[[#This Row],[Resource 3]]=AO$2,TblImps[[#This Row],[Part 3]]&lt;&gt;""),TblImps[[#This Row],[Amount 3]])</f>
        <v>0</v>
      </c>
      <c r="AP11" s="57">
        <f>IF(AND(TblImps[[#This Row],[Resource]]=AP$2,TblImps[[#This Row],[Part]]&lt;&gt;""),TblImps[[#This Row],[Amount]]) + IF(AND(TblImps[[#This Row],[Resource 2]]=AP$2,TblImps[[#This Row],[Part 2]]&lt;&gt;""),TblImps[[#This Row],[Amount 2]]) + IF(AND(TblImps[[#This Row],[Resource 3]]=AP$2,TblImps[[#This Row],[Part 3]]&lt;&gt;""),TblImps[[#This Row],[Amount 3]])</f>
        <v>0</v>
      </c>
      <c r="AQ11" s="142"/>
      <c r="AR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142"/>
      <c r="AW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142"/>
      <c r="BB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142"/>
      <c r="BG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57">
        <f ca="1">IF(OFFSET(TblMagic[[#This Row],[Active Alchemists Flame]],-1,0)&gt;0,TblConstr[[#This Row],[Tot Alc]]*alchemist_flame_invest,0)</f>
        <v>0</v>
      </c>
      <c r="BL11" s="142"/>
      <c r="BM1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 s="142"/>
      <c r="BR1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 s="142"/>
      <c r="BW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 s="61">
        <f>TblImps[[#This Row],[Login]]</f>
        <v>0</v>
      </c>
      <c r="BY11" s="137"/>
      <c r="BZ11" s="293">
        <f ca="1">OFFSET(TblImps[[#This Row],[Real time]],-1,0)+1/24</f>
        <v>46320.29166666665</v>
      </c>
      <c r="CA11" s="294">
        <f ca="1">OFFSET(TblImps[[#This Row],[Servertime]],-1,0)+1/24</f>
        <v>46320.29166666665</v>
      </c>
      <c r="CB11" s="57"/>
      <c r="CC11" s="292"/>
      <c r="CD11" s="292"/>
    </row>
    <row r="12" spans="1:85" x14ac:dyDescent="0.2">
      <c r="A12" s="214">
        <f ca="1">TblConstr[[#This Row],[Land]]</f>
        <v>50</v>
      </c>
      <c r="B12" s="142"/>
      <c r="C12" s="94">
        <f ca="1">TblProd[[#This Row],[Platinum]]</f>
        <v>129764</v>
      </c>
      <c r="D12" s="94">
        <f ca="1">TblProd[[#This Row],[Lumber]]</f>
        <v>21567</v>
      </c>
      <c r="E12" s="94">
        <f ca="1">TblProd[[#This Row],[Ore]]</f>
        <v>0</v>
      </c>
      <c r="F12" s="94">
        <f ca="1">TblProd[[#This Row],[Gems]]</f>
        <v>0</v>
      </c>
      <c r="G12" s="154"/>
      <c r="H12" s="94">
        <f ca="1">TblMili[[#This Row],[Draftees]]</f>
        <v>336</v>
      </c>
      <c r="I12" s="180">
        <f ca="1">TblPop[[#This Row],[Employment]]</f>
        <v>1</v>
      </c>
      <c r="J12" s="180">
        <f ca="1">TblPop[[#This Row],[Total]]/TblPop[[#This Row],[Net max]]</f>
        <v>1</v>
      </c>
      <c r="K12" s="283">
        <f>TblRezone[[#This Row],[Hour]]</f>
        <v>9</v>
      </c>
      <c r="L12" s="284">
        <f ca="1">TblImps[[#This Row],[Real time]]</f>
        <v>46320.333333333314</v>
      </c>
      <c r="M12" s="61">
        <f>IF(ISERROR(TblImps[[#This Row],[algorithm]]),0,TblImps[[#This Row],[algorithm]]*1)</f>
        <v>0</v>
      </c>
      <c r="N12" s="94">
        <f ca="1">TblImps[[#This Row],[Land]]</f>
        <v>50</v>
      </c>
      <c r="O12" s="285" t="s">
        <v>4</v>
      </c>
      <c r="P12" s="286"/>
      <c r="Q12" s="285" t="s">
        <v>210</v>
      </c>
      <c r="R12" s="285" t="s">
        <v>7</v>
      </c>
      <c r="S12" s="286"/>
      <c r="T12" s="285" t="s">
        <v>210</v>
      </c>
      <c r="U12" s="285" t="s">
        <v>3</v>
      </c>
      <c r="V12" s="286"/>
      <c r="W12" s="285" t="s">
        <v>210</v>
      </c>
      <c r="X12" s="142"/>
      <c r="Y12" s="287">
        <f ca="1">science_cap*(1-EXP(-TblImps[[#This Row],[Σ Science]]/(science_param*(OFFSET(TblImps[[#This Row],[Land]],1,0)-OFFSET(TblExplore[[#This Row],[Land Bonus]],1,0)*20)+15000)))*(1+(mason_bonus*TblConstr[[#This Row],[Tot Mas]]/TblConstr[[#This Row],[Land (2)]]))</f>
        <v>0</v>
      </c>
      <c r="Z12" s="287">
        <f ca="1">keep_cap*(1-EXP(-TblImps[[#This Row],[Σ Keep]]/(keep_param*(OFFSET(TblImps[[#This Row],[Land]],1,0)-OFFSET(TblExplore[[#This Row],[Land Bonus]],1,0)*20)+15000)))*(1+(mason_bonus*TblConstr[[#This Row],[Tot Mas]]/TblConstr[[#This Row],[Land (2)]]))</f>
        <v>0</v>
      </c>
      <c r="AA12" s="287">
        <f ca="1">harbor_towers_cap*(1-EXP(-TblImps[[#This Row],[Σ Spires]]/(towers_param*(OFFSET(TblImps[[#This Row],[Land]],1,0)-OFFSET(TblExplore[[#This Row],[Land Bonus]],1,0)*20)+15000)))*(1+(mason_bonus*TblConstr[[#This Row],[Tot Mas]]/TblConstr[[#This Row],[Land (2)]]))</f>
        <v>0</v>
      </c>
      <c r="AB12" s="287">
        <f ca="1">walls_forges_cap*(1-EXP(-TblImps[[#This Row],[Σ Forges]]/(walls_forges_param*(OFFSET(TblImps[[#This Row],[Land]],1,0)-OFFSET(TblExplore[[#This Row],[Land Bonus]],1,0)*20)+15000)))*(1+(mason_bonus*TblConstr[[#This Row],[Tot Mas]]/TblConstr[[#This Row],[Land (2)]]))</f>
        <v>0</v>
      </c>
      <c r="AC12" s="287">
        <f ca="1">walls_forges_cap*(1-EXP(-TblImps[[#This Row],[Σ Walls]]/(walls_forges_param*(OFFSET(TblImps[[#This Row],[Land]],1,0)-OFFSET(TblExplore[[#This Row],[Land Bonus]],1,0)*20)+15000)))*(1+(mason_bonus*TblConstr[[#This Row],[Tot Mas]]/TblConstr[[#This Row],[Land (2)]]))</f>
        <v>0</v>
      </c>
      <c r="AD12" s="287">
        <f ca="1">harbor_towers_cap*(1-EXP(-TblImps[[#This Row],[Σ Harbor]]/(harbor_towers_param*(OFFSET(TblImps[[#This Row],[Land]],1,0)-OFFSET(TblExplore[[#This Row],[Land Bonus]],1,0)*20)+15000)))*(1+(mason_bonus*TblConstr[[#This Row],[Tot Mas]]/TblConstr[[#This Row],[Land (2)]]))</f>
        <v>0</v>
      </c>
      <c r="AE12" s="142"/>
      <c r="AF12" s="61">
        <f ca="1">(1+Overview!$I$29)*SUM(TblImps[[#This Row],[P2]:[G2]])+OFFSET(TblImps[[#This Row],[Σ Science]],-1,0)</f>
        <v>0</v>
      </c>
      <c r="AG12" s="61">
        <f ca="1">(1+Overview!$I$29)*SUM(TblImps[[#This Row],[P3]:[G3]])+OFFSET(TblImps[[#This Row],[Σ Keep]],-1,0)</f>
        <v>0</v>
      </c>
      <c r="AH12" s="61">
        <f ca="1">(1+Overview!$I$29 + tech_7_1*TblTech[[#This Row],[7-1]])*SUM(TblImps[[#This Row],[P4]:[G4]])+OFFSET(TblImps[[#This Row],[Σ Spires]],-1,0)</f>
        <v>0</v>
      </c>
      <c r="AI12" s="61">
        <f ca="1">(1+Overview!$I$29)*SUM(TblImps[[#This Row],[P5]:[FW5]])+OFFSET(TblImps[[#This Row],[Σ Forges]],-1,0)</f>
        <v>0</v>
      </c>
      <c r="AJ12" s="61">
        <f ca="1">(1+Overview!$I$29)*SUM(TblImps[[#This Row],[P6]:[G6]])+OFFSET(TblImps[[#This Row],[Σ Walls]],-1,0)</f>
        <v>0</v>
      </c>
      <c r="AK12" s="61">
        <f ca="1">(1+Overview!$I$29 + tech_7_1*TblTech[[#This Row],[7-1]])*SUM(TblImps[[#This Row],[P7]:[G7]])+OFFSET(TblImps[[#This Row],[Σ Harbor]],-1,0)</f>
        <v>0</v>
      </c>
      <c r="AL12" s="142"/>
      <c r="AM12" s="57">
        <f>IF(AND(TblImps[[#This Row],[Resource]]=AM$2,TblImps[[#This Row],[Part]]&lt;&gt;""),TblImps[[#This Row],[Amount]]) + IF(AND(TblImps[[#This Row],[Resource 2]]=AM$2,TblImps[[#This Row],[Part 2]]&lt;&gt;""),TblImps[[#This Row],[Amount 2]]) + IF(AND(TblImps[[#This Row],[Resource 3]]=AM$2,TblImps[[#This Row],[Part 3]]&lt;&gt;""),TblImps[[#This Row],[Amount 3]])</f>
        <v>0</v>
      </c>
      <c r="AN12" s="57">
        <f>IF(AND(TblImps[[#This Row],[Resource]]=AN$2,TblImps[[#This Row],[Part]]&lt;&gt;""),TblImps[[#This Row],[Amount]]) + IF(AND(TblImps[[#This Row],[Resource 2]]=AN$2,TblImps[[#This Row],[Part 2]]&lt;&gt;""),TblImps[[#This Row],[Amount 2]]) + IF(AND(TblImps[[#This Row],[Resource 3]]=AN$2,TblImps[[#This Row],[Part 3]]&lt;&gt;""),TblImps[[#This Row],[Amount 3]])</f>
        <v>0</v>
      </c>
      <c r="AO12" s="57">
        <f>IF(AND(TblImps[[#This Row],[Resource]]=AO$2,TblImps[[#This Row],[Part]]&lt;&gt;""),TblImps[[#This Row],[Amount]]) + IF(AND(TblImps[[#This Row],[Resource 2]]=AO$2,TblImps[[#This Row],[Part 2]]&lt;&gt;""),TblImps[[#This Row],[Amount 2]]) + IF(AND(TblImps[[#This Row],[Resource 3]]=AO$2,TblImps[[#This Row],[Part 3]]&lt;&gt;""),TblImps[[#This Row],[Amount 3]])</f>
        <v>0</v>
      </c>
      <c r="AP12" s="57">
        <f>IF(AND(TblImps[[#This Row],[Resource]]=AP$2,TblImps[[#This Row],[Part]]&lt;&gt;""),TblImps[[#This Row],[Amount]]) + IF(AND(TblImps[[#This Row],[Resource 2]]=AP$2,TblImps[[#This Row],[Part 2]]&lt;&gt;""),TblImps[[#This Row],[Amount 2]]) + IF(AND(TblImps[[#This Row],[Resource 3]]=AP$2,TblImps[[#This Row],[Part 3]]&lt;&gt;""),TblImps[[#This Row],[Amount 3]])</f>
        <v>0</v>
      </c>
      <c r="AQ12" s="142"/>
      <c r="AR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142"/>
      <c r="AW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142"/>
      <c r="BB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142"/>
      <c r="BG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57">
        <f ca="1">IF(OFFSET(TblMagic[[#This Row],[Active Alchemists Flame]],-1,0)&gt;0,TblConstr[[#This Row],[Tot Alc]]*alchemist_flame_invest,0)</f>
        <v>0</v>
      </c>
      <c r="BL12" s="142"/>
      <c r="BM1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 s="142"/>
      <c r="BR1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 s="142"/>
      <c r="BW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 s="61">
        <f>TblImps[[#This Row],[Login]]</f>
        <v>0</v>
      </c>
      <c r="BY12" s="137"/>
      <c r="BZ12" s="293">
        <f ca="1">OFFSET(TblImps[[#This Row],[Real time]],-1,0)+1/24</f>
        <v>46320.333333333314</v>
      </c>
      <c r="CA12" s="294">
        <f ca="1">OFFSET(TblImps[[#This Row],[Servertime]],-1,0)+1/24</f>
        <v>46320.333333333314</v>
      </c>
      <c r="CB12" s="57"/>
      <c r="CC12" s="292"/>
      <c r="CD12" s="292"/>
    </row>
    <row r="13" spans="1:85" x14ac:dyDescent="0.2">
      <c r="A13" s="214">
        <f ca="1">TblConstr[[#This Row],[Land]]</f>
        <v>50</v>
      </c>
      <c r="B13" s="142"/>
      <c r="C13" s="94">
        <f ca="1">TblProd[[#This Row],[Platinum]]</f>
        <v>130933</v>
      </c>
      <c r="D13" s="94">
        <f ca="1">TblProd[[#This Row],[Lumber]]</f>
        <v>22351</v>
      </c>
      <c r="E13" s="94">
        <f ca="1">TblProd[[#This Row],[Ore]]</f>
        <v>0</v>
      </c>
      <c r="F13" s="94">
        <f ca="1">TblProd[[#This Row],[Gems]]</f>
        <v>0</v>
      </c>
      <c r="G13" s="154"/>
      <c r="H13" s="94">
        <f ca="1">TblMili[[#This Row],[Draftees]]</f>
        <v>340</v>
      </c>
      <c r="I13" s="180">
        <f ca="1">TblPop[[#This Row],[Employment]]</f>
        <v>1</v>
      </c>
      <c r="J13" s="180">
        <f ca="1">TblPop[[#This Row],[Total]]/TblPop[[#This Row],[Net max]]</f>
        <v>1</v>
      </c>
      <c r="K13" s="283">
        <f>TblRezone[[#This Row],[Hour]]</f>
        <v>10</v>
      </c>
      <c r="L13" s="284">
        <f ca="1">TblImps[[#This Row],[Real time]]</f>
        <v>46320.374999999978</v>
      </c>
      <c r="M13" s="61">
        <f>IF(ISERROR(TblImps[[#This Row],[algorithm]]),0,TblImps[[#This Row],[algorithm]]*1)</f>
        <v>0</v>
      </c>
      <c r="N13" s="94">
        <f ca="1">TblImps[[#This Row],[Land]]</f>
        <v>50</v>
      </c>
      <c r="O13" s="285" t="s">
        <v>4</v>
      </c>
      <c r="P13" s="286"/>
      <c r="Q13" s="285" t="s">
        <v>210</v>
      </c>
      <c r="R13" s="285" t="s">
        <v>7</v>
      </c>
      <c r="S13" s="286"/>
      <c r="T13" s="285" t="s">
        <v>210</v>
      </c>
      <c r="U13" s="285" t="s">
        <v>3</v>
      </c>
      <c r="V13" s="286"/>
      <c r="W13" s="285" t="s">
        <v>210</v>
      </c>
      <c r="X13" s="142"/>
      <c r="Y13" s="287">
        <f ca="1">science_cap*(1-EXP(-TblImps[[#This Row],[Σ Science]]/(science_param*(OFFSET(TblImps[[#This Row],[Land]],1,0)-OFFSET(TblExplore[[#This Row],[Land Bonus]],1,0)*20)+15000)))*(1+(mason_bonus*TblConstr[[#This Row],[Tot Mas]]/TblConstr[[#This Row],[Land (2)]]))</f>
        <v>0</v>
      </c>
      <c r="Z13" s="287">
        <f ca="1">keep_cap*(1-EXP(-TblImps[[#This Row],[Σ Keep]]/(keep_param*(OFFSET(TblImps[[#This Row],[Land]],1,0)-OFFSET(TblExplore[[#This Row],[Land Bonus]],1,0)*20)+15000)))*(1+(mason_bonus*TblConstr[[#This Row],[Tot Mas]]/TblConstr[[#This Row],[Land (2)]]))</f>
        <v>0</v>
      </c>
      <c r="AA13" s="287">
        <f ca="1">harbor_towers_cap*(1-EXP(-TblImps[[#This Row],[Σ Spires]]/(towers_param*(OFFSET(TblImps[[#This Row],[Land]],1,0)-OFFSET(TblExplore[[#This Row],[Land Bonus]],1,0)*20)+15000)))*(1+(mason_bonus*TblConstr[[#This Row],[Tot Mas]]/TblConstr[[#This Row],[Land (2)]]))</f>
        <v>0</v>
      </c>
      <c r="AB13" s="287">
        <f ca="1">walls_forges_cap*(1-EXP(-TblImps[[#This Row],[Σ Forges]]/(walls_forges_param*(OFFSET(TblImps[[#This Row],[Land]],1,0)-OFFSET(TblExplore[[#This Row],[Land Bonus]],1,0)*20)+15000)))*(1+(mason_bonus*TblConstr[[#This Row],[Tot Mas]]/TblConstr[[#This Row],[Land (2)]]))</f>
        <v>0</v>
      </c>
      <c r="AC13" s="287">
        <f ca="1">walls_forges_cap*(1-EXP(-TblImps[[#This Row],[Σ Walls]]/(walls_forges_param*(OFFSET(TblImps[[#This Row],[Land]],1,0)-OFFSET(TblExplore[[#This Row],[Land Bonus]],1,0)*20)+15000)))*(1+(mason_bonus*TblConstr[[#This Row],[Tot Mas]]/TblConstr[[#This Row],[Land (2)]]))</f>
        <v>0</v>
      </c>
      <c r="AD13" s="287">
        <f ca="1">harbor_towers_cap*(1-EXP(-TblImps[[#This Row],[Σ Harbor]]/(harbor_towers_param*(OFFSET(TblImps[[#This Row],[Land]],1,0)-OFFSET(TblExplore[[#This Row],[Land Bonus]],1,0)*20)+15000)))*(1+(mason_bonus*TblConstr[[#This Row],[Tot Mas]]/TblConstr[[#This Row],[Land (2)]]))</f>
        <v>0</v>
      </c>
      <c r="AE13" s="142"/>
      <c r="AF13" s="61">
        <f ca="1">(1+Overview!$I$29)*SUM(TblImps[[#This Row],[P2]:[G2]])+OFFSET(TblImps[[#This Row],[Σ Science]],-1,0)</f>
        <v>0</v>
      </c>
      <c r="AG13" s="61">
        <f ca="1">(1+Overview!$I$29)*SUM(TblImps[[#This Row],[P3]:[G3]])+OFFSET(TblImps[[#This Row],[Σ Keep]],-1,0)</f>
        <v>0</v>
      </c>
      <c r="AH13" s="61">
        <f ca="1">(1+Overview!$I$29 + tech_7_1*TblTech[[#This Row],[7-1]])*SUM(TblImps[[#This Row],[P4]:[G4]])+OFFSET(TblImps[[#This Row],[Σ Spires]],-1,0)</f>
        <v>0</v>
      </c>
      <c r="AI13" s="61">
        <f ca="1">(1+Overview!$I$29)*SUM(TblImps[[#This Row],[P5]:[FW5]])+OFFSET(TblImps[[#This Row],[Σ Forges]],-1,0)</f>
        <v>0</v>
      </c>
      <c r="AJ13" s="61">
        <f ca="1">(1+Overview!$I$29)*SUM(TblImps[[#This Row],[P6]:[G6]])+OFFSET(TblImps[[#This Row],[Σ Walls]],-1,0)</f>
        <v>0</v>
      </c>
      <c r="AK13" s="61">
        <f ca="1">(1+Overview!$I$29 + tech_7_1*TblTech[[#This Row],[7-1]])*SUM(TblImps[[#This Row],[P7]:[G7]])+OFFSET(TblImps[[#This Row],[Σ Harbor]],-1,0)</f>
        <v>0</v>
      </c>
      <c r="AL13" s="142"/>
      <c r="AM13" s="57">
        <f>IF(AND(TblImps[[#This Row],[Resource]]=AM$2,TblImps[[#This Row],[Part]]&lt;&gt;""),TblImps[[#This Row],[Amount]]) + IF(AND(TblImps[[#This Row],[Resource 2]]=AM$2,TblImps[[#This Row],[Part 2]]&lt;&gt;""),TblImps[[#This Row],[Amount 2]]) + IF(AND(TblImps[[#This Row],[Resource 3]]=AM$2,TblImps[[#This Row],[Part 3]]&lt;&gt;""),TblImps[[#This Row],[Amount 3]])</f>
        <v>0</v>
      </c>
      <c r="AN13" s="57">
        <f>IF(AND(TblImps[[#This Row],[Resource]]=AN$2,TblImps[[#This Row],[Part]]&lt;&gt;""),TblImps[[#This Row],[Amount]]) + IF(AND(TblImps[[#This Row],[Resource 2]]=AN$2,TblImps[[#This Row],[Part 2]]&lt;&gt;""),TblImps[[#This Row],[Amount 2]]) + IF(AND(TblImps[[#This Row],[Resource 3]]=AN$2,TblImps[[#This Row],[Part 3]]&lt;&gt;""),TblImps[[#This Row],[Amount 3]])</f>
        <v>0</v>
      </c>
      <c r="AO13" s="57">
        <f>IF(AND(TblImps[[#This Row],[Resource]]=AO$2,TblImps[[#This Row],[Part]]&lt;&gt;""),TblImps[[#This Row],[Amount]]) + IF(AND(TblImps[[#This Row],[Resource 2]]=AO$2,TblImps[[#This Row],[Part 2]]&lt;&gt;""),TblImps[[#This Row],[Amount 2]]) + IF(AND(TblImps[[#This Row],[Resource 3]]=AO$2,TblImps[[#This Row],[Part 3]]&lt;&gt;""),TblImps[[#This Row],[Amount 3]])</f>
        <v>0</v>
      </c>
      <c r="AP13" s="57">
        <f>IF(AND(TblImps[[#This Row],[Resource]]=AP$2,TblImps[[#This Row],[Part]]&lt;&gt;""),TblImps[[#This Row],[Amount]]) + IF(AND(TblImps[[#This Row],[Resource 2]]=AP$2,TblImps[[#This Row],[Part 2]]&lt;&gt;""),TblImps[[#This Row],[Amount 2]]) + IF(AND(TblImps[[#This Row],[Resource 3]]=AP$2,TblImps[[#This Row],[Part 3]]&lt;&gt;""),TblImps[[#This Row],[Amount 3]])</f>
        <v>0</v>
      </c>
      <c r="AQ13" s="142"/>
      <c r="AR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142"/>
      <c r="AW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142"/>
      <c r="BB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142"/>
      <c r="BG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57">
        <f ca="1">IF(OFFSET(TblMagic[[#This Row],[Active Alchemists Flame]],-1,0)&gt;0,TblConstr[[#This Row],[Tot Alc]]*alchemist_flame_invest,0)</f>
        <v>0</v>
      </c>
      <c r="BL13" s="142"/>
      <c r="BM1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3" s="142"/>
      <c r="BR1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3" s="142"/>
      <c r="BW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3" s="61">
        <f>TblImps[[#This Row],[Login]]</f>
        <v>0</v>
      </c>
      <c r="BY13" s="137"/>
      <c r="BZ13" s="293">
        <f ca="1">OFFSET(TblImps[[#This Row],[Real time]],-1,0)+1/24</f>
        <v>46320.374999999978</v>
      </c>
      <c r="CA13" s="294">
        <f ca="1">OFFSET(TblImps[[#This Row],[Servertime]],-1,0)+1/24</f>
        <v>46320.374999999978</v>
      </c>
      <c r="CB13" s="57"/>
      <c r="CC13" s="292"/>
      <c r="CD13" s="292"/>
    </row>
    <row r="14" spans="1:85" x14ac:dyDescent="0.2">
      <c r="A14" s="214">
        <f ca="1">TblConstr[[#This Row],[Land]]</f>
        <v>50</v>
      </c>
      <c r="B14" s="142"/>
      <c r="C14" s="94">
        <f ca="1">TblProd[[#This Row],[Platinum]]</f>
        <v>132091</v>
      </c>
      <c r="D14" s="94">
        <f ca="1">TblProd[[#This Row],[Lumber]]</f>
        <v>23127</v>
      </c>
      <c r="E14" s="94">
        <f ca="1">TblProd[[#This Row],[Ore]]</f>
        <v>0</v>
      </c>
      <c r="F14" s="94">
        <f ca="1">TblProd[[#This Row],[Gems]]</f>
        <v>0</v>
      </c>
      <c r="G14" s="154"/>
      <c r="H14" s="94">
        <f ca="1">TblMili[[#This Row],[Draftees]]</f>
        <v>344</v>
      </c>
      <c r="I14" s="180">
        <f ca="1">TblPop[[#This Row],[Employment]]</f>
        <v>1</v>
      </c>
      <c r="J14" s="180">
        <f ca="1">TblPop[[#This Row],[Total]]/TblPop[[#This Row],[Net max]]</f>
        <v>1</v>
      </c>
      <c r="K14" s="283">
        <f>TblRezone[[#This Row],[Hour]]</f>
        <v>11</v>
      </c>
      <c r="L14" s="284">
        <f ca="1">TblImps[[#This Row],[Real time]]</f>
        <v>46320.416666666642</v>
      </c>
      <c r="M14" s="61">
        <f>IF(ISERROR(TblImps[[#This Row],[algorithm]]),0,TblImps[[#This Row],[algorithm]]*1)</f>
        <v>0</v>
      </c>
      <c r="N14" s="94">
        <f ca="1">TblImps[[#This Row],[Land]]</f>
        <v>50</v>
      </c>
      <c r="O14" s="285" t="s">
        <v>4</v>
      </c>
      <c r="P14" s="286"/>
      <c r="Q14" s="285" t="s">
        <v>210</v>
      </c>
      <c r="R14" s="285" t="s">
        <v>7</v>
      </c>
      <c r="S14" s="286"/>
      <c r="T14" s="285" t="s">
        <v>210</v>
      </c>
      <c r="U14" s="285" t="s">
        <v>3</v>
      </c>
      <c r="V14" s="286"/>
      <c r="W14" s="285" t="s">
        <v>210</v>
      </c>
      <c r="X14" s="142"/>
      <c r="Y14" s="287">
        <f ca="1">science_cap*(1-EXP(-TblImps[[#This Row],[Σ Science]]/(science_param*(OFFSET(TblImps[[#This Row],[Land]],1,0)-OFFSET(TblExplore[[#This Row],[Land Bonus]],1,0)*20)+15000)))*(1+(mason_bonus*TblConstr[[#This Row],[Tot Mas]]/TblConstr[[#This Row],[Land (2)]]))</f>
        <v>0</v>
      </c>
      <c r="Z14" s="287">
        <f ca="1">keep_cap*(1-EXP(-TblImps[[#This Row],[Σ Keep]]/(keep_param*(OFFSET(TblImps[[#This Row],[Land]],1,0)-OFFSET(TblExplore[[#This Row],[Land Bonus]],1,0)*20)+15000)))*(1+(mason_bonus*TblConstr[[#This Row],[Tot Mas]]/TblConstr[[#This Row],[Land (2)]]))</f>
        <v>0</v>
      </c>
      <c r="AA14" s="287">
        <f ca="1">harbor_towers_cap*(1-EXP(-TblImps[[#This Row],[Σ Spires]]/(towers_param*(OFFSET(TblImps[[#This Row],[Land]],1,0)-OFFSET(TblExplore[[#This Row],[Land Bonus]],1,0)*20)+15000)))*(1+(mason_bonus*TblConstr[[#This Row],[Tot Mas]]/TblConstr[[#This Row],[Land (2)]]))</f>
        <v>0</v>
      </c>
      <c r="AB14" s="287">
        <f ca="1">walls_forges_cap*(1-EXP(-TblImps[[#This Row],[Σ Forges]]/(walls_forges_param*(OFFSET(TblImps[[#This Row],[Land]],1,0)-OFFSET(TblExplore[[#This Row],[Land Bonus]],1,0)*20)+15000)))*(1+(mason_bonus*TblConstr[[#This Row],[Tot Mas]]/TblConstr[[#This Row],[Land (2)]]))</f>
        <v>0</v>
      </c>
      <c r="AC14" s="287">
        <f ca="1">walls_forges_cap*(1-EXP(-TblImps[[#This Row],[Σ Walls]]/(walls_forges_param*(OFFSET(TblImps[[#This Row],[Land]],1,0)-OFFSET(TblExplore[[#This Row],[Land Bonus]],1,0)*20)+15000)))*(1+(mason_bonus*TblConstr[[#This Row],[Tot Mas]]/TblConstr[[#This Row],[Land (2)]]))</f>
        <v>0</v>
      </c>
      <c r="AD14" s="287">
        <f ca="1">harbor_towers_cap*(1-EXP(-TblImps[[#This Row],[Σ Harbor]]/(harbor_towers_param*(OFFSET(TblImps[[#This Row],[Land]],1,0)-OFFSET(TblExplore[[#This Row],[Land Bonus]],1,0)*20)+15000)))*(1+(mason_bonus*TblConstr[[#This Row],[Tot Mas]]/TblConstr[[#This Row],[Land (2)]]))</f>
        <v>0</v>
      </c>
      <c r="AE14" s="142"/>
      <c r="AF14" s="61">
        <f ca="1">(1+Overview!$I$29)*SUM(TblImps[[#This Row],[P2]:[G2]])+OFFSET(TblImps[[#This Row],[Σ Science]],-1,0)</f>
        <v>0</v>
      </c>
      <c r="AG14" s="61">
        <f ca="1">(1+Overview!$I$29)*SUM(TblImps[[#This Row],[P3]:[G3]])+OFFSET(TblImps[[#This Row],[Σ Keep]],-1,0)</f>
        <v>0</v>
      </c>
      <c r="AH14" s="61">
        <f ca="1">(1+Overview!$I$29 + tech_7_1*TblTech[[#This Row],[7-1]])*SUM(TblImps[[#This Row],[P4]:[G4]])+OFFSET(TblImps[[#This Row],[Σ Spires]],-1,0)</f>
        <v>0</v>
      </c>
      <c r="AI14" s="61">
        <f ca="1">(1+Overview!$I$29)*SUM(TblImps[[#This Row],[P5]:[FW5]])+OFFSET(TblImps[[#This Row],[Σ Forges]],-1,0)</f>
        <v>0</v>
      </c>
      <c r="AJ14" s="61">
        <f ca="1">(1+Overview!$I$29)*SUM(TblImps[[#This Row],[P6]:[G6]])+OFFSET(TblImps[[#This Row],[Σ Walls]],-1,0)</f>
        <v>0</v>
      </c>
      <c r="AK14" s="61">
        <f ca="1">(1+Overview!$I$29 + tech_7_1*TblTech[[#This Row],[7-1]])*SUM(TblImps[[#This Row],[P7]:[G7]])+OFFSET(TblImps[[#This Row],[Σ Harbor]],-1,0)</f>
        <v>0</v>
      </c>
      <c r="AL14" s="142"/>
      <c r="AM14" s="57">
        <f>IF(AND(TblImps[[#This Row],[Resource]]=AM$2,TblImps[[#This Row],[Part]]&lt;&gt;""),TblImps[[#This Row],[Amount]]) + IF(AND(TblImps[[#This Row],[Resource 2]]=AM$2,TblImps[[#This Row],[Part 2]]&lt;&gt;""),TblImps[[#This Row],[Amount 2]]) + IF(AND(TblImps[[#This Row],[Resource 3]]=AM$2,TblImps[[#This Row],[Part 3]]&lt;&gt;""),TblImps[[#This Row],[Amount 3]])</f>
        <v>0</v>
      </c>
      <c r="AN14" s="57">
        <f>IF(AND(TblImps[[#This Row],[Resource]]=AN$2,TblImps[[#This Row],[Part]]&lt;&gt;""),TblImps[[#This Row],[Amount]]) + IF(AND(TblImps[[#This Row],[Resource 2]]=AN$2,TblImps[[#This Row],[Part 2]]&lt;&gt;""),TblImps[[#This Row],[Amount 2]]) + IF(AND(TblImps[[#This Row],[Resource 3]]=AN$2,TblImps[[#This Row],[Part 3]]&lt;&gt;""),TblImps[[#This Row],[Amount 3]])</f>
        <v>0</v>
      </c>
      <c r="AO14" s="57">
        <f>IF(AND(TblImps[[#This Row],[Resource]]=AO$2,TblImps[[#This Row],[Part]]&lt;&gt;""),TblImps[[#This Row],[Amount]]) + IF(AND(TblImps[[#This Row],[Resource 2]]=AO$2,TblImps[[#This Row],[Part 2]]&lt;&gt;""),TblImps[[#This Row],[Amount 2]]) + IF(AND(TblImps[[#This Row],[Resource 3]]=AO$2,TblImps[[#This Row],[Part 3]]&lt;&gt;""),TblImps[[#This Row],[Amount 3]])</f>
        <v>0</v>
      </c>
      <c r="AP14" s="57">
        <f>IF(AND(TblImps[[#This Row],[Resource]]=AP$2,TblImps[[#This Row],[Part]]&lt;&gt;""),TblImps[[#This Row],[Amount]]) + IF(AND(TblImps[[#This Row],[Resource 2]]=AP$2,TblImps[[#This Row],[Part 2]]&lt;&gt;""),TblImps[[#This Row],[Amount 2]]) + IF(AND(TblImps[[#This Row],[Resource 3]]=AP$2,TblImps[[#This Row],[Part 3]]&lt;&gt;""),TblImps[[#This Row],[Amount 3]])</f>
        <v>0</v>
      </c>
      <c r="AQ14" s="142"/>
      <c r="AR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142"/>
      <c r="AW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142"/>
      <c r="BB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142"/>
      <c r="BG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57">
        <f ca="1">IF(OFFSET(TblMagic[[#This Row],[Active Alchemists Flame]],-1,0)&gt;0,TblConstr[[#This Row],[Tot Alc]]*alchemist_flame_invest,0)</f>
        <v>0</v>
      </c>
      <c r="BL14" s="142"/>
      <c r="BM1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4" s="142"/>
      <c r="BR1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4" s="142"/>
      <c r="BW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4" s="61">
        <f>TblImps[[#This Row],[Login]]</f>
        <v>0</v>
      </c>
      <c r="BY14" s="137"/>
      <c r="BZ14" s="293">
        <f ca="1">OFFSET(TblImps[[#This Row],[Real time]],-1,0)+1/24</f>
        <v>46320.416666666642</v>
      </c>
      <c r="CA14" s="294">
        <f ca="1">OFFSET(TblImps[[#This Row],[Servertime]],-1,0)+1/24</f>
        <v>46320.416666666642</v>
      </c>
      <c r="CB14" s="57"/>
      <c r="CC14" s="292"/>
      <c r="CD14" s="292"/>
    </row>
    <row r="15" spans="1:85" x14ac:dyDescent="0.2">
      <c r="A15" s="214">
        <f ca="1">TblConstr[[#This Row],[Land]]</f>
        <v>50</v>
      </c>
      <c r="B15" s="142"/>
      <c r="C15" s="94">
        <f ca="1">TblProd[[#This Row],[Platinum]]</f>
        <v>133238</v>
      </c>
      <c r="D15" s="94">
        <f ca="1">TblProd[[#This Row],[Lumber]]</f>
        <v>23896</v>
      </c>
      <c r="E15" s="94">
        <f ca="1">TblProd[[#This Row],[Ore]]</f>
        <v>0</v>
      </c>
      <c r="F15" s="94">
        <f ca="1">TblProd[[#This Row],[Gems]]</f>
        <v>0</v>
      </c>
      <c r="G15" s="154"/>
      <c r="H15" s="94">
        <f ca="1">TblMili[[#This Row],[Draftees]]</f>
        <v>348</v>
      </c>
      <c r="I15" s="180">
        <f ca="1">TblPop[[#This Row],[Employment]]</f>
        <v>1</v>
      </c>
      <c r="J15" s="180">
        <f ca="1">TblPop[[#This Row],[Total]]/TblPop[[#This Row],[Net max]]</f>
        <v>1</v>
      </c>
      <c r="K15" s="283">
        <f>TblRezone[[#This Row],[Hour]]</f>
        <v>12</v>
      </c>
      <c r="L15" s="284">
        <f ca="1">TblImps[[#This Row],[Real time]]</f>
        <v>46320.458333333307</v>
      </c>
      <c r="M15" s="61">
        <f>IF(ISERROR(TblImps[[#This Row],[algorithm]]),0,TblImps[[#This Row],[algorithm]]*1)</f>
        <v>0</v>
      </c>
      <c r="N15" s="94">
        <f ca="1">TblImps[[#This Row],[Land]]</f>
        <v>50</v>
      </c>
      <c r="O15" s="285" t="s">
        <v>4</v>
      </c>
      <c r="P15" s="286"/>
      <c r="Q15" s="285" t="s">
        <v>210</v>
      </c>
      <c r="R15" s="285" t="s">
        <v>7</v>
      </c>
      <c r="S15" s="286"/>
      <c r="T15" s="285" t="s">
        <v>210</v>
      </c>
      <c r="U15" s="285" t="s">
        <v>3</v>
      </c>
      <c r="V15" s="286"/>
      <c r="W15" s="285" t="s">
        <v>210</v>
      </c>
      <c r="X15" s="142"/>
      <c r="Y15" s="287">
        <f ca="1">science_cap*(1-EXP(-TblImps[[#This Row],[Σ Science]]/(science_param*(OFFSET(TblImps[[#This Row],[Land]],1,0)-OFFSET(TblExplore[[#This Row],[Land Bonus]],1,0)*20)+15000)))*(1+(mason_bonus*TblConstr[[#This Row],[Tot Mas]]/TblConstr[[#This Row],[Land (2)]]))</f>
        <v>0</v>
      </c>
      <c r="Z15" s="287">
        <f ca="1">keep_cap*(1-EXP(-TblImps[[#This Row],[Σ Keep]]/(keep_param*(OFFSET(TblImps[[#This Row],[Land]],1,0)-OFFSET(TblExplore[[#This Row],[Land Bonus]],1,0)*20)+15000)))*(1+(mason_bonus*TblConstr[[#This Row],[Tot Mas]]/TblConstr[[#This Row],[Land (2)]]))</f>
        <v>0</v>
      </c>
      <c r="AA15" s="287">
        <f ca="1">harbor_towers_cap*(1-EXP(-TblImps[[#This Row],[Σ Spires]]/(towers_param*(OFFSET(TblImps[[#This Row],[Land]],1,0)-OFFSET(TblExplore[[#This Row],[Land Bonus]],1,0)*20)+15000)))*(1+(mason_bonus*TblConstr[[#This Row],[Tot Mas]]/TblConstr[[#This Row],[Land (2)]]))</f>
        <v>0</v>
      </c>
      <c r="AB15" s="287">
        <f ca="1">walls_forges_cap*(1-EXP(-TblImps[[#This Row],[Σ Forges]]/(walls_forges_param*(OFFSET(TblImps[[#This Row],[Land]],1,0)-OFFSET(TblExplore[[#This Row],[Land Bonus]],1,0)*20)+15000)))*(1+(mason_bonus*TblConstr[[#This Row],[Tot Mas]]/TblConstr[[#This Row],[Land (2)]]))</f>
        <v>0</v>
      </c>
      <c r="AC15" s="287">
        <f ca="1">walls_forges_cap*(1-EXP(-TblImps[[#This Row],[Σ Walls]]/(walls_forges_param*(OFFSET(TblImps[[#This Row],[Land]],1,0)-OFFSET(TblExplore[[#This Row],[Land Bonus]],1,0)*20)+15000)))*(1+(mason_bonus*TblConstr[[#This Row],[Tot Mas]]/TblConstr[[#This Row],[Land (2)]]))</f>
        <v>0</v>
      </c>
      <c r="AD15" s="287">
        <f ca="1">harbor_towers_cap*(1-EXP(-TblImps[[#This Row],[Σ Harbor]]/(harbor_towers_param*(OFFSET(TblImps[[#This Row],[Land]],1,0)-OFFSET(TblExplore[[#This Row],[Land Bonus]],1,0)*20)+15000)))*(1+(mason_bonus*TblConstr[[#This Row],[Tot Mas]]/TblConstr[[#This Row],[Land (2)]]))</f>
        <v>0</v>
      </c>
      <c r="AE15" s="142"/>
      <c r="AF15" s="61">
        <f ca="1">(1+Overview!$I$29)*SUM(TblImps[[#This Row],[P2]:[G2]])+OFFSET(TblImps[[#This Row],[Σ Science]],-1,0)</f>
        <v>0</v>
      </c>
      <c r="AG15" s="61">
        <f ca="1">(1+Overview!$I$29)*SUM(TblImps[[#This Row],[P3]:[G3]])+OFFSET(TblImps[[#This Row],[Σ Keep]],-1,0)</f>
        <v>0</v>
      </c>
      <c r="AH15" s="61">
        <f ca="1">(1+Overview!$I$29 + tech_7_1*TblTech[[#This Row],[7-1]])*SUM(TblImps[[#This Row],[P4]:[G4]])+OFFSET(TblImps[[#This Row],[Σ Spires]],-1,0)</f>
        <v>0</v>
      </c>
      <c r="AI15" s="61">
        <f ca="1">(1+Overview!$I$29)*SUM(TblImps[[#This Row],[P5]:[FW5]])+OFFSET(TblImps[[#This Row],[Σ Forges]],-1,0)</f>
        <v>0</v>
      </c>
      <c r="AJ15" s="61">
        <f ca="1">(1+Overview!$I$29)*SUM(TblImps[[#This Row],[P6]:[G6]])+OFFSET(TblImps[[#This Row],[Σ Walls]],-1,0)</f>
        <v>0</v>
      </c>
      <c r="AK15" s="61">
        <f ca="1">(1+Overview!$I$29 + tech_7_1*TblTech[[#This Row],[7-1]])*SUM(TblImps[[#This Row],[P7]:[G7]])+OFFSET(TblImps[[#This Row],[Σ Harbor]],-1,0)</f>
        <v>0</v>
      </c>
      <c r="AL15" s="142"/>
      <c r="AM15" s="57">
        <f>IF(AND(TblImps[[#This Row],[Resource]]=AM$2,TblImps[[#This Row],[Part]]&lt;&gt;""),TblImps[[#This Row],[Amount]]) + IF(AND(TblImps[[#This Row],[Resource 2]]=AM$2,TblImps[[#This Row],[Part 2]]&lt;&gt;""),TblImps[[#This Row],[Amount 2]]) + IF(AND(TblImps[[#This Row],[Resource 3]]=AM$2,TblImps[[#This Row],[Part 3]]&lt;&gt;""),TblImps[[#This Row],[Amount 3]])</f>
        <v>0</v>
      </c>
      <c r="AN15" s="57">
        <f>IF(AND(TblImps[[#This Row],[Resource]]=AN$2,TblImps[[#This Row],[Part]]&lt;&gt;""),TblImps[[#This Row],[Amount]]) + IF(AND(TblImps[[#This Row],[Resource 2]]=AN$2,TblImps[[#This Row],[Part 2]]&lt;&gt;""),TblImps[[#This Row],[Amount 2]]) + IF(AND(TblImps[[#This Row],[Resource 3]]=AN$2,TblImps[[#This Row],[Part 3]]&lt;&gt;""),TblImps[[#This Row],[Amount 3]])</f>
        <v>0</v>
      </c>
      <c r="AO15" s="57">
        <f>IF(AND(TblImps[[#This Row],[Resource]]=AO$2,TblImps[[#This Row],[Part]]&lt;&gt;""),TblImps[[#This Row],[Amount]]) + IF(AND(TblImps[[#This Row],[Resource 2]]=AO$2,TblImps[[#This Row],[Part 2]]&lt;&gt;""),TblImps[[#This Row],[Amount 2]]) + IF(AND(TblImps[[#This Row],[Resource 3]]=AO$2,TblImps[[#This Row],[Part 3]]&lt;&gt;""),TblImps[[#This Row],[Amount 3]])</f>
        <v>0</v>
      </c>
      <c r="AP15" s="57">
        <f>IF(AND(TblImps[[#This Row],[Resource]]=AP$2,TblImps[[#This Row],[Part]]&lt;&gt;""),TblImps[[#This Row],[Amount]]) + IF(AND(TblImps[[#This Row],[Resource 2]]=AP$2,TblImps[[#This Row],[Part 2]]&lt;&gt;""),TblImps[[#This Row],[Amount 2]]) + IF(AND(TblImps[[#This Row],[Resource 3]]=AP$2,TblImps[[#This Row],[Part 3]]&lt;&gt;""),TblImps[[#This Row],[Amount 3]])</f>
        <v>0</v>
      </c>
      <c r="AQ15" s="142"/>
      <c r="AR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142"/>
      <c r="AW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142"/>
      <c r="BB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142"/>
      <c r="BG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57">
        <f ca="1">IF(OFFSET(TblMagic[[#This Row],[Active Alchemists Flame]],-1,0)&gt;0,TblConstr[[#This Row],[Tot Alc]]*alchemist_flame_invest,0)</f>
        <v>0</v>
      </c>
      <c r="BL15" s="142"/>
      <c r="BM1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5" s="142"/>
      <c r="BR1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5" s="142"/>
      <c r="BW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5" s="61">
        <f>TblImps[[#This Row],[Login]]</f>
        <v>0</v>
      </c>
      <c r="BY15" s="137"/>
      <c r="BZ15" s="293">
        <f ca="1">OFFSET(TblImps[[#This Row],[Real time]],-1,0)+1/24</f>
        <v>46320.458333333307</v>
      </c>
      <c r="CA15" s="294">
        <f ca="1">OFFSET(TblImps[[#This Row],[Servertime]],-1,0)+1/24</f>
        <v>46320.458333333307</v>
      </c>
      <c r="CB15" s="57"/>
      <c r="CC15" s="292"/>
      <c r="CD15" s="292"/>
    </row>
    <row r="16" spans="1:85" x14ac:dyDescent="0.2">
      <c r="A16" s="214">
        <f ca="1">TblConstr[[#This Row],[Land]]</f>
        <v>50</v>
      </c>
      <c r="B16" s="142"/>
      <c r="C16" s="94">
        <f ca="1">TblProd[[#This Row],[Platinum]]</f>
        <v>134374</v>
      </c>
      <c r="D16" s="94">
        <f ca="1">TblProd[[#This Row],[Lumber]]</f>
        <v>24657</v>
      </c>
      <c r="E16" s="94">
        <f ca="1">TblProd[[#This Row],[Ore]]</f>
        <v>0</v>
      </c>
      <c r="F16" s="94">
        <f ca="1">TblProd[[#This Row],[Gems]]</f>
        <v>0</v>
      </c>
      <c r="G16" s="154"/>
      <c r="H16" s="94">
        <f ca="1">TblMili[[#This Row],[Draftees]]</f>
        <v>352</v>
      </c>
      <c r="I16" s="180">
        <f ca="1">TblPop[[#This Row],[Employment]]</f>
        <v>1</v>
      </c>
      <c r="J16" s="180">
        <f ca="1">TblPop[[#This Row],[Total]]/TblPop[[#This Row],[Net max]]</f>
        <v>1</v>
      </c>
      <c r="K16" s="283">
        <f>TblRezone[[#This Row],[Hour]]</f>
        <v>13</v>
      </c>
      <c r="L16" s="284">
        <f ca="1">TblImps[[#This Row],[Real time]]</f>
        <v>46320.499999999971</v>
      </c>
      <c r="M16" s="61">
        <f>IF(ISERROR(TblImps[[#This Row],[algorithm]]),0,TblImps[[#This Row],[algorithm]]*1)</f>
        <v>0</v>
      </c>
      <c r="N16" s="94">
        <f ca="1">TblImps[[#This Row],[Land]]</f>
        <v>50</v>
      </c>
      <c r="O16" s="285" t="s">
        <v>4</v>
      </c>
      <c r="P16" s="286"/>
      <c r="Q16" s="285" t="s">
        <v>210</v>
      </c>
      <c r="R16" s="285" t="s">
        <v>7</v>
      </c>
      <c r="S16" s="286"/>
      <c r="T16" s="285" t="s">
        <v>210</v>
      </c>
      <c r="U16" s="285" t="s">
        <v>3</v>
      </c>
      <c r="V16" s="286"/>
      <c r="W16" s="285" t="s">
        <v>210</v>
      </c>
      <c r="X16" s="142"/>
      <c r="Y16" s="287">
        <f ca="1">science_cap*(1-EXP(-TblImps[[#This Row],[Σ Science]]/(science_param*(OFFSET(TblImps[[#This Row],[Land]],1,0)-OFFSET(TblExplore[[#This Row],[Land Bonus]],1,0)*20)+15000)))*(1+(mason_bonus*TblConstr[[#This Row],[Tot Mas]]/TblConstr[[#This Row],[Land (2)]]))</f>
        <v>0</v>
      </c>
      <c r="Z16" s="287">
        <f ca="1">keep_cap*(1-EXP(-TblImps[[#This Row],[Σ Keep]]/(keep_param*(OFFSET(TblImps[[#This Row],[Land]],1,0)-OFFSET(TblExplore[[#This Row],[Land Bonus]],1,0)*20)+15000)))*(1+(mason_bonus*TblConstr[[#This Row],[Tot Mas]]/TblConstr[[#This Row],[Land (2)]]))</f>
        <v>0</v>
      </c>
      <c r="AA16" s="287">
        <f ca="1">harbor_towers_cap*(1-EXP(-TblImps[[#This Row],[Σ Spires]]/(towers_param*(OFFSET(TblImps[[#This Row],[Land]],1,0)-OFFSET(TblExplore[[#This Row],[Land Bonus]],1,0)*20)+15000)))*(1+(mason_bonus*TblConstr[[#This Row],[Tot Mas]]/TblConstr[[#This Row],[Land (2)]]))</f>
        <v>0</v>
      </c>
      <c r="AB16" s="287">
        <f ca="1">walls_forges_cap*(1-EXP(-TblImps[[#This Row],[Σ Forges]]/(walls_forges_param*(OFFSET(TblImps[[#This Row],[Land]],1,0)-OFFSET(TblExplore[[#This Row],[Land Bonus]],1,0)*20)+15000)))*(1+(mason_bonus*TblConstr[[#This Row],[Tot Mas]]/TblConstr[[#This Row],[Land (2)]]))</f>
        <v>0</v>
      </c>
      <c r="AC16" s="287">
        <f ca="1">walls_forges_cap*(1-EXP(-TblImps[[#This Row],[Σ Walls]]/(walls_forges_param*(OFFSET(TblImps[[#This Row],[Land]],1,0)-OFFSET(TblExplore[[#This Row],[Land Bonus]],1,0)*20)+15000)))*(1+(mason_bonus*TblConstr[[#This Row],[Tot Mas]]/TblConstr[[#This Row],[Land (2)]]))</f>
        <v>0</v>
      </c>
      <c r="AD16" s="287">
        <f ca="1">harbor_towers_cap*(1-EXP(-TblImps[[#This Row],[Σ Harbor]]/(harbor_towers_param*(OFFSET(TblImps[[#This Row],[Land]],1,0)-OFFSET(TblExplore[[#This Row],[Land Bonus]],1,0)*20)+15000)))*(1+(mason_bonus*TblConstr[[#This Row],[Tot Mas]]/TblConstr[[#This Row],[Land (2)]]))</f>
        <v>0</v>
      </c>
      <c r="AE16" s="142"/>
      <c r="AF16" s="61">
        <f ca="1">(1+Overview!$I$29)*SUM(TblImps[[#This Row],[P2]:[G2]])+OFFSET(TblImps[[#This Row],[Σ Science]],-1,0)</f>
        <v>0</v>
      </c>
      <c r="AG16" s="61">
        <f ca="1">(1+Overview!$I$29)*SUM(TblImps[[#This Row],[P3]:[G3]])+OFFSET(TblImps[[#This Row],[Σ Keep]],-1,0)</f>
        <v>0</v>
      </c>
      <c r="AH16" s="61">
        <f ca="1">(1+Overview!$I$29 + tech_7_1*TblTech[[#This Row],[7-1]])*SUM(TblImps[[#This Row],[P4]:[G4]])+OFFSET(TblImps[[#This Row],[Σ Spires]],-1,0)</f>
        <v>0</v>
      </c>
      <c r="AI16" s="61">
        <f ca="1">(1+Overview!$I$29)*SUM(TblImps[[#This Row],[P5]:[FW5]])+OFFSET(TblImps[[#This Row],[Σ Forges]],-1,0)</f>
        <v>0</v>
      </c>
      <c r="AJ16" s="61">
        <f ca="1">(1+Overview!$I$29)*SUM(TblImps[[#This Row],[P6]:[G6]])+OFFSET(TblImps[[#This Row],[Σ Walls]],-1,0)</f>
        <v>0</v>
      </c>
      <c r="AK16" s="61">
        <f ca="1">(1+Overview!$I$29 + tech_7_1*TblTech[[#This Row],[7-1]])*SUM(TblImps[[#This Row],[P7]:[G7]])+OFFSET(TblImps[[#This Row],[Σ Harbor]],-1,0)</f>
        <v>0</v>
      </c>
      <c r="AL16" s="142"/>
      <c r="AM16" s="57">
        <f>IF(AND(TblImps[[#This Row],[Resource]]=AM$2,TblImps[[#This Row],[Part]]&lt;&gt;""),TblImps[[#This Row],[Amount]]) + IF(AND(TblImps[[#This Row],[Resource 2]]=AM$2,TblImps[[#This Row],[Part 2]]&lt;&gt;""),TblImps[[#This Row],[Amount 2]]) + IF(AND(TblImps[[#This Row],[Resource 3]]=AM$2,TblImps[[#This Row],[Part 3]]&lt;&gt;""),TblImps[[#This Row],[Amount 3]])</f>
        <v>0</v>
      </c>
      <c r="AN16" s="57">
        <f>IF(AND(TblImps[[#This Row],[Resource]]=AN$2,TblImps[[#This Row],[Part]]&lt;&gt;""),TblImps[[#This Row],[Amount]]) + IF(AND(TblImps[[#This Row],[Resource 2]]=AN$2,TblImps[[#This Row],[Part 2]]&lt;&gt;""),TblImps[[#This Row],[Amount 2]]) + IF(AND(TblImps[[#This Row],[Resource 3]]=AN$2,TblImps[[#This Row],[Part 3]]&lt;&gt;""),TblImps[[#This Row],[Amount 3]])</f>
        <v>0</v>
      </c>
      <c r="AO16" s="57">
        <f>IF(AND(TblImps[[#This Row],[Resource]]=AO$2,TblImps[[#This Row],[Part]]&lt;&gt;""),TblImps[[#This Row],[Amount]]) + IF(AND(TblImps[[#This Row],[Resource 2]]=AO$2,TblImps[[#This Row],[Part 2]]&lt;&gt;""),TblImps[[#This Row],[Amount 2]]) + IF(AND(TblImps[[#This Row],[Resource 3]]=AO$2,TblImps[[#This Row],[Part 3]]&lt;&gt;""),TblImps[[#This Row],[Amount 3]])</f>
        <v>0</v>
      </c>
      <c r="AP16" s="57">
        <f>IF(AND(TblImps[[#This Row],[Resource]]=AP$2,TblImps[[#This Row],[Part]]&lt;&gt;""),TblImps[[#This Row],[Amount]]) + IF(AND(TblImps[[#This Row],[Resource 2]]=AP$2,TblImps[[#This Row],[Part 2]]&lt;&gt;""),TblImps[[#This Row],[Amount 2]]) + IF(AND(TblImps[[#This Row],[Resource 3]]=AP$2,TblImps[[#This Row],[Part 3]]&lt;&gt;""),TblImps[[#This Row],[Amount 3]])</f>
        <v>0</v>
      </c>
      <c r="AQ16" s="142"/>
      <c r="AR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142"/>
      <c r="AW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142"/>
      <c r="BB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142"/>
      <c r="BG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57">
        <f ca="1">IF(OFFSET(TblMagic[[#This Row],[Active Alchemists Flame]],-1,0)&gt;0,TblConstr[[#This Row],[Tot Alc]]*alchemist_flame_invest,0)</f>
        <v>0</v>
      </c>
      <c r="BL16" s="142"/>
      <c r="BM1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6" s="142"/>
      <c r="BR1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6" s="142"/>
      <c r="BW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6" s="61">
        <f>TblImps[[#This Row],[Login]]</f>
        <v>0</v>
      </c>
      <c r="BY16" s="137"/>
      <c r="BZ16" s="293">
        <f ca="1">OFFSET(TblImps[[#This Row],[Real time]],-1,0)+1/24</f>
        <v>46320.499999999971</v>
      </c>
      <c r="CA16" s="294">
        <f ca="1">OFFSET(TblImps[[#This Row],[Servertime]],-1,0)+1/24</f>
        <v>46320.499999999971</v>
      </c>
      <c r="CB16" s="57"/>
      <c r="CC16" s="292"/>
      <c r="CD16" s="292"/>
    </row>
    <row r="17" spans="1:85" x14ac:dyDescent="0.2">
      <c r="A17" s="214">
        <f ca="1">TblConstr[[#This Row],[Land]]</f>
        <v>50</v>
      </c>
      <c r="B17" s="142"/>
      <c r="C17" s="94">
        <f ca="1">TblProd[[#This Row],[Platinum]]</f>
        <v>135499</v>
      </c>
      <c r="D17" s="94">
        <f ca="1">TblProd[[#This Row],[Lumber]]</f>
        <v>25410</v>
      </c>
      <c r="E17" s="94">
        <f ca="1">TblProd[[#This Row],[Ore]]</f>
        <v>0</v>
      </c>
      <c r="F17" s="94">
        <f ca="1">TblProd[[#This Row],[Gems]]</f>
        <v>0</v>
      </c>
      <c r="G17" s="154"/>
      <c r="H17" s="94">
        <f ca="1">TblMili[[#This Row],[Draftees]]</f>
        <v>356</v>
      </c>
      <c r="I17" s="180">
        <f ca="1">TblPop[[#This Row],[Employment]]</f>
        <v>1</v>
      </c>
      <c r="J17" s="180">
        <f ca="1">TblPop[[#This Row],[Total]]/TblPop[[#This Row],[Net max]]</f>
        <v>1</v>
      </c>
      <c r="K17" s="283">
        <f>TblRezone[[#This Row],[Hour]]</f>
        <v>14</v>
      </c>
      <c r="L17" s="284">
        <f ca="1">TblImps[[#This Row],[Real time]]</f>
        <v>46320.541666666635</v>
      </c>
      <c r="M17" s="61">
        <f>IF(ISERROR(TblImps[[#This Row],[algorithm]]),0,TblImps[[#This Row],[algorithm]]*1)</f>
        <v>0</v>
      </c>
      <c r="N17" s="94">
        <f ca="1">TblImps[[#This Row],[Land]]</f>
        <v>50</v>
      </c>
      <c r="O17" s="285" t="s">
        <v>4</v>
      </c>
      <c r="P17" s="286"/>
      <c r="Q17" s="285" t="s">
        <v>210</v>
      </c>
      <c r="R17" s="285" t="s">
        <v>7</v>
      </c>
      <c r="S17" s="286"/>
      <c r="T17" s="285" t="s">
        <v>210</v>
      </c>
      <c r="U17" s="285" t="s">
        <v>3</v>
      </c>
      <c r="V17" s="286"/>
      <c r="W17" s="285" t="s">
        <v>210</v>
      </c>
      <c r="X17" s="142"/>
      <c r="Y17" s="287">
        <f ca="1">science_cap*(1-EXP(-TblImps[[#This Row],[Σ Science]]/(science_param*(OFFSET(TblImps[[#This Row],[Land]],1,0)-OFFSET(TblExplore[[#This Row],[Land Bonus]],1,0)*20)+15000)))*(1+(mason_bonus*TblConstr[[#This Row],[Tot Mas]]/TblConstr[[#This Row],[Land (2)]]))</f>
        <v>0</v>
      </c>
      <c r="Z17" s="287">
        <f ca="1">keep_cap*(1-EXP(-TblImps[[#This Row],[Σ Keep]]/(keep_param*(OFFSET(TblImps[[#This Row],[Land]],1,0)-OFFSET(TblExplore[[#This Row],[Land Bonus]],1,0)*20)+15000)))*(1+(mason_bonus*TblConstr[[#This Row],[Tot Mas]]/TblConstr[[#This Row],[Land (2)]]))</f>
        <v>0</v>
      </c>
      <c r="AA17" s="287">
        <f ca="1">harbor_towers_cap*(1-EXP(-TblImps[[#This Row],[Σ Spires]]/(towers_param*(OFFSET(TblImps[[#This Row],[Land]],1,0)-OFFSET(TblExplore[[#This Row],[Land Bonus]],1,0)*20)+15000)))*(1+(mason_bonus*TblConstr[[#This Row],[Tot Mas]]/TblConstr[[#This Row],[Land (2)]]))</f>
        <v>0</v>
      </c>
      <c r="AB17" s="287">
        <f ca="1">walls_forges_cap*(1-EXP(-TblImps[[#This Row],[Σ Forges]]/(walls_forges_param*(OFFSET(TblImps[[#This Row],[Land]],1,0)-OFFSET(TblExplore[[#This Row],[Land Bonus]],1,0)*20)+15000)))*(1+(mason_bonus*TblConstr[[#This Row],[Tot Mas]]/TblConstr[[#This Row],[Land (2)]]))</f>
        <v>0</v>
      </c>
      <c r="AC17" s="287">
        <f ca="1">walls_forges_cap*(1-EXP(-TblImps[[#This Row],[Σ Walls]]/(walls_forges_param*(OFFSET(TblImps[[#This Row],[Land]],1,0)-OFFSET(TblExplore[[#This Row],[Land Bonus]],1,0)*20)+15000)))*(1+(mason_bonus*TblConstr[[#This Row],[Tot Mas]]/TblConstr[[#This Row],[Land (2)]]))</f>
        <v>0</v>
      </c>
      <c r="AD17" s="287">
        <f ca="1">harbor_towers_cap*(1-EXP(-TblImps[[#This Row],[Σ Harbor]]/(harbor_towers_param*(OFFSET(TblImps[[#This Row],[Land]],1,0)-OFFSET(TblExplore[[#This Row],[Land Bonus]],1,0)*20)+15000)))*(1+(mason_bonus*TblConstr[[#This Row],[Tot Mas]]/TblConstr[[#This Row],[Land (2)]]))</f>
        <v>0</v>
      </c>
      <c r="AE17" s="142"/>
      <c r="AF17" s="61">
        <f ca="1">(1+Overview!$I$29)*SUM(TblImps[[#This Row],[P2]:[G2]])+OFFSET(TblImps[[#This Row],[Σ Science]],-1,0)</f>
        <v>0</v>
      </c>
      <c r="AG17" s="61">
        <f ca="1">(1+Overview!$I$29)*SUM(TblImps[[#This Row],[P3]:[G3]])+OFFSET(TblImps[[#This Row],[Σ Keep]],-1,0)</f>
        <v>0</v>
      </c>
      <c r="AH17" s="61">
        <f ca="1">(1+Overview!$I$29 + tech_7_1*TblTech[[#This Row],[7-1]])*SUM(TblImps[[#This Row],[P4]:[G4]])+OFFSET(TblImps[[#This Row],[Σ Spires]],-1,0)</f>
        <v>0</v>
      </c>
      <c r="AI17" s="61">
        <f ca="1">(1+Overview!$I$29)*SUM(TblImps[[#This Row],[P5]:[FW5]])+OFFSET(TblImps[[#This Row],[Σ Forges]],-1,0)</f>
        <v>0</v>
      </c>
      <c r="AJ17" s="61">
        <f ca="1">(1+Overview!$I$29)*SUM(TblImps[[#This Row],[P6]:[G6]])+OFFSET(TblImps[[#This Row],[Σ Walls]],-1,0)</f>
        <v>0</v>
      </c>
      <c r="AK17" s="61">
        <f ca="1">(1+Overview!$I$29 + tech_7_1*TblTech[[#This Row],[7-1]])*SUM(TblImps[[#This Row],[P7]:[G7]])+OFFSET(TblImps[[#This Row],[Σ Harbor]],-1,0)</f>
        <v>0</v>
      </c>
      <c r="AL17" s="142"/>
      <c r="AM17" s="57">
        <f>IF(AND(TblImps[[#This Row],[Resource]]=AM$2,TblImps[[#This Row],[Part]]&lt;&gt;""),TblImps[[#This Row],[Amount]]) + IF(AND(TblImps[[#This Row],[Resource 2]]=AM$2,TblImps[[#This Row],[Part 2]]&lt;&gt;""),TblImps[[#This Row],[Amount 2]]) + IF(AND(TblImps[[#This Row],[Resource 3]]=AM$2,TblImps[[#This Row],[Part 3]]&lt;&gt;""),TblImps[[#This Row],[Amount 3]])</f>
        <v>0</v>
      </c>
      <c r="AN17" s="57">
        <f>IF(AND(TblImps[[#This Row],[Resource]]=AN$2,TblImps[[#This Row],[Part]]&lt;&gt;""),TblImps[[#This Row],[Amount]]) + IF(AND(TblImps[[#This Row],[Resource 2]]=AN$2,TblImps[[#This Row],[Part 2]]&lt;&gt;""),TblImps[[#This Row],[Amount 2]]) + IF(AND(TblImps[[#This Row],[Resource 3]]=AN$2,TblImps[[#This Row],[Part 3]]&lt;&gt;""),TblImps[[#This Row],[Amount 3]])</f>
        <v>0</v>
      </c>
      <c r="AO17" s="57">
        <f>IF(AND(TblImps[[#This Row],[Resource]]=AO$2,TblImps[[#This Row],[Part]]&lt;&gt;""),TblImps[[#This Row],[Amount]]) + IF(AND(TblImps[[#This Row],[Resource 2]]=AO$2,TblImps[[#This Row],[Part 2]]&lt;&gt;""),TblImps[[#This Row],[Amount 2]]) + IF(AND(TblImps[[#This Row],[Resource 3]]=AO$2,TblImps[[#This Row],[Part 3]]&lt;&gt;""),TblImps[[#This Row],[Amount 3]])</f>
        <v>0</v>
      </c>
      <c r="AP17" s="57">
        <f>IF(AND(TblImps[[#This Row],[Resource]]=AP$2,TblImps[[#This Row],[Part]]&lt;&gt;""),TblImps[[#This Row],[Amount]]) + IF(AND(TblImps[[#This Row],[Resource 2]]=AP$2,TblImps[[#This Row],[Part 2]]&lt;&gt;""),TblImps[[#This Row],[Amount 2]]) + IF(AND(TblImps[[#This Row],[Resource 3]]=AP$2,TblImps[[#This Row],[Part 3]]&lt;&gt;""),TblImps[[#This Row],[Amount 3]])</f>
        <v>0</v>
      </c>
      <c r="AQ17" s="142"/>
      <c r="AR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142"/>
      <c r="AW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142"/>
      <c r="BB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142"/>
      <c r="BG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57">
        <f ca="1">IF(OFFSET(TblMagic[[#This Row],[Active Alchemists Flame]],-1,0)&gt;0,TblConstr[[#This Row],[Tot Alc]]*alchemist_flame_invest,0)</f>
        <v>0</v>
      </c>
      <c r="BL17" s="142"/>
      <c r="BM1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7" s="142"/>
      <c r="BR1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7" s="142"/>
      <c r="BW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7" s="61">
        <f>TblImps[[#This Row],[Login]]</f>
        <v>0</v>
      </c>
      <c r="BY17" s="137"/>
      <c r="BZ17" s="293">
        <f ca="1">OFFSET(TblImps[[#This Row],[Real time]],-1,0)+1/24</f>
        <v>46320.541666666635</v>
      </c>
      <c r="CA17" s="294">
        <f ca="1">OFFSET(TblImps[[#This Row],[Servertime]],-1,0)+1/24</f>
        <v>46320.541666666635</v>
      </c>
      <c r="CB17" s="57"/>
      <c r="CC17" s="292"/>
      <c r="CD17" s="292"/>
      <c r="CE17" s="159"/>
    </row>
    <row r="18" spans="1:85" x14ac:dyDescent="0.2">
      <c r="A18" s="214">
        <f ca="1">TblConstr[[#This Row],[Land]]</f>
        <v>50</v>
      </c>
      <c r="B18" s="142"/>
      <c r="C18" s="94">
        <f ca="1">TblProd[[#This Row],[Platinum]]</f>
        <v>136614</v>
      </c>
      <c r="D18" s="94">
        <f ca="1">TblProd[[#This Row],[Lumber]]</f>
        <v>26156</v>
      </c>
      <c r="E18" s="94">
        <f ca="1">TblProd[[#This Row],[Ore]]</f>
        <v>0</v>
      </c>
      <c r="F18" s="94">
        <f ca="1">TblProd[[#This Row],[Gems]]</f>
        <v>0</v>
      </c>
      <c r="G18" s="154"/>
      <c r="H18" s="94">
        <f ca="1">TblMili[[#This Row],[Draftees]]</f>
        <v>360</v>
      </c>
      <c r="I18" s="180">
        <f ca="1">TblPop[[#This Row],[Employment]]</f>
        <v>1</v>
      </c>
      <c r="J18" s="180">
        <f ca="1">TblPop[[#This Row],[Total]]/TblPop[[#This Row],[Net max]]</f>
        <v>1</v>
      </c>
      <c r="K18" s="283">
        <f>TblRezone[[#This Row],[Hour]]</f>
        <v>15</v>
      </c>
      <c r="L18" s="284">
        <f ca="1">TblImps[[#This Row],[Real time]]</f>
        <v>46320.583333333299</v>
      </c>
      <c r="M18" s="61">
        <f>IF(ISERROR(TblImps[[#This Row],[algorithm]]),0,TblImps[[#This Row],[algorithm]]*1)</f>
        <v>0</v>
      </c>
      <c r="N18" s="94">
        <f ca="1">TblImps[[#This Row],[Land]]</f>
        <v>50</v>
      </c>
      <c r="O18" s="285" t="s">
        <v>4</v>
      </c>
      <c r="P18" s="286"/>
      <c r="Q18" s="285" t="s">
        <v>210</v>
      </c>
      <c r="R18" s="285" t="s">
        <v>7</v>
      </c>
      <c r="S18" s="286"/>
      <c r="T18" s="285" t="s">
        <v>210</v>
      </c>
      <c r="U18" s="285" t="s">
        <v>3</v>
      </c>
      <c r="V18" s="286"/>
      <c r="W18" s="285" t="s">
        <v>210</v>
      </c>
      <c r="X18" s="142"/>
      <c r="Y18" s="287">
        <f ca="1">science_cap*(1-EXP(-TblImps[[#This Row],[Σ Science]]/(science_param*(OFFSET(TblImps[[#This Row],[Land]],1,0)-OFFSET(TblExplore[[#This Row],[Land Bonus]],1,0)*20)+15000)))*(1+(mason_bonus*TblConstr[[#This Row],[Tot Mas]]/TblConstr[[#This Row],[Land (2)]]))</f>
        <v>0</v>
      </c>
      <c r="Z18" s="287">
        <f ca="1">keep_cap*(1-EXP(-TblImps[[#This Row],[Σ Keep]]/(keep_param*(OFFSET(TblImps[[#This Row],[Land]],1,0)-OFFSET(TblExplore[[#This Row],[Land Bonus]],1,0)*20)+15000)))*(1+(mason_bonus*TblConstr[[#This Row],[Tot Mas]]/TblConstr[[#This Row],[Land (2)]]))</f>
        <v>0</v>
      </c>
      <c r="AA18" s="287">
        <f ca="1">harbor_towers_cap*(1-EXP(-TblImps[[#This Row],[Σ Spires]]/(towers_param*(OFFSET(TblImps[[#This Row],[Land]],1,0)-OFFSET(TblExplore[[#This Row],[Land Bonus]],1,0)*20)+15000)))*(1+(mason_bonus*TblConstr[[#This Row],[Tot Mas]]/TblConstr[[#This Row],[Land (2)]]))</f>
        <v>0</v>
      </c>
      <c r="AB18" s="287">
        <f ca="1">walls_forges_cap*(1-EXP(-TblImps[[#This Row],[Σ Forges]]/(walls_forges_param*(OFFSET(TblImps[[#This Row],[Land]],1,0)-OFFSET(TblExplore[[#This Row],[Land Bonus]],1,0)*20)+15000)))*(1+(mason_bonus*TblConstr[[#This Row],[Tot Mas]]/TblConstr[[#This Row],[Land (2)]]))</f>
        <v>0</v>
      </c>
      <c r="AC18" s="287">
        <f ca="1">walls_forges_cap*(1-EXP(-TblImps[[#This Row],[Σ Walls]]/(walls_forges_param*(OFFSET(TblImps[[#This Row],[Land]],1,0)-OFFSET(TblExplore[[#This Row],[Land Bonus]],1,0)*20)+15000)))*(1+(mason_bonus*TblConstr[[#This Row],[Tot Mas]]/TblConstr[[#This Row],[Land (2)]]))</f>
        <v>0</v>
      </c>
      <c r="AD18" s="287">
        <f ca="1">harbor_towers_cap*(1-EXP(-TblImps[[#This Row],[Σ Harbor]]/(harbor_towers_param*(OFFSET(TblImps[[#This Row],[Land]],1,0)-OFFSET(TblExplore[[#This Row],[Land Bonus]],1,0)*20)+15000)))*(1+(mason_bonus*TblConstr[[#This Row],[Tot Mas]]/TblConstr[[#This Row],[Land (2)]]))</f>
        <v>0</v>
      </c>
      <c r="AE18" s="142"/>
      <c r="AF18" s="61">
        <f ca="1">(1+Overview!$I$29)*SUM(TblImps[[#This Row],[P2]:[G2]])+OFFSET(TblImps[[#This Row],[Σ Science]],-1,0)</f>
        <v>0</v>
      </c>
      <c r="AG18" s="61">
        <f ca="1">(1+Overview!$I$29)*SUM(TblImps[[#This Row],[P3]:[G3]])+OFFSET(TblImps[[#This Row],[Σ Keep]],-1,0)</f>
        <v>0</v>
      </c>
      <c r="AH18" s="61">
        <f ca="1">(1+Overview!$I$29 + tech_7_1*TblTech[[#This Row],[7-1]])*SUM(TblImps[[#This Row],[P4]:[G4]])+OFFSET(TblImps[[#This Row],[Σ Spires]],-1,0)</f>
        <v>0</v>
      </c>
      <c r="AI18" s="61">
        <f ca="1">(1+Overview!$I$29)*SUM(TblImps[[#This Row],[P5]:[FW5]])+OFFSET(TblImps[[#This Row],[Σ Forges]],-1,0)</f>
        <v>0</v>
      </c>
      <c r="AJ18" s="61">
        <f ca="1">(1+Overview!$I$29)*SUM(TblImps[[#This Row],[P6]:[G6]])+OFFSET(TblImps[[#This Row],[Σ Walls]],-1,0)</f>
        <v>0</v>
      </c>
      <c r="AK18" s="61">
        <f ca="1">(1+Overview!$I$29 + tech_7_1*TblTech[[#This Row],[7-1]])*SUM(TblImps[[#This Row],[P7]:[G7]])+OFFSET(TblImps[[#This Row],[Σ Harbor]],-1,0)</f>
        <v>0</v>
      </c>
      <c r="AL18" s="142"/>
      <c r="AM18" s="57">
        <f>IF(AND(TblImps[[#This Row],[Resource]]=AM$2,TblImps[[#This Row],[Part]]&lt;&gt;""),TblImps[[#This Row],[Amount]]) + IF(AND(TblImps[[#This Row],[Resource 2]]=AM$2,TblImps[[#This Row],[Part 2]]&lt;&gt;""),TblImps[[#This Row],[Amount 2]]) + IF(AND(TblImps[[#This Row],[Resource 3]]=AM$2,TblImps[[#This Row],[Part 3]]&lt;&gt;""),TblImps[[#This Row],[Amount 3]])</f>
        <v>0</v>
      </c>
      <c r="AN18" s="57">
        <f>IF(AND(TblImps[[#This Row],[Resource]]=AN$2,TblImps[[#This Row],[Part]]&lt;&gt;""),TblImps[[#This Row],[Amount]]) + IF(AND(TblImps[[#This Row],[Resource 2]]=AN$2,TblImps[[#This Row],[Part 2]]&lt;&gt;""),TblImps[[#This Row],[Amount 2]]) + IF(AND(TblImps[[#This Row],[Resource 3]]=AN$2,TblImps[[#This Row],[Part 3]]&lt;&gt;""),TblImps[[#This Row],[Amount 3]])</f>
        <v>0</v>
      </c>
      <c r="AO18" s="57">
        <f>IF(AND(TblImps[[#This Row],[Resource]]=AO$2,TblImps[[#This Row],[Part]]&lt;&gt;""),TblImps[[#This Row],[Amount]]) + IF(AND(TblImps[[#This Row],[Resource 2]]=AO$2,TblImps[[#This Row],[Part 2]]&lt;&gt;""),TblImps[[#This Row],[Amount 2]]) + IF(AND(TblImps[[#This Row],[Resource 3]]=AO$2,TblImps[[#This Row],[Part 3]]&lt;&gt;""),TblImps[[#This Row],[Amount 3]])</f>
        <v>0</v>
      </c>
      <c r="AP18" s="57">
        <f>IF(AND(TblImps[[#This Row],[Resource]]=AP$2,TblImps[[#This Row],[Part]]&lt;&gt;""),TblImps[[#This Row],[Amount]]) + IF(AND(TblImps[[#This Row],[Resource 2]]=AP$2,TblImps[[#This Row],[Part 2]]&lt;&gt;""),TblImps[[#This Row],[Amount 2]]) + IF(AND(TblImps[[#This Row],[Resource 3]]=AP$2,TblImps[[#This Row],[Part 3]]&lt;&gt;""),TblImps[[#This Row],[Amount 3]])</f>
        <v>0</v>
      </c>
      <c r="AQ18" s="142"/>
      <c r="AR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142"/>
      <c r="AW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142"/>
      <c r="BB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142"/>
      <c r="BG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57">
        <f ca="1">IF(OFFSET(TblMagic[[#This Row],[Active Alchemists Flame]],-1,0)&gt;0,TblConstr[[#This Row],[Tot Alc]]*alchemist_flame_invest,0)</f>
        <v>0</v>
      </c>
      <c r="BL18" s="142"/>
      <c r="BM1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8" s="142"/>
      <c r="BR1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8" s="142"/>
      <c r="BW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8" s="61">
        <f>TblImps[[#This Row],[Login]]</f>
        <v>0</v>
      </c>
      <c r="BY18" s="137"/>
      <c r="BZ18" s="293">
        <f ca="1">OFFSET(TblImps[[#This Row],[Real time]],-1,0)+1/24</f>
        <v>46320.583333333299</v>
      </c>
      <c r="CA18" s="294">
        <f ca="1">OFFSET(TblImps[[#This Row],[Servertime]],-1,0)+1/24</f>
        <v>46320.583333333299</v>
      </c>
      <c r="CB18" s="297"/>
      <c r="CC18" s="292"/>
      <c r="CD18" s="292"/>
      <c r="CG18" s="295"/>
    </row>
    <row r="19" spans="1:85" x14ac:dyDescent="0.2">
      <c r="A19" s="214">
        <f ca="1">TblConstr[[#This Row],[Land]]</f>
        <v>50</v>
      </c>
      <c r="B19" s="142"/>
      <c r="C19" s="94">
        <f ca="1">TblProd[[#This Row],[Platinum]]</f>
        <v>137718</v>
      </c>
      <c r="D19" s="94">
        <f ca="1">TblProd[[#This Row],[Lumber]]</f>
        <v>26894</v>
      </c>
      <c r="E19" s="94">
        <f ca="1">TblProd[[#This Row],[Ore]]</f>
        <v>0</v>
      </c>
      <c r="F19" s="94">
        <f ca="1">TblProd[[#This Row],[Gems]]</f>
        <v>0</v>
      </c>
      <c r="G19" s="154"/>
      <c r="H19" s="94">
        <f ca="1">TblMili[[#This Row],[Draftees]]</f>
        <v>364</v>
      </c>
      <c r="I19" s="180">
        <f ca="1">TblPop[[#This Row],[Employment]]</f>
        <v>1</v>
      </c>
      <c r="J19" s="180">
        <f ca="1">TblPop[[#This Row],[Total]]/TblPop[[#This Row],[Net max]]</f>
        <v>1</v>
      </c>
      <c r="K19" s="283">
        <f>TblRezone[[#This Row],[Hour]]</f>
        <v>16</v>
      </c>
      <c r="L19" s="284">
        <f ca="1">TblImps[[#This Row],[Real time]]</f>
        <v>46320.624999999964</v>
      </c>
      <c r="M19" s="61">
        <f>IF(ISERROR(TblImps[[#This Row],[algorithm]]),0,TblImps[[#This Row],[algorithm]]*1)</f>
        <v>0</v>
      </c>
      <c r="N19" s="94">
        <f ca="1">TblImps[[#This Row],[Land]]</f>
        <v>50</v>
      </c>
      <c r="O19" s="285" t="s">
        <v>4</v>
      </c>
      <c r="P19" s="286"/>
      <c r="Q19" s="285" t="s">
        <v>210</v>
      </c>
      <c r="R19" s="285" t="s">
        <v>7</v>
      </c>
      <c r="S19" s="286"/>
      <c r="T19" s="285" t="s">
        <v>210</v>
      </c>
      <c r="U19" s="285" t="s">
        <v>3</v>
      </c>
      <c r="V19" s="286"/>
      <c r="W19" s="285" t="s">
        <v>210</v>
      </c>
      <c r="X19" s="142"/>
      <c r="Y19" s="287">
        <f ca="1">science_cap*(1-EXP(-TblImps[[#This Row],[Σ Science]]/(science_param*(OFFSET(TblImps[[#This Row],[Land]],1,0)-OFFSET(TblExplore[[#This Row],[Land Bonus]],1,0)*20)+15000)))*(1+(mason_bonus*TblConstr[[#This Row],[Tot Mas]]/TblConstr[[#This Row],[Land (2)]]))</f>
        <v>0</v>
      </c>
      <c r="Z19" s="287">
        <f ca="1">keep_cap*(1-EXP(-TblImps[[#This Row],[Σ Keep]]/(keep_param*(OFFSET(TblImps[[#This Row],[Land]],1,0)-OFFSET(TblExplore[[#This Row],[Land Bonus]],1,0)*20)+15000)))*(1+(mason_bonus*TblConstr[[#This Row],[Tot Mas]]/TblConstr[[#This Row],[Land (2)]]))</f>
        <v>0</v>
      </c>
      <c r="AA19" s="287">
        <f ca="1">harbor_towers_cap*(1-EXP(-TblImps[[#This Row],[Σ Spires]]/(towers_param*(OFFSET(TblImps[[#This Row],[Land]],1,0)-OFFSET(TblExplore[[#This Row],[Land Bonus]],1,0)*20)+15000)))*(1+(mason_bonus*TblConstr[[#This Row],[Tot Mas]]/TblConstr[[#This Row],[Land (2)]]))</f>
        <v>0</v>
      </c>
      <c r="AB19" s="287">
        <f ca="1">walls_forges_cap*(1-EXP(-TblImps[[#This Row],[Σ Forges]]/(walls_forges_param*(OFFSET(TblImps[[#This Row],[Land]],1,0)-OFFSET(TblExplore[[#This Row],[Land Bonus]],1,0)*20)+15000)))*(1+(mason_bonus*TblConstr[[#This Row],[Tot Mas]]/TblConstr[[#This Row],[Land (2)]]))</f>
        <v>0</v>
      </c>
      <c r="AC19" s="287">
        <f ca="1">walls_forges_cap*(1-EXP(-TblImps[[#This Row],[Σ Walls]]/(walls_forges_param*(OFFSET(TblImps[[#This Row],[Land]],1,0)-OFFSET(TblExplore[[#This Row],[Land Bonus]],1,0)*20)+15000)))*(1+(mason_bonus*TblConstr[[#This Row],[Tot Mas]]/TblConstr[[#This Row],[Land (2)]]))</f>
        <v>0</v>
      </c>
      <c r="AD19" s="287">
        <f ca="1">harbor_towers_cap*(1-EXP(-TblImps[[#This Row],[Σ Harbor]]/(harbor_towers_param*(OFFSET(TblImps[[#This Row],[Land]],1,0)-OFFSET(TblExplore[[#This Row],[Land Bonus]],1,0)*20)+15000)))*(1+(mason_bonus*TblConstr[[#This Row],[Tot Mas]]/TblConstr[[#This Row],[Land (2)]]))</f>
        <v>0</v>
      </c>
      <c r="AE19" s="142"/>
      <c r="AF19" s="61">
        <f ca="1">(1+Overview!$I$29)*SUM(TblImps[[#This Row],[P2]:[G2]])+OFFSET(TblImps[[#This Row],[Σ Science]],-1,0)</f>
        <v>0</v>
      </c>
      <c r="AG19" s="61">
        <f ca="1">(1+Overview!$I$29)*SUM(TblImps[[#This Row],[P3]:[G3]])+OFFSET(TblImps[[#This Row],[Σ Keep]],-1,0)</f>
        <v>0</v>
      </c>
      <c r="AH19" s="61">
        <f ca="1">(1+Overview!$I$29 + tech_7_1*TblTech[[#This Row],[7-1]])*SUM(TblImps[[#This Row],[P4]:[G4]])+OFFSET(TblImps[[#This Row],[Σ Spires]],-1,0)</f>
        <v>0</v>
      </c>
      <c r="AI19" s="61">
        <f ca="1">(1+Overview!$I$29)*SUM(TblImps[[#This Row],[P5]:[FW5]])+OFFSET(TblImps[[#This Row],[Σ Forges]],-1,0)</f>
        <v>0</v>
      </c>
      <c r="AJ19" s="61">
        <f ca="1">(1+Overview!$I$29)*SUM(TblImps[[#This Row],[P6]:[G6]])+OFFSET(TblImps[[#This Row],[Σ Walls]],-1,0)</f>
        <v>0</v>
      </c>
      <c r="AK19" s="61">
        <f ca="1">(1+Overview!$I$29 + tech_7_1*TblTech[[#This Row],[7-1]])*SUM(TblImps[[#This Row],[P7]:[G7]])+OFFSET(TblImps[[#This Row],[Σ Harbor]],-1,0)</f>
        <v>0</v>
      </c>
      <c r="AL19" s="142"/>
      <c r="AM19" s="57">
        <f>IF(AND(TblImps[[#This Row],[Resource]]=AM$2,TblImps[[#This Row],[Part]]&lt;&gt;""),TblImps[[#This Row],[Amount]]) + IF(AND(TblImps[[#This Row],[Resource 2]]=AM$2,TblImps[[#This Row],[Part 2]]&lt;&gt;""),TblImps[[#This Row],[Amount 2]]) + IF(AND(TblImps[[#This Row],[Resource 3]]=AM$2,TblImps[[#This Row],[Part 3]]&lt;&gt;""),TblImps[[#This Row],[Amount 3]])</f>
        <v>0</v>
      </c>
      <c r="AN19" s="57">
        <f>IF(AND(TblImps[[#This Row],[Resource]]=AN$2,TblImps[[#This Row],[Part]]&lt;&gt;""),TblImps[[#This Row],[Amount]]) + IF(AND(TblImps[[#This Row],[Resource 2]]=AN$2,TblImps[[#This Row],[Part 2]]&lt;&gt;""),TblImps[[#This Row],[Amount 2]]) + IF(AND(TblImps[[#This Row],[Resource 3]]=AN$2,TblImps[[#This Row],[Part 3]]&lt;&gt;""),TblImps[[#This Row],[Amount 3]])</f>
        <v>0</v>
      </c>
      <c r="AO19" s="57">
        <f>IF(AND(TblImps[[#This Row],[Resource]]=AO$2,TblImps[[#This Row],[Part]]&lt;&gt;""),TblImps[[#This Row],[Amount]]) + IF(AND(TblImps[[#This Row],[Resource 2]]=AO$2,TblImps[[#This Row],[Part 2]]&lt;&gt;""),TblImps[[#This Row],[Amount 2]]) + IF(AND(TblImps[[#This Row],[Resource 3]]=AO$2,TblImps[[#This Row],[Part 3]]&lt;&gt;""),TblImps[[#This Row],[Amount 3]])</f>
        <v>0</v>
      </c>
      <c r="AP19" s="57">
        <f>IF(AND(TblImps[[#This Row],[Resource]]=AP$2,TblImps[[#This Row],[Part]]&lt;&gt;""),TblImps[[#This Row],[Amount]]) + IF(AND(TblImps[[#This Row],[Resource 2]]=AP$2,TblImps[[#This Row],[Part 2]]&lt;&gt;""),TblImps[[#This Row],[Amount 2]]) + IF(AND(TblImps[[#This Row],[Resource 3]]=AP$2,TblImps[[#This Row],[Part 3]]&lt;&gt;""),TblImps[[#This Row],[Amount 3]])</f>
        <v>0</v>
      </c>
      <c r="AQ19" s="142"/>
      <c r="AR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142"/>
      <c r="AW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142"/>
      <c r="BB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142"/>
      <c r="BG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57">
        <f ca="1">IF(OFFSET(TblMagic[[#This Row],[Active Alchemists Flame]],-1,0)&gt;0,TblConstr[[#This Row],[Tot Alc]]*alchemist_flame_invest,0)</f>
        <v>0</v>
      </c>
      <c r="BL19" s="142"/>
      <c r="BM1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9" s="142"/>
      <c r="BR1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9" s="142"/>
      <c r="BW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9" s="61">
        <f>TblImps[[#This Row],[Login]]</f>
        <v>0</v>
      </c>
      <c r="BY19" s="137"/>
      <c r="BZ19" s="293">
        <f ca="1">OFFSET(TblImps[[#This Row],[Real time]],-1,0)+1/24</f>
        <v>46320.624999999964</v>
      </c>
      <c r="CA19" s="294">
        <f ca="1">OFFSET(TblImps[[#This Row],[Servertime]],-1,0)+1/24</f>
        <v>46320.624999999964</v>
      </c>
      <c r="CB19" s="57"/>
      <c r="CC19" s="292"/>
      <c r="CD19" s="292"/>
      <c r="CG19" s="296"/>
    </row>
    <row r="20" spans="1:85" x14ac:dyDescent="0.2">
      <c r="A20" s="214">
        <f ca="1">TblConstr[[#This Row],[Land]]</f>
        <v>50</v>
      </c>
      <c r="B20" s="142"/>
      <c r="C20" s="94">
        <f ca="1">TblProd[[#This Row],[Platinum]]</f>
        <v>138811</v>
      </c>
      <c r="D20" s="94">
        <f ca="1">TblProd[[#This Row],[Lumber]]</f>
        <v>27625</v>
      </c>
      <c r="E20" s="94">
        <f ca="1">TblProd[[#This Row],[Ore]]</f>
        <v>0</v>
      </c>
      <c r="F20" s="94">
        <f ca="1">TblProd[[#This Row],[Gems]]</f>
        <v>0</v>
      </c>
      <c r="G20" s="154"/>
      <c r="H20" s="94">
        <f ca="1">TblMili[[#This Row],[Draftees]]</f>
        <v>368</v>
      </c>
      <c r="I20" s="180">
        <f ca="1">TblPop[[#This Row],[Employment]]</f>
        <v>1</v>
      </c>
      <c r="J20" s="180">
        <f ca="1">TblPop[[#This Row],[Total]]/TblPop[[#This Row],[Net max]]</f>
        <v>1</v>
      </c>
      <c r="K20" s="283">
        <f>TblRezone[[#This Row],[Hour]]</f>
        <v>17</v>
      </c>
      <c r="L20" s="284">
        <f ca="1">TblImps[[#This Row],[Real time]]</f>
        <v>46320.666666666628</v>
      </c>
      <c r="M20" s="61">
        <f>IF(ISERROR(TblImps[[#This Row],[algorithm]]),0,TblImps[[#This Row],[algorithm]]*1)</f>
        <v>0</v>
      </c>
      <c r="N20" s="94">
        <f ca="1">TblImps[[#This Row],[Land]]</f>
        <v>50</v>
      </c>
      <c r="O20" s="285" t="s">
        <v>4</v>
      </c>
      <c r="P20" s="286"/>
      <c r="Q20" s="285" t="s">
        <v>210</v>
      </c>
      <c r="R20" s="285" t="s">
        <v>7</v>
      </c>
      <c r="S20" s="286"/>
      <c r="T20" s="285" t="s">
        <v>210</v>
      </c>
      <c r="U20" s="285" t="s">
        <v>3</v>
      </c>
      <c r="V20" s="286"/>
      <c r="W20" s="285" t="s">
        <v>210</v>
      </c>
      <c r="X20" s="142"/>
      <c r="Y20" s="287">
        <f ca="1">science_cap*(1-EXP(-TblImps[[#This Row],[Σ Science]]/(science_param*(OFFSET(TblImps[[#This Row],[Land]],1,0)-OFFSET(TblExplore[[#This Row],[Land Bonus]],1,0)*20)+15000)))*(1+(mason_bonus*TblConstr[[#This Row],[Tot Mas]]/TblConstr[[#This Row],[Land (2)]]))</f>
        <v>0</v>
      </c>
      <c r="Z20" s="287">
        <f ca="1">keep_cap*(1-EXP(-TblImps[[#This Row],[Σ Keep]]/(keep_param*(OFFSET(TblImps[[#This Row],[Land]],1,0)-OFFSET(TblExplore[[#This Row],[Land Bonus]],1,0)*20)+15000)))*(1+(mason_bonus*TblConstr[[#This Row],[Tot Mas]]/TblConstr[[#This Row],[Land (2)]]))</f>
        <v>0</v>
      </c>
      <c r="AA20" s="287">
        <f ca="1">harbor_towers_cap*(1-EXP(-TblImps[[#This Row],[Σ Spires]]/(towers_param*(OFFSET(TblImps[[#This Row],[Land]],1,0)-OFFSET(TblExplore[[#This Row],[Land Bonus]],1,0)*20)+15000)))*(1+(mason_bonus*TblConstr[[#This Row],[Tot Mas]]/TblConstr[[#This Row],[Land (2)]]))</f>
        <v>0</v>
      </c>
      <c r="AB20" s="287">
        <f ca="1">walls_forges_cap*(1-EXP(-TblImps[[#This Row],[Σ Forges]]/(walls_forges_param*(OFFSET(TblImps[[#This Row],[Land]],1,0)-OFFSET(TblExplore[[#This Row],[Land Bonus]],1,0)*20)+15000)))*(1+(mason_bonus*TblConstr[[#This Row],[Tot Mas]]/TblConstr[[#This Row],[Land (2)]]))</f>
        <v>0</v>
      </c>
      <c r="AC20" s="287">
        <f ca="1">walls_forges_cap*(1-EXP(-TblImps[[#This Row],[Σ Walls]]/(walls_forges_param*(OFFSET(TblImps[[#This Row],[Land]],1,0)-OFFSET(TblExplore[[#This Row],[Land Bonus]],1,0)*20)+15000)))*(1+(mason_bonus*TblConstr[[#This Row],[Tot Mas]]/TblConstr[[#This Row],[Land (2)]]))</f>
        <v>0</v>
      </c>
      <c r="AD20" s="287">
        <f ca="1">harbor_towers_cap*(1-EXP(-TblImps[[#This Row],[Σ Harbor]]/(harbor_towers_param*(OFFSET(TblImps[[#This Row],[Land]],1,0)-OFFSET(TblExplore[[#This Row],[Land Bonus]],1,0)*20)+15000)))*(1+(mason_bonus*TblConstr[[#This Row],[Tot Mas]]/TblConstr[[#This Row],[Land (2)]]))</f>
        <v>0</v>
      </c>
      <c r="AE20" s="142"/>
      <c r="AF20" s="61">
        <f ca="1">(1+Overview!$I$29)*SUM(TblImps[[#This Row],[P2]:[G2]])+OFFSET(TblImps[[#This Row],[Σ Science]],-1,0)</f>
        <v>0</v>
      </c>
      <c r="AG20" s="61">
        <f ca="1">(1+Overview!$I$29)*SUM(TblImps[[#This Row],[P3]:[G3]])+OFFSET(TblImps[[#This Row],[Σ Keep]],-1,0)</f>
        <v>0</v>
      </c>
      <c r="AH20" s="61">
        <f ca="1">(1+Overview!$I$29 + tech_7_1*TblTech[[#This Row],[7-1]])*SUM(TblImps[[#This Row],[P4]:[G4]])+OFFSET(TblImps[[#This Row],[Σ Spires]],-1,0)</f>
        <v>0</v>
      </c>
      <c r="AI20" s="61">
        <f ca="1">(1+Overview!$I$29)*SUM(TblImps[[#This Row],[P5]:[FW5]])+OFFSET(TblImps[[#This Row],[Σ Forges]],-1,0)</f>
        <v>0</v>
      </c>
      <c r="AJ20" s="61">
        <f ca="1">(1+Overview!$I$29)*SUM(TblImps[[#This Row],[P6]:[G6]])+OFFSET(TblImps[[#This Row],[Σ Walls]],-1,0)</f>
        <v>0</v>
      </c>
      <c r="AK20" s="61">
        <f ca="1">(1+Overview!$I$29 + tech_7_1*TblTech[[#This Row],[7-1]])*SUM(TblImps[[#This Row],[P7]:[G7]])+OFFSET(TblImps[[#This Row],[Σ Harbor]],-1,0)</f>
        <v>0</v>
      </c>
      <c r="AL20" s="142"/>
      <c r="AM20" s="57">
        <f>IF(AND(TblImps[[#This Row],[Resource]]=AM$2,TblImps[[#This Row],[Part]]&lt;&gt;""),TblImps[[#This Row],[Amount]]) + IF(AND(TblImps[[#This Row],[Resource 2]]=AM$2,TblImps[[#This Row],[Part 2]]&lt;&gt;""),TblImps[[#This Row],[Amount 2]]) + IF(AND(TblImps[[#This Row],[Resource 3]]=AM$2,TblImps[[#This Row],[Part 3]]&lt;&gt;""),TblImps[[#This Row],[Amount 3]])</f>
        <v>0</v>
      </c>
      <c r="AN20" s="57">
        <f>IF(AND(TblImps[[#This Row],[Resource]]=AN$2,TblImps[[#This Row],[Part]]&lt;&gt;""),TblImps[[#This Row],[Amount]]) + IF(AND(TblImps[[#This Row],[Resource 2]]=AN$2,TblImps[[#This Row],[Part 2]]&lt;&gt;""),TblImps[[#This Row],[Amount 2]]) + IF(AND(TblImps[[#This Row],[Resource 3]]=AN$2,TblImps[[#This Row],[Part 3]]&lt;&gt;""),TblImps[[#This Row],[Amount 3]])</f>
        <v>0</v>
      </c>
      <c r="AO20" s="57">
        <f>IF(AND(TblImps[[#This Row],[Resource]]=AO$2,TblImps[[#This Row],[Part]]&lt;&gt;""),TblImps[[#This Row],[Amount]]) + IF(AND(TblImps[[#This Row],[Resource 2]]=AO$2,TblImps[[#This Row],[Part 2]]&lt;&gt;""),TblImps[[#This Row],[Amount 2]]) + IF(AND(TblImps[[#This Row],[Resource 3]]=AO$2,TblImps[[#This Row],[Part 3]]&lt;&gt;""),TblImps[[#This Row],[Amount 3]])</f>
        <v>0</v>
      </c>
      <c r="AP20" s="57">
        <f>IF(AND(TblImps[[#This Row],[Resource]]=AP$2,TblImps[[#This Row],[Part]]&lt;&gt;""),TblImps[[#This Row],[Amount]]) + IF(AND(TblImps[[#This Row],[Resource 2]]=AP$2,TblImps[[#This Row],[Part 2]]&lt;&gt;""),TblImps[[#This Row],[Amount 2]]) + IF(AND(TblImps[[#This Row],[Resource 3]]=AP$2,TblImps[[#This Row],[Part 3]]&lt;&gt;""),TblImps[[#This Row],[Amount 3]])</f>
        <v>0</v>
      </c>
      <c r="AQ20" s="142"/>
      <c r="AR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142"/>
      <c r="AW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142"/>
      <c r="BB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142"/>
      <c r="BG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57">
        <f ca="1">IF(OFFSET(TblMagic[[#This Row],[Active Alchemists Flame]],-1,0)&gt;0,TblConstr[[#This Row],[Tot Alc]]*alchemist_flame_invest,0)</f>
        <v>0</v>
      </c>
      <c r="BL20" s="142"/>
      <c r="BM2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0" s="142"/>
      <c r="BR2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0" s="142"/>
      <c r="BW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0" s="61">
        <f>TblImps[[#This Row],[Login]]</f>
        <v>0</v>
      </c>
      <c r="BY20" s="137"/>
      <c r="BZ20" s="293">
        <f ca="1">OFFSET(TblImps[[#This Row],[Real time]],-1,0)+1/24</f>
        <v>46320.666666666628</v>
      </c>
      <c r="CA20" s="294">
        <f ca="1">OFFSET(TblImps[[#This Row],[Servertime]],-1,0)+1/24</f>
        <v>46320.666666666628</v>
      </c>
      <c r="CB20" s="57"/>
      <c r="CC20" s="292"/>
      <c r="CD20" s="292"/>
      <c r="CG20" s="295"/>
    </row>
    <row r="21" spans="1:85" x14ac:dyDescent="0.2">
      <c r="A21" s="214">
        <f ca="1">TblConstr[[#This Row],[Land]]</f>
        <v>50</v>
      </c>
      <c r="B21" s="142"/>
      <c r="C21" s="94">
        <f ca="1">TblProd[[#This Row],[Platinum]]</f>
        <v>139893</v>
      </c>
      <c r="D21" s="94">
        <f ca="1">TblProd[[#This Row],[Lumber]]</f>
        <v>28349</v>
      </c>
      <c r="E21" s="94">
        <f ca="1">TblProd[[#This Row],[Ore]]</f>
        <v>0</v>
      </c>
      <c r="F21" s="94">
        <f ca="1">TblProd[[#This Row],[Gems]]</f>
        <v>0</v>
      </c>
      <c r="G21" s="154"/>
      <c r="H21" s="94">
        <f ca="1">TblMili[[#This Row],[Draftees]]</f>
        <v>372</v>
      </c>
      <c r="I21" s="180">
        <f ca="1">TblPop[[#This Row],[Employment]]</f>
        <v>1</v>
      </c>
      <c r="J21" s="180">
        <f ca="1">TblPop[[#This Row],[Total]]/TblPop[[#This Row],[Net max]]</f>
        <v>1</v>
      </c>
      <c r="K21" s="283">
        <f>TblRezone[[#This Row],[Hour]]</f>
        <v>18</v>
      </c>
      <c r="L21" s="284">
        <f ca="1">TblImps[[#This Row],[Real time]]</f>
        <v>46320.708333333292</v>
      </c>
      <c r="M21" s="61">
        <f>IF(ISERROR(TblImps[[#This Row],[algorithm]]),0,TblImps[[#This Row],[algorithm]]*1)</f>
        <v>0</v>
      </c>
      <c r="N21" s="94">
        <f ca="1">TblImps[[#This Row],[Land]]</f>
        <v>50</v>
      </c>
      <c r="O21" s="285" t="s">
        <v>4</v>
      </c>
      <c r="P21" s="286"/>
      <c r="Q21" s="285" t="s">
        <v>210</v>
      </c>
      <c r="R21" s="285" t="s">
        <v>7</v>
      </c>
      <c r="S21" s="286"/>
      <c r="T21" s="285" t="s">
        <v>210</v>
      </c>
      <c r="U21" s="285" t="s">
        <v>3</v>
      </c>
      <c r="V21" s="286"/>
      <c r="W21" s="285" t="s">
        <v>210</v>
      </c>
      <c r="X21" s="142"/>
      <c r="Y21" s="287">
        <f ca="1">science_cap*(1-EXP(-TblImps[[#This Row],[Σ Science]]/(science_param*(OFFSET(TblImps[[#This Row],[Land]],1,0)-OFFSET(TblExplore[[#This Row],[Land Bonus]],1,0)*20)+15000)))*(1+(mason_bonus*TblConstr[[#This Row],[Tot Mas]]/TblConstr[[#This Row],[Land (2)]]))</f>
        <v>0</v>
      </c>
      <c r="Z21" s="287">
        <f ca="1">keep_cap*(1-EXP(-TblImps[[#This Row],[Σ Keep]]/(keep_param*(OFFSET(TblImps[[#This Row],[Land]],1,0)-OFFSET(TblExplore[[#This Row],[Land Bonus]],1,0)*20)+15000)))*(1+(mason_bonus*TblConstr[[#This Row],[Tot Mas]]/TblConstr[[#This Row],[Land (2)]]))</f>
        <v>0</v>
      </c>
      <c r="AA21" s="287">
        <f ca="1">harbor_towers_cap*(1-EXP(-TblImps[[#This Row],[Σ Spires]]/(towers_param*(OFFSET(TblImps[[#This Row],[Land]],1,0)-OFFSET(TblExplore[[#This Row],[Land Bonus]],1,0)*20)+15000)))*(1+(mason_bonus*TblConstr[[#This Row],[Tot Mas]]/TblConstr[[#This Row],[Land (2)]]))</f>
        <v>0</v>
      </c>
      <c r="AB21" s="287">
        <f ca="1">walls_forges_cap*(1-EXP(-TblImps[[#This Row],[Σ Forges]]/(walls_forges_param*(OFFSET(TblImps[[#This Row],[Land]],1,0)-OFFSET(TblExplore[[#This Row],[Land Bonus]],1,0)*20)+15000)))*(1+(mason_bonus*TblConstr[[#This Row],[Tot Mas]]/TblConstr[[#This Row],[Land (2)]]))</f>
        <v>0</v>
      </c>
      <c r="AC21" s="287">
        <f ca="1">walls_forges_cap*(1-EXP(-TblImps[[#This Row],[Σ Walls]]/(walls_forges_param*(OFFSET(TblImps[[#This Row],[Land]],1,0)-OFFSET(TblExplore[[#This Row],[Land Bonus]],1,0)*20)+15000)))*(1+(mason_bonus*TblConstr[[#This Row],[Tot Mas]]/TblConstr[[#This Row],[Land (2)]]))</f>
        <v>0</v>
      </c>
      <c r="AD21" s="287">
        <f ca="1">harbor_towers_cap*(1-EXP(-TblImps[[#This Row],[Σ Harbor]]/(harbor_towers_param*(OFFSET(TblImps[[#This Row],[Land]],1,0)-OFFSET(TblExplore[[#This Row],[Land Bonus]],1,0)*20)+15000)))*(1+(mason_bonus*TblConstr[[#This Row],[Tot Mas]]/TblConstr[[#This Row],[Land (2)]]))</f>
        <v>0</v>
      </c>
      <c r="AE21" s="142"/>
      <c r="AF21" s="61">
        <f ca="1">(1+Overview!$I$29)*SUM(TblImps[[#This Row],[P2]:[G2]])+OFFSET(TblImps[[#This Row],[Σ Science]],-1,0)</f>
        <v>0</v>
      </c>
      <c r="AG21" s="61">
        <f ca="1">(1+Overview!$I$29)*SUM(TblImps[[#This Row],[P3]:[G3]])+OFFSET(TblImps[[#This Row],[Σ Keep]],-1,0)</f>
        <v>0</v>
      </c>
      <c r="AH21" s="61">
        <f ca="1">(1+Overview!$I$29 + tech_7_1*TblTech[[#This Row],[7-1]])*SUM(TblImps[[#This Row],[P4]:[G4]])+OFFSET(TblImps[[#This Row],[Σ Spires]],-1,0)</f>
        <v>0</v>
      </c>
      <c r="AI21" s="61">
        <f ca="1">(1+Overview!$I$29)*SUM(TblImps[[#This Row],[P5]:[FW5]])+OFFSET(TblImps[[#This Row],[Σ Forges]],-1,0)</f>
        <v>0</v>
      </c>
      <c r="AJ21" s="61">
        <f ca="1">(1+Overview!$I$29)*SUM(TblImps[[#This Row],[P6]:[G6]])+OFFSET(TblImps[[#This Row],[Σ Walls]],-1,0)</f>
        <v>0</v>
      </c>
      <c r="AK21" s="61">
        <f ca="1">(1+Overview!$I$29 + tech_7_1*TblTech[[#This Row],[7-1]])*SUM(TblImps[[#This Row],[P7]:[G7]])+OFFSET(TblImps[[#This Row],[Σ Harbor]],-1,0)</f>
        <v>0</v>
      </c>
      <c r="AL21" s="142"/>
      <c r="AM21" s="57">
        <f>IF(AND(TblImps[[#This Row],[Resource]]=AM$2,TblImps[[#This Row],[Part]]&lt;&gt;""),TblImps[[#This Row],[Amount]]) + IF(AND(TblImps[[#This Row],[Resource 2]]=AM$2,TblImps[[#This Row],[Part 2]]&lt;&gt;""),TblImps[[#This Row],[Amount 2]]) + IF(AND(TblImps[[#This Row],[Resource 3]]=AM$2,TblImps[[#This Row],[Part 3]]&lt;&gt;""),TblImps[[#This Row],[Amount 3]])</f>
        <v>0</v>
      </c>
      <c r="AN21" s="57">
        <f>IF(AND(TblImps[[#This Row],[Resource]]=AN$2,TblImps[[#This Row],[Part]]&lt;&gt;""),TblImps[[#This Row],[Amount]]) + IF(AND(TblImps[[#This Row],[Resource 2]]=AN$2,TblImps[[#This Row],[Part 2]]&lt;&gt;""),TblImps[[#This Row],[Amount 2]]) + IF(AND(TblImps[[#This Row],[Resource 3]]=AN$2,TblImps[[#This Row],[Part 3]]&lt;&gt;""),TblImps[[#This Row],[Amount 3]])</f>
        <v>0</v>
      </c>
      <c r="AO21" s="57">
        <f>IF(AND(TblImps[[#This Row],[Resource]]=AO$2,TblImps[[#This Row],[Part]]&lt;&gt;""),TblImps[[#This Row],[Amount]]) + IF(AND(TblImps[[#This Row],[Resource 2]]=AO$2,TblImps[[#This Row],[Part 2]]&lt;&gt;""),TblImps[[#This Row],[Amount 2]]) + IF(AND(TblImps[[#This Row],[Resource 3]]=AO$2,TblImps[[#This Row],[Part 3]]&lt;&gt;""),TblImps[[#This Row],[Amount 3]])</f>
        <v>0</v>
      </c>
      <c r="AP21" s="57">
        <f>IF(AND(TblImps[[#This Row],[Resource]]=AP$2,TblImps[[#This Row],[Part]]&lt;&gt;""),TblImps[[#This Row],[Amount]]) + IF(AND(TblImps[[#This Row],[Resource 2]]=AP$2,TblImps[[#This Row],[Part 2]]&lt;&gt;""),TblImps[[#This Row],[Amount 2]]) + IF(AND(TblImps[[#This Row],[Resource 3]]=AP$2,TblImps[[#This Row],[Part 3]]&lt;&gt;""),TblImps[[#This Row],[Amount 3]])</f>
        <v>0</v>
      </c>
      <c r="AQ21" s="142"/>
      <c r="AR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142"/>
      <c r="AW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142"/>
      <c r="BB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142"/>
      <c r="BG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57">
        <f ca="1">IF(OFFSET(TblMagic[[#This Row],[Active Alchemists Flame]],-1,0)&gt;0,TblConstr[[#This Row],[Tot Alc]]*alchemist_flame_invest,0)</f>
        <v>0</v>
      </c>
      <c r="BL21" s="142"/>
      <c r="BM2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1" s="142"/>
      <c r="BR2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1" s="142"/>
      <c r="BW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1" s="61">
        <f>TblImps[[#This Row],[Login]]</f>
        <v>0</v>
      </c>
      <c r="BY21" s="137"/>
      <c r="BZ21" s="293">
        <f ca="1">OFFSET(TblImps[[#This Row],[Real time]],-1,0)+1/24</f>
        <v>46320.708333333292</v>
      </c>
      <c r="CA21" s="294">
        <f ca="1">OFFSET(TblImps[[#This Row],[Servertime]],-1,0)+1/24</f>
        <v>46320.708333333292</v>
      </c>
      <c r="CB21" s="57"/>
      <c r="CC21" s="292"/>
      <c r="CD21" s="292"/>
      <c r="CG21" s="295"/>
    </row>
    <row r="22" spans="1:85" x14ac:dyDescent="0.2">
      <c r="A22" s="214">
        <f ca="1">TblConstr[[#This Row],[Land]]</f>
        <v>50</v>
      </c>
      <c r="B22" s="142"/>
      <c r="C22" s="94">
        <f ca="1">TblProd[[#This Row],[Platinum]]</f>
        <v>140964</v>
      </c>
      <c r="D22" s="94">
        <f ca="1">TblProd[[#This Row],[Lumber]]</f>
        <v>29066</v>
      </c>
      <c r="E22" s="94">
        <f ca="1">TblProd[[#This Row],[Ore]]</f>
        <v>0</v>
      </c>
      <c r="F22" s="94">
        <f ca="1">TblProd[[#This Row],[Gems]]</f>
        <v>0</v>
      </c>
      <c r="G22" s="154"/>
      <c r="H22" s="94">
        <f ca="1">TblMili[[#This Row],[Draftees]]</f>
        <v>376</v>
      </c>
      <c r="I22" s="180">
        <f ca="1">TblPop[[#This Row],[Employment]]</f>
        <v>1</v>
      </c>
      <c r="J22" s="180">
        <f ca="1">TblPop[[#This Row],[Total]]/TblPop[[#This Row],[Net max]]</f>
        <v>1</v>
      </c>
      <c r="K22" s="283">
        <f>TblRezone[[#This Row],[Hour]]</f>
        <v>19</v>
      </c>
      <c r="L22" s="284">
        <f ca="1">TblImps[[#This Row],[Real time]]</f>
        <v>46320.749999999956</v>
      </c>
      <c r="M22" s="61">
        <f>IF(ISERROR(TblImps[[#This Row],[algorithm]]),0,TblImps[[#This Row],[algorithm]]*1)</f>
        <v>0</v>
      </c>
      <c r="N22" s="94">
        <f ca="1">TblImps[[#This Row],[Land]]</f>
        <v>50</v>
      </c>
      <c r="O22" s="285" t="s">
        <v>4</v>
      </c>
      <c r="P22" s="286"/>
      <c r="Q22" s="285" t="s">
        <v>210</v>
      </c>
      <c r="R22" s="285" t="s">
        <v>7</v>
      </c>
      <c r="S22" s="286"/>
      <c r="T22" s="285" t="s">
        <v>210</v>
      </c>
      <c r="U22" s="285" t="s">
        <v>3</v>
      </c>
      <c r="V22" s="286"/>
      <c r="W22" s="285" t="s">
        <v>210</v>
      </c>
      <c r="X22" s="142"/>
      <c r="Y22" s="287">
        <f ca="1">science_cap*(1-EXP(-TblImps[[#This Row],[Σ Science]]/(science_param*(OFFSET(TblImps[[#This Row],[Land]],1,0)-OFFSET(TblExplore[[#This Row],[Land Bonus]],1,0)*20)+15000)))*(1+(mason_bonus*TblConstr[[#This Row],[Tot Mas]]/TblConstr[[#This Row],[Land (2)]]))</f>
        <v>0</v>
      </c>
      <c r="Z22" s="287">
        <f ca="1">keep_cap*(1-EXP(-TblImps[[#This Row],[Σ Keep]]/(keep_param*(OFFSET(TblImps[[#This Row],[Land]],1,0)-OFFSET(TblExplore[[#This Row],[Land Bonus]],1,0)*20)+15000)))*(1+(mason_bonus*TblConstr[[#This Row],[Tot Mas]]/TblConstr[[#This Row],[Land (2)]]))</f>
        <v>0</v>
      </c>
      <c r="AA22" s="287">
        <f ca="1">harbor_towers_cap*(1-EXP(-TblImps[[#This Row],[Σ Spires]]/(towers_param*(OFFSET(TblImps[[#This Row],[Land]],1,0)-OFFSET(TblExplore[[#This Row],[Land Bonus]],1,0)*20)+15000)))*(1+(mason_bonus*TblConstr[[#This Row],[Tot Mas]]/TblConstr[[#This Row],[Land (2)]]))</f>
        <v>0</v>
      </c>
      <c r="AB22" s="287">
        <f ca="1">walls_forges_cap*(1-EXP(-TblImps[[#This Row],[Σ Forges]]/(walls_forges_param*(OFFSET(TblImps[[#This Row],[Land]],1,0)-OFFSET(TblExplore[[#This Row],[Land Bonus]],1,0)*20)+15000)))*(1+(mason_bonus*TblConstr[[#This Row],[Tot Mas]]/TblConstr[[#This Row],[Land (2)]]))</f>
        <v>0</v>
      </c>
      <c r="AC22" s="287">
        <f ca="1">walls_forges_cap*(1-EXP(-TblImps[[#This Row],[Σ Walls]]/(walls_forges_param*(OFFSET(TblImps[[#This Row],[Land]],1,0)-OFFSET(TblExplore[[#This Row],[Land Bonus]],1,0)*20)+15000)))*(1+(mason_bonus*TblConstr[[#This Row],[Tot Mas]]/TblConstr[[#This Row],[Land (2)]]))</f>
        <v>0</v>
      </c>
      <c r="AD22" s="287">
        <f ca="1">harbor_towers_cap*(1-EXP(-TblImps[[#This Row],[Σ Harbor]]/(harbor_towers_param*(OFFSET(TblImps[[#This Row],[Land]],1,0)-OFFSET(TblExplore[[#This Row],[Land Bonus]],1,0)*20)+15000)))*(1+(mason_bonus*TblConstr[[#This Row],[Tot Mas]]/TblConstr[[#This Row],[Land (2)]]))</f>
        <v>0</v>
      </c>
      <c r="AE22" s="142"/>
      <c r="AF22" s="61">
        <f ca="1">(1+Overview!$I$29)*SUM(TblImps[[#This Row],[P2]:[G2]])+OFFSET(TblImps[[#This Row],[Σ Science]],-1,0)</f>
        <v>0</v>
      </c>
      <c r="AG22" s="61">
        <f ca="1">(1+Overview!$I$29)*SUM(TblImps[[#This Row],[P3]:[G3]])+OFFSET(TblImps[[#This Row],[Σ Keep]],-1,0)</f>
        <v>0</v>
      </c>
      <c r="AH22" s="61">
        <f ca="1">(1+Overview!$I$29 + tech_7_1*TblTech[[#This Row],[7-1]])*SUM(TblImps[[#This Row],[P4]:[G4]])+OFFSET(TblImps[[#This Row],[Σ Spires]],-1,0)</f>
        <v>0</v>
      </c>
      <c r="AI22" s="61">
        <f ca="1">(1+Overview!$I$29)*SUM(TblImps[[#This Row],[P5]:[FW5]])+OFFSET(TblImps[[#This Row],[Σ Forges]],-1,0)</f>
        <v>0</v>
      </c>
      <c r="AJ22" s="61">
        <f ca="1">(1+Overview!$I$29)*SUM(TblImps[[#This Row],[P6]:[G6]])+OFFSET(TblImps[[#This Row],[Σ Walls]],-1,0)</f>
        <v>0</v>
      </c>
      <c r="AK22" s="61">
        <f ca="1">(1+Overview!$I$29 + tech_7_1*TblTech[[#This Row],[7-1]])*SUM(TblImps[[#This Row],[P7]:[G7]])+OFFSET(TblImps[[#This Row],[Σ Harbor]],-1,0)</f>
        <v>0</v>
      </c>
      <c r="AL22" s="142"/>
      <c r="AM22" s="57">
        <f>IF(AND(TblImps[[#This Row],[Resource]]=AM$2,TblImps[[#This Row],[Part]]&lt;&gt;""),TblImps[[#This Row],[Amount]]) + IF(AND(TblImps[[#This Row],[Resource 2]]=AM$2,TblImps[[#This Row],[Part 2]]&lt;&gt;""),TblImps[[#This Row],[Amount 2]]) + IF(AND(TblImps[[#This Row],[Resource 3]]=AM$2,TblImps[[#This Row],[Part 3]]&lt;&gt;""),TblImps[[#This Row],[Amount 3]])</f>
        <v>0</v>
      </c>
      <c r="AN22" s="57">
        <f>IF(AND(TblImps[[#This Row],[Resource]]=AN$2,TblImps[[#This Row],[Part]]&lt;&gt;""),TblImps[[#This Row],[Amount]]) + IF(AND(TblImps[[#This Row],[Resource 2]]=AN$2,TblImps[[#This Row],[Part 2]]&lt;&gt;""),TblImps[[#This Row],[Amount 2]]) + IF(AND(TblImps[[#This Row],[Resource 3]]=AN$2,TblImps[[#This Row],[Part 3]]&lt;&gt;""),TblImps[[#This Row],[Amount 3]])</f>
        <v>0</v>
      </c>
      <c r="AO22" s="57">
        <f>IF(AND(TblImps[[#This Row],[Resource]]=AO$2,TblImps[[#This Row],[Part]]&lt;&gt;""),TblImps[[#This Row],[Amount]]) + IF(AND(TblImps[[#This Row],[Resource 2]]=AO$2,TblImps[[#This Row],[Part 2]]&lt;&gt;""),TblImps[[#This Row],[Amount 2]]) + IF(AND(TblImps[[#This Row],[Resource 3]]=AO$2,TblImps[[#This Row],[Part 3]]&lt;&gt;""),TblImps[[#This Row],[Amount 3]])</f>
        <v>0</v>
      </c>
      <c r="AP22" s="57">
        <f>IF(AND(TblImps[[#This Row],[Resource]]=AP$2,TblImps[[#This Row],[Part]]&lt;&gt;""),TblImps[[#This Row],[Amount]]) + IF(AND(TblImps[[#This Row],[Resource 2]]=AP$2,TblImps[[#This Row],[Part 2]]&lt;&gt;""),TblImps[[#This Row],[Amount 2]]) + IF(AND(TblImps[[#This Row],[Resource 3]]=AP$2,TblImps[[#This Row],[Part 3]]&lt;&gt;""),TblImps[[#This Row],[Amount 3]])</f>
        <v>0</v>
      </c>
      <c r="AQ22" s="142"/>
      <c r="AR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142"/>
      <c r="AW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142"/>
      <c r="BB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142"/>
      <c r="BG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57">
        <f ca="1">IF(OFFSET(TblMagic[[#This Row],[Active Alchemists Flame]],-1,0)&gt;0,TblConstr[[#This Row],[Tot Alc]]*alchemist_flame_invest,0)</f>
        <v>0</v>
      </c>
      <c r="BL22" s="142"/>
      <c r="BM2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2" s="142"/>
      <c r="BR2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2" s="142"/>
      <c r="BW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2" s="61">
        <f>TblImps[[#This Row],[Login]]</f>
        <v>0</v>
      </c>
      <c r="BY22" s="137"/>
      <c r="BZ22" s="293">
        <f ca="1">OFFSET(TblImps[[#This Row],[Real time]],-1,0)+1/24</f>
        <v>46320.749999999956</v>
      </c>
      <c r="CA22" s="294">
        <f ca="1">OFFSET(TblImps[[#This Row],[Servertime]],-1,0)+1/24</f>
        <v>46320.749999999956</v>
      </c>
      <c r="CB22" s="57"/>
      <c r="CC22" s="292"/>
      <c r="CD22" s="292"/>
    </row>
    <row r="23" spans="1:85" x14ac:dyDescent="0.2">
      <c r="A23" s="214">
        <f ca="1">TblConstr[[#This Row],[Land]]</f>
        <v>50</v>
      </c>
      <c r="B23" s="142"/>
      <c r="C23" s="94">
        <f ca="1">TblProd[[#This Row],[Platinum]]</f>
        <v>142025</v>
      </c>
      <c r="D23" s="94">
        <f ca="1">TblProd[[#This Row],[Lumber]]</f>
        <v>29775</v>
      </c>
      <c r="E23" s="94">
        <f ca="1">TblProd[[#This Row],[Ore]]</f>
        <v>0</v>
      </c>
      <c r="F23" s="94">
        <f ca="1">TblProd[[#This Row],[Gems]]</f>
        <v>0</v>
      </c>
      <c r="G23" s="154"/>
      <c r="H23" s="94">
        <f ca="1">TblMili[[#This Row],[Draftees]]</f>
        <v>380</v>
      </c>
      <c r="I23" s="180">
        <f ca="1">TblPop[[#This Row],[Employment]]</f>
        <v>1</v>
      </c>
      <c r="J23" s="180">
        <f ca="1">TblPop[[#This Row],[Total]]/TblPop[[#This Row],[Net max]]</f>
        <v>1</v>
      </c>
      <c r="K23" s="283">
        <f>TblRezone[[#This Row],[Hour]]</f>
        <v>20</v>
      </c>
      <c r="L23" s="284">
        <f ca="1">TblImps[[#This Row],[Real time]]</f>
        <v>46320.791666666621</v>
      </c>
      <c r="M23" s="61">
        <f>IF(ISERROR(TblImps[[#This Row],[algorithm]]),0,TblImps[[#This Row],[algorithm]]*1)</f>
        <v>0</v>
      </c>
      <c r="N23" s="94">
        <f ca="1">TblImps[[#This Row],[Land]]</f>
        <v>50</v>
      </c>
      <c r="O23" s="285" t="s">
        <v>4</v>
      </c>
      <c r="P23" s="286"/>
      <c r="Q23" s="285" t="s">
        <v>210</v>
      </c>
      <c r="R23" s="285" t="s">
        <v>7</v>
      </c>
      <c r="S23" s="286"/>
      <c r="T23" s="285" t="s">
        <v>210</v>
      </c>
      <c r="U23" s="285" t="s">
        <v>3</v>
      </c>
      <c r="V23" s="286"/>
      <c r="W23" s="285" t="s">
        <v>210</v>
      </c>
      <c r="X23" s="142"/>
      <c r="Y23" s="287">
        <f ca="1">science_cap*(1-EXP(-TblImps[[#This Row],[Σ Science]]/(science_param*(OFFSET(TblImps[[#This Row],[Land]],1,0)-OFFSET(TblExplore[[#This Row],[Land Bonus]],1,0)*20)+15000)))*(1+(mason_bonus*TblConstr[[#This Row],[Tot Mas]]/TblConstr[[#This Row],[Land (2)]]))</f>
        <v>0</v>
      </c>
      <c r="Z23" s="287">
        <f ca="1">keep_cap*(1-EXP(-TblImps[[#This Row],[Σ Keep]]/(keep_param*(OFFSET(TblImps[[#This Row],[Land]],1,0)-OFFSET(TblExplore[[#This Row],[Land Bonus]],1,0)*20)+15000)))*(1+(mason_bonus*TblConstr[[#This Row],[Tot Mas]]/TblConstr[[#This Row],[Land (2)]]))</f>
        <v>0</v>
      </c>
      <c r="AA23" s="287">
        <f ca="1">harbor_towers_cap*(1-EXP(-TblImps[[#This Row],[Σ Spires]]/(towers_param*(OFFSET(TblImps[[#This Row],[Land]],1,0)-OFFSET(TblExplore[[#This Row],[Land Bonus]],1,0)*20)+15000)))*(1+(mason_bonus*TblConstr[[#This Row],[Tot Mas]]/TblConstr[[#This Row],[Land (2)]]))</f>
        <v>0</v>
      </c>
      <c r="AB23" s="287">
        <f ca="1">walls_forges_cap*(1-EXP(-TblImps[[#This Row],[Σ Forges]]/(walls_forges_param*(OFFSET(TblImps[[#This Row],[Land]],1,0)-OFFSET(TblExplore[[#This Row],[Land Bonus]],1,0)*20)+15000)))*(1+(mason_bonus*TblConstr[[#This Row],[Tot Mas]]/TblConstr[[#This Row],[Land (2)]]))</f>
        <v>0</v>
      </c>
      <c r="AC23" s="287">
        <f ca="1">walls_forges_cap*(1-EXP(-TblImps[[#This Row],[Σ Walls]]/(walls_forges_param*(OFFSET(TblImps[[#This Row],[Land]],1,0)-OFFSET(TblExplore[[#This Row],[Land Bonus]],1,0)*20)+15000)))*(1+(mason_bonus*TblConstr[[#This Row],[Tot Mas]]/TblConstr[[#This Row],[Land (2)]]))</f>
        <v>0</v>
      </c>
      <c r="AD23" s="287">
        <f ca="1">harbor_towers_cap*(1-EXP(-TblImps[[#This Row],[Σ Harbor]]/(harbor_towers_param*(OFFSET(TblImps[[#This Row],[Land]],1,0)-OFFSET(TblExplore[[#This Row],[Land Bonus]],1,0)*20)+15000)))*(1+(mason_bonus*TblConstr[[#This Row],[Tot Mas]]/TblConstr[[#This Row],[Land (2)]]))</f>
        <v>0</v>
      </c>
      <c r="AE23" s="142"/>
      <c r="AF23" s="61">
        <f ca="1">(1+Overview!$I$29)*SUM(TblImps[[#This Row],[P2]:[G2]])+OFFSET(TblImps[[#This Row],[Σ Science]],-1,0)</f>
        <v>0</v>
      </c>
      <c r="AG23" s="61">
        <f ca="1">(1+Overview!$I$29)*SUM(TblImps[[#This Row],[P3]:[G3]])+OFFSET(TblImps[[#This Row],[Σ Keep]],-1,0)</f>
        <v>0</v>
      </c>
      <c r="AH23" s="61">
        <f ca="1">(1+Overview!$I$29 + tech_7_1*TblTech[[#This Row],[7-1]])*SUM(TblImps[[#This Row],[P4]:[G4]])+OFFSET(TblImps[[#This Row],[Σ Spires]],-1,0)</f>
        <v>0</v>
      </c>
      <c r="AI23" s="61">
        <f ca="1">(1+Overview!$I$29)*SUM(TblImps[[#This Row],[P5]:[FW5]])+OFFSET(TblImps[[#This Row],[Σ Forges]],-1,0)</f>
        <v>0</v>
      </c>
      <c r="AJ23" s="61">
        <f ca="1">(1+Overview!$I$29)*SUM(TblImps[[#This Row],[P6]:[G6]])+OFFSET(TblImps[[#This Row],[Σ Walls]],-1,0)</f>
        <v>0</v>
      </c>
      <c r="AK23" s="61">
        <f ca="1">(1+Overview!$I$29 + tech_7_1*TblTech[[#This Row],[7-1]])*SUM(TblImps[[#This Row],[P7]:[G7]])+OFFSET(TblImps[[#This Row],[Σ Harbor]],-1,0)</f>
        <v>0</v>
      </c>
      <c r="AL23" s="142"/>
      <c r="AM23" s="57">
        <f>IF(AND(TblImps[[#This Row],[Resource]]=AM$2,TblImps[[#This Row],[Part]]&lt;&gt;""),TblImps[[#This Row],[Amount]]) + IF(AND(TblImps[[#This Row],[Resource 2]]=AM$2,TblImps[[#This Row],[Part 2]]&lt;&gt;""),TblImps[[#This Row],[Amount 2]]) + IF(AND(TblImps[[#This Row],[Resource 3]]=AM$2,TblImps[[#This Row],[Part 3]]&lt;&gt;""),TblImps[[#This Row],[Amount 3]])</f>
        <v>0</v>
      </c>
      <c r="AN23" s="57">
        <f>IF(AND(TblImps[[#This Row],[Resource]]=AN$2,TblImps[[#This Row],[Part]]&lt;&gt;""),TblImps[[#This Row],[Amount]]) + IF(AND(TblImps[[#This Row],[Resource 2]]=AN$2,TblImps[[#This Row],[Part 2]]&lt;&gt;""),TblImps[[#This Row],[Amount 2]]) + IF(AND(TblImps[[#This Row],[Resource 3]]=AN$2,TblImps[[#This Row],[Part 3]]&lt;&gt;""),TblImps[[#This Row],[Amount 3]])</f>
        <v>0</v>
      </c>
      <c r="AO23" s="57">
        <f>IF(AND(TblImps[[#This Row],[Resource]]=AO$2,TblImps[[#This Row],[Part]]&lt;&gt;""),TblImps[[#This Row],[Amount]]) + IF(AND(TblImps[[#This Row],[Resource 2]]=AO$2,TblImps[[#This Row],[Part 2]]&lt;&gt;""),TblImps[[#This Row],[Amount 2]]) + IF(AND(TblImps[[#This Row],[Resource 3]]=AO$2,TblImps[[#This Row],[Part 3]]&lt;&gt;""),TblImps[[#This Row],[Amount 3]])</f>
        <v>0</v>
      </c>
      <c r="AP23" s="57">
        <f>IF(AND(TblImps[[#This Row],[Resource]]=AP$2,TblImps[[#This Row],[Part]]&lt;&gt;""),TblImps[[#This Row],[Amount]]) + IF(AND(TblImps[[#This Row],[Resource 2]]=AP$2,TblImps[[#This Row],[Part 2]]&lt;&gt;""),TblImps[[#This Row],[Amount 2]]) + IF(AND(TblImps[[#This Row],[Resource 3]]=AP$2,TblImps[[#This Row],[Part 3]]&lt;&gt;""),TblImps[[#This Row],[Amount 3]])</f>
        <v>0</v>
      </c>
      <c r="AQ23" s="142"/>
      <c r="AR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142"/>
      <c r="AW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142"/>
      <c r="BB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142"/>
      <c r="BG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57">
        <f ca="1">IF(OFFSET(TblMagic[[#This Row],[Active Alchemists Flame]],-1,0)&gt;0,TblConstr[[#This Row],[Tot Alc]]*alchemist_flame_invest,0)</f>
        <v>0</v>
      </c>
      <c r="BL23" s="142"/>
      <c r="BM2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3" s="142"/>
      <c r="BR2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3" s="142"/>
      <c r="BW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3" s="61">
        <f>TblImps[[#This Row],[Login]]</f>
        <v>0</v>
      </c>
      <c r="BY23" s="137"/>
      <c r="BZ23" s="293">
        <f ca="1">OFFSET(TblImps[[#This Row],[Real time]],-1,0)+1/24</f>
        <v>46320.791666666621</v>
      </c>
      <c r="CA23" s="294">
        <f ca="1">OFFSET(TblImps[[#This Row],[Servertime]],-1,0)+1/24</f>
        <v>46320.791666666621</v>
      </c>
      <c r="CB23" s="57"/>
      <c r="CC23" s="292"/>
      <c r="CD23" s="292"/>
    </row>
    <row r="24" spans="1:85" x14ac:dyDescent="0.2">
      <c r="A24" s="214">
        <f ca="1">TblConstr[[#This Row],[Land]]</f>
        <v>50</v>
      </c>
      <c r="B24" s="142"/>
      <c r="C24" s="94">
        <f ca="1">TblProd[[#This Row],[Platinum]]</f>
        <v>143075</v>
      </c>
      <c r="D24" s="94">
        <f ca="1">TblProd[[#This Row],[Lumber]]</f>
        <v>30477</v>
      </c>
      <c r="E24" s="94">
        <f ca="1">TblProd[[#This Row],[Ore]]</f>
        <v>0</v>
      </c>
      <c r="F24" s="94">
        <f ca="1">TblProd[[#This Row],[Gems]]</f>
        <v>0</v>
      </c>
      <c r="G24" s="154"/>
      <c r="H24" s="94">
        <f ca="1">TblMili[[#This Row],[Draftees]]</f>
        <v>384</v>
      </c>
      <c r="I24" s="180">
        <f ca="1">TblPop[[#This Row],[Employment]]</f>
        <v>1</v>
      </c>
      <c r="J24" s="180">
        <f ca="1">TblPop[[#This Row],[Total]]/TblPop[[#This Row],[Net max]]</f>
        <v>1</v>
      </c>
      <c r="K24" s="283">
        <f>TblRezone[[#This Row],[Hour]]</f>
        <v>21</v>
      </c>
      <c r="L24" s="284">
        <f ca="1">TblImps[[#This Row],[Real time]]</f>
        <v>46320.833333333285</v>
      </c>
      <c r="M24" s="61">
        <f>IF(ISERROR(TblImps[[#This Row],[algorithm]]),0,TblImps[[#This Row],[algorithm]]*1)</f>
        <v>0</v>
      </c>
      <c r="N24" s="94">
        <f ca="1">TblImps[[#This Row],[Land]]</f>
        <v>50</v>
      </c>
      <c r="O24" s="285" t="s">
        <v>4</v>
      </c>
      <c r="P24" s="286"/>
      <c r="Q24" s="285" t="s">
        <v>210</v>
      </c>
      <c r="R24" s="285" t="s">
        <v>7</v>
      </c>
      <c r="S24" s="286"/>
      <c r="T24" s="285" t="s">
        <v>210</v>
      </c>
      <c r="U24" s="285" t="s">
        <v>3</v>
      </c>
      <c r="V24" s="286"/>
      <c r="W24" s="285" t="s">
        <v>210</v>
      </c>
      <c r="X24" s="142"/>
      <c r="Y24" s="287">
        <f ca="1">science_cap*(1-EXP(-TblImps[[#This Row],[Σ Science]]/(science_param*(OFFSET(TblImps[[#This Row],[Land]],1,0)-OFFSET(TblExplore[[#This Row],[Land Bonus]],1,0)*20)+15000)))*(1+(mason_bonus*TblConstr[[#This Row],[Tot Mas]]/TblConstr[[#This Row],[Land (2)]]))</f>
        <v>0</v>
      </c>
      <c r="Z24" s="287">
        <f ca="1">keep_cap*(1-EXP(-TblImps[[#This Row],[Σ Keep]]/(keep_param*(OFFSET(TblImps[[#This Row],[Land]],1,0)-OFFSET(TblExplore[[#This Row],[Land Bonus]],1,0)*20)+15000)))*(1+(mason_bonus*TblConstr[[#This Row],[Tot Mas]]/TblConstr[[#This Row],[Land (2)]]))</f>
        <v>0</v>
      </c>
      <c r="AA24" s="287">
        <f ca="1">harbor_towers_cap*(1-EXP(-TblImps[[#This Row],[Σ Spires]]/(towers_param*(OFFSET(TblImps[[#This Row],[Land]],1,0)-OFFSET(TblExplore[[#This Row],[Land Bonus]],1,0)*20)+15000)))*(1+(mason_bonus*TblConstr[[#This Row],[Tot Mas]]/TblConstr[[#This Row],[Land (2)]]))</f>
        <v>0</v>
      </c>
      <c r="AB24" s="287">
        <f ca="1">walls_forges_cap*(1-EXP(-TblImps[[#This Row],[Σ Forges]]/(walls_forges_param*(OFFSET(TblImps[[#This Row],[Land]],1,0)-OFFSET(TblExplore[[#This Row],[Land Bonus]],1,0)*20)+15000)))*(1+(mason_bonus*TblConstr[[#This Row],[Tot Mas]]/TblConstr[[#This Row],[Land (2)]]))</f>
        <v>0</v>
      </c>
      <c r="AC24" s="287">
        <f ca="1">walls_forges_cap*(1-EXP(-TblImps[[#This Row],[Σ Walls]]/(walls_forges_param*(OFFSET(TblImps[[#This Row],[Land]],1,0)-OFFSET(TblExplore[[#This Row],[Land Bonus]],1,0)*20)+15000)))*(1+(mason_bonus*TblConstr[[#This Row],[Tot Mas]]/TblConstr[[#This Row],[Land (2)]]))</f>
        <v>0</v>
      </c>
      <c r="AD24" s="287">
        <f ca="1">harbor_towers_cap*(1-EXP(-TblImps[[#This Row],[Σ Harbor]]/(harbor_towers_param*(OFFSET(TblImps[[#This Row],[Land]],1,0)-OFFSET(TblExplore[[#This Row],[Land Bonus]],1,0)*20)+15000)))*(1+(mason_bonus*TblConstr[[#This Row],[Tot Mas]]/TblConstr[[#This Row],[Land (2)]]))</f>
        <v>0</v>
      </c>
      <c r="AE24" s="142"/>
      <c r="AF24" s="61">
        <f ca="1">(1+Overview!$I$29)*SUM(TblImps[[#This Row],[P2]:[G2]])+OFFSET(TblImps[[#This Row],[Σ Science]],-1,0)</f>
        <v>0</v>
      </c>
      <c r="AG24" s="61">
        <f ca="1">(1+Overview!$I$29)*SUM(TblImps[[#This Row],[P3]:[G3]])+OFFSET(TblImps[[#This Row],[Σ Keep]],-1,0)</f>
        <v>0</v>
      </c>
      <c r="AH24" s="61">
        <f ca="1">(1+Overview!$I$29 + tech_7_1*TblTech[[#This Row],[7-1]])*SUM(TblImps[[#This Row],[P4]:[G4]])+OFFSET(TblImps[[#This Row],[Σ Spires]],-1,0)</f>
        <v>0</v>
      </c>
      <c r="AI24" s="61">
        <f ca="1">(1+Overview!$I$29)*SUM(TblImps[[#This Row],[P5]:[FW5]])+OFFSET(TblImps[[#This Row],[Σ Forges]],-1,0)</f>
        <v>0</v>
      </c>
      <c r="AJ24" s="61">
        <f ca="1">(1+Overview!$I$29)*SUM(TblImps[[#This Row],[P6]:[G6]])+OFFSET(TblImps[[#This Row],[Σ Walls]],-1,0)</f>
        <v>0</v>
      </c>
      <c r="AK24" s="61">
        <f ca="1">(1+Overview!$I$29 + tech_7_1*TblTech[[#This Row],[7-1]])*SUM(TblImps[[#This Row],[P7]:[G7]])+OFFSET(TblImps[[#This Row],[Σ Harbor]],-1,0)</f>
        <v>0</v>
      </c>
      <c r="AL24" s="142"/>
      <c r="AM24" s="57">
        <f>IF(AND(TblImps[[#This Row],[Resource]]=AM$2,TblImps[[#This Row],[Part]]&lt;&gt;""),TblImps[[#This Row],[Amount]]) + IF(AND(TblImps[[#This Row],[Resource 2]]=AM$2,TblImps[[#This Row],[Part 2]]&lt;&gt;""),TblImps[[#This Row],[Amount 2]]) + IF(AND(TblImps[[#This Row],[Resource 3]]=AM$2,TblImps[[#This Row],[Part 3]]&lt;&gt;""),TblImps[[#This Row],[Amount 3]])</f>
        <v>0</v>
      </c>
      <c r="AN24" s="57">
        <f>IF(AND(TblImps[[#This Row],[Resource]]=AN$2,TblImps[[#This Row],[Part]]&lt;&gt;""),TblImps[[#This Row],[Amount]]) + IF(AND(TblImps[[#This Row],[Resource 2]]=AN$2,TblImps[[#This Row],[Part 2]]&lt;&gt;""),TblImps[[#This Row],[Amount 2]]) + IF(AND(TblImps[[#This Row],[Resource 3]]=AN$2,TblImps[[#This Row],[Part 3]]&lt;&gt;""),TblImps[[#This Row],[Amount 3]])</f>
        <v>0</v>
      </c>
      <c r="AO24" s="57">
        <f>IF(AND(TblImps[[#This Row],[Resource]]=AO$2,TblImps[[#This Row],[Part]]&lt;&gt;""),TblImps[[#This Row],[Amount]]) + IF(AND(TblImps[[#This Row],[Resource 2]]=AO$2,TblImps[[#This Row],[Part 2]]&lt;&gt;""),TblImps[[#This Row],[Amount 2]]) + IF(AND(TblImps[[#This Row],[Resource 3]]=AO$2,TblImps[[#This Row],[Part 3]]&lt;&gt;""),TblImps[[#This Row],[Amount 3]])</f>
        <v>0</v>
      </c>
      <c r="AP24" s="57">
        <f>IF(AND(TblImps[[#This Row],[Resource]]=AP$2,TblImps[[#This Row],[Part]]&lt;&gt;""),TblImps[[#This Row],[Amount]]) + IF(AND(TblImps[[#This Row],[Resource 2]]=AP$2,TblImps[[#This Row],[Part 2]]&lt;&gt;""),TblImps[[#This Row],[Amount 2]]) + IF(AND(TblImps[[#This Row],[Resource 3]]=AP$2,TblImps[[#This Row],[Part 3]]&lt;&gt;""),TblImps[[#This Row],[Amount 3]])</f>
        <v>0</v>
      </c>
      <c r="AQ24" s="142"/>
      <c r="AR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142"/>
      <c r="AW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142"/>
      <c r="BB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142"/>
      <c r="BG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57">
        <f ca="1">IF(OFFSET(TblMagic[[#This Row],[Active Alchemists Flame]],-1,0)&gt;0,TblConstr[[#This Row],[Tot Alc]]*alchemist_flame_invest,0)</f>
        <v>0</v>
      </c>
      <c r="BL24" s="142"/>
      <c r="BM2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4" s="142"/>
      <c r="BR2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4" s="142"/>
      <c r="BW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4" s="61">
        <f>TblImps[[#This Row],[Login]]</f>
        <v>0</v>
      </c>
      <c r="BY24" s="137"/>
      <c r="BZ24" s="293">
        <f ca="1">OFFSET(TblImps[[#This Row],[Real time]],-1,0)+1/24</f>
        <v>46320.833333333285</v>
      </c>
      <c r="CA24" s="294">
        <f ca="1">OFFSET(TblImps[[#This Row],[Servertime]],-1,0)+1/24</f>
        <v>46320.833333333285</v>
      </c>
      <c r="CB24" s="57"/>
      <c r="CC24" s="292"/>
      <c r="CD24" s="292"/>
    </row>
    <row r="25" spans="1:85" x14ac:dyDescent="0.2">
      <c r="A25" s="214">
        <f ca="1">TblConstr[[#This Row],[Land]]</f>
        <v>50</v>
      </c>
      <c r="B25" s="142"/>
      <c r="C25" s="94">
        <f ca="1">TblProd[[#This Row],[Platinum]]</f>
        <v>144114</v>
      </c>
      <c r="D25" s="94">
        <f ca="1">TblProd[[#This Row],[Lumber]]</f>
        <v>31172</v>
      </c>
      <c r="E25" s="94">
        <f ca="1">TblProd[[#This Row],[Ore]]</f>
        <v>0</v>
      </c>
      <c r="F25" s="94">
        <f ca="1">TblProd[[#This Row],[Gems]]</f>
        <v>0</v>
      </c>
      <c r="G25" s="154"/>
      <c r="H25" s="94">
        <f ca="1">TblMili[[#This Row],[Draftees]]</f>
        <v>388</v>
      </c>
      <c r="I25" s="180">
        <f ca="1">TblPop[[#This Row],[Employment]]</f>
        <v>1</v>
      </c>
      <c r="J25" s="180">
        <f ca="1">TblPop[[#This Row],[Total]]/TblPop[[#This Row],[Net max]]</f>
        <v>1</v>
      </c>
      <c r="K25" s="283">
        <f>TblRezone[[#This Row],[Hour]]</f>
        <v>22</v>
      </c>
      <c r="L25" s="284">
        <f ca="1">TblImps[[#This Row],[Real time]]</f>
        <v>46320.874999999949</v>
      </c>
      <c r="M25" s="61">
        <f>IF(ISERROR(TblImps[[#This Row],[algorithm]]),0,TblImps[[#This Row],[algorithm]]*1)</f>
        <v>0</v>
      </c>
      <c r="N25" s="94">
        <f ca="1">TblImps[[#This Row],[Land]]</f>
        <v>50</v>
      </c>
      <c r="O25" s="285" t="s">
        <v>4</v>
      </c>
      <c r="P25" s="286"/>
      <c r="Q25" s="285" t="s">
        <v>210</v>
      </c>
      <c r="R25" s="285" t="s">
        <v>7</v>
      </c>
      <c r="S25" s="286"/>
      <c r="T25" s="285" t="s">
        <v>210</v>
      </c>
      <c r="U25" s="285" t="s">
        <v>3</v>
      </c>
      <c r="V25" s="286"/>
      <c r="W25" s="285" t="s">
        <v>210</v>
      </c>
      <c r="X25" s="142"/>
      <c r="Y25" s="287">
        <f ca="1">science_cap*(1-EXP(-TblImps[[#This Row],[Σ Science]]/(science_param*(OFFSET(TblImps[[#This Row],[Land]],1,0)-OFFSET(TblExplore[[#This Row],[Land Bonus]],1,0)*20)+15000)))*(1+(mason_bonus*TblConstr[[#This Row],[Tot Mas]]/TblConstr[[#This Row],[Land (2)]]))</f>
        <v>0</v>
      </c>
      <c r="Z25" s="287">
        <f ca="1">keep_cap*(1-EXP(-TblImps[[#This Row],[Σ Keep]]/(keep_param*(OFFSET(TblImps[[#This Row],[Land]],1,0)-OFFSET(TblExplore[[#This Row],[Land Bonus]],1,0)*20)+15000)))*(1+(mason_bonus*TblConstr[[#This Row],[Tot Mas]]/TblConstr[[#This Row],[Land (2)]]))</f>
        <v>0</v>
      </c>
      <c r="AA25" s="287">
        <f ca="1">harbor_towers_cap*(1-EXP(-TblImps[[#This Row],[Σ Spires]]/(towers_param*(OFFSET(TblImps[[#This Row],[Land]],1,0)-OFFSET(TblExplore[[#This Row],[Land Bonus]],1,0)*20)+15000)))*(1+(mason_bonus*TblConstr[[#This Row],[Tot Mas]]/TblConstr[[#This Row],[Land (2)]]))</f>
        <v>0</v>
      </c>
      <c r="AB25" s="287">
        <f ca="1">walls_forges_cap*(1-EXP(-TblImps[[#This Row],[Σ Forges]]/(walls_forges_param*(OFFSET(TblImps[[#This Row],[Land]],1,0)-OFFSET(TblExplore[[#This Row],[Land Bonus]],1,0)*20)+15000)))*(1+(mason_bonus*TblConstr[[#This Row],[Tot Mas]]/TblConstr[[#This Row],[Land (2)]]))</f>
        <v>0</v>
      </c>
      <c r="AC25" s="287">
        <f ca="1">walls_forges_cap*(1-EXP(-TblImps[[#This Row],[Σ Walls]]/(walls_forges_param*(OFFSET(TblImps[[#This Row],[Land]],1,0)-OFFSET(TblExplore[[#This Row],[Land Bonus]],1,0)*20)+15000)))*(1+(mason_bonus*TblConstr[[#This Row],[Tot Mas]]/TblConstr[[#This Row],[Land (2)]]))</f>
        <v>0</v>
      </c>
      <c r="AD25" s="287">
        <f ca="1">harbor_towers_cap*(1-EXP(-TblImps[[#This Row],[Σ Harbor]]/(harbor_towers_param*(OFFSET(TblImps[[#This Row],[Land]],1,0)-OFFSET(TblExplore[[#This Row],[Land Bonus]],1,0)*20)+15000)))*(1+(mason_bonus*TblConstr[[#This Row],[Tot Mas]]/TblConstr[[#This Row],[Land (2)]]))</f>
        <v>0</v>
      </c>
      <c r="AE25" s="142"/>
      <c r="AF25" s="61">
        <f ca="1">(1+Overview!$I$29)*SUM(TblImps[[#This Row],[P2]:[G2]])+OFFSET(TblImps[[#This Row],[Σ Science]],-1,0)</f>
        <v>0</v>
      </c>
      <c r="AG25" s="61">
        <f ca="1">(1+Overview!$I$29)*SUM(TblImps[[#This Row],[P3]:[G3]])+OFFSET(TblImps[[#This Row],[Σ Keep]],-1,0)</f>
        <v>0</v>
      </c>
      <c r="AH25" s="61">
        <f ca="1">(1+Overview!$I$29 + tech_7_1*TblTech[[#This Row],[7-1]])*SUM(TblImps[[#This Row],[P4]:[G4]])+OFFSET(TblImps[[#This Row],[Σ Spires]],-1,0)</f>
        <v>0</v>
      </c>
      <c r="AI25" s="61">
        <f ca="1">(1+Overview!$I$29)*SUM(TblImps[[#This Row],[P5]:[FW5]])+OFFSET(TblImps[[#This Row],[Σ Forges]],-1,0)</f>
        <v>0</v>
      </c>
      <c r="AJ25" s="61">
        <f ca="1">(1+Overview!$I$29)*SUM(TblImps[[#This Row],[P6]:[G6]])+OFFSET(TblImps[[#This Row],[Σ Walls]],-1,0)</f>
        <v>0</v>
      </c>
      <c r="AK25" s="61">
        <f ca="1">(1+Overview!$I$29 + tech_7_1*TblTech[[#This Row],[7-1]])*SUM(TblImps[[#This Row],[P7]:[G7]])+OFFSET(TblImps[[#This Row],[Σ Harbor]],-1,0)</f>
        <v>0</v>
      </c>
      <c r="AL25" s="142"/>
      <c r="AM25" s="57">
        <f>IF(AND(TblImps[[#This Row],[Resource]]=AM$2,TblImps[[#This Row],[Part]]&lt;&gt;""),TblImps[[#This Row],[Amount]]) + IF(AND(TblImps[[#This Row],[Resource 2]]=AM$2,TblImps[[#This Row],[Part 2]]&lt;&gt;""),TblImps[[#This Row],[Amount 2]]) + IF(AND(TblImps[[#This Row],[Resource 3]]=AM$2,TblImps[[#This Row],[Part 3]]&lt;&gt;""),TblImps[[#This Row],[Amount 3]])</f>
        <v>0</v>
      </c>
      <c r="AN25" s="57">
        <f>IF(AND(TblImps[[#This Row],[Resource]]=AN$2,TblImps[[#This Row],[Part]]&lt;&gt;""),TblImps[[#This Row],[Amount]]) + IF(AND(TblImps[[#This Row],[Resource 2]]=AN$2,TblImps[[#This Row],[Part 2]]&lt;&gt;""),TblImps[[#This Row],[Amount 2]]) + IF(AND(TblImps[[#This Row],[Resource 3]]=AN$2,TblImps[[#This Row],[Part 3]]&lt;&gt;""),TblImps[[#This Row],[Amount 3]])</f>
        <v>0</v>
      </c>
      <c r="AO25" s="57">
        <f>IF(AND(TblImps[[#This Row],[Resource]]=AO$2,TblImps[[#This Row],[Part]]&lt;&gt;""),TblImps[[#This Row],[Amount]]) + IF(AND(TblImps[[#This Row],[Resource 2]]=AO$2,TblImps[[#This Row],[Part 2]]&lt;&gt;""),TblImps[[#This Row],[Amount 2]]) + IF(AND(TblImps[[#This Row],[Resource 3]]=AO$2,TblImps[[#This Row],[Part 3]]&lt;&gt;""),TblImps[[#This Row],[Amount 3]])</f>
        <v>0</v>
      </c>
      <c r="AP25" s="57">
        <f>IF(AND(TblImps[[#This Row],[Resource]]=AP$2,TblImps[[#This Row],[Part]]&lt;&gt;""),TblImps[[#This Row],[Amount]]) + IF(AND(TblImps[[#This Row],[Resource 2]]=AP$2,TblImps[[#This Row],[Part 2]]&lt;&gt;""),TblImps[[#This Row],[Amount 2]]) + IF(AND(TblImps[[#This Row],[Resource 3]]=AP$2,TblImps[[#This Row],[Part 3]]&lt;&gt;""),TblImps[[#This Row],[Amount 3]])</f>
        <v>0</v>
      </c>
      <c r="AQ25" s="142"/>
      <c r="AR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142"/>
      <c r="AW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142"/>
      <c r="BB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142"/>
      <c r="BG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57">
        <f ca="1">IF(OFFSET(TblMagic[[#This Row],[Active Alchemists Flame]],-1,0)&gt;0,TblConstr[[#This Row],[Tot Alc]]*alchemist_flame_invest,0)</f>
        <v>0</v>
      </c>
      <c r="BL25" s="142"/>
      <c r="BM2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5" s="142"/>
      <c r="BR2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5" s="142"/>
      <c r="BW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5" s="61">
        <f>TblImps[[#This Row],[Login]]</f>
        <v>0</v>
      </c>
      <c r="BY25" s="137"/>
      <c r="BZ25" s="293">
        <f ca="1">OFFSET(TblImps[[#This Row],[Real time]],-1,0)+1/24</f>
        <v>46320.874999999949</v>
      </c>
      <c r="CA25" s="294">
        <f ca="1">OFFSET(TblImps[[#This Row],[Servertime]],-1,0)+1/24</f>
        <v>46320.874999999949</v>
      </c>
      <c r="CB25" s="57"/>
      <c r="CC25" s="292"/>
      <c r="CD25" s="292"/>
    </row>
    <row r="26" spans="1:85" x14ac:dyDescent="0.2">
      <c r="A26" s="214">
        <f ca="1">TblConstr[[#This Row],[Land]]</f>
        <v>50</v>
      </c>
      <c r="B26" s="142"/>
      <c r="C26" s="94">
        <f ca="1">TblProd[[#This Row],[Platinum]]</f>
        <v>145142</v>
      </c>
      <c r="D26" s="94">
        <f ca="1">TblProd[[#This Row],[Lumber]]</f>
        <v>31860</v>
      </c>
      <c r="E26" s="94">
        <f ca="1">TblProd[[#This Row],[Ore]]</f>
        <v>0</v>
      </c>
      <c r="F26" s="94">
        <f ca="1">TblProd[[#This Row],[Gems]]</f>
        <v>0</v>
      </c>
      <c r="G26" s="154"/>
      <c r="H26" s="94">
        <f ca="1">TblMili[[#This Row],[Draftees]]</f>
        <v>392</v>
      </c>
      <c r="I26" s="180">
        <f ca="1">TblPop[[#This Row],[Employment]]</f>
        <v>1</v>
      </c>
      <c r="J26" s="180">
        <f ca="1">TblPop[[#This Row],[Total]]/TblPop[[#This Row],[Net max]]</f>
        <v>1</v>
      </c>
      <c r="K26" s="283">
        <f>TblRezone[[#This Row],[Hour]]</f>
        <v>23</v>
      </c>
      <c r="L26" s="284">
        <f ca="1">TblImps[[#This Row],[Real time]]</f>
        <v>46320.916666666613</v>
      </c>
      <c r="M26" s="61">
        <f>IF(ISERROR(TblImps[[#This Row],[algorithm]]),0,TblImps[[#This Row],[algorithm]]*1)</f>
        <v>0</v>
      </c>
      <c r="N26" s="94">
        <f ca="1">TblImps[[#This Row],[Land]]</f>
        <v>50</v>
      </c>
      <c r="O26" s="285" t="s">
        <v>4</v>
      </c>
      <c r="P26" s="286"/>
      <c r="Q26" s="285" t="s">
        <v>210</v>
      </c>
      <c r="R26" s="285" t="s">
        <v>7</v>
      </c>
      <c r="S26" s="286"/>
      <c r="T26" s="285" t="s">
        <v>210</v>
      </c>
      <c r="U26" s="285" t="s">
        <v>3</v>
      </c>
      <c r="V26" s="286"/>
      <c r="W26" s="285" t="s">
        <v>210</v>
      </c>
      <c r="X26" s="142"/>
      <c r="Y26" s="287">
        <f ca="1">science_cap*(1-EXP(-TblImps[[#This Row],[Σ Science]]/(science_param*(OFFSET(TblImps[[#This Row],[Land]],1,0)-OFFSET(TblExplore[[#This Row],[Land Bonus]],1,0)*20)+15000)))*(1+(mason_bonus*TblConstr[[#This Row],[Tot Mas]]/TblConstr[[#This Row],[Land (2)]]))</f>
        <v>0</v>
      </c>
      <c r="Z26" s="287">
        <f ca="1">keep_cap*(1-EXP(-TblImps[[#This Row],[Σ Keep]]/(keep_param*(OFFSET(TblImps[[#This Row],[Land]],1,0)-OFFSET(TblExplore[[#This Row],[Land Bonus]],1,0)*20)+15000)))*(1+(mason_bonus*TblConstr[[#This Row],[Tot Mas]]/TblConstr[[#This Row],[Land (2)]]))</f>
        <v>0</v>
      </c>
      <c r="AA26" s="287">
        <f ca="1">harbor_towers_cap*(1-EXP(-TblImps[[#This Row],[Σ Spires]]/(towers_param*(OFFSET(TblImps[[#This Row],[Land]],1,0)-OFFSET(TblExplore[[#This Row],[Land Bonus]],1,0)*20)+15000)))*(1+(mason_bonus*TblConstr[[#This Row],[Tot Mas]]/TblConstr[[#This Row],[Land (2)]]))</f>
        <v>0</v>
      </c>
      <c r="AB26" s="287">
        <f ca="1">walls_forges_cap*(1-EXP(-TblImps[[#This Row],[Σ Forges]]/(walls_forges_param*(OFFSET(TblImps[[#This Row],[Land]],1,0)-OFFSET(TblExplore[[#This Row],[Land Bonus]],1,0)*20)+15000)))*(1+(mason_bonus*TblConstr[[#This Row],[Tot Mas]]/TblConstr[[#This Row],[Land (2)]]))</f>
        <v>0</v>
      </c>
      <c r="AC26" s="287">
        <f ca="1">walls_forges_cap*(1-EXP(-TblImps[[#This Row],[Σ Walls]]/(walls_forges_param*(OFFSET(TblImps[[#This Row],[Land]],1,0)-OFFSET(TblExplore[[#This Row],[Land Bonus]],1,0)*20)+15000)))*(1+(mason_bonus*TblConstr[[#This Row],[Tot Mas]]/TblConstr[[#This Row],[Land (2)]]))</f>
        <v>0</v>
      </c>
      <c r="AD26" s="287">
        <f ca="1">harbor_towers_cap*(1-EXP(-TblImps[[#This Row],[Σ Harbor]]/(harbor_towers_param*(OFFSET(TblImps[[#This Row],[Land]],1,0)-OFFSET(TblExplore[[#This Row],[Land Bonus]],1,0)*20)+15000)))*(1+(mason_bonus*TblConstr[[#This Row],[Tot Mas]]/TblConstr[[#This Row],[Land (2)]]))</f>
        <v>0</v>
      </c>
      <c r="AE26" s="142"/>
      <c r="AF26" s="61">
        <f ca="1">(1+Overview!$I$29)*SUM(TblImps[[#This Row],[P2]:[G2]])+OFFSET(TblImps[[#This Row],[Σ Science]],-1,0)</f>
        <v>0</v>
      </c>
      <c r="AG26" s="61">
        <f ca="1">(1+Overview!$I$29)*SUM(TblImps[[#This Row],[P3]:[G3]])+OFFSET(TblImps[[#This Row],[Σ Keep]],-1,0)</f>
        <v>0</v>
      </c>
      <c r="AH26" s="61">
        <f ca="1">(1+Overview!$I$29 + tech_7_1*TblTech[[#This Row],[7-1]])*SUM(TblImps[[#This Row],[P4]:[G4]])+OFFSET(TblImps[[#This Row],[Σ Spires]],-1,0)</f>
        <v>0</v>
      </c>
      <c r="AI26" s="61">
        <f ca="1">(1+Overview!$I$29)*SUM(TblImps[[#This Row],[P5]:[FW5]])+OFFSET(TblImps[[#This Row],[Σ Forges]],-1,0)</f>
        <v>0</v>
      </c>
      <c r="AJ26" s="61">
        <f ca="1">(1+Overview!$I$29)*SUM(TblImps[[#This Row],[P6]:[G6]])+OFFSET(TblImps[[#This Row],[Σ Walls]],-1,0)</f>
        <v>0</v>
      </c>
      <c r="AK26" s="61">
        <f ca="1">(1+Overview!$I$29 + tech_7_1*TblTech[[#This Row],[7-1]])*SUM(TblImps[[#This Row],[P7]:[G7]])+OFFSET(TblImps[[#This Row],[Σ Harbor]],-1,0)</f>
        <v>0</v>
      </c>
      <c r="AL26" s="142"/>
      <c r="AM26" s="57">
        <f>IF(AND(TblImps[[#This Row],[Resource]]=AM$2,TblImps[[#This Row],[Part]]&lt;&gt;""),TblImps[[#This Row],[Amount]]) + IF(AND(TblImps[[#This Row],[Resource 2]]=AM$2,TblImps[[#This Row],[Part 2]]&lt;&gt;""),TblImps[[#This Row],[Amount 2]]) + IF(AND(TblImps[[#This Row],[Resource 3]]=AM$2,TblImps[[#This Row],[Part 3]]&lt;&gt;""),TblImps[[#This Row],[Amount 3]])</f>
        <v>0</v>
      </c>
      <c r="AN26" s="57">
        <f>IF(AND(TblImps[[#This Row],[Resource]]=AN$2,TblImps[[#This Row],[Part]]&lt;&gt;""),TblImps[[#This Row],[Amount]]) + IF(AND(TblImps[[#This Row],[Resource 2]]=AN$2,TblImps[[#This Row],[Part 2]]&lt;&gt;""),TblImps[[#This Row],[Amount 2]]) + IF(AND(TblImps[[#This Row],[Resource 3]]=AN$2,TblImps[[#This Row],[Part 3]]&lt;&gt;""),TblImps[[#This Row],[Amount 3]])</f>
        <v>0</v>
      </c>
      <c r="AO26" s="57">
        <f>IF(AND(TblImps[[#This Row],[Resource]]=AO$2,TblImps[[#This Row],[Part]]&lt;&gt;""),TblImps[[#This Row],[Amount]]) + IF(AND(TblImps[[#This Row],[Resource 2]]=AO$2,TblImps[[#This Row],[Part 2]]&lt;&gt;""),TblImps[[#This Row],[Amount 2]]) + IF(AND(TblImps[[#This Row],[Resource 3]]=AO$2,TblImps[[#This Row],[Part 3]]&lt;&gt;""),TblImps[[#This Row],[Amount 3]])</f>
        <v>0</v>
      </c>
      <c r="AP26" s="57">
        <f>IF(AND(TblImps[[#This Row],[Resource]]=AP$2,TblImps[[#This Row],[Part]]&lt;&gt;""),TblImps[[#This Row],[Amount]]) + IF(AND(TblImps[[#This Row],[Resource 2]]=AP$2,TblImps[[#This Row],[Part 2]]&lt;&gt;""),TblImps[[#This Row],[Amount 2]]) + IF(AND(TblImps[[#This Row],[Resource 3]]=AP$2,TblImps[[#This Row],[Part 3]]&lt;&gt;""),TblImps[[#This Row],[Amount 3]])</f>
        <v>0</v>
      </c>
      <c r="AQ26" s="142"/>
      <c r="AR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142"/>
      <c r="AW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142"/>
      <c r="BB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142"/>
      <c r="BG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57">
        <f ca="1">IF(OFFSET(TblMagic[[#This Row],[Active Alchemists Flame]],-1,0)&gt;0,TblConstr[[#This Row],[Tot Alc]]*alchemist_flame_invest,0)</f>
        <v>0</v>
      </c>
      <c r="BL26" s="142"/>
      <c r="BM2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6" s="142"/>
      <c r="BR2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6" s="142"/>
      <c r="BW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6" s="61">
        <f>TblImps[[#This Row],[Login]]</f>
        <v>0</v>
      </c>
      <c r="BY26" s="137"/>
      <c r="BZ26" s="293">
        <f ca="1">OFFSET(TblImps[[#This Row],[Real time]],-1,0)+1/24</f>
        <v>46320.916666666613</v>
      </c>
      <c r="CA26" s="294">
        <f ca="1">OFFSET(TblImps[[#This Row],[Servertime]],-1,0)+1/24</f>
        <v>46320.916666666613</v>
      </c>
      <c r="CB26" s="57"/>
      <c r="CC26" s="292"/>
      <c r="CD26" s="292"/>
    </row>
    <row r="27" spans="1:85" x14ac:dyDescent="0.2">
      <c r="A27" s="214">
        <f ca="1">TblConstr[[#This Row],[Land]]</f>
        <v>50</v>
      </c>
      <c r="B27" s="142"/>
      <c r="C27" s="94">
        <f ca="1">TblProd[[#This Row],[Platinum]]</f>
        <v>146159</v>
      </c>
      <c r="D27" s="94">
        <f ca="1">TblProd[[#This Row],[Lumber]]</f>
        <v>32541</v>
      </c>
      <c r="E27" s="94">
        <f ca="1">TblProd[[#This Row],[Ore]]</f>
        <v>0</v>
      </c>
      <c r="F27" s="94">
        <f ca="1">TblProd[[#This Row],[Gems]]</f>
        <v>0</v>
      </c>
      <c r="G27" s="154"/>
      <c r="H27" s="94">
        <f ca="1">TblMili[[#This Row],[Draftees]]</f>
        <v>396</v>
      </c>
      <c r="I27" s="180">
        <f ca="1">TblPop[[#This Row],[Employment]]</f>
        <v>1</v>
      </c>
      <c r="J27" s="180">
        <f ca="1">TblPop[[#This Row],[Total]]/TblPop[[#This Row],[Net max]]</f>
        <v>1</v>
      </c>
      <c r="K27" s="283">
        <f>TblRezone[[#This Row],[Hour]]</f>
        <v>24</v>
      </c>
      <c r="L27" s="284">
        <f ca="1">TblImps[[#This Row],[Real time]]</f>
        <v>46320.958333333278</v>
      </c>
      <c r="M27" s="61">
        <f>IF(ISERROR(TblImps[[#This Row],[algorithm]]),0,TblImps[[#This Row],[algorithm]]*1)</f>
        <v>0</v>
      </c>
      <c r="N27" s="94">
        <f ca="1">TblImps[[#This Row],[Land]]</f>
        <v>50</v>
      </c>
      <c r="O27" s="285" t="s">
        <v>4</v>
      </c>
      <c r="P27" s="286"/>
      <c r="Q27" s="285" t="s">
        <v>210</v>
      </c>
      <c r="R27" s="285" t="s">
        <v>7</v>
      </c>
      <c r="S27" s="286"/>
      <c r="T27" s="285" t="s">
        <v>210</v>
      </c>
      <c r="U27" s="285" t="s">
        <v>3</v>
      </c>
      <c r="V27" s="286"/>
      <c r="W27" s="285" t="s">
        <v>210</v>
      </c>
      <c r="X27" s="142"/>
      <c r="Y27" s="287">
        <f ca="1">science_cap*(1-EXP(-TblImps[[#This Row],[Σ Science]]/(science_param*(OFFSET(TblImps[[#This Row],[Land]],1,0)-OFFSET(TblExplore[[#This Row],[Land Bonus]],1,0)*20)+15000)))*(1+(mason_bonus*TblConstr[[#This Row],[Tot Mas]]/TblConstr[[#This Row],[Land (2)]]))</f>
        <v>0</v>
      </c>
      <c r="Z27" s="287">
        <f ca="1">keep_cap*(1-EXP(-TblImps[[#This Row],[Σ Keep]]/(keep_param*(OFFSET(TblImps[[#This Row],[Land]],1,0)-OFFSET(TblExplore[[#This Row],[Land Bonus]],1,0)*20)+15000)))*(1+(mason_bonus*TblConstr[[#This Row],[Tot Mas]]/TblConstr[[#This Row],[Land (2)]]))</f>
        <v>0</v>
      </c>
      <c r="AA27" s="287">
        <f ca="1">harbor_towers_cap*(1-EXP(-TblImps[[#This Row],[Σ Spires]]/(towers_param*(OFFSET(TblImps[[#This Row],[Land]],1,0)-OFFSET(TblExplore[[#This Row],[Land Bonus]],1,0)*20)+15000)))*(1+(mason_bonus*TblConstr[[#This Row],[Tot Mas]]/TblConstr[[#This Row],[Land (2)]]))</f>
        <v>0</v>
      </c>
      <c r="AB27" s="287">
        <f ca="1">walls_forges_cap*(1-EXP(-TblImps[[#This Row],[Σ Forges]]/(walls_forges_param*(OFFSET(TblImps[[#This Row],[Land]],1,0)-OFFSET(TblExplore[[#This Row],[Land Bonus]],1,0)*20)+15000)))*(1+(mason_bonus*TblConstr[[#This Row],[Tot Mas]]/TblConstr[[#This Row],[Land (2)]]))</f>
        <v>0</v>
      </c>
      <c r="AC27" s="287">
        <f ca="1">walls_forges_cap*(1-EXP(-TblImps[[#This Row],[Σ Walls]]/(walls_forges_param*(OFFSET(TblImps[[#This Row],[Land]],1,0)-OFFSET(TblExplore[[#This Row],[Land Bonus]],1,0)*20)+15000)))*(1+(mason_bonus*TblConstr[[#This Row],[Tot Mas]]/TblConstr[[#This Row],[Land (2)]]))</f>
        <v>0</v>
      </c>
      <c r="AD27" s="287">
        <f ca="1">harbor_towers_cap*(1-EXP(-TblImps[[#This Row],[Σ Harbor]]/(harbor_towers_param*(OFFSET(TblImps[[#This Row],[Land]],1,0)-OFFSET(TblExplore[[#This Row],[Land Bonus]],1,0)*20)+15000)))*(1+(mason_bonus*TblConstr[[#This Row],[Tot Mas]]/TblConstr[[#This Row],[Land (2)]]))</f>
        <v>0</v>
      </c>
      <c r="AE27" s="142"/>
      <c r="AF27" s="61">
        <f ca="1">(1+Overview!$I$29)*SUM(TblImps[[#This Row],[P2]:[G2]])+OFFSET(TblImps[[#This Row],[Σ Science]],-1,0)</f>
        <v>0</v>
      </c>
      <c r="AG27" s="61">
        <f ca="1">(1+Overview!$I$29)*SUM(TblImps[[#This Row],[P3]:[G3]])+OFFSET(TblImps[[#This Row],[Σ Keep]],-1,0)</f>
        <v>0</v>
      </c>
      <c r="AH27" s="61">
        <f ca="1">(1+Overview!$I$29 + tech_7_1*TblTech[[#This Row],[7-1]])*SUM(TblImps[[#This Row],[P4]:[G4]])+OFFSET(TblImps[[#This Row],[Σ Spires]],-1,0)</f>
        <v>0</v>
      </c>
      <c r="AI27" s="61">
        <f ca="1">(1+Overview!$I$29)*SUM(TblImps[[#This Row],[P5]:[FW5]])+OFFSET(TblImps[[#This Row],[Σ Forges]],-1,0)</f>
        <v>0</v>
      </c>
      <c r="AJ27" s="61">
        <f ca="1">(1+Overview!$I$29)*SUM(TblImps[[#This Row],[P6]:[G6]])+OFFSET(TblImps[[#This Row],[Σ Walls]],-1,0)</f>
        <v>0</v>
      </c>
      <c r="AK27" s="61">
        <f ca="1">(1+Overview!$I$29 + tech_7_1*TblTech[[#This Row],[7-1]])*SUM(TblImps[[#This Row],[P7]:[G7]])+OFFSET(TblImps[[#This Row],[Σ Harbor]],-1,0)</f>
        <v>0</v>
      </c>
      <c r="AL27" s="142"/>
      <c r="AM27" s="57">
        <f>IF(AND(TblImps[[#This Row],[Resource]]=AM$2,TblImps[[#This Row],[Part]]&lt;&gt;""),TblImps[[#This Row],[Amount]]) + IF(AND(TblImps[[#This Row],[Resource 2]]=AM$2,TblImps[[#This Row],[Part 2]]&lt;&gt;""),TblImps[[#This Row],[Amount 2]]) + IF(AND(TblImps[[#This Row],[Resource 3]]=AM$2,TblImps[[#This Row],[Part 3]]&lt;&gt;""),TblImps[[#This Row],[Amount 3]])</f>
        <v>0</v>
      </c>
      <c r="AN27" s="57">
        <f>IF(AND(TblImps[[#This Row],[Resource]]=AN$2,TblImps[[#This Row],[Part]]&lt;&gt;""),TblImps[[#This Row],[Amount]]) + IF(AND(TblImps[[#This Row],[Resource 2]]=AN$2,TblImps[[#This Row],[Part 2]]&lt;&gt;""),TblImps[[#This Row],[Amount 2]]) + IF(AND(TblImps[[#This Row],[Resource 3]]=AN$2,TblImps[[#This Row],[Part 3]]&lt;&gt;""),TblImps[[#This Row],[Amount 3]])</f>
        <v>0</v>
      </c>
      <c r="AO27" s="57">
        <f>IF(AND(TblImps[[#This Row],[Resource]]=AO$2,TblImps[[#This Row],[Part]]&lt;&gt;""),TblImps[[#This Row],[Amount]]) + IF(AND(TblImps[[#This Row],[Resource 2]]=AO$2,TblImps[[#This Row],[Part 2]]&lt;&gt;""),TblImps[[#This Row],[Amount 2]]) + IF(AND(TblImps[[#This Row],[Resource 3]]=AO$2,TblImps[[#This Row],[Part 3]]&lt;&gt;""),TblImps[[#This Row],[Amount 3]])</f>
        <v>0</v>
      </c>
      <c r="AP27" s="57">
        <f>IF(AND(TblImps[[#This Row],[Resource]]=AP$2,TblImps[[#This Row],[Part]]&lt;&gt;""),TblImps[[#This Row],[Amount]]) + IF(AND(TblImps[[#This Row],[Resource 2]]=AP$2,TblImps[[#This Row],[Part 2]]&lt;&gt;""),TblImps[[#This Row],[Amount 2]]) + IF(AND(TblImps[[#This Row],[Resource 3]]=AP$2,TblImps[[#This Row],[Part 3]]&lt;&gt;""),TblImps[[#This Row],[Amount 3]])</f>
        <v>0</v>
      </c>
      <c r="AQ27" s="142"/>
      <c r="AR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142"/>
      <c r="AW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142"/>
      <c r="BB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142"/>
      <c r="BG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57">
        <f ca="1">IF(OFFSET(TblMagic[[#This Row],[Active Alchemists Flame]],-1,0)&gt;0,TblConstr[[#This Row],[Tot Alc]]*alchemist_flame_invest,0)</f>
        <v>0</v>
      </c>
      <c r="BL27" s="142"/>
      <c r="BM2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7" s="142"/>
      <c r="BR2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7" s="142"/>
      <c r="BW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7" s="61">
        <f>TblImps[[#This Row],[Login]]</f>
        <v>0</v>
      </c>
      <c r="BY27" s="137"/>
      <c r="BZ27" s="293">
        <f ca="1">OFFSET(TblImps[[#This Row],[Real time]],-1,0)+1/24</f>
        <v>46320.958333333278</v>
      </c>
      <c r="CA27" s="294">
        <f ca="1">OFFSET(TblImps[[#This Row],[Servertime]],-1,0)+1/24</f>
        <v>46320.958333333278</v>
      </c>
      <c r="CB27" s="57"/>
      <c r="CC27" s="292"/>
      <c r="CD27" s="292"/>
    </row>
    <row r="28" spans="1:85" x14ac:dyDescent="0.2">
      <c r="A28" s="214">
        <f ca="1">TblConstr[[#This Row],[Land]]</f>
        <v>50</v>
      </c>
      <c r="B28" s="142"/>
      <c r="C28" s="94">
        <f ca="1">TblProd[[#This Row],[Platinum]]</f>
        <v>147166</v>
      </c>
      <c r="D28" s="94">
        <f ca="1">TblProd[[#This Row],[Lumber]]</f>
        <v>33216</v>
      </c>
      <c r="E28" s="94">
        <f ca="1">TblProd[[#This Row],[Ore]]</f>
        <v>0</v>
      </c>
      <c r="F28" s="94">
        <f ca="1">TblProd[[#This Row],[Gems]]</f>
        <v>0</v>
      </c>
      <c r="G28" s="154"/>
      <c r="H28" s="94">
        <f ca="1">TblMili[[#This Row],[Draftees]]</f>
        <v>400</v>
      </c>
      <c r="I28" s="180">
        <f ca="1">TblPop[[#This Row],[Employment]]</f>
        <v>1</v>
      </c>
      <c r="J28" s="180">
        <f ca="1">TblPop[[#This Row],[Total]]/TblPop[[#This Row],[Net max]]</f>
        <v>1</v>
      </c>
      <c r="K28" s="283">
        <f>TblRezone[[#This Row],[Hour]]</f>
        <v>25</v>
      </c>
      <c r="L28" s="284">
        <f ca="1">TblImps[[#This Row],[Real time]]</f>
        <v>46320.999999999942</v>
      </c>
      <c r="M28" s="61">
        <f>IF(ISERROR(TblImps[[#This Row],[algorithm]]),0,TblImps[[#This Row],[algorithm]]*1)</f>
        <v>0</v>
      </c>
      <c r="N28" s="94">
        <f ca="1">TblImps[[#This Row],[Land]]</f>
        <v>50</v>
      </c>
      <c r="O28" s="285" t="s">
        <v>4</v>
      </c>
      <c r="P28" s="286"/>
      <c r="Q28" s="285" t="s">
        <v>210</v>
      </c>
      <c r="R28" s="285" t="s">
        <v>7</v>
      </c>
      <c r="S28" s="286"/>
      <c r="T28" s="285" t="s">
        <v>210</v>
      </c>
      <c r="U28" s="285" t="s">
        <v>3</v>
      </c>
      <c r="V28" s="286"/>
      <c r="W28" s="285" t="s">
        <v>210</v>
      </c>
      <c r="X28" s="142"/>
      <c r="Y28" s="287">
        <f ca="1">science_cap*(1-EXP(-TblImps[[#This Row],[Σ Science]]/(science_param*(OFFSET(TblImps[[#This Row],[Land]],1,0)-OFFSET(TblExplore[[#This Row],[Land Bonus]],1,0)*20)+15000)))*(1+(mason_bonus*TblConstr[[#This Row],[Tot Mas]]/TblConstr[[#This Row],[Land (2)]]))</f>
        <v>0</v>
      </c>
      <c r="Z28" s="287">
        <f ca="1">keep_cap*(1-EXP(-TblImps[[#This Row],[Σ Keep]]/(keep_param*(OFFSET(TblImps[[#This Row],[Land]],1,0)-OFFSET(TblExplore[[#This Row],[Land Bonus]],1,0)*20)+15000)))*(1+(mason_bonus*TblConstr[[#This Row],[Tot Mas]]/TblConstr[[#This Row],[Land (2)]]))</f>
        <v>0</v>
      </c>
      <c r="AA28" s="287">
        <f ca="1">harbor_towers_cap*(1-EXP(-TblImps[[#This Row],[Σ Spires]]/(towers_param*(OFFSET(TblImps[[#This Row],[Land]],1,0)-OFFSET(TblExplore[[#This Row],[Land Bonus]],1,0)*20)+15000)))*(1+(mason_bonus*TblConstr[[#This Row],[Tot Mas]]/TblConstr[[#This Row],[Land (2)]]))</f>
        <v>0</v>
      </c>
      <c r="AB28" s="287">
        <f ca="1">walls_forges_cap*(1-EXP(-TblImps[[#This Row],[Σ Forges]]/(walls_forges_param*(OFFSET(TblImps[[#This Row],[Land]],1,0)-OFFSET(TblExplore[[#This Row],[Land Bonus]],1,0)*20)+15000)))*(1+(mason_bonus*TblConstr[[#This Row],[Tot Mas]]/TblConstr[[#This Row],[Land (2)]]))</f>
        <v>0</v>
      </c>
      <c r="AC28" s="287">
        <f ca="1">walls_forges_cap*(1-EXP(-TblImps[[#This Row],[Σ Walls]]/(walls_forges_param*(OFFSET(TblImps[[#This Row],[Land]],1,0)-OFFSET(TblExplore[[#This Row],[Land Bonus]],1,0)*20)+15000)))*(1+(mason_bonus*TblConstr[[#This Row],[Tot Mas]]/TblConstr[[#This Row],[Land (2)]]))</f>
        <v>0</v>
      </c>
      <c r="AD28" s="287">
        <f ca="1">harbor_towers_cap*(1-EXP(-TblImps[[#This Row],[Σ Harbor]]/(harbor_towers_param*(OFFSET(TblImps[[#This Row],[Land]],1,0)-OFFSET(TblExplore[[#This Row],[Land Bonus]],1,0)*20)+15000)))*(1+(mason_bonus*TblConstr[[#This Row],[Tot Mas]]/TblConstr[[#This Row],[Land (2)]]))</f>
        <v>0</v>
      </c>
      <c r="AE28" s="142"/>
      <c r="AF28" s="61">
        <f ca="1">(1+Overview!$I$29)*SUM(TblImps[[#This Row],[P2]:[G2]])+OFFSET(TblImps[[#This Row],[Σ Science]],-1,0)</f>
        <v>0</v>
      </c>
      <c r="AG28" s="61">
        <f ca="1">(1+Overview!$I$29)*SUM(TblImps[[#This Row],[P3]:[G3]])+OFFSET(TblImps[[#This Row],[Σ Keep]],-1,0)</f>
        <v>0</v>
      </c>
      <c r="AH28" s="61">
        <f ca="1">(1+Overview!$I$29 + tech_7_1*TblTech[[#This Row],[7-1]])*SUM(TblImps[[#This Row],[P4]:[G4]])+OFFSET(TblImps[[#This Row],[Σ Spires]],-1,0)</f>
        <v>0</v>
      </c>
      <c r="AI28" s="61">
        <f ca="1">(1+Overview!$I$29)*SUM(TblImps[[#This Row],[P5]:[FW5]])+OFFSET(TblImps[[#This Row],[Σ Forges]],-1,0)</f>
        <v>0</v>
      </c>
      <c r="AJ28" s="61">
        <f ca="1">(1+Overview!$I$29)*SUM(TblImps[[#This Row],[P6]:[G6]])+OFFSET(TblImps[[#This Row],[Σ Walls]],-1,0)</f>
        <v>0</v>
      </c>
      <c r="AK28" s="61">
        <f ca="1">(1+Overview!$I$29 + tech_7_1*TblTech[[#This Row],[7-1]])*SUM(TblImps[[#This Row],[P7]:[G7]])+OFFSET(TblImps[[#This Row],[Σ Harbor]],-1,0)</f>
        <v>0</v>
      </c>
      <c r="AL28" s="142"/>
      <c r="AM28" s="57">
        <f>IF(AND(TblImps[[#This Row],[Resource]]=AM$2,TblImps[[#This Row],[Part]]&lt;&gt;""),TblImps[[#This Row],[Amount]]) + IF(AND(TblImps[[#This Row],[Resource 2]]=AM$2,TblImps[[#This Row],[Part 2]]&lt;&gt;""),TblImps[[#This Row],[Amount 2]]) + IF(AND(TblImps[[#This Row],[Resource 3]]=AM$2,TblImps[[#This Row],[Part 3]]&lt;&gt;""),TblImps[[#This Row],[Amount 3]])</f>
        <v>0</v>
      </c>
      <c r="AN28" s="57">
        <f>IF(AND(TblImps[[#This Row],[Resource]]=AN$2,TblImps[[#This Row],[Part]]&lt;&gt;""),TblImps[[#This Row],[Amount]]) + IF(AND(TblImps[[#This Row],[Resource 2]]=AN$2,TblImps[[#This Row],[Part 2]]&lt;&gt;""),TblImps[[#This Row],[Amount 2]]) + IF(AND(TblImps[[#This Row],[Resource 3]]=AN$2,TblImps[[#This Row],[Part 3]]&lt;&gt;""),TblImps[[#This Row],[Amount 3]])</f>
        <v>0</v>
      </c>
      <c r="AO28" s="57">
        <f>IF(AND(TblImps[[#This Row],[Resource]]=AO$2,TblImps[[#This Row],[Part]]&lt;&gt;""),TblImps[[#This Row],[Amount]]) + IF(AND(TblImps[[#This Row],[Resource 2]]=AO$2,TblImps[[#This Row],[Part 2]]&lt;&gt;""),TblImps[[#This Row],[Amount 2]]) + IF(AND(TblImps[[#This Row],[Resource 3]]=AO$2,TblImps[[#This Row],[Part 3]]&lt;&gt;""),TblImps[[#This Row],[Amount 3]])</f>
        <v>0</v>
      </c>
      <c r="AP28" s="57">
        <f>IF(AND(TblImps[[#This Row],[Resource]]=AP$2,TblImps[[#This Row],[Part]]&lt;&gt;""),TblImps[[#This Row],[Amount]]) + IF(AND(TblImps[[#This Row],[Resource 2]]=AP$2,TblImps[[#This Row],[Part 2]]&lt;&gt;""),TblImps[[#This Row],[Amount 2]]) + IF(AND(TblImps[[#This Row],[Resource 3]]=AP$2,TblImps[[#This Row],[Part 3]]&lt;&gt;""),TblImps[[#This Row],[Amount 3]])</f>
        <v>0</v>
      </c>
      <c r="AQ28" s="142"/>
      <c r="AR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142"/>
      <c r="AW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142"/>
      <c r="BB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142"/>
      <c r="BG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57">
        <f ca="1">IF(OFFSET(TblMagic[[#This Row],[Active Alchemists Flame]],-1,0)&gt;0,TblConstr[[#This Row],[Tot Alc]]*alchemist_flame_invest,0)</f>
        <v>0</v>
      </c>
      <c r="BL28" s="142"/>
      <c r="BM2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8" s="142"/>
      <c r="BR2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8" s="142"/>
      <c r="BW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8" s="61">
        <f>TblImps[[#This Row],[Login]]</f>
        <v>0</v>
      </c>
      <c r="BY28" s="137"/>
      <c r="BZ28" s="293">
        <f ca="1">OFFSET(TblImps[[#This Row],[Real time]],-1,0)+1/24</f>
        <v>46320.999999999942</v>
      </c>
      <c r="CA28" s="294">
        <f ca="1">OFFSET(TblImps[[#This Row],[Servertime]],-1,0)+1/24</f>
        <v>46320.999999999942</v>
      </c>
      <c r="CB28" s="57"/>
      <c r="CC28" s="292"/>
      <c r="CD28" s="292"/>
    </row>
    <row r="29" spans="1:85" x14ac:dyDescent="0.2">
      <c r="A29" s="214">
        <f ca="1">TblConstr[[#This Row],[Land]]</f>
        <v>50</v>
      </c>
      <c r="B29" s="142"/>
      <c r="C29" s="94">
        <f ca="1">TblProd[[#This Row],[Platinum]]</f>
        <v>148162</v>
      </c>
      <c r="D29" s="94">
        <f ca="1">TblProd[[#This Row],[Lumber]]</f>
        <v>33884</v>
      </c>
      <c r="E29" s="94">
        <f ca="1">TblProd[[#This Row],[Ore]]</f>
        <v>0</v>
      </c>
      <c r="F29" s="94">
        <f ca="1">TblProd[[#This Row],[Gems]]</f>
        <v>0</v>
      </c>
      <c r="G29" s="154"/>
      <c r="H29" s="94">
        <f ca="1">TblMili[[#This Row],[Draftees]]</f>
        <v>404</v>
      </c>
      <c r="I29" s="180">
        <f ca="1">TblPop[[#This Row],[Employment]]</f>
        <v>1</v>
      </c>
      <c r="J29" s="180">
        <f ca="1">TblPop[[#This Row],[Total]]/TblPop[[#This Row],[Net max]]</f>
        <v>1</v>
      </c>
      <c r="K29" s="283">
        <f>TblRezone[[#This Row],[Hour]]</f>
        <v>26</v>
      </c>
      <c r="L29" s="284">
        <f ca="1">TblImps[[#This Row],[Real time]]</f>
        <v>46321.041666666606</v>
      </c>
      <c r="M29" s="61">
        <f>IF(ISERROR(TblImps[[#This Row],[algorithm]]),0,TblImps[[#This Row],[algorithm]]*1)</f>
        <v>0</v>
      </c>
      <c r="N29" s="94">
        <f ca="1">TblImps[[#This Row],[Land]]</f>
        <v>50</v>
      </c>
      <c r="O29" s="285" t="s">
        <v>4</v>
      </c>
      <c r="P29" s="286"/>
      <c r="Q29" s="285" t="s">
        <v>210</v>
      </c>
      <c r="R29" s="285" t="s">
        <v>7</v>
      </c>
      <c r="S29" s="286"/>
      <c r="T29" s="285" t="s">
        <v>210</v>
      </c>
      <c r="U29" s="285" t="s">
        <v>3</v>
      </c>
      <c r="V29" s="286"/>
      <c r="W29" s="285" t="s">
        <v>210</v>
      </c>
      <c r="X29" s="142"/>
      <c r="Y29" s="287">
        <f ca="1">science_cap*(1-EXP(-TblImps[[#This Row],[Σ Science]]/(science_param*(OFFSET(TblImps[[#This Row],[Land]],1,0)-OFFSET(TblExplore[[#This Row],[Land Bonus]],1,0)*20)+15000)))*(1+(mason_bonus*TblConstr[[#This Row],[Tot Mas]]/TblConstr[[#This Row],[Land (2)]]))</f>
        <v>0</v>
      </c>
      <c r="Z29" s="287">
        <f ca="1">keep_cap*(1-EXP(-TblImps[[#This Row],[Σ Keep]]/(keep_param*(OFFSET(TblImps[[#This Row],[Land]],1,0)-OFFSET(TblExplore[[#This Row],[Land Bonus]],1,0)*20)+15000)))*(1+(mason_bonus*TblConstr[[#This Row],[Tot Mas]]/TblConstr[[#This Row],[Land (2)]]))</f>
        <v>0</v>
      </c>
      <c r="AA29" s="287">
        <f ca="1">harbor_towers_cap*(1-EXP(-TblImps[[#This Row],[Σ Spires]]/(towers_param*(OFFSET(TblImps[[#This Row],[Land]],1,0)-OFFSET(TblExplore[[#This Row],[Land Bonus]],1,0)*20)+15000)))*(1+(mason_bonus*TblConstr[[#This Row],[Tot Mas]]/TblConstr[[#This Row],[Land (2)]]))</f>
        <v>0</v>
      </c>
      <c r="AB29" s="287">
        <f ca="1">walls_forges_cap*(1-EXP(-TblImps[[#This Row],[Σ Forges]]/(walls_forges_param*(OFFSET(TblImps[[#This Row],[Land]],1,0)-OFFSET(TblExplore[[#This Row],[Land Bonus]],1,0)*20)+15000)))*(1+(mason_bonus*TblConstr[[#This Row],[Tot Mas]]/TblConstr[[#This Row],[Land (2)]]))</f>
        <v>0</v>
      </c>
      <c r="AC29" s="287">
        <f ca="1">walls_forges_cap*(1-EXP(-TblImps[[#This Row],[Σ Walls]]/(walls_forges_param*(OFFSET(TblImps[[#This Row],[Land]],1,0)-OFFSET(TblExplore[[#This Row],[Land Bonus]],1,0)*20)+15000)))*(1+(mason_bonus*TblConstr[[#This Row],[Tot Mas]]/TblConstr[[#This Row],[Land (2)]]))</f>
        <v>0</v>
      </c>
      <c r="AD29" s="287">
        <f ca="1">harbor_towers_cap*(1-EXP(-TblImps[[#This Row],[Σ Harbor]]/(harbor_towers_param*(OFFSET(TblImps[[#This Row],[Land]],1,0)-OFFSET(TblExplore[[#This Row],[Land Bonus]],1,0)*20)+15000)))*(1+(mason_bonus*TblConstr[[#This Row],[Tot Mas]]/TblConstr[[#This Row],[Land (2)]]))</f>
        <v>0</v>
      </c>
      <c r="AE29" s="142"/>
      <c r="AF29" s="61">
        <f ca="1">(1+Overview!$I$29)*SUM(TblImps[[#This Row],[P2]:[G2]])+OFFSET(TblImps[[#This Row],[Σ Science]],-1,0)</f>
        <v>0</v>
      </c>
      <c r="AG29" s="61">
        <f ca="1">(1+Overview!$I$29)*SUM(TblImps[[#This Row],[P3]:[G3]])+OFFSET(TblImps[[#This Row],[Σ Keep]],-1,0)</f>
        <v>0</v>
      </c>
      <c r="AH29" s="61">
        <f ca="1">(1+Overview!$I$29 + tech_7_1*TblTech[[#This Row],[7-1]])*SUM(TblImps[[#This Row],[P4]:[G4]])+OFFSET(TblImps[[#This Row],[Σ Spires]],-1,0)</f>
        <v>0</v>
      </c>
      <c r="AI29" s="61">
        <f ca="1">(1+Overview!$I$29)*SUM(TblImps[[#This Row],[P5]:[FW5]])+OFFSET(TblImps[[#This Row],[Σ Forges]],-1,0)</f>
        <v>0</v>
      </c>
      <c r="AJ29" s="61">
        <f ca="1">(1+Overview!$I$29)*SUM(TblImps[[#This Row],[P6]:[G6]])+OFFSET(TblImps[[#This Row],[Σ Walls]],-1,0)</f>
        <v>0</v>
      </c>
      <c r="AK29" s="61">
        <f ca="1">(1+Overview!$I$29 + tech_7_1*TblTech[[#This Row],[7-1]])*SUM(TblImps[[#This Row],[P7]:[G7]])+OFFSET(TblImps[[#This Row],[Σ Harbor]],-1,0)</f>
        <v>0</v>
      </c>
      <c r="AL29" s="142"/>
      <c r="AM29" s="57">
        <f>IF(AND(TblImps[[#This Row],[Resource]]=AM$2,TblImps[[#This Row],[Part]]&lt;&gt;""),TblImps[[#This Row],[Amount]]) + IF(AND(TblImps[[#This Row],[Resource 2]]=AM$2,TblImps[[#This Row],[Part 2]]&lt;&gt;""),TblImps[[#This Row],[Amount 2]]) + IF(AND(TblImps[[#This Row],[Resource 3]]=AM$2,TblImps[[#This Row],[Part 3]]&lt;&gt;""),TblImps[[#This Row],[Amount 3]])</f>
        <v>0</v>
      </c>
      <c r="AN29" s="57">
        <f>IF(AND(TblImps[[#This Row],[Resource]]=AN$2,TblImps[[#This Row],[Part]]&lt;&gt;""),TblImps[[#This Row],[Amount]]) + IF(AND(TblImps[[#This Row],[Resource 2]]=AN$2,TblImps[[#This Row],[Part 2]]&lt;&gt;""),TblImps[[#This Row],[Amount 2]]) + IF(AND(TblImps[[#This Row],[Resource 3]]=AN$2,TblImps[[#This Row],[Part 3]]&lt;&gt;""),TblImps[[#This Row],[Amount 3]])</f>
        <v>0</v>
      </c>
      <c r="AO29" s="57">
        <f>IF(AND(TblImps[[#This Row],[Resource]]=AO$2,TblImps[[#This Row],[Part]]&lt;&gt;""),TblImps[[#This Row],[Amount]]) + IF(AND(TblImps[[#This Row],[Resource 2]]=AO$2,TblImps[[#This Row],[Part 2]]&lt;&gt;""),TblImps[[#This Row],[Amount 2]]) + IF(AND(TblImps[[#This Row],[Resource 3]]=AO$2,TblImps[[#This Row],[Part 3]]&lt;&gt;""),TblImps[[#This Row],[Amount 3]])</f>
        <v>0</v>
      </c>
      <c r="AP29" s="57">
        <f>IF(AND(TblImps[[#This Row],[Resource]]=AP$2,TblImps[[#This Row],[Part]]&lt;&gt;""),TblImps[[#This Row],[Amount]]) + IF(AND(TblImps[[#This Row],[Resource 2]]=AP$2,TblImps[[#This Row],[Part 2]]&lt;&gt;""),TblImps[[#This Row],[Amount 2]]) + IF(AND(TblImps[[#This Row],[Resource 3]]=AP$2,TblImps[[#This Row],[Part 3]]&lt;&gt;""),TblImps[[#This Row],[Amount 3]])</f>
        <v>0</v>
      </c>
      <c r="AQ29" s="142"/>
      <c r="AR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142"/>
      <c r="AW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142"/>
      <c r="BB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142"/>
      <c r="BG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57">
        <f ca="1">IF(OFFSET(TblMagic[[#This Row],[Active Alchemists Flame]],-1,0)&gt;0,TblConstr[[#This Row],[Tot Alc]]*alchemist_flame_invest,0)</f>
        <v>0</v>
      </c>
      <c r="BL29" s="142"/>
      <c r="BM2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9" s="142"/>
      <c r="BR2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9" s="142"/>
      <c r="BW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9" s="61">
        <f>TblImps[[#This Row],[Login]]</f>
        <v>0</v>
      </c>
      <c r="BY29" s="137"/>
      <c r="BZ29" s="293">
        <f ca="1">OFFSET(TblImps[[#This Row],[Real time]],-1,0)+1/24</f>
        <v>46321.041666666606</v>
      </c>
      <c r="CA29" s="294">
        <f ca="1">OFFSET(TblImps[[#This Row],[Servertime]],-1,0)+1/24</f>
        <v>46321.041666666606</v>
      </c>
      <c r="CB29" s="57"/>
      <c r="CC29" s="292"/>
      <c r="CD29" s="292"/>
    </row>
    <row r="30" spans="1:85" x14ac:dyDescent="0.2">
      <c r="A30" s="214">
        <f ca="1">TblConstr[[#This Row],[Land]]</f>
        <v>50</v>
      </c>
      <c r="B30" s="142"/>
      <c r="C30" s="94">
        <f ca="1">TblProd[[#This Row],[Platinum]]</f>
        <v>149147</v>
      </c>
      <c r="D30" s="94">
        <f ca="1">TblProd[[#This Row],[Lumber]]</f>
        <v>34545</v>
      </c>
      <c r="E30" s="94">
        <f ca="1">TblProd[[#This Row],[Ore]]</f>
        <v>0</v>
      </c>
      <c r="F30" s="94">
        <f ca="1">TblProd[[#This Row],[Gems]]</f>
        <v>0</v>
      </c>
      <c r="G30" s="154"/>
      <c r="H30" s="94">
        <f ca="1">TblMili[[#This Row],[Draftees]]</f>
        <v>408</v>
      </c>
      <c r="I30" s="180">
        <f ca="1">TblPop[[#This Row],[Employment]]</f>
        <v>1</v>
      </c>
      <c r="J30" s="180">
        <f ca="1">TblPop[[#This Row],[Total]]/TblPop[[#This Row],[Net max]]</f>
        <v>1</v>
      </c>
      <c r="K30" s="283">
        <f>TblRezone[[#This Row],[Hour]]</f>
        <v>27</v>
      </c>
      <c r="L30" s="284">
        <f ca="1">TblImps[[#This Row],[Real time]]</f>
        <v>46321.08333333327</v>
      </c>
      <c r="M30" s="61">
        <f>IF(ISERROR(TblImps[[#This Row],[algorithm]]),0,TblImps[[#This Row],[algorithm]]*1)</f>
        <v>0</v>
      </c>
      <c r="N30" s="94">
        <f ca="1">TblImps[[#This Row],[Land]]</f>
        <v>50</v>
      </c>
      <c r="O30" s="285" t="s">
        <v>4</v>
      </c>
      <c r="P30" s="286"/>
      <c r="Q30" s="285" t="s">
        <v>210</v>
      </c>
      <c r="R30" s="285" t="s">
        <v>7</v>
      </c>
      <c r="S30" s="286"/>
      <c r="T30" s="285" t="s">
        <v>210</v>
      </c>
      <c r="U30" s="285" t="s">
        <v>3</v>
      </c>
      <c r="V30" s="286"/>
      <c r="W30" s="285" t="s">
        <v>210</v>
      </c>
      <c r="X30" s="142"/>
      <c r="Y30" s="287">
        <f ca="1">science_cap*(1-EXP(-TblImps[[#This Row],[Σ Science]]/(science_param*(OFFSET(TblImps[[#This Row],[Land]],1,0)-OFFSET(TblExplore[[#This Row],[Land Bonus]],1,0)*20)+15000)))*(1+(mason_bonus*TblConstr[[#This Row],[Tot Mas]]/TblConstr[[#This Row],[Land (2)]]))</f>
        <v>0</v>
      </c>
      <c r="Z30" s="287">
        <f ca="1">keep_cap*(1-EXP(-TblImps[[#This Row],[Σ Keep]]/(keep_param*(OFFSET(TblImps[[#This Row],[Land]],1,0)-OFFSET(TblExplore[[#This Row],[Land Bonus]],1,0)*20)+15000)))*(1+(mason_bonus*TblConstr[[#This Row],[Tot Mas]]/TblConstr[[#This Row],[Land (2)]]))</f>
        <v>0</v>
      </c>
      <c r="AA30" s="287">
        <f ca="1">harbor_towers_cap*(1-EXP(-TblImps[[#This Row],[Σ Spires]]/(towers_param*(OFFSET(TblImps[[#This Row],[Land]],1,0)-OFFSET(TblExplore[[#This Row],[Land Bonus]],1,0)*20)+15000)))*(1+(mason_bonus*TblConstr[[#This Row],[Tot Mas]]/TblConstr[[#This Row],[Land (2)]]))</f>
        <v>0</v>
      </c>
      <c r="AB30" s="287">
        <f ca="1">walls_forges_cap*(1-EXP(-TblImps[[#This Row],[Σ Forges]]/(walls_forges_param*(OFFSET(TblImps[[#This Row],[Land]],1,0)-OFFSET(TblExplore[[#This Row],[Land Bonus]],1,0)*20)+15000)))*(1+(mason_bonus*TblConstr[[#This Row],[Tot Mas]]/TblConstr[[#This Row],[Land (2)]]))</f>
        <v>0</v>
      </c>
      <c r="AC30" s="287">
        <f ca="1">walls_forges_cap*(1-EXP(-TblImps[[#This Row],[Σ Walls]]/(walls_forges_param*(OFFSET(TblImps[[#This Row],[Land]],1,0)-OFFSET(TblExplore[[#This Row],[Land Bonus]],1,0)*20)+15000)))*(1+(mason_bonus*TblConstr[[#This Row],[Tot Mas]]/TblConstr[[#This Row],[Land (2)]]))</f>
        <v>0</v>
      </c>
      <c r="AD30" s="287">
        <f ca="1">harbor_towers_cap*(1-EXP(-TblImps[[#This Row],[Σ Harbor]]/(harbor_towers_param*(OFFSET(TblImps[[#This Row],[Land]],1,0)-OFFSET(TblExplore[[#This Row],[Land Bonus]],1,0)*20)+15000)))*(1+(mason_bonus*TblConstr[[#This Row],[Tot Mas]]/TblConstr[[#This Row],[Land (2)]]))</f>
        <v>0</v>
      </c>
      <c r="AE30" s="142"/>
      <c r="AF30" s="61">
        <f ca="1">(1+Overview!$I$29)*SUM(TblImps[[#This Row],[P2]:[G2]])+OFFSET(TblImps[[#This Row],[Σ Science]],-1,0)</f>
        <v>0</v>
      </c>
      <c r="AG30" s="61">
        <f ca="1">(1+Overview!$I$29)*SUM(TblImps[[#This Row],[P3]:[G3]])+OFFSET(TblImps[[#This Row],[Σ Keep]],-1,0)</f>
        <v>0</v>
      </c>
      <c r="AH30" s="61">
        <f ca="1">(1+Overview!$I$29 + tech_7_1*TblTech[[#This Row],[7-1]])*SUM(TblImps[[#This Row],[P4]:[G4]])+OFFSET(TblImps[[#This Row],[Σ Spires]],-1,0)</f>
        <v>0</v>
      </c>
      <c r="AI30" s="61">
        <f ca="1">(1+Overview!$I$29)*SUM(TblImps[[#This Row],[P5]:[FW5]])+OFFSET(TblImps[[#This Row],[Σ Forges]],-1,0)</f>
        <v>0</v>
      </c>
      <c r="AJ30" s="61">
        <f ca="1">(1+Overview!$I$29)*SUM(TblImps[[#This Row],[P6]:[G6]])+OFFSET(TblImps[[#This Row],[Σ Walls]],-1,0)</f>
        <v>0</v>
      </c>
      <c r="AK30" s="61">
        <f ca="1">(1+Overview!$I$29 + tech_7_1*TblTech[[#This Row],[7-1]])*SUM(TblImps[[#This Row],[P7]:[G7]])+OFFSET(TblImps[[#This Row],[Σ Harbor]],-1,0)</f>
        <v>0</v>
      </c>
      <c r="AL30" s="142"/>
      <c r="AM30" s="57">
        <f>IF(AND(TblImps[[#This Row],[Resource]]=AM$2,TblImps[[#This Row],[Part]]&lt;&gt;""),TblImps[[#This Row],[Amount]]) + IF(AND(TblImps[[#This Row],[Resource 2]]=AM$2,TblImps[[#This Row],[Part 2]]&lt;&gt;""),TblImps[[#This Row],[Amount 2]]) + IF(AND(TblImps[[#This Row],[Resource 3]]=AM$2,TblImps[[#This Row],[Part 3]]&lt;&gt;""),TblImps[[#This Row],[Amount 3]])</f>
        <v>0</v>
      </c>
      <c r="AN30" s="57">
        <f>IF(AND(TblImps[[#This Row],[Resource]]=AN$2,TblImps[[#This Row],[Part]]&lt;&gt;""),TblImps[[#This Row],[Amount]]) + IF(AND(TblImps[[#This Row],[Resource 2]]=AN$2,TblImps[[#This Row],[Part 2]]&lt;&gt;""),TblImps[[#This Row],[Amount 2]]) + IF(AND(TblImps[[#This Row],[Resource 3]]=AN$2,TblImps[[#This Row],[Part 3]]&lt;&gt;""),TblImps[[#This Row],[Amount 3]])</f>
        <v>0</v>
      </c>
      <c r="AO30" s="57">
        <f>IF(AND(TblImps[[#This Row],[Resource]]=AO$2,TblImps[[#This Row],[Part]]&lt;&gt;""),TblImps[[#This Row],[Amount]]) + IF(AND(TblImps[[#This Row],[Resource 2]]=AO$2,TblImps[[#This Row],[Part 2]]&lt;&gt;""),TblImps[[#This Row],[Amount 2]]) + IF(AND(TblImps[[#This Row],[Resource 3]]=AO$2,TblImps[[#This Row],[Part 3]]&lt;&gt;""),TblImps[[#This Row],[Amount 3]])</f>
        <v>0</v>
      </c>
      <c r="AP30" s="57">
        <f>IF(AND(TblImps[[#This Row],[Resource]]=AP$2,TblImps[[#This Row],[Part]]&lt;&gt;""),TblImps[[#This Row],[Amount]]) + IF(AND(TblImps[[#This Row],[Resource 2]]=AP$2,TblImps[[#This Row],[Part 2]]&lt;&gt;""),TblImps[[#This Row],[Amount 2]]) + IF(AND(TblImps[[#This Row],[Resource 3]]=AP$2,TblImps[[#This Row],[Part 3]]&lt;&gt;""),TblImps[[#This Row],[Amount 3]])</f>
        <v>0</v>
      </c>
      <c r="AQ30" s="142"/>
      <c r="AR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142"/>
      <c r="AW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142"/>
      <c r="BB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142"/>
      <c r="BG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57">
        <f ca="1">IF(OFFSET(TblMagic[[#This Row],[Active Alchemists Flame]],-1,0)&gt;0,TblConstr[[#This Row],[Tot Alc]]*alchemist_flame_invest,0)</f>
        <v>0</v>
      </c>
      <c r="BL30" s="142"/>
      <c r="BM3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0" s="142"/>
      <c r="BR3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0" s="142"/>
      <c r="BW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0" s="61">
        <f>TblImps[[#This Row],[Login]]</f>
        <v>0</v>
      </c>
      <c r="BY30" s="137"/>
      <c r="BZ30" s="293">
        <f ca="1">OFFSET(TblImps[[#This Row],[Real time]],-1,0)+1/24</f>
        <v>46321.08333333327</v>
      </c>
      <c r="CA30" s="294">
        <f ca="1">OFFSET(TblImps[[#This Row],[Servertime]],-1,0)+1/24</f>
        <v>46321.08333333327</v>
      </c>
      <c r="CB30" s="57"/>
      <c r="CC30" s="292"/>
      <c r="CD30" s="292"/>
      <c r="CE30" s="45" t="s">
        <v>4</v>
      </c>
    </row>
    <row r="31" spans="1:85" x14ac:dyDescent="0.2">
      <c r="A31" s="214">
        <f ca="1">TblConstr[[#This Row],[Land]]</f>
        <v>50</v>
      </c>
      <c r="B31" s="142"/>
      <c r="C31" s="94">
        <f ca="1">TblProd[[#This Row],[Platinum]]</f>
        <v>150121</v>
      </c>
      <c r="D31" s="94">
        <f ca="1">TblProd[[#This Row],[Lumber]]</f>
        <v>35200</v>
      </c>
      <c r="E31" s="94">
        <f ca="1">TblProd[[#This Row],[Ore]]</f>
        <v>0</v>
      </c>
      <c r="F31" s="94">
        <f ca="1">TblProd[[#This Row],[Gems]]</f>
        <v>0</v>
      </c>
      <c r="G31" s="154"/>
      <c r="H31" s="94">
        <f ca="1">TblMili[[#This Row],[Draftees]]</f>
        <v>412</v>
      </c>
      <c r="I31" s="180">
        <f ca="1">TblPop[[#This Row],[Employment]]</f>
        <v>1</v>
      </c>
      <c r="J31" s="180">
        <f ca="1">TblPop[[#This Row],[Total]]/TblPop[[#This Row],[Net max]]</f>
        <v>1</v>
      </c>
      <c r="K31" s="283">
        <f>TblRezone[[#This Row],[Hour]]</f>
        <v>28</v>
      </c>
      <c r="L31" s="284">
        <f ca="1">TblImps[[#This Row],[Real time]]</f>
        <v>46321.124999999935</v>
      </c>
      <c r="M31" s="61">
        <f>IF(ISERROR(TblImps[[#This Row],[algorithm]]),0,TblImps[[#This Row],[algorithm]]*1)</f>
        <v>0</v>
      </c>
      <c r="N31" s="94">
        <f ca="1">TblImps[[#This Row],[Land]]</f>
        <v>50</v>
      </c>
      <c r="O31" s="285" t="s">
        <v>4</v>
      </c>
      <c r="P31" s="286"/>
      <c r="Q31" s="285" t="s">
        <v>210</v>
      </c>
      <c r="R31" s="285" t="s">
        <v>7</v>
      </c>
      <c r="S31" s="286"/>
      <c r="T31" s="285" t="s">
        <v>210</v>
      </c>
      <c r="U31" s="285" t="s">
        <v>3</v>
      </c>
      <c r="V31" s="286"/>
      <c r="W31" s="285" t="s">
        <v>210</v>
      </c>
      <c r="X31" s="142"/>
      <c r="Y31" s="287">
        <f ca="1">science_cap*(1-EXP(-TblImps[[#This Row],[Σ Science]]/(science_param*(OFFSET(TblImps[[#This Row],[Land]],1,0)-OFFSET(TblExplore[[#This Row],[Land Bonus]],1,0)*20)+15000)))*(1+(mason_bonus*TblConstr[[#This Row],[Tot Mas]]/TblConstr[[#This Row],[Land (2)]]))</f>
        <v>0</v>
      </c>
      <c r="Z31" s="287">
        <f ca="1">keep_cap*(1-EXP(-TblImps[[#This Row],[Σ Keep]]/(keep_param*(OFFSET(TblImps[[#This Row],[Land]],1,0)-OFFSET(TblExplore[[#This Row],[Land Bonus]],1,0)*20)+15000)))*(1+(mason_bonus*TblConstr[[#This Row],[Tot Mas]]/TblConstr[[#This Row],[Land (2)]]))</f>
        <v>0</v>
      </c>
      <c r="AA31" s="287">
        <f ca="1">harbor_towers_cap*(1-EXP(-TblImps[[#This Row],[Σ Spires]]/(towers_param*(OFFSET(TblImps[[#This Row],[Land]],1,0)-OFFSET(TblExplore[[#This Row],[Land Bonus]],1,0)*20)+15000)))*(1+(mason_bonus*TblConstr[[#This Row],[Tot Mas]]/TblConstr[[#This Row],[Land (2)]]))</f>
        <v>0</v>
      </c>
      <c r="AB31" s="287">
        <f ca="1">walls_forges_cap*(1-EXP(-TblImps[[#This Row],[Σ Forges]]/(walls_forges_param*(OFFSET(TblImps[[#This Row],[Land]],1,0)-OFFSET(TblExplore[[#This Row],[Land Bonus]],1,0)*20)+15000)))*(1+(mason_bonus*TblConstr[[#This Row],[Tot Mas]]/TblConstr[[#This Row],[Land (2)]]))</f>
        <v>0</v>
      </c>
      <c r="AC31" s="287">
        <f ca="1">walls_forges_cap*(1-EXP(-TblImps[[#This Row],[Σ Walls]]/(walls_forges_param*(OFFSET(TblImps[[#This Row],[Land]],1,0)-OFFSET(TblExplore[[#This Row],[Land Bonus]],1,0)*20)+15000)))*(1+(mason_bonus*TblConstr[[#This Row],[Tot Mas]]/TblConstr[[#This Row],[Land (2)]]))</f>
        <v>0</v>
      </c>
      <c r="AD31" s="287">
        <f ca="1">harbor_towers_cap*(1-EXP(-TblImps[[#This Row],[Σ Harbor]]/(harbor_towers_param*(OFFSET(TblImps[[#This Row],[Land]],1,0)-OFFSET(TblExplore[[#This Row],[Land Bonus]],1,0)*20)+15000)))*(1+(mason_bonus*TblConstr[[#This Row],[Tot Mas]]/TblConstr[[#This Row],[Land (2)]]))</f>
        <v>0</v>
      </c>
      <c r="AE31" s="142"/>
      <c r="AF31" s="61">
        <f ca="1">(1+Overview!$I$29)*SUM(TblImps[[#This Row],[P2]:[G2]])+OFFSET(TblImps[[#This Row],[Σ Science]],-1,0)</f>
        <v>0</v>
      </c>
      <c r="AG31" s="61">
        <f ca="1">(1+Overview!$I$29)*SUM(TblImps[[#This Row],[P3]:[G3]])+OFFSET(TblImps[[#This Row],[Σ Keep]],-1,0)</f>
        <v>0</v>
      </c>
      <c r="AH31" s="61">
        <f ca="1">(1+Overview!$I$29 + tech_7_1*TblTech[[#This Row],[7-1]])*SUM(TblImps[[#This Row],[P4]:[G4]])+OFFSET(TblImps[[#This Row],[Σ Spires]],-1,0)</f>
        <v>0</v>
      </c>
      <c r="AI31" s="61">
        <f ca="1">(1+Overview!$I$29)*SUM(TblImps[[#This Row],[P5]:[FW5]])+OFFSET(TblImps[[#This Row],[Σ Forges]],-1,0)</f>
        <v>0</v>
      </c>
      <c r="AJ31" s="61">
        <f ca="1">(1+Overview!$I$29)*SUM(TblImps[[#This Row],[P6]:[G6]])+OFFSET(TblImps[[#This Row],[Σ Walls]],-1,0)</f>
        <v>0</v>
      </c>
      <c r="AK31" s="61">
        <f ca="1">(1+Overview!$I$29 + tech_7_1*TblTech[[#This Row],[7-1]])*SUM(TblImps[[#This Row],[P7]:[G7]])+OFFSET(TblImps[[#This Row],[Σ Harbor]],-1,0)</f>
        <v>0</v>
      </c>
      <c r="AL31" s="142"/>
      <c r="AM31" s="57">
        <f>IF(AND(TblImps[[#This Row],[Resource]]=AM$2,TblImps[[#This Row],[Part]]&lt;&gt;""),TblImps[[#This Row],[Amount]]) + IF(AND(TblImps[[#This Row],[Resource 2]]=AM$2,TblImps[[#This Row],[Part 2]]&lt;&gt;""),TblImps[[#This Row],[Amount 2]]) + IF(AND(TblImps[[#This Row],[Resource 3]]=AM$2,TblImps[[#This Row],[Part 3]]&lt;&gt;""),TblImps[[#This Row],[Amount 3]])</f>
        <v>0</v>
      </c>
      <c r="AN31" s="57">
        <f>IF(AND(TblImps[[#This Row],[Resource]]=AN$2,TblImps[[#This Row],[Part]]&lt;&gt;""),TblImps[[#This Row],[Amount]]) + IF(AND(TblImps[[#This Row],[Resource 2]]=AN$2,TblImps[[#This Row],[Part 2]]&lt;&gt;""),TblImps[[#This Row],[Amount 2]]) + IF(AND(TblImps[[#This Row],[Resource 3]]=AN$2,TblImps[[#This Row],[Part 3]]&lt;&gt;""),TblImps[[#This Row],[Amount 3]])</f>
        <v>0</v>
      </c>
      <c r="AO31" s="57">
        <f>IF(AND(TblImps[[#This Row],[Resource]]=AO$2,TblImps[[#This Row],[Part]]&lt;&gt;""),TblImps[[#This Row],[Amount]]) + IF(AND(TblImps[[#This Row],[Resource 2]]=AO$2,TblImps[[#This Row],[Part 2]]&lt;&gt;""),TblImps[[#This Row],[Amount 2]]) + IF(AND(TblImps[[#This Row],[Resource 3]]=AO$2,TblImps[[#This Row],[Part 3]]&lt;&gt;""),TblImps[[#This Row],[Amount 3]])</f>
        <v>0</v>
      </c>
      <c r="AP31" s="57">
        <f>IF(AND(TblImps[[#This Row],[Resource]]=AP$2,TblImps[[#This Row],[Part]]&lt;&gt;""),TblImps[[#This Row],[Amount]]) + IF(AND(TblImps[[#This Row],[Resource 2]]=AP$2,TblImps[[#This Row],[Part 2]]&lt;&gt;""),TblImps[[#This Row],[Amount 2]]) + IF(AND(TblImps[[#This Row],[Resource 3]]=AP$2,TblImps[[#This Row],[Part 3]]&lt;&gt;""),TblImps[[#This Row],[Amount 3]])</f>
        <v>0</v>
      </c>
      <c r="AQ31" s="142"/>
      <c r="AR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142"/>
      <c r="AW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142"/>
      <c r="BB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142"/>
      <c r="BG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57">
        <f ca="1">IF(OFFSET(TblMagic[[#This Row],[Active Alchemists Flame]],-1,0)&gt;0,TblConstr[[#This Row],[Tot Alc]]*alchemist_flame_invest,0)</f>
        <v>0</v>
      </c>
      <c r="BL31" s="142"/>
      <c r="BM3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1" s="142"/>
      <c r="BR3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1" s="142"/>
      <c r="BW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1" s="61">
        <f>TblImps[[#This Row],[Login]]</f>
        <v>0</v>
      </c>
      <c r="BY31" s="137"/>
      <c r="BZ31" s="293">
        <f ca="1">OFFSET(TblImps[[#This Row],[Real time]],-1,0)+1/24</f>
        <v>46321.124999999935</v>
      </c>
      <c r="CA31" s="294">
        <f ca="1">OFFSET(TblImps[[#This Row],[Servertime]],-1,0)+1/24</f>
        <v>46321.124999999935</v>
      </c>
      <c r="CB31" s="57"/>
      <c r="CC31" s="292"/>
      <c r="CD31" s="292"/>
      <c r="CE31" s="45" t="s">
        <v>7</v>
      </c>
    </row>
    <row r="32" spans="1:85" x14ac:dyDescent="0.2">
      <c r="A32" s="214">
        <f ca="1">TblConstr[[#This Row],[Land]]</f>
        <v>50</v>
      </c>
      <c r="B32" s="142"/>
      <c r="C32" s="94">
        <f ca="1">TblProd[[#This Row],[Platinum]]</f>
        <v>151084</v>
      </c>
      <c r="D32" s="94">
        <f ca="1">TblProd[[#This Row],[Lumber]]</f>
        <v>35848</v>
      </c>
      <c r="E32" s="94">
        <f ca="1">TblProd[[#This Row],[Ore]]</f>
        <v>0</v>
      </c>
      <c r="F32" s="94">
        <f ca="1">TblProd[[#This Row],[Gems]]</f>
        <v>0</v>
      </c>
      <c r="G32" s="154"/>
      <c r="H32" s="94">
        <f ca="1">TblMili[[#This Row],[Draftees]]</f>
        <v>416</v>
      </c>
      <c r="I32" s="180">
        <f ca="1">TblPop[[#This Row],[Employment]]</f>
        <v>1</v>
      </c>
      <c r="J32" s="180">
        <f ca="1">TblPop[[#This Row],[Total]]/TblPop[[#This Row],[Net max]]</f>
        <v>1</v>
      </c>
      <c r="K32" s="283">
        <f>TblRezone[[#This Row],[Hour]]</f>
        <v>29</v>
      </c>
      <c r="L32" s="284">
        <f ca="1">TblImps[[#This Row],[Real time]]</f>
        <v>46321.166666666599</v>
      </c>
      <c r="M32" s="61">
        <f>IF(ISERROR(TblImps[[#This Row],[algorithm]]),0,TblImps[[#This Row],[algorithm]]*1)</f>
        <v>0</v>
      </c>
      <c r="N32" s="94">
        <f ca="1">TblImps[[#This Row],[Land]]</f>
        <v>50</v>
      </c>
      <c r="O32" s="285" t="s">
        <v>4</v>
      </c>
      <c r="P32" s="286"/>
      <c r="Q32" s="285" t="s">
        <v>210</v>
      </c>
      <c r="R32" s="285" t="s">
        <v>7</v>
      </c>
      <c r="S32" s="286"/>
      <c r="T32" s="285" t="s">
        <v>210</v>
      </c>
      <c r="U32" s="285" t="s">
        <v>3</v>
      </c>
      <c r="V32" s="286"/>
      <c r="W32" s="285" t="s">
        <v>210</v>
      </c>
      <c r="X32" s="142"/>
      <c r="Y32" s="287">
        <f ca="1">science_cap*(1-EXP(-TblImps[[#This Row],[Σ Science]]/(science_param*(OFFSET(TblImps[[#This Row],[Land]],1,0)-OFFSET(TblExplore[[#This Row],[Land Bonus]],1,0)*20)+15000)))*(1+(mason_bonus*TblConstr[[#This Row],[Tot Mas]]/TblConstr[[#This Row],[Land (2)]]))</f>
        <v>0</v>
      </c>
      <c r="Z32" s="287">
        <f ca="1">keep_cap*(1-EXP(-TblImps[[#This Row],[Σ Keep]]/(keep_param*(OFFSET(TblImps[[#This Row],[Land]],1,0)-OFFSET(TblExplore[[#This Row],[Land Bonus]],1,0)*20)+15000)))*(1+(mason_bonus*TblConstr[[#This Row],[Tot Mas]]/TblConstr[[#This Row],[Land (2)]]))</f>
        <v>0</v>
      </c>
      <c r="AA32" s="287">
        <f ca="1">harbor_towers_cap*(1-EXP(-TblImps[[#This Row],[Σ Spires]]/(towers_param*(OFFSET(TblImps[[#This Row],[Land]],1,0)-OFFSET(TblExplore[[#This Row],[Land Bonus]],1,0)*20)+15000)))*(1+(mason_bonus*TblConstr[[#This Row],[Tot Mas]]/TblConstr[[#This Row],[Land (2)]]))</f>
        <v>0</v>
      </c>
      <c r="AB32" s="287">
        <f ca="1">walls_forges_cap*(1-EXP(-TblImps[[#This Row],[Σ Forges]]/(walls_forges_param*(OFFSET(TblImps[[#This Row],[Land]],1,0)-OFFSET(TblExplore[[#This Row],[Land Bonus]],1,0)*20)+15000)))*(1+(mason_bonus*TblConstr[[#This Row],[Tot Mas]]/TblConstr[[#This Row],[Land (2)]]))</f>
        <v>0</v>
      </c>
      <c r="AC32" s="287">
        <f ca="1">walls_forges_cap*(1-EXP(-TblImps[[#This Row],[Σ Walls]]/(walls_forges_param*(OFFSET(TblImps[[#This Row],[Land]],1,0)-OFFSET(TblExplore[[#This Row],[Land Bonus]],1,0)*20)+15000)))*(1+(mason_bonus*TblConstr[[#This Row],[Tot Mas]]/TblConstr[[#This Row],[Land (2)]]))</f>
        <v>0</v>
      </c>
      <c r="AD32" s="287">
        <f ca="1">harbor_towers_cap*(1-EXP(-TblImps[[#This Row],[Σ Harbor]]/(harbor_towers_param*(OFFSET(TblImps[[#This Row],[Land]],1,0)-OFFSET(TblExplore[[#This Row],[Land Bonus]],1,0)*20)+15000)))*(1+(mason_bonus*TblConstr[[#This Row],[Tot Mas]]/TblConstr[[#This Row],[Land (2)]]))</f>
        <v>0</v>
      </c>
      <c r="AE32" s="142"/>
      <c r="AF32" s="61">
        <f ca="1">(1+Overview!$I$29)*SUM(TblImps[[#This Row],[P2]:[G2]])+OFFSET(TblImps[[#This Row],[Σ Science]],-1,0)</f>
        <v>0</v>
      </c>
      <c r="AG32" s="61">
        <f ca="1">(1+Overview!$I$29)*SUM(TblImps[[#This Row],[P3]:[G3]])+OFFSET(TblImps[[#This Row],[Σ Keep]],-1,0)</f>
        <v>0</v>
      </c>
      <c r="AH32" s="61">
        <f ca="1">(1+Overview!$I$29 + tech_7_1*TblTech[[#This Row],[7-1]])*SUM(TblImps[[#This Row],[P4]:[G4]])+OFFSET(TblImps[[#This Row],[Σ Spires]],-1,0)</f>
        <v>0</v>
      </c>
      <c r="AI32" s="61">
        <f ca="1">(1+Overview!$I$29)*SUM(TblImps[[#This Row],[P5]:[FW5]])+OFFSET(TblImps[[#This Row],[Σ Forges]],-1,0)</f>
        <v>0</v>
      </c>
      <c r="AJ32" s="61">
        <f ca="1">(1+Overview!$I$29)*SUM(TblImps[[#This Row],[P6]:[G6]])+OFFSET(TblImps[[#This Row],[Σ Walls]],-1,0)</f>
        <v>0</v>
      </c>
      <c r="AK32" s="61">
        <f ca="1">(1+Overview!$I$29 + tech_7_1*TblTech[[#This Row],[7-1]])*SUM(TblImps[[#This Row],[P7]:[G7]])+OFFSET(TblImps[[#This Row],[Σ Harbor]],-1,0)</f>
        <v>0</v>
      </c>
      <c r="AL32" s="142"/>
      <c r="AM32" s="57">
        <f>IF(AND(TblImps[[#This Row],[Resource]]=AM$2,TblImps[[#This Row],[Part]]&lt;&gt;""),TblImps[[#This Row],[Amount]]) + IF(AND(TblImps[[#This Row],[Resource 2]]=AM$2,TblImps[[#This Row],[Part 2]]&lt;&gt;""),TblImps[[#This Row],[Amount 2]]) + IF(AND(TblImps[[#This Row],[Resource 3]]=AM$2,TblImps[[#This Row],[Part 3]]&lt;&gt;""),TblImps[[#This Row],[Amount 3]])</f>
        <v>0</v>
      </c>
      <c r="AN32" s="57">
        <f>IF(AND(TblImps[[#This Row],[Resource]]=AN$2,TblImps[[#This Row],[Part]]&lt;&gt;""),TblImps[[#This Row],[Amount]]) + IF(AND(TblImps[[#This Row],[Resource 2]]=AN$2,TblImps[[#This Row],[Part 2]]&lt;&gt;""),TblImps[[#This Row],[Amount 2]]) + IF(AND(TblImps[[#This Row],[Resource 3]]=AN$2,TblImps[[#This Row],[Part 3]]&lt;&gt;""),TblImps[[#This Row],[Amount 3]])</f>
        <v>0</v>
      </c>
      <c r="AO32" s="57">
        <f>IF(AND(TblImps[[#This Row],[Resource]]=AO$2,TblImps[[#This Row],[Part]]&lt;&gt;""),TblImps[[#This Row],[Amount]]) + IF(AND(TblImps[[#This Row],[Resource 2]]=AO$2,TblImps[[#This Row],[Part 2]]&lt;&gt;""),TblImps[[#This Row],[Amount 2]]) + IF(AND(TblImps[[#This Row],[Resource 3]]=AO$2,TblImps[[#This Row],[Part 3]]&lt;&gt;""),TblImps[[#This Row],[Amount 3]])</f>
        <v>0</v>
      </c>
      <c r="AP32" s="57">
        <f>IF(AND(TblImps[[#This Row],[Resource]]=AP$2,TblImps[[#This Row],[Part]]&lt;&gt;""),TblImps[[#This Row],[Amount]]) + IF(AND(TblImps[[#This Row],[Resource 2]]=AP$2,TblImps[[#This Row],[Part 2]]&lt;&gt;""),TblImps[[#This Row],[Amount 2]]) + IF(AND(TblImps[[#This Row],[Resource 3]]=AP$2,TblImps[[#This Row],[Part 3]]&lt;&gt;""),TblImps[[#This Row],[Amount 3]])</f>
        <v>0</v>
      </c>
      <c r="AQ32" s="142"/>
      <c r="AR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142"/>
      <c r="AW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142"/>
      <c r="BB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142"/>
      <c r="BG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57">
        <f ca="1">IF(OFFSET(TblMagic[[#This Row],[Active Alchemists Flame]],-1,0)&gt;0,TblConstr[[#This Row],[Tot Alc]]*alchemist_flame_invest,0)</f>
        <v>0</v>
      </c>
      <c r="BL32" s="142"/>
      <c r="BM3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2" s="142"/>
      <c r="BR3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2" s="142"/>
      <c r="BW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2" s="61">
        <f>TblImps[[#This Row],[Login]]</f>
        <v>0</v>
      </c>
      <c r="BY32" s="137"/>
      <c r="BZ32" s="293">
        <f ca="1">OFFSET(TblImps[[#This Row],[Real time]],-1,0)+1/24</f>
        <v>46321.166666666599</v>
      </c>
      <c r="CA32" s="294">
        <f ca="1">OFFSET(TblImps[[#This Row],[Servertime]],-1,0)+1/24</f>
        <v>46321.166666666599</v>
      </c>
      <c r="CB32" s="57"/>
      <c r="CC32" s="292"/>
      <c r="CD32" s="292"/>
      <c r="CE32" s="45" t="s">
        <v>3</v>
      </c>
    </row>
    <row r="33" spans="1:83" x14ac:dyDescent="0.2">
      <c r="A33" s="214">
        <f ca="1">TblConstr[[#This Row],[Land]]</f>
        <v>50</v>
      </c>
      <c r="B33" s="142"/>
      <c r="C33" s="94">
        <f ca="1">TblProd[[#This Row],[Platinum]]</f>
        <v>152037</v>
      </c>
      <c r="D33" s="94">
        <f ca="1">TblProd[[#This Row],[Lumber]]</f>
        <v>36490</v>
      </c>
      <c r="E33" s="94">
        <f ca="1">TblProd[[#This Row],[Ore]]</f>
        <v>0</v>
      </c>
      <c r="F33" s="94">
        <f ca="1">TblProd[[#This Row],[Gems]]</f>
        <v>0</v>
      </c>
      <c r="G33" s="154"/>
      <c r="H33" s="94">
        <f ca="1">TblMili[[#This Row],[Draftees]]</f>
        <v>420</v>
      </c>
      <c r="I33" s="180">
        <f ca="1">TblPop[[#This Row],[Employment]]</f>
        <v>1</v>
      </c>
      <c r="J33" s="180">
        <f ca="1">TblPop[[#This Row],[Total]]/TblPop[[#This Row],[Net max]]</f>
        <v>1</v>
      </c>
      <c r="K33" s="283">
        <f>TblRezone[[#This Row],[Hour]]</f>
        <v>30</v>
      </c>
      <c r="L33" s="284">
        <f ca="1">TblImps[[#This Row],[Real time]]</f>
        <v>46321.208333333263</v>
      </c>
      <c r="M33" s="61">
        <f>IF(ISERROR(TblImps[[#This Row],[algorithm]]),0,TblImps[[#This Row],[algorithm]]*1)</f>
        <v>0</v>
      </c>
      <c r="N33" s="94">
        <f ca="1">TblImps[[#This Row],[Land]]</f>
        <v>50</v>
      </c>
      <c r="O33" s="285" t="s">
        <v>4</v>
      </c>
      <c r="P33" s="286"/>
      <c r="Q33" s="285" t="s">
        <v>210</v>
      </c>
      <c r="R33" s="285" t="s">
        <v>7</v>
      </c>
      <c r="S33" s="286"/>
      <c r="T33" s="285" t="s">
        <v>210</v>
      </c>
      <c r="U33" s="285" t="s">
        <v>3</v>
      </c>
      <c r="V33" s="286"/>
      <c r="W33" s="285" t="s">
        <v>210</v>
      </c>
      <c r="X33" s="142"/>
      <c r="Y33" s="287">
        <f ca="1">science_cap*(1-EXP(-TblImps[[#This Row],[Σ Science]]/(science_param*(OFFSET(TblImps[[#This Row],[Land]],1,0)-OFFSET(TblExplore[[#This Row],[Land Bonus]],1,0)*20)+15000)))*(1+(mason_bonus*TblConstr[[#This Row],[Tot Mas]]/TblConstr[[#This Row],[Land (2)]]))</f>
        <v>0</v>
      </c>
      <c r="Z33" s="287">
        <f ca="1">keep_cap*(1-EXP(-TblImps[[#This Row],[Σ Keep]]/(keep_param*(OFFSET(TblImps[[#This Row],[Land]],1,0)-OFFSET(TblExplore[[#This Row],[Land Bonus]],1,0)*20)+15000)))*(1+(mason_bonus*TblConstr[[#This Row],[Tot Mas]]/TblConstr[[#This Row],[Land (2)]]))</f>
        <v>0</v>
      </c>
      <c r="AA33" s="287">
        <f ca="1">harbor_towers_cap*(1-EXP(-TblImps[[#This Row],[Σ Spires]]/(towers_param*(OFFSET(TblImps[[#This Row],[Land]],1,0)-OFFSET(TblExplore[[#This Row],[Land Bonus]],1,0)*20)+15000)))*(1+(mason_bonus*TblConstr[[#This Row],[Tot Mas]]/TblConstr[[#This Row],[Land (2)]]))</f>
        <v>0</v>
      </c>
      <c r="AB33" s="287">
        <f ca="1">walls_forges_cap*(1-EXP(-TblImps[[#This Row],[Σ Forges]]/(walls_forges_param*(OFFSET(TblImps[[#This Row],[Land]],1,0)-OFFSET(TblExplore[[#This Row],[Land Bonus]],1,0)*20)+15000)))*(1+(mason_bonus*TblConstr[[#This Row],[Tot Mas]]/TblConstr[[#This Row],[Land (2)]]))</f>
        <v>0</v>
      </c>
      <c r="AC33" s="287">
        <f ca="1">walls_forges_cap*(1-EXP(-TblImps[[#This Row],[Σ Walls]]/(walls_forges_param*(OFFSET(TblImps[[#This Row],[Land]],1,0)-OFFSET(TblExplore[[#This Row],[Land Bonus]],1,0)*20)+15000)))*(1+(mason_bonus*TblConstr[[#This Row],[Tot Mas]]/TblConstr[[#This Row],[Land (2)]]))</f>
        <v>0</v>
      </c>
      <c r="AD33" s="287">
        <f ca="1">harbor_towers_cap*(1-EXP(-TblImps[[#This Row],[Σ Harbor]]/(harbor_towers_param*(OFFSET(TblImps[[#This Row],[Land]],1,0)-OFFSET(TblExplore[[#This Row],[Land Bonus]],1,0)*20)+15000)))*(1+(mason_bonus*TblConstr[[#This Row],[Tot Mas]]/TblConstr[[#This Row],[Land (2)]]))</f>
        <v>0</v>
      </c>
      <c r="AE33" s="142"/>
      <c r="AF33" s="61">
        <f ca="1">(1+Overview!$I$29)*SUM(TblImps[[#This Row],[P2]:[G2]])+OFFSET(TblImps[[#This Row],[Σ Science]],-1,0)</f>
        <v>0</v>
      </c>
      <c r="AG33" s="61">
        <f ca="1">(1+Overview!$I$29)*SUM(TblImps[[#This Row],[P3]:[G3]])+OFFSET(TblImps[[#This Row],[Σ Keep]],-1,0)</f>
        <v>0</v>
      </c>
      <c r="AH33" s="61">
        <f ca="1">(1+Overview!$I$29 + tech_7_1*TblTech[[#This Row],[7-1]])*SUM(TblImps[[#This Row],[P4]:[G4]])+OFFSET(TblImps[[#This Row],[Σ Spires]],-1,0)</f>
        <v>0</v>
      </c>
      <c r="AI33" s="61">
        <f ca="1">(1+Overview!$I$29)*SUM(TblImps[[#This Row],[P5]:[FW5]])+OFFSET(TblImps[[#This Row],[Σ Forges]],-1,0)</f>
        <v>0</v>
      </c>
      <c r="AJ33" s="61">
        <f ca="1">(1+Overview!$I$29)*SUM(TblImps[[#This Row],[P6]:[G6]])+OFFSET(TblImps[[#This Row],[Σ Walls]],-1,0)</f>
        <v>0</v>
      </c>
      <c r="AK33" s="61">
        <f ca="1">(1+Overview!$I$29 + tech_7_1*TblTech[[#This Row],[7-1]])*SUM(TblImps[[#This Row],[P7]:[G7]])+OFFSET(TblImps[[#This Row],[Σ Harbor]],-1,0)</f>
        <v>0</v>
      </c>
      <c r="AL33" s="142"/>
      <c r="AM33" s="57">
        <f>IF(AND(TblImps[[#This Row],[Resource]]=AM$2,TblImps[[#This Row],[Part]]&lt;&gt;""),TblImps[[#This Row],[Amount]]) + IF(AND(TblImps[[#This Row],[Resource 2]]=AM$2,TblImps[[#This Row],[Part 2]]&lt;&gt;""),TblImps[[#This Row],[Amount 2]]) + IF(AND(TblImps[[#This Row],[Resource 3]]=AM$2,TblImps[[#This Row],[Part 3]]&lt;&gt;""),TblImps[[#This Row],[Amount 3]])</f>
        <v>0</v>
      </c>
      <c r="AN33" s="57">
        <f>IF(AND(TblImps[[#This Row],[Resource]]=AN$2,TblImps[[#This Row],[Part]]&lt;&gt;""),TblImps[[#This Row],[Amount]]) + IF(AND(TblImps[[#This Row],[Resource 2]]=AN$2,TblImps[[#This Row],[Part 2]]&lt;&gt;""),TblImps[[#This Row],[Amount 2]]) + IF(AND(TblImps[[#This Row],[Resource 3]]=AN$2,TblImps[[#This Row],[Part 3]]&lt;&gt;""),TblImps[[#This Row],[Amount 3]])</f>
        <v>0</v>
      </c>
      <c r="AO33" s="57">
        <f>IF(AND(TblImps[[#This Row],[Resource]]=AO$2,TblImps[[#This Row],[Part]]&lt;&gt;""),TblImps[[#This Row],[Amount]]) + IF(AND(TblImps[[#This Row],[Resource 2]]=AO$2,TblImps[[#This Row],[Part 2]]&lt;&gt;""),TblImps[[#This Row],[Amount 2]]) + IF(AND(TblImps[[#This Row],[Resource 3]]=AO$2,TblImps[[#This Row],[Part 3]]&lt;&gt;""),TblImps[[#This Row],[Amount 3]])</f>
        <v>0</v>
      </c>
      <c r="AP33" s="57">
        <f>IF(AND(TblImps[[#This Row],[Resource]]=AP$2,TblImps[[#This Row],[Part]]&lt;&gt;""),TblImps[[#This Row],[Amount]]) + IF(AND(TblImps[[#This Row],[Resource 2]]=AP$2,TblImps[[#This Row],[Part 2]]&lt;&gt;""),TblImps[[#This Row],[Amount 2]]) + IF(AND(TblImps[[#This Row],[Resource 3]]=AP$2,TblImps[[#This Row],[Part 3]]&lt;&gt;""),TblImps[[#This Row],[Amount 3]])</f>
        <v>0</v>
      </c>
      <c r="AQ33" s="142"/>
      <c r="AR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142"/>
      <c r="AW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142"/>
      <c r="BB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142"/>
      <c r="BG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57">
        <f ca="1">IF(OFFSET(TblMagic[[#This Row],[Active Alchemists Flame]],-1,0)&gt;0,TblConstr[[#This Row],[Tot Alc]]*alchemist_flame_invest,0)</f>
        <v>0</v>
      </c>
      <c r="BL33" s="142"/>
      <c r="BM3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3" s="142"/>
      <c r="BR3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3" s="142"/>
      <c r="BW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3" s="61">
        <f>TblImps[[#This Row],[Login]]</f>
        <v>0</v>
      </c>
      <c r="BY33" s="137"/>
      <c r="BZ33" s="293">
        <f ca="1">OFFSET(TblImps[[#This Row],[Real time]],-1,0)+1/24</f>
        <v>46321.208333333263</v>
      </c>
      <c r="CA33" s="294">
        <f ca="1">OFFSET(TblImps[[#This Row],[Servertime]],-1,0)+1/24</f>
        <v>46321.208333333263</v>
      </c>
      <c r="CB33" s="57"/>
      <c r="CC33" s="292"/>
      <c r="CD33" s="292"/>
      <c r="CE33" s="45" t="s">
        <v>2</v>
      </c>
    </row>
    <row r="34" spans="1:83" x14ac:dyDescent="0.2">
      <c r="A34" s="214">
        <f ca="1">TblConstr[[#This Row],[Land]]</f>
        <v>50</v>
      </c>
      <c r="B34" s="142"/>
      <c r="C34" s="94">
        <f ca="1">TblProd[[#This Row],[Platinum]]</f>
        <v>152979</v>
      </c>
      <c r="D34" s="94">
        <f ca="1">TblProd[[#This Row],[Lumber]]</f>
        <v>37125</v>
      </c>
      <c r="E34" s="94">
        <f ca="1">TblProd[[#This Row],[Ore]]</f>
        <v>0</v>
      </c>
      <c r="F34" s="94">
        <f ca="1">TblProd[[#This Row],[Gems]]</f>
        <v>0</v>
      </c>
      <c r="G34" s="154"/>
      <c r="H34" s="94">
        <f ca="1">TblMili[[#This Row],[Draftees]]</f>
        <v>423</v>
      </c>
      <c r="I34" s="180">
        <f ca="1">TblPop[[#This Row],[Employment]]</f>
        <v>1</v>
      </c>
      <c r="J34" s="180">
        <f ca="1">TblPop[[#This Row],[Total]]/TblPop[[#This Row],[Net max]]</f>
        <v>1</v>
      </c>
      <c r="K34" s="283">
        <f>TblRezone[[#This Row],[Hour]]</f>
        <v>31</v>
      </c>
      <c r="L34" s="284">
        <f ca="1">TblImps[[#This Row],[Real time]]</f>
        <v>46321.249999999927</v>
      </c>
      <c r="M34" s="61">
        <f>IF(ISERROR(TblImps[[#This Row],[algorithm]]),0,TblImps[[#This Row],[algorithm]]*1)</f>
        <v>0</v>
      </c>
      <c r="N34" s="94">
        <f ca="1">TblImps[[#This Row],[Land]]</f>
        <v>50</v>
      </c>
      <c r="O34" s="285" t="s">
        <v>4</v>
      </c>
      <c r="P34" s="286"/>
      <c r="Q34" s="285" t="s">
        <v>210</v>
      </c>
      <c r="R34" s="285" t="s">
        <v>7</v>
      </c>
      <c r="S34" s="286"/>
      <c r="T34" s="285" t="s">
        <v>210</v>
      </c>
      <c r="U34" s="285" t="s">
        <v>3</v>
      </c>
      <c r="V34" s="286"/>
      <c r="W34" s="285" t="s">
        <v>210</v>
      </c>
      <c r="X34" s="142"/>
      <c r="Y34" s="287">
        <f ca="1">science_cap*(1-EXP(-TblImps[[#This Row],[Σ Science]]/(science_param*(OFFSET(TblImps[[#This Row],[Land]],1,0)-OFFSET(TblExplore[[#This Row],[Land Bonus]],1,0)*20)+15000)))*(1+(mason_bonus*TblConstr[[#This Row],[Tot Mas]]/TblConstr[[#This Row],[Land (2)]]))</f>
        <v>0</v>
      </c>
      <c r="Z34" s="287">
        <f ca="1">keep_cap*(1-EXP(-TblImps[[#This Row],[Σ Keep]]/(keep_param*(OFFSET(TblImps[[#This Row],[Land]],1,0)-OFFSET(TblExplore[[#This Row],[Land Bonus]],1,0)*20)+15000)))*(1+(mason_bonus*TblConstr[[#This Row],[Tot Mas]]/TblConstr[[#This Row],[Land (2)]]))</f>
        <v>0</v>
      </c>
      <c r="AA34" s="287">
        <f ca="1">harbor_towers_cap*(1-EXP(-TblImps[[#This Row],[Σ Spires]]/(towers_param*(OFFSET(TblImps[[#This Row],[Land]],1,0)-OFFSET(TblExplore[[#This Row],[Land Bonus]],1,0)*20)+15000)))*(1+(mason_bonus*TblConstr[[#This Row],[Tot Mas]]/TblConstr[[#This Row],[Land (2)]]))</f>
        <v>0</v>
      </c>
      <c r="AB34" s="287">
        <f ca="1">walls_forges_cap*(1-EXP(-TblImps[[#This Row],[Σ Forges]]/(walls_forges_param*(OFFSET(TblImps[[#This Row],[Land]],1,0)-OFFSET(TblExplore[[#This Row],[Land Bonus]],1,0)*20)+15000)))*(1+(mason_bonus*TblConstr[[#This Row],[Tot Mas]]/TblConstr[[#This Row],[Land (2)]]))</f>
        <v>0</v>
      </c>
      <c r="AC34" s="287">
        <f ca="1">walls_forges_cap*(1-EXP(-TblImps[[#This Row],[Σ Walls]]/(walls_forges_param*(OFFSET(TblImps[[#This Row],[Land]],1,0)-OFFSET(TblExplore[[#This Row],[Land Bonus]],1,0)*20)+15000)))*(1+(mason_bonus*TblConstr[[#This Row],[Tot Mas]]/TblConstr[[#This Row],[Land (2)]]))</f>
        <v>0</v>
      </c>
      <c r="AD34" s="287">
        <f ca="1">harbor_towers_cap*(1-EXP(-TblImps[[#This Row],[Σ Harbor]]/(harbor_towers_param*(OFFSET(TblImps[[#This Row],[Land]],1,0)-OFFSET(TblExplore[[#This Row],[Land Bonus]],1,0)*20)+15000)))*(1+(mason_bonus*TblConstr[[#This Row],[Tot Mas]]/TblConstr[[#This Row],[Land (2)]]))</f>
        <v>0</v>
      </c>
      <c r="AE34" s="142"/>
      <c r="AF34" s="61">
        <f ca="1">(1+Overview!$I$29)*SUM(TblImps[[#This Row],[P2]:[G2]])+OFFSET(TblImps[[#This Row],[Σ Science]],-1,0)</f>
        <v>0</v>
      </c>
      <c r="AG34" s="61">
        <f ca="1">(1+Overview!$I$29)*SUM(TblImps[[#This Row],[P3]:[G3]])+OFFSET(TblImps[[#This Row],[Σ Keep]],-1,0)</f>
        <v>0</v>
      </c>
      <c r="AH34" s="61">
        <f ca="1">(1+Overview!$I$29 + tech_7_1*TblTech[[#This Row],[7-1]])*SUM(TblImps[[#This Row],[P4]:[G4]])+OFFSET(TblImps[[#This Row],[Σ Spires]],-1,0)</f>
        <v>0</v>
      </c>
      <c r="AI34" s="61">
        <f ca="1">(1+Overview!$I$29)*SUM(TblImps[[#This Row],[P5]:[FW5]])+OFFSET(TblImps[[#This Row],[Σ Forges]],-1,0)</f>
        <v>0</v>
      </c>
      <c r="AJ34" s="61">
        <f ca="1">(1+Overview!$I$29)*SUM(TblImps[[#This Row],[P6]:[G6]])+OFFSET(TblImps[[#This Row],[Σ Walls]],-1,0)</f>
        <v>0</v>
      </c>
      <c r="AK34" s="61">
        <f ca="1">(1+Overview!$I$29 + tech_7_1*TblTech[[#This Row],[7-1]])*SUM(TblImps[[#This Row],[P7]:[G7]])+OFFSET(TblImps[[#This Row],[Σ Harbor]],-1,0)</f>
        <v>0</v>
      </c>
      <c r="AL34" s="142"/>
      <c r="AM34" s="57">
        <f>IF(AND(TblImps[[#This Row],[Resource]]=AM$2,TblImps[[#This Row],[Part]]&lt;&gt;""),TblImps[[#This Row],[Amount]]) + IF(AND(TblImps[[#This Row],[Resource 2]]=AM$2,TblImps[[#This Row],[Part 2]]&lt;&gt;""),TblImps[[#This Row],[Amount 2]]) + IF(AND(TblImps[[#This Row],[Resource 3]]=AM$2,TblImps[[#This Row],[Part 3]]&lt;&gt;""),TblImps[[#This Row],[Amount 3]])</f>
        <v>0</v>
      </c>
      <c r="AN34" s="57">
        <f>IF(AND(TblImps[[#This Row],[Resource]]=AN$2,TblImps[[#This Row],[Part]]&lt;&gt;""),TblImps[[#This Row],[Amount]]) + IF(AND(TblImps[[#This Row],[Resource 2]]=AN$2,TblImps[[#This Row],[Part 2]]&lt;&gt;""),TblImps[[#This Row],[Amount 2]]) + IF(AND(TblImps[[#This Row],[Resource 3]]=AN$2,TblImps[[#This Row],[Part 3]]&lt;&gt;""),TblImps[[#This Row],[Amount 3]])</f>
        <v>0</v>
      </c>
      <c r="AO34" s="57">
        <f>IF(AND(TblImps[[#This Row],[Resource]]=AO$2,TblImps[[#This Row],[Part]]&lt;&gt;""),TblImps[[#This Row],[Amount]]) + IF(AND(TblImps[[#This Row],[Resource 2]]=AO$2,TblImps[[#This Row],[Part 2]]&lt;&gt;""),TblImps[[#This Row],[Amount 2]]) + IF(AND(TblImps[[#This Row],[Resource 3]]=AO$2,TblImps[[#This Row],[Part 3]]&lt;&gt;""),TblImps[[#This Row],[Amount 3]])</f>
        <v>0</v>
      </c>
      <c r="AP34" s="57">
        <f>IF(AND(TblImps[[#This Row],[Resource]]=AP$2,TblImps[[#This Row],[Part]]&lt;&gt;""),TblImps[[#This Row],[Amount]]) + IF(AND(TblImps[[#This Row],[Resource 2]]=AP$2,TblImps[[#This Row],[Part 2]]&lt;&gt;""),TblImps[[#This Row],[Amount 2]]) + IF(AND(TblImps[[#This Row],[Resource 3]]=AP$2,TblImps[[#This Row],[Part 3]]&lt;&gt;""),TblImps[[#This Row],[Amount 3]])</f>
        <v>0</v>
      </c>
      <c r="AQ34" s="142"/>
      <c r="AR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142"/>
      <c r="AW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142"/>
      <c r="BB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142"/>
      <c r="BG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57">
        <f ca="1">IF(OFFSET(TblMagic[[#This Row],[Active Alchemists Flame]],-1,0)&gt;0,TblConstr[[#This Row],[Tot Alc]]*alchemist_flame_invest,0)</f>
        <v>0</v>
      </c>
      <c r="BL34" s="142"/>
      <c r="BM3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4" s="142"/>
      <c r="BR3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4" s="142"/>
      <c r="BW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4" s="61">
        <f>TblImps[[#This Row],[Login]]</f>
        <v>0</v>
      </c>
      <c r="BY34" s="137"/>
      <c r="BZ34" s="293">
        <f ca="1">OFFSET(TblImps[[#This Row],[Real time]],-1,0)+1/24</f>
        <v>46321.249999999927</v>
      </c>
      <c r="CA34" s="294">
        <f ca="1">OFFSET(TblImps[[#This Row],[Servertime]],-1,0)+1/24</f>
        <v>46321.249999999927</v>
      </c>
      <c r="CB34" s="57"/>
      <c r="CC34" s="292"/>
      <c r="CD34" s="292"/>
    </row>
    <row r="35" spans="1:83" x14ac:dyDescent="0.2">
      <c r="A35" s="214">
        <f ca="1">TblConstr[[#This Row],[Land]]</f>
        <v>50</v>
      </c>
      <c r="B35" s="142"/>
      <c r="C35" s="94">
        <f ca="1">TblProd[[#This Row],[Platinum]]</f>
        <v>153913</v>
      </c>
      <c r="D35" s="94">
        <f ca="1">TblProd[[#This Row],[Lumber]]</f>
        <v>37754</v>
      </c>
      <c r="E35" s="94">
        <f ca="1">TblProd[[#This Row],[Ore]]</f>
        <v>0</v>
      </c>
      <c r="F35" s="94">
        <f ca="1">TblProd[[#This Row],[Gems]]</f>
        <v>0</v>
      </c>
      <c r="G35" s="154"/>
      <c r="H35" s="94">
        <f ca="1">TblMili[[#This Row],[Draftees]]</f>
        <v>426</v>
      </c>
      <c r="I35" s="180">
        <f ca="1">TblPop[[#This Row],[Employment]]</f>
        <v>1</v>
      </c>
      <c r="J35" s="180">
        <f ca="1">TblPop[[#This Row],[Total]]/TblPop[[#This Row],[Net max]]</f>
        <v>1</v>
      </c>
      <c r="K35" s="283">
        <f>TblRezone[[#This Row],[Hour]]</f>
        <v>32</v>
      </c>
      <c r="L35" s="284">
        <f ca="1">TblImps[[#This Row],[Real time]]</f>
        <v>46321.291666666591</v>
      </c>
      <c r="M35" s="61">
        <f>IF(ISERROR(TblImps[[#This Row],[algorithm]]),0,TblImps[[#This Row],[algorithm]]*1)</f>
        <v>0</v>
      </c>
      <c r="N35" s="94">
        <f ca="1">TblImps[[#This Row],[Land]]</f>
        <v>50</v>
      </c>
      <c r="O35" s="285" t="s">
        <v>4</v>
      </c>
      <c r="P35" s="286"/>
      <c r="Q35" s="285" t="s">
        <v>210</v>
      </c>
      <c r="R35" s="285" t="s">
        <v>7</v>
      </c>
      <c r="S35" s="286"/>
      <c r="T35" s="285" t="s">
        <v>210</v>
      </c>
      <c r="U35" s="285" t="s">
        <v>3</v>
      </c>
      <c r="V35" s="286"/>
      <c r="W35" s="285" t="s">
        <v>210</v>
      </c>
      <c r="X35" s="142"/>
      <c r="Y35" s="287">
        <f ca="1">science_cap*(1-EXP(-TblImps[[#This Row],[Σ Science]]/(science_param*(OFFSET(TblImps[[#This Row],[Land]],1,0)-OFFSET(TblExplore[[#This Row],[Land Bonus]],1,0)*20)+15000)))*(1+(mason_bonus*TblConstr[[#This Row],[Tot Mas]]/TblConstr[[#This Row],[Land (2)]]))</f>
        <v>0</v>
      </c>
      <c r="Z35" s="287">
        <f ca="1">keep_cap*(1-EXP(-TblImps[[#This Row],[Σ Keep]]/(keep_param*(OFFSET(TblImps[[#This Row],[Land]],1,0)-OFFSET(TblExplore[[#This Row],[Land Bonus]],1,0)*20)+15000)))*(1+(mason_bonus*TblConstr[[#This Row],[Tot Mas]]/TblConstr[[#This Row],[Land (2)]]))</f>
        <v>0</v>
      </c>
      <c r="AA35" s="287">
        <f ca="1">harbor_towers_cap*(1-EXP(-TblImps[[#This Row],[Σ Spires]]/(towers_param*(OFFSET(TblImps[[#This Row],[Land]],1,0)-OFFSET(TblExplore[[#This Row],[Land Bonus]],1,0)*20)+15000)))*(1+(mason_bonus*TblConstr[[#This Row],[Tot Mas]]/TblConstr[[#This Row],[Land (2)]]))</f>
        <v>0</v>
      </c>
      <c r="AB35" s="287">
        <f ca="1">walls_forges_cap*(1-EXP(-TblImps[[#This Row],[Σ Forges]]/(walls_forges_param*(OFFSET(TblImps[[#This Row],[Land]],1,0)-OFFSET(TblExplore[[#This Row],[Land Bonus]],1,0)*20)+15000)))*(1+(mason_bonus*TblConstr[[#This Row],[Tot Mas]]/TblConstr[[#This Row],[Land (2)]]))</f>
        <v>0</v>
      </c>
      <c r="AC35" s="287">
        <f ca="1">walls_forges_cap*(1-EXP(-TblImps[[#This Row],[Σ Walls]]/(walls_forges_param*(OFFSET(TblImps[[#This Row],[Land]],1,0)-OFFSET(TblExplore[[#This Row],[Land Bonus]],1,0)*20)+15000)))*(1+(mason_bonus*TblConstr[[#This Row],[Tot Mas]]/TblConstr[[#This Row],[Land (2)]]))</f>
        <v>0</v>
      </c>
      <c r="AD35" s="287">
        <f ca="1">harbor_towers_cap*(1-EXP(-TblImps[[#This Row],[Σ Harbor]]/(harbor_towers_param*(OFFSET(TblImps[[#This Row],[Land]],1,0)-OFFSET(TblExplore[[#This Row],[Land Bonus]],1,0)*20)+15000)))*(1+(mason_bonus*TblConstr[[#This Row],[Tot Mas]]/TblConstr[[#This Row],[Land (2)]]))</f>
        <v>0</v>
      </c>
      <c r="AE35" s="142"/>
      <c r="AF35" s="61">
        <f ca="1">(1+Overview!$I$29)*SUM(TblImps[[#This Row],[P2]:[G2]])+OFFSET(TblImps[[#This Row],[Σ Science]],-1,0)</f>
        <v>0</v>
      </c>
      <c r="AG35" s="61">
        <f ca="1">(1+Overview!$I$29)*SUM(TblImps[[#This Row],[P3]:[G3]])+OFFSET(TblImps[[#This Row],[Σ Keep]],-1,0)</f>
        <v>0</v>
      </c>
      <c r="AH35" s="61">
        <f ca="1">(1+Overview!$I$29 + tech_7_1*TblTech[[#This Row],[7-1]])*SUM(TblImps[[#This Row],[P4]:[G4]])+OFFSET(TblImps[[#This Row],[Σ Spires]],-1,0)</f>
        <v>0</v>
      </c>
      <c r="AI35" s="61">
        <f ca="1">(1+Overview!$I$29)*SUM(TblImps[[#This Row],[P5]:[FW5]])+OFFSET(TblImps[[#This Row],[Σ Forges]],-1,0)</f>
        <v>0</v>
      </c>
      <c r="AJ35" s="61">
        <f ca="1">(1+Overview!$I$29)*SUM(TblImps[[#This Row],[P6]:[G6]])+OFFSET(TblImps[[#This Row],[Σ Walls]],-1,0)</f>
        <v>0</v>
      </c>
      <c r="AK35" s="61">
        <f ca="1">(1+Overview!$I$29 + tech_7_1*TblTech[[#This Row],[7-1]])*SUM(TblImps[[#This Row],[P7]:[G7]])+OFFSET(TblImps[[#This Row],[Σ Harbor]],-1,0)</f>
        <v>0</v>
      </c>
      <c r="AL35" s="142"/>
      <c r="AM35" s="57">
        <f>IF(AND(TblImps[[#This Row],[Resource]]=AM$2,TblImps[[#This Row],[Part]]&lt;&gt;""),TblImps[[#This Row],[Amount]]) + IF(AND(TblImps[[#This Row],[Resource 2]]=AM$2,TblImps[[#This Row],[Part 2]]&lt;&gt;""),TblImps[[#This Row],[Amount 2]]) + IF(AND(TblImps[[#This Row],[Resource 3]]=AM$2,TblImps[[#This Row],[Part 3]]&lt;&gt;""),TblImps[[#This Row],[Amount 3]])</f>
        <v>0</v>
      </c>
      <c r="AN35" s="57">
        <f>IF(AND(TblImps[[#This Row],[Resource]]=AN$2,TblImps[[#This Row],[Part]]&lt;&gt;""),TblImps[[#This Row],[Amount]]) + IF(AND(TblImps[[#This Row],[Resource 2]]=AN$2,TblImps[[#This Row],[Part 2]]&lt;&gt;""),TblImps[[#This Row],[Amount 2]]) + IF(AND(TblImps[[#This Row],[Resource 3]]=AN$2,TblImps[[#This Row],[Part 3]]&lt;&gt;""),TblImps[[#This Row],[Amount 3]])</f>
        <v>0</v>
      </c>
      <c r="AO35" s="57">
        <f>IF(AND(TblImps[[#This Row],[Resource]]=AO$2,TblImps[[#This Row],[Part]]&lt;&gt;""),TblImps[[#This Row],[Amount]]) + IF(AND(TblImps[[#This Row],[Resource 2]]=AO$2,TblImps[[#This Row],[Part 2]]&lt;&gt;""),TblImps[[#This Row],[Amount 2]]) + IF(AND(TblImps[[#This Row],[Resource 3]]=AO$2,TblImps[[#This Row],[Part 3]]&lt;&gt;""),TblImps[[#This Row],[Amount 3]])</f>
        <v>0</v>
      </c>
      <c r="AP35" s="57">
        <f>IF(AND(TblImps[[#This Row],[Resource]]=AP$2,TblImps[[#This Row],[Part]]&lt;&gt;""),TblImps[[#This Row],[Amount]]) + IF(AND(TblImps[[#This Row],[Resource 2]]=AP$2,TblImps[[#This Row],[Part 2]]&lt;&gt;""),TblImps[[#This Row],[Amount 2]]) + IF(AND(TblImps[[#This Row],[Resource 3]]=AP$2,TblImps[[#This Row],[Part 3]]&lt;&gt;""),TblImps[[#This Row],[Amount 3]])</f>
        <v>0</v>
      </c>
      <c r="AQ35" s="142"/>
      <c r="AR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142"/>
      <c r="AW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142"/>
      <c r="BB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142"/>
      <c r="BG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57">
        <f ca="1">IF(OFFSET(TblMagic[[#This Row],[Active Alchemists Flame]],-1,0)&gt;0,TblConstr[[#This Row],[Tot Alc]]*alchemist_flame_invest,0)</f>
        <v>0</v>
      </c>
      <c r="BL35" s="142"/>
      <c r="BM3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5" s="142"/>
      <c r="BR3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5" s="142"/>
      <c r="BW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5" s="61">
        <f>TblImps[[#This Row],[Login]]</f>
        <v>0</v>
      </c>
      <c r="BY35" s="137"/>
      <c r="BZ35" s="293">
        <f ca="1">OFFSET(TblImps[[#This Row],[Real time]],-1,0)+1/24</f>
        <v>46321.291666666591</v>
      </c>
      <c r="CA35" s="294">
        <f ca="1">OFFSET(TblImps[[#This Row],[Servertime]],-1,0)+1/24</f>
        <v>46321.291666666591</v>
      </c>
      <c r="CB35" s="57"/>
      <c r="CC35" s="292"/>
      <c r="CD35" s="292"/>
      <c r="CE35" s="45" t="s">
        <v>208</v>
      </c>
    </row>
    <row r="36" spans="1:83" x14ac:dyDescent="0.2">
      <c r="A36" s="214">
        <f ca="1">TblConstr[[#This Row],[Land]]</f>
        <v>50</v>
      </c>
      <c r="B36" s="142"/>
      <c r="C36" s="94">
        <f ca="1">TblProd[[#This Row],[Platinum]]</f>
        <v>154839</v>
      </c>
      <c r="D36" s="94">
        <f ca="1">TblProd[[#This Row],[Lumber]]</f>
        <v>38376</v>
      </c>
      <c r="E36" s="94">
        <f ca="1">TblProd[[#This Row],[Ore]]</f>
        <v>0</v>
      </c>
      <c r="F36" s="94">
        <f ca="1">TblProd[[#This Row],[Gems]]</f>
        <v>0</v>
      </c>
      <c r="G36" s="154"/>
      <c r="H36" s="94">
        <f ca="1">TblMili[[#This Row],[Draftees]]</f>
        <v>429</v>
      </c>
      <c r="I36" s="180">
        <f ca="1">TblPop[[#This Row],[Employment]]</f>
        <v>1</v>
      </c>
      <c r="J36" s="180">
        <f ca="1">TblPop[[#This Row],[Total]]/TblPop[[#This Row],[Net max]]</f>
        <v>1</v>
      </c>
      <c r="K36" s="283">
        <f>TblRezone[[#This Row],[Hour]]</f>
        <v>33</v>
      </c>
      <c r="L36" s="284">
        <f ca="1">TblImps[[#This Row],[Real time]]</f>
        <v>46321.333333333256</v>
      </c>
      <c r="M36" s="61">
        <f>IF(ISERROR(TblImps[[#This Row],[algorithm]]),0,TblImps[[#This Row],[algorithm]]*1)</f>
        <v>0</v>
      </c>
      <c r="N36" s="94">
        <f ca="1">TblImps[[#This Row],[Land]]</f>
        <v>50</v>
      </c>
      <c r="O36" s="285" t="s">
        <v>4</v>
      </c>
      <c r="P36" s="286"/>
      <c r="Q36" s="285" t="s">
        <v>210</v>
      </c>
      <c r="R36" s="285" t="s">
        <v>7</v>
      </c>
      <c r="S36" s="286"/>
      <c r="T36" s="285" t="s">
        <v>210</v>
      </c>
      <c r="U36" s="285" t="s">
        <v>3</v>
      </c>
      <c r="V36" s="286"/>
      <c r="W36" s="285" t="s">
        <v>210</v>
      </c>
      <c r="X36" s="142"/>
      <c r="Y36" s="287">
        <f ca="1">science_cap*(1-EXP(-TblImps[[#This Row],[Σ Science]]/(science_param*(OFFSET(TblImps[[#This Row],[Land]],1,0)-OFFSET(TblExplore[[#This Row],[Land Bonus]],1,0)*20)+15000)))*(1+(mason_bonus*TblConstr[[#This Row],[Tot Mas]]/TblConstr[[#This Row],[Land (2)]]))</f>
        <v>0</v>
      </c>
      <c r="Z36" s="287">
        <f ca="1">keep_cap*(1-EXP(-TblImps[[#This Row],[Σ Keep]]/(keep_param*(OFFSET(TblImps[[#This Row],[Land]],1,0)-OFFSET(TblExplore[[#This Row],[Land Bonus]],1,0)*20)+15000)))*(1+(mason_bonus*TblConstr[[#This Row],[Tot Mas]]/TblConstr[[#This Row],[Land (2)]]))</f>
        <v>0</v>
      </c>
      <c r="AA36" s="287">
        <f ca="1">harbor_towers_cap*(1-EXP(-TblImps[[#This Row],[Σ Spires]]/(towers_param*(OFFSET(TblImps[[#This Row],[Land]],1,0)-OFFSET(TblExplore[[#This Row],[Land Bonus]],1,0)*20)+15000)))*(1+(mason_bonus*TblConstr[[#This Row],[Tot Mas]]/TblConstr[[#This Row],[Land (2)]]))</f>
        <v>0</v>
      </c>
      <c r="AB36" s="287">
        <f ca="1">walls_forges_cap*(1-EXP(-TblImps[[#This Row],[Σ Forges]]/(walls_forges_param*(OFFSET(TblImps[[#This Row],[Land]],1,0)-OFFSET(TblExplore[[#This Row],[Land Bonus]],1,0)*20)+15000)))*(1+(mason_bonus*TblConstr[[#This Row],[Tot Mas]]/TblConstr[[#This Row],[Land (2)]]))</f>
        <v>0</v>
      </c>
      <c r="AC36" s="287">
        <f ca="1">walls_forges_cap*(1-EXP(-TblImps[[#This Row],[Σ Walls]]/(walls_forges_param*(OFFSET(TblImps[[#This Row],[Land]],1,0)-OFFSET(TblExplore[[#This Row],[Land Bonus]],1,0)*20)+15000)))*(1+(mason_bonus*TblConstr[[#This Row],[Tot Mas]]/TblConstr[[#This Row],[Land (2)]]))</f>
        <v>0</v>
      </c>
      <c r="AD36" s="287">
        <f ca="1">harbor_towers_cap*(1-EXP(-TblImps[[#This Row],[Σ Harbor]]/(harbor_towers_param*(OFFSET(TblImps[[#This Row],[Land]],1,0)-OFFSET(TblExplore[[#This Row],[Land Bonus]],1,0)*20)+15000)))*(1+(mason_bonus*TblConstr[[#This Row],[Tot Mas]]/TblConstr[[#This Row],[Land (2)]]))</f>
        <v>0</v>
      </c>
      <c r="AE36" s="142"/>
      <c r="AF36" s="61">
        <f ca="1">(1+Overview!$I$29)*SUM(TblImps[[#This Row],[P2]:[G2]])+OFFSET(TblImps[[#This Row],[Σ Science]],-1,0)</f>
        <v>0</v>
      </c>
      <c r="AG36" s="61">
        <f ca="1">(1+Overview!$I$29)*SUM(TblImps[[#This Row],[P3]:[G3]])+OFFSET(TblImps[[#This Row],[Σ Keep]],-1,0)</f>
        <v>0</v>
      </c>
      <c r="AH36" s="61">
        <f ca="1">(1+Overview!$I$29 + tech_7_1*TblTech[[#This Row],[7-1]])*SUM(TblImps[[#This Row],[P4]:[G4]])+OFFSET(TblImps[[#This Row],[Σ Spires]],-1,0)</f>
        <v>0</v>
      </c>
      <c r="AI36" s="61">
        <f ca="1">(1+Overview!$I$29)*SUM(TblImps[[#This Row],[P5]:[FW5]])+OFFSET(TblImps[[#This Row],[Σ Forges]],-1,0)</f>
        <v>0</v>
      </c>
      <c r="AJ36" s="61">
        <f ca="1">(1+Overview!$I$29)*SUM(TblImps[[#This Row],[P6]:[G6]])+OFFSET(TblImps[[#This Row],[Σ Walls]],-1,0)</f>
        <v>0</v>
      </c>
      <c r="AK36" s="61">
        <f ca="1">(1+Overview!$I$29 + tech_7_1*TblTech[[#This Row],[7-1]])*SUM(TblImps[[#This Row],[P7]:[G7]])+OFFSET(TblImps[[#This Row],[Σ Harbor]],-1,0)</f>
        <v>0</v>
      </c>
      <c r="AL36" s="142"/>
      <c r="AM36" s="57">
        <f>IF(AND(TblImps[[#This Row],[Resource]]=AM$2,TblImps[[#This Row],[Part]]&lt;&gt;""),TblImps[[#This Row],[Amount]]) + IF(AND(TblImps[[#This Row],[Resource 2]]=AM$2,TblImps[[#This Row],[Part 2]]&lt;&gt;""),TblImps[[#This Row],[Amount 2]]) + IF(AND(TblImps[[#This Row],[Resource 3]]=AM$2,TblImps[[#This Row],[Part 3]]&lt;&gt;""),TblImps[[#This Row],[Amount 3]])</f>
        <v>0</v>
      </c>
      <c r="AN36" s="57">
        <f>IF(AND(TblImps[[#This Row],[Resource]]=AN$2,TblImps[[#This Row],[Part]]&lt;&gt;""),TblImps[[#This Row],[Amount]]) + IF(AND(TblImps[[#This Row],[Resource 2]]=AN$2,TblImps[[#This Row],[Part 2]]&lt;&gt;""),TblImps[[#This Row],[Amount 2]]) + IF(AND(TblImps[[#This Row],[Resource 3]]=AN$2,TblImps[[#This Row],[Part 3]]&lt;&gt;""),TblImps[[#This Row],[Amount 3]])</f>
        <v>0</v>
      </c>
      <c r="AO36" s="57">
        <f>IF(AND(TblImps[[#This Row],[Resource]]=AO$2,TblImps[[#This Row],[Part]]&lt;&gt;""),TblImps[[#This Row],[Amount]]) + IF(AND(TblImps[[#This Row],[Resource 2]]=AO$2,TblImps[[#This Row],[Part 2]]&lt;&gt;""),TblImps[[#This Row],[Amount 2]]) + IF(AND(TblImps[[#This Row],[Resource 3]]=AO$2,TblImps[[#This Row],[Part 3]]&lt;&gt;""),TblImps[[#This Row],[Amount 3]])</f>
        <v>0</v>
      </c>
      <c r="AP36" s="57">
        <f>IF(AND(TblImps[[#This Row],[Resource]]=AP$2,TblImps[[#This Row],[Part]]&lt;&gt;""),TblImps[[#This Row],[Amount]]) + IF(AND(TblImps[[#This Row],[Resource 2]]=AP$2,TblImps[[#This Row],[Part 2]]&lt;&gt;""),TblImps[[#This Row],[Amount 2]]) + IF(AND(TblImps[[#This Row],[Resource 3]]=AP$2,TblImps[[#This Row],[Part 3]]&lt;&gt;""),TblImps[[#This Row],[Amount 3]])</f>
        <v>0</v>
      </c>
      <c r="AQ36" s="142"/>
      <c r="AR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142"/>
      <c r="AW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142"/>
      <c r="BB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142"/>
      <c r="BG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57">
        <f ca="1">IF(OFFSET(TblMagic[[#This Row],[Active Alchemists Flame]],-1,0)&gt;0,TblConstr[[#This Row],[Tot Alc]]*alchemist_flame_invest,0)</f>
        <v>0</v>
      </c>
      <c r="BL36" s="142"/>
      <c r="BM3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6" s="142"/>
      <c r="BR3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6" s="142"/>
      <c r="BW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6" s="61">
        <f>TblImps[[#This Row],[Login]]</f>
        <v>0</v>
      </c>
      <c r="BY36" s="137"/>
      <c r="BZ36" s="293">
        <f ca="1">OFFSET(TblImps[[#This Row],[Real time]],-1,0)+1/24</f>
        <v>46321.333333333256</v>
      </c>
      <c r="CA36" s="294">
        <f ca="1">OFFSET(TblImps[[#This Row],[Servertime]],-1,0)+1/24</f>
        <v>46321.333333333256</v>
      </c>
      <c r="CB36" s="57"/>
      <c r="CC36" s="292"/>
      <c r="CD36" s="292"/>
      <c r="CE36" s="45" t="s">
        <v>210</v>
      </c>
    </row>
    <row r="37" spans="1:83" x14ac:dyDescent="0.2">
      <c r="A37" s="214">
        <f ca="1">TblConstr[[#This Row],[Land]]</f>
        <v>50</v>
      </c>
      <c r="B37" s="142"/>
      <c r="C37" s="94">
        <f ca="1">TblProd[[#This Row],[Platinum]]</f>
        <v>155757</v>
      </c>
      <c r="D37" s="94">
        <f ca="1">TblProd[[#This Row],[Lumber]]</f>
        <v>38992</v>
      </c>
      <c r="E37" s="94">
        <f ca="1">TblProd[[#This Row],[Ore]]</f>
        <v>0</v>
      </c>
      <c r="F37" s="94">
        <f ca="1">TblProd[[#This Row],[Gems]]</f>
        <v>0</v>
      </c>
      <c r="G37" s="154"/>
      <c r="H37" s="94">
        <f ca="1">TblMili[[#This Row],[Draftees]]</f>
        <v>432</v>
      </c>
      <c r="I37" s="180">
        <f ca="1">TblPop[[#This Row],[Employment]]</f>
        <v>1</v>
      </c>
      <c r="J37" s="180">
        <f ca="1">TblPop[[#This Row],[Total]]/TblPop[[#This Row],[Net max]]</f>
        <v>1</v>
      </c>
      <c r="K37" s="283">
        <f>TblRezone[[#This Row],[Hour]]</f>
        <v>34</v>
      </c>
      <c r="L37" s="284">
        <f ca="1">TblImps[[#This Row],[Real time]]</f>
        <v>46321.37499999992</v>
      </c>
      <c r="M37" s="61">
        <f>IF(ISERROR(TblImps[[#This Row],[algorithm]]),0,TblImps[[#This Row],[algorithm]]*1)</f>
        <v>0</v>
      </c>
      <c r="N37" s="94">
        <f ca="1">TblImps[[#This Row],[Land]]</f>
        <v>50</v>
      </c>
      <c r="O37" s="285" t="s">
        <v>4</v>
      </c>
      <c r="P37" s="286"/>
      <c r="Q37" s="285" t="s">
        <v>210</v>
      </c>
      <c r="R37" s="285" t="s">
        <v>7</v>
      </c>
      <c r="S37" s="286"/>
      <c r="T37" s="285" t="s">
        <v>210</v>
      </c>
      <c r="U37" s="285" t="s">
        <v>3</v>
      </c>
      <c r="V37" s="286"/>
      <c r="W37" s="285" t="s">
        <v>210</v>
      </c>
      <c r="X37" s="142"/>
      <c r="Y37" s="287">
        <f ca="1">science_cap*(1-EXP(-TblImps[[#This Row],[Σ Science]]/(science_param*(OFFSET(TblImps[[#This Row],[Land]],1,0)-OFFSET(TblExplore[[#This Row],[Land Bonus]],1,0)*20)+15000)))*(1+(mason_bonus*TblConstr[[#This Row],[Tot Mas]]/TblConstr[[#This Row],[Land (2)]]))</f>
        <v>0</v>
      </c>
      <c r="Z37" s="287">
        <f ca="1">keep_cap*(1-EXP(-TblImps[[#This Row],[Σ Keep]]/(keep_param*(OFFSET(TblImps[[#This Row],[Land]],1,0)-OFFSET(TblExplore[[#This Row],[Land Bonus]],1,0)*20)+15000)))*(1+(mason_bonus*TblConstr[[#This Row],[Tot Mas]]/TblConstr[[#This Row],[Land (2)]]))</f>
        <v>0</v>
      </c>
      <c r="AA37" s="287">
        <f ca="1">harbor_towers_cap*(1-EXP(-TblImps[[#This Row],[Σ Spires]]/(towers_param*(OFFSET(TblImps[[#This Row],[Land]],1,0)-OFFSET(TblExplore[[#This Row],[Land Bonus]],1,0)*20)+15000)))*(1+(mason_bonus*TblConstr[[#This Row],[Tot Mas]]/TblConstr[[#This Row],[Land (2)]]))</f>
        <v>0</v>
      </c>
      <c r="AB37" s="287">
        <f ca="1">walls_forges_cap*(1-EXP(-TblImps[[#This Row],[Σ Forges]]/(walls_forges_param*(OFFSET(TblImps[[#This Row],[Land]],1,0)-OFFSET(TblExplore[[#This Row],[Land Bonus]],1,0)*20)+15000)))*(1+(mason_bonus*TblConstr[[#This Row],[Tot Mas]]/TblConstr[[#This Row],[Land (2)]]))</f>
        <v>0</v>
      </c>
      <c r="AC37" s="287">
        <f ca="1">walls_forges_cap*(1-EXP(-TblImps[[#This Row],[Σ Walls]]/(walls_forges_param*(OFFSET(TblImps[[#This Row],[Land]],1,0)-OFFSET(TblExplore[[#This Row],[Land Bonus]],1,0)*20)+15000)))*(1+(mason_bonus*TblConstr[[#This Row],[Tot Mas]]/TblConstr[[#This Row],[Land (2)]]))</f>
        <v>0</v>
      </c>
      <c r="AD37" s="287">
        <f ca="1">harbor_towers_cap*(1-EXP(-TblImps[[#This Row],[Σ Harbor]]/(harbor_towers_param*(OFFSET(TblImps[[#This Row],[Land]],1,0)-OFFSET(TblExplore[[#This Row],[Land Bonus]],1,0)*20)+15000)))*(1+(mason_bonus*TblConstr[[#This Row],[Tot Mas]]/TblConstr[[#This Row],[Land (2)]]))</f>
        <v>0</v>
      </c>
      <c r="AE37" s="142"/>
      <c r="AF37" s="61">
        <f ca="1">(1+Overview!$I$29)*SUM(TblImps[[#This Row],[P2]:[G2]])+OFFSET(TblImps[[#This Row],[Σ Science]],-1,0)</f>
        <v>0</v>
      </c>
      <c r="AG37" s="61">
        <f ca="1">(1+Overview!$I$29)*SUM(TblImps[[#This Row],[P3]:[G3]])+OFFSET(TblImps[[#This Row],[Σ Keep]],-1,0)</f>
        <v>0</v>
      </c>
      <c r="AH37" s="61">
        <f ca="1">(1+Overview!$I$29 + tech_7_1*TblTech[[#This Row],[7-1]])*SUM(TblImps[[#This Row],[P4]:[G4]])+OFFSET(TblImps[[#This Row],[Σ Spires]],-1,0)</f>
        <v>0</v>
      </c>
      <c r="AI37" s="61">
        <f ca="1">(1+Overview!$I$29)*SUM(TblImps[[#This Row],[P5]:[FW5]])+OFFSET(TblImps[[#This Row],[Σ Forges]],-1,0)</f>
        <v>0</v>
      </c>
      <c r="AJ37" s="61">
        <f ca="1">(1+Overview!$I$29)*SUM(TblImps[[#This Row],[P6]:[G6]])+OFFSET(TblImps[[#This Row],[Σ Walls]],-1,0)</f>
        <v>0</v>
      </c>
      <c r="AK37" s="61">
        <f ca="1">(1+Overview!$I$29 + tech_7_1*TblTech[[#This Row],[7-1]])*SUM(TblImps[[#This Row],[P7]:[G7]])+OFFSET(TblImps[[#This Row],[Σ Harbor]],-1,0)</f>
        <v>0</v>
      </c>
      <c r="AL37" s="142"/>
      <c r="AM37" s="57">
        <f>IF(AND(TblImps[[#This Row],[Resource]]=AM$2,TblImps[[#This Row],[Part]]&lt;&gt;""),TblImps[[#This Row],[Amount]]) + IF(AND(TblImps[[#This Row],[Resource 2]]=AM$2,TblImps[[#This Row],[Part 2]]&lt;&gt;""),TblImps[[#This Row],[Amount 2]]) + IF(AND(TblImps[[#This Row],[Resource 3]]=AM$2,TblImps[[#This Row],[Part 3]]&lt;&gt;""),TblImps[[#This Row],[Amount 3]])</f>
        <v>0</v>
      </c>
      <c r="AN37" s="57">
        <f>IF(AND(TblImps[[#This Row],[Resource]]=AN$2,TblImps[[#This Row],[Part]]&lt;&gt;""),TblImps[[#This Row],[Amount]]) + IF(AND(TblImps[[#This Row],[Resource 2]]=AN$2,TblImps[[#This Row],[Part 2]]&lt;&gt;""),TblImps[[#This Row],[Amount 2]]) + IF(AND(TblImps[[#This Row],[Resource 3]]=AN$2,TblImps[[#This Row],[Part 3]]&lt;&gt;""),TblImps[[#This Row],[Amount 3]])</f>
        <v>0</v>
      </c>
      <c r="AO37" s="57">
        <f>IF(AND(TblImps[[#This Row],[Resource]]=AO$2,TblImps[[#This Row],[Part]]&lt;&gt;""),TblImps[[#This Row],[Amount]]) + IF(AND(TblImps[[#This Row],[Resource 2]]=AO$2,TblImps[[#This Row],[Part 2]]&lt;&gt;""),TblImps[[#This Row],[Amount 2]]) + IF(AND(TblImps[[#This Row],[Resource 3]]=AO$2,TblImps[[#This Row],[Part 3]]&lt;&gt;""),TblImps[[#This Row],[Amount 3]])</f>
        <v>0</v>
      </c>
      <c r="AP37" s="57">
        <f>IF(AND(TblImps[[#This Row],[Resource]]=AP$2,TblImps[[#This Row],[Part]]&lt;&gt;""),TblImps[[#This Row],[Amount]]) + IF(AND(TblImps[[#This Row],[Resource 2]]=AP$2,TblImps[[#This Row],[Part 2]]&lt;&gt;""),TblImps[[#This Row],[Amount 2]]) + IF(AND(TblImps[[#This Row],[Resource 3]]=AP$2,TblImps[[#This Row],[Part 3]]&lt;&gt;""),TblImps[[#This Row],[Amount 3]])</f>
        <v>0</v>
      </c>
      <c r="AQ37" s="142"/>
      <c r="AR3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142"/>
      <c r="AW3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142"/>
      <c r="BB3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142"/>
      <c r="BG3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57">
        <f ca="1">IF(OFFSET(TblMagic[[#This Row],[Active Alchemists Flame]],-1,0)&gt;0,TblConstr[[#This Row],[Tot Alc]]*alchemist_flame_invest,0)</f>
        <v>0</v>
      </c>
      <c r="BL37" s="142"/>
      <c r="BM3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7" s="142"/>
      <c r="BR3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7" s="142"/>
      <c r="BW3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7" s="61">
        <f>TblImps[[#This Row],[Login]]</f>
        <v>0</v>
      </c>
      <c r="BY37" s="137"/>
      <c r="BZ37" s="293">
        <f ca="1">OFFSET(TblImps[[#This Row],[Real time]],-1,0)+1/24</f>
        <v>46321.37499999992</v>
      </c>
      <c r="CA37" s="294">
        <f ca="1">OFFSET(TblImps[[#This Row],[Servertime]],-1,0)+1/24</f>
        <v>46321.37499999992</v>
      </c>
      <c r="CB37" s="57"/>
      <c r="CC37" s="292"/>
      <c r="CD37" s="292"/>
      <c r="CE37" s="45" t="s">
        <v>1097</v>
      </c>
    </row>
    <row r="38" spans="1:83" x14ac:dyDescent="0.2">
      <c r="A38" s="214">
        <f ca="1">TblConstr[[#This Row],[Land]]</f>
        <v>50</v>
      </c>
      <c r="B38" s="142"/>
      <c r="C38" s="94">
        <f ca="1">TblProd[[#This Row],[Platinum]]</f>
        <v>156666</v>
      </c>
      <c r="D38" s="94">
        <f ca="1">TblProd[[#This Row],[Lumber]]</f>
        <v>39602</v>
      </c>
      <c r="E38" s="94">
        <f ca="1">TblProd[[#This Row],[Ore]]</f>
        <v>0</v>
      </c>
      <c r="F38" s="94">
        <f ca="1">TblProd[[#This Row],[Gems]]</f>
        <v>0</v>
      </c>
      <c r="G38" s="154"/>
      <c r="H38" s="94">
        <f ca="1">TblMili[[#This Row],[Draftees]]</f>
        <v>435</v>
      </c>
      <c r="I38" s="180">
        <f ca="1">TblPop[[#This Row],[Employment]]</f>
        <v>1</v>
      </c>
      <c r="J38" s="180">
        <f ca="1">TblPop[[#This Row],[Total]]/TblPop[[#This Row],[Net max]]</f>
        <v>1</v>
      </c>
      <c r="K38" s="283">
        <f>TblRezone[[#This Row],[Hour]]</f>
        <v>35</v>
      </c>
      <c r="L38" s="284">
        <f ca="1">TblImps[[#This Row],[Real time]]</f>
        <v>46321.416666666584</v>
      </c>
      <c r="M38" s="61">
        <f>IF(ISERROR(TblImps[[#This Row],[algorithm]]),0,TblImps[[#This Row],[algorithm]]*1)</f>
        <v>0</v>
      </c>
      <c r="N38" s="94">
        <f ca="1">TblImps[[#This Row],[Land]]</f>
        <v>50</v>
      </c>
      <c r="O38" s="285" t="s">
        <v>4</v>
      </c>
      <c r="P38" s="286"/>
      <c r="Q38" s="285" t="s">
        <v>210</v>
      </c>
      <c r="R38" s="285" t="s">
        <v>7</v>
      </c>
      <c r="S38" s="286"/>
      <c r="T38" s="285" t="s">
        <v>210</v>
      </c>
      <c r="U38" s="285" t="s">
        <v>3</v>
      </c>
      <c r="V38" s="286"/>
      <c r="W38" s="285" t="s">
        <v>210</v>
      </c>
      <c r="X38" s="142"/>
      <c r="Y38" s="287">
        <f ca="1">science_cap*(1-EXP(-TblImps[[#This Row],[Σ Science]]/(science_param*(OFFSET(TblImps[[#This Row],[Land]],1,0)-OFFSET(TblExplore[[#This Row],[Land Bonus]],1,0)*20)+15000)))*(1+(mason_bonus*TblConstr[[#This Row],[Tot Mas]]/TblConstr[[#This Row],[Land (2)]]))</f>
        <v>0</v>
      </c>
      <c r="Z38" s="287">
        <f ca="1">keep_cap*(1-EXP(-TblImps[[#This Row],[Σ Keep]]/(keep_param*(OFFSET(TblImps[[#This Row],[Land]],1,0)-OFFSET(TblExplore[[#This Row],[Land Bonus]],1,0)*20)+15000)))*(1+(mason_bonus*TblConstr[[#This Row],[Tot Mas]]/TblConstr[[#This Row],[Land (2)]]))</f>
        <v>0</v>
      </c>
      <c r="AA38" s="287">
        <f ca="1">harbor_towers_cap*(1-EXP(-TblImps[[#This Row],[Σ Spires]]/(towers_param*(OFFSET(TblImps[[#This Row],[Land]],1,0)-OFFSET(TblExplore[[#This Row],[Land Bonus]],1,0)*20)+15000)))*(1+(mason_bonus*TblConstr[[#This Row],[Tot Mas]]/TblConstr[[#This Row],[Land (2)]]))</f>
        <v>0</v>
      </c>
      <c r="AB38" s="287">
        <f ca="1">walls_forges_cap*(1-EXP(-TblImps[[#This Row],[Σ Forges]]/(walls_forges_param*(OFFSET(TblImps[[#This Row],[Land]],1,0)-OFFSET(TblExplore[[#This Row],[Land Bonus]],1,0)*20)+15000)))*(1+(mason_bonus*TblConstr[[#This Row],[Tot Mas]]/TblConstr[[#This Row],[Land (2)]]))</f>
        <v>0</v>
      </c>
      <c r="AC38" s="287">
        <f ca="1">walls_forges_cap*(1-EXP(-TblImps[[#This Row],[Σ Walls]]/(walls_forges_param*(OFFSET(TblImps[[#This Row],[Land]],1,0)-OFFSET(TblExplore[[#This Row],[Land Bonus]],1,0)*20)+15000)))*(1+(mason_bonus*TblConstr[[#This Row],[Tot Mas]]/TblConstr[[#This Row],[Land (2)]]))</f>
        <v>0</v>
      </c>
      <c r="AD38" s="287">
        <f ca="1">harbor_towers_cap*(1-EXP(-TblImps[[#This Row],[Σ Harbor]]/(harbor_towers_param*(OFFSET(TblImps[[#This Row],[Land]],1,0)-OFFSET(TblExplore[[#This Row],[Land Bonus]],1,0)*20)+15000)))*(1+(mason_bonus*TblConstr[[#This Row],[Tot Mas]]/TblConstr[[#This Row],[Land (2)]]))</f>
        <v>0</v>
      </c>
      <c r="AE38" s="142"/>
      <c r="AF38" s="61">
        <f ca="1">(1+Overview!$I$29)*SUM(TblImps[[#This Row],[P2]:[G2]])+OFFSET(TblImps[[#This Row],[Σ Science]],-1,0)</f>
        <v>0</v>
      </c>
      <c r="AG38" s="61">
        <f ca="1">(1+Overview!$I$29)*SUM(TblImps[[#This Row],[P3]:[G3]])+OFFSET(TblImps[[#This Row],[Σ Keep]],-1,0)</f>
        <v>0</v>
      </c>
      <c r="AH38" s="61">
        <f ca="1">(1+Overview!$I$29 + tech_7_1*TblTech[[#This Row],[7-1]])*SUM(TblImps[[#This Row],[P4]:[G4]])+OFFSET(TblImps[[#This Row],[Σ Spires]],-1,0)</f>
        <v>0</v>
      </c>
      <c r="AI38" s="61">
        <f ca="1">(1+Overview!$I$29)*SUM(TblImps[[#This Row],[P5]:[FW5]])+OFFSET(TblImps[[#This Row],[Σ Forges]],-1,0)</f>
        <v>0</v>
      </c>
      <c r="AJ38" s="61">
        <f ca="1">(1+Overview!$I$29)*SUM(TblImps[[#This Row],[P6]:[G6]])+OFFSET(TblImps[[#This Row],[Σ Walls]],-1,0)</f>
        <v>0</v>
      </c>
      <c r="AK38" s="61">
        <f ca="1">(1+Overview!$I$29 + tech_7_1*TblTech[[#This Row],[7-1]])*SUM(TblImps[[#This Row],[P7]:[G7]])+OFFSET(TblImps[[#This Row],[Σ Harbor]],-1,0)</f>
        <v>0</v>
      </c>
      <c r="AL38" s="142"/>
      <c r="AM38" s="57">
        <f>IF(AND(TblImps[[#This Row],[Resource]]=AM$2,TblImps[[#This Row],[Part]]&lt;&gt;""),TblImps[[#This Row],[Amount]]) + IF(AND(TblImps[[#This Row],[Resource 2]]=AM$2,TblImps[[#This Row],[Part 2]]&lt;&gt;""),TblImps[[#This Row],[Amount 2]]) + IF(AND(TblImps[[#This Row],[Resource 3]]=AM$2,TblImps[[#This Row],[Part 3]]&lt;&gt;""),TblImps[[#This Row],[Amount 3]])</f>
        <v>0</v>
      </c>
      <c r="AN38" s="57">
        <f>IF(AND(TblImps[[#This Row],[Resource]]=AN$2,TblImps[[#This Row],[Part]]&lt;&gt;""),TblImps[[#This Row],[Amount]]) + IF(AND(TblImps[[#This Row],[Resource 2]]=AN$2,TblImps[[#This Row],[Part 2]]&lt;&gt;""),TblImps[[#This Row],[Amount 2]]) + IF(AND(TblImps[[#This Row],[Resource 3]]=AN$2,TblImps[[#This Row],[Part 3]]&lt;&gt;""),TblImps[[#This Row],[Amount 3]])</f>
        <v>0</v>
      </c>
      <c r="AO38" s="57">
        <f>IF(AND(TblImps[[#This Row],[Resource]]=AO$2,TblImps[[#This Row],[Part]]&lt;&gt;""),TblImps[[#This Row],[Amount]]) + IF(AND(TblImps[[#This Row],[Resource 2]]=AO$2,TblImps[[#This Row],[Part 2]]&lt;&gt;""),TblImps[[#This Row],[Amount 2]]) + IF(AND(TblImps[[#This Row],[Resource 3]]=AO$2,TblImps[[#This Row],[Part 3]]&lt;&gt;""),TblImps[[#This Row],[Amount 3]])</f>
        <v>0</v>
      </c>
      <c r="AP38" s="57">
        <f>IF(AND(TblImps[[#This Row],[Resource]]=AP$2,TblImps[[#This Row],[Part]]&lt;&gt;""),TblImps[[#This Row],[Amount]]) + IF(AND(TblImps[[#This Row],[Resource 2]]=AP$2,TblImps[[#This Row],[Part 2]]&lt;&gt;""),TblImps[[#This Row],[Amount 2]]) + IF(AND(TblImps[[#This Row],[Resource 3]]=AP$2,TblImps[[#This Row],[Part 3]]&lt;&gt;""),TblImps[[#This Row],[Amount 3]])</f>
        <v>0</v>
      </c>
      <c r="AQ38" s="142"/>
      <c r="AR3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142"/>
      <c r="AW3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142"/>
      <c r="BB3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142"/>
      <c r="BG3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57">
        <f ca="1">IF(OFFSET(TblMagic[[#This Row],[Active Alchemists Flame]],-1,0)&gt;0,TblConstr[[#This Row],[Tot Alc]]*alchemist_flame_invest,0)</f>
        <v>0</v>
      </c>
      <c r="BL38" s="142"/>
      <c r="BM3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8" s="142"/>
      <c r="BR3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8" s="142"/>
      <c r="BW3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8" s="61">
        <f>TblImps[[#This Row],[Login]]</f>
        <v>0</v>
      </c>
      <c r="BY38" s="137"/>
      <c r="BZ38" s="293">
        <f ca="1">OFFSET(TblImps[[#This Row],[Real time]],-1,0)+1/24</f>
        <v>46321.416666666584</v>
      </c>
      <c r="CA38" s="294">
        <f ca="1">OFFSET(TblImps[[#This Row],[Servertime]],-1,0)+1/24</f>
        <v>46321.416666666584</v>
      </c>
      <c r="CB38" s="57"/>
      <c r="CC38" s="292"/>
      <c r="CD38" s="292"/>
      <c r="CE38" s="45" t="s">
        <v>212</v>
      </c>
    </row>
    <row r="39" spans="1:83" x14ac:dyDescent="0.2">
      <c r="A39" s="214">
        <f ca="1">TblConstr[[#This Row],[Land]]</f>
        <v>50</v>
      </c>
      <c r="B39" s="142"/>
      <c r="C39" s="94">
        <f ca="1">TblProd[[#This Row],[Platinum]]</f>
        <v>157567</v>
      </c>
      <c r="D39" s="94">
        <f ca="1">TblProd[[#This Row],[Lumber]]</f>
        <v>40206</v>
      </c>
      <c r="E39" s="94">
        <f ca="1">TblProd[[#This Row],[Ore]]</f>
        <v>0</v>
      </c>
      <c r="F39" s="94">
        <f ca="1">TblProd[[#This Row],[Gems]]</f>
        <v>0</v>
      </c>
      <c r="G39" s="154"/>
      <c r="H39" s="94">
        <f ca="1">TblMili[[#This Row],[Draftees]]</f>
        <v>438</v>
      </c>
      <c r="I39" s="180">
        <f ca="1">TblPop[[#This Row],[Employment]]</f>
        <v>1</v>
      </c>
      <c r="J39" s="180">
        <f ca="1">TblPop[[#This Row],[Total]]/TblPop[[#This Row],[Net max]]</f>
        <v>1</v>
      </c>
      <c r="K39" s="283">
        <f>TblRezone[[#This Row],[Hour]]</f>
        <v>36</v>
      </c>
      <c r="L39" s="284">
        <f ca="1">TblImps[[#This Row],[Real time]]</f>
        <v>46321.458333333248</v>
      </c>
      <c r="M39" s="61">
        <f>IF(ISERROR(TblImps[[#This Row],[algorithm]]),0,TblImps[[#This Row],[algorithm]]*1)</f>
        <v>0</v>
      </c>
      <c r="N39" s="94">
        <f ca="1">TblImps[[#This Row],[Land]]</f>
        <v>50</v>
      </c>
      <c r="O39" s="285" t="s">
        <v>4</v>
      </c>
      <c r="P39" s="286"/>
      <c r="Q39" s="285" t="s">
        <v>210</v>
      </c>
      <c r="R39" s="285" t="s">
        <v>7</v>
      </c>
      <c r="S39" s="286"/>
      <c r="T39" s="285" t="s">
        <v>210</v>
      </c>
      <c r="U39" s="285" t="s">
        <v>3</v>
      </c>
      <c r="V39" s="286"/>
      <c r="W39" s="285" t="s">
        <v>210</v>
      </c>
      <c r="X39" s="142"/>
      <c r="Y39" s="287">
        <f ca="1">science_cap*(1-EXP(-TblImps[[#This Row],[Σ Science]]/(science_param*(OFFSET(TblImps[[#This Row],[Land]],1,0)-OFFSET(TblExplore[[#This Row],[Land Bonus]],1,0)*20)+15000)))*(1+(mason_bonus*TblConstr[[#This Row],[Tot Mas]]/TblConstr[[#This Row],[Land (2)]]))</f>
        <v>0</v>
      </c>
      <c r="Z39" s="287">
        <f ca="1">keep_cap*(1-EXP(-TblImps[[#This Row],[Σ Keep]]/(keep_param*(OFFSET(TblImps[[#This Row],[Land]],1,0)-OFFSET(TblExplore[[#This Row],[Land Bonus]],1,0)*20)+15000)))*(1+(mason_bonus*TblConstr[[#This Row],[Tot Mas]]/TblConstr[[#This Row],[Land (2)]]))</f>
        <v>0</v>
      </c>
      <c r="AA39" s="287">
        <f ca="1">harbor_towers_cap*(1-EXP(-TblImps[[#This Row],[Σ Spires]]/(towers_param*(OFFSET(TblImps[[#This Row],[Land]],1,0)-OFFSET(TblExplore[[#This Row],[Land Bonus]],1,0)*20)+15000)))*(1+(mason_bonus*TblConstr[[#This Row],[Tot Mas]]/TblConstr[[#This Row],[Land (2)]]))</f>
        <v>0</v>
      </c>
      <c r="AB39" s="287">
        <f ca="1">walls_forges_cap*(1-EXP(-TblImps[[#This Row],[Σ Forges]]/(walls_forges_param*(OFFSET(TblImps[[#This Row],[Land]],1,0)-OFFSET(TblExplore[[#This Row],[Land Bonus]],1,0)*20)+15000)))*(1+(mason_bonus*TblConstr[[#This Row],[Tot Mas]]/TblConstr[[#This Row],[Land (2)]]))</f>
        <v>0</v>
      </c>
      <c r="AC39" s="287">
        <f ca="1">walls_forges_cap*(1-EXP(-TblImps[[#This Row],[Σ Walls]]/(walls_forges_param*(OFFSET(TblImps[[#This Row],[Land]],1,0)-OFFSET(TblExplore[[#This Row],[Land Bonus]],1,0)*20)+15000)))*(1+(mason_bonus*TblConstr[[#This Row],[Tot Mas]]/TblConstr[[#This Row],[Land (2)]]))</f>
        <v>0</v>
      </c>
      <c r="AD39" s="287">
        <f ca="1">harbor_towers_cap*(1-EXP(-TblImps[[#This Row],[Σ Harbor]]/(harbor_towers_param*(OFFSET(TblImps[[#This Row],[Land]],1,0)-OFFSET(TblExplore[[#This Row],[Land Bonus]],1,0)*20)+15000)))*(1+(mason_bonus*TblConstr[[#This Row],[Tot Mas]]/TblConstr[[#This Row],[Land (2)]]))</f>
        <v>0</v>
      </c>
      <c r="AE39" s="142"/>
      <c r="AF39" s="61">
        <f ca="1">(1+Overview!$I$29)*SUM(TblImps[[#This Row],[P2]:[G2]])+OFFSET(TblImps[[#This Row],[Σ Science]],-1,0)</f>
        <v>0</v>
      </c>
      <c r="AG39" s="61">
        <f ca="1">(1+Overview!$I$29)*SUM(TblImps[[#This Row],[P3]:[G3]])+OFFSET(TblImps[[#This Row],[Σ Keep]],-1,0)</f>
        <v>0</v>
      </c>
      <c r="AH39" s="61">
        <f ca="1">(1+Overview!$I$29 + tech_7_1*TblTech[[#This Row],[7-1]])*SUM(TblImps[[#This Row],[P4]:[G4]])+OFFSET(TblImps[[#This Row],[Σ Spires]],-1,0)</f>
        <v>0</v>
      </c>
      <c r="AI39" s="61">
        <f ca="1">(1+Overview!$I$29)*SUM(TblImps[[#This Row],[P5]:[FW5]])+OFFSET(TblImps[[#This Row],[Σ Forges]],-1,0)</f>
        <v>0</v>
      </c>
      <c r="AJ39" s="61">
        <f ca="1">(1+Overview!$I$29)*SUM(TblImps[[#This Row],[P6]:[G6]])+OFFSET(TblImps[[#This Row],[Σ Walls]],-1,0)</f>
        <v>0</v>
      </c>
      <c r="AK39" s="61">
        <f ca="1">(1+Overview!$I$29 + tech_7_1*TblTech[[#This Row],[7-1]])*SUM(TblImps[[#This Row],[P7]:[G7]])+OFFSET(TblImps[[#This Row],[Σ Harbor]],-1,0)</f>
        <v>0</v>
      </c>
      <c r="AL39" s="142"/>
      <c r="AM39" s="57">
        <f>IF(AND(TblImps[[#This Row],[Resource]]=AM$2,TblImps[[#This Row],[Part]]&lt;&gt;""),TblImps[[#This Row],[Amount]]) + IF(AND(TblImps[[#This Row],[Resource 2]]=AM$2,TblImps[[#This Row],[Part 2]]&lt;&gt;""),TblImps[[#This Row],[Amount 2]]) + IF(AND(TblImps[[#This Row],[Resource 3]]=AM$2,TblImps[[#This Row],[Part 3]]&lt;&gt;""),TblImps[[#This Row],[Amount 3]])</f>
        <v>0</v>
      </c>
      <c r="AN39" s="57">
        <f>IF(AND(TblImps[[#This Row],[Resource]]=AN$2,TblImps[[#This Row],[Part]]&lt;&gt;""),TblImps[[#This Row],[Amount]]) + IF(AND(TblImps[[#This Row],[Resource 2]]=AN$2,TblImps[[#This Row],[Part 2]]&lt;&gt;""),TblImps[[#This Row],[Amount 2]]) + IF(AND(TblImps[[#This Row],[Resource 3]]=AN$2,TblImps[[#This Row],[Part 3]]&lt;&gt;""),TblImps[[#This Row],[Amount 3]])</f>
        <v>0</v>
      </c>
      <c r="AO39" s="57">
        <f>IF(AND(TblImps[[#This Row],[Resource]]=AO$2,TblImps[[#This Row],[Part]]&lt;&gt;""),TblImps[[#This Row],[Amount]]) + IF(AND(TblImps[[#This Row],[Resource 2]]=AO$2,TblImps[[#This Row],[Part 2]]&lt;&gt;""),TblImps[[#This Row],[Amount 2]]) + IF(AND(TblImps[[#This Row],[Resource 3]]=AO$2,TblImps[[#This Row],[Part 3]]&lt;&gt;""),TblImps[[#This Row],[Amount 3]])</f>
        <v>0</v>
      </c>
      <c r="AP39" s="57">
        <f>IF(AND(TblImps[[#This Row],[Resource]]=AP$2,TblImps[[#This Row],[Part]]&lt;&gt;""),TblImps[[#This Row],[Amount]]) + IF(AND(TblImps[[#This Row],[Resource 2]]=AP$2,TblImps[[#This Row],[Part 2]]&lt;&gt;""),TblImps[[#This Row],[Amount 2]]) + IF(AND(TblImps[[#This Row],[Resource 3]]=AP$2,TblImps[[#This Row],[Part 3]]&lt;&gt;""),TblImps[[#This Row],[Amount 3]])</f>
        <v>0</v>
      </c>
      <c r="AQ39" s="142"/>
      <c r="AR3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142"/>
      <c r="AW3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142"/>
      <c r="BB3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142"/>
      <c r="BG3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57">
        <f ca="1">IF(OFFSET(TblMagic[[#This Row],[Active Alchemists Flame]],-1,0)&gt;0,TblConstr[[#This Row],[Tot Alc]]*alchemist_flame_invest,0)</f>
        <v>0</v>
      </c>
      <c r="BL39" s="142"/>
      <c r="BM3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9" s="142"/>
      <c r="BR3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9" s="142"/>
      <c r="BW3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9" s="61">
        <f>TblImps[[#This Row],[Login]]</f>
        <v>0</v>
      </c>
      <c r="BY39" s="137"/>
      <c r="BZ39" s="293">
        <f ca="1">OFFSET(TblImps[[#This Row],[Real time]],-1,0)+1/24</f>
        <v>46321.458333333248</v>
      </c>
      <c r="CA39" s="294">
        <f ca="1">OFFSET(TblImps[[#This Row],[Servertime]],-1,0)+1/24</f>
        <v>46321.458333333248</v>
      </c>
      <c r="CB39" s="57"/>
      <c r="CC39" s="292"/>
      <c r="CD39" s="292"/>
      <c r="CE39" s="45" t="s">
        <v>213</v>
      </c>
    </row>
    <row r="40" spans="1:83" x14ac:dyDescent="0.2">
      <c r="A40" s="214">
        <f ca="1">TblConstr[[#This Row],[Land]]</f>
        <v>50</v>
      </c>
      <c r="B40" s="142"/>
      <c r="C40" s="94">
        <f ca="1">TblProd[[#This Row],[Platinum]]</f>
        <v>158460</v>
      </c>
      <c r="D40" s="94">
        <f ca="1">TblProd[[#This Row],[Lumber]]</f>
        <v>40804</v>
      </c>
      <c r="E40" s="94">
        <f ca="1">TblProd[[#This Row],[Ore]]</f>
        <v>0</v>
      </c>
      <c r="F40" s="94">
        <f ca="1">TblProd[[#This Row],[Gems]]</f>
        <v>0</v>
      </c>
      <c r="G40" s="154"/>
      <c r="H40" s="94">
        <f ca="1">TblMili[[#This Row],[Draftees]]</f>
        <v>441</v>
      </c>
      <c r="I40" s="180">
        <f ca="1">TblPop[[#This Row],[Employment]]</f>
        <v>1</v>
      </c>
      <c r="J40" s="180">
        <f ca="1">TblPop[[#This Row],[Total]]/TblPop[[#This Row],[Net max]]</f>
        <v>1</v>
      </c>
      <c r="K40" s="283">
        <f>TblRezone[[#This Row],[Hour]]</f>
        <v>37</v>
      </c>
      <c r="L40" s="284">
        <f ca="1">TblImps[[#This Row],[Real time]]</f>
        <v>46321.499999999913</v>
      </c>
      <c r="M40" s="61">
        <f>IF(ISERROR(TblImps[[#This Row],[algorithm]]),0,TblImps[[#This Row],[algorithm]]*1)</f>
        <v>0</v>
      </c>
      <c r="N40" s="94">
        <f ca="1">TblImps[[#This Row],[Land]]</f>
        <v>50</v>
      </c>
      <c r="O40" s="285" t="s">
        <v>4</v>
      </c>
      <c r="P40" s="286"/>
      <c r="Q40" s="285" t="s">
        <v>210</v>
      </c>
      <c r="R40" s="285" t="s">
        <v>7</v>
      </c>
      <c r="S40" s="286"/>
      <c r="T40" s="285" t="s">
        <v>210</v>
      </c>
      <c r="U40" s="285" t="s">
        <v>3</v>
      </c>
      <c r="V40" s="286"/>
      <c r="W40" s="285" t="s">
        <v>210</v>
      </c>
      <c r="X40" s="142"/>
      <c r="Y40" s="287">
        <f ca="1">science_cap*(1-EXP(-TblImps[[#This Row],[Σ Science]]/(science_param*(OFFSET(TblImps[[#This Row],[Land]],1,0)-OFFSET(TblExplore[[#This Row],[Land Bonus]],1,0)*20)+15000)))*(1+(mason_bonus*TblConstr[[#This Row],[Tot Mas]]/TblConstr[[#This Row],[Land (2)]]))</f>
        <v>0</v>
      </c>
      <c r="Z40" s="287">
        <f ca="1">keep_cap*(1-EXP(-TblImps[[#This Row],[Σ Keep]]/(keep_param*(OFFSET(TblImps[[#This Row],[Land]],1,0)-OFFSET(TblExplore[[#This Row],[Land Bonus]],1,0)*20)+15000)))*(1+(mason_bonus*TblConstr[[#This Row],[Tot Mas]]/TblConstr[[#This Row],[Land (2)]]))</f>
        <v>0</v>
      </c>
      <c r="AA40" s="287">
        <f ca="1">harbor_towers_cap*(1-EXP(-TblImps[[#This Row],[Σ Spires]]/(towers_param*(OFFSET(TblImps[[#This Row],[Land]],1,0)-OFFSET(TblExplore[[#This Row],[Land Bonus]],1,0)*20)+15000)))*(1+(mason_bonus*TblConstr[[#This Row],[Tot Mas]]/TblConstr[[#This Row],[Land (2)]]))</f>
        <v>0</v>
      </c>
      <c r="AB40" s="287">
        <f ca="1">walls_forges_cap*(1-EXP(-TblImps[[#This Row],[Σ Forges]]/(walls_forges_param*(OFFSET(TblImps[[#This Row],[Land]],1,0)-OFFSET(TblExplore[[#This Row],[Land Bonus]],1,0)*20)+15000)))*(1+(mason_bonus*TblConstr[[#This Row],[Tot Mas]]/TblConstr[[#This Row],[Land (2)]]))</f>
        <v>0</v>
      </c>
      <c r="AC40" s="287">
        <f ca="1">walls_forges_cap*(1-EXP(-TblImps[[#This Row],[Σ Walls]]/(walls_forges_param*(OFFSET(TblImps[[#This Row],[Land]],1,0)-OFFSET(TblExplore[[#This Row],[Land Bonus]],1,0)*20)+15000)))*(1+(mason_bonus*TblConstr[[#This Row],[Tot Mas]]/TblConstr[[#This Row],[Land (2)]]))</f>
        <v>0</v>
      </c>
      <c r="AD40" s="287">
        <f ca="1">harbor_towers_cap*(1-EXP(-TblImps[[#This Row],[Σ Harbor]]/(harbor_towers_param*(OFFSET(TblImps[[#This Row],[Land]],1,0)-OFFSET(TblExplore[[#This Row],[Land Bonus]],1,0)*20)+15000)))*(1+(mason_bonus*TblConstr[[#This Row],[Tot Mas]]/TblConstr[[#This Row],[Land (2)]]))</f>
        <v>0</v>
      </c>
      <c r="AE40" s="142"/>
      <c r="AF40" s="61">
        <f ca="1">(1+Overview!$I$29)*SUM(TblImps[[#This Row],[P2]:[G2]])+OFFSET(TblImps[[#This Row],[Σ Science]],-1,0)</f>
        <v>0</v>
      </c>
      <c r="AG40" s="61">
        <f ca="1">(1+Overview!$I$29)*SUM(TblImps[[#This Row],[P3]:[G3]])+OFFSET(TblImps[[#This Row],[Σ Keep]],-1,0)</f>
        <v>0</v>
      </c>
      <c r="AH40" s="61">
        <f ca="1">(1+Overview!$I$29 + tech_7_1*TblTech[[#This Row],[7-1]])*SUM(TblImps[[#This Row],[P4]:[G4]])+OFFSET(TblImps[[#This Row],[Σ Spires]],-1,0)</f>
        <v>0</v>
      </c>
      <c r="AI40" s="61">
        <f ca="1">(1+Overview!$I$29)*SUM(TblImps[[#This Row],[P5]:[FW5]])+OFFSET(TblImps[[#This Row],[Σ Forges]],-1,0)</f>
        <v>0</v>
      </c>
      <c r="AJ40" s="61">
        <f ca="1">(1+Overview!$I$29)*SUM(TblImps[[#This Row],[P6]:[G6]])+OFFSET(TblImps[[#This Row],[Σ Walls]],-1,0)</f>
        <v>0</v>
      </c>
      <c r="AK40" s="61">
        <f ca="1">(1+Overview!$I$29 + tech_7_1*TblTech[[#This Row],[7-1]])*SUM(TblImps[[#This Row],[P7]:[G7]])+OFFSET(TblImps[[#This Row],[Σ Harbor]],-1,0)</f>
        <v>0</v>
      </c>
      <c r="AL40" s="142"/>
      <c r="AM40" s="57">
        <f>IF(AND(TblImps[[#This Row],[Resource]]=AM$2,TblImps[[#This Row],[Part]]&lt;&gt;""),TblImps[[#This Row],[Amount]]) + IF(AND(TblImps[[#This Row],[Resource 2]]=AM$2,TblImps[[#This Row],[Part 2]]&lt;&gt;""),TblImps[[#This Row],[Amount 2]]) + IF(AND(TblImps[[#This Row],[Resource 3]]=AM$2,TblImps[[#This Row],[Part 3]]&lt;&gt;""),TblImps[[#This Row],[Amount 3]])</f>
        <v>0</v>
      </c>
      <c r="AN40" s="57">
        <f>IF(AND(TblImps[[#This Row],[Resource]]=AN$2,TblImps[[#This Row],[Part]]&lt;&gt;""),TblImps[[#This Row],[Amount]]) + IF(AND(TblImps[[#This Row],[Resource 2]]=AN$2,TblImps[[#This Row],[Part 2]]&lt;&gt;""),TblImps[[#This Row],[Amount 2]]) + IF(AND(TblImps[[#This Row],[Resource 3]]=AN$2,TblImps[[#This Row],[Part 3]]&lt;&gt;""),TblImps[[#This Row],[Amount 3]])</f>
        <v>0</v>
      </c>
      <c r="AO40" s="57">
        <f>IF(AND(TblImps[[#This Row],[Resource]]=AO$2,TblImps[[#This Row],[Part]]&lt;&gt;""),TblImps[[#This Row],[Amount]]) + IF(AND(TblImps[[#This Row],[Resource 2]]=AO$2,TblImps[[#This Row],[Part 2]]&lt;&gt;""),TblImps[[#This Row],[Amount 2]]) + IF(AND(TblImps[[#This Row],[Resource 3]]=AO$2,TblImps[[#This Row],[Part 3]]&lt;&gt;""),TblImps[[#This Row],[Amount 3]])</f>
        <v>0</v>
      </c>
      <c r="AP40" s="57">
        <f>IF(AND(TblImps[[#This Row],[Resource]]=AP$2,TblImps[[#This Row],[Part]]&lt;&gt;""),TblImps[[#This Row],[Amount]]) + IF(AND(TblImps[[#This Row],[Resource 2]]=AP$2,TblImps[[#This Row],[Part 2]]&lt;&gt;""),TblImps[[#This Row],[Amount 2]]) + IF(AND(TblImps[[#This Row],[Resource 3]]=AP$2,TblImps[[#This Row],[Part 3]]&lt;&gt;""),TblImps[[#This Row],[Amount 3]])</f>
        <v>0</v>
      </c>
      <c r="AQ40" s="142"/>
      <c r="AR4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142"/>
      <c r="AW4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142"/>
      <c r="BB4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142"/>
      <c r="BG4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57">
        <f ca="1">IF(OFFSET(TblMagic[[#This Row],[Active Alchemists Flame]],-1,0)&gt;0,TblConstr[[#This Row],[Tot Alc]]*alchemist_flame_invest,0)</f>
        <v>0</v>
      </c>
      <c r="BL40" s="142"/>
      <c r="BM4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0" s="142"/>
      <c r="BR4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0" s="142"/>
      <c r="BW4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0" s="61">
        <f>TblImps[[#This Row],[Login]]</f>
        <v>0</v>
      </c>
      <c r="BY40" s="137"/>
      <c r="BZ40" s="293">
        <f ca="1">OFFSET(TblImps[[#This Row],[Real time]],-1,0)+1/24</f>
        <v>46321.499999999913</v>
      </c>
      <c r="CA40" s="294">
        <f ca="1">OFFSET(TblImps[[#This Row],[Servertime]],-1,0)+1/24</f>
        <v>46321.499999999913</v>
      </c>
      <c r="CB40" s="57"/>
      <c r="CC40" s="292"/>
      <c r="CD40" s="292"/>
      <c r="CE40" s="45" t="s">
        <v>526</v>
      </c>
    </row>
    <row r="41" spans="1:83" x14ac:dyDescent="0.2">
      <c r="A41" s="214">
        <f ca="1">TblConstr[[#This Row],[Land]]</f>
        <v>50</v>
      </c>
      <c r="B41" s="142"/>
      <c r="C41" s="94">
        <f ca="1">TblProd[[#This Row],[Platinum]]</f>
        <v>159345</v>
      </c>
      <c r="D41" s="94">
        <f ca="1">TblProd[[#This Row],[Lumber]]</f>
        <v>41396</v>
      </c>
      <c r="E41" s="94">
        <f ca="1">TblProd[[#This Row],[Ore]]</f>
        <v>0</v>
      </c>
      <c r="F41" s="94">
        <f ca="1">TblProd[[#This Row],[Gems]]</f>
        <v>0</v>
      </c>
      <c r="G41" s="154"/>
      <c r="H41" s="94">
        <f ca="1">TblMili[[#This Row],[Draftees]]</f>
        <v>444</v>
      </c>
      <c r="I41" s="180">
        <f ca="1">TblPop[[#This Row],[Employment]]</f>
        <v>1</v>
      </c>
      <c r="J41" s="180">
        <f ca="1">TblPop[[#This Row],[Total]]/TblPop[[#This Row],[Net max]]</f>
        <v>1</v>
      </c>
      <c r="K41" s="283">
        <f>TblRezone[[#This Row],[Hour]]</f>
        <v>38</v>
      </c>
      <c r="L41" s="284">
        <f ca="1">TblImps[[#This Row],[Real time]]</f>
        <v>46321.541666666577</v>
      </c>
      <c r="M41" s="61">
        <f>IF(ISERROR(TblImps[[#This Row],[algorithm]]),0,TblImps[[#This Row],[algorithm]]*1)</f>
        <v>0</v>
      </c>
      <c r="N41" s="94">
        <f ca="1">TblImps[[#This Row],[Land]]</f>
        <v>50</v>
      </c>
      <c r="O41" s="285" t="s">
        <v>4</v>
      </c>
      <c r="P41" s="286"/>
      <c r="Q41" s="285" t="s">
        <v>210</v>
      </c>
      <c r="R41" s="285" t="s">
        <v>7</v>
      </c>
      <c r="S41" s="286"/>
      <c r="T41" s="285" t="s">
        <v>210</v>
      </c>
      <c r="U41" s="285" t="s">
        <v>3</v>
      </c>
      <c r="V41" s="286"/>
      <c r="W41" s="285" t="s">
        <v>210</v>
      </c>
      <c r="X41" s="142"/>
      <c r="Y41" s="287">
        <f ca="1">science_cap*(1-EXP(-TblImps[[#This Row],[Σ Science]]/(science_param*(OFFSET(TblImps[[#This Row],[Land]],1,0)-OFFSET(TblExplore[[#This Row],[Land Bonus]],1,0)*20)+15000)))*(1+(mason_bonus*TblConstr[[#This Row],[Tot Mas]]/TblConstr[[#This Row],[Land (2)]]))</f>
        <v>0</v>
      </c>
      <c r="Z41" s="287">
        <f ca="1">keep_cap*(1-EXP(-TblImps[[#This Row],[Σ Keep]]/(keep_param*(OFFSET(TblImps[[#This Row],[Land]],1,0)-OFFSET(TblExplore[[#This Row],[Land Bonus]],1,0)*20)+15000)))*(1+(mason_bonus*TblConstr[[#This Row],[Tot Mas]]/TblConstr[[#This Row],[Land (2)]]))</f>
        <v>0</v>
      </c>
      <c r="AA41" s="287">
        <f ca="1">harbor_towers_cap*(1-EXP(-TblImps[[#This Row],[Σ Spires]]/(towers_param*(OFFSET(TblImps[[#This Row],[Land]],1,0)-OFFSET(TblExplore[[#This Row],[Land Bonus]],1,0)*20)+15000)))*(1+(mason_bonus*TblConstr[[#This Row],[Tot Mas]]/TblConstr[[#This Row],[Land (2)]]))</f>
        <v>0</v>
      </c>
      <c r="AB41" s="287">
        <f ca="1">walls_forges_cap*(1-EXP(-TblImps[[#This Row],[Σ Forges]]/(walls_forges_param*(OFFSET(TblImps[[#This Row],[Land]],1,0)-OFFSET(TblExplore[[#This Row],[Land Bonus]],1,0)*20)+15000)))*(1+(mason_bonus*TblConstr[[#This Row],[Tot Mas]]/TblConstr[[#This Row],[Land (2)]]))</f>
        <v>0</v>
      </c>
      <c r="AC41" s="287">
        <f ca="1">walls_forges_cap*(1-EXP(-TblImps[[#This Row],[Σ Walls]]/(walls_forges_param*(OFFSET(TblImps[[#This Row],[Land]],1,0)-OFFSET(TblExplore[[#This Row],[Land Bonus]],1,0)*20)+15000)))*(1+(mason_bonus*TblConstr[[#This Row],[Tot Mas]]/TblConstr[[#This Row],[Land (2)]]))</f>
        <v>0</v>
      </c>
      <c r="AD41" s="287">
        <f ca="1">harbor_towers_cap*(1-EXP(-TblImps[[#This Row],[Σ Harbor]]/(harbor_towers_param*(OFFSET(TblImps[[#This Row],[Land]],1,0)-OFFSET(TblExplore[[#This Row],[Land Bonus]],1,0)*20)+15000)))*(1+(mason_bonus*TblConstr[[#This Row],[Tot Mas]]/TblConstr[[#This Row],[Land (2)]]))</f>
        <v>0</v>
      </c>
      <c r="AE41" s="142"/>
      <c r="AF41" s="61">
        <f ca="1">(1+Overview!$I$29)*SUM(TblImps[[#This Row],[P2]:[G2]])+OFFSET(TblImps[[#This Row],[Σ Science]],-1,0)</f>
        <v>0</v>
      </c>
      <c r="AG41" s="61">
        <f ca="1">(1+Overview!$I$29)*SUM(TblImps[[#This Row],[P3]:[G3]])+OFFSET(TblImps[[#This Row],[Σ Keep]],-1,0)</f>
        <v>0</v>
      </c>
      <c r="AH41" s="61">
        <f ca="1">(1+Overview!$I$29 + tech_7_1*TblTech[[#This Row],[7-1]])*SUM(TblImps[[#This Row],[P4]:[G4]])+OFFSET(TblImps[[#This Row],[Σ Spires]],-1,0)</f>
        <v>0</v>
      </c>
      <c r="AI41" s="61">
        <f ca="1">(1+Overview!$I$29)*SUM(TblImps[[#This Row],[P5]:[FW5]])+OFFSET(TblImps[[#This Row],[Σ Forges]],-1,0)</f>
        <v>0</v>
      </c>
      <c r="AJ41" s="61">
        <f ca="1">(1+Overview!$I$29)*SUM(TblImps[[#This Row],[P6]:[G6]])+OFFSET(TblImps[[#This Row],[Σ Walls]],-1,0)</f>
        <v>0</v>
      </c>
      <c r="AK41" s="61">
        <f ca="1">(1+Overview!$I$29 + tech_7_1*TblTech[[#This Row],[7-1]])*SUM(TblImps[[#This Row],[P7]:[G7]])+OFFSET(TblImps[[#This Row],[Σ Harbor]],-1,0)</f>
        <v>0</v>
      </c>
      <c r="AL41" s="142"/>
      <c r="AM41" s="57">
        <f>IF(AND(TblImps[[#This Row],[Resource]]=AM$2,TblImps[[#This Row],[Part]]&lt;&gt;""),TblImps[[#This Row],[Amount]]) + IF(AND(TblImps[[#This Row],[Resource 2]]=AM$2,TblImps[[#This Row],[Part 2]]&lt;&gt;""),TblImps[[#This Row],[Amount 2]]) + IF(AND(TblImps[[#This Row],[Resource 3]]=AM$2,TblImps[[#This Row],[Part 3]]&lt;&gt;""),TblImps[[#This Row],[Amount 3]])</f>
        <v>0</v>
      </c>
      <c r="AN41" s="57">
        <f>IF(AND(TblImps[[#This Row],[Resource]]=AN$2,TblImps[[#This Row],[Part]]&lt;&gt;""),TblImps[[#This Row],[Amount]]) + IF(AND(TblImps[[#This Row],[Resource 2]]=AN$2,TblImps[[#This Row],[Part 2]]&lt;&gt;""),TblImps[[#This Row],[Amount 2]]) + IF(AND(TblImps[[#This Row],[Resource 3]]=AN$2,TblImps[[#This Row],[Part 3]]&lt;&gt;""),TblImps[[#This Row],[Amount 3]])</f>
        <v>0</v>
      </c>
      <c r="AO41" s="57">
        <f>IF(AND(TblImps[[#This Row],[Resource]]=AO$2,TblImps[[#This Row],[Part]]&lt;&gt;""),TblImps[[#This Row],[Amount]]) + IF(AND(TblImps[[#This Row],[Resource 2]]=AO$2,TblImps[[#This Row],[Part 2]]&lt;&gt;""),TblImps[[#This Row],[Amount 2]]) + IF(AND(TblImps[[#This Row],[Resource 3]]=AO$2,TblImps[[#This Row],[Part 3]]&lt;&gt;""),TblImps[[#This Row],[Amount 3]])</f>
        <v>0</v>
      </c>
      <c r="AP41" s="57">
        <f>IF(AND(TblImps[[#This Row],[Resource]]=AP$2,TblImps[[#This Row],[Part]]&lt;&gt;""),TblImps[[#This Row],[Amount]]) + IF(AND(TblImps[[#This Row],[Resource 2]]=AP$2,TblImps[[#This Row],[Part 2]]&lt;&gt;""),TblImps[[#This Row],[Amount 2]]) + IF(AND(TblImps[[#This Row],[Resource 3]]=AP$2,TblImps[[#This Row],[Part 3]]&lt;&gt;""),TblImps[[#This Row],[Amount 3]])</f>
        <v>0</v>
      </c>
      <c r="AQ41" s="142"/>
      <c r="AR4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142"/>
      <c r="AW4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142"/>
      <c r="BB4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142"/>
      <c r="BG4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57">
        <f ca="1">IF(OFFSET(TblMagic[[#This Row],[Active Alchemists Flame]],-1,0)&gt;0,TblConstr[[#This Row],[Tot Alc]]*alchemist_flame_invest,0)</f>
        <v>0</v>
      </c>
      <c r="BL41" s="142"/>
      <c r="BM4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1" s="142"/>
      <c r="BR4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1" s="142"/>
      <c r="BW4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1" s="61">
        <f>TblImps[[#This Row],[Login]]</f>
        <v>0</v>
      </c>
      <c r="BY41" s="137"/>
      <c r="BZ41" s="293">
        <f ca="1">OFFSET(TblImps[[#This Row],[Real time]],-1,0)+1/24</f>
        <v>46321.541666666577</v>
      </c>
      <c r="CA41" s="294">
        <f ca="1">OFFSET(TblImps[[#This Row],[Servertime]],-1,0)+1/24</f>
        <v>46321.541666666577</v>
      </c>
      <c r="CB41" s="57"/>
      <c r="CC41" s="292"/>
      <c r="CD41" s="292"/>
    </row>
    <row r="42" spans="1:83" x14ac:dyDescent="0.2">
      <c r="A42" s="214">
        <f ca="1">TblConstr[[#This Row],[Land]]</f>
        <v>50</v>
      </c>
      <c r="B42" s="142"/>
      <c r="C42" s="94">
        <f ca="1">TblProd[[#This Row],[Platinum]]</f>
        <v>160222</v>
      </c>
      <c r="D42" s="94">
        <f ca="1">TblProd[[#This Row],[Lumber]]</f>
        <v>41982</v>
      </c>
      <c r="E42" s="94">
        <f ca="1">TblProd[[#This Row],[Ore]]</f>
        <v>0</v>
      </c>
      <c r="F42" s="94">
        <f ca="1">TblProd[[#This Row],[Gems]]</f>
        <v>0</v>
      </c>
      <c r="G42" s="154"/>
      <c r="H42" s="94">
        <f ca="1">TblMili[[#This Row],[Draftees]]</f>
        <v>447</v>
      </c>
      <c r="I42" s="180">
        <f ca="1">TblPop[[#This Row],[Employment]]</f>
        <v>1</v>
      </c>
      <c r="J42" s="180">
        <f ca="1">TblPop[[#This Row],[Total]]/TblPop[[#This Row],[Net max]]</f>
        <v>1</v>
      </c>
      <c r="K42" s="283">
        <f>TblRezone[[#This Row],[Hour]]</f>
        <v>39</v>
      </c>
      <c r="L42" s="284">
        <f ca="1">TblImps[[#This Row],[Real time]]</f>
        <v>46321.583333333241</v>
      </c>
      <c r="M42" s="61">
        <f>IF(ISERROR(TblImps[[#This Row],[algorithm]]),0,TblImps[[#This Row],[algorithm]]*1)</f>
        <v>0</v>
      </c>
      <c r="N42" s="94">
        <f ca="1">TblImps[[#This Row],[Land]]</f>
        <v>50</v>
      </c>
      <c r="O42" s="285" t="s">
        <v>4</v>
      </c>
      <c r="P42" s="286"/>
      <c r="Q42" s="285" t="s">
        <v>210</v>
      </c>
      <c r="R42" s="285" t="s">
        <v>7</v>
      </c>
      <c r="S42" s="286"/>
      <c r="T42" s="285" t="s">
        <v>210</v>
      </c>
      <c r="U42" s="285" t="s">
        <v>3</v>
      </c>
      <c r="V42" s="286"/>
      <c r="W42" s="285" t="s">
        <v>210</v>
      </c>
      <c r="X42" s="142"/>
      <c r="Y42" s="287">
        <f ca="1">science_cap*(1-EXP(-TblImps[[#This Row],[Σ Science]]/(science_param*(OFFSET(TblImps[[#This Row],[Land]],1,0)-OFFSET(TblExplore[[#This Row],[Land Bonus]],1,0)*20)+15000)))*(1+(mason_bonus*TblConstr[[#This Row],[Tot Mas]]/TblConstr[[#This Row],[Land (2)]]))</f>
        <v>0</v>
      </c>
      <c r="Z42" s="287">
        <f ca="1">keep_cap*(1-EXP(-TblImps[[#This Row],[Σ Keep]]/(keep_param*(OFFSET(TblImps[[#This Row],[Land]],1,0)-OFFSET(TblExplore[[#This Row],[Land Bonus]],1,0)*20)+15000)))*(1+(mason_bonus*TblConstr[[#This Row],[Tot Mas]]/TblConstr[[#This Row],[Land (2)]]))</f>
        <v>0</v>
      </c>
      <c r="AA42" s="287">
        <f ca="1">harbor_towers_cap*(1-EXP(-TblImps[[#This Row],[Σ Spires]]/(towers_param*(OFFSET(TblImps[[#This Row],[Land]],1,0)-OFFSET(TblExplore[[#This Row],[Land Bonus]],1,0)*20)+15000)))*(1+(mason_bonus*TblConstr[[#This Row],[Tot Mas]]/TblConstr[[#This Row],[Land (2)]]))</f>
        <v>0</v>
      </c>
      <c r="AB42" s="287">
        <f ca="1">walls_forges_cap*(1-EXP(-TblImps[[#This Row],[Σ Forges]]/(walls_forges_param*(OFFSET(TblImps[[#This Row],[Land]],1,0)-OFFSET(TblExplore[[#This Row],[Land Bonus]],1,0)*20)+15000)))*(1+(mason_bonus*TblConstr[[#This Row],[Tot Mas]]/TblConstr[[#This Row],[Land (2)]]))</f>
        <v>0</v>
      </c>
      <c r="AC42" s="287">
        <f ca="1">walls_forges_cap*(1-EXP(-TblImps[[#This Row],[Σ Walls]]/(walls_forges_param*(OFFSET(TblImps[[#This Row],[Land]],1,0)-OFFSET(TblExplore[[#This Row],[Land Bonus]],1,0)*20)+15000)))*(1+(mason_bonus*TblConstr[[#This Row],[Tot Mas]]/TblConstr[[#This Row],[Land (2)]]))</f>
        <v>0</v>
      </c>
      <c r="AD42" s="287">
        <f ca="1">harbor_towers_cap*(1-EXP(-TblImps[[#This Row],[Σ Harbor]]/(harbor_towers_param*(OFFSET(TblImps[[#This Row],[Land]],1,0)-OFFSET(TblExplore[[#This Row],[Land Bonus]],1,0)*20)+15000)))*(1+(mason_bonus*TblConstr[[#This Row],[Tot Mas]]/TblConstr[[#This Row],[Land (2)]]))</f>
        <v>0</v>
      </c>
      <c r="AE42" s="142"/>
      <c r="AF42" s="61">
        <f ca="1">(1+Overview!$I$29)*SUM(TblImps[[#This Row],[P2]:[G2]])+OFFSET(TblImps[[#This Row],[Σ Science]],-1,0)</f>
        <v>0</v>
      </c>
      <c r="AG42" s="61">
        <f ca="1">(1+Overview!$I$29)*SUM(TblImps[[#This Row],[P3]:[G3]])+OFFSET(TblImps[[#This Row],[Σ Keep]],-1,0)</f>
        <v>0</v>
      </c>
      <c r="AH42" s="61">
        <f ca="1">(1+Overview!$I$29 + tech_7_1*TblTech[[#This Row],[7-1]])*SUM(TblImps[[#This Row],[P4]:[G4]])+OFFSET(TblImps[[#This Row],[Σ Spires]],-1,0)</f>
        <v>0</v>
      </c>
      <c r="AI42" s="61">
        <f ca="1">(1+Overview!$I$29)*SUM(TblImps[[#This Row],[P5]:[FW5]])+OFFSET(TblImps[[#This Row],[Σ Forges]],-1,0)</f>
        <v>0</v>
      </c>
      <c r="AJ42" s="61">
        <f ca="1">(1+Overview!$I$29)*SUM(TblImps[[#This Row],[P6]:[G6]])+OFFSET(TblImps[[#This Row],[Σ Walls]],-1,0)</f>
        <v>0</v>
      </c>
      <c r="AK42" s="61">
        <f ca="1">(1+Overview!$I$29 + tech_7_1*TblTech[[#This Row],[7-1]])*SUM(TblImps[[#This Row],[P7]:[G7]])+OFFSET(TblImps[[#This Row],[Σ Harbor]],-1,0)</f>
        <v>0</v>
      </c>
      <c r="AL42" s="142"/>
      <c r="AM42" s="57">
        <f>IF(AND(TblImps[[#This Row],[Resource]]=AM$2,TblImps[[#This Row],[Part]]&lt;&gt;""),TblImps[[#This Row],[Amount]]) + IF(AND(TblImps[[#This Row],[Resource 2]]=AM$2,TblImps[[#This Row],[Part 2]]&lt;&gt;""),TblImps[[#This Row],[Amount 2]]) + IF(AND(TblImps[[#This Row],[Resource 3]]=AM$2,TblImps[[#This Row],[Part 3]]&lt;&gt;""),TblImps[[#This Row],[Amount 3]])</f>
        <v>0</v>
      </c>
      <c r="AN42" s="57">
        <f>IF(AND(TblImps[[#This Row],[Resource]]=AN$2,TblImps[[#This Row],[Part]]&lt;&gt;""),TblImps[[#This Row],[Amount]]) + IF(AND(TblImps[[#This Row],[Resource 2]]=AN$2,TblImps[[#This Row],[Part 2]]&lt;&gt;""),TblImps[[#This Row],[Amount 2]]) + IF(AND(TblImps[[#This Row],[Resource 3]]=AN$2,TblImps[[#This Row],[Part 3]]&lt;&gt;""),TblImps[[#This Row],[Amount 3]])</f>
        <v>0</v>
      </c>
      <c r="AO42" s="57">
        <f>IF(AND(TblImps[[#This Row],[Resource]]=AO$2,TblImps[[#This Row],[Part]]&lt;&gt;""),TblImps[[#This Row],[Amount]]) + IF(AND(TblImps[[#This Row],[Resource 2]]=AO$2,TblImps[[#This Row],[Part 2]]&lt;&gt;""),TblImps[[#This Row],[Amount 2]]) + IF(AND(TblImps[[#This Row],[Resource 3]]=AO$2,TblImps[[#This Row],[Part 3]]&lt;&gt;""),TblImps[[#This Row],[Amount 3]])</f>
        <v>0</v>
      </c>
      <c r="AP42" s="57">
        <f>IF(AND(TblImps[[#This Row],[Resource]]=AP$2,TblImps[[#This Row],[Part]]&lt;&gt;""),TblImps[[#This Row],[Amount]]) + IF(AND(TblImps[[#This Row],[Resource 2]]=AP$2,TblImps[[#This Row],[Part 2]]&lt;&gt;""),TblImps[[#This Row],[Amount 2]]) + IF(AND(TblImps[[#This Row],[Resource 3]]=AP$2,TblImps[[#This Row],[Part 3]]&lt;&gt;""),TblImps[[#This Row],[Amount 3]])</f>
        <v>0</v>
      </c>
      <c r="AQ42" s="142"/>
      <c r="AR4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142"/>
      <c r="AW4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142"/>
      <c r="BB4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142"/>
      <c r="BG4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57">
        <f ca="1">IF(OFFSET(TblMagic[[#This Row],[Active Alchemists Flame]],-1,0)&gt;0,TblConstr[[#This Row],[Tot Alc]]*alchemist_flame_invest,0)</f>
        <v>0</v>
      </c>
      <c r="BL42" s="142"/>
      <c r="BM4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2" s="142"/>
      <c r="BR4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2" s="142"/>
      <c r="BW4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2" s="61">
        <f>TblImps[[#This Row],[Login]]</f>
        <v>0</v>
      </c>
      <c r="BY42" s="137"/>
      <c r="BZ42" s="293">
        <f ca="1">OFFSET(TblImps[[#This Row],[Real time]],-1,0)+1/24</f>
        <v>46321.583333333241</v>
      </c>
      <c r="CA42" s="294">
        <f ca="1">OFFSET(TblImps[[#This Row],[Servertime]],-1,0)+1/24</f>
        <v>46321.583333333241</v>
      </c>
      <c r="CB42" s="297"/>
      <c r="CC42" s="292"/>
      <c r="CD42" s="292"/>
    </row>
    <row r="43" spans="1:83" x14ac:dyDescent="0.2">
      <c r="A43" s="214">
        <f ca="1">TblConstr[[#This Row],[Land]]</f>
        <v>50</v>
      </c>
      <c r="B43" s="142"/>
      <c r="C43" s="94">
        <f ca="1">TblProd[[#This Row],[Platinum]]</f>
        <v>161091</v>
      </c>
      <c r="D43" s="94">
        <f ca="1">TblProd[[#This Row],[Lumber]]</f>
        <v>42562</v>
      </c>
      <c r="E43" s="94">
        <f ca="1">TblProd[[#This Row],[Ore]]</f>
        <v>0</v>
      </c>
      <c r="F43" s="94">
        <f ca="1">TblProd[[#This Row],[Gems]]</f>
        <v>0</v>
      </c>
      <c r="G43" s="154"/>
      <c r="H43" s="94">
        <f ca="1">TblMili[[#This Row],[Draftees]]</f>
        <v>450</v>
      </c>
      <c r="I43" s="180">
        <f ca="1">TblPop[[#This Row],[Employment]]</f>
        <v>1</v>
      </c>
      <c r="J43" s="180">
        <f ca="1">TblPop[[#This Row],[Total]]/TblPop[[#This Row],[Net max]]</f>
        <v>1</v>
      </c>
      <c r="K43" s="283">
        <f>TblRezone[[#This Row],[Hour]]</f>
        <v>40</v>
      </c>
      <c r="L43" s="284">
        <f ca="1">TblImps[[#This Row],[Real time]]</f>
        <v>46321.624999999905</v>
      </c>
      <c r="M43" s="61">
        <f>IF(ISERROR(TblImps[[#This Row],[algorithm]]),0,TblImps[[#This Row],[algorithm]]*1)</f>
        <v>0</v>
      </c>
      <c r="N43" s="94">
        <f ca="1">TblImps[[#This Row],[Land]]</f>
        <v>50</v>
      </c>
      <c r="O43" s="285" t="s">
        <v>4</v>
      </c>
      <c r="P43" s="286"/>
      <c r="Q43" s="285" t="s">
        <v>210</v>
      </c>
      <c r="R43" s="285" t="s">
        <v>7</v>
      </c>
      <c r="S43" s="286"/>
      <c r="T43" s="285" t="s">
        <v>210</v>
      </c>
      <c r="U43" s="285" t="s">
        <v>3</v>
      </c>
      <c r="V43" s="286"/>
      <c r="W43" s="285" t="s">
        <v>210</v>
      </c>
      <c r="X43" s="142"/>
      <c r="Y43" s="287">
        <f ca="1">science_cap*(1-EXP(-TblImps[[#This Row],[Σ Science]]/(science_param*(OFFSET(TblImps[[#This Row],[Land]],1,0)-OFFSET(TblExplore[[#This Row],[Land Bonus]],1,0)*20)+15000)))*(1+(mason_bonus*TblConstr[[#This Row],[Tot Mas]]/TblConstr[[#This Row],[Land (2)]]))</f>
        <v>0</v>
      </c>
      <c r="Z43" s="287">
        <f ca="1">keep_cap*(1-EXP(-TblImps[[#This Row],[Σ Keep]]/(keep_param*(OFFSET(TblImps[[#This Row],[Land]],1,0)-OFFSET(TblExplore[[#This Row],[Land Bonus]],1,0)*20)+15000)))*(1+(mason_bonus*TblConstr[[#This Row],[Tot Mas]]/TblConstr[[#This Row],[Land (2)]]))</f>
        <v>0</v>
      </c>
      <c r="AA43" s="287">
        <f ca="1">harbor_towers_cap*(1-EXP(-TblImps[[#This Row],[Σ Spires]]/(towers_param*(OFFSET(TblImps[[#This Row],[Land]],1,0)-OFFSET(TblExplore[[#This Row],[Land Bonus]],1,0)*20)+15000)))*(1+(mason_bonus*TblConstr[[#This Row],[Tot Mas]]/TblConstr[[#This Row],[Land (2)]]))</f>
        <v>0</v>
      </c>
      <c r="AB43" s="287">
        <f ca="1">walls_forges_cap*(1-EXP(-TblImps[[#This Row],[Σ Forges]]/(walls_forges_param*(OFFSET(TblImps[[#This Row],[Land]],1,0)-OFFSET(TblExplore[[#This Row],[Land Bonus]],1,0)*20)+15000)))*(1+(mason_bonus*TblConstr[[#This Row],[Tot Mas]]/TblConstr[[#This Row],[Land (2)]]))</f>
        <v>0</v>
      </c>
      <c r="AC43" s="287">
        <f ca="1">walls_forges_cap*(1-EXP(-TblImps[[#This Row],[Σ Walls]]/(walls_forges_param*(OFFSET(TblImps[[#This Row],[Land]],1,0)-OFFSET(TblExplore[[#This Row],[Land Bonus]],1,0)*20)+15000)))*(1+(mason_bonus*TblConstr[[#This Row],[Tot Mas]]/TblConstr[[#This Row],[Land (2)]]))</f>
        <v>0</v>
      </c>
      <c r="AD43" s="287">
        <f ca="1">harbor_towers_cap*(1-EXP(-TblImps[[#This Row],[Σ Harbor]]/(harbor_towers_param*(OFFSET(TblImps[[#This Row],[Land]],1,0)-OFFSET(TblExplore[[#This Row],[Land Bonus]],1,0)*20)+15000)))*(1+(mason_bonus*TblConstr[[#This Row],[Tot Mas]]/TblConstr[[#This Row],[Land (2)]]))</f>
        <v>0</v>
      </c>
      <c r="AE43" s="142"/>
      <c r="AF43" s="61">
        <f ca="1">(1+Overview!$I$29)*SUM(TblImps[[#This Row],[P2]:[G2]])+OFFSET(TblImps[[#This Row],[Σ Science]],-1,0)</f>
        <v>0</v>
      </c>
      <c r="AG43" s="61">
        <f ca="1">(1+Overview!$I$29)*SUM(TblImps[[#This Row],[P3]:[G3]])+OFFSET(TblImps[[#This Row],[Σ Keep]],-1,0)</f>
        <v>0</v>
      </c>
      <c r="AH43" s="61">
        <f ca="1">(1+Overview!$I$29 + tech_7_1*TblTech[[#This Row],[7-1]])*SUM(TblImps[[#This Row],[P4]:[G4]])+OFFSET(TblImps[[#This Row],[Σ Spires]],-1,0)</f>
        <v>0</v>
      </c>
      <c r="AI43" s="61">
        <f ca="1">(1+Overview!$I$29)*SUM(TblImps[[#This Row],[P5]:[FW5]])+OFFSET(TblImps[[#This Row],[Σ Forges]],-1,0)</f>
        <v>0</v>
      </c>
      <c r="AJ43" s="61">
        <f ca="1">(1+Overview!$I$29)*SUM(TblImps[[#This Row],[P6]:[G6]])+OFFSET(TblImps[[#This Row],[Σ Walls]],-1,0)</f>
        <v>0</v>
      </c>
      <c r="AK43" s="61">
        <f ca="1">(1+Overview!$I$29 + tech_7_1*TblTech[[#This Row],[7-1]])*SUM(TblImps[[#This Row],[P7]:[G7]])+OFFSET(TblImps[[#This Row],[Σ Harbor]],-1,0)</f>
        <v>0</v>
      </c>
      <c r="AL43" s="142"/>
      <c r="AM43" s="57">
        <f>IF(AND(TblImps[[#This Row],[Resource]]=AM$2,TblImps[[#This Row],[Part]]&lt;&gt;""),TblImps[[#This Row],[Amount]]) + IF(AND(TblImps[[#This Row],[Resource 2]]=AM$2,TblImps[[#This Row],[Part 2]]&lt;&gt;""),TblImps[[#This Row],[Amount 2]]) + IF(AND(TblImps[[#This Row],[Resource 3]]=AM$2,TblImps[[#This Row],[Part 3]]&lt;&gt;""),TblImps[[#This Row],[Amount 3]])</f>
        <v>0</v>
      </c>
      <c r="AN43" s="57">
        <f>IF(AND(TblImps[[#This Row],[Resource]]=AN$2,TblImps[[#This Row],[Part]]&lt;&gt;""),TblImps[[#This Row],[Amount]]) + IF(AND(TblImps[[#This Row],[Resource 2]]=AN$2,TblImps[[#This Row],[Part 2]]&lt;&gt;""),TblImps[[#This Row],[Amount 2]]) + IF(AND(TblImps[[#This Row],[Resource 3]]=AN$2,TblImps[[#This Row],[Part 3]]&lt;&gt;""),TblImps[[#This Row],[Amount 3]])</f>
        <v>0</v>
      </c>
      <c r="AO43" s="57">
        <f>IF(AND(TblImps[[#This Row],[Resource]]=AO$2,TblImps[[#This Row],[Part]]&lt;&gt;""),TblImps[[#This Row],[Amount]]) + IF(AND(TblImps[[#This Row],[Resource 2]]=AO$2,TblImps[[#This Row],[Part 2]]&lt;&gt;""),TblImps[[#This Row],[Amount 2]]) + IF(AND(TblImps[[#This Row],[Resource 3]]=AO$2,TblImps[[#This Row],[Part 3]]&lt;&gt;""),TblImps[[#This Row],[Amount 3]])</f>
        <v>0</v>
      </c>
      <c r="AP43" s="57">
        <f>IF(AND(TblImps[[#This Row],[Resource]]=AP$2,TblImps[[#This Row],[Part]]&lt;&gt;""),TblImps[[#This Row],[Amount]]) + IF(AND(TblImps[[#This Row],[Resource 2]]=AP$2,TblImps[[#This Row],[Part 2]]&lt;&gt;""),TblImps[[#This Row],[Amount 2]]) + IF(AND(TblImps[[#This Row],[Resource 3]]=AP$2,TblImps[[#This Row],[Part 3]]&lt;&gt;""),TblImps[[#This Row],[Amount 3]])</f>
        <v>0</v>
      </c>
      <c r="AQ43" s="142"/>
      <c r="AR4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142"/>
      <c r="AW4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142"/>
      <c r="BB4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142"/>
      <c r="BG4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57">
        <f ca="1">IF(OFFSET(TblMagic[[#This Row],[Active Alchemists Flame]],-1,0)&gt;0,TblConstr[[#This Row],[Tot Alc]]*alchemist_flame_invest,0)</f>
        <v>0</v>
      </c>
      <c r="BL43" s="142"/>
      <c r="BM4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3" s="142"/>
      <c r="BR4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3" s="142"/>
      <c r="BW4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3" s="61">
        <f>TblImps[[#This Row],[Login]]</f>
        <v>0</v>
      </c>
      <c r="BY43" s="137"/>
      <c r="BZ43" s="293">
        <f ca="1">OFFSET(TblImps[[#This Row],[Real time]],-1,0)+1/24</f>
        <v>46321.624999999905</v>
      </c>
      <c r="CA43" s="294">
        <f ca="1">OFFSET(TblImps[[#This Row],[Servertime]],-1,0)+1/24</f>
        <v>46321.624999999905</v>
      </c>
      <c r="CB43" s="57"/>
      <c r="CC43" s="292"/>
      <c r="CD43" s="292"/>
    </row>
    <row r="44" spans="1:83" x14ac:dyDescent="0.2">
      <c r="A44" s="214">
        <f ca="1">TblConstr[[#This Row],[Land]]</f>
        <v>50</v>
      </c>
      <c r="B44" s="142"/>
      <c r="C44" s="94">
        <f ca="1">TblProd[[#This Row],[Platinum]]</f>
        <v>161952</v>
      </c>
      <c r="D44" s="94">
        <f ca="1">TblProd[[#This Row],[Lumber]]</f>
        <v>43136</v>
      </c>
      <c r="E44" s="94">
        <f ca="1">TblProd[[#This Row],[Ore]]</f>
        <v>0</v>
      </c>
      <c r="F44" s="94">
        <f ca="1">TblProd[[#This Row],[Gems]]</f>
        <v>0</v>
      </c>
      <c r="G44" s="154"/>
      <c r="H44" s="94">
        <f ca="1">TblMili[[#This Row],[Draftees]]</f>
        <v>453</v>
      </c>
      <c r="I44" s="180">
        <f ca="1">TblPop[[#This Row],[Employment]]</f>
        <v>1</v>
      </c>
      <c r="J44" s="180">
        <f ca="1">TblPop[[#This Row],[Total]]/TblPop[[#This Row],[Net max]]</f>
        <v>1</v>
      </c>
      <c r="K44" s="283">
        <f>TblRezone[[#This Row],[Hour]]</f>
        <v>41</v>
      </c>
      <c r="L44" s="284">
        <f ca="1">TblImps[[#This Row],[Real time]]</f>
        <v>46321.66666666657</v>
      </c>
      <c r="M44" s="61">
        <f>IF(ISERROR(TblImps[[#This Row],[algorithm]]),0,TblImps[[#This Row],[algorithm]]*1)</f>
        <v>0</v>
      </c>
      <c r="N44" s="94">
        <f ca="1">TblImps[[#This Row],[Land]]</f>
        <v>50</v>
      </c>
      <c r="O44" s="285" t="s">
        <v>4</v>
      </c>
      <c r="P44" s="286"/>
      <c r="Q44" s="285" t="s">
        <v>210</v>
      </c>
      <c r="R44" s="285" t="s">
        <v>7</v>
      </c>
      <c r="S44" s="286"/>
      <c r="T44" s="285" t="s">
        <v>210</v>
      </c>
      <c r="U44" s="285" t="s">
        <v>3</v>
      </c>
      <c r="V44" s="286"/>
      <c r="W44" s="285" t="s">
        <v>210</v>
      </c>
      <c r="X44" s="142"/>
      <c r="Y44" s="287">
        <f ca="1">science_cap*(1-EXP(-TblImps[[#This Row],[Σ Science]]/(science_param*(OFFSET(TblImps[[#This Row],[Land]],1,0)-OFFSET(TblExplore[[#This Row],[Land Bonus]],1,0)*20)+15000)))*(1+(mason_bonus*TblConstr[[#This Row],[Tot Mas]]/TblConstr[[#This Row],[Land (2)]]))</f>
        <v>0</v>
      </c>
      <c r="Z44" s="287">
        <f ca="1">keep_cap*(1-EXP(-TblImps[[#This Row],[Σ Keep]]/(keep_param*(OFFSET(TblImps[[#This Row],[Land]],1,0)-OFFSET(TblExplore[[#This Row],[Land Bonus]],1,0)*20)+15000)))*(1+(mason_bonus*TblConstr[[#This Row],[Tot Mas]]/TblConstr[[#This Row],[Land (2)]]))</f>
        <v>0</v>
      </c>
      <c r="AA44" s="287">
        <f ca="1">harbor_towers_cap*(1-EXP(-TblImps[[#This Row],[Σ Spires]]/(towers_param*(OFFSET(TblImps[[#This Row],[Land]],1,0)-OFFSET(TblExplore[[#This Row],[Land Bonus]],1,0)*20)+15000)))*(1+(mason_bonus*TblConstr[[#This Row],[Tot Mas]]/TblConstr[[#This Row],[Land (2)]]))</f>
        <v>0</v>
      </c>
      <c r="AB44" s="287">
        <f ca="1">walls_forges_cap*(1-EXP(-TblImps[[#This Row],[Σ Forges]]/(walls_forges_param*(OFFSET(TblImps[[#This Row],[Land]],1,0)-OFFSET(TblExplore[[#This Row],[Land Bonus]],1,0)*20)+15000)))*(1+(mason_bonus*TblConstr[[#This Row],[Tot Mas]]/TblConstr[[#This Row],[Land (2)]]))</f>
        <v>0</v>
      </c>
      <c r="AC44" s="287">
        <f ca="1">walls_forges_cap*(1-EXP(-TblImps[[#This Row],[Σ Walls]]/(walls_forges_param*(OFFSET(TblImps[[#This Row],[Land]],1,0)-OFFSET(TblExplore[[#This Row],[Land Bonus]],1,0)*20)+15000)))*(1+(mason_bonus*TblConstr[[#This Row],[Tot Mas]]/TblConstr[[#This Row],[Land (2)]]))</f>
        <v>0</v>
      </c>
      <c r="AD44" s="287">
        <f ca="1">harbor_towers_cap*(1-EXP(-TblImps[[#This Row],[Σ Harbor]]/(harbor_towers_param*(OFFSET(TblImps[[#This Row],[Land]],1,0)-OFFSET(TblExplore[[#This Row],[Land Bonus]],1,0)*20)+15000)))*(1+(mason_bonus*TblConstr[[#This Row],[Tot Mas]]/TblConstr[[#This Row],[Land (2)]]))</f>
        <v>0</v>
      </c>
      <c r="AE44" s="142"/>
      <c r="AF44" s="61">
        <f ca="1">(1+Overview!$I$29)*SUM(TblImps[[#This Row],[P2]:[G2]])+OFFSET(TblImps[[#This Row],[Σ Science]],-1,0)</f>
        <v>0</v>
      </c>
      <c r="AG44" s="61">
        <f ca="1">(1+Overview!$I$29)*SUM(TblImps[[#This Row],[P3]:[G3]])+OFFSET(TblImps[[#This Row],[Σ Keep]],-1,0)</f>
        <v>0</v>
      </c>
      <c r="AH44" s="61">
        <f ca="1">(1+Overview!$I$29 + tech_7_1*TblTech[[#This Row],[7-1]])*SUM(TblImps[[#This Row],[P4]:[G4]])+OFFSET(TblImps[[#This Row],[Σ Spires]],-1,0)</f>
        <v>0</v>
      </c>
      <c r="AI44" s="61">
        <f ca="1">(1+Overview!$I$29)*SUM(TblImps[[#This Row],[P5]:[FW5]])+OFFSET(TblImps[[#This Row],[Σ Forges]],-1,0)</f>
        <v>0</v>
      </c>
      <c r="AJ44" s="61">
        <f ca="1">(1+Overview!$I$29)*SUM(TblImps[[#This Row],[P6]:[G6]])+OFFSET(TblImps[[#This Row],[Σ Walls]],-1,0)</f>
        <v>0</v>
      </c>
      <c r="AK44" s="61">
        <f ca="1">(1+Overview!$I$29 + tech_7_1*TblTech[[#This Row],[7-1]])*SUM(TblImps[[#This Row],[P7]:[G7]])+OFFSET(TblImps[[#This Row],[Σ Harbor]],-1,0)</f>
        <v>0</v>
      </c>
      <c r="AL44" s="142"/>
      <c r="AM44" s="57">
        <f>IF(AND(TblImps[[#This Row],[Resource]]=AM$2,TblImps[[#This Row],[Part]]&lt;&gt;""),TblImps[[#This Row],[Amount]]) + IF(AND(TblImps[[#This Row],[Resource 2]]=AM$2,TblImps[[#This Row],[Part 2]]&lt;&gt;""),TblImps[[#This Row],[Amount 2]]) + IF(AND(TblImps[[#This Row],[Resource 3]]=AM$2,TblImps[[#This Row],[Part 3]]&lt;&gt;""),TblImps[[#This Row],[Amount 3]])</f>
        <v>0</v>
      </c>
      <c r="AN44" s="57">
        <f>IF(AND(TblImps[[#This Row],[Resource]]=AN$2,TblImps[[#This Row],[Part]]&lt;&gt;""),TblImps[[#This Row],[Amount]]) + IF(AND(TblImps[[#This Row],[Resource 2]]=AN$2,TblImps[[#This Row],[Part 2]]&lt;&gt;""),TblImps[[#This Row],[Amount 2]]) + IF(AND(TblImps[[#This Row],[Resource 3]]=AN$2,TblImps[[#This Row],[Part 3]]&lt;&gt;""),TblImps[[#This Row],[Amount 3]])</f>
        <v>0</v>
      </c>
      <c r="AO44" s="57">
        <f>IF(AND(TblImps[[#This Row],[Resource]]=AO$2,TblImps[[#This Row],[Part]]&lt;&gt;""),TblImps[[#This Row],[Amount]]) + IF(AND(TblImps[[#This Row],[Resource 2]]=AO$2,TblImps[[#This Row],[Part 2]]&lt;&gt;""),TblImps[[#This Row],[Amount 2]]) + IF(AND(TblImps[[#This Row],[Resource 3]]=AO$2,TblImps[[#This Row],[Part 3]]&lt;&gt;""),TblImps[[#This Row],[Amount 3]])</f>
        <v>0</v>
      </c>
      <c r="AP44" s="57">
        <f>IF(AND(TblImps[[#This Row],[Resource]]=AP$2,TblImps[[#This Row],[Part]]&lt;&gt;""),TblImps[[#This Row],[Amount]]) + IF(AND(TblImps[[#This Row],[Resource 2]]=AP$2,TblImps[[#This Row],[Part 2]]&lt;&gt;""),TblImps[[#This Row],[Amount 2]]) + IF(AND(TblImps[[#This Row],[Resource 3]]=AP$2,TblImps[[#This Row],[Part 3]]&lt;&gt;""),TblImps[[#This Row],[Amount 3]])</f>
        <v>0</v>
      </c>
      <c r="AQ44" s="142"/>
      <c r="AR4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142"/>
      <c r="AW4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142"/>
      <c r="BB4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142"/>
      <c r="BG4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57">
        <f ca="1">IF(OFFSET(TblMagic[[#This Row],[Active Alchemists Flame]],-1,0)&gt;0,TblConstr[[#This Row],[Tot Alc]]*alchemist_flame_invest,0)</f>
        <v>0</v>
      </c>
      <c r="BL44" s="142"/>
      <c r="BM4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4" s="142"/>
      <c r="BR4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4" s="142"/>
      <c r="BW4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4" s="61">
        <f>TblImps[[#This Row],[Login]]</f>
        <v>0</v>
      </c>
      <c r="BY44" s="137"/>
      <c r="BZ44" s="293">
        <f ca="1">OFFSET(TblImps[[#This Row],[Real time]],-1,0)+1/24</f>
        <v>46321.66666666657</v>
      </c>
      <c r="CA44" s="294">
        <f ca="1">OFFSET(TblImps[[#This Row],[Servertime]],-1,0)+1/24</f>
        <v>46321.66666666657</v>
      </c>
      <c r="CB44" s="57"/>
      <c r="CC44" s="292"/>
      <c r="CD44" s="292"/>
    </row>
    <row r="45" spans="1:83" x14ac:dyDescent="0.2">
      <c r="A45" s="214">
        <f ca="1">TblConstr[[#This Row],[Land]]</f>
        <v>50</v>
      </c>
      <c r="B45" s="142"/>
      <c r="C45" s="94">
        <f ca="1">TblProd[[#This Row],[Platinum]]</f>
        <v>162805</v>
      </c>
      <c r="D45" s="94">
        <f ca="1">TblProd[[#This Row],[Lumber]]</f>
        <v>43705</v>
      </c>
      <c r="E45" s="94">
        <f ca="1">TblProd[[#This Row],[Ore]]</f>
        <v>0</v>
      </c>
      <c r="F45" s="94">
        <f ca="1">TblProd[[#This Row],[Gems]]</f>
        <v>0</v>
      </c>
      <c r="G45" s="154"/>
      <c r="H45" s="94">
        <f ca="1">TblMili[[#This Row],[Draftees]]</f>
        <v>456</v>
      </c>
      <c r="I45" s="180">
        <f ca="1">TblPop[[#This Row],[Employment]]</f>
        <v>1</v>
      </c>
      <c r="J45" s="180">
        <f ca="1">TblPop[[#This Row],[Total]]/TblPop[[#This Row],[Net max]]</f>
        <v>1</v>
      </c>
      <c r="K45" s="283">
        <f>TblRezone[[#This Row],[Hour]]</f>
        <v>42</v>
      </c>
      <c r="L45" s="284">
        <f ca="1">TblImps[[#This Row],[Real time]]</f>
        <v>46321.708333333234</v>
      </c>
      <c r="M45" s="61">
        <f>IF(ISERROR(TblImps[[#This Row],[algorithm]]),0,TblImps[[#This Row],[algorithm]]*1)</f>
        <v>0</v>
      </c>
      <c r="N45" s="94">
        <f ca="1">TblImps[[#This Row],[Land]]</f>
        <v>50</v>
      </c>
      <c r="O45" s="285" t="s">
        <v>4</v>
      </c>
      <c r="P45" s="286"/>
      <c r="Q45" s="285" t="s">
        <v>210</v>
      </c>
      <c r="R45" s="285" t="s">
        <v>7</v>
      </c>
      <c r="S45" s="286"/>
      <c r="T45" s="285" t="s">
        <v>210</v>
      </c>
      <c r="U45" s="285" t="s">
        <v>3</v>
      </c>
      <c r="V45" s="286"/>
      <c r="W45" s="285" t="s">
        <v>210</v>
      </c>
      <c r="X45" s="142"/>
      <c r="Y45" s="287">
        <f ca="1">science_cap*(1-EXP(-TblImps[[#This Row],[Σ Science]]/(science_param*(OFFSET(TblImps[[#This Row],[Land]],1,0)-OFFSET(TblExplore[[#This Row],[Land Bonus]],1,0)*20)+15000)))*(1+(mason_bonus*TblConstr[[#This Row],[Tot Mas]]/TblConstr[[#This Row],[Land (2)]]))</f>
        <v>0</v>
      </c>
      <c r="Z45" s="287">
        <f ca="1">keep_cap*(1-EXP(-TblImps[[#This Row],[Σ Keep]]/(keep_param*(OFFSET(TblImps[[#This Row],[Land]],1,0)-OFFSET(TblExplore[[#This Row],[Land Bonus]],1,0)*20)+15000)))*(1+(mason_bonus*TblConstr[[#This Row],[Tot Mas]]/TblConstr[[#This Row],[Land (2)]]))</f>
        <v>0</v>
      </c>
      <c r="AA45" s="287">
        <f ca="1">harbor_towers_cap*(1-EXP(-TblImps[[#This Row],[Σ Spires]]/(towers_param*(OFFSET(TblImps[[#This Row],[Land]],1,0)-OFFSET(TblExplore[[#This Row],[Land Bonus]],1,0)*20)+15000)))*(1+(mason_bonus*TblConstr[[#This Row],[Tot Mas]]/TblConstr[[#This Row],[Land (2)]]))</f>
        <v>0</v>
      </c>
      <c r="AB45" s="287">
        <f ca="1">walls_forges_cap*(1-EXP(-TblImps[[#This Row],[Σ Forges]]/(walls_forges_param*(OFFSET(TblImps[[#This Row],[Land]],1,0)-OFFSET(TblExplore[[#This Row],[Land Bonus]],1,0)*20)+15000)))*(1+(mason_bonus*TblConstr[[#This Row],[Tot Mas]]/TblConstr[[#This Row],[Land (2)]]))</f>
        <v>0</v>
      </c>
      <c r="AC45" s="287">
        <f ca="1">walls_forges_cap*(1-EXP(-TblImps[[#This Row],[Σ Walls]]/(walls_forges_param*(OFFSET(TblImps[[#This Row],[Land]],1,0)-OFFSET(TblExplore[[#This Row],[Land Bonus]],1,0)*20)+15000)))*(1+(mason_bonus*TblConstr[[#This Row],[Tot Mas]]/TblConstr[[#This Row],[Land (2)]]))</f>
        <v>0</v>
      </c>
      <c r="AD45" s="287">
        <f ca="1">harbor_towers_cap*(1-EXP(-TblImps[[#This Row],[Σ Harbor]]/(harbor_towers_param*(OFFSET(TblImps[[#This Row],[Land]],1,0)-OFFSET(TblExplore[[#This Row],[Land Bonus]],1,0)*20)+15000)))*(1+(mason_bonus*TblConstr[[#This Row],[Tot Mas]]/TblConstr[[#This Row],[Land (2)]]))</f>
        <v>0</v>
      </c>
      <c r="AE45" s="142"/>
      <c r="AF45" s="61">
        <f ca="1">(1+Overview!$I$29)*SUM(TblImps[[#This Row],[P2]:[G2]])+OFFSET(TblImps[[#This Row],[Σ Science]],-1,0)</f>
        <v>0</v>
      </c>
      <c r="AG45" s="61">
        <f ca="1">(1+Overview!$I$29)*SUM(TblImps[[#This Row],[P3]:[G3]])+OFFSET(TblImps[[#This Row],[Σ Keep]],-1,0)</f>
        <v>0</v>
      </c>
      <c r="AH45" s="61">
        <f ca="1">(1+Overview!$I$29 + tech_7_1*TblTech[[#This Row],[7-1]])*SUM(TblImps[[#This Row],[P4]:[G4]])+OFFSET(TblImps[[#This Row],[Σ Spires]],-1,0)</f>
        <v>0</v>
      </c>
      <c r="AI45" s="61">
        <f ca="1">(1+Overview!$I$29)*SUM(TblImps[[#This Row],[P5]:[FW5]])+OFFSET(TblImps[[#This Row],[Σ Forges]],-1,0)</f>
        <v>0</v>
      </c>
      <c r="AJ45" s="61">
        <f ca="1">(1+Overview!$I$29)*SUM(TblImps[[#This Row],[P6]:[G6]])+OFFSET(TblImps[[#This Row],[Σ Walls]],-1,0)</f>
        <v>0</v>
      </c>
      <c r="AK45" s="61">
        <f ca="1">(1+Overview!$I$29 + tech_7_1*TblTech[[#This Row],[7-1]])*SUM(TblImps[[#This Row],[P7]:[G7]])+OFFSET(TblImps[[#This Row],[Σ Harbor]],-1,0)</f>
        <v>0</v>
      </c>
      <c r="AL45" s="142"/>
      <c r="AM45" s="57">
        <f>IF(AND(TblImps[[#This Row],[Resource]]=AM$2,TblImps[[#This Row],[Part]]&lt;&gt;""),TblImps[[#This Row],[Amount]]) + IF(AND(TblImps[[#This Row],[Resource 2]]=AM$2,TblImps[[#This Row],[Part 2]]&lt;&gt;""),TblImps[[#This Row],[Amount 2]]) + IF(AND(TblImps[[#This Row],[Resource 3]]=AM$2,TblImps[[#This Row],[Part 3]]&lt;&gt;""),TblImps[[#This Row],[Amount 3]])</f>
        <v>0</v>
      </c>
      <c r="AN45" s="57">
        <f>IF(AND(TblImps[[#This Row],[Resource]]=AN$2,TblImps[[#This Row],[Part]]&lt;&gt;""),TblImps[[#This Row],[Amount]]) + IF(AND(TblImps[[#This Row],[Resource 2]]=AN$2,TblImps[[#This Row],[Part 2]]&lt;&gt;""),TblImps[[#This Row],[Amount 2]]) + IF(AND(TblImps[[#This Row],[Resource 3]]=AN$2,TblImps[[#This Row],[Part 3]]&lt;&gt;""),TblImps[[#This Row],[Amount 3]])</f>
        <v>0</v>
      </c>
      <c r="AO45" s="57">
        <f>IF(AND(TblImps[[#This Row],[Resource]]=AO$2,TblImps[[#This Row],[Part]]&lt;&gt;""),TblImps[[#This Row],[Amount]]) + IF(AND(TblImps[[#This Row],[Resource 2]]=AO$2,TblImps[[#This Row],[Part 2]]&lt;&gt;""),TblImps[[#This Row],[Amount 2]]) + IF(AND(TblImps[[#This Row],[Resource 3]]=AO$2,TblImps[[#This Row],[Part 3]]&lt;&gt;""),TblImps[[#This Row],[Amount 3]])</f>
        <v>0</v>
      </c>
      <c r="AP45" s="57">
        <f>IF(AND(TblImps[[#This Row],[Resource]]=AP$2,TblImps[[#This Row],[Part]]&lt;&gt;""),TblImps[[#This Row],[Amount]]) + IF(AND(TblImps[[#This Row],[Resource 2]]=AP$2,TblImps[[#This Row],[Part 2]]&lt;&gt;""),TblImps[[#This Row],[Amount 2]]) + IF(AND(TblImps[[#This Row],[Resource 3]]=AP$2,TblImps[[#This Row],[Part 3]]&lt;&gt;""),TblImps[[#This Row],[Amount 3]])</f>
        <v>0</v>
      </c>
      <c r="AQ45" s="142"/>
      <c r="AR4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142"/>
      <c r="AW4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142"/>
      <c r="BB4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142"/>
      <c r="BG4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57">
        <f ca="1">IF(OFFSET(TblMagic[[#This Row],[Active Alchemists Flame]],-1,0)&gt;0,TblConstr[[#This Row],[Tot Alc]]*alchemist_flame_invest,0)</f>
        <v>0</v>
      </c>
      <c r="BL45" s="142"/>
      <c r="BM4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5" s="142"/>
      <c r="BR4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5" s="142"/>
      <c r="BW4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5" s="61">
        <f>TblImps[[#This Row],[Login]]</f>
        <v>0</v>
      </c>
      <c r="BY45" s="137"/>
      <c r="BZ45" s="293">
        <f ca="1">OFFSET(TblImps[[#This Row],[Real time]],-1,0)+1/24</f>
        <v>46321.708333333234</v>
      </c>
      <c r="CA45" s="294">
        <f ca="1">OFFSET(TblImps[[#This Row],[Servertime]],-1,0)+1/24</f>
        <v>46321.708333333234</v>
      </c>
      <c r="CB45" s="57"/>
      <c r="CC45" s="292"/>
      <c r="CD45" s="292"/>
    </row>
    <row r="46" spans="1:83" x14ac:dyDescent="0.2">
      <c r="A46" s="214">
        <f ca="1">TblConstr[[#This Row],[Land]]</f>
        <v>50</v>
      </c>
      <c r="B46" s="142"/>
      <c r="C46" s="94">
        <f ca="1">TblProd[[#This Row],[Platinum]]</f>
        <v>163650</v>
      </c>
      <c r="D46" s="94">
        <f ca="1">TblProd[[#This Row],[Lumber]]</f>
        <v>44268</v>
      </c>
      <c r="E46" s="94">
        <f ca="1">TblProd[[#This Row],[Ore]]</f>
        <v>0</v>
      </c>
      <c r="F46" s="94">
        <f ca="1">TblProd[[#This Row],[Gems]]</f>
        <v>0</v>
      </c>
      <c r="G46" s="154"/>
      <c r="H46" s="94">
        <f ca="1">TblMili[[#This Row],[Draftees]]</f>
        <v>459</v>
      </c>
      <c r="I46" s="180">
        <f ca="1">TblPop[[#This Row],[Employment]]</f>
        <v>1</v>
      </c>
      <c r="J46" s="180">
        <f ca="1">TblPop[[#This Row],[Total]]/TblPop[[#This Row],[Net max]]</f>
        <v>1</v>
      </c>
      <c r="K46" s="283">
        <f>TblRezone[[#This Row],[Hour]]</f>
        <v>43</v>
      </c>
      <c r="L46" s="284">
        <f ca="1">TblImps[[#This Row],[Real time]]</f>
        <v>46321.749999999898</v>
      </c>
      <c r="M46" s="61">
        <f>IF(ISERROR(TblImps[[#This Row],[algorithm]]),0,TblImps[[#This Row],[algorithm]]*1)</f>
        <v>0</v>
      </c>
      <c r="N46" s="94">
        <f ca="1">TblImps[[#This Row],[Land]]</f>
        <v>50</v>
      </c>
      <c r="O46" s="285" t="s">
        <v>4</v>
      </c>
      <c r="P46" s="286"/>
      <c r="Q46" s="285" t="s">
        <v>210</v>
      </c>
      <c r="R46" s="285" t="s">
        <v>7</v>
      </c>
      <c r="S46" s="286"/>
      <c r="T46" s="285" t="s">
        <v>210</v>
      </c>
      <c r="U46" s="285" t="s">
        <v>3</v>
      </c>
      <c r="V46" s="286"/>
      <c r="W46" s="285" t="s">
        <v>210</v>
      </c>
      <c r="X46" s="142"/>
      <c r="Y46" s="287">
        <f ca="1">science_cap*(1-EXP(-TblImps[[#This Row],[Σ Science]]/(science_param*(OFFSET(TblImps[[#This Row],[Land]],1,0)-OFFSET(TblExplore[[#This Row],[Land Bonus]],1,0)*20)+15000)))*(1+(mason_bonus*TblConstr[[#This Row],[Tot Mas]]/TblConstr[[#This Row],[Land (2)]]))</f>
        <v>0</v>
      </c>
      <c r="Z46" s="287">
        <f ca="1">keep_cap*(1-EXP(-TblImps[[#This Row],[Σ Keep]]/(keep_param*(OFFSET(TblImps[[#This Row],[Land]],1,0)-OFFSET(TblExplore[[#This Row],[Land Bonus]],1,0)*20)+15000)))*(1+(mason_bonus*TblConstr[[#This Row],[Tot Mas]]/TblConstr[[#This Row],[Land (2)]]))</f>
        <v>0</v>
      </c>
      <c r="AA46" s="287">
        <f ca="1">harbor_towers_cap*(1-EXP(-TblImps[[#This Row],[Σ Spires]]/(towers_param*(OFFSET(TblImps[[#This Row],[Land]],1,0)-OFFSET(TblExplore[[#This Row],[Land Bonus]],1,0)*20)+15000)))*(1+(mason_bonus*TblConstr[[#This Row],[Tot Mas]]/TblConstr[[#This Row],[Land (2)]]))</f>
        <v>0</v>
      </c>
      <c r="AB46" s="287">
        <f ca="1">walls_forges_cap*(1-EXP(-TblImps[[#This Row],[Σ Forges]]/(walls_forges_param*(OFFSET(TblImps[[#This Row],[Land]],1,0)-OFFSET(TblExplore[[#This Row],[Land Bonus]],1,0)*20)+15000)))*(1+(mason_bonus*TblConstr[[#This Row],[Tot Mas]]/TblConstr[[#This Row],[Land (2)]]))</f>
        <v>0</v>
      </c>
      <c r="AC46" s="287">
        <f ca="1">walls_forges_cap*(1-EXP(-TblImps[[#This Row],[Σ Walls]]/(walls_forges_param*(OFFSET(TblImps[[#This Row],[Land]],1,0)-OFFSET(TblExplore[[#This Row],[Land Bonus]],1,0)*20)+15000)))*(1+(mason_bonus*TblConstr[[#This Row],[Tot Mas]]/TblConstr[[#This Row],[Land (2)]]))</f>
        <v>0</v>
      </c>
      <c r="AD46" s="287">
        <f ca="1">harbor_towers_cap*(1-EXP(-TblImps[[#This Row],[Σ Harbor]]/(harbor_towers_param*(OFFSET(TblImps[[#This Row],[Land]],1,0)-OFFSET(TblExplore[[#This Row],[Land Bonus]],1,0)*20)+15000)))*(1+(mason_bonus*TblConstr[[#This Row],[Tot Mas]]/TblConstr[[#This Row],[Land (2)]]))</f>
        <v>0</v>
      </c>
      <c r="AE46" s="142"/>
      <c r="AF46" s="61">
        <f ca="1">(1+Overview!$I$29)*SUM(TblImps[[#This Row],[P2]:[G2]])+OFFSET(TblImps[[#This Row],[Σ Science]],-1,0)</f>
        <v>0</v>
      </c>
      <c r="AG46" s="61">
        <f ca="1">(1+Overview!$I$29)*SUM(TblImps[[#This Row],[P3]:[G3]])+OFFSET(TblImps[[#This Row],[Σ Keep]],-1,0)</f>
        <v>0</v>
      </c>
      <c r="AH46" s="61">
        <f ca="1">(1+Overview!$I$29 + tech_7_1*TblTech[[#This Row],[7-1]])*SUM(TblImps[[#This Row],[P4]:[G4]])+OFFSET(TblImps[[#This Row],[Σ Spires]],-1,0)</f>
        <v>0</v>
      </c>
      <c r="AI46" s="61">
        <f ca="1">(1+Overview!$I$29)*SUM(TblImps[[#This Row],[P5]:[FW5]])+OFFSET(TblImps[[#This Row],[Σ Forges]],-1,0)</f>
        <v>0</v>
      </c>
      <c r="AJ46" s="61">
        <f ca="1">(1+Overview!$I$29)*SUM(TblImps[[#This Row],[P6]:[G6]])+OFFSET(TblImps[[#This Row],[Σ Walls]],-1,0)</f>
        <v>0</v>
      </c>
      <c r="AK46" s="61">
        <f ca="1">(1+Overview!$I$29 + tech_7_1*TblTech[[#This Row],[7-1]])*SUM(TblImps[[#This Row],[P7]:[G7]])+OFFSET(TblImps[[#This Row],[Σ Harbor]],-1,0)</f>
        <v>0</v>
      </c>
      <c r="AL46" s="142"/>
      <c r="AM46" s="57">
        <f>IF(AND(TblImps[[#This Row],[Resource]]=AM$2,TblImps[[#This Row],[Part]]&lt;&gt;""),TblImps[[#This Row],[Amount]]) + IF(AND(TblImps[[#This Row],[Resource 2]]=AM$2,TblImps[[#This Row],[Part 2]]&lt;&gt;""),TblImps[[#This Row],[Amount 2]]) + IF(AND(TblImps[[#This Row],[Resource 3]]=AM$2,TblImps[[#This Row],[Part 3]]&lt;&gt;""),TblImps[[#This Row],[Amount 3]])</f>
        <v>0</v>
      </c>
      <c r="AN46" s="57">
        <f>IF(AND(TblImps[[#This Row],[Resource]]=AN$2,TblImps[[#This Row],[Part]]&lt;&gt;""),TblImps[[#This Row],[Amount]]) + IF(AND(TblImps[[#This Row],[Resource 2]]=AN$2,TblImps[[#This Row],[Part 2]]&lt;&gt;""),TblImps[[#This Row],[Amount 2]]) + IF(AND(TblImps[[#This Row],[Resource 3]]=AN$2,TblImps[[#This Row],[Part 3]]&lt;&gt;""),TblImps[[#This Row],[Amount 3]])</f>
        <v>0</v>
      </c>
      <c r="AO46" s="57">
        <f>IF(AND(TblImps[[#This Row],[Resource]]=AO$2,TblImps[[#This Row],[Part]]&lt;&gt;""),TblImps[[#This Row],[Amount]]) + IF(AND(TblImps[[#This Row],[Resource 2]]=AO$2,TblImps[[#This Row],[Part 2]]&lt;&gt;""),TblImps[[#This Row],[Amount 2]]) + IF(AND(TblImps[[#This Row],[Resource 3]]=AO$2,TblImps[[#This Row],[Part 3]]&lt;&gt;""),TblImps[[#This Row],[Amount 3]])</f>
        <v>0</v>
      </c>
      <c r="AP46" s="57">
        <f>IF(AND(TblImps[[#This Row],[Resource]]=AP$2,TblImps[[#This Row],[Part]]&lt;&gt;""),TblImps[[#This Row],[Amount]]) + IF(AND(TblImps[[#This Row],[Resource 2]]=AP$2,TblImps[[#This Row],[Part 2]]&lt;&gt;""),TblImps[[#This Row],[Amount 2]]) + IF(AND(TblImps[[#This Row],[Resource 3]]=AP$2,TblImps[[#This Row],[Part 3]]&lt;&gt;""),TblImps[[#This Row],[Amount 3]])</f>
        <v>0</v>
      </c>
      <c r="AQ46" s="142"/>
      <c r="AR4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142"/>
      <c r="AW4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142"/>
      <c r="BB4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142"/>
      <c r="BG4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57">
        <f ca="1">IF(OFFSET(TblMagic[[#This Row],[Active Alchemists Flame]],-1,0)&gt;0,TblConstr[[#This Row],[Tot Alc]]*alchemist_flame_invest,0)</f>
        <v>0</v>
      </c>
      <c r="BL46" s="142"/>
      <c r="BM4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6" s="142"/>
      <c r="BR4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6" s="142"/>
      <c r="BW4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6" s="61">
        <f>TblImps[[#This Row],[Login]]</f>
        <v>0</v>
      </c>
      <c r="BY46" s="137"/>
      <c r="BZ46" s="293">
        <f ca="1">OFFSET(TblImps[[#This Row],[Real time]],-1,0)+1/24</f>
        <v>46321.749999999898</v>
      </c>
      <c r="CA46" s="294">
        <f ca="1">OFFSET(TblImps[[#This Row],[Servertime]],-1,0)+1/24</f>
        <v>46321.749999999898</v>
      </c>
      <c r="CB46" s="57"/>
      <c r="CC46" s="292"/>
      <c r="CD46" s="292"/>
    </row>
    <row r="47" spans="1:83" x14ac:dyDescent="0.2">
      <c r="A47" s="214">
        <f ca="1">TblConstr[[#This Row],[Land]]</f>
        <v>50</v>
      </c>
      <c r="B47" s="142"/>
      <c r="C47" s="94">
        <f ca="1">TblProd[[#This Row],[Platinum]]</f>
        <v>164487</v>
      </c>
      <c r="D47" s="94">
        <f ca="1">TblProd[[#This Row],[Lumber]]</f>
        <v>44825</v>
      </c>
      <c r="E47" s="94">
        <f ca="1">TblProd[[#This Row],[Ore]]</f>
        <v>0</v>
      </c>
      <c r="F47" s="94">
        <f ca="1">TblProd[[#This Row],[Gems]]</f>
        <v>0</v>
      </c>
      <c r="G47" s="154"/>
      <c r="H47" s="94">
        <f ca="1">TblMili[[#This Row],[Draftees]]</f>
        <v>462</v>
      </c>
      <c r="I47" s="180">
        <f ca="1">TblPop[[#This Row],[Employment]]</f>
        <v>1</v>
      </c>
      <c r="J47" s="180">
        <f ca="1">TblPop[[#This Row],[Total]]/TblPop[[#This Row],[Net max]]</f>
        <v>1</v>
      </c>
      <c r="K47" s="283">
        <f>TblRezone[[#This Row],[Hour]]</f>
        <v>44</v>
      </c>
      <c r="L47" s="284">
        <f ca="1">TblImps[[#This Row],[Real time]]</f>
        <v>46321.791666666562</v>
      </c>
      <c r="M47" s="61">
        <f>IF(ISERROR(TblImps[[#This Row],[algorithm]]),0,TblImps[[#This Row],[algorithm]]*1)</f>
        <v>0</v>
      </c>
      <c r="N47" s="94">
        <f ca="1">TblImps[[#This Row],[Land]]</f>
        <v>50</v>
      </c>
      <c r="O47" s="285" t="s">
        <v>4</v>
      </c>
      <c r="P47" s="286"/>
      <c r="Q47" s="285" t="s">
        <v>210</v>
      </c>
      <c r="R47" s="285" t="s">
        <v>7</v>
      </c>
      <c r="S47" s="286"/>
      <c r="T47" s="285" t="s">
        <v>210</v>
      </c>
      <c r="U47" s="285" t="s">
        <v>3</v>
      </c>
      <c r="V47" s="286"/>
      <c r="W47" s="285" t="s">
        <v>210</v>
      </c>
      <c r="X47" s="142"/>
      <c r="Y47" s="287">
        <f ca="1">science_cap*(1-EXP(-TblImps[[#This Row],[Σ Science]]/(science_param*(OFFSET(TblImps[[#This Row],[Land]],1,0)-OFFSET(TblExplore[[#This Row],[Land Bonus]],1,0)*20)+15000)))*(1+(mason_bonus*TblConstr[[#This Row],[Tot Mas]]/TblConstr[[#This Row],[Land (2)]]))</f>
        <v>0</v>
      </c>
      <c r="Z47" s="287">
        <f ca="1">keep_cap*(1-EXP(-TblImps[[#This Row],[Σ Keep]]/(keep_param*(OFFSET(TblImps[[#This Row],[Land]],1,0)-OFFSET(TblExplore[[#This Row],[Land Bonus]],1,0)*20)+15000)))*(1+(mason_bonus*TblConstr[[#This Row],[Tot Mas]]/TblConstr[[#This Row],[Land (2)]]))</f>
        <v>0</v>
      </c>
      <c r="AA47" s="287">
        <f ca="1">harbor_towers_cap*(1-EXP(-TblImps[[#This Row],[Σ Spires]]/(towers_param*(OFFSET(TblImps[[#This Row],[Land]],1,0)-OFFSET(TblExplore[[#This Row],[Land Bonus]],1,0)*20)+15000)))*(1+(mason_bonus*TblConstr[[#This Row],[Tot Mas]]/TblConstr[[#This Row],[Land (2)]]))</f>
        <v>0</v>
      </c>
      <c r="AB47" s="287">
        <f ca="1">walls_forges_cap*(1-EXP(-TblImps[[#This Row],[Σ Forges]]/(walls_forges_param*(OFFSET(TblImps[[#This Row],[Land]],1,0)-OFFSET(TblExplore[[#This Row],[Land Bonus]],1,0)*20)+15000)))*(1+(mason_bonus*TblConstr[[#This Row],[Tot Mas]]/TblConstr[[#This Row],[Land (2)]]))</f>
        <v>0</v>
      </c>
      <c r="AC47" s="287">
        <f ca="1">walls_forges_cap*(1-EXP(-TblImps[[#This Row],[Σ Walls]]/(walls_forges_param*(OFFSET(TblImps[[#This Row],[Land]],1,0)-OFFSET(TblExplore[[#This Row],[Land Bonus]],1,0)*20)+15000)))*(1+(mason_bonus*TblConstr[[#This Row],[Tot Mas]]/TblConstr[[#This Row],[Land (2)]]))</f>
        <v>0</v>
      </c>
      <c r="AD47" s="287">
        <f ca="1">harbor_towers_cap*(1-EXP(-TblImps[[#This Row],[Σ Harbor]]/(harbor_towers_param*(OFFSET(TblImps[[#This Row],[Land]],1,0)-OFFSET(TblExplore[[#This Row],[Land Bonus]],1,0)*20)+15000)))*(1+(mason_bonus*TblConstr[[#This Row],[Tot Mas]]/TblConstr[[#This Row],[Land (2)]]))</f>
        <v>0</v>
      </c>
      <c r="AE47" s="142"/>
      <c r="AF47" s="61">
        <f ca="1">(1+Overview!$I$29)*SUM(TblImps[[#This Row],[P2]:[G2]])+OFFSET(TblImps[[#This Row],[Σ Science]],-1,0)</f>
        <v>0</v>
      </c>
      <c r="AG47" s="61">
        <f ca="1">(1+Overview!$I$29)*SUM(TblImps[[#This Row],[P3]:[G3]])+OFFSET(TblImps[[#This Row],[Σ Keep]],-1,0)</f>
        <v>0</v>
      </c>
      <c r="AH47" s="61">
        <f ca="1">(1+Overview!$I$29 + tech_7_1*TblTech[[#This Row],[7-1]])*SUM(TblImps[[#This Row],[P4]:[G4]])+OFFSET(TblImps[[#This Row],[Σ Spires]],-1,0)</f>
        <v>0</v>
      </c>
      <c r="AI47" s="61">
        <f ca="1">(1+Overview!$I$29)*SUM(TblImps[[#This Row],[P5]:[FW5]])+OFFSET(TblImps[[#This Row],[Σ Forges]],-1,0)</f>
        <v>0</v>
      </c>
      <c r="AJ47" s="61">
        <f ca="1">(1+Overview!$I$29)*SUM(TblImps[[#This Row],[P6]:[G6]])+OFFSET(TblImps[[#This Row],[Σ Walls]],-1,0)</f>
        <v>0</v>
      </c>
      <c r="AK47" s="61">
        <f ca="1">(1+Overview!$I$29 + tech_7_1*TblTech[[#This Row],[7-1]])*SUM(TblImps[[#This Row],[P7]:[G7]])+OFFSET(TblImps[[#This Row],[Σ Harbor]],-1,0)</f>
        <v>0</v>
      </c>
      <c r="AL47" s="142"/>
      <c r="AM47" s="57">
        <f>IF(AND(TblImps[[#This Row],[Resource]]=AM$2,TblImps[[#This Row],[Part]]&lt;&gt;""),TblImps[[#This Row],[Amount]]) + IF(AND(TblImps[[#This Row],[Resource 2]]=AM$2,TblImps[[#This Row],[Part 2]]&lt;&gt;""),TblImps[[#This Row],[Amount 2]]) + IF(AND(TblImps[[#This Row],[Resource 3]]=AM$2,TblImps[[#This Row],[Part 3]]&lt;&gt;""),TblImps[[#This Row],[Amount 3]])</f>
        <v>0</v>
      </c>
      <c r="AN47" s="57">
        <f>IF(AND(TblImps[[#This Row],[Resource]]=AN$2,TblImps[[#This Row],[Part]]&lt;&gt;""),TblImps[[#This Row],[Amount]]) + IF(AND(TblImps[[#This Row],[Resource 2]]=AN$2,TblImps[[#This Row],[Part 2]]&lt;&gt;""),TblImps[[#This Row],[Amount 2]]) + IF(AND(TblImps[[#This Row],[Resource 3]]=AN$2,TblImps[[#This Row],[Part 3]]&lt;&gt;""),TblImps[[#This Row],[Amount 3]])</f>
        <v>0</v>
      </c>
      <c r="AO47" s="57">
        <f>IF(AND(TblImps[[#This Row],[Resource]]=AO$2,TblImps[[#This Row],[Part]]&lt;&gt;""),TblImps[[#This Row],[Amount]]) + IF(AND(TblImps[[#This Row],[Resource 2]]=AO$2,TblImps[[#This Row],[Part 2]]&lt;&gt;""),TblImps[[#This Row],[Amount 2]]) + IF(AND(TblImps[[#This Row],[Resource 3]]=AO$2,TblImps[[#This Row],[Part 3]]&lt;&gt;""),TblImps[[#This Row],[Amount 3]])</f>
        <v>0</v>
      </c>
      <c r="AP47" s="57">
        <f>IF(AND(TblImps[[#This Row],[Resource]]=AP$2,TblImps[[#This Row],[Part]]&lt;&gt;""),TblImps[[#This Row],[Amount]]) + IF(AND(TblImps[[#This Row],[Resource 2]]=AP$2,TblImps[[#This Row],[Part 2]]&lt;&gt;""),TblImps[[#This Row],[Amount 2]]) + IF(AND(TblImps[[#This Row],[Resource 3]]=AP$2,TblImps[[#This Row],[Part 3]]&lt;&gt;""),TblImps[[#This Row],[Amount 3]])</f>
        <v>0</v>
      </c>
      <c r="AQ47" s="142"/>
      <c r="AR4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142"/>
      <c r="AW4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142"/>
      <c r="BB4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142"/>
      <c r="BG4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57">
        <f ca="1">IF(OFFSET(TblMagic[[#This Row],[Active Alchemists Flame]],-1,0)&gt;0,TblConstr[[#This Row],[Tot Alc]]*alchemist_flame_invest,0)</f>
        <v>0</v>
      </c>
      <c r="BL47" s="142"/>
      <c r="BM4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7" s="142"/>
      <c r="BR4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7" s="142"/>
      <c r="BW4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7" s="61">
        <f>TblImps[[#This Row],[Login]]</f>
        <v>0</v>
      </c>
      <c r="BY47" s="137"/>
      <c r="BZ47" s="293">
        <f ca="1">OFFSET(TblImps[[#This Row],[Real time]],-1,0)+1/24</f>
        <v>46321.791666666562</v>
      </c>
      <c r="CA47" s="294">
        <f ca="1">OFFSET(TblImps[[#This Row],[Servertime]],-1,0)+1/24</f>
        <v>46321.791666666562</v>
      </c>
      <c r="CB47" s="57"/>
      <c r="CC47" s="292"/>
      <c r="CD47" s="292"/>
    </row>
    <row r="48" spans="1:83" x14ac:dyDescent="0.2">
      <c r="A48" s="214">
        <f ca="1">TblConstr[[#This Row],[Land]]</f>
        <v>50</v>
      </c>
      <c r="B48" s="142"/>
      <c r="C48" s="94">
        <f ca="1">TblProd[[#This Row],[Platinum]]</f>
        <v>165315</v>
      </c>
      <c r="D48" s="94">
        <f ca="1">TblProd[[#This Row],[Lumber]]</f>
        <v>45377</v>
      </c>
      <c r="E48" s="94">
        <f ca="1">TblProd[[#This Row],[Ore]]</f>
        <v>0</v>
      </c>
      <c r="F48" s="94">
        <f ca="1">TblProd[[#This Row],[Gems]]</f>
        <v>0</v>
      </c>
      <c r="G48" s="154"/>
      <c r="H48" s="94">
        <f ca="1">TblMili[[#This Row],[Draftees]]</f>
        <v>465</v>
      </c>
      <c r="I48" s="180">
        <f ca="1">TblPop[[#This Row],[Employment]]</f>
        <v>1</v>
      </c>
      <c r="J48" s="180">
        <f ca="1">TblPop[[#This Row],[Total]]/TblPop[[#This Row],[Net max]]</f>
        <v>1</v>
      </c>
      <c r="K48" s="283">
        <f>TblRezone[[#This Row],[Hour]]</f>
        <v>45</v>
      </c>
      <c r="L48" s="284">
        <f ca="1">TblImps[[#This Row],[Real time]]</f>
        <v>46321.833333333227</v>
      </c>
      <c r="M48" s="61">
        <f>IF(ISERROR(TblImps[[#This Row],[algorithm]]),0,TblImps[[#This Row],[algorithm]]*1)</f>
        <v>0</v>
      </c>
      <c r="N48" s="94">
        <f ca="1">TblImps[[#This Row],[Land]]</f>
        <v>50</v>
      </c>
      <c r="O48" s="285" t="s">
        <v>4</v>
      </c>
      <c r="P48" s="286"/>
      <c r="Q48" s="285" t="s">
        <v>210</v>
      </c>
      <c r="R48" s="285" t="s">
        <v>7</v>
      </c>
      <c r="S48" s="286"/>
      <c r="T48" s="285" t="s">
        <v>210</v>
      </c>
      <c r="U48" s="285" t="s">
        <v>3</v>
      </c>
      <c r="V48" s="286"/>
      <c r="W48" s="285" t="s">
        <v>210</v>
      </c>
      <c r="X48" s="142"/>
      <c r="Y48" s="287">
        <f ca="1">science_cap*(1-EXP(-TblImps[[#This Row],[Σ Science]]/(science_param*(OFFSET(TblImps[[#This Row],[Land]],1,0)-OFFSET(TblExplore[[#This Row],[Land Bonus]],1,0)*20)+15000)))*(1+(mason_bonus*TblConstr[[#This Row],[Tot Mas]]/TblConstr[[#This Row],[Land (2)]]))</f>
        <v>0</v>
      </c>
      <c r="Z48" s="287">
        <f ca="1">keep_cap*(1-EXP(-TblImps[[#This Row],[Σ Keep]]/(keep_param*(OFFSET(TblImps[[#This Row],[Land]],1,0)-OFFSET(TblExplore[[#This Row],[Land Bonus]],1,0)*20)+15000)))*(1+(mason_bonus*TblConstr[[#This Row],[Tot Mas]]/TblConstr[[#This Row],[Land (2)]]))</f>
        <v>0</v>
      </c>
      <c r="AA48" s="287">
        <f ca="1">harbor_towers_cap*(1-EXP(-TblImps[[#This Row],[Σ Spires]]/(towers_param*(OFFSET(TblImps[[#This Row],[Land]],1,0)-OFFSET(TblExplore[[#This Row],[Land Bonus]],1,0)*20)+15000)))*(1+(mason_bonus*TblConstr[[#This Row],[Tot Mas]]/TblConstr[[#This Row],[Land (2)]]))</f>
        <v>0</v>
      </c>
      <c r="AB48" s="287">
        <f ca="1">walls_forges_cap*(1-EXP(-TblImps[[#This Row],[Σ Forges]]/(walls_forges_param*(OFFSET(TblImps[[#This Row],[Land]],1,0)-OFFSET(TblExplore[[#This Row],[Land Bonus]],1,0)*20)+15000)))*(1+(mason_bonus*TblConstr[[#This Row],[Tot Mas]]/TblConstr[[#This Row],[Land (2)]]))</f>
        <v>0</v>
      </c>
      <c r="AC48" s="287">
        <f ca="1">walls_forges_cap*(1-EXP(-TblImps[[#This Row],[Σ Walls]]/(walls_forges_param*(OFFSET(TblImps[[#This Row],[Land]],1,0)-OFFSET(TblExplore[[#This Row],[Land Bonus]],1,0)*20)+15000)))*(1+(mason_bonus*TblConstr[[#This Row],[Tot Mas]]/TblConstr[[#This Row],[Land (2)]]))</f>
        <v>0</v>
      </c>
      <c r="AD48" s="287">
        <f ca="1">harbor_towers_cap*(1-EXP(-TblImps[[#This Row],[Σ Harbor]]/(harbor_towers_param*(OFFSET(TblImps[[#This Row],[Land]],1,0)-OFFSET(TblExplore[[#This Row],[Land Bonus]],1,0)*20)+15000)))*(1+(mason_bonus*TblConstr[[#This Row],[Tot Mas]]/TblConstr[[#This Row],[Land (2)]]))</f>
        <v>0</v>
      </c>
      <c r="AE48" s="142"/>
      <c r="AF48" s="61">
        <f ca="1">(1+Overview!$I$29)*SUM(TblImps[[#This Row],[P2]:[G2]])+OFFSET(TblImps[[#This Row],[Σ Science]],-1,0)</f>
        <v>0</v>
      </c>
      <c r="AG48" s="61">
        <f ca="1">(1+Overview!$I$29)*SUM(TblImps[[#This Row],[P3]:[G3]])+OFFSET(TblImps[[#This Row],[Σ Keep]],-1,0)</f>
        <v>0</v>
      </c>
      <c r="AH48" s="61">
        <f ca="1">(1+Overview!$I$29 + tech_7_1*TblTech[[#This Row],[7-1]])*SUM(TblImps[[#This Row],[P4]:[G4]])+OFFSET(TblImps[[#This Row],[Σ Spires]],-1,0)</f>
        <v>0</v>
      </c>
      <c r="AI48" s="61">
        <f ca="1">(1+Overview!$I$29)*SUM(TblImps[[#This Row],[P5]:[FW5]])+OFFSET(TblImps[[#This Row],[Σ Forges]],-1,0)</f>
        <v>0</v>
      </c>
      <c r="AJ48" s="61">
        <f ca="1">(1+Overview!$I$29)*SUM(TblImps[[#This Row],[P6]:[G6]])+OFFSET(TblImps[[#This Row],[Σ Walls]],-1,0)</f>
        <v>0</v>
      </c>
      <c r="AK48" s="61">
        <f ca="1">(1+Overview!$I$29 + tech_7_1*TblTech[[#This Row],[7-1]])*SUM(TblImps[[#This Row],[P7]:[G7]])+OFFSET(TblImps[[#This Row],[Σ Harbor]],-1,0)</f>
        <v>0</v>
      </c>
      <c r="AL48" s="142"/>
      <c r="AM48" s="57">
        <f>IF(AND(TblImps[[#This Row],[Resource]]=AM$2,TblImps[[#This Row],[Part]]&lt;&gt;""),TblImps[[#This Row],[Amount]]) + IF(AND(TblImps[[#This Row],[Resource 2]]=AM$2,TblImps[[#This Row],[Part 2]]&lt;&gt;""),TblImps[[#This Row],[Amount 2]]) + IF(AND(TblImps[[#This Row],[Resource 3]]=AM$2,TblImps[[#This Row],[Part 3]]&lt;&gt;""),TblImps[[#This Row],[Amount 3]])</f>
        <v>0</v>
      </c>
      <c r="AN48" s="57">
        <f>IF(AND(TblImps[[#This Row],[Resource]]=AN$2,TblImps[[#This Row],[Part]]&lt;&gt;""),TblImps[[#This Row],[Amount]]) + IF(AND(TblImps[[#This Row],[Resource 2]]=AN$2,TblImps[[#This Row],[Part 2]]&lt;&gt;""),TblImps[[#This Row],[Amount 2]]) + IF(AND(TblImps[[#This Row],[Resource 3]]=AN$2,TblImps[[#This Row],[Part 3]]&lt;&gt;""),TblImps[[#This Row],[Amount 3]])</f>
        <v>0</v>
      </c>
      <c r="AO48" s="57">
        <f>IF(AND(TblImps[[#This Row],[Resource]]=AO$2,TblImps[[#This Row],[Part]]&lt;&gt;""),TblImps[[#This Row],[Amount]]) + IF(AND(TblImps[[#This Row],[Resource 2]]=AO$2,TblImps[[#This Row],[Part 2]]&lt;&gt;""),TblImps[[#This Row],[Amount 2]]) + IF(AND(TblImps[[#This Row],[Resource 3]]=AO$2,TblImps[[#This Row],[Part 3]]&lt;&gt;""),TblImps[[#This Row],[Amount 3]])</f>
        <v>0</v>
      </c>
      <c r="AP48" s="57">
        <f>IF(AND(TblImps[[#This Row],[Resource]]=AP$2,TblImps[[#This Row],[Part]]&lt;&gt;""),TblImps[[#This Row],[Amount]]) + IF(AND(TblImps[[#This Row],[Resource 2]]=AP$2,TblImps[[#This Row],[Part 2]]&lt;&gt;""),TblImps[[#This Row],[Amount 2]]) + IF(AND(TblImps[[#This Row],[Resource 3]]=AP$2,TblImps[[#This Row],[Part 3]]&lt;&gt;""),TblImps[[#This Row],[Amount 3]])</f>
        <v>0</v>
      </c>
      <c r="AQ48" s="142"/>
      <c r="AR4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142"/>
      <c r="AW4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142"/>
      <c r="BB4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142"/>
      <c r="BG4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57">
        <f ca="1">IF(OFFSET(TblMagic[[#This Row],[Active Alchemists Flame]],-1,0)&gt;0,TblConstr[[#This Row],[Tot Alc]]*alchemist_flame_invest,0)</f>
        <v>0</v>
      </c>
      <c r="BL48" s="142"/>
      <c r="BM4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8" s="142"/>
      <c r="BR4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8" s="142"/>
      <c r="BW4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8" s="61">
        <f>TblImps[[#This Row],[Login]]</f>
        <v>0</v>
      </c>
      <c r="BY48" s="137"/>
      <c r="BZ48" s="293">
        <f ca="1">OFFSET(TblImps[[#This Row],[Real time]],-1,0)+1/24</f>
        <v>46321.833333333227</v>
      </c>
      <c r="CA48" s="294">
        <f ca="1">OFFSET(TblImps[[#This Row],[Servertime]],-1,0)+1/24</f>
        <v>46321.833333333227</v>
      </c>
      <c r="CB48" s="57"/>
      <c r="CC48" s="292"/>
      <c r="CD48" s="292"/>
    </row>
    <row r="49" spans="1:82" x14ac:dyDescent="0.2">
      <c r="A49" s="214">
        <f ca="1">TblConstr[[#This Row],[Land]]</f>
        <v>50</v>
      </c>
      <c r="B49" s="142"/>
      <c r="C49" s="94">
        <f ca="1">TblProd[[#This Row],[Platinum]]</f>
        <v>166135</v>
      </c>
      <c r="D49" s="94">
        <f ca="1">TblProd[[#This Row],[Lumber]]</f>
        <v>45923</v>
      </c>
      <c r="E49" s="94">
        <f ca="1">TblProd[[#This Row],[Ore]]</f>
        <v>0</v>
      </c>
      <c r="F49" s="94">
        <f ca="1">TblProd[[#This Row],[Gems]]</f>
        <v>0</v>
      </c>
      <c r="G49" s="154"/>
      <c r="H49" s="94">
        <f ca="1">TblMili[[#This Row],[Draftees]]</f>
        <v>468</v>
      </c>
      <c r="I49" s="180">
        <f ca="1">TblPop[[#This Row],[Employment]]</f>
        <v>1</v>
      </c>
      <c r="J49" s="180">
        <f ca="1">TblPop[[#This Row],[Total]]/TblPop[[#This Row],[Net max]]</f>
        <v>1</v>
      </c>
      <c r="K49" s="283">
        <f>TblRezone[[#This Row],[Hour]]</f>
        <v>46</v>
      </c>
      <c r="L49" s="284">
        <f ca="1">TblImps[[#This Row],[Real time]]</f>
        <v>46321.874999999891</v>
      </c>
      <c r="M49" s="61">
        <f>IF(ISERROR(TblImps[[#This Row],[algorithm]]),0,TblImps[[#This Row],[algorithm]]*1)</f>
        <v>0</v>
      </c>
      <c r="N49" s="94">
        <f ca="1">TblImps[[#This Row],[Land]]</f>
        <v>50</v>
      </c>
      <c r="O49" s="285" t="s">
        <v>4</v>
      </c>
      <c r="P49" s="286"/>
      <c r="Q49" s="285" t="s">
        <v>210</v>
      </c>
      <c r="R49" s="285" t="s">
        <v>7</v>
      </c>
      <c r="S49" s="286"/>
      <c r="T49" s="285" t="s">
        <v>210</v>
      </c>
      <c r="U49" s="285" t="s">
        <v>3</v>
      </c>
      <c r="V49" s="286"/>
      <c r="W49" s="285" t="s">
        <v>210</v>
      </c>
      <c r="X49" s="142"/>
      <c r="Y49" s="287">
        <f ca="1">science_cap*(1-EXP(-TblImps[[#This Row],[Σ Science]]/(science_param*(OFFSET(TblImps[[#This Row],[Land]],1,0)-OFFSET(TblExplore[[#This Row],[Land Bonus]],1,0)*20)+15000)))*(1+(mason_bonus*TblConstr[[#This Row],[Tot Mas]]/TblConstr[[#This Row],[Land (2)]]))</f>
        <v>0</v>
      </c>
      <c r="Z49" s="287">
        <f ca="1">keep_cap*(1-EXP(-TblImps[[#This Row],[Σ Keep]]/(keep_param*(OFFSET(TblImps[[#This Row],[Land]],1,0)-OFFSET(TblExplore[[#This Row],[Land Bonus]],1,0)*20)+15000)))*(1+(mason_bonus*TblConstr[[#This Row],[Tot Mas]]/TblConstr[[#This Row],[Land (2)]]))</f>
        <v>0</v>
      </c>
      <c r="AA49" s="287">
        <f ca="1">harbor_towers_cap*(1-EXP(-TblImps[[#This Row],[Σ Spires]]/(towers_param*(OFFSET(TblImps[[#This Row],[Land]],1,0)-OFFSET(TblExplore[[#This Row],[Land Bonus]],1,0)*20)+15000)))*(1+(mason_bonus*TblConstr[[#This Row],[Tot Mas]]/TblConstr[[#This Row],[Land (2)]]))</f>
        <v>0</v>
      </c>
      <c r="AB49" s="287">
        <f ca="1">walls_forges_cap*(1-EXP(-TblImps[[#This Row],[Σ Forges]]/(walls_forges_param*(OFFSET(TblImps[[#This Row],[Land]],1,0)-OFFSET(TblExplore[[#This Row],[Land Bonus]],1,0)*20)+15000)))*(1+(mason_bonus*TblConstr[[#This Row],[Tot Mas]]/TblConstr[[#This Row],[Land (2)]]))</f>
        <v>0</v>
      </c>
      <c r="AC49" s="287">
        <f ca="1">walls_forges_cap*(1-EXP(-TblImps[[#This Row],[Σ Walls]]/(walls_forges_param*(OFFSET(TblImps[[#This Row],[Land]],1,0)-OFFSET(TblExplore[[#This Row],[Land Bonus]],1,0)*20)+15000)))*(1+(mason_bonus*TblConstr[[#This Row],[Tot Mas]]/TblConstr[[#This Row],[Land (2)]]))</f>
        <v>0</v>
      </c>
      <c r="AD49" s="287">
        <f ca="1">harbor_towers_cap*(1-EXP(-TblImps[[#This Row],[Σ Harbor]]/(harbor_towers_param*(OFFSET(TblImps[[#This Row],[Land]],1,0)-OFFSET(TblExplore[[#This Row],[Land Bonus]],1,0)*20)+15000)))*(1+(mason_bonus*TblConstr[[#This Row],[Tot Mas]]/TblConstr[[#This Row],[Land (2)]]))</f>
        <v>0</v>
      </c>
      <c r="AE49" s="142"/>
      <c r="AF49" s="61">
        <f ca="1">(1+Overview!$I$29)*SUM(TblImps[[#This Row],[P2]:[G2]])+OFFSET(TblImps[[#This Row],[Σ Science]],-1,0)</f>
        <v>0</v>
      </c>
      <c r="AG49" s="61">
        <f ca="1">(1+Overview!$I$29)*SUM(TblImps[[#This Row],[P3]:[G3]])+OFFSET(TblImps[[#This Row],[Σ Keep]],-1,0)</f>
        <v>0</v>
      </c>
      <c r="AH49" s="61">
        <f ca="1">(1+Overview!$I$29 + tech_7_1*TblTech[[#This Row],[7-1]])*SUM(TblImps[[#This Row],[P4]:[G4]])+OFFSET(TblImps[[#This Row],[Σ Spires]],-1,0)</f>
        <v>0</v>
      </c>
      <c r="AI49" s="61">
        <f ca="1">(1+Overview!$I$29)*SUM(TblImps[[#This Row],[P5]:[FW5]])+OFFSET(TblImps[[#This Row],[Σ Forges]],-1,0)</f>
        <v>0</v>
      </c>
      <c r="AJ49" s="61">
        <f ca="1">(1+Overview!$I$29)*SUM(TblImps[[#This Row],[P6]:[G6]])+OFFSET(TblImps[[#This Row],[Σ Walls]],-1,0)</f>
        <v>0</v>
      </c>
      <c r="AK49" s="61">
        <f ca="1">(1+Overview!$I$29 + tech_7_1*TblTech[[#This Row],[7-1]])*SUM(TblImps[[#This Row],[P7]:[G7]])+OFFSET(TblImps[[#This Row],[Σ Harbor]],-1,0)</f>
        <v>0</v>
      </c>
      <c r="AL49" s="142"/>
      <c r="AM49" s="57">
        <f>IF(AND(TblImps[[#This Row],[Resource]]=AM$2,TblImps[[#This Row],[Part]]&lt;&gt;""),TblImps[[#This Row],[Amount]]) + IF(AND(TblImps[[#This Row],[Resource 2]]=AM$2,TblImps[[#This Row],[Part 2]]&lt;&gt;""),TblImps[[#This Row],[Amount 2]]) + IF(AND(TblImps[[#This Row],[Resource 3]]=AM$2,TblImps[[#This Row],[Part 3]]&lt;&gt;""),TblImps[[#This Row],[Amount 3]])</f>
        <v>0</v>
      </c>
      <c r="AN49" s="57">
        <f>IF(AND(TblImps[[#This Row],[Resource]]=AN$2,TblImps[[#This Row],[Part]]&lt;&gt;""),TblImps[[#This Row],[Amount]]) + IF(AND(TblImps[[#This Row],[Resource 2]]=AN$2,TblImps[[#This Row],[Part 2]]&lt;&gt;""),TblImps[[#This Row],[Amount 2]]) + IF(AND(TblImps[[#This Row],[Resource 3]]=AN$2,TblImps[[#This Row],[Part 3]]&lt;&gt;""),TblImps[[#This Row],[Amount 3]])</f>
        <v>0</v>
      </c>
      <c r="AO49" s="57">
        <f>IF(AND(TblImps[[#This Row],[Resource]]=AO$2,TblImps[[#This Row],[Part]]&lt;&gt;""),TblImps[[#This Row],[Amount]]) + IF(AND(TblImps[[#This Row],[Resource 2]]=AO$2,TblImps[[#This Row],[Part 2]]&lt;&gt;""),TblImps[[#This Row],[Amount 2]]) + IF(AND(TblImps[[#This Row],[Resource 3]]=AO$2,TblImps[[#This Row],[Part 3]]&lt;&gt;""),TblImps[[#This Row],[Amount 3]])</f>
        <v>0</v>
      </c>
      <c r="AP49" s="57">
        <f>IF(AND(TblImps[[#This Row],[Resource]]=AP$2,TblImps[[#This Row],[Part]]&lt;&gt;""),TblImps[[#This Row],[Amount]]) + IF(AND(TblImps[[#This Row],[Resource 2]]=AP$2,TblImps[[#This Row],[Part 2]]&lt;&gt;""),TblImps[[#This Row],[Amount 2]]) + IF(AND(TblImps[[#This Row],[Resource 3]]=AP$2,TblImps[[#This Row],[Part 3]]&lt;&gt;""),TblImps[[#This Row],[Amount 3]])</f>
        <v>0</v>
      </c>
      <c r="AQ49" s="142"/>
      <c r="AR4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142"/>
      <c r="AW4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142"/>
      <c r="BB4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142"/>
      <c r="BG4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57">
        <f ca="1">IF(OFFSET(TblMagic[[#This Row],[Active Alchemists Flame]],-1,0)&gt;0,TblConstr[[#This Row],[Tot Alc]]*alchemist_flame_invest,0)</f>
        <v>0</v>
      </c>
      <c r="BL49" s="142"/>
      <c r="BM4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9" s="142"/>
      <c r="BR4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9" s="142"/>
      <c r="BW4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9" s="61">
        <f>TblImps[[#This Row],[Login]]</f>
        <v>0</v>
      </c>
      <c r="BY49" s="137"/>
      <c r="BZ49" s="293">
        <f ca="1">OFFSET(TblImps[[#This Row],[Real time]],-1,0)+1/24</f>
        <v>46321.874999999891</v>
      </c>
      <c r="CA49" s="294">
        <f ca="1">OFFSET(TblImps[[#This Row],[Servertime]],-1,0)+1/24</f>
        <v>46321.874999999891</v>
      </c>
      <c r="CB49" s="57"/>
      <c r="CC49" s="292"/>
      <c r="CD49" s="292"/>
    </row>
    <row r="50" spans="1:82" x14ac:dyDescent="0.2">
      <c r="A50" s="214">
        <f ca="1">TblConstr[[#This Row],[Land]]</f>
        <v>50</v>
      </c>
      <c r="B50" s="142"/>
      <c r="C50" s="94">
        <f ca="1">TblProd[[#This Row],[Platinum]]</f>
        <v>166947</v>
      </c>
      <c r="D50" s="94">
        <f ca="1">TblProd[[#This Row],[Lumber]]</f>
        <v>46464</v>
      </c>
      <c r="E50" s="94">
        <f ca="1">TblProd[[#This Row],[Ore]]</f>
        <v>0</v>
      </c>
      <c r="F50" s="94">
        <f ca="1">TblProd[[#This Row],[Gems]]</f>
        <v>0</v>
      </c>
      <c r="G50" s="154"/>
      <c r="H50" s="94">
        <f ca="1">TblMili[[#This Row],[Draftees]]</f>
        <v>471</v>
      </c>
      <c r="I50" s="180">
        <f ca="1">TblPop[[#This Row],[Employment]]</f>
        <v>1</v>
      </c>
      <c r="J50" s="180">
        <f ca="1">TblPop[[#This Row],[Total]]/TblPop[[#This Row],[Net max]]</f>
        <v>1</v>
      </c>
      <c r="K50" s="283">
        <f>TblRezone[[#This Row],[Hour]]</f>
        <v>47</v>
      </c>
      <c r="L50" s="284">
        <f ca="1">TblImps[[#This Row],[Real time]]</f>
        <v>46321.916666666555</v>
      </c>
      <c r="M50" s="61">
        <f>IF(ISERROR(TblImps[[#This Row],[algorithm]]),0,TblImps[[#This Row],[algorithm]]*1)</f>
        <v>0</v>
      </c>
      <c r="N50" s="94">
        <f ca="1">TblImps[[#This Row],[Land]]</f>
        <v>50</v>
      </c>
      <c r="O50" s="285" t="s">
        <v>4</v>
      </c>
      <c r="P50" s="286"/>
      <c r="Q50" s="285" t="s">
        <v>210</v>
      </c>
      <c r="R50" s="285" t="s">
        <v>7</v>
      </c>
      <c r="S50" s="286"/>
      <c r="T50" s="285" t="s">
        <v>210</v>
      </c>
      <c r="U50" s="285" t="s">
        <v>3</v>
      </c>
      <c r="V50" s="286"/>
      <c r="W50" s="285" t="s">
        <v>210</v>
      </c>
      <c r="X50" s="142"/>
      <c r="Y50" s="287">
        <f ca="1">science_cap*(1-EXP(-TblImps[[#This Row],[Σ Science]]/(science_param*(OFFSET(TblImps[[#This Row],[Land]],1,0)-OFFSET(TblExplore[[#This Row],[Land Bonus]],1,0)*20)+15000)))*(1+(mason_bonus*TblConstr[[#This Row],[Tot Mas]]/TblConstr[[#This Row],[Land (2)]]))</f>
        <v>0</v>
      </c>
      <c r="Z50" s="287">
        <f ca="1">keep_cap*(1-EXP(-TblImps[[#This Row],[Σ Keep]]/(keep_param*(OFFSET(TblImps[[#This Row],[Land]],1,0)-OFFSET(TblExplore[[#This Row],[Land Bonus]],1,0)*20)+15000)))*(1+(mason_bonus*TblConstr[[#This Row],[Tot Mas]]/TblConstr[[#This Row],[Land (2)]]))</f>
        <v>0</v>
      </c>
      <c r="AA50" s="287">
        <f ca="1">harbor_towers_cap*(1-EXP(-TblImps[[#This Row],[Σ Spires]]/(towers_param*(OFFSET(TblImps[[#This Row],[Land]],1,0)-OFFSET(TblExplore[[#This Row],[Land Bonus]],1,0)*20)+15000)))*(1+(mason_bonus*TblConstr[[#This Row],[Tot Mas]]/TblConstr[[#This Row],[Land (2)]]))</f>
        <v>0</v>
      </c>
      <c r="AB50" s="287">
        <f ca="1">walls_forges_cap*(1-EXP(-TblImps[[#This Row],[Σ Forges]]/(walls_forges_param*(OFFSET(TblImps[[#This Row],[Land]],1,0)-OFFSET(TblExplore[[#This Row],[Land Bonus]],1,0)*20)+15000)))*(1+(mason_bonus*TblConstr[[#This Row],[Tot Mas]]/TblConstr[[#This Row],[Land (2)]]))</f>
        <v>0</v>
      </c>
      <c r="AC50" s="287">
        <f ca="1">walls_forges_cap*(1-EXP(-TblImps[[#This Row],[Σ Walls]]/(walls_forges_param*(OFFSET(TblImps[[#This Row],[Land]],1,0)-OFFSET(TblExplore[[#This Row],[Land Bonus]],1,0)*20)+15000)))*(1+(mason_bonus*TblConstr[[#This Row],[Tot Mas]]/TblConstr[[#This Row],[Land (2)]]))</f>
        <v>0</v>
      </c>
      <c r="AD50" s="287">
        <f ca="1">harbor_towers_cap*(1-EXP(-TblImps[[#This Row],[Σ Harbor]]/(harbor_towers_param*(OFFSET(TblImps[[#This Row],[Land]],1,0)-OFFSET(TblExplore[[#This Row],[Land Bonus]],1,0)*20)+15000)))*(1+(mason_bonus*TblConstr[[#This Row],[Tot Mas]]/TblConstr[[#This Row],[Land (2)]]))</f>
        <v>0</v>
      </c>
      <c r="AE50" s="142"/>
      <c r="AF50" s="61">
        <f ca="1">(1+Overview!$I$29)*SUM(TblImps[[#This Row],[P2]:[G2]])+OFFSET(TblImps[[#This Row],[Σ Science]],-1,0)</f>
        <v>0</v>
      </c>
      <c r="AG50" s="61">
        <f ca="1">(1+Overview!$I$29)*SUM(TblImps[[#This Row],[P3]:[G3]])+OFFSET(TblImps[[#This Row],[Σ Keep]],-1,0)</f>
        <v>0</v>
      </c>
      <c r="AH50" s="61">
        <f ca="1">(1+Overview!$I$29 + tech_7_1*TblTech[[#This Row],[7-1]])*SUM(TblImps[[#This Row],[P4]:[G4]])+OFFSET(TblImps[[#This Row],[Σ Spires]],-1,0)</f>
        <v>0</v>
      </c>
      <c r="AI50" s="61">
        <f ca="1">(1+Overview!$I$29)*SUM(TblImps[[#This Row],[P5]:[FW5]])+OFFSET(TblImps[[#This Row],[Σ Forges]],-1,0)</f>
        <v>0</v>
      </c>
      <c r="AJ50" s="61">
        <f ca="1">(1+Overview!$I$29)*SUM(TblImps[[#This Row],[P6]:[G6]])+OFFSET(TblImps[[#This Row],[Σ Walls]],-1,0)</f>
        <v>0</v>
      </c>
      <c r="AK50" s="61">
        <f ca="1">(1+Overview!$I$29 + tech_7_1*TblTech[[#This Row],[7-1]])*SUM(TblImps[[#This Row],[P7]:[G7]])+OFFSET(TblImps[[#This Row],[Σ Harbor]],-1,0)</f>
        <v>0</v>
      </c>
      <c r="AL50" s="142"/>
      <c r="AM50" s="57">
        <f>IF(AND(TblImps[[#This Row],[Resource]]=AM$2,TblImps[[#This Row],[Part]]&lt;&gt;""),TblImps[[#This Row],[Amount]]) + IF(AND(TblImps[[#This Row],[Resource 2]]=AM$2,TblImps[[#This Row],[Part 2]]&lt;&gt;""),TblImps[[#This Row],[Amount 2]]) + IF(AND(TblImps[[#This Row],[Resource 3]]=AM$2,TblImps[[#This Row],[Part 3]]&lt;&gt;""),TblImps[[#This Row],[Amount 3]])</f>
        <v>0</v>
      </c>
      <c r="AN50" s="57">
        <f>IF(AND(TblImps[[#This Row],[Resource]]=AN$2,TblImps[[#This Row],[Part]]&lt;&gt;""),TblImps[[#This Row],[Amount]]) + IF(AND(TblImps[[#This Row],[Resource 2]]=AN$2,TblImps[[#This Row],[Part 2]]&lt;&gt;""),TblImps[[#This Row],[Amount 2]]) + IF(AND(TblImps[[#This Row],[Resource 3]]=AN$2,TblImps[[#This Row],[Part 3]]&lt;&gt;""),TblImps[[#This Row],[Amount 3]])</f>
        <v>0</v>
      </c>
      <c r="AO50" s="57">
        <f>IF(AND(TblImps[[#This Row],[Resource]]=AO$2,TblImps[[#This Row],[Part]]&lt;&gt;""),TblImps[[#This Row],[Amount]]) + IF(AND(TblImps[[#This Row],[Resource 2]]=AO$2,TblImps[[#This Row],[Part 2]]&lt;&gt;""),TblImps[[#This Row],[Amount 2]]) + IF(AND(TblImps[[#This Row],[Resource 3]]=AO$2,TblImps[[#This Row],[Part 3]]&lt;&gt;""),TblImps[[#This Row],[Amount 3]])</f>
        <v>0</v>
      </c>
      <c r="AP50" s="57">
        <f>IF(AND(TblImps[[#This Row],[Resource]]=AP$2,TblImps[[#This Row],[Part]]&lt;&gt;""),TblImps[[#This Row],[Amount]]) + IF(AND(TblImps[[#This Row],[Resource 2]]=AP$2,TblImps[[#This Row],[Part 2]]&lt;&gt;""),TblImps[[#This Row],[Amount 2]]) + IF(AND(TblImps[[#This Row],[Resource 3]]=AP$2,TblImps[[#This Row],[Part 3]]&lt;&gt;""),TblImps[[#This Row],[Amount 3]])</f>
        <v>0</v>
      </c>
      <c r="AQ50" s="142"/>
      <c r="AR5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142"/>
      <c r="AW5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142"/>
      <c r="BB5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142"/>
      <c r="BG5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57">
        <f ca="1">IF(OFFSET(TblMagic[[#This Row],[Active Alchemists Flame]],-1,0)&gt;0,TblConstr[[#This Row],[Tot Alc]]*alchemist_flame_invest,0)</f>
        <v>0</v>
      </c>
      <c r="BL50" s="142"/>
      <c r="BM5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0" s="142"/>
      <c r="BR5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0" s="142"/>
      <c r="BW5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0" s="61">
        <f>TblImps[[#This Row],[Login]]</f>
        <v>0</v>
      </c>
      <c r="BY50" s="137"/>
      <c r="BZ50" s="293">
        <f ca="1">OFFSET(TblImps[[#This Row],[Real time]],-1,0)+1/24</f>
        <v>46321.916666666555</v>
      </c>
      <c r="CA50" s="294">
        <f ca="1">OFFSET(TblImps[[#This Row],[Servertime]],-1,0)+1/24</f>
        <v>46321.916666666555</v>
      </c>
      <c r="CB50" s="57"/>
      <c r="CC50" s="292"/>
      <c r="CD50" s="292"/>
    </row>
    <row r="51" spans="1:82" x14ac:dyDescent="0.2">
      <c r="A51" s="214">
        <f ca="1">TblConstr[[#This Row],[Land]]</f>
        <v>50</v>
      </c>
      <c r="B51" s="142"/>
      <c r="C51" s="94">
        <f ca="1">TblProd[[#This Row],[Platinum]]</f>
        <v>167751</v>
      </c>
      <c r="D51" s="94">
        <f ca="1">TblProd[[#This Row],[Lumber]]</f>
        <v>46999</v>
      </c>
      <c r="E51" s="94">
        <f ca="1">TblProd[[#This Row],[Ore]]</f>
        <v>0</v>
      </c>
      <c r="F51" s="94">
        <f ca="1">TblProd[[#This Row],[Gems]]</f>
        <v>0</v>
      </c>
      <c r="G51" s="154"/>
      <c r="H51" s="94">
        <f ca="1">TblMili[[#This Row],[Draftees]]</f>
        <v>474</v>
      </c>
      <c r="I51" s="180">
        <f ca="1">TblPop[[#This Row],[Employment]]</f>
        <v>1</v>
      </c>
      <c r="J51" s="180">
        <f ca="1">TblPop[[#This Row],[Total]]/TblPop[[#This Row],[Net max]]</f>
        <v>1</v>
      </c>
      <c r="K51" s="283">
        <f>TblRezone[[#This Row],[Hour]]</f>
        <v>48</v>
      </c>
      <c r="L51" s="284">
        <f ca="1">TblImps[[#This Row],[Real time]]</f>
        <v>46321.958333333219</v>
      </c>
      <c r="M51" s="61">
        <f>IF(ISERROR(TblImps[[#This Row],[algorithm]]),0,TblImps[[#This Row],[algorithm]]*1)</f>
        <v>0</v>
      </c>
      <c r="N51" s="94">
        <f ca="1">TblImps[[#This Row],[Land]]</f>
        <v>50</v>
      </c>
      <c r="O51" s="285" t="s">
        <v>4</v>
      </c>
      <c r="P51" s="286"/>
      <c r="Q51" s="285" t="s">
        <v>210</v>
      </c>
      <c r="R51" s="285" t="s">
        <v>7</v>
      </c>
      <c r="S51" s="286"/>
      <c r="T51" s="285" t="s">
        <v>210</v>
      </c>
      <c r="U51" s="285" t="s">
        <v>3</v>
      </c>
      <c r="V51" s="286"/>
      <c r="W51" s="285" t="s">
        <v>210</v>
      </c>
      <c r="X51" s="142"/>
      <c r="Y51" s="287">
        <f ca="1">science_cap*(1-EXP(-TblImps[[#This Row],[Σ Science]]/(science_param*(OFFSET(TblImps[[#This Row],[Land]],1,0)-OFFSET(TblExplore[[#This Row],[Land Bonus]],1,0)*20)+15000)))*(1+(mason_bonus*TblConstr[[#This Row],[Tot Mas]]/TblConstr[[#This Row],[Land (2)]]))</f>
        <v>0</v>
      </c>
      <c r="Z51" s="287">
        <f ca="1">keep_cap*(1-EXP(-TblImps[[#This Row],[Σ Keep]]/(keep_param*(OFFSET(TblImps[[#This Row],[Land]],1,0)-OFFSET(TblExplore[[#This Row],[Land Bonus]],1,0)*20)+15000)))*(1+(mason_bonus*TblConstr[[#This Row],[Tot Mas]]/TblConstr[[#This Row],[Land (2)]]))</f>
        <v>0</v>
      </c>
      <c r="AA51" s="287">
        <f ca="1">harbor_towers_cap*(1-EXP(-TblImps[[#This Row],[Σ Spires]]/(towers_param*(OFFSET(TblImps[[#This Row],[Land]],1,0)-OFFSET(TblExplore[[#This Row],[Land Bonus]],1,0)*20)+15000)))*(1+(mason_bonus*TblConstr[[#This Row],[Tot Mas]]/TblConstr[[#This Row],[Land (2)]]))</f>
        <v>0</v>
      </c>
      <c r="AB51" s="287">
        <f ca="1">walls_forges_cap*(1-EXP(-TblImps[[#This Row],[Σ Forges]]/(walls_forges_param*(OFFSET(TblImps[[#This Row],[Land]],1,0)-OFFSET(TblExplore[[#This Row],[Land Bonus]],1,0)*20)+15000)))*(1+(mason_bonus*TblConstr[[#This Row],[Tot Mas]]/TblConstr[[#This Row],[Land (2)]]))</f>
        <v>0</v>
      </c>
      <c r="AC51" s="287">
        <f ca="1">walls_forges_cap*(1-EXP(-TblImps[[#This Row],[Σ Walls]]/(walls_forges_param*(OFFSET(TblImps[[#This Row],[Land]],1,0)-OFFSET(TblExplore[[#This Row],[Land Bonus]],1,0)*20)+15000)))*(1+(mason_bonus*TblConstr[[#This Row],[Tot Mas]]/TblConstr[[#This Row],[Land (2)]]))</f>
        <v>0</v>
      </c>
      <c r="AD51" s="287">
        <f ca="1">harbor_towers_cap*(1-EXP(-TblImps[[#This Row],[Σ Harbor]]/(harbor_towers_param*(OFFSET(TblImps[[#This Row],[Land]],1,0)-OFFSET(TblExplore[[#This Row],[Land Bonus]],1,0)*20)+15000)))*(1+(mason_bonus*TblConstr[[#This Row],[Tot Mas]]/TblConstr[[#This Row],[Land (2)]]))</f>
        <v>0</v>
      </c>
      <c r="AE51" s="142"/>
      <c r="AF51" s="61">
        <f ca="1">(1+Overview!$I$29)*SUM(TblImps[[#This Row],[P2]:[G2]])+OFFSET(TblImps[[#This Row],[Σ Science]],-1,0)</f>
        <v>0</v>
      </c>
      <c r="AG51" s="61">
        <f ca="1">(1+Overview!$I$29)*SUM(TblImps[[#This Row],[P3]:[G3]])+OFFSET(TblImps[[#This Row],[Σ Keep]],-1,0)</f>
        <v>0</v>
      </c>
      <c r="AH51" s="61">
        <f ca="1">(1+Overview!$I$29 + tech_7_1*TblTech[[#This Row],[7-1]])*SUM(TblImps[[#This Row],[P4]:[G4]])+OFFSET(TblImps[[#This Row],[Σ Spires]],-1,0)</f>
        <v>0</v>
      </c>
      <c r="AI51" s="61">
        <f ca="1">(1+Overview!$I$29)*SUM(TblImps[[#This Row],[P5]:[FW5]])+OFFSET(TblImps[[#This Row],[Σ Forges]],-1,0)</f>
        <v>0</v>
      </c>
      <c r="AJ51" s="61">
        <f ca="1">(1+Overview!$I$29)*SUM(TblImps[[#This Row],[P6]:[G6]])+OFFSET(TblImps[[#This Row],[Σ Walls]],-1,0)</f>
        <v>0</v>
      </c>
      <c r="AK51" s="61">
        <f ca="1">(1+Overview!$I$29 + tech_7_1*TblTech[[#This Row],[7-1]])*SUM(TblImps[[#This Row],[P7]:[G7]])+OFFSET(TblImps[[#This Row],[Σ Harbor]],-1,0)</f>
        <v>0</v>
      </c>
      <c r="AL51" s="142"/>
      <c r="AM51" s="57">
        <f>IF(AND(TblImps[[#This Row],[Resource]]=AM$2,TblImps[[#This Row],[Part]]&lt;&gt;""),TblImps[[#This Row],[Amount]]) + IF(AND(TblImps[[#This Row],[Resource 2]]=AM$2,TblImps[[#This Row],[Part 2]]&lt;&gt;""),TblImps[[#This Row],[Amount 2]]) + IF(AND(TblImps[[#This Row],[Resource 3]]=AM$2,TblImps[[#This Row],[Part 3]]&lt;&gt;""),TblImps[[#This Row],[Amount 3]])</f>
        <v>0</v>
      </c>
      <c r="AN51" s="57">
        <f>IF(AND(TblImps[[#This Row],[Resource]]=AN$2,TblImps[[#This Row],[Part]]&lt;&gt;""),TblImps[[#This Row],[Amount]]) + IF(AND(TblImps[[#This Row],[Resource 2]]=AN$2,TblImps[[#This Row],[Part 2]]&lt;&gt;""),TblImps[[#This Row],[Amount 2]]) + IF(AND(TblImps[[#This Row],[Resource 3]]=AN$2,TblImps[[#This Row],[Part 3]]&lt;&gt;""),TblImps[[#This Row],[Amount 3]])</f>
        <v>0</v>
      </c>
      <c r="AO51" s="57">
        <f>IF(AND(TblImps[[#This Row],[Resource]]=AO$2,TblImps[[#This Row],[Part]]&lt;&gt;""),TblImps[[#This Row],[Amount]]) + IF(AND(TblImps[[#This Row],[Resource 2]]=AO$2,TblImps[[#This Row],[Part 2]]&lt;&gt;""),TblImps[[#This Row],[Amount 2]]) + IF(AND(TblImps[[#This Row],[Resource 3]]=AO$2,TblImps[[#This Row],[Part 3]]&lt;&gt;""),TblImps[[#This Row],[Amount 3]])</f>
        <v>0</v>
      </c>
      <c r="AP51" s="57">
        <f>IF(AND(TblImps[[#This Row],[Resource]]=AP$2,TblImps[[#This Row],[Part]]&lt;&gt;""),TblImps[[#This Row],[Amount]]) + IF(AND(TblImps[[#This Row],[Resource 2]]=AP$2,TblImps[[#This Row],[Part 2]]&lt;&gt;""),TblImps[[#This Row],[Amount 2]]) + IF(AND(TblImps[[#This Row],[Resource 3]]=AP$2,TblImps[[#This Row],[Part 3]]&lt;&gt;""),TblImps[[#This Row],[Amount 3]])</f>
        <v>0</v>
      </c>
      <c r="AQ51" s="142"/>
      <c r="AR5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142"/>
      <c r="AW5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142"/>
      <c r="BB5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142"/>
      <c r="BG5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57">
        <f ca="1">IF(OFFSET(TblMagic[[#This Row],[Active Alchemists Flame]],-1,0)&gt;0,TblConstr[[#This Row],[Tot Alc]]*alchemist_flame_invest,0)</f>
        <v>0</v>
      </c>
      <c r="BL51" s="142"/>
      <c r="BM5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1" s="142"/>
      <c r="BR5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1" s="142"/>
      <c r="BW5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1" s="61">
        <f>TblImps[[#This Row],[Login]]</f>
        <v>0</v>
      </c>
      <c r="BY51" s="137"/>
      <c r="BZ51" s="293">
        <f ca="1">OFFSET(TblImps[[#This Row],[Real time]],-1,0)+1/24</f>
        <v>46321.958333333219</v>
      </c>
      <c r="CA51" s="294">
        <f ca="1">OFFSET(TblImps[[#This Row],[Servertime]],-1,0)+1/24</f>
        <v>46321.958333333219</v>
      </c>
      <c r="CB51" s="57"/>
      <c r="CC51" s="292"/>
      <c r="CD51" s="292"/>
    </row>
    <row r="52" spans="1:82" s="5" customFormat="1" x14ac:dyDescent="0.2">
      <c r="A52" s="230">
        <f ca="1">TblConstr[[#This Row],[Land]]</f>
        <v>50</v>
      </c>
      <c r="B52" s="149"/>
      <c r="C52" s="35">
        <f ca="1">TblProd[[#This Row],[Platinum]]</f>
        <v>168547</v>
      </c>
      <c r="D52" s="35">
        <f ca="1">TblProd[[#This Row],[Lumber]]</f>
        <v>47529</v>
      </c>
      <c r="E52" s="35">
        <f ca="1">TblProd[[#This Row],[Ore]]</f>
        <v>0</v>
      </c>
      <c r="F52" s="35">
        <f ca="1">TblProd[[#This Row],[Gems]]</f>
        <v>0</v>
      </c>
      <c r="G52" s="162"/>
      <c r="H52" s="35">
        <f ca="1">TblMili[[#This Row],[Draftees]]</f>
        <v>477</v>
      </c>
      <c r="I52" s="436">
        <f ca="1">TblPop[[#This Row],[Employment]]</f>
        <v>1</v>
      </c>
      <c r="J52" s="436">
        <f ca="1">TblPop[[#This Row],[Total]]/TblPop[[#This Row],[Net max]]</f>
        <v>1</v>
      </c>
      <c r="K52" s="298">
        <f>TblRezone[[#This Row],[Hour]]</f>
        <v>49</v>
      </c>
      <c r="L52" s="299">
        <f ca="1">TblImps[[#This Row],[Real time]]</f>
        <v>46321.999999999884</v>
      </c>
      <c r="M52" s="148">
        <f>IF(ISERROR(TblImps[[#This Row],[algorithm]]),0,TblImps[[#This Row],[algorithm]]*1)</f>
        <v>0</v>
      </c>
      <c r="N52" s="35">
        <f ca="1">TblImps[[#This Row],[Land]]</f>
        <v>50</v>
      </c>
      <c r="O52" s="300" t="s">
        <v>4</v>
      </c>
      <c r="P52" s="301"/>
      <c r="Q52" s="300" t="s">
        <v>210</v>
      </c>
      <c r="R52" s="300" t="s">
        <v>7</v>
      </c>
      <c r="S52" s="301"/>
      <c r="T52" s="300" t="s">
        <v>210</v>
      </c>
      <c r="U52" s="300" t="s">
        <v>3</v>
      </c>
      <c r="V52" s="301"/>
      <c r="W52" s="300" t="s">
        <v>210</v>
      </c>
      <c r="X52" s="149"/>
      <c r="Y52" s="462">
        <f ca="1">science_cap*(1-EXP(-TblImps[[#This Row],[Σ Science]]/(science_param*(OFFSET(TblImps[[#This Row],[Land]],1,0)-OFFSET(TblExplore[[#This Row],[Land Bonus]],1,0)*20)+15000)))*(1+(mason_bonus*TblConstr[[#This Row],[Tot Mas]]/TblConstr[[#This Row],[Land (2)]]))</f>
        <v>0</v>
      </c>
      <c r="Z52" s="462">
        <f ca="1">keep_cap*(1-EXP(-TblImps[[#This Row],[Σ Keep]]/(keep_param*(OFFSET(TblImps[[#This Row],[Land]],1,0)-OFFSET(TblExplore[[#This Row],[Land Bonus]],1,0)*20)+15000)))*(1+(mason_bonus*TblConstr[[#This Row],[Tot Mas]]/TblConstr[[#This Row],[Land (2)]]))</f>
        <v>0</v>
      </c>
      <c r="AA52" s="462">
        <f ca="1">harbor_towers_cap*(1-EXP(-TblImps[[#This Row],[Σ Spires]]/(towers_param*(OFFSET(TblImps[[#This Row],[Land]],1,0)-OFFSET(TblExplore[[#This Row],[Land Bonus]],1,0)*20)+15000)))*(1+(mason_bonus*TblConstr[[#This Row],[Tot Mas]]/TblConstr[[#This Row],[Land (2)]]))</f>
        <v>0</v>
      </c>
      <c r="AB52" s="462">
        <f ca="1">walls_forges_cap*(1-EXP(-TblImps[[#This Row],[Σ Forges]]/(walls_forges_param*(OFFSET(TblImps[[#This Row],[Land]],1,0)-OFFSET(TblExplore[[#This Row],[Land Bonus]],1,0)*20)+15000)))*(1+(mason_bonus*TblConstr[[#This Row],[Tot Mas]]/TblConstr[[#This Row],[Land (2)]]))</f>
        <v>0</v>
      </c>
      <c r="AC52" s="462">
        <f ca="1">walls_forges_cap*(1-EXP(-TblImps[[#This Row],[Σ Walls]]/(walls_forges_param*(OFFSET(TblImps[[#This Row],[Land]],1,0)-OFFSET(TblExplore[[#This Row],[Land Bonus]],1,0)*20)+15000)))*(1+(mason_bonus*TblConstr[[#This Row],[Tot Mas]]/TblConstr[[#This Row],[Land (2)]]))</f>
        <v>0</v>
      </c>
      <c r="AD52" s="462">
        <f ca="1">harbor_towers_cap*(1-EXP(-TblImps[[#This Row],[Σ Harbor]]/(harbor_towers_param*(OFFSET(TblImps[[#This Row],[Land]],1,0)-OFFSET(TblExplore[[#This Row],[Land Bonus]],1,0)*20)+15000)))*(1+(mason_bonus*TblConstr[[#This Row],[Tot Mas]]/TblConstr[[#This Row],[Land (2)]]))</f>
        <v>0</v>
      </c>
      <c r="AE52" s="149"/>
      <c r="AF52" s="148">
        <f ca="1">(1+Overview!$I$29)*SUM(TblImps[[#This Row],[P2]:[G2]])+OFFSET(TblImps[[#This Row],[Σ Science]],-1,0)</f>
        <v>0</v>
      </c>
      <c r="AG52" s="148">
        <f ca="1">(1+Overview!$I$29)*SUM(TblImps[[#This Row],[P3]:[G3]])+OFFSET(TblImps[[#This Row],[Σ Keep]],-1,0)</f>
        <v>0</v>
      </c>
      <c r="AH52" s="148">
        <f ca="1">(1+Overview!$I$29 + tech_7_1*TblTech[[#This Row],[7-1]])*SUM(TblImps[[#This Row],[P4]:[G4]])+OFFSET(TblImps[[#This Row],[Σ Spires]],-1,0)</f>
        <v>0</v>
      </c>
      <c r="AI52" s="148">
        <f ca="1">(1+Overview!$I$29)*SUM(TblImps[[#This Row],[P5]:[FW5]])+OFFSET(TblImps[[#This Row],[Σ Forges]],-1,0)</f>
        <v>0</v>
      </c>
      <c r="AJ52" s="148">
        <f ca="1">(1+Overview!$I$29)*SUM(TblImps[[#This Row],[P6]:[G6]])+OFFSET(TblImps[[#This Row],[Σ Walls]],-1,0)</f>
        <v>0</v>
      </c>
      <c r="AK52" s="148">
        <f ca="1">(1+Overview!$I$29 + tech_7_1*TblTech[[#This Row],[7-1]])*SUM(TblImps[[#This Row],[P7]:[G7]])+OFFSET(TblImps[[#This Row],[Σ Harbor]],-1,0)</f>
        <v>0</v>
      </c>
      <c r="AL52" s="149"/>
      <c r="AM52" s="28">
        <f>IF(AND(TblImps[[#This Row],[Resource]]=AM$2,TblImps[[#This Row],[Part]]&lt;&gt;""),TblImps[[#This Row],[Amount]]) + IF(AND(TblImps[[#This Row],[Resource 2]]=AM$2,TblImps[[#This Row],[Part 2]]&lt;&gt;""),TblImps[[#This Row],[Amount 2]]) + IF(AND(TblImps[[#This Row],[Resource 3]]=AM$2,TblImps[[#This Row],[Part 3]]&lt;&gt;""),TblImps[[#This Row],[Amount 3]])</f>
        <v>0</v>
      </c>
      <c r="AN52" s="28">
        <f>IF(AND(TblImps[[#This Row],[Resource]]=AN$2,TblImps[[#This Row],[Part]]&lt;&gt;""),TblImps[[#This Row],[Amount]]) + IF(AND(TblImps[[#This Row],[Resource 2]]=AN$2,TblImps[[#This Row],[Part 2]]&lt;&gt;""),TblImps[[#This Row],[Amount 2]]) + IF(AND(TblImps[[#This Row],[Resource 3]]=AN$2,TblImps[[#This Row],[Part 3]]&lt;&gt;""),TblImps[[#This Row],[Amount 3]])</f>
        <v>0</v>
      </c>
      <c r="AO52" s="28">
        <f>IF(AND(TblImps[[#This Row],[Resource]]=AO$2,TblImps[[#This Row],[Part]]&lt;&gt;""),TblImps[[#This Row],[Amount]]) + IF(AND(TblImps[[#This Row],[Resource 2]]=AO$2,TblImps[[#This Row],[Part 2]]&lt;&gt;""),TblImps[[#This Row],[Amount 2]]) + IF(AND(TblImps[[#This Row],[Resource 3]]=AO$2,TblImps[[#This Row],[Part 3]]&lt;&gt;""),TblImps[[#This Row],[Amount 3]])</f>
        <v>0</v>
      </c>
      <c r="AP52" s="28">
        <f>IF(AND(TblImps[[#This Row],[Resource]]=AP$2,TblImps[[#This Row],[Part]]&lt;&gt;""),TblImps[[#This Row],[Amount]]) + IF(AND(TblImps[[#This Row],[Resource 2]]=AP$2,TblImps[[#This Row],[Part 2]]&lt;&gt;""),TblImps[[#This Row],[Amount 2]]) + IF(AND(TblImps[[#This Row],[Resource 3]]=AP$2,TblImps[[#This Row],[Part 3]]&lt;&gt;""),TblImps[[#This Row],[Amount 3]])</f>
        <v>0</v>
      </c>
      <c r="AQ52" s="149"/>
      <c r="AR52" s="28">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28">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28">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28">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149"/>
      <c r="AW52" s="28">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28">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28">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28">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149"/>
      <c r="BB52" s="28">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28">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28">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28">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149"/>
      <c r="BG52" s="28">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28">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28">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28">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28">
        <f ca="1">IF(OFFSET(TblMagic[[#This Row],[Active Alchemists Flame]],-1,0)&gt;0,TblConstr[[#This Row],[Tot Alc]]*alchemist_flame_invest,0)</f>
        <v>0</v>
      </c>
      <c r="BL52" s="149"/>
      <c r="BM52" s="28">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2" s="28">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2" s="28">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2" s="28">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2" s="149"/>
      <c r="BR52" s="28">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2" s="28">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2" s="28">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2" s="28">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2" s="149"/>
      <c r="BW52" s="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2" s="148">
        <f>TblImps[[#This Row],[Login]]</f>
        <v>0</v>
      </c>
      <c r="BY52" s="144"/>
      <c r="BZ52" s="463">
        <f ca="1">OFFSET(TblImps[[#This Row],[Real time]],-1,0)+1/24</f>
        <v>46321.999999999884</v>
      </c>
      <c r="CA52" s="464">
        <f ca="1">OFFSET(TblImps[[#This Row],[Servertime]],-1,0)+1/24</f>
        <v>46321.999999999884</v>
      </c>
      <c r="CB52" s="28"/>
      <c r="CC52" s="465"/>
      <c r="CD52" s="465"/>
    </row>
    <row r="53" spans="1:82" x14ac:dyDescent="0.2">
      <c r="A53" s="214">
        <f ca="1">TblConstr[[#This Row],[Land]]</f>
        <v>50</v>
      </c>
      <c r="B53" s="142"/>
      <c r="C53" s="94">
        <f ca="1">TblProd[[#This Row],[Platinum]]</f>
        <v>169335</v>
      </c>
      <c r="D53" s="94">
        <f ca="1">TblProd[[#This Row],[Lumber]]</f>
        <v>48054</v>
      </c>
      <c r="E53" s="94">
        <f ca="1">TblProd[[#This Row],[Ore]]</f>
        <v>0</v>
      </c>
      <c r="F53" s="94">
        <f ca="1">TblProd[[#This Row],[Gems]]</f>
        <v>0</v>
      </c>
      <c r="G53" s="154"/>
      <c r="H53" s="94">
        <f ca="1">TblMili[[#This Row],[Draftees]]</f>
        <v>480</v>
      </c>
      <c r="I53" s="180">
        <f ca="1">TblPop[[#This Row],[Employment]]</f>
        <v>1</v>
      </c>
      <c r="J53" s="180">
        <f ca="1">TblPop[[#This Row],[Total]]/TblPop[[#This Row],[Net max]]</f>
        <v>1</v>
      </c>
      <c r="K53" s="283">
        <f>TblRezone[[#This Row],[Hour]]</f>
        <v>50</v>
      </c>
      <c r="L53" s="284">
        <f ca="1">TblImps[[#This Row],[Real time]]</f>
        <v>46322.041666666548</v>
      </c>
      <c r="M53" s="61">
        <f>IF(ISERROR(TblImps[[#This Row],[algorithm]]),0,TblImps[[#This Row],[algorithm]]*1)</f>
        <v>0</v>
      </c>
      <c r="N53" s="94">
        <f ca="1">TblImps[[#This Row],[Land]]</f>
        <v>50</v>
      </c>
      <c r="O53" s="285" t="s">
        <v>4</v>
      </c>
      <c r="P53" s="286"/>
      <c r="Q53" s="285" t="s">
        <v>210</v>
      </c>
      <c r="R53" s="285" t="s">
        <v>7</v>
      </c>
      <c r="S53" s="286"/>
      <c r="T53" s="285" t="s">
        <v>210</v>
      </c>
      <c r="U53" s="285" t="s">
        <v>3</v>
      </c>
      <c r="V53" s="286"/>
      <c r="W53" s="285" t="s">
        <v>210</v>
      </c>
      <c r="X53" s="142"/>
      <c r="Y53" s="287">
        <f ca="1">science_cap*(1-EXP(-TblImps[[#This Row],[Σ Science]]/(science_param*(OFFSET(TblImps[[#This Row],[Land]],1,0)-OFFSET(TblExplore[[#This Row],[Land Bonus]],1,0)*20)+15000)))*(1+(mason_bonus*TblConstr[[#This Row],[Tot Mas]]/TblConstr[[#This Row],[Land (2)]]))</f>
        <v>0</v>
      </c>
      <c r="Z53" s="287">
        <f ca="1">keep_cap*(1-EXP(-TblImps[[#This Row],[Σ Keep]]/(keep_param*(OFFSET(TblImps[[#This Row],[Land]],1,0)-OFFSET(TblExplore[[#This Row],[Land Bonus]],1,0)*20)+15000)))*(1+(mason_bonus*TblConstr[[#This Row],[Tot Mas]]/TblConstr[[#This Row],[Land (2)]]))</f>
        <v>0</v>
      </c>
      <c r="AA53" s="287">
        <f ca="1">harbor_towers_cap*(1-EXP(-TblImps[[#This Row],[Σ Spires]]/(towers_param*(OFFSET(TblImps[[#This Row],[Land]],1,0)-OFFSET(TblExplore[[#This Row],[Land Bonus]],1,0)*20)+15000)))*(1+(mason_bonus*TblConstr[[#This Row],[Tot Mas]]/TblConstr[[#This Row],[Land (2)]]))</f>
        <v>0</v>
      </c>
      <c r="AB53" s="287">
        <f ca="1">walls_forges_cap*(1-EXP(-TblImps[[#This Row],[Σ Forges]]/(walls_forges_param*(OFFSET(TblImps[[#This Row],[Land]],1,0)-OFFSET(TblExplore[[#This Row],[Land Bonus]],1,0)*20)+15000)))*(1+(mason_bonus*TblConstr[[#This Row],[Tot Mas]]/TblConstr[[#This Row],[Land (2)]]))</f>
        <v>0</v>
      </c>
      <c r="AC53" s="287">
        <f ca="1">walls_forges_cap*(1-EXP(-TblImps[[#This Row],[Σ Walls]]/(walls_forges_param*(OFFSET(TblImps[[#This Row],[Land]],1,0)-OFFSET(TblExplore[[#This Row],[Land Bonus]],1,0)*20)+15000)))*(1+(mason_bonus*TblConstr[[#This Row],[Tot Mas]]/TblConstr[[#This Row],[Land (2)]]))</f>
        <v>0</v>
      </c>
      <c r="AD53" s="287">
        <f ca="1">harbor_towers_cap*(1-EXP(-TblImps[[#This Row],[Σ Harbor]]/(harbor_towers_param*(OFFSET(TblImps[[#This Row],[Land]],1,0)-OFFSET(TblExplore[[#This Row],[Land Bonus]],1,0)*20)+15000)))*(1+(mason_bonus*TblConstr[[#This Row],[Tot Mas]]/TblConstr[[#This Row],[Land (2)]]))</f>
        <v>0</v>
      </c>
      <c r="AE53" s="142"/>
      <c r="AF53" s="61">
        <f ca="1">(1+Overview!$I$29)*SUM(TblImps[[#This Row],[P2]:[G2]])+OFFSET(TblImps[[#This Row],[Σ Science]],-1,0)</f>
        <v>0</v>
      </c>
      <c r="AG53" s="61">
        <f ca="1">(1+Overview!$I$29)*SUM(TblImps[[#This Row],[P3]:[G3]])+OFFSET(TblImps[[#This Row],[Σ Keep]],-1,0)</f>
        <v>0</v>
      </c>
      <c r="AH53" s="61">
        <f ca="1">(1+Overview!$I$29 + tech_7_1*TblTech[[#This Row],[7-1]])*SUM(TblImps[[#This Row],[P4]:[G4]])+OFFSET(TblImps[[#This Row],[Σ Spires]],-1,0)</f>
        <v>0</v>
      </c>
      <c r="AI53" s="61">
        <f ca="1">(1+Overview!$I$29)*SUM(TblImps[[#This Row],[P5]:[FW5]])+OFFSET(TblImps[[#This Row],[Σ Forges]],-1,0)</f>
        <v>0</v>
      </c>
      <c r="AJ53" s="61">
        <f ca="1">(1+Overview!$I$29)*SUM(TblImps[[#This Row],[P6]:[G6]])+OFFSET(TblImps[[#This Row],[Σ Walls]],-1,0)</f>
        <v>0</v>
      </c>
      <c r="AK53" s="61">
        <f ca="1">(1+Overview!$I$29 + tech_7_1*TblTech[[#This Row],[7-1]])*SUM(TblImps[[#This Row],[P7]:[G7]])+OFFSET(TblImps[[#This Row],[Σ Harbor]],-1,0)</f>
        <v>0</v>
      </c>
      <c r="AL53" s="142"/>
      <c r="AM53" s="57">
        <f>IF(AND(TblImps[[#This Row],[Resource]]=AM$2,TblImps[[#This Row],[Part]]&lt;&gt;""),TblImps[[#This Row],[Amount]]) + IF(AND(TblImps[[#This Row],[Resource 2]]=AM$2,TblImps[[#This Row],[Part 2]]&lt;&gt;""),TblImps[[#This Row],[Amount 2]]) + IF(AND(TblImps[[#This Row],[Resource 3]]=AM$2,TblImps[[#This Row],[Part 3]]&lt;&gt;""),TblImps[[#This Row],[Amount 3]])</f>
        <v>0</v>
      </c>
      <c r="AN53" s="57">
        <f>IF(AND(TblImps[[#This Row],[Resource]]=AN$2,TblImps[[#This Row],[Part]]&lt;&gt;""),TblImps[[#This Row],[Amount]]) + IF(AND(TblImps[[#This Row],[Resource 2]]=AN$2,TblImps[[#This Row],[Part 2]]&lt;&gt;""),TblImps[[#This Row],[Amount 2]]) + IF(AND(TblImps[[#This Row],[Resource 3]]=AN$2,TblImps[[#This Row],[Part 3]]&lt;&gt;""),TblImps[[#This Row],[Amount 3]])</f>
        <v>0</v>
      </c>
      <c r="AO53" s="57">
        <f>IF(AND(TblImps[[#This Row],[Resource]]=AO$2,TblImps[[#This Row],[Part]]&lt;&gt;""),TblImps[[#This Row],[Amount]]) + IF(AND(TblImps[[#This Row],[Resource 2]]=AO$2,TblImps[[#This Row],[Part 2]]&lt;&gt;""),TblImps[[#This Row],[Amount 2]]) + IF(AND(TblImps[[#This Row],[Resource 3]]=AO$2,TblImps[[#This Row],[Part 3]]&lt;&gt;""),TblImps[[#This Row],[Amount 3]])</f>
        <v>0</v>
      </c>
      <c r="AP53" s="57">
        <f>IF(AND(TblImps[[#This Row],[Resource]]=AP$2,TblImps[[#This Row],[Part]]&lt;&gt;""),TblImps[[#This Row],[Amount]]) + IF(AND(TblImps[[#This Row],[Resource 2]]=AP$2,TblImps[[#This Row],[Part 2]]&lt;&gt;""),TblImps[[#This Row],[Amount 2]]) + IF(AND(TblImps[[#This Row],[Resource 3]]=AP$2,TblImps[[#This Row],[Part 3]]&lt;&gt;""),TblImps[[#This Row],[Amount 3]])</f>
        <v>0</v>
      </c>
      <c r="AQ53" s="142"/>
      <c r="AR5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142"/>
      <c r="AW5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142"/>
      <c r="BB5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142"/>
      <c r="BG5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57">
        <f ca="1">IF(OFFSET(TblMagic[[#This Row],[Active Alchemists Flame]],-1,0)&gt;0,TblConstr[[#This Row],[Tot Alc]]*alchemist_flame_invest,0)</f>
        <v>0</v>
      </c>
      <c r="BL53" s="142"/>
      <c r="BM5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3" s="142"/>
      <c r="BR5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3" s="142"/>
      <c r="BW5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3" s="61">
        <f>TblImps[[#This Row],[Login]]</f>
        <v>0</v>
      </c>
      <c r="BY53" s="137"/>
      <c r="BZ53" s="293">
        <f ca="1">OFFSET(TblImps[[#This Row],[Real time]],-1,0)+1/24</f>
        <v>46322.041666666548</v>
      </c>
      <c r="CA53" s="294">
        <f ca="1">OFFSET(TblImps[[#This Row],[Servertime]],-1,0)+1/24</f>
        <v>46322.041666666548</v>
      </c>
      <c r="CB53" s="57"/>
      <c r="CC53" s="292"/>
      <c r="CD53" s="292"/>
    </row>
    <row r="54" spans="1:82" x14ac:dyDescent="0.2">
      <c r="A54" s="214">
        <f ca="1">TblConstr[[#This Row],[Land]]</f>
        <v>50</v>
      </c>
      <c r="B54" s="142"/>
      <c r="C54" s="94">
        <f ca="1">TblProd[[#This Row],[Platinum]]</f>
        <v>170115</v>
      </c>
      <c r="D54" s="94">
        <f ca="1">TblProd[[#This Row],[Lumber]]</f>
        <v>48573</v>
      </c>
      <c r="E54" s="94">
        <f ca="1">TblProd[[#This Row],[Ore]]</f>
        <v>0</v>
      </c>
      <c r="F54" s="94">
        <f ca="1">TblProd[[#This Row],[Gems]]</f>
        <v>0</v>
      </c>
      <c r="G54" s="154"/>
      <c r="H54" s="94">
        <f ca="1">TblMili[[#This Row],[Draftees]]</f>
        <v>483</v>
      </c>
      <c r="I54" s="180">
        <f ca="1">TblPop[[#This Row],[Employment]]</f>
        <v>1</v>
      </c>
      <c r="J54" s="180">
        <f ca="1">TblPop[[#This Row],[Total]]/TblPop[[#This Row],[Net max]]</f>
        <v>1</v>
      </c>
      <c r="K54" s="283">
        <f>TblRezone[[#This Row],[Hour]]</f>
        <v>51</v>
      </c>
      <c r="L54" s="284">
        <f ca="1">TblImps[[#This Row],[Real time]]</f>
        <v>46322.083333333212</v>
      </c>
      <c r="M54" s="61">
        <f>IF(ISERROR(TblImps[[#This Row],[algorithm]]),0,TblImps[[#This Row],[algorithm]]*1)</f>
        <v>0</v>
      </c>
      <c r="N54" s="94">
        <f ca="1">TblImps[[#This Row],[Land]]</f>
        <v>50</v>
      </c>
      <c r="O54" s="285" t="s">
        <v>4</v>
      </c>
      <c r="P54" s="286"/>
      <c r="Q54" s="285" t="s">
        <v>210</v>
      </c>
      <c r="R54" s="285" t="s">
        <v>7</v>
      </c>
      <c r="S54" s="286"/>
      <c r="T54" s="285" t="s">
        <v>210</v>
      </c>
      <c r="U54" s="285" t="s">
        <v>3</v>
      </c>
      <c r="V54" s="286"/>
      <c r="W54" s="285" t="s">
        <v>210</v>
      </c>
      <c r="X54" s="142"/>
      <c r="Y54" s="287">
        <f ca="1">science_cap*(1-EXP(-TblImps[[#This Row],[Σ Science]]/(science_param*(OFFSET(TblImps[[#This Row],[Land]],1,0)-OFFSET(TblExplore[[#This Row],[Land Bonus]],1,0)*20)+15000)))*(1+(mason_bonus*TblConstr[[#This Row],[Tot Mas]]/TblConstr[[#This Row],[Land (2)]]))</f>
        <v>0</v>
      </c>
      <c r="Z54" s="287">
        <f ca="1">keep_cap*(1-EXP(-TblImps[[#This Row],[Σ Keep]]/(keep_param*(OFFSET(TblImps[[#This Row],[Land]],1,0)-OFFSET(TblExplore[[#This Row],[Land Bonus]],1,0)*20)+15000)))*(1+(mason_bonus*TblConstr[[#This Row],[Tot Mas]]/TblConstr[[#This Row],[Land (2)]]))</f>
        <v>0</v>
      </c>
      <c r="AA54" s="287">
        <f ca="1">harbor_towers_cap*(1-EXP(-TblImps[[#This Row],[Σ Spires]]/(towers_param*(OFFSET(TblImps[[#This Row],[Land]],1,0)-OFFSET(TblExplore[[#This Row],[Land Bonus]],1,0)*20)+15000)))*(1+(mason_bonus*TblConstr[[#This Row],[Tot Mas]]/TblConstr[[#This Row],[Land (2)]]))</f>
        <v>0</v>
      </c>
      <c r="AB54" s="287">
        <f ca="1">walls_forges_cap*(1-EXP(-TblImps[[#This Row],[Σ Forges]]/(walls_forges_param*(OFFSET(TblImps[[#This Row],[Land]],1,0)-OFFSET(TblExplore[[#This Row],[Land Bonus]],1,0)*20)+15000)))*(1+(mason_bonus*TblConstr[[#This Row],[Tot Mas]]/TblConstr[[#This Row],[Land (2)]]))</f>
        <v>0</v>
      </c>
      <c r="AC54" s="287">
        <f ca="1">walls_forges_cap*(1-EXP(-TblImps[[#This Row],[Σ Walls]]/(walls_forges_param*(OFFSET(TblImps[[#This Row],[Land]],1,0)-OFFSET(TblExplore[[#This Row],[Land Bonus]],1,0)*20)+15000)))*(1+(mason_bonus*TblConstr[[#This Row],[Tot Mas]]/TblConstr[[#This Row],[Land (2)]]))</f>
        <v>0</v>
      </c>
      <c r="AD54" s="287">
        <f ca="1">harbor_towers_cap*(1-EXP(-TblImps[[#This Row],[Σ Harbor]]/(harbor_towers_param*(OFFSET(TblImps[[#This Row],[Land]],1,0)-OFFSET(TblExplore[[#This Row],[Land Bonus]],1,0)*20)+15000)))*(1+(mason_bonus*TblConstr[[#This Row],[Tot Mas]]/TblConstr[[#This Row],[Land (2)]]))</f>
        <v>0</v>
      </c>
      <c r="AE54" s="142"/>
      <c r="AF54" s="61">
        <f ca="1">(1+Overview!$I$29)*SUM(TblImps[[#This Row],[P2]:[G2]])+OFFSET(TblImps[[#This Row],[Σ Science]],-1,0)</f>
        <v>0</v>
      </c>
      <c r="AG54" s="61">
        <f ca="1">(1+Overview!$I$29)*SUM(TblImps[[#This Row],[P3]:[G3]])+OFFSET(TblImps[[#This Row],[Σ Keep]],-1,0)</f>
        <v>0</v>
      </c>
      <c r="AH54" s="61">
        <f ca="1">(1+Overview!$I$29 + tech_7_1*TblTech[[#This Row],[7-1]])*SUM(TblImps[[#This Row],[P4]:[G4]])+OFFSET(TblImps[[#This Row],[Σ Spires]],-1,0)</f>
        <v>0</v>
      </c>
      <c r="AI54" s="61">
        <f ca="1">(1+Overview!$I$29)*SUM(TblImps[[#This Row],[P5]:[FW5]])+OFFSET(TblImps[[#This Row],[Σ Forges]],-1,0)</f>
        <v>0</v>
      </c>
      <c r="AJ54" s="61">
        <f ca="1">(1+Overview!$I$29)*SUM(TblImps[[#This Row],[P6]:[G6]])+OFFSET(TblImps[[#This Row],[Σ Walls]],-1,0)</f>
        <v>0</v>
      </c>
      <c r="AK54" s="61">
        <f ca="1">(1+Overview!$I$29 + tech_7_1*TblTech[[#This Row],[7-1]])*SUM(TblImps[[#This Row],[P7]:[G7]])+OFFSET(TblImps[[#This Row],[Σ Harbor]],-1,0)</f>
        <v>0</v>
      </c>
      <c r="AL54" s="142"/>
      <c r="AM54" s="57">
        <f>IF(AND(TblImps[[#This Row],[Resource]]=AM$2,TblImps[[#This Row],[Part]]&lt;&gt;""),TblImps[[#This Row],[Amount]]) + IF(AND(TblImps[[#This Row],[Resource 2]]=AM$2,TblImps[[#This Row],[Part 2]]&lt;&gt;""),TblImps[[#This Row],[Amount 2]]) + IF(AND(TblImps[[#This Row],[Resource 3]]=AM$2,TblImps[[#This Row],[Part 3]]&lt;&gt;""),TblImps[[#This Row],[Amount 3]])</f>
        <v>0</v>
      </c>
      <c r="AN54" s="57">
        <f>IF(AND(TblImps[[#This Row],[Resource]]=AN$2,TblImps[[#This Row],[Part]]&lt;&gt;""),TblImps[[#This Row],[Amount]]) + IF(AND(TblImps[[#This Row],[Resource 2]]=AN$2,TblImps[[#This Row],[Part 2]]&lt;&gt;""),TblImps[[#This Row],[Amount 2]]) + IF(AND(TblImps[[#This Row],[Resource 3]]=AN$2,TblImps[[#This Row],[Part 3]]&lt;&gt;""),TblImps[[#This Row],[Amount 3]])</f>
        <v>0</v>
      </c>
      <c r="AO54" s="57">
        <f>IF(AND(TblImps[[#This Row],[Resource]]=AO$2,TblImps[[#This Row],[Part]]&lt;&gt;""),TblImps[[#This Row],[Amount]]) + IF(AND(TblImps[[#This Row],[Resource 2]]=AO$2,TblImps[[#This Row],[Part 2]]&lt;&gt;""),TblImps[[#This Row],[Amount 2]]) + IF(AND(TblImps[[#This Row],[Resource 3]]=AO$2,TblImps[[#This Row],[Part 3]]&lt;&gt;""),TblImps[[#This Row],[Amount 3]])</f>
        <v>0</v>
      </c>
      <c r="AP54" s="57">
        <f>IF(AND(TblImps[[#This Row],[Resource]]=AP$2,TblImps[[#This Row],[Part]]&lt;&gt;""),TblImps[[#This Row],[Amount]]) + IF(AND(TblImps[[#This Row],[Resource 2]]=AP$2,TblImps[[#This Row],[Part 2]]&lt;&gt;""),TblImps[[#This Row],[Amount 2]]) + IF(AND(TblImps[[#This Row],[Resource 3]]=AP$2,TblImps[[#This Row],[Part 3]]&lt;&gt;""),TblImps[[#This Row],[Amount 3]])</f>
        <v>0</v>
      </c>
      <c r="AQ54" s="142"/>
      <c r="AR5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142"/>
      <c r="AW5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142"/>
      <c r="BB5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142"/>
      <c r="BG5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57">
        <f ca="1">IF(OFFSET(TblMagic[[#This Row],[Active Alchemists Flame]],-1,0)&gt;0,TblConstr[[#This Row],[Tot Alc]]*alchemist_flame_invest,0)</f>
        <v>0</v>
      </c>
      <c r="BL54" s="142"/>
      <c r="BM5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4" s="142"/>
      <c r="BR5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4" s="142"/>
      <c r="BW5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4" s="61">
        <f>TblImps[[#This Row],[Login]]</f>
        <v>0</v>
      </c>
      <c r="BY54" s="137"/>
      <c r="BZ54" s="293">
        <f ca="1">OFFSET(TblImps[[#This Row],[Real time]],-1,0)+1/24</f>
        <v>46322.083333333212</v>
      </c>
      <c r="CA54" s="294">
        <f ca="1">OFFSET(TblImps[[#This Row],[Servertime]],-1,0)+1/24</f>
        <v>46322.083333333212</v>
      </c>
      <c r="CB54" s="57"/>
      <c r="CC54" s="292"/>
      <c r="CD54" s="292"/>
    </row>
    <row r="55" spans="1:82" x14ac:dyDescent="0.2">
      <c r="A55" s="214">
        <f ca="1">TblConstr[[#This Row],[Land]]</f>
        <v>50</v>
      </c>
      <c r="B55" s="142"/>
      <c r="C55" s="94">
        <f ca="1">TblProd[[#This Row],[Platinum]]</f>
        <v>170887</v>
      </c>
      <c r="D55" s="94">
        <f ca="1">TblProd[[#This Row],[Lumber]]</f>
        <v>49087</v>
      </c>
      <c r="E55" s="94">
        <f ca="1">TblProd[[#This Row],[Ore]]</f>
        <v>0</v>
      </c>
      <c r="F55" s="94">
        <f ca="1">TblProd[[#This Row],[Gems]]</f>
        <v>0</v>
      </c>
      <c r="G55" s="154"/>
      <c r="H55" s="94">
        <f ca="1">TblMili[[#This Row],[Draftees]]</f>
        <v>486</v>
      </c>
      <c r="I55" s="180">
        <f ca="1">TblPop[[#This Row],[Employment]]</f>
        <v>1</v>
      </c>
      <c r="J55" s="180">
        <f ca="1">TblPop[[#This Row],[Total]]/TblPop[[#This Row],[Net max]]</f>
        <v>1</v>
      </c>
      <c r="K55" s="283">
        <f>TblRezone[[#This Row],[Hour]]</f>
        <v>52</v>
      </c>
      <c r="L55" s="284">
        <f ca="1">TblImps[[#This Row],[Real time]]</f>
        <v>46322.124999999876</v>
      </c>
      <c r="M55" s="61">
        <f>IF(ISERROR(TblImps[[#This Row],[algorithm]]),0,TblImps[[#This Row],[algorithm]]*1)</f>
        <v>0</v>
      </c>
      <c r="N55" s="94">
        <f ca="1">TblImps[[#This Row],[Land]]</f>
        <v>50</v>
      </c>
      <c r="O55" s="285" t="s">
        <v>4</v>
      </c>
      <c r="P55" s="286"/>
      <c r="Q55" s="285" t="s">
        <v>210</v>
      </c>
      <c r="R55" s="285" t="s">
        <v>7</v>
      </c>
      <c r="S55" s="286"/>
      <c r="T55" s="285" t="s">
        <v>210</v>
      </c>
      <c r="U55" s="285" t="s">
        <v>3</v>
      </c>
      <c r="V55" s="286"/>
      <c r="W55" s="285" t="s">
        <v>210</v>
      </c>
      <c r="X55" s="142"/>
      <c r="Y55" s="287">
        <f ca="1">science_cap*(1-EXP(-TblImps[[#This Row],[Σ Science]]/(science_param*(OFFSET(TblImps[[#This Row],[Land]],1,0)-OFFSET(TblExplore[[#This Row],[Land Bonus]],1,0)*20)+15000)))*(1+(mason_bonus*TblConstr[[#This Row],[Tot Mas]]/TblConstr[[#This Row],[Land (2)]]))</f>
        <v>0</v>
      </c>
      <c r="Z55" s="287">
        <f ca="1">keep_cap*(1-EXP(-TblImps[[#This Row],[Σ Keep]]/(keep_param*(OFFSET(TblImps[[#This Row],[Land]],1,0)-OFFSET(TblExplore[[#This Row],[Land Bonus]],1,0)*20)+15000)))*(1+(mason_bonus*TblConstr[[#This Row],[Tot Mas]]/TblConstr[[#This Row],[Land (2)]]))</f>
        <v>0</v>
      </c>
      <c r="AA55" s="287">
        <f ca="1">harbor_towers_cap*(1-EXP(-TblImps[[#This Row],[Σ Spires]]/(towers_param*(OFFSET(TblImps[[#This Row],[Land]],1,0)-OFFSET(TblExplore[[#This Row],[Land Bonus]],1,0)*20)+15000)))*(1+(mason_bonus*TblConstr[[#This Row],[Tot Mas]]/TblConstr[[#This Row],[Land (2)]]))</f>
        <v>0</v>
      </c>
      <c r="AB55" s="287">
        <f ca="1">walls_forges_cap*(1-EXP(-TblImps[[#This Row],[Σ Forges]]/(walls_forges_param*(OFFSET(TblImps[[#This Row],[Land]],1,0)-OFFSET(TblExplore[[#This Row],[Land Bonus]],1,0)*20)+15000)))*(1+(mason_bonus*TblConstr[[#This Row],[Tot Mas]]/TblConstr[[#This Row],[Land (2)]]))</f>
        <v>0</v>
      </c>
      <c r="AC55" s="287">
        <f ca="1">walls_forges_cap*(1-EXP(-TblImps[[#This Row],[Σ Walls]]/(walls_forges_param*(OFFSET(TblImps[[#This Row],[Land]],1,0)-OFFSET(TblExplore[[#This Row],[Land Bonus]],1,0)*20)+15000)))*(1+(mason_bonus*TblConstr[[#This Row],[Tot Mas]]/TblConstr[[#This Row],[Land (2)]]))</f>
        <v>0</v>
      </c>
      <c r="AD55" s="287">
        <f ca="1">harbor_towers_cap*(1-EXP(-TblImps[[#This Row],[Σ Harbor]]/(harbor_towers_param*(OFFSET(TblImps[[#This Row],[Land]],1,0)-OFFSET(TblExplore[[#This Row],[Land Bonus]],1,0)*20)+15000)))*(1+(mason_bonus*TblConstr[[#This Row],[Tot Mas]]/TblConstr[[#This Row],[Land (2)]]))</f>
        <v>0</v>
      </c>
      <c r="AE55" s="142"/>
      <c r="AF55" s="61">
        <f ca="1">(1+Overview!$I$29)*SUM(TblImps[[#This Row],[P2]:[G2]])+OFFSET(TblImps[[#This Row],[Σ Science]],-1,0)</f>
        <v>0</v>
      </c>
      <c r="AG55" s="61">
        <f ca="1">(1+Overview!$I$29)*SUM(TblImps[[#This Row],[P3]:[G3]])+OFFSET(TblImps[[#This Row],[Σ Keep]],-1,0)</f>
        <v>0</v>
      </c>
      <c r="AH55" s="61">
        <f ca="1">(1+Overview!$I$29 + tech_7_1*TblTech[[#This Row],[7-1]])*SUM(TblImps[[#This Row],[P4]:[G4]])+OFFSET(TblImps[[#This Row],[Σ Spires]],-1,0)</f>
        <v>0</v>
      </c>
      <c r="AI55" s="61">
        <f ca="1">(1+Overview!$I$29)*SUM(TblImps[[#This Row],[P5]:[FW5]])+OFFSET(TblImps[[#This Row],[Σ Forges]],-1,0)</f>
        <v>0</v>
      </c>
      <c r="AJ55" s="61">
        <f ca="1">(1+Overview!$I$29)*SUM(TblImps[[#This Row],[P6]:[G6]])+OFFSET(TblImps[[#This Row],[Σ Walls]],-1,0)</f>
        <v>0</v>
      </c>
      <c r="AK55" s="61">
        <f ca="1">(1+Overview!$I$29 + tech_7_1*TblTech[[#This Row],[7-1]])*SUM(TblImps[[#This Row],[P7]:[G7]])+OFFSET(TblImps[[#This Row],[Σ Harbor]],-1,0)</f>
        <v>0</v>
      </c>
      <c r="AL55" s="142"/>
      <c r="AM55" s="57">
        <f>IF(AND(TblImps[[#This Row],[Resource]]=AM$2,TblImps[[#This Row],[Part]]&lt;&gt;""),TblImps[[#This Row],[Amount]]) + IF(AND(TblImps[[#This Row],[Resource 2]]=AM$2,TblImps[[#This Row],[Part 2]]&lt;&gt;""),TblImps[[#This Row],[Amount 2]]) + IF(AND(TblImps[[#This Row],[Resource 3]]=AM$2,TblImps[[#This Row],[Part 3]]&lt;&gt;""),TblImps[[#This Row],[Amount 3]])</f>
        <v>0</v>
      </c>
      <c r="AN55" s="57">
        <f>IF(AND(TblImps[[#This Row],[Resource]]=AN$2,TblImps[[#This Row],[Part]]&lt;&gt;""),TblImps[[#This Row],[Amount]]) + IF(AND(TblImps[[#This Row],[Resource 2]]=AN$2,TblImps[[#This Row],[Part 2]]&lt;&gt;""),TblImps[[#This Row],[Amount 2]]) + IF(AND(TblImps[[#This Row],[Resource 3]]=AN$2,TblImps[[#This Row],[Part 3]]&lt;&gt;""),TblImps[[#This Row],[Amount 3]])</f>
        <v>0</v>
      </c>
      <c r="AO55" s="57">
        <f>IF(AND(TblImps[[#This Row],[Resource]]=AO$2,TblImps[[#This Row],[Part]]&lt;&gt;""),TblImps[[#This Row],[Amount]]) + IF(AND(TblImps[[#This Row],[Resource 2]]=AO$2,TblImps[[#This Row],[Part 2]]&lt;&gt;""),TblImps[[#This Row],[Amount 2]]) + IF(AND(TblImps[[#This Row],[Resource 3]]=AO$2,TblImps[[#This Row],[Part 3]]&lt;&gt;""),TblImps[[#This Row],[Amount 3]])</f>
        <v>0</v>
      </c>
      <c r="AP55" s="57">
        <f>IF(AND(TblImps[[#This Row],[Resource]]=AP$2,TblImps[[#This Row],[Part]]&lt;&gt;""),TblImps[[#This Row],[Amount]]) + IF(AND(TblImps[[#This Row],[Resource 2]]=AP$2,TblImps[[#This Row],[Part 2]]&lt;&gt;""),TblImps[[#This Row],[Amount 2]]) + IF(AND(TblImps[[#This Row],[Resource 3]]=AP$2,TblImps[[#This Row],[Part 3]]&lt;&gt;""),TblImps[[#This Row],[Amount 3]])</f>
        <v>0</v>
      </c>
      <c r="AQ55" s="142"/>
      <c r="AR5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142"/>
      <c r="AW5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142"/>
      <c r="BB5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142"/>
      <c r="BG5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57">
        <f ca="1">IF(OFFSET(TblMagic[[#This Row],[Active Alchemists Flame]],-1,0)&gt;0,TblConstr[[#This Row],[Tot Alc]]*alchemist_flame_invest,0)</f>
        <v>0</v>
      </c>
      <c r="BL55" s="142"/>
      <c r="BM5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5" s="142"/>
      <c r="BR5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5" s="142"/>
      <c r="BW5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5" s="61">
        <f>TblImps[[#This Row],[Login]]</f>
        <v>0</v>
      </c>
      <c r="BY55" s="137"/>
      <c r="BZ55" s="293">
        <f ca="1">OFFSET(TblImps[[#This Row],[Real time]],-1,0)+1/24</f>
        <v>46322.124999999876</v>
      </c>
      <c r="CA55" s="294">
        <f ca="1">OFFSET(TblImps[[#This Row],[Servertime]],-1,0)+1/24</f>
        <v>46322.124999999876</v>
      </c>
      <c r="CB55" s="57"/>
      <c r="CC55" s="292"/>
      <c r="CD55" s="292"/>
    </row>
    <row r="56" spans="1:82" x14ac:dyDescent="0.2">
      <c r="A56" s="214">
        <f ca="1">TblConstr[[#This Row],[Land]]</f>
        <v>50</v>
      </c>
      <c r="B56" s="142"/>
      <c r="C56" s="94">
        <f ca="1">TblProd[[#This Row],[Platinum]]</f>
        <v>171651</v>
      </c>
      <c r="D56" s="94">
        <f ca="1">TblProd[[#This Row],[Lumber]]</f>
        <v>49596</v>
      </c>
      <c r="E56" s="94">
        <f ca="1">TblProd[[#This Row],[Ore]]</f>
        <v>0</v>
      </c>
      <c r="F56" s="94">
        <f ca="1">TblProd[[#This Row],[Gems]]</f>
        <v>0</v>
      </c>
      <c r="G56" s="154"/>
      <c r="H56" s="94">
        <f ca="1">TblMili[[#This Row],[Draftees]]</f>
        <v>489</v>
      </c>
      <c r="I56" s="180">
        <f ca="1">TblPop[[#This Row],[Employment]]</f>
        <v>1</v>
      </c>
      <c r="J56" s="180">
        <f ca="1">TblPop[[#This Row],[Total]]/TblPop[[#This Row],[Net max]]</f>
        <v>1</v>
      </c>
      <c r="K56" s="283">
        <f>TblRezone[[#This Row],[Hour]]</f>
        <v>53</v>
      </c>
      <c r="L56" s="284">
        <f ca="1">TblImps[[#This Row],[Real time]]</f>
        <v>46322.166666666541</v>
      </c>
      <c r="M56" s="61">
        <f>IF(ISERROR(TblImps[[#This Row],[algorithm]]),0,TblImps[[#This Row],[algorithm]]*1)</f>
        <v>0</v>
      </c>
      <c r="N56" s="94">
        <f ca="1">TblImps[[#This Row],[Land]]</f>
        <v>50</v>
      </c>
      <c r="O56" s="285" t="s">
        <v>4</v>
      </c>
      <c r="P56" s="286"/>
      <c r="Q56" s="285" t="s">
        <v>210</v>
      </c>
      <c r="R56" s="285" t="s">
        <v>7</v>
      </c>
      <c r="S56" s="286"/>
      <c r="T56" s="285" t="s">
        <v>210</v>
      </c>
      <c r="U56" s="285" t="s">
        <v>3</v>
      </c>
      <c r="V56" s="286"/>
      <c r="W56" s="285" t="s">
        <v>210</v>
      </c>
      <c r="X56" s="142"/>
      <c r="Y56" s="287">
        <f ca="1">science_cap*(1-EXP(-TblImps[[#This Row],[Σ Science]]/(science_param*(OFFSET(TblImps[[#This Row],[Land]],1,0)-OFFSET(TblExplore[[#This Row],[Land Bonus]],1,0)*20)+15000)))*(1+(mason_bonus*TblConstr[[#This Row],[Tot Mas]]/TblConstr[[#This Row],[Land (2)]]))</f>
        <v>0</v>
      </c>
      <c r="Z56" s="287">
        <f ca="1">keep_cap*(1-EXP(-TblImps[[#This Row],[Σ Keep]]/(keep_param*(OFFSET(TblImps[[#This Row],[Land]],1,0)-OFFSET(TblExplore[[#This Row],[Land Bonus]],1,0)*20)+15000)))*(1+(mason_bonus*TblConstr[[#This Row],[Tot Mas]]/TblConstr[[#This Row],[Land (2)]]))</f>
        <v>0</v>
      </c>
      <c r="AA56" s="287">
        <f ca="1">harbor_towers_cap*(1-EXP(-TblImps[[#This Row],[Σ Spires]]/(towers_param*(OFFSET(TblImps[[#This Row],[Land]],1,0)-OFFSET(TblExplore[[#This Row],[Land Bonus]],1,0)*20)+15000)))*(1+(mason_bonus*TblConstr[[#This Row],[Tot Mas]]/TblConstr[[#This Row],[Land (2)]]))</f>
        <v>0</v>
      </c>
      <c r="AB56" s="287">
        <f ca="1">walls_forges_cap*(1-EXP(-TblImps[[#This Row],[Σ Forges]]/(walls_forges_param*(OFFSET(TblImps[[#This Row],[Land]],1,0)-OFFSET(TblExplore[[#This Row],[Land Bonus]],1,0)*20)+15000)))*(1+(mason_bonus*TblConstr[[#This Row],[Tot Mas]]/TblConstr[[#This Row],[Land (2)]]))</f>
        <v>0</v>
      </c>
      <c r="AC56" s="287">
        <f ca="1">walls_forges_cap*(1-EXP(-TblImps[[#This Row],[Σ Walls]]/(walls_forges_param*(OFFSET(TblImps[[#This Row],[Land]],1,0)-OFFSET(TblExplore[[#This Row],[Land Bonus]],1,0)*20)+15000)))*(1+(mason_bonus*TblConstr[[#This Row],[Tot Mas]]/TblConstr[[#This Row],[Land (2)]]))</f>
        <v>0</v>
      </c>
      <c r="AD56" s="287">
        <f ca="1">harbor_towers_cap*(1-EXP(-TblImps[[#This Row],[Σ Harbor]]/(harbor_towers_param*(OFFSET(TblImps[[#This Row],[Land]],1,0)-OFFSET(TblExplore[[#This Row],[Land Bonus]],1,0)*20)+15000)))*(1+(mason_bonus*TblConstr[[#This Row],[Tot Mas]]/TblConstr[[#This Row],[Land (2)]]))</f>
        <v>0</v>
      </c>
      <c r="AE56" s="142"/>
      <c r="AF56" s="61">
        <f ca="1">(1+Overview!$I$29)*SUM(TblImps[[#This Row],[P2]:[G2]])+OFFSET(TblImps[[#This Row],[Σ Science]],-1,0)</f>
        <v>0</v>
      </c>
      <c r="AG56" s="61">
        <f ca="1">(1+Overview!$I$29)*SUM(TblImps[[#This Row],[P3]:[G3]])+OFFSET(TblImps[[#This Row],[Σ Keep]],-1,0)</f>
        <v>0</v>
      </c>
      <c r="AH56" s="61">
        <f ca="1">(1+Overview!$I$29 + tech_7_1*TblTech[[#This Row],[7-1]])*SUM(TblImps[[#This Row],[P4]:[G4]])+OFFSET(TblImps[[#This Row],[Σ Spires]],-1,0)</f>
        <v>0</v>
      </c>
      <c r="AI56" s="61">
        <f ca="1">(1+Overview!$I$29)*SUM(TblImps[[#This Row],[P5]:[FW5]])+OFFSET(TblImps[[#This Row],[Σ Forges]],-1,0)</f>
        <v>0</v>
      </c>
      <c r="AJ56" s="61">
        <f ca="1">(1+Overview!$I$29)*SUM(TblImps[[#This Row],[P6]:[G6]])+OFFSET(TblImps[[#This Row],[Σ Walls]],-1,0)</f>
        <v>0</v>
      </c>
      <c r="AK56" s="61">
        <f ca="1">(1+Overview!$I$29 + tech_7_1*TblTech[[#This Row],[7-1]])*SUM(TblImps[[#This Row],[P7]:[G7]])+OFFSET(TblImps[[#This Row],[Σ Harbor]],-1,0)</f>
        <v>0</v>
      </c>
      <c r="AL56" s="142"/>
      <c r="AM56" s="57">
        <f>IF(AND(TblImps[[#This Row],[Resource]]=AM$2,TblImps[[#This Row],[Part]]&lt;&gt;""),TblImps[[#This Row],[Amount]]) + IF(AND(TblImps[[#This Row],[Resource 2]]=AM$2,TblImps[[#This Row],[Part 2]]&lt;&gt;""),TblImps[[#This Row],[Amount 2]]) + IF(AND(TblImps[[#This Row],[Resource 3]]=AM$2,TblImps[[#This Row],[Part 3]]&lt;&gt;""),TblImps[[#This Row],[Amount 3]])</f>
        <v>0</v>
      </c>
      <c r="AN56" s="57">
        <f>IF(AND(TblImps[[#This Row],[Resource]]=AN$2,TblImps[[#This Row],[Part]]&lt;&gt;""),TblImps[[#This Row],[Amount]]) + IF(AND(TblImps[[#This Row],[Resource 2]]=AN$2,TblImps[[#This Row],[Part 2]]&lt;&gt;""),TblImps[[#This Row],[Amount 2]]) + IF(AND(TblImps[[#This Row],[Resource 3]]=AN$2,TblImps[[#This Row],[Part 3]]&lt;&gt;""),TblImps[[#This Row],[Amount 3]])</f>
        <v>0</v>
      </c>
      <c r="AO56" s="57">
        <f>IF(AND(TblImps[[#This Row],[Resource]]=AO$2,TblImps[[#This Row],[Part]]&lt;&gt;""),TblImps[[#This Row],[Amount]]) + IF(AND(TblImps[[#This Row],[Resource 2]]=AO$2,TblImps[[#This Row],[Part 2]]&lt;&gt;""),TblImps[[#This Row],[Amount 2]]) + IF(AND(TblImps[[#This Row],[Resource 3]]=AO$2,TblImps[[#This Row],[Part 3]]&lt;&gt;""),TblImps[[#This Row],[Amount 3]])</f>
        <v>0</v>
      </c>
      <c r="AP56" s="57">
        <f>IF(AND(TblImps[[#This Row],[Resource]]=AP$2,TblImps[[#This Row],[Part]]&lt;&gt;""),TblImps[[#This Row],[Amount]]) + IF(AND(TblImps[[#This Row],[Resource 2]]=AP$2,TblImps[[#This Row],[Part 2]]&lt;&gt;""),TblImps[[#This Row],[Amount 2]]) + IF(AND(TblImps[[#This Row],[Resource 3]]=AP$2,TblImps[[#This Row],[Part 3]]&lt;&gt;""),TblImps[[#This Row],[Amount 3]])</f>
        <v>0</v>
      </c>
      <c r="AQ56" s="142"/>
      <c r="AR5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142"/>
      <c r="AW5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142"/>
      <c r="BB5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142"/>
      <c r="BG5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57">
        <f ca="1">IF(OFFSET(TblMagic[[#This Row],[Active Alchemists Flame]],-1,0)&gt;0,TblConstr[[#This Row],[Tot Alc]]*alchemist_flame_invest,0)</f>
        <v>0</v>
      </c>
      <c r="BL56" s="142"/>
      <c r="BM5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6" s="142"/>
      <c r="BR5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6" s="142"/>
      <c r="BW5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6" s="61">
        <f>TblImps[[#This Row],[Login]]</f>
        <v>0</v>
      </c>
      <c r="BY56" s="137"/>
      <c r="BZ56" s="293">
        <f ca="1">OFFSET(TblImps[[#This Row],[Real time]],-1,0)+1/24</f>
        <v>46322.166666666541</v>
      </c>
      <c r="CA56" s="294">
        <f ca="1">OFFSET(TblImps[[#This Row],[Servertime]],-1,0)+1/24</f>
        <v>46322.166666666541</v>
      </c>
      <c r="CB56" s="57"/>
      <c r="CC56" s="292"/>
      <c r="CD56" s="292"/>
    </row>
    <row r="57" spans="1:82" x14ac:dyDescent="0.2">
      <c r="A57" s="214">
        <f ca="1">TblConstr[[#This Row],[Land]]</f>
        <v>50</v>
      </c>
      <c r="B57" s="142"/>
      <c r="C57" s="94">
        <f ca="1">TblProd[[#This Row],[Platinum]]</f>
        <v>172407</v>
      </c>
      <c r="D57" s="94">
        <f ca="1">TblProd[[#This Row],[Lumber]]</f>
        <v>50100</v>
      </c>
      <c r="E57" s="94">
        <f ca="1">TblProd[[#This Row],[Ore]]</f>
        <v>0</v>
      </c>
      <c r="F57" s="94">
        <f ca="1">TblProd[[#This Row],[Gems]]</f>
        <v>0</v>
      </c>
      <c r="G57" s="154"/>
      <c r="H57" s="94">
        <f ca="1">TblMili[[#This Row],[Draftees]]</f>
        <v>492</v>
      </c>
      <c r="I57" s="180">
        <f ca="1">TblPop[[#This Row],[Employment]]</f>
        <v>1</v>
      </c>
      <c r="J57" s="180">
        <f ca="1">TblPop[[#This Row],[Total]]/TblPop[[#This Row],[Net max]]</f>
        <v>1</v>
      </c>
      <c r="K57" s="283">
        <f>TblRezone[[#This Row],[Hour]]</f>
        <v>54</v>
      </c>
      <c r="L57" s="284">
        <f ca="1">TblImps[[#This Row],[Real time]]</f>
        <v>46322.208333333205</v>
      </c>
      <c r="M57" s="61">
        <f>IF(ISERROR(TblImps[[#This Row],[algorithm]]),0,TblImps[[#This Row],[algorithm]]*1)</f>
        <v>0</v>
      </c>
      <c r="N57" s="94">
        <f ca="1">TblImps[[#This Row],[Land]]</f>
        <v>50</v>
      </c>
      <c r="O57" s="285" t="s">
        <v>4</v>
      </c>
      <c r="P57" s="286"/>
      <c r="Q57" s="285" t="s">
        <v>210</v>
      </c>
      <c r="R57" s="285" t="s">
        <v>7</v>
      </c>
      <c r="S57" s="286"/>
      <c r="T57" s="285" t="s">
        <v>210</v>
      </c>
      <c r="U57" s="285" t="s">
        <v>3</v>
      </c>
      <c r="V57" s="286"/>
      <c r="W57" s="285" t="s">
        <v>210</v>
      </c>
      <c r="X57" s="142"/>
      <c r="Y57" s="287">
        <f ca="1">science_cap*(1-EXP(-TblImps[[#This Row],[Σ Science]]/(science_param*(OFFSET(TblImps[[#This Row],[Land]],1,0)-OFFSET(TblExplore[[#This Row],[Land Bonus]],1,0)*20)+15000)))*(1+(mason_bonus*TblConstr[[#This Row],[Tot Mas]]/TblConstr[[#This Row],[Land (2)]]))</f>
        <v>0</v>
      </c>
      <c r="Z57" s="287">
        <f ca="1">keep_cap*(1-EXP(-TblImps[[#This Row],[Σ Keep]]/(keep_param*(OFFSET(TblImps[[#This Row],[Land]],1,0)-OFFSET(TblExplore[[#This Row],[Land Bonus]],1,0)*20)+15000)))*(1+(mason_bonus*TblConstr[[#This Row],[Tot Mas]]/TblConstr[[#This Row],[Land (2)]]))</f>
        <v>0</v>
      </c>
      <c r="AA57" s="287">
        <f ca="1">harbor_towers_cap*(1-EXP(-TblImps[[#This Row],[Σ Spires]]/(towers_param*(OFFSET(TblImps[[#This Row],[Land]],1,0)-OFFSET(TblExplore[[#This Row],[Land Bonus]],1,0)*20)+15000)))*(1+(mason_bonus*TblConstr[[#This Row],[Tot Mas]]/TblConstr[[#This Row],[Land (2)]]))</f>
        <v>0</v>
      </c>
      <c r="AB57" s="287">
        <f ca="1">walls_forges_cap*(1-EXP(-TblImps[[#This Row],[Σ Forges]]/(walls_forges_param*(OFFSET(TblImps[[#This Row],[Land]],1,0)-OFFSET(TblExplore[[#This Row],[Land Bonus]],1,0)*20)+15000)))*(1+(mason_bonus*TblConstr[[#This Row],[Tot Mas]]/TblConstr[[#This Row],[Land (2)]]))</f>
        <v>0</v>
      </c>
      <c r="AC57" s="287">
        <f ca="1">walls_forges_cap*(1-EXP(-TblImps[[#This Row],[Σ Walls]]/(walls_forges_param*(OFFSET(TblImps[[#This Row],[Land]],1,0)-OFFSET(TblExplore[[#This Row],[Land Bonus]],1,0)*20)+15000)))*(1+(mason_bonus*TblConstr[[#This Row],[Tot Mas]]/TblConstr[[#This Row],[Land (2)]]))</f>
        <v>0</v>
      </c>
      <c r="AD57" s="287">
        <f ca="1">harbor_towers_cap*(1-EXP(-TblImps[[#This Row],[Σ Harbor]]/(harbor_towers_param*(OFFSET(TblImps[[#This Row],[Land]],1,0)-OFFSET(TblExplore[[#This Row],[Land Bonus]],1,0)*20)+15000)))*(1+(mason_bonus*TblConstr[[#This Row],[Tot Mas]]/TblConstr[[#This Row],[Land (2)]]))</f>
        <v>0</v>
      </c>
      <c r="AE57" s="142"/>
      <c r="AF57" s="61">
        <f ca="1">(1+Overview!$I$29)*SUM(TblImps[[#This Row],[P2]:[G2]])+OFFSET(TblImps[[#This Row],[Σ Science]],-1,0)</f>
        <v>0</v>
      </c>
      <c r="AG57" s="61">
        <f ca="1">(1+Overview!$I$29)*SUM(TblImps[[#This Row],[P3]:[G3]])+OFFSET(TblImps[[#This Row],[Σ Keep]],-1,0)</f>
        <v>0</v>
      </c>
      <c r="AH57" s="61">
        <f ca="1">(1+Overview!$I$29 + tech_7_1*TblTech[[#This Row],[7-1]])*SUM(TblImps[[#This Row],[P4]:[G4]])+OFFSET(TblImps[[#This Row],[Σ Spires]],-1,0)</f>
        <v>0</v>
      </c>
      <c r="AI57" s="61">
        <f ca="1">(1+Overview!$I$29)*SUM(TblImps[[#This Row],[P5]:[FW5]])+OFFSET(TblImps[[#This Row],[Σ Forges]],-1,0)</f>
        <v>0</v>
      </c>
      <c r="AJ57" s="61">
        <f ca="1">(1+Overview!$I$29)*SUM(TblImps[[#This Row],[P6]:[G6]])+OFFSET(TblImps[[#This Row],[Σ Walls]],-1,0)</f>
        <v>0</v>
      </c>
      <c r="AK57" s="61">
        <f ca="1">(1+Overview!$I$29 + tech_7_1*TblTech[[#This Row],[7-1]])*SUM(TblImps[[#This Row],[P7]:[G7]])+OFFSET(TblImps[[#This Row],[Σ Harbor]],-1,0)</f>
        <v>0</v>
      </c>
      <c r="AL57" s="142"/>
      <c r="AM57" s="57">
        <f>IF(AND(TblImps[[#This Row],[Resource]]=AM$2,TblImps[[#This Row],[Part]]&lt;&gt;""),TblImps[[#This Row],[Amount]]) + IF(AND(TblImps[[#This Row],[Resource 2]]=AM$2,TblImps[[#This Row],[Part 2]]&lt;&gt;""),TblImps[[#This Row],[Amount 2]]) + IF(AND(TblImps[[#This Row],[Resource 3]]=AM$2,TblImps[[#This Row],[Part 3]]&lt;&gt;""),TblImps[[#This Row],[Amount 3]])</f>
        <v>0</v>
      </c>
      <c r="AN57" s="57">
        <f>IF(AND(TblImps[[#This Row],[Resource]]=AN$2,TblImps[[#This Row],[Part]]&lt;&gt;""),TblImps[[#This Row],[Amount]]) + IF(AND(TblImps[[#This Row],[Resource 2]]=AN$2,TblImps[[#This Row],[Part 2]]&lt;&gt;""),TblImps[[#This Row],[Amount 2]]) + IF(AND(TblImps[[#This Row],[Resource 3]]=AN$2,TblImps[[#This Row],[Part 3]]&lt;&gt;""),TblImps[[#This Row],[Amount 3]])</f>
        <v>0</v>
      </c>
      <c r="AO57" s="57">
        <f>IF(AND(TblImps[[#This Row],[Resource]]=AO$2,TblImps[[#This Row],[Part]]&lt;&gt;""),TblImps[[#This Row],[Amount]]) + IF(AND(TblImps[[#This Row],[Resource 2]]=AO$2,TblImps[[#This Row],[Part 2]]&lt;&gt;""),TblImps[[#This Row],[Amount 2]]) + IF(AND(TblImps[[#This Row],[Resource 3]]=AO$2,TblImps[[#This Row],[Part 3]]&lt;&gt;""),TblImps[[#This Row],[Amount 3]])</f>
        <v>0</v>
      </c>
      <c r="AP57" s="57">
        <f>IF(AND(TblImps[[#This Row],[Resource]]=AP$2,TblImps[[#This Row],[Part]]&lt;&gt;""),TblImps[[#This Row],[Amount]]) + IF(AND(TblImps[[#This Row],[Resource 2]]=AP$2,TblImps[[#This Row],[Part 2]]&lt;&gt;""),TblImps[[#This Row],[Amount 2]]) + IF(AND(TblImps[[#This Row],[Resource 3]]=AP$2,TblImps[[#This Row],[Part 3]]&lt;&gt;""),TblImps[[#This Row],[Amount 3]])</f>
        <v>0</v>
      </c>
      <c r="AQ57" s="142"/>
      <c r="AR5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142"/>
      <c r="AW5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142"/>
      <c r="BB5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142"/>
      <c r="BG5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57">
        <f ca="1">IF(OFFSET(TblMagic[[#This Row],[Active Alchemists Flame]],-1,0)&gt;0,TblConstr[[#This Row],[Tot Alc]]*alchemist_flame_invest,0)</f>
        <v>0</v>
      </c>
      <c r="BL57" s="142"/>
      <c r="BM5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7" s="142"/>
      <c r="BR5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7" s="142"/>
      <c r="BW5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7" s="61">
        <f>TblImps[[#This Row],[Login]]</f>
        <v>0</v>
      </c>
      <c r="BY57" s="137"/>
      <c r="BZ57" s="293">
        <f ca="1">OFFSET(TblImps[[#This Row],[Real time]],-1,0)+1/24</f>
        <v>46322.208333333205</v>
      </c>
      <c r="CA57" s="294">
        <f ca="1">OFFSET(TblImps[[#This Row],[Servertime]],-1,0)+1/24</f>
        <v>46322.208333333205</v>
      </c>
      <c r="CB57" s="57"/>
      <c r="CC57" s="292"/>
      <c r="CD57" s="292"/>
    </row>
    <row r="58" spans="1:82" x14ac:dyDescent="0.2">
      <c r="A58" s="214">
        <f ca="1">TblConstr[[#This Row],[Land]]</f>
        <v>50</v>
      </c>
      <c r="B58" s="142"/>
      <c r="C58" s="94">
        <f ca="1">TblProd[[#This Row],[Platinum]]</f>
        <v>173154</v>
      </c>
      <c r="D58" s="94">
        <f ca="1">TblProd[[#This Row],[Lumber]]</f>
        <v>50599</v>
      </c>
      <c r="E58" s="94">
        <f ca="1">TblProd[[#This Row],[Ore]]</f>
        <v>0</v>
      </c>
      <c r="F58" s="94">
        <f ca="1">TblProd[[#This Row],[Gems]]</f>
        <v>0</v>
      </c>
      <c r="G58" s="154"/>
      <c r="H58" s="94">
        <f ca="1">TblMili[[#This Row],[Draftees]]</f>
        <v>495</v>
      </c>
      <c r="I58" s="180">
        <f ca="1">TblPop[[#This Row],[Employment]]</f>
        <v>1</v>
      </c>
      <c r="J58" s="180">
        <f ca="1">TblPop[[#This Row],[Total]]/TblPop[[#This Row],[Net max]]</f>
        <v>1</v>
      </c>
      <c r="K58" s="283">
        <f>TblRezone[[#This Row],[Hour]]</f>
        <v>55</v>
      </c>
      <c r="L58" s="284">
        <f ca="1">TblImps[[#This Row],[Real time]]</f>
        <v>46322.249999999869</v>
      </c>
      <c r="M58" s="61">
        <f>IF(ISERROR(TblImps[[#This Row],[algorithm]]),0,TblImps[[#This Row],[algorithm]]*1)</f>
        <v>0</v>
      </c>
      <c r="N58" s="94">
        <f ca="1">TblImps[[#This Row],[Land]]</f>
        <v>50</v>
      </c>
      <c r="O58" s="285" t="s">
        <v>4</v>
      </c>
      <c r="P58" s="286"/>
      <c r="Q58" s="285" t="s">
        <v>210</v>
      </c>
      <c r="R58" s="285" t="s">
        <v>7</v>
      </c>
      <c r="S58" s="286"/>
      <c r="T58" s="285" t="s">
        <v>210</v>
      </c>
      <c r="U58" s="285" t="s">
        <v>3</v>
      </c>
      <c r="V58" s="286"/>
      <c r="W58" s="285" t="s">
        <v>210</v>
      </c>
      <c r="X58" s="142"/>
      <c r="Y58" s="287">
        <f ca="1">science_cap*(1-EXP(-TblImps[[#This Row],[Σ Science]]/(science_param*(OFFSET(TblImps[[#This Row],[Land]],1,0)-OFFSET(TblExplore[[#This Row],[Land Bonus]],1,0)*20)+15000)))*(1+(mason_bonus*TblConstr[[#This Row],[Tot Mas]]/TblConstr[[#This Row],[Land (2)]]))</f>
        <v>0</v>
      </c>
      <c r="Z58" s="287">
        <f ca="1">keep_cap*(1-EXP(-TblImps[[#This Row],[Σ Keep]]/(keep_param*(OFFSET(TblImps[[#This Row],[Land]],1,0)-OFFSET(TblExplore[[#This Row],[Land Bonus]],1,0)*20)+15000)))*(1+(mason_bonus*TblConstr[[#This Row],[Tot Mas]]/TblConstr[[#This Row],[Land (2)]]))</f>
        <v>0</v>
      </c>
      <c r="AA58" s="287">
        <f ca="1">harbor_towers_cap*(1-EXP(-TblImps[[#This Row],[Σ Spires]]/(towers_param*(OFFSET(TblImps[[#This Row],[Land]],1,0)-OFFSET(TblExplore[[#This Row],[Land Bonus]],1,0)*20)+15000)))*(1+(mason_bonus*TblConstr[[#This Row],[Tot Mas]]/TblConstr[[#This Row],[Land (2)]]))</f>
        <v>0</v>
      </c>
      <c r="AB58" s="287">
        <f ca="1">walls_forges_cap*(1-EXP(-TblImps[[#This Row],[Σ Forges]]/(walls_forges_param*(OFFSET(TblImps[[#This Row],[Land]],1,0)-OFFSET(TblExplore[[#This Row],[Land Bonus]],1,0)*20)+15000)))*(1+(mason_bonus*TblConstr[[#This Row],[Tot Mas]]/TblConstr[[#This Row],[Land (2)]]))</f>
        <v>0</v>
      </c>
      <c r="AC58" s="287">
        <f ca="1">walls_forges_cap*(1-EXP(-TblImps[[#This Row],[Σ Walls]]/(walls_forges_param*(OFFSET(TblImps[[#This Row],[Land]],1,0)-OFFSET(TblExplore[[#This Row],[Land Bonus]],1,0)*20)+15000)))*(1+(mason_bonus*TblConstr[[#This Row],[Tot Mas]]/TblConstr[[#This Row],[Land (2)]]))</f>
        <v>0</v>
      </c>
      <c r="AD58" s="287">
        <f ca="1">harbor_towers_cap*(1-EXP(-TblImps[[#This Row],[Σ Harbor]]/(harbor_towers_param*(OFFSET(TblImps[[#This Row],[Land]],1,0)-OFFSET(TblExplore[[#This Row],[Land Bonus]],1,0)*20)+15000)))*(1+(mason_bonus*TblConstr[[#This Row],[Tot Mas]]/TblConstr[[#This Row],[Land (2)]]))</f>
        <v>0</v>
      </c>
      <c r="AE58" s="142"/>
      <c r="AF58" s="61">
        <f ca="1">(1+Overview!$I$29)*SUM(TblImps[[#This Row],[P2]:[G2]])+OFFSET(TblImps[[#This Row],[Σ Science]],-1,0)</f>
        <v>0</v>
      </c>
      <c r="AG58" s="61">
        <f ca="1">(1+Overview!$I$29)*SUM(TblImps[[#This Row],[P3]:[G3]])+OFFSET(TblImps[[#This Row],[Σ Keep]],-1,0)</f>
        <v>0</v>
      </c>
      <c r="AH58" s="61">
        <f ca="1">(1+Overview!$I$29 + tech_7_1*TblTech[[#This Row],[7-1]])*SUM(TblImps[[#This Row],[P4]:[G4]])+OFFSET(TblImps[[#This Row],[Σ Spires]],-1,0)</f>
        <v>0</v>
      </c>
      <c r="AI58" s="61">
        <f ca="1">(1+Overview!$I$29)*SUM(TblImps[[#This Row],[P5]:[FW5]])+OFFSET(TblImps[[#This Row],[Σ Forges]],-1,0)</f>
        <v>0</v>
      </c>
      <c r="AJ58" s="61">
        <f ca="1">(1+Overview!$I$29)*SUM(TblImps[[#This Row],[P6]:[G6]])+OFFSET(TblImps[[#This Row],[Σ Walls]],-1,0)</f>
        <v>0</v>
      </c>
      <c r="AK58" s="61">
        <f ca="1">(1+Overview!$I$29 + tech_7_1*TblTech[[#This Row],[7-1]])*SUM(TblImps[[#This Row],[P7]:[G7]])+OFFSET(TblImps[[#This Row],[Σ Harbor]],-1,0)</f>
        <v>0</v>
      </c>
      <c r="AL58" s="142"/>
      <c r="AM58" s="57">
        <f>IF(AND(TblImps[[#This Row],[Resource]]=AM$2,TblImps[[#This Row],[Part]]&lt;&gt;""),TblImps[[#This Row],[Amount]]) + IF(AND(TblImps[[#This Row],[Resource 2]]=AM$2,TblImps[[#This Row],[Part 2]]&lt;&gt;""),TblImps[[#This Row],[Amount 2]]) + IF(AND(TblImps[[#This Row],[Resource 3]]=AM$2,TblImps[[#This Row],[Part 3]]&lt;&gt;""),TblImps[[#This Row],[Amount 3]])</f>
        <v>0</v>
      </c>
      <c r="AN58" s="57">
        <f>IF(AND(TblImps[[#This Row],[Resource]]=AN$2,TblImps[[#This Row],[Part]]&lt;&gt;""),TblImps[[#This Row],[Amount]]) + IF(AND(TblImps[[#This Row],[Resource 2]]=AN$2,TblImps[[#This Row],[Part 2]]&lt;&gt;""),TblImps[[#This Row],[Amount 2]]) + IF(AND(TblImps[[#This Row],[Resource 3]]=AN$2,TblImps[[#This Row],[Part 3]]&lt;&gt;""),TblImps[[#This Row],[Amount 3]])</f>
        <v>0</v>
      </c>
      <c r="AO58" s="57">
        <f>IF(AND(TblImps[[#This Row],[Resource]]=AO$2,TblImps[[#This Row],[Part]]&lt;&gt;""),TblImps[[#This Row],[Amount]]) + IF(AND(TblImps[[#This Row],[Resource 2]]=AO$2,TblImps[[#This Row],[Part 2]]&lt;&gt;""),TblImps[[#This Row],[Amount 2]]) + IF(AND(TblImps[[#This Row],[Resource 3]]=AO$2,TblImps[[#This Row],[Part 3]]&lt;&gt;""),TblImps[[#This Row],[Amount 3]])</f>
        <v>0</v>
      </c>
      <c r="AP58" s="57">
        <f>IF(AND(TblImps[[#This Row],[Resource]]=AP$2,TblImps[[#This Row],[Part]]&lt;&gt;""),TblImps[[#This Row],[Amount]]) + IF(AND(TblImps[[#This Row],[Resource 2]]=AP$2,TblImps[[#This Row],[Part 2]]&lt;&gt;""),TblImps[[#This Row],[Amount 2]]) + IF(AND(TblImps[[#This Row],[Resource 3]]=AP$2,TblImps[[#This Row],[Part 3]]&lt;&gt;""),TblImps[[#This Row],[Amount 3]])</f>
        <v>0</v>
      </c>
      <c r="AQ58" s="142"/>
      <c r="AR5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142"/>
      <c r="AW5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142"/>
      <c r="BB5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142"/>
      <c r="BG5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57">
        <f ca="1">IF(OFFSET(TblMagic[[#This Row],[Active Alchemists Flame]],-1,0)&gt;0,TblConstr[[#This Row],[Tot Alc]]*alchemist_flame_invest,0)</f>
        <v>0</v>
      </c>
      <c r="BL58" s="142"/>
      <c r="BM5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8" s="142"/>
      <c r="BR5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8" s="142"/>
      <c r="BW5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8" s="61">
        <f>TblImps[[#This Row],[Login]]</f>
        <v>0</v>
      </c>
      <c r="BY58" s="137"/>
      <c r="BZ58" s="293">
        <f ca="1">OFFSET(TblImps[[#This Row],[Real time]],-1,0)+1/24</f>
        <v>46322.249999999869</v>
      </c>
      <c r="CA58" s="294">
        <f ca="1">OFFSET(TblImps[[#This Row],[Servertime]],-1,0)+1/24</f>
        <v>46322.249999999869</v>
      </c>
      <c r="CB58" s="57"/>
      <c r="CC58" s="292"/>
      <c r="CD58" s="292"/>
    </row>
    <row r="59" spans="1:82" x14ac:dyDescent="0.2">
      <c r="A59" s="214">
        <f ca="1">TblConstr[[#This Row],[Land]]</f>
        <v>50</v>
      </c>
      <c r="B59" s="142"/>
      <c r="C59" s="94">
        <f ca="1">TblProd[[#This Row],[Platinum]]</f>
        <v>173893</v>
      </c>
      <c r="D59" s="94">
        <f ca="1">TblProd[[#This Row],[Lumber]]</f>
        <v>51093</v>
      </c>
      <c r="E59" s="94">
        <f ca="1">TblProd[[#This Row],[Ore]]</f>
        <v>0</v>
      </c>
      <c r="F59" s="94">
        <f ca="1">TblProd[[#This Row],[Gems]]</f>
        <v>0</v>
      </c>
      <c r="G59" s="154"/>
      <c r="H59" s="94">
        <f ca="1">TblMili[[#This Row],[Draftees]]</f>
        <v>498</v>
      </c>
      <c r="I59" s="180">
        <f ca="1">TblPop[[#This Row],[Employment]]</f>
        <v>1</v>
      </c>
      <c r="J59" s="180">
        <f ca="1">TblPop[[#This Row],[Total]]/TblPop[[#This Row],[Net max]]</f>
        <v>1</v>
      </c>
      <c r="K59" s="283">
        <f>TblRezone[[#This Row],[Hour]]</f>
        <v>56</v>
      </c>
      <c r="L59" s="284">
        <f ca="1">TblImps[[#This Row],[Real time]]</f>
        <v>46322.291666666533</v>
      </c>
      <c r="M59" s="61">
        <f>IF(ISERROR(TblImps[[#This Row],[algorithm]]),0,TblImps[[#This Row],[algorithm]]*1)</f>
        <v>0</v>
      </c>
      <c r="N59" s="94">
        <f ca="1">TblImps[[#This Row],[Land]]</f>
        <v>50</v>
      </c>
      <c r="O59" s="285" t="s">
        <v>4</v>
      </c>
      <c r="P59" s="286"/>
      <c r="Q59" s="285" t="s">
        <v>210</v>
      </c>
      <c r="R59" s="285" t="s">
        <v>7</v>
      </c>
      <c r="S59" s="286"/>
      <c r="T59" s="285" t="s">
        <v>210</v>
      </c>
      <c r="U59" s="285" t="s">
        <v>3</v>
      </c>
      <c r="V59" s="286"/>
      <c r="W59" s="285" t="s">
        <v>210</v>
      </c>
      <c r="X59" s="142"/>
      <c r="Y59" s="287">
        <f ca="1">science_cap*(1-EXP(-TblImps[[#This Row],[Σ Science]]/(science_param*(OFFSET(TblImps[[#This Row],[Land]],1,0)-OFFSET(TblExplore[[#This Row],[Land Bonus]],1,0)*20)+15000)))*(1+(mason_bonus*TblConstr[[#This Row],[Tot Mas]]/TblConstr[[#This Row],[Land (2)]]))</f>
        <v>0</v>
      </c>
      <c r="Z59" s="287">
        <f ca="1">keep_cap*(1-EXP(-TblImps[[#This Row],[Σ Keep]]/(keep_param*(OFFSET(TblImps[[#This Row],[Land]],1,0)-OFFSET(TblExplore[[#This Row],[Land Bonus]],1,0)*20)+15000)))*(1+(mason_bonus*TblConstr[[#This Row],[Tot Mas]]/TblConstr[[#This Row],[Land (2)]]))</f>
        <v>0</v>
      </c>
      <c r="AA59" s="287">
        <f ca="1">harbor_towers_cap*(1-EXP(-TblImps[[#This Row],[Σ Spires]]/(towers_param*(OFFSET(TblImps[[#This Row],[Land]],1,0)-OFFSET(TblExplore[[#This Row],[Land Bonus]],1,0)*20)+15000)))*(1+(mason_bonus*TblConstr[[#This Row],[Tot Mas]]/TblConstr[[#This Row],[Land (2)]]))</f>
        <v>0</v>
      </c>
      <c r="AB59" s="287">
        <f ca="1">walls_forges_cap*(1-EXP(-TblImps[[#This Row],[Σ Forges]]/(walls_forges_param*(OFFSET(TblImps[[#This Row],[Land]],1,0)-OFFSET(TblExplore[[#This Row],[Land Bonus]],1,0)*20)+15000)))*(1+(mason_bonus*TblConstr[[#This Row],[Tot Mas]]/TblConstr[[#This Row],[Land (2)]]))</f>
        <v>0</v>
      </c>
      <c r="AC59" s="287">
        <f ca="1">walls_forges_cap*(1-EXP(-TblImps[[#This Row],[Σ Walls]]/(walls_forges_param*(OFFSET(TblImps[[#This Row],[Land]],1,0)-OFFSET(TblExplore[[#This Row],[Land Bonus]],1,0)*20)+15000)))*(1+(mason_bonus*TblConstr[[#This Row],[Tot Mas]]/TblConstr[[#This Row],[Land (2)]]))</f>
        <v>0</v>
      </c>
      <c r="AD59" s="287">
        <f ca="1">harbor_towers_cap*(1-EXP(-TblImps[[#This Row],[Σ Harbor]]/(harbor_towers_param*(OFFSET(TblImps[[#This Row],[Land]],1,0)-OFFSET(TblExplore[[#This Row],[Land Bonus]],1,0)*20)+15000)))*(1+(mason_bonus*TblConstr[[#This Row],[Tot Mas]]/TblConstr[[#This Row],[Land (2)]]))</f>
        <v>0</v>
      </c>
      <c r="AE59" s="142"/>
      <c r="AF59" s="61">
        <f ca="1">(1+Overview!$I$29)*SUM(TblImps[[#This Row],[P2]:[G2]])+OFFSET(TblImps[[#This Row],[Σ Science]],-1,0)</f>
        <v>0</v>
      </c>
      <c r="AG59" s="61">
        <f ca="1">(1+Overview!$I$29)*SUM(TblImps[[#This Row],[P3]:[G3]])+OFFSET(TblImps[[#This Row],[Σ Keep]],-1,0)</f>
        <v>0</v>
      </c>
      <c r="AH59" s="61">
        <f ca="1">(1+Overview!$I$29 + tech_7_1*TblTech[[#This Row],[7-1]])*SUM(TblImps[[#This Row],[P4]:[G4]])+OFFSET(TblImps[[#This Row],[Σ Spires]],-1,0)</f>
        <v>0</v>
      </c>
      <c r="AI59" s="61">
        <f ca="1">(1+Overview!$I$29)*SUM(TblImps[[#This Row],[P5]:[FW5]])+OFFSET(TblImps[[#This Row],[Σ Forges]],-1,0)</f>
        <v>0</v>
      </c>
      <c r="AJ59" s="61">
        <f ca="1">(1+Overview!$I$29)*SUM(TblImps[[#This Row],[P6]:[G6]])+OFFSET(TblImps[[#This Row],[Σ Walls]],-1,0)</f>
        <v>0</v>
      </c>
      <c r="AK59" s="61">
        <f ca="1">(1+Overview!$I$29 + tech_7_1*TblTech[[#This Row],[7-1]])*SUM(TblImps[[#This Row],[P7]:[G7]])+OFFSET(TblImps[[#This Row],[Σ Harbor]],-1,0)</f>
        <v>0</v>
      </c>
      <c r="AL59" s="142"/>
      <c r="AM59" s="57">
        <f>IF(AND(TblImps[[#This Row],[Resource]]=AM$2,TblImps[[#This Row],[Part]]&lt;&gt;""),TblImps[[#This Row],[Amount]]) + IF(AND(TblImps[[#This Row],[Resource 2]]=AM$2,TblImps[[#This Row],[Part 2]]&lt;&gt;""),TblImps[[#This Row],[Amount 2]]) + IF(AND(TblImps[[#This Row],[Resource 3]]=AM$2,TblImps[[#This Row],[Part 3]]&lt;&gt;""),TblImps[[#This Row],[Amount 3]])</f>
        <v>0</v>
      </c>
      <c r="AN59" s="57">
        <f>IF(AND(TblImps[[#This Row],[Resource]]=AN$2,TblImps[[#This Row],[Part]]&lt;&gt;""),TblImps[[#This Row],[Amount]]) + IF(AND(TblImps[[#This Row],[Resource 2]]=AN$2,TblImps[[#This Row],[Part 2]]&lt;&gt;""),TblImps[[#This Row],[Amount 2]]) + IF(AND(TblImps[[#This Row],[Resource 3]]=AN$2,TblImps[[#This Row],[Part 3]]&lt;&gt;""),TblImps[[#This Row],[Amount 3]])</f>
        <v>0</v>
      </c>
      <c r="AO59" s="57">
        <f>IF(AND(TblImps[[#This Row],[Resource]]=AO$2,TblImps[[#This Row],[Part]]&lt;&gt;""),TblImps[[#This Row],[Amount]]) + IF(AND(TblImps[[#This Row],[Resource 2]]=AO$2,TblImps[[#This Row],[Part 2]]&lt;&gt;""),TblImps[[#This Row],[Amount 2]]) + IF(AND(TblImps[[#This Row],[Resource 3]]=AO$2,TblImps[[#This Row],[Part 3]]&lt;&gt;""),TblImps[[#This Row],[Amount 3]])</f>
        <v>0</v>
      </c>
      <c r="AP59" s="57">
        <f>IF(AND(TblImps[[#This Row],[Resource]]=AP$2,TblImps[[#This Row],[Part]]&lt;&gt;""),TblImps[[#This Row],[Amount]]) + IF(AND(TblImps[[#This Row],[Resource 2]]=AP$2,TblImps[[#This Row],[Part 2]]&lt;&gt;""),TblImps[[#This Row],[Amount 2]]) + IF(AND(TblImps[[#This Row],[Resource 3]]=AP$2,TblImps[[#This Row],[Part 3]]&lt;&gt;""),TblImps[[#This Row],[Amount 3]])</f>
        <v>0</v>
      </c>
      <c r="AQ59" s="142"/>
      <c r="AR5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142"/>
      <c r="AW5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142"/>
      <c r="BB5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142"/>
      <c r="BG5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57">
        <f ca="1">IF(OFFSET(TblMagic[[#This Row],[Active Alchemists Flame]],-1,0)&gt;0,TblConstr[[#This Row],[Tot Alc]]*alchemist_flame_invest,0)</f>
        <v>0</v>
      </c>
      <c r="BL59" s="142"/>
      <c r="BM5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9" s="142"/>
      <c r="BR5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9" s="142"/>
      <c r="BW5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9" s="61">
        <f>TblImps[[#This Row],[Login]]</f>
        <v>0</v>
      </c>
      <c r="BY59" s="137"/>
      <c r="BZ59" s="293">
        <f ca="1">OFFSET(TblImps[[#This Row],[Real time]],-1,0)+1/24</f>
        <v>46322.291666666533</v>
      </c>
      <c r="CA59" s="294">
        <f ca="1">OFFSET(TblImps[[#This Row],[Servertime]],-1,0)+1/24</f>
        <v>46322.291666666533</v>
      </c>
      <c r="CB59" s="57"/>
      <c r="CC59" s="292"/>
      <c r="CD59" s="292"/>
    </row>
    <row r="60" spans="1:82" x14ac:dyDescent="0.2">
      <c r="A60" s="214">
        <f ca="1">TblConstr[[#This Row],[Land]]</f>
        <v>50</v>
      </c>
      <c r="B60" s="142"/>
      <c r="C60" s="94">
        <f ca="1">TblProd[[#This Row],[Platinum]]</f>
        <v>174624</v>
      </c>
      <c r="D60" s="94">
        <f ca="1">TblProd[[#This Row],[Lumber]]</f>
        <v>51582</v>
      </c>
      <c r="E60" s="94">
        <f ca="1">TblProd[[#This Row],[Ore]]</f>
        <v>0</v>
      </c>
      <c r="F60" s="94">
        <f ca="1">TblProd[[#This Row],[Gems]]</f>
        <v>0</v>
      </c>
      <c r="G60" s="154"/>
      <c r="H60" s="94">
        <f ca="1">TblMili[[#This Row],[Draftees]]</f>
        <v>501</v>
      </c>
      <c r="I60" s="180">
        <f ca="1">TblPop[[#This Row],[Employment]]</f>
        <v>1</v>
      </c>
      <c r="J60" s="180">
        <f ca="1">TblPop[[#This Row],[Total]]/TblPop[[#This Row],[Net max]]</f>
        <v>1</v>
      </c>
      <c r="K60" s="283">
        <f>TblRezone[[#This Row],[Hour]]</f>
        <v>57</v>
      </c>
      <c r="L60" s="284">
        <f ca="1">TblImps[[#This Row],[Real time]]</f>
        <v>46322.333333333198</v>
      </c>
      <c r="M60" s="61">
        <f>IF(ISERROR(TblImps[[#This Row],[algorithm]]),0,TblImps[[#This Row],[algorithm]]*1)</f>
        <v>0</v>
      </c>
      <c r="N60" s="94">
        <f ca="1">TblImps[[#This Row],[Land]]</f>
        <v>50</v>
      </c>
      <c r="O60" s="285" t="s">
        <v>4</v>
      </c>
      <c r="P60" s="286"/>
      <c r="Q60" s="285" t="s">
        <v>210</v>
      </c>
      <c r="R60" s="285" t="s">
        <v>7</v>
      </c>
      <c r="S60" s="286"/>
      <c r="T60" s="285" t="s">
        <v>210</v>
      </c>
      <c r="U60" s="285" t="s">
        <v>3</v>
      </c>
      <c r="V60" s="286"/>
      <c r="W60" s="285" t="s">
        <v>210</v>
      </c>
      <c r="X60" s="142"/>
      <c r="Y60" s="287">
        <f ca="1">science_cap*(1-EXP(-TblImps[[#This Row],[Σ Science]]/(science_param*(OFFSET(TblImps[[#This Row],[Land]],1,0)-OFFSET(TblExplore[[#This Row],[Land Bonus]],1,0)*20)+15000)))*(1+(mason_bonus*TblConstr[[#This Row],[Tot Mas]]/TblConstr[[#This Row],[Land (2)]]))</f>
        <v>0</v>
      </c>
      <c r="Z60" s="287">
        <f ca="1">keep_cap*(1-EXP(-TblImps[[#This Row],[Σ Keep]]/(keep_param*(OFFSET(TblImps[[#This Row],[Land]],1,0)-OFFSET(TblExplore[[#This Row],[Land Bonus]],1,0)*20)+15000)))*(1+(mason_bonus*TblConstr[[#This Row],[Tot Mas]]/TblConstr[[#This Row],[Land (2)]]))</f>
        <v>0</v>
      </c>
      <c r="AA60" s="287">
        <f ca="1">harbor_towers_cap*(1-EXP(-TblImps[[#This Row],[Σ Spires]]/(towers_param*(OFFSET(TblImps[[#This Row],[Land]],1,0)-OFFSET(TblExplore[[#This Row],[Land Bonus]],1,0)*20)+15000)))*(1+(mason_bonus*TblConstr[[#This Row],[Tot Mas]]/TblConstr[[#This Row],[Land (2)]]))</f>
        <v>0</v>
      </c>
      <c r="AB60" s="287">
        <f ca="1">walls_forges_cap*(1-EXP(-TblImps[[#This Row],[Σ Forges]]/(walls_forges_param*(OFFSET(TblImps[[#This Row],[Land]],1,0)-OFFSET(TblExplore[[#This Row],[Land Bonus]],1,0)*20)+15000)))*(1+(mason_bonus*TblConstr[[#This Row],[Tot Mas]]/TblConstr[[#This Row],[Land (2)]]))</f>
        <v>0</v>
      </c>
      <c r="AC60" s="287">
        <f ca="1">walls_forges_cap*(1-EXP(-TblImps[[#This Row],[Σ Walls]]/(walls_forges_param*(OFFSET(TblImps[[#This Row],[Land]],1,0)-OFFSET(TblExplore[[#This Row],[Land Bonus]],1,0)*20)+15000)))*(1+(mason_bonus*TblConstr[[#This Row],[Tot Mas]]/TblConstr[[#This Row],[Land (2)]]))</f>
        <v>0</v>
      </c>
      <c r="AD60" s="287">
        <f ca="1">harbor_towers_cap*(1-EXP(-TblImps[[#This Row],[Σ Harbor]]/(harbor_towers_param*(OFFSET(TblImps[[#This Row],[Land]],1,0)-OFFSET(TblExplore[[#This Row],[Land Bonus]],1,0)*20)+15000)))*(1+(mason_bonus*TblConstr[[#This Row],[Tot Mas]]/TblConstr[[#This Row],[Land (2)]]))</f>
        <v>0</v>
      </c>
      <c r="AE60" s="142"/>
      <c r="AF60" s="61">
        <f ca="1">(1+Overview!$I$29)*SUM(TblImps[[#This Row],[P2]:[G2]])+OFFSET(TblImps[[#This Row],[Σ Science]],-1,0)</f>
        <v>0</v>
      </c>
      <c r="AG60" s="61">
        <f ca="1">(1+Overview!$I$29)*SUM(TblImps[[#This Row],[P3]:[G3]])+OFFSET(TblImps[[#This Row],[Σ Keep]],-1,0)</f>
        <v>0</v>
      </c>
      <c r="AH60" s="61">
        <f ca="1">(1+Overview!$I$29 + tech_7_1*TblTech[[#This Row],[7-1]])*SUM(TblImps[[#This Row],[P4]:[G4]])+OFFSET(TblImps[[#This Row],[Σ Spires]],-1,0)</f>
        <v>0</v>
      </c>
      <c r="AI60" s="61">
        <f ca="1">(1+Overview!$I$29)*SUM(TblImps[[#This Row],[P5]:[FW5]])+OFFSET(TblImps[[#This Row],[Σ Forges]],-1,0)</f>
        <v>0</v>
      </c>
      <c r="AJ60" s="61">
        <f ca="1">(1+Overview!$I$29)*SUM(TblImps[[#This Row],[P6]:[G6]])+OFFSET(TblImps[[#This Row],[Σ Walls]],-1,0)</f>
        <v>0</v>
      </c>
      <c r="AK60" s="61">
        <f ca="1">(1+Overview!$I$29 + tech_7_1*TblTech[[#This Row],[7-1]])*SUM(TblImps[[#This Row],[P7]:[G7]])+OFFSET(TblImps[[#This Row],[Σ Harbor]],-1,0)</f>
        <v>0</v>
      </c>
      <c r="AL60" s="142"/>
      <c r="AM60" s="57">
        <f>IF(AND(TblImps[[#This Row],[Resource]]=AM$2,TblImps[[#This Row],[Part]]&lt;&gt;""),TblImps[[#This Row],[Amount]]) + IF(AND(TblImps[[#This Row],[Resource 2]]=AM$2,TblImps[[#This Row],[Part 2]]&lt;&gt;""),TblImps[[#This Row],[Amount 2]]) + IF(AND(TblImps[[#This Row],[Resource 3]]=AM$2,TblImps[[#This Row],[Part 3]]&lt;&gt;""),TblImps[[#This Row],[Amount 3]])</f>
        <v>0</v>
      </c>
      <c r="AN60" s="57">
        <f>IF(AND(TblImps[[#This Row],[Resource]]=AN$2,TblImps[[#This Row],[Part]]&lt;&gt;""),TblImps[[#This Row],[Amount]]) + IF(AND(TblImps[[#This Row],[Resource 2]]=AN$2,TblImps[[#This Row],[Part 2]]&lt;&gt;""),TblImps[[#This Row],[Amount 2]]) + IF(AND(TblImps[[#This Row],[Resource 3]]=AN$2,TblImps[[#This Row],[Part 3]]&lt;&gt;""),TblImps[[#This Row],[Amount 3]])</f>
        <v>0</v>
      </c>
      <c r="AO60" s="57">
        <f>IF(AND(TblImps[[#This Row],[Resource]]=AO$2,TblImps[[#This Row],[Part]]&lt;&gt;""),TblImps[[#This Row],[Amount]]) + IF(AND(TblImps[[#This Row],[Resource 2]]=AO$2,TblImps[[#This Row],[Part 2]]&lt;&gt;""),TblImps[[#This Row],[Amount 2]]) + IF(AND(TblImps[[#This Row],[Resource 3]]=AO$2,TblImps[[#This Row],[Part 3]]&lt;&gt;""),TblImps[[#This Row],[Amount 3]])</f>
        <v>0</v>
      </c>
      <c r="AP60" s="57">
        <f>IF(AND(TblImps[[#This Row],[Resource]]=AP$2,TblImps[[#This Row],[Part]]&lt;&gt;""),TblImps[[#This Row],[Amount]]) + IF(AND(TblImps[[#This Row],[Resource 2]]=AP$2,TblImps[[#This Row],[Part 2]]&lt;&gt;""),TblImps[[#This Row],[Amount 2]]) + IF(AND(TblImps[[#This Row],[Resource 3]]=AP$2,TblImps[[#This Row],[Part 3]]&lt;&gt;""),TblImps[[#This Row],[Amount 3]])</f>
        <v>0</v>
      </c>
      <c r="AQ60" s="142"/>
      <c r="AR6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142"/>
      <c r="AW6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142"/>
      <c r="BB6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142"/>
      <c r="BG6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57">
        <f ca="1">IF(OFFSET(TblMagic[[#This Row],[Active Alchemists Flame]],-1,0)&gt;0,TblConstr[[#This Row],[Tot Alc]]*alchemist_flame_invest,0)</f>
        <v>0</v>
      </c>
      <c r="BL60" s="142"/>
      <c r="BM6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0" s="142"/>
      <c r="BR6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0" s="142"/>
      <c r="BW6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0" s="61">
        <f>TblImps[[#This Row],[Login]]</f>
        <v>0</v>
      </c>
      <c r="BY60" s="137"/>
      <c r="BZ60" s="293">
        <f ca="1">OFFSET(TblImps[[#This Row],[Real time]],-1,0)+1/24</f>
        <v>46322.333333333198</v>
      </c>
      <c r="CA60" s="294">
        <f ca="1">OFFSET(TblImps[[#This Row],[Servertime]],-1,0)+1/24</f>
        <v>46322.333333333198</v>
      </c>
      <c r="CB60" s="57"/>
      <c r="CC60" s="292"/>
      <c r="CD60" s="292"/>
    </row>
    <row r="61" spans="1:82" x14ac:dyDescent="0.2">
      <c r="A61" s="214">
        <f ca="1">TblConstr[[#This Row],[Land]]</f>
        <v>50</v>
      </c>
      <c r="B61" s="142"/>
      <c r="C61" s="94">
        <f ca="1">TblProd[[#This Row],[Platinum]]</f>
        <v>175347</v>
      </c>
      <c r="D61" s="94">
        <f ca="1">TblProd[[#This Row],[Lumber]]</f>
        <v>52066</v>
      </c>
      <c r="E61" s="94">
        <f ca="1">TblProd[[#This Row],[Ore]]</f>
        <v>0</v>
      </c>
      <c r="F61" s="94">
        <f ca="1">TblProd[[#This Row],[Gems]]</f>
        <v>0</v>
      </c>
      <c r="G61" s="154"/>
      <c r="H61" s="94">
        <f ca="1">TblMili[[#This Row],[Draftees]]</f>
        <v>504</v>
      </c>
      <c r="I61" s="180">
        <f ca="1">TblPop[[#This Row],[Employment]]</f>
        <v>1</v>
      </c>
      <c r="J61" s="180">
        <f ca="1">TblPop[[#This Row],[Total]]/TblPop[[#This Row],[Net max]]</f>
        <v>1</v>
      </c>
      <c r="K61" s="283">
        <f>TblRezone[[#This Row],[Hour]]</f>
        <v>58</v>
      </c>
      <c r="L61" s="284">
        <f ca="1">TblImps[[#This Row],[Real time]]</f>
        <v>46322.374999999862</v>
      </c>
      <c r="M61" s="61">
        <f>IF(ISERROR(TblImps[[#This Row],[algorithm]]),0,TblImps[[#This Row],[algorithm]]*1)</f>
        <v>0</v>
      </c>
      <c r="N61" s="94">
        <f ca="1">TblImps[[#This Row],[Land]]</f>
        <v>50</v>
      </c>
      <c r="O61" s="285" t="s">
        <v>4</v>
      </c>
      <c r="P61" s="286"/>
      <c r="Q61" s="285" t="s">
        <v>210</v>
      </c>
      <c r="R61" s="285" t="s">
        <v>7</v>
      </c>
      <c r="S61" s="286"/>
      <c r="T61" s="285" t="s">
        <v>210</v>
      </c>
      <c r="U61" s="285" t="s">
        <v>3</v>
      </c>
      <c r="V61" s="286"/>
      <c r="W61" s="285" t="s">
        <v>210</v>
      </c>
      <c r="X61" s="142"/>
      <c r="Y61" s="287">
        <f ca="1">science_cap*(1-EXP(-TblImps[[#This Row],[Σ Science]]/(science_param*(OFFSET(TblImps[[#This Row],[Land]],1,0)-OFFSET(TblExplore[[#This Row],[Land Bonus]],1,0)*20)+15000)))*(1+(mason_bonus*TblConstr[[#This Row],[Tot Mas]]/TblConstr[[#This Row],[Land (2)]]))</f>
        <v>0</v>
      </c>
      <c r="Z61" s="287">
        <f ca="1">keep_cap*(1-EXP(-TblImps[[#This Row],[Σ Keep]]/(keep_param*(OFFSET(TblImps[[#This Row],[Land]],1,0)-OFFSET(TblExplore[[#This Row],[Land Bonus]],1,0)*20)+15000)))*(1+(mason_bonus*TblConstr[[#This Row],[Tot Mas]]/TblConstr[[#This Row],[Land (2)]]))</f>
        <v>0</v>
      </c>
      <c r="AA61" s="287">
        <f ca="1">harbor_towers_cap*(1-EXP(-TblImps[[#This Row],[Σ Spires]]/(towers_param*(OFFSET(TblImps[[#This Row],[Land]],1,0)-OFFSET(TblExplore[[#This Row],[Land Bonus]],1,0)*20)+15000)))*(1+(mason_bonus*TblConstr[[#This Row],[Tot Mas]]/TblConstr[[#This Row],[Land (2)]]))</f>
        <v>0</v>
      </c>
      <c r="AB61" s="287">
        <f ca="1">walls_forges_cap*(1-EXP(-TblImps[[#This Row],[Σ Forges]]/(walls_forges_param*(OFFSET(TblImps[[#This Row],[Land]],1,0)-OFFSET(TblExplore[[#This Row],[Land Bonus]],1,0)*20)+15000)))*(1+(mason_bonus*TblConstr[[#This Row],[Tot Mas]]/TblConstr[[#This Row],[Land (2)]]))</f>
        <v>0</v>
      </c>
      <c r="AC61" s="287">
        <f ca="1">walls_forges_cap*(1-EXP(-TblImps[[#This Row],[Σ Walls]]/(walls_forges_param*(OFFSET(TblImps[[#This Row],[Land]],1,0)-OFFSET(TblExplore[[#This Row],[Land Bonus]],1,0)*20)+15000)))*(1+(mason_bonus*TblConstr[[#This Row],[Tot Mas]]/TblConstr[[#This Row],[Land (2)]]))</f>
        <v>0</v>
      </c>
      <c r="AD61" s="287">
        <f ca="1">harbor_towers_cap*(1-EXP(-TblImps[[#This Row],[Σ Harbor]]/(harbor_towers_param*(OFFSET(TblImps[[#This Row],[Land]],1,0)-OFFSET(TblExplore[[#This Row],[Land Bonus]],1,0)*20)+15000)))*(1+(mason_bonus*TblConstr[[#This Row],[Tot Mas]]/TblConstr[[#This Row],[Land (2)]]))</f>
        <v>0</v>
      </c>
      <c r="AE61" s="142"/>
      <c r="AF61" s="61">
        <f ca="1">(1+Overview!$I$29)*SUM(TblImps[[#This Row],[P2]:[G2]])+OFFSET(TblImps[[#This Row],[Σ Science]],-1,0)</f>
        <v>0</v>
      </c>
      <c r="AG61" s="61">
        <f ca="1">(1+Overview!$I$29)*SUM(TblImps[[#This Row],[P3]:[G3]])+OFFSET(TblImps[[#This Row],[Σ Keep]],-1,0)</f>
        <v>0</v>
      </c>
      <c r="AH61" s="61">
        <f ca="1">(1+Overview!$I$29 + tech_7_1*TblTech[[#This Row],[7-1]])*SUM(TblImps[[#This Row],[P4]:[G4]])+OFFSET(TblImps[[#This Row],[Σ Spires]],-1,0)</f>
        <v>0</v>
      </c>
      <c r="AI61" s="61">
        <f ca="1">(1+Overview!$I$29)*SUM(TblImps[[#This Row],[P5]:[FW5]])+OFFSET(TblImps[[#This Row],[Σ Forges]],-1,0)</f>
        <v>0</v>
      </c>
      <c r="AJ61" s="61">
        <f ca="1">(1+Overview!$I$29)*SUM(TblImps[[#This Row],[P6]:[G6]])+OFFSET(TblImps[[#This Row],[Σ Walls]],-1,0)</f>
        <v>0</v>
      </c>
      <c r="AK61" s="61">
        <f ca="1">(1+Overview!$I$29 + tech_7_1*TblTech[[#This Row],[7-1]])*SUM(TblImps[[#This Row],[P7]:[G7]])+OFFSET(TblImps[[#This Row],[Σ Harbor]],-1,0)</f>
        <v>0</v>
      </c>
      <c r="AL61" s="142"/>
      <c r="AM61" s="57">
        <f>IF(AND(TblImps[[#This Row],[Resource]]=AM$2,TblImps[[#This Row],[Part]]&lt;&gt;""),TblImps[[#This Row],[Amount]]) + IF(AND(TblImps[[#This Row],[Resource 2]]=AM$2,TblImps[[#This Row],[Part 2]]&lt;&gt;""),TblImps[[#This Row],[Amount 2]]) + IF(AND(TblImps[[#This Row],[Resource 3]]=AM$2,TblImps[[#This Row],[Part 3]]&lt;&gt;""),TblImps[[#This Row],[Amount 3]])</f>
        <v>0</v>
      </c>
      <c r="AN61" s="57">
        <f>IF(AND(TblImps[[#This Row],[Resource]]=AN$2,TblImps[[#This Row],[Part]]&lt;&gt;""),TblImps[[#This Row],[Amount]]) + IF(AND(TblImps[[#This Row],[Resource 2]]=AN$2,TblImps[[#This Row],[Part 2]]&lt;&gt;""),TblImps[[#This Row],[Amount 2]]) + IF(AND(TblImps[[#This Row],[Resource 3]]=AN$2,TblImps[[#This Row],[Part 3]]&lt;&gt;""),TblImps[[#This Row],[Amount 3]])</f>
        <v>0</v>
      </c>
      <c r="AO61" s="57">
        <f>IF(AND(TblImps[[#This Row],[Resource]]=AO$2,TblImps[[#This Row],[Part]]&lt;&gt;""),TblImps[[#This Row],[Amount]]) + IF(AND(TblImps[[#This Row],[Resource 2]]=AO$2,TblImps[[#This Row],[Part 2]]&lt;&gt;""),TblImps[[#This Row],[Amount 2]]) + IF(AND(TblImps[[#This Row],[Resource 3]]=AO$2,TblImps[[#This Row],[Part 3]]&lt;&gt;""),TblImps[[#This Row],[Amount 3]])</f>
        <v>0</v>
      </c>
      <c r="AP61" s="57">
        <f>IF(AND(TblImps[[#This Row],[Resource]]=AP$2,TblImps[[#This Row],[Part]]&lt;&gt;""),TblImps[[#This Row],[Amount]]) + IF(AND(TblImps[[#This Row],[Resource 2]]=AP$2,TblImps[[#This Row],[Part 2]]&lt;&gt;""),TblImps[[#This Row],[Amount 2]]) + IF(AND(TblImps[[#This Row],[Resource 3]]=AP$2,TblImps[[#This Row],[Part 3]]&lt;&gt;""),TblImps[[#This Row],[Amount 3]])</f>
        <v>0</v>
      </c>
      <c r="AQ61" s="142"/>
      <c r="AR6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142"/>
      <c r="AW6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142"/>
      <c r="BB6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142"/>
      <c r="BG6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57">
        <f ca="1">IF(OFFSET(TblMagic[[#This Row],[Active Alchemists Flame]],-1,0)&gt;0,TblConstr[[#This Row],[Tot Alc]]*alchemist_flame_invest,0)</f>
        <v>0</v>
      </c>
      <c r="BL61" s="142"/>
      <c r="BM6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1" s="142"/>
      <c r="BR6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1" s="142"/>
      <c r="BW6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1" s="61">
        <f>TblImps[[#This Row],[Login]]</f>
        <v>0</v>
      </c>
      <c r="BY61" s="137"/>
      <c r="BZ61" s="293">
        <f ca="1">OFFSET(TblImps[[#This Row],[Real time]],-1,0)+1/24</f>
        <v>46322.374999999862</v>
      </c>
      <c r="CA61" s="294">
        <f ca="1">OFFSET(TblImps[[#This Row],[Servertime]],-1,0)+1/24</f>
        <v>46322.374999999862</v>
      </c>
      <c r="CB61" s="57"/>
      <c r="CC61" s="292"/>
      <c r="CD61" s="292"/>
    </row>
    <row r="62" spans="1:82" x14ac:dyDescent="0.2">
      <c r="A62" s="214">
        <f ca="1">TblConstr[[#This Row],[Land]]</f>
        <v>50</v>
      </c>
      <c r="B62" s="142"/>
      <c r="C62" s="94">
        <f ca="1">TblProd[[#This Row],[Platinum]]</f>
        <v>176062</v>
      </c>
      <c r="D62" s="94">
        <f ca="1">TblProd[[#This Row],[Lumber]]</f>
        <v>52545</v>
      </c>
      <c r="E62" s="94">
        <f ca="1">TblProd[[#This Row],[Ore]]</f>
        <v>0</v>
      </c>
      <c r="F62" s="94">
        <f ca="1">TblProd[[#This Row],[Gems]]</f>
        <v>0</v>
      </c>
      <c r="G62" s="154"/>
      <c r="H62" s="94">
        <f ca="1">TblMili[[#This Row],[Draftees]]</f>
        <v>507</v>
      </c>
      <c r="I62" s="180">
        <f ca="1">TblPop[[#This Row],[Employment]]</f>
        <v>1</v>
      </c>
      <c r="J62" s="180">
        <f ca="1">TblPop[[#This Row],[Total]]/TblPop[[#This Row],[Net max]]</f>
        <v>1</v>
      </c>
      <c r="K62" s="283">
        <f>TblRezone[[#This Row],[Hour]]</f>
        <v>59</v>
      </c>
      <c r="L62" s="284">
        <f ca="1">TblImps[[#This Row],[Real time]]</f>
        <v>46322.416666666526</v>
      </c>
      <c r="M62" s="61">
        <f>IF(ISERROR(TblImps[[#This Row],[algorithm]]),0,TblImps[[#This Row],[algorithm]]*1)</f>
        <v>0</v>
      </c>
      <c r="N62" s="94">
        <f ca="1">TblImps[[#This Row],[Land]]</f>
        <v>50</v>
      </c>
      <c r="O62" s="285" t="s">
        <v>4</v>
      </c>
      <c r="P62" s="286"/>
      <c r="Q62" s="285" t="s">
        <v>210</v>
      </c>
      <c r="R62" s="285" t="s">
        <v>7</v>
      </c>
      <c r="S62" s="286"/>
      <c r="T62" s="285" t="s">
        <v>210</v>
      </c>
      <c r="U62" s="285" t="s">
        <v>3</v>
      </c>
      <c r="V62" s="286"/>
      <c r="W62" s="285" t="s">
        <v>210</v>
      </c>
      <c r="X62" s="142"/>
      <c r="Y62" s="287">
        <f ca="1">science_cap*(1-EXP(-TblImps[[#This Row],[Σ Science]]/(science_param*(OFFSET(TblImps[[#This Row],[Land]],1,0)-OFFSET(TblExplore[[#This Row],[Land Bonus]],1,0)*20)+15000)))*(1+(mason_bonus*TblConstr[[#This Row],[Tot Mas]]/TblConstr[[#This Row],[Land (2)]]))</f>
        <v>0</v>
      </c>
      <c r="Z62" s="287">
        <f ca="1">keep_cap*(1-EXP(-TblImps[[#This Row],[Σ Keep]]/(keep_param*(OFFSET(TblImps[[#This Row],[Land]],1,0)-OFFSET(TblExplore[[#This Row],[Land Bonus]],1,0)*20)+15000)))*(1+(mason_bonus*TblConstr[[#This Row],[Tot Mas]]/TblConstr[[#This Row],[Land (2)]]))</f>
        <v>0</v>
      </c>
      <c r="AA62" s="287">
        <f ca="1">harbor_towers_cap*(1-EXP(-TblImps[[#This Row],[Σ Spires]]/(towers_param*(OFFSET(TblImps[[#This Row],[Land]],1,0)-OFFSET(TblExplore[[#This Row],[Land Bonus]],1,0)*20)+15000)))*(1+(mason_bonus*TblConstr[[#This Row],[Tot Mas]]/TblConstr[[#This Row],[Land (2)]]))</f>
        <v>0</v>
      </c>
      <c r="AB62" s="287">
        <f ca="1">walls_forges_cap*(1-EXP(-TblImps[[#This Row],[Σ Forges]]/(walls_forges_param*(OFFSET(TblImps[[#This Row],[Land]],1,0)-OFFSET(TblExplore[[#This Row],[Land Bonus]],1,0)*20)+15000)))*(1+(mason_bonus*TblConstr[[#This Row],[Tot Mas]]/TblConstr[[#This Row],[Land (2)]]))</f>
        <v>0</v>
      </c>
      <c r="AC62" s="287">
        <f ca="1">walls_forges_cap*(1-EXP(-TblImps[[#This Row],[Σ Walls]]/(walls_forges_param*(OFFSET(TblImps[[#This Row],[Land]],1,0)-OFFSET(TblExplore[[#This Row],[Land Bonus]],1,0)*20)+15000)))*(1+(mason_bonus*TblConstr[[#This Row],[Tot Mas]]/TblConstr[[#This Row],[Land (2)]]))</f>
        <v>0</v>
      </c>
      <c r="AD62" s="287">
        <f ca="1">harbor_towers_cap*(1-EXP(-TblImps[[#This Row],[Σ Harbor]]/(harbor_towers_param*(OFFSET(TblImps[[#This Row],[Land]],1,0)-OFFSET(TblExplore[[#This Row],[Land Bonus]],1,0)*20)+15000)))*(1+(mason_bonus*TblConstr[[#This Row],[Tot Mas]]/TblConstr[[#This Row],[Land (2)]]))</f>
        <v>0</v>
      </c>
      <c r="AE62" s="142"/>
      <c r="AF62" s="61">
        <f ca="1">(1+Overview!$I$29)*SUM(TblImps[[#This Row],[P2]:[G2]])+OFFSET(TblImps[[#This Row],[Σ Science]],-1,0)</f>
        <v>0</v>
      </c>
      <c r="AG62" s="61">
        <f ca="1">(1+Overview!$I$29)*SUM(TblImps[[#This Row],[P3]:[G3]])+OFFSET(TblImps[[#This Row],[Σ Keep]],-1,0)</f>
        <v>0</v>
      </c>
      <c r="AH62" s="61">
        <f ca="1">(1+Overview!$I$29 + tech_7_1*TblTech[[#This Row],[7-1]])*SUM(TblImps[[#This Row],[P4]:[G4]])+OFFSET(TblImps[[#This Row],[Σ Spires]],-1,0)</f>
        <v>0</v>
      </c>
      <c r="AI62" s="61">
        <f ca="1">(1+Overview!$I$29)*SUM(TblImps[[#This Row],[P5]:[FW5]])+OFFSET(TblImps[[#This Row],[Σ Forges]],-1,0)</f>
        <v>0</v>
      </c>
      <c r="AJ62" s="61">
        <f ca="1">(1+Overview!$I$29)*SUM(TblImps[[#This Row],[P6]:[G6]])+OFFSET(TblImps[[#This Row],[Σ Walls]],-1,0)</f>
        <v>0</v>
      </c>
      <c r="AK62" s="61">
        <f ca="1">(1+Overview!$I$29 + tech_7_1*TblTech[[#This Row],[7-1]])*SUM(TblImps[[#This Row],[P7]:[G7]])+OFFSET(TblImps[[#This Row],[Σ Harbor]],-1,0)</f>
        <v>0</v>
      </c>
      <c r="AL62" s="142"/>
      <c r="AM62" s="57">
        <f>IF(AND(TblImps[[#This Row],[Resource]]=AM$2,TblImps[[#This Row],[Part]]&lt;&gt;""),TblImps[[#This Row],[Amount]]) + IF(AND(TblImps[[#This Row],[Resource 2]]=AM$2,TblImps[[#This Row],[Part 2]]&lt;&gt;""),TblImps[[#This Row],[Amount 2]]) + IF(AND(TblImps[[#This Row],[Resource 3]]=AM$2,TblImps[[#This Row],[Part 3]]&lt;&gt;""),TblImps[[#This Row],[Amount 3]])</f>
        <v>0</v>
      </c>
      <c r="AN62" s="57">
        <f>IF(AND(TblImps[[#This Row],[Resource]]=AN$2,TblImps[[#This Row],[Part]]&lt;&gt;""),TblImps[[#This Row],[Amount]]) + IF(AND(TblImps[[#This Row],[Resource 2]]=AN$2,TblImps[[#This Row],[Part 2]]&lt;&gt;""),TblImps[[#This Row],[Amount 2]]) + IF(AND(TblImps[[#This Row],[Resource 3]]=AN$2,TblImps[[#This Row],[Part 3]]&lt;&gt;""),TblImps[[#This Row],[Amount 3]])</f>
        <v>0</v>
      </c>
      <c r="AO62" s="57">
        <f>IF(AND(TblImps[[#This Row],[Resource]]=AO$2,TblImps[[#This Row],[Part]]&lt;&gt;""),TblImps[[#This Row],[Amount]]) + IF(AND(TblImps[[#This Row],[Resource 2]]=AO$2,TblImps[[#This Row],[Part 2]]&lt;&gt;""),TblImps[[#This Row],[Amount 2]]) + IF(AND(TblImps[[#This Row],[Resource 3]]=AO$2,TblImps[[#This Row],[Part 3]]&lt;&gt;""),TblImps[[#This Row],[Amount 3]])</f>
        <v>0</v>
      </c>
      <c r="AP62" s="57">
        <f>IF(AND(TblImps[[#This Row],[Resource]]=AP$2,TblImps[[#This Row],[Part]]&lt;&gt;""),TblImps[[#This Row],[Amount]]) + IF(AND(TblImps[[#This Row],[Resource 2]]=AP$2,TblImps[[#This Row],[Part 2]]&lt;&gt;""),TblImps[[#This Row],[Amount 2]]) + IF(AND(TblImps[[#This Row],[Resource 3]]=AP$2,TblImps[[#This Row],[Part 3]]&lt;&gt;""),TblImps[[#This Row],[Amount 3]])</f>
        <v>0</v>
      </c>
      <c r="AQ62" s="142"/>
      <c r="AR6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142"/>
      <c r="AW6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142"/>
      <c r="BB6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142"/>
      <c r="BG6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57">
        <f ca="1">IF(OFFSET(TblMagic[[#This Row],[Active Alchemists Flame]],-1,0)&gt;0,TblConstr[[#This Row],[Tot Alc]]*alchemist_flame_invest,0)</f>
        <v>0</v>
      </c>
      <c r="BL62" s="142"/>
      <c r="BM6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2" s="142"/>
      <c r="BR6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2" s="142"/>
      <c r="BW6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2" s="61">
        <f>TblImps[[#This Row],[Login]]</f>
        <v>0</v>
      </c>
      <c r="BY62" s="137"/>
      <c r="BZ62" s="293">
        <f ca="1">OFFSET(TblImps[[#This Row],[Real time]],-1,0)+1/24</f>
        <v>46322.416666666526</v>
      </c>
      <c r="CA62" s="294">
        <f ca="1">OFFSET(TblImps[[#This Row],[Servertime]],-1,0)+1/24</f>
        <v>46322.416666666526</v>
      </c>
      <c r="CB62" s="57"/>
      <c r="CC62" s="292"/>
      <c r="CD62" s="292"/>
    </row>
    <row r="63" spans="1:82" x14ac:dyDescent="0.2">
      <c r="A63" s="214">
        <f ca="1">TblConstr[[#This Row],[Land]]</f>
        <v>50</v>
      </c>
      <c r="B63" s="142"/>
      <c r="C63" s="94">
        <f ca="1">TblProd[[#This Row],[Platinum]]</f>
        <v>176769</v>
      </c>
      <c r="D63" s="94">
        <f ca="1">TblProd[[#This Row],[Lumber]]</f>
        <v>53020</v>
      </c>
      <c r="E63" s="94">
        <f ca="1">TblProd[[#This Row],[Ore]]</f>
        <v>0</v>
      </c>
      <c r="F63" s="94">
        <f ca="1">TblProd[[#This Row],[Gems]]</f>
        <v>0</v>
      </c>
      <c r="G63" s="154"/>
      <c r="H63" s="94">
        <f ca="1">TblMili[[#This Row],[Draftees]]</f>
        <v>510</v>
      </c>
      <c r="I63" s="180">
        <f ca="1">TblPop[[#This Row],[Employment]]</f>
        <v>1</v>
      </c>
      <c r="J63" s="180">
        <f ca="1">TblPop[[#This Row],[Total]]/TblPop[[#This Row],[Net max]]</f>
        <v>1</v>
      </c>
      <c r="K63" s="283">
        <f>TblRezone[[#This Row],[Hour]]</f>
        <v>60</v>
      </c>
      <c r="L63" s="284">
        <f ca="1">TblImps[[#This Row],[Real time]]</f>
        <v>46322.45833333319</v>
      </c>
      <c r="M63" s="61">
        <f>IF(ISERROR(TblImps[[#This Row],[algorithm]]),0,TblImps[[#This Row],[algorithm]]*1)</f>
        <v>0</v>
      </c>
      <c r="N63" s="94">
        <f ca="1">TblImps[[#This Row],[Land]]</f>
        <v>50</v>
      </c>
      <c r="O63" s="285" t="s">
        <v>4</v>
      </c>
      <c r="P63" s="286"/>
      <c r="Q63" s="285" t="s">
        <v>210</v>
      </c>
      <c r="R63" s="285" t="s">
        <v>7</v>
      </c>
      <c r="S63" s="286"/>
      <c r="T63" s="285" t="s">
        <v>210</v>
      </c>
      <c r="U63" s="285" t="s">
        <v>3</v>
      </c>
      <c r="V63" s="286"/>
      <c r="W63" s="285" t="s">
        <v>210</v>
      </c>
      <c r="X63" s="142"/>
      <c r="Y63" s="287">
        <f ca="1">science_cap*(1-EXP(-TblImps[[#This Row],[Σ Science]]/(science_param*(OFFSET(TblImps[[#This Row],[Land]],1,0)-OFFSET(TblExplore[[#This Row],[Land Bonus]],1,0)*20)+15000)))*(1+(mason_bonus*TblConstr[[#This Row],[Tot Mas]]/TblConstr[[#This Row],[Land (2)]]))</f>
        <v>0</v>
      </c>
      <c r="Z63" s="287">
        <f ca="1">keep_cap*(1-EXP(-TblImps[[#This Row],[Σ Keep]]/(keep_param*(OFFSET(TblImps[[#This Row],[Land]],1,0)-OFFSET(TblExplore[[#This Row],[Land Bonus]],1,0)*20)+15000)))*(1+(mason_bonus*TblConstr[[#This Row],[Tot Mas]]/TblConstr[[#This Row],[Land (2)]]))</f>
        <v>0</v>
      </c>
      <c r="AA63" s="287">
        <f ca="1">harbor_towers_cap*(1-EXP(-TblImps[[#This Row],[Σ Spires]]/(towers_param*(OFFSET(TblImps[[#This Row],[Land]],1,0)-OFFSET(TblExplore[[#This Row],[Land Bonus]],1,0)*20)+15000)))*(1+(mason_bonus*TblConstr[[#This Row],[Tot Mas]]/TblConstr[[#This Row],[Land (2)]]))</f>
        <v>0</v>
      </c>
      <c r="AB63" s="287">
        <f ca="1">walls_forges_cap*(1-EXP(-TblImps[[#This Row],[Σ Forges]]/(walls_forges_param*(OFFSET(TblImps[[#This Row],[Land]],1,0)-OFFSET(TblExplore[[#This Row],[Land Bonus]],1,0)*20)+15000)))*(1+(mason_bonus*TblConstr[[#This Row],[Tot Mas]]/TblConstr[[#This Row],[Land (2)]]))</f>
        <v>0</v>
      </c>
      <c r="AC63" s="287">
        <f ca="1">walls_forges_cap*(1-EXP(-TblImps[[#This Row],[Σ Walls]]/(walls_forges_param*(OFFSET(TblImps[[#This Row],[Land]],1,0)-OFFSET(TblExplore[[#This Row],[Land Bonus]],1,0)*20)+15000)))*(1+(mason_bonus*TblConstr[[#This Row],[Tot Mas]]/TblConstr[[#This Row],[Land (2)]]))</f>
        <v>0</v>
      </c>
      <c r="AD63" s="287">
        <f ca="1">harbor_towers_cap*(1-EXP(-TblImps[[#This Row],[Σ Harbor]]/(harbor_towers_param*(OFFSET(TblImps[[#This Row],[Land]],1,0)-OFFSET(TblExplore[[#This Row],[Land Bonus]],1,0)*20)+15000)))*(1+(mason_bonus*TblConstr[[#This Row],[Tot Mas]]/TblConstr[[#This Row],[Land (2)]]))</f>
        <v>0</v>
      </c>
      <c r="AE63" s="142"/>
      <c r="AF63" s="61">
        <f ca="1">(1+Overview!$I$29)*SUM(TblImps[[#This Row],[P2]:[G2]])+OFFSET(TblImps[[#This Row],[Σ Science]],-1,0)</f>
        <v>0</v>
      </c>
      <c r="AG63" s="61">
        <f ca="1">(1+Overview!$I$29)*SUM(TblImps[[#This Row],[P3]:[G3]])+OFFSET(TblImps[[#This Row],[Σ Keep]],-1,0)</f>
        <v>0</v>
      </c>
      <c r="AH63" s="61">
        <f ca="1">(1+Overview!$I$29 + tech_7_1*TblTech[[#This Row],[7-1]])*SUM(TblImps[[#This Row],[P4]:[G4]])+OFFSET(TblImps[[#This Row],[Σ Spires]],-1,0)</f>
        <v>0</v>
      </c>
      <c r="AI63" s="61">
        <f ca="1">(1+Overview!$I$29)*SUM(TblImps[[#This Row],[P5]:[FW5]])+OFFSET(TblImps[[#This Row],[Σ Forges]],-1,0)</f>
        <v>0</v>
      </c>
      <c r="AJ63" s="61">
        <f ca="1">(1+Overview!$I$29)*SUM(TblImps[[#This Row],[P6]:[G6]])+OFFSET(TblImps[[#This Row],[Σ Walls]],-1,0)</f>
        <v>0</v>
      </c>
      <c r="AK63" s="61">
        <f ca="1">(1+Overview!$I$29 + tech_7_1*TblTech[[#This Row],[7-1]])*SUM(TblImps[[#This Row],[P7]:[G7]])+OFFSET(TblImps[[#This Row],[Σ Harbor]],-1,0)</f>
        <v>0</v>
      </c>
      <c r="AL63" s="142"/>
      <c r="AM63" s="57">
        <f>IF(AND(TblImps[[#This Row],[Resource]]=AM$2,TblImps[[#This Row],[Part]]&lt;&gt;""),TblImps[[#This Row],[Amount]]) + IF(AND(TblImps[[#This Row],[Resource 2]]=AM$2,TblImps[[#This Row],[Part 2]]&lt;&gt;""),TblImps[[#This Row],[Amount 2]]) + IF(AND(TblImps[[#This Row],[Resource 3]]=AM$2,TblImps[[#This Row],[Part 3]]&lt;&gt;""),TblImps[[#This Row],[Amount 3]])</f>
        <v>0</v>
      </c>
      <c r="AN63" s="57">
        <f>IF(AND(TblImps[[#This Row],[Resource]]=AN$2,TblImps[[#This Row],[Part]]&lt;&gt;""),TblImps[[#This Row],[Amount]]) + IF(AND(TblImps[[#This Row],[Resource 2]]=AN$2,TblImps[[#This Row],[Part 2]]&lt;&gt;""),TblImps[[#This Row],[Amount 2]]) + IF(AND(TblImps[[#This Row],[Resource 3]]=AN$2,TblImps[[#This Row],[Part 3]]&lt;&gt;""),TblImps[[#This Row],[Amount 3]])</f>
        <v>0</v>
      </c>
      <c r="AO63" s="57">
        <f>IF(AND(TblImps[[#This Row],[Resource]]=AO$2,TblImps[[#This Row],[Part]]&lt;&gt;""),TblImps[[#This Row],[Amount]]) + IF(AND(TblImps[[#This Row],[Resource 2]]=AO$2,TblImps[[#This Row],[Part 2]]&lt;&gt;""),TblImps[[#This Row],[Amount 2]]) + IF(AND(TblImps[[#This Row],[Resource 3]]=AO$2,TblImps[[#This Row],[Part 3]]&lt;&gt;""),TblImps[[#This Row],[Amount 3]])</f>
        <v>0</v>
      </c>
      <c r="AP63" s="57">
        <f>IF(AND(TblImps[[#This Row],[Resource]]=AP$2,TblImps[[#This Row],[Part]]&lt;&gt;""),TblImps[[#This Row],[Amount]]) + IF(AND(TblImps[[#This Row],[Resource 2]]=AP$2,TblImps[[#This Row],[Part 2]]&lt;&gt;""),TblImps[[#This Row],[Amount 2]]) + IF(AND(TblImps[[#This Row],[Resource 3]]=AP$2,TblImps[[#This Row],[Part 3]]&lt;&gt;""),TblImps[[#This Row],[Amount 3]])</f>
        <v>0</v>
      </c>
      <c r="AQ63" s="142"/>
      <c r="AR6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142"/>
      <c r="AW6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142"/>
      <c r="BB6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142"/>
      <c r="BG6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57">
        <f ca="1">IF(OFFSET(TblMagic[[#This Row],[Active Alchemists Flame]],-1,0)&gt;0,TblConstr[[#This Row],[Tot Alc]]*alchemist_flame_invest,0)</f>
        <v>0</v>
      </c>
      <c r="BL63" s="142"/>
      <c r="BM6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3" s="142"/>
      <c r="BR6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3" s="142"/>
      <c r="BW6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3" s="61">
        <f>TblImps[[#This Row],[Login]]</f>
        <v>0</v>
      </c>
      <c r="BY63" s="137"/>
      <c r="BZ63" s="293">
        <f ca="1">OFFSET(TblImps[[#This Row],[Real time]],-1,0)+1/24</f>
        <v>46322.45833333319</v>
      </c>
      <c r="CA63" s="294">
        <f ca="1">OFFSET(TblImps[[#This Row],[Servertime]],-1,0)+1/24</f>
        <v>46322.45833333319</v>
      </c>
      <c r="CB63" s="57"/>
      <c r="CC63" s="292"/>
      <c r="CD63" s="292"/>
    </row>
    <row r="64" spans="1:82" x14ac:dyDescent="0.2">
      <c r="A64" s="214">
        <f ca="1">TblConstr[[#This Row],[Land]]</f>
        <v>50</v>
      </c>
      <c r="B64" s="142"/>
      <c r="C64" s="94">
        <f ca="1">TblProd[[#This Row],[Platinum]]</f>
        <v>177468</v>
      </c>
      <c r="D64" s="94">
        <f ca="1">TblProd[[#This Row],[Lumber]]</f>
        <v>53490</v>
      </c>
      <c r="E64" s="94">
        <f ca="1">TblProd[[#This Row],[Ore]]</f>
        <v>0</v>
      </c>
      <c r="F64" s="94">
        <f ca="1">TblProd[[#This Row],[Gems]]</f>
        <v>0</v>
      </c>
      <c r="G64" s="154"/>
      <c r="H64" s="94">
        <f ca="1">TblMili[[#This Row],[Draftees]]</f>
        <v>513</v>
      </c>
      <c r="I64" s="180">
        <f ca="1">TblPop[[#This Row],[Employment]]</f>
        <v>1</v>
      </c>
      <c r="J64" s="180">
        <f ca="1">TblPop[[#This Row],[Total]]/TblPop[[#This Row],[Net max]]</f>
        <v>1</v>
      </c>
      <c r="K64" s="283">
        <f>TblRezone[[#This Row],[Hour]]</f>
        <v>61</v>
      </c>
      <c r="L64" s="284">
        <f ca="1">TblImps[[#This Row],[Real time]]</f>
        <v>46322.499999999854</v>
      </c>
      <c r="M64" s="61">
        <f>IF(ISERROR(TblImps[[#This Row],[algorithm]]),0,TblImps[[#This Row],[algorithm]]*1)</f>
        <v>0</v>
      </c>
      <c r="N64" s="94">
        <f ca="1">TblImps[[#This Row],[Land]]</f>
        <v>50</v>
      </c>
      <c r="O64" s="285" t="s">
        <v>4</v>
      </c>
      <c r="P64" s="286"/>
      <c r="Q64" s="285" t="s">
        <v>210</v>
      </c>
      <c r="R64" s="285" t="s">
        <v>7</v>
      </c>
      <c r="S64" s="286"/>
      <c r="T64" s="285" t="s">
        <v>210</v>
      </c>
      <c r="U64" s="285" t="s">
        <v>3</v>
      </c>
      <c r="V64" s="286"/>
      <c r="W64" s="285" t="s">
        <v>210</v>
      </c>
      <c r="X64" s="142"/>
      <c r="Y64" s="287">
        <f ca="1">science_cap*(1-EXP(-TblImps[[#This Row],[Σ Science]]/(science_param*(OFFSET(TblImps[[#This Row],[Land]],1,0)-OFFSET(TblExplore[[#This Row],[Land Bonus]],1,0)*20)+15000)))*(1+(mason_bonus*TblConstr[[#This Row],[Tot Mas]]/TblConstr[[#This Row],[Land (2)]]))</f>
        <v>0</v>
      </c>
      <c r="Z64" s="287">
        <f ca="1">keep_cap*(1-EXP(-TblImps[[#This Row],[Σ Keep]]/(keep_param*(OFFSET(TblImps[[#This Row],[Land]],1,0)-OFFSET(TblExplore[[#This Row],[Land Bonus]],1,0)*20)+15000)))*(1+(mason_bonus*TblConstr[[#This Row],[Tot Mas]]/TblConstr[[#This Row],[Land (2)]]))</f>
        <v>0</v>
      </c>
      <c r="AA64" s="287">
        <f ca="1">harbor_towers_cap*(1-EXP(-TblImps[[#This Row],[Σ Spires]]/(towers_param*(OFFSET(TblImps[[#This Row],[Land]],1,0)-OFFSET(TblExplore[[#This Row],[Land Bonus]],1,0)*20)+15000)))*(1+(mason_bonus*TblConstr[[#This Row],[Tot Mas]]/TblConstr[[#This Row],[Land (2)]]))</f>
        <v>0</v>
      </c>
      <c r="AB64" s="287">
        <f ca="1">walls_forges_cap*(1-EXP(-TblImps[[#This Row],[Σ Forges]]/(walls_forges_param*(OFFSET(TblImps[[#This Row],[Land]],1,0)-OFFSET(TblExplore[[#This Row],[Land Bonus]],1,0)*20)+15000)))*(1+(mason_bonus*TblConstr[[#This Row],[Tot Mas]]/TblConstr[[#This Row],[Land (2)]]))</f>
        <v>0</v>
      </c>
      <c r="AC64" s="287">
        <f ca="1">walls_forges_cap*(1-EXP(-TblImps[[#This Row],[Σ Walls]]/(walls_forges_param*(OFFSET(TblImps[[#This Row],[Land]],1,0)-OFFSET(TblExplore[[#This Row],[Land Bonus]],1,0)*20)+15000)))*(1+(mason_bonus*TblConstr[[#This Row],[Tot Mas]]/TblConstr[[#This Row],[Land (2)]]))</f>
        <v>0</v>
      </c>
      <c r="AD64" s="287">
        <f ca="1">harbor_towers_cap*(1-EXP(-TblImps[[#This Row],[Σ Harbor]]/(harbor_towers_param*(OFFSET(TblImps[[#This Row],[Land]],1,0)-OFFSET(TblExplore[[#This Row],[Land Bonus]],1,0)*20)+15000)))*(1+(mason_bonus*TblConstr[[#This Row],[Tot Mas]]/TblConstr[[#This Row],[Land (2)]]))</f>
        <v>0</v>
      </c>
      <c r="AE64" s="142"/>
      <c r="AF64" s="61">
        <f ca="1">(1+Overview!$I$29)*SUM(TblImps[[#This Row],[P2]:[G2]])+OFFSET(TblImps[[#This Row],[Σ Science]],-1,0)</f>
        <v>0</v>
      </c>
      <c r="AG64" s="61">
        <f ca="1">(1+Overview!$I$29)*SUM(TblImps[[#This Row],[P3]:[G3]])+OFFSET(TblImps[[#This Row],[Σ Keep]],-1,0)</f>
        <v>0</v>
      </c>
      <c r="AH64" s="61">
        <f ca="1">(1+Overview!$I$29 + tech_7_1*TblTech[[#This Row],[7-1]])*SUM(TblImps[[#This Row],[P4]:[G4]])+OFFSET(TblImps[[#This Row],[Σ Spires]],-1,0)</f>
        <v>0</v>
      </c>
      <c r="AI64" s="61">
        <f ca="1">(1+Overview!$I$29)*SUM(TblImps[[#This Row],[P5]:[FW5]])+OFFSET(TblImps[[#This Row],[Σ Forges]],-1,0)</f>
        <v>0</v>
      </c>
      <c r="AJ64" s="61">
        <f ca="1">(1+Overview!$I$29)*SUM(TblImps[[#This Row],[P6]:[G6]])+OFFSET(TblImps[[#This Row],[Σ Walls]],-1,0)</f>
        <v>0</v>
      </c>
      <c r="AK64" s="61">
        <f ca="1">(1+Overview!$I$29 + tech_7_1*TblTech[[#This Row],[7-1]])*SUM(TblImps[[#This Row],[P7]:[G7]])+OFFSET(TblImps[[#This Row],[Σ Harbor]],-1,0)</f>
        <v>0</v>
      </c>
      <c r="AL64" s="142"/>
      <c r="AM64" s="57">
        <f>IF(AND(TblImps[[#This Row],[Resource]]=AM$2,TblImps[[#This Row],[Part]]&lt;&gt;""),TblImps[[#This Row],[Amount]]) + IF(AND(TblImps[[#This Row],[Resource 2]]=AM$2,TblImps[[#This Row],[Part 2]]&lt;&gt;""),TblImps[[#This Row],[Amount 2]]) + IF(AND(TblImps[[#This Row],[Resource 3]]=AM$2,TblImps[[#This Row],[Part 3]]&lt;&gt;""),TblImps[[#This Row],[Amount 3]])</f>
        <v>0</v>
      </c>
      <c r="AN64" s="57">
        <f>IF(AND(TblImps[[#This Row],[Resource]]=AN$2,TblImps[[#This Row],[Part]]&lt;&gt;""),TblImps[[#This Row],[Amount]]) + IF(AND(TblImps[[#This Row],[Resource 2]]=AN$2,TblImps[[#This Row],[Part 2]]&lt;&gt;""),TblImps[[#This Row],[Amount 2]]) + IF(AND(TblImps[[#This Row],[Resource 3]]=AN$2,TblImps[[#This Row],[Part 3]]&lt;&gt;""),TblImps[[#This Row],[Amount 3]])</f>
        <v>0</v>
      </c>
      <c r="AO64" s="57">
        <f>IF(AND(TblImps[[#This Row],[Resource]]=AO$2,TblImps[[#This Row],[Part]]&lt;&gt;""),TblImps[[#This Row],[Amount]]) + IF(AND(TblImps[[#This Row],[Resource 2]]=AO$2,TblImps[[#This Row],[Part 2]]&lt;&gt;""),TblImps[[#This Row],[Amount 2]]) + IF(AND(TblImps[[#This Row],[Resource 3]]=AO$2,TblImps[[#This Row],[Part 3]]&lt;&gt;""),TblImps[[#This Row],[Amount 3]])</f>
        <v>0</v>
      </c>
      <c r="AP64" s="57">
        <f>IF(AND(TblImps[[#This Row],[Resource]]=AP$2,TblImps[[#This Row],[Part]]&lt;&gt;""),TblImps[[#This Row],[Amount]]) + IF(AND(TblImps[[#This Row],[Resource 2]]=AP$2,TblImps[[#This Row],[Part 2]]&lt;&gt;""),TblImps[[#This Row],[Amount 2]]) + IF(AND(TblImps[[#This Row],[Resource 3]]=AP$2,TblImps[[#This Row],[Part 3]]&lt;&gt;""),TblImps[[#This Row],[Amount 3]])</f>
        <v>0</v>
      </c>
      <c r="AQ64" s="142"/>
      <c r="AR6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142"/>
      <c r="AW6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142"/>
      <c r="BB6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142"/>
      <c r="BG6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57">
        <f ca="1">IF(OFFSET(TblMagic[[#This Row],[Active Alchemists Flame]],-1,0)&gt;0,TblConstr[[#This Row],[Tot Alc]]*alchemist_flame_invest,0)</f>
        <v>0</v>
      </c>
      <c r="BL64" s="142"/>
      <c r="BM6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4" s="142"/>
      <c r="BR6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4" s="142"/>
      <c r="BW6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4" s="61">
        <f>TblImps[[#This Row],[Login]]</f>
        <v>0</v>
      </c>
      <c r="BY64" s="137"/>
      <c r="BZ64" s="293">
        <f ca="1">OFFSET(TblImps[[#This Row],[Real time]],-1,0)+1/24</f>
        <v>46322.499999999854</v>
      </c>
      <c r="CA64" s="294">
        <f ca="1">OFFSET(TblImps[[#This Row],[Servertime]],-1,0)+1/24</f>
        <v>46322.499999999854</v>
      </c>
      <c r="CB64" s="57"/>
      <c r="CC64" s="292"/>
      <c r="CD64" s="292"/>
    </row>
    <row r="65" spans="1:85" x14ac:dyDescent="0.2">
      <c r="A65" s="214">
        <f ca="1">TblConstr[[#This Row],[Land]]</f>
        <v>50</v>
      </c>
      <c r="B65" s="142"/>
      <c r="C65" s="94">
        <f ca="1">TblProd[[#This Row],[Platinum]]</f>
        <v>178159</v>
      </c>
      <c r="D65" s="94">
        <f ca="1">TblProd[[#This Row],[Lumber]]</f>
        <v>53955</v>
      </c>
      <c r="E65" s="94">
        <f ca="1">TblProd[[#This Row],[Ore]]</f>
        <v>0</v>
      </c>
      <c r="F65" s="94">
        <f ca="1">TblProd[[#This Row],[Gems]]</f>
        <v>0</v>
      </c>
      <c r="G65" s="154"/>
      <c r="H65" s="94">
        <f ca="1">TblMili[[#This Row],[Draftees]]</f>
        <v>516</v>
      </c>
      <c r="I65" s="180">
        <f ca="1">TblPop[[#This Row],[Employment]]</f>
        <v>1</v>
      </c>
      <c r="J65" s="180">
        <f ca="1">TblPop[[#This Row],[Total]]/TblPop[[#This Row],[Net max]]</f>
        <v>1</v>
      </c>
      <c r="K65" s="283">
        <f>TblRezone[[#This Row],[Hour]]</f>
        <v>62</v>
      </c>
      <c r="L65" s="284">
        <f ca="1">TblImps[[#This Row],[Real time]]</f>
        <v>46322.541666666519</v>
      </c>
      <c r="M65" s="61">
        <f>IF(ISERROR(TblImps[[#This Row],[algorithm]]),0,TblImps[[#This Row],[algorithm]]*1)</f>
        <v>0</v>
      </c>
      <c r="N65" s="94">
        <f ca="1">TblImps[[#This Row],[Land]]</f>
        <v>50</v>
      </c>
      <c r="O65" s="285" t="s">
        <v>4</v>
      </c>
      <c r="P65" s="286"/>
      <c r="Q65" s="285" t="s">
        <v>210</v>
      </c>
      <c r="R65" s="285" t="s">
        <v>7</v>
      </c>
      <c r="S65" s="286"/>
      <c r="T65" s="285" t="s">
        <v>210</v>
      </c>
      <c r="U65" s="285" t="s">
        <v>3</v>
      </c>
      <c r="V65" s="286"/>
      <c r="W65" s="285" t="s">
        <v>210</v>
      </c>
      <c r="X65" s="142"/>
      <c r="Y65" s="287">
        <f ca="1">science_cap*(1-EXP(-TblImps[[#This Row],[Σ Science]]/(science_param*(OFFSET(TblImps[[#This Row],[Land]],1,0)-OFFSET(TblExplore[[#This Row],[Land Bonus]],1,0)*20)+15000)))*(1+(mason_bonus*TblConstr[[#This Row],[Tot Mas]]/TblConstr[[#This Row],[Land (2)]]))</f>
        <v>0</v>
      </c>
      <c r="Z65" s="287">
        <f ca="1">keep_cap*(1-EXP(-TblImps[[#This Row],[Σ Keep]]/(keep_param*(OFFSET(TblImps[[#This Row],[Land]],1,0)-OFFSET(TblExplore[[#This Row],[Land Bonus]],1,0)*20)+15000)))*(1+(mason_bonus*TblConstr[[#This Row],[Tot Mas]]/TblConstr[[#This Row],[Land (2)]]))</f>
        <v>0</v>
      </c>
      <c r="AA65" s="287">
        <f ca="1">harbor_towers_cap*(1-EXP(-TblImps[[#This Row],[Σ Spires]]/(towers_param*(OFFSET(TblImps[[#This Row],[Land]],1,0)-OFFSET(TblExplore[[#This Row],[Land Bonus]],1,0)*20)+15000)))*(1+(mason_bonus*TblConstr[[#This Row],[Tot Mas]]/TblConstr[[#This Row],[Land (2)]]))</f>
        <v>0</v>
      </c>
      <c r="AB65" s="287">
        <f ca="1">walls_forges_cap*(1-EXP(-TblImps[[#This Row],[Σ Forges]]/(walls_forges_param*(OFFSET(TblImps[[#This Row],[Land]],1,0)-OFFSET(TblExplore[[#This Row],[Land Bonus]],1,0)*20)+15000)))*(1+(mason_bonus*TblConstr[[#This Row],[Tot Mas]]/TblConstr[[#This Row],[Land (2)]]))</f>
        <v>0</v>
      </c>
      <c r="AC65" s="287">
        <f ca="1">walls_forges_cap*(1-EXP(-TblImps[[#This Row],[Σ Walls]]/(walls_forges_param*(OFFSET(TblImps[[#This Row],[Land]],1,0)-OFFSET(TblExplore[[#This Row],[Land Bonus]],1,0)*20)+15000)))*(1+(mason_bonus*TblConstr[[#This Row],[Tot Mas]]/TblConstr[[#This Row],[Land (2)]]))</f>
        <v>0</v>
      </c>
      <c r="AD65" s="287">
        <f ca="1">harbor_towers_cap*(1-EXP(-TblImps[[#This Row],[Σ Harbor]]/(harbor_towers_param*(OFFSET(TblImps[[#This Row],[Land]],1,0)-OFFSET(TblExplore[[#This Row],[Land Bonus]],1,0)*20)+15000)))*(1+(mason_bonus*TblConstr[[#This Row],[Tot Mas]]/TblConstr[[#This Row],[Land (2)]]))</f>
        <v>0</v>
      </c>
      <c r="AE65" s="142"/>
      <c r="AF65" s="61">
        <f ca="1">(1+Overview!$I$29)*SUM(TblImps[[#This Row],[P2]:[G2]])+OFFSET(TblImps[[#This Row],[Σ Science]],-1,0)</f>
        <v>0</v>
      </c>
      <c r="AG65" s="61">
        <f ca="1">(1+Overview!$I$29)*SUM(TblImps[[#This Row],[P3]:[G3]])+OFFSET(TblImps[[#This Row],[Σ Keep]],-1,0)</f>
        <v>0</v>
      </c>
      <c r="AH65" s="61">
        <f ca="1">(1+Overview!$I$29 + tech_7_1*TblTech[[#This Row],[7-1]])*SUM(TblImps[[#This Row],[P4]:[G4]])+OFFSET(TblImps[[#This Row],[Σ Spires]],-1,0)</f>
        <v>0</v>
      </c>
      <c r="AI65" s="61">
        <f ca="1">(1+Overview!$I$29)*SUM(TblImps[[#This Row],[P5]:[FW5]])+OFFSET(TblImps[[#This Row],[Σ Forges]],-1,0)</f>
        <v>0</v>
      </c>
      <c r="AJ65" s="61">
        <f ca="1">(1+Overview!$I$29)*SUM(TblImps[[#This Row],[P6]:[G6]])+OFFSET(TblImps[[#This Row],[Σ Walls]],-1,0)</f>
        <v>0</v>
      </c>
      <c r="AK65" s="61">
        <f ca="1">(1+Overview!$I$29 + tech_7_1*TblTech[[#This Row],[7-1]])*SUM(TblImps[[#This Row],[P7]:[G7]])+OFFSET(TblImps[[#This Row],[Σ Harbor]],-1,0)</f>
        <v>0</v>
      </c>
      <c r="AL65" s="142"/>
      <c r="AM65" s="57">
        <f>IF(AND(TblImps[[#This Row],[Resource]]=AM$2,TblImps[[#This Row],[Part]]&lt;&gt;""),TblImps[[#This Row],[Amount]]) + IF(AND(TblImps[[#This Row],[Resource 2]]=AM$2,TblImps[[#This Row],[Part 2]]&lt;&gt;""),TblImps[[#This Row],[Amount 2]]) + IF(AND(TblImps[[#This Row],[Resource 3]]=AM$2,TblImps[[#This Row],[Part 3]]&lt;&gt;""),TblImps[[#This Row],[Amount 3]])</f>
        <v>0</v>
      </c>
      <c r="AN65" s="57">
        <f>IF(AND(TblImps[[#This Row],[Resource]]=AN$2,TblImps[[#This Row],[Part]]&lt;&gt;""),TblImps[[#This Row],[Amount]]) + IF(AND(TblImps[[#This Row],[Resource 2]]=AN$2,TblImps[[#This Row],[Part 2]]&lt;&gt;""),TblImps[[#This Row],[Amount 2]]) + IF(AND(TblImps[[#This Row],[Resource 3]]=AN$2,TblImps[[#This Row],[Part 3]]&lt;&gt;""),TblImps[[#This Row],[Amount 3]])</f>
        <v>0</v>
      </c>
      <c r="AO65" s="57">
        <f>IF(AND(TblImps[[#This Row],[Resource]]=AO$2,TblImps[[#This Row],[Part]]&lt;&gt;""),TblImps[[#This Row],[Amount]]) + IF(AND(TblImps[[#This Row],[Resource 2]]=AO$2,TblImps[[#This Row],[Part 2]]&lt;&gt;""),TblImps[[#This Row],[Amount 2]]) + IF(AND(TblImps[[#This Row],[Resource 3]]=AO$2,TblImps[[#This Row],[Part 3]]&lt;&gt;""),TblImps[[#This Row],[Amount 3]])</f>
        <v>0</v>
      </c>
      <c r="AP65" s="57">
        <f>IF(AND(TblImps[[#This Row],[Resource]]=AP$2,TblImps[[#This Row],[Part]]&lt;&gt;""),TblImps[[#This Row],[Amount]]) + IF(AND(TblImps[[#This Row],[Resource 2]]=AP$2,TblImps[[#This Row],[Part 2]]&lt;&gt;""),TblImps[[#This Row],[Amount 2]]) + IF(AND(TblImps[[#This Row],[Resource 3]]=AP$2,TblImps[[#This Row],[Part 3]]&lt;&gt;""),TblImps[[#This Row],[Amount 3]])</f>
        <v>0</v>
      </c>
      <c r="AQ65" s="142"/>
      <c r="AR6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142"/>
      <c r="AW6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142"/>
      <c r="BB6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142"/>
      <c r="BG6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57">
        <f ca="1">IF(OFFSET(TblMagic[[#This Row],[Active Alchemists Flame]],-1,0)&gt;0,TblConstr[[#This Row],[Tot Alc]]*alchemist_flame_invest,0)</f>
        <v>0</v>
      </c>
      <c r="BL65" s="142"/>
      <c r="BM6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5" s="142"/>
      <c r="BR6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5" s="142"/>
      <c r="BW6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5" s="61">
        <f>TblImps[[#This Row],[Login]]</f>
        <v>0</v>
      </c>
      <c r="BY65" s="137"/>
      <c r="BZ65" s="293">
        <f ca="1">OFFSET(TblImps[[#This Row],[Real time]],-1,0)+1/24</f>
        <v>46322.541666666519</v>
      </c>
      <c r="CA65" s="294">
        <f ca="1">OFFSET(TblImps[[#This Row],[Servertime]],-1,0)+1/24</f>
        <v>46322.541666666519</v>
      </c>
      <c r="CB65" s="57"/>
      <c r="CC65" s="292"/>
      <c r="CD65" s="292"/>
    </row>
    <row r="66" spans="1:85" x14ac:dyDescent="0.2">
      <c r="A66" s="214">
        <f ca="1">TblConstr[[#This Row],[Land]]</f>
        <v>50</v>
      </c>
      <c r="B66" s="142"/>
      <c r="C66" s="94">
        <f ca="1">TblProd[[#This Row],[Platinum]]</f>
        <v>178842</v>
      </c>
      <c r="D66" s="94">
        <f ca="1">TblProd[[#This Row],[Lumber]]</f>
        <v>54415</v>
      </c>
      <c r="E66" s="94">
        <f ca="1">TblProd[[#This Row],[Ore]]</f>
        <v>0</v>
      </c>
      <c r="F66" s="94">
        <f ca="1">TblProd[[#This Row],[Gems]]</f>
        <v>0</v>
      </c>
      <c r="G66" s="154"/>
      <c r="H66" s="94">
        <f ca="1">TblMili[[#This Row],[Draftees]]</f>
        <v>519</v>
      </c>
      <c r="I66" s="180">
        <f ca="1">TblPop[[#This Row],[Employment]]</f>
        <v>1</v>
      </c>
      <c r="J66" s="180">
        <f ca="1">TblPop[[#This Row],[Total]]/TblPop[[#This Row],[Net max]]</f>
        <v>1</v>
      </c>
      <c r="K66" s="283">
        <f>TblRezone[[#This Row],[Hour]]</f>
        <v>63</v>
      </c>
      <c r="L66" s="284">
        <f ca="1">TblImps[[#This Row],[Real time]]</f>
        <v>46322.583333333183</v>
      </c>
      <c r="M66" s="61">
        <f>IF(ISERROR(TblImps[[#This Row],[algorithm]]),0,TblImps[[#This Row],[algorithm]]*1)</f>
        <v>0</v>
      </c>
      <c r="N66" s="94">
        <f ca="1">TblImps[[#This Row],[Land]]</f>
        <v>50</v>
      </c>
      <c r="O66" s="285" t="s">
        <v>4</v>
      </c>
      <c r="P66" s="286"/>
      <c r="Q66" s="285" t="s">
        <v>210</v>
      </c>
      <c r="R66" s="285" t="s">
        <v>7</v>
      </c>
      <c r="S66" s="286"/>
      <c r="T66" s="285" t="s">
        <v>210</v>
      </c>
      <c r="U66" s="285" t="s">
        <v>3</v>
      </c>
      <c r="V66" s="286"/>
      <c r="W66" s="285" t="s">
        <v>210</v>
      </c>
      <c r="X66" s="142"/>
      <c r="Y66" s="287">
        <f ca="1">science_cap*(1-EXP(-TblImps[[#This Row],[Σ Science]]/(science_param*(OFFSET(TblImps[[#This Row],[Land]],1,0)-OFFSET(TblExplore[[#This Row],[Land Bonus]],1,0)*20)+15000)))*(1+(mason_bonus*TblConstr[[#This Row],[Tot Mas]]/TblConstr[[#This Row],[Land (2)]]))</f>
        <v>0</v>
      </c>
      <c r="Z66" s="287">
        <f ca="1">keep_cap*(1-EXP(-TblImps[[#This Row],[Σ Keep]]/(keep_param*(OFFSET(TblImps[[#This Row],[Land]],1,0)-OFFSET(TblExplore[[#This Row],[Land Bonus]],1,0)*20)+15000)))*(1+(mason_bonus*TblConstr[[#This Row],[Tot Mas]]/TblConstr[[#This Row],[Land (2)]]))</f>
        <v>0</v>
      </c>
      <c r="AA66" s="287">
        <f ca="1">harbor_towers_cap*(1-EXP(-TblImps[[#This Row],[Σ Spires]]/(towers_param*(OFFSET(TblImps[[#This Row],[Land]],1,0)-OFFSET(TblExplore[[#This Row],[Land Bonus]],1,0)*20)+15000)))*(1+(mason_bonus*TblConstr[[#This Row],[Tot Mas]]/TblConstr[[#This Row],[Land (2)]]))</f>
        <v>0</v>
      </c>
      <c r="AB66" s="287">
        <f ca="1">walls_forges_cap*(1-EXP(-TblImps[[#This Row],[Σ Forges]]/(walls_forges_param*(OFFSET(TblImps[[#This Row],[Land]],1,0)-OFFSET(TblExplore[[#This Row],[Land Bonus]],1,0)*20)+15000)))*(1+(mason_bonus*TblConstr[[#This Row],[Tot Mas]]/TblConstr[[#This Row],[Land (2)]]))</f>
        <v>0</v>
      </c>
      <c r="AC66" s="287">
        <f ca="1">walls_forges_cap*(1-EXP(-TblImps[[#This Row],[Σ Walls]]/(walls_forges_param*(OFFSET(TblImps[[#This Row],[Land]],1,0)-OFFSET(TblExplore[[#This Row],[Land Bonus]],1,0)*20)+15000)))*(1+(mason_bonus*TblConstr[[#This Row],[Tot Mas]]/TblConstr[[#This Row],[Land (2)]]))</f>
        <v>0</v>
      </c>
      <c r="AD66" s="287">
        <f ca="1">harbor_towers_cap*(1-EXP(-TblImps[[#This Row],[Σ Harbor]]/(harbor_towers_param*(OFFSET(TblImps[[#This Row],[Land]],1,0)-OFFSET(TblExplore[[#This Row],[Land Bonus]],1,0)*20)+15000)))*(1+(mason_bonus*TblConstr[[#This Row],[Tot Mas]]/TblConstr[[#This Row],[Land (2)]]))</f>
        <v>0</v>
      </c>
      <c r="AE66" s="142"/>
      <c r="AF66" s="61">
        <f ca="1">(1+Overview!$I$29)*SUM(TblImps[[#This Row],[P2]:[G2]])+OFFSET(TblImps[[#This Row],[Σ Science]],-1,0)</f>
        <v>0</v>
      </c>
      <c r="AG66" s="61">
        <f ca="1">(1+Overview!$I$29)*SUM(TblImps[[#This Row],[P3]:[G3]])+OFFSET(TblImps[[#This Row],[Σ Keep]],-1,0)</f>
        <v>0</v>
      </c>
      <c r="AH66" s="61">
        <f ca="1">(1+Overview!$I$29 + tech_7_1*TblTech[[#This Row],[7-1]])*SUM(TblImps[[#This Row],[P4]:[G4]])+OFFSET(TblImps[[#This Row],[Σ Spires]],-1,0)</f>
        <v>0</v>
      </c>
      <c r="AI66" s="61">
        <f ca="1">(1+Overview!$I$29)*SUM(TblImps[[#This Row],[P5]:[FW5]])+OFFSET(TblImps[[#This Row],[Σ Forges]],-1,0)</f>
        <v>0</v>
      </c>
      <c r="AJ66" s="61">
        <f ca="1">(1+Overview!$I$29)*SUM(TblImps[[#This Row],[P6]:[G6]])+OFFSET(TblImps[[#This Row],[Σ Walls]],-1,0)</f>
        <v>0</v>
      </c>
      <c r="AK66" s="61">
        <f ca="1">(1+Overview!$I$29 + tech_7_1*TblTech[[#This Row],[7-1]])*SUM(TblImps[[#This Row],[P7]:[G7]])+OFFSET(TblImps[[#This Row],[Σ Harbor]],-1,0)</f>
        <v>0</v>
      </c>
      <c r="AL66" s="142"/>
      <c r="AM66" s="57">
        <f>IF(AND(TblImps[[#This Row],[Resource]]=AM$2,TblImps[[#This Row],[Part]]&lt;&gt;""),TblImps[[#This Row],[Amount]]) + IF(AND(TblImps[[#This Row],[Resource 2]]=AM$2,TblImps[[#This Row],[Part 2]]&lt;&gt;""),TblImps[[#This Row],[Amount 2]]) + IF(AND(TblImps[[#This Row],[Resource 3]]=AM$2,TblImps[[#This Row],[Part 3]]&lt;&gt;""),TblImps[[#This Row],[Amount 3]])</f>
        <v>0</v>
      </c>
      <c r="AN66" s="57">
        <f>IF(AND(TblImps[[#This Row],[Resource]]=AN$2,TblImps[[#This Row],[Part]]&lt;&gt;""),TblImps[[#This Row],[Amount]]) + IF(AND(TblImps[[#This Row],[Resource 2]]=AN$2,TblImps[[#This Row],[Part 2]]&lt;&gt;""),TblImps[[#This Row],[Amount 2]]) + IF(AND(TblImps[[#This Row],[Resource 3]]=AN$2,TblImps[[#This Row],[Part 3]]&lt;&gt;""),TblImps[[#This Row],[Amount 3]])</f>
        <v>0</v>
      </c>
      <c r="AO66" s="57">
        <f>IF(AND(TblImps[[#This Row],[Resource]]=AO$2,TblImps[[#This Row],[Part]]&lt;&gt;""),TblImps[[#This Row],[Amount]]) + IF(AND(TblImps[[#This Row],[Resource 2]]=AO$2,TblImps[[#This Row],[Part 2]]&lt;&gt;""),TblImps[[#This Row],[Amount 2]]) + IF(AND(TblImps[[#This Row],[Resource 3]]=AO$2,TblImps[[#This Row],[Part 3]]&lt;&gt;""),TblImps[[#This Row],[Amount 3]])</f>
        <v>0</v>
      </c>
      <c r="AP66" s="57">
        <f>IF(AND(TblImps[[#This Row],[Resource]]=AP$2,TblImps[[#This Row],[Part]]&lt;&gt;""),TblImps[[#This Row],[Amount]]) + IF(AND(TblImps[[#This Row],[Resource 2]]=AP$2,TblImps[[#This Row],[Part 2]]&lt;&gt;""),TblImps[[#This Row],[Amount 2]]) + IF(AND(TblImps[[#This Row],[Resource 3]]=AP$2,TblImps[[#This Row],[Part 3]]&lt;&gt;""),TblImps[[#This Row],[Amount 3]])</f>
        <v>0</v>
      </c>
      <c r="AQ66" s="142"/>
      <c r="AR6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142"/>
      <c r="AW6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142"/>
      <c r="BB6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142"/>
      <c r="BG6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57">
        <f ca="1">IF(OFFSET(TblMagic[[#This Row],[Active Alchemists Flame]],-1,0)&gt;0,TblConstr[[#This Row],[Tot Alc]]*alchemist_flame_invest,0)</f>
        <v>0</v>
      </c>
      <c r="BL66" s="142"/>
      <c r="BM6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6" s="142"/>
      <c r="BR6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6" s="142"/>
      <c r="BW6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6" s="61">
        <f>TblImps[[#This Row],[Login]]</f>
        <v>0</v>
      </c>
      <c r="BY66" s="137"/>
      <c r="BZ66" s="293">
        <f ca="1">OFFSET(TblImps[[#This Row],[Real time]],-1,0)+1/24</f>
        <v>46322.583333333183</v>
      </c>
      <c r="CA66" s="294">
        <f ca="1">OFFSET(TblImps[[#This Row],[Servertime]],-1,0)+1/24</f>
        <v>46322.583333333183</v>
      </c>
      <c r="CB66" s="297"/>
      <c r="CC66" s="292"/>
      <c r="CD66" s="292"/>
    </row>
    <row r="67" spans="1:85" x14ac:dyDescent="0.2">
      <c r="A67" s="214">
        <f ca="1">TblConstr[[#This Row],[Land]]</f>
        <v>50</v>
      </c>
      <c r="B67" s="142"/>
      <c r="C67" s="94">
        <f ca="1">TblProd[[#This Row],[Platinum]]</f>
        <v>179517</v>
      </c>
      <c r="D67" s="94">
        <f ca="1">TblProd[[#This Row],[Lumber]]</f>
        <v>54871</v>
      </c>
      <c r="E67" s="94">
        <f ca="1">TblProd[[#This Row],[Ore]]</f>
        <v>0</v>
      </c>
      <c r="F67" s="94">
        <f ca="1">TblProd[[#This Row],[Gems]]</f>
        <v>0</v>
      </c>
      <c r="G67" s="154"/>
      <c r="H67" s="94">
        <f ca="1">TblMili[[#This Row],[Draftees]]</f>
        <v>522</v>
      </c>
      <c r="I67" s="180">
        <f ca="1">TblPop[[#This Row],[Employment]]</f>
        <v>1</v>
      </c>
      <c r="J67" s="180">
        <f ca="1">TblPop[[#This Row],[Total]]/TblPop[[#This Row],[Net max]]</f>
        <v>1</v>
      </c>
      <c r="K67" s="283">
        <f>TblRezone[[#This Row],[Hour]]</f>
        <v>64</v>
      </c>
      <c r="L67" s="284">
        <f ca="1">TblImps[[#This Row],[Real time]]</f>
        <v>46322.624999999847</v>
      </c>
      <c r="M67" s="61">
        <f>IF(ISERROR(TblImps[[#This Row],[algorithm]]),0,TblImps[[#This Row],[algorithm]]*1)</f>
        <v>0</v>
      </c>
      <c r="N67" s="94">
        <f ca="1">TblImps[[#This Row],[Land]]</f>
        <v>50</v>
      </c>
      <c r="O67" s="285" t="s">
        <v>4</v>
      </c>
      <c r="P67" s="286"/>
      <c r="Q67" s="285" t="s">
        <v>210</v>
      </c>
      <c r="R67" s="285" t="s">
        <v>7</v>
      </c>
      <c r="S67" s="286"/>
      <c r="T67" s="285" t="s">
        <v>210</v>
      </c>
      <c r="U67" s="285" t="s">
        <v>3</v>
      </c>
      <c r="V67" s="286"/>
      <c r="W67" s="285" t="s">
        <v>210</v>
      </c>
      <c r="X67" s="142"/>
      <c r="Y67" s="287">
        <f ca="1">science_cap*(1-EXP(-TblImps[[#This Row],[Σ Science]]/(science_param*(OFFSET(TblImps[[#This Row],[Land]],1,0)-OFFSET(TblExplore[[#This Row],[Land Bonus]],1,0)*20)+15000)))*(1+(mason_bonus*TblConstr[[#This Row],[Tot Mas]]/TblConstr[[#This Row],[Land (2)]]))</f>
        <v>0</v>
      </c>
      <c r="Z67" s="287">
        <f ca="1">keep_cap*(1-EXP(-TblImps[[#This Row],[Σ Keep]]/(keep_param*(OFFSET(TblImps[[#This Row],[Land]],1,0)-OFFSET(TblExplore[[#This Row],[Land Bonus]],1,0)*20)+15000)))*(1+(mason_bonus*TblConstr[[#This Row],[Tot Mas]]/TblConstr[[#This Row],[Land (2)]]))</f>
        <v>0</v>
      </c>
      <c r="AA67" s="287">
        <f ca="1">harbor_towers_cap*(1-EXP(-TblImps[[#This Row],[Σ Spires]]/(towers_param*(OFFSET(TblImps[[#This Row],[Land]],1,0)-OFFSET(TblExplore[[#This Row],[Land Bonus]],1,0)*20)+15000)))*(1+(mason_bonus*TblConstr[[#This Row],[Tot Mas]]/TblConstr[[#This Row],[Land (2)]]))</f>
        <v>0</v>
      </c>
      <c r="AB67" s="287">
        <f ca="1">walls_forges_cap*(1-EXP(-TblImps[[#This Row],[Σ Forges]]/(walls_forges_param*(OFFSET(TblImps[[#This Row],[Land]],1,0)-OFFSET(TblExplore[[#This Row],[Land Bonus]],1,0)*20)+15000)))*(1+(mason_bonus*TblConstr[[#This Row],[Tot Mas]]/TblConstr[[#This Row],[Land (2)]]))</f>
        <v>0</v>
      </c>
      <c r="AC67" s="287">
        <f ca="1">walls_forges_cap*(1-EXP(-TblImps[[#This Row],[Σ Walls]]/(walls_forges_param*(OFFSET(TblImps[[#This Row],[Land]],1,0)-OFFSET(TblExplore[[#This Row],[Land Bonus]],1,0)*20)+15000)))*(1+(mason_bonus*TblConstr[[#This Row],[Tot Mas]]/TblConstr[[#This Row],[Land (2)]]))</f>
        <v>0</v>
      </c>
      <c r="AD67" s="287">
        <f ca="1">harbor_towers_cap*(1-EXP(-TblImps[[#This Row],[Σ Harbor]]/(harbor_towers_param*(OFFSET(TblImps[[#This Row],[Land]],1,0)-OFFSET(TblExplore[[#This Row],[Land Bonus]],1,0)*20)+15000)))*(1+(mason_bonus*TblConstr[[#This Row],[Tot Mas]]/TblConstr[[#This Row],[Land (2)]]))</f>
        <v>0</v>
      </c>
      <c r="AE67" s="142"/>
      <c r="AF67" s="61">
        <f ca="1">(1+Overview!$I$29)*SUM(TblImps[[#This Row],[P2]:[G2]])+OFFSET(TblImps[[#This Row],[Σ Science]],-1,0)</f>
        <v>0</v>
      </c>
      <c r="AG67" s="61">
        <f ca="1">(1+Overview!$I$29)*SUM(TblImps[[#This Row],[P3]:[G3]])+OFFSET(TblImps[[#This Row],[Σ Keep]],-1,0)</f>
        <v>0</v>
      </c>
      <c r="AH67" s="61">
        <f ca="1">(1+Overview!$I$29 + tech_7_1*TblTech[[#This Row],[7-1]])*SUM(TblImps[[#This Row],[P4]:[G4]])+OFFSET(TblImps[[#This Row],[Σ Spires]],-1,0)</f>
        <v>0</v>
      </c>
      <c r="AI67" s="61">
        <f ca="1">(1+Overview!$I$29)*SUM(TblImps[[#This Row],[P5]:[FW5]])+OFFSET(TblImps[[#This Row],[Σ Forges]],-1,0)</f>
        <v>0</v>
      </c>
      <c r="AJ67" s="61">
        <f ca="1">(1+Overview!$I$29)*SUM(TblImps[[#This Row],[P6]:[G6]])+OFFSET(TblImps[[#This Row],[Σ Walls]],-1,0)</f>
        <v>0</v>
      </c>
      <c r="AK67" s="61">
        <f ca="1">(1+Overview!$I$29 + tech_7_1*TblTech[[#This Row],[7-1]])*SUM(TblImps[[#This Row],[P7]:[G7]])+OFFSET(TblImps[[#This Row],[Σ Harbor]],-1,0)</f>
        <v>0</v>
      </c>
      <c r="AL67" s="142"/>
      <c r="AM67" s="57">
        <f>IF(AND(TblImps[[#This Row],[Resource]]=AM$2,TblImps[[#This Row],[Part]]&lt;&gt;""),TblImps[[#This Row],[Amount]]) + IF(AND(TblImps[[#This Row],[Resource 2]]=AM$2,TblImps[[#This Row],[Part 2]]&lt;&gt;""),TblImps[[#This Row],[Amount 2]]) + IF(AND(TblImps[[#This Row],[Resource 3]]=AM$2,TblImps[[#This Row],[Part 3]]&lt;&gt;""),TblImps[[#This Row],[Amount 3]])</f>
        <v>0</v>
      </c>
      <c r="AN67" s="57">
        <f>IF(AND(TblImps[[#This Row],[Resource]]=AN$2,TblImps[[#This Row],[Part]]&lt;&gt;""),TblImps[[#This Row],[Amount]]) + IF(AND(TblImps[[#This Row],[Resource 2]]=AN$2,TblImps[[#This Row],[Part 2]]&lt;&gt;""),TblImps[[#This Row],[Amount 2]]) + IF(AND(TblImps[[#This Row],[Resource 3]]=AN$2,TblImps[[#This Row],[Part 3]]&lt;&gt;""),TblImps[[#This Row],[Amount 3]])</f>
        <v>0</v>
      </c>
      <c r="AO67" s="57">
        <f>IF(AND(TblImps[[#This Row],[Resource]]=AO$2,TblImps[[#This Row],[Part]]&lt;&gt;""),TblImps[[#This Row],[Amount]]) + IF(AND(TblImps[[#This Row],[Resource 2]]=AO$2,TblImps[[#This Row],[Part 2]]&lt;&gt;""),TblImps[[#This Row],[Amount 2]]) + IF(AND(TblImps[[#This Row],[Resource 3]]=AO$2,TblImps[[#This Row],[Part 3]]&lt;&gt;""),TblImps[[#This Row],[Amount 3]])</f>
        <v>0</v>
      </c>
      <c r="AP67" s="57">
        <f>IF(AND(TblImps[[#This Row],[Resource]]=AP$2,TblImps[[#This Row],[Part]]&lt;&gt;""),TblImps[[#This Row],[Amount]]) + IF(AND(TblImps[[#This Row],[Resource 2]]=AP$2,TblImps[[#This Row],[Part 2]]&lt;&gt;""),TblImps[[#This Row],[Amount 2]]) + IF(AND(TblImps[[#This Row],[Resource 3]]=AP$2,TblImps[[#This Row],[Part 3]]&lt;&gt;""),TblImps[[#This Row],[Amount 3]])</f>
        <v>0</v>
      </c>
      <c r="AQ67" s="142"/>
      <c r="AR6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142"/>
      <c r="AW6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142"/>
      <c r="BB6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142"/>
      <c r="BG6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57">
        <f ca="1">IF(OFFSET(TblMagic[[#This Row],[Active Alchemists Flame]],-1,0)&gt;0,TblConstr[[#This Row],[Tot Alc]]*alchemist_flame_invest,0)</f>
        <v>0</v>
      </c>
      <c r="BL67" s="142"/>
      <c r="BM6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7" s="142"/>
      <c r="BR6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7" s="142"/>
      <c r="BW6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7" s="61">
        <f>TblImps[[#This Row],[Login]]</f>
        <v>0</v>
      </c>
      <c r="BY67" s="137"/>
      <c r="BZ67" s="293">
        <f ca="1">OFFSET(TblImps[[#This Row],[Real time]],-1,0)+1/24</f>
        <v>46322.624999999847</v>
      </c>
      <c r="CA67" s="294">
        <f ca="1">OFFSET(TblImps[[#This Row],[Servertime]],-1,0)+1/24</f>
        <v>46322.624999999847</v>
      </c>
      <c r="CB67" s="57"/>
      <c r="CC67" s="292"/>
      <c r="CD67" s="292"/>
    </row>
    <row r="68" spans="1:85" x14ac:dyDescent="0.2">
      <c r="A68" s="214">
        <f ca="1">TblConstr[[#This Row],[Land]]</f>
        <v>50</v>
      </c>
      <c r="B68" s="142"/>
      <c r="C68" s="94">
        <f ca="1">TblProd[[#This Row],[Platinum]]</f>
        <v>180183</v>
      </c>
      <c r="D68" s="94">
        <f ca="1">TblProd[[#This Row],[Lumber]]</f>
        <v>55322</v>
      </c>
      <c r="E68" s="94">
        <f ca="1">TblProd[[#This Row],[Ore]]</f>
        <v>0</v>
      </c>
      <c r="F68" s="94">
        <f ca="1">TblProd[[#This Row],[Gems]]</f>
        <v>0</v>
      </c>
      <c r="G68" s="154"/>
      <c r="H68" s="94">
        <f ca="1">TblMili[[#This Row],[Draftees]]</f>
        <v>524</v>
      </c>
      <c r="I68" s="180">
        <f ca="1">TblPop[[#This Row],[Employment]]</f>
        <v>1</v>
      </c>
      <c r="J68" s="180">
        <f ca="1">TblPop[[#This Row],[Total]]/TblPop[[#This Row],[Net max]]</f>
        <v>1</v>
      </c>
      <c r="K68" s="283">
        <f>TblRezone[[#This Row],[Hour]]</f>
        <v>65</v>
      </c>
      <c r="L68" s="284">
        <f ca="1">TblImps[[#This Row],[Real time]]</f>
        <v>46322.666666666511</v>
      </c>
      <c r="M68" s="61">
        <f>IF(ISERROR(TblImps[[#This Row],[algorithm]]),0,TblImps[[#This Row],[algorithm]]*1)</f>
        <v>0</v>
      </c>
      <c r="N68" s="94">
        <f ca="1">TblImps[[#This Row],[Land]]</f>
        <v>50</v>
      </c>
      <c r="O68" s="285" t="s">
        <v>4</v>
      </c>
      <c r="P68" s="286"/>
      <c r="Q68" s="285" t="s">
        <v>210</v>
      </c>
      <c r="R68" s="285" t="s">
        <v>7</v>
      </c>
      <c r="S68" s="286"/>
      <c r="T68" s="285" t="s">
        <v>210</v>
      </c>
      <c r="U68" s="285" t="s">
        <v>3</v>
      </c>
      <c r="V68" s="286"/>
      <c r="W68" s="285" t="s">
        <v>210</v>
      </c>
      <c r="X68" s="142"/>
      <c r="Y68" s="287">
        <f ca="1">science_cap*(1-EXP(-TblImps[[#This Row],[Σ Science]]/(science_param*(OFFSET(TblImps[[#This Row],[Land]],1,0)-OFFSET(TblExplore[[#This Row],[Land Bonus]],1,0)*20)+15000)))*(1+(mason_bonus*TblConstr[[#This Row],[Tot Mas]]/TblConstr[[#This Row],[Land (2)]]))</f>
        <v>0</v>
      </c>
      <c r="Z68" s="287">
        <f ca="1">keep_cap*(1-EXP(-TblImps[[#This Row],[Σ Keep]]/(keep_param*(OFFSET(TblImps[[#This Row],[Land]],1,0)-OFFSET(TblExplore[[#This Row],[Land Bonus]],1,0)*20)+15000)))*(1+(mason_bonus*TblConstr[[#This Row],[Tot Mas]]/TblConstr[[#This Row],[Land (2)]]))</f>
        <v>0</v>
      </c>
      <c r="AA68" s="287">
        <f ca="1">harbor_towers_cap*(1-EXP(-TblImps[[#This Row],[Σ Spires]]/(towers_param*(OFFSET(TblImps[[#This Row],[Land]],1,0)-OFFSET(TblExplore[[#This Row],[Land Bonus]],1,0)*20)+15000)))*(1+(mason_bonus*TblConstr[[#This Row],[Tot Mas]]/TblConstr[[#This Row],[Land (2)]]))</f>
        <v>0</v>
      </c>
      <c r="AB68" s="287">
        <f ca="1">walls_forges_cap*(1-EXP(-TblImps[[#This Row],[Σ Forges]]/(walls_forges_param*(OFFSET(TblImps[[#This Row],[Land]],1,0)-OFFSET(TblExplore[[#This Row],[Land Bonus]],1,0)*20)+15000)))*(1+(mason_bonus*TblConstr[[#This Row],[Tot Mas]]/TblConstr[[#This Row],[Land (2)]]))</f>
        <v>0</v>
      </c>
      <c r="AC68" s="287">
        <f ca="1">walls_forges_cap*(1-EXP(-TblImps[[#This Row],[Σ Walls]]/(walls_forges_param*(OFFSET(TblImps[[#This Row],[Land]],1,0)-OFFSET(TblExplore[[#This Row],[Land Bonus]],1,0)*20)+15000)))*(1+(mason_bonus*TblConstr[[#This Row],[Tot Mas]]/TblConstr[[#This Row],[Land (2)]]))</f>
        <v>0</v>
      </c>
      <c r="AD68" s="287">
        <f ca="1">harbor_towers_cap*(1-EXP(-TblImps[[#This Row],[Σ Harbor]]/(harbor_towers_param*(OFFSET(TblImps[[#This Row],[Land]],1,0)-OFFSET(TblExplore[[#This Row],[Land Bonus]],1,0)*20)+15000)))*(1+(mason_bonus*TblConstr[[#This Row],[Tot Mas]]/TblConstr[[#This Row],[Land (2)]]))</f>
        <v>0</v>
      </c>
      <c r="AE68" s="142"/>
      <c r="AF68" s="61">
        <f ca="1">(1+Overview!$I$29)*SUM(TblImps[[#This Row],[P2]:[G2]])+OFFSET(TblImps[[#This Row],[Σ Science]],-1,0)</f>
        <v>0</v>
      </c>
      <c r="AG68" s="61">
        <f ca="1">(1+Overview!$I$29)*SUM(TblImps[[#This Row],[P3]:[G3]])+OFFSET(TblImps[[#This Row],[Σ Keep]],-1,0)</f>
        <v>0</v>
      </c>
      <c r="AH68" s="61">
        <f ca="1">(1+Overview!$I$29 + tech_7_1*TblTech[[#This Row],[7-1]])*SUM(TblImps[[#This Row],[P4]:[G4]])+OFFSET(TblImps[[#This Row],[Σ Spires]],-1,0)</f>
        <v>0</v>
      </c>
      <c r="AI68" s="61">
        <f ca="1">(1+Overview!$I$29)*SUM(TblImps[[#This Row],[P5]:[FW5]])+OFFSET(TblImps[[#This Row],[Σ Forges]],-1,0)</f>
        <v>0</v>
      </c>
      <c r="AJ68" s="61">
        <f ca="1">(1+Overview!$I$29)*SUM(TblImps[[#This Row],[P6]:[G6]])+OFFSET(TblImps[[#This Row],[Σ Walls]],-1,0)</f>
        <v>0</v>
      </c>
      <c r="AK68" s="61">
        <f ca="1">(1+Overview!$I$29 + tech_7_1*TblTech[[#This Row],[7-1]])*SUM(TblImps[[#This Row],[P7]:[G7]])+OFFSET(TblImps[[#This Row],[Σ Harbor]],-1,0)</f>
        <v>0</v>
      </c>
      <c r="AL68" s="142"/>
      <c r="AM68" s="57">
        <f>IF(AND(TblImps[[#This Row],[Resource]]=AM$2,TblImps[[#This Row],[Part]]&lt;&gt;""),TblImps[[#This Row],[Amount]]) + IF(AND(TblImps[[#This Row],[Resource 2]]=AM$2,TblImps[[#This Row],[Part 2]]&lt;&gt;""),TblImps[[#This Row],[Amount 2]]) + IF(AND(TblImps[[#This Row],[Resource 3]]=AM$2,TblImps[[#This Row],[Part 3]]&lt;&gt;""),TblImps[[#This Row],[Amount 3]])</f>
        <v>0</v>
      </c>
      <c r="AN68" s="57">
        <f>IF(AND(TblImps[[#This Row],[Resource]]=AN$2,TblImps[[#This Row],[Part]]&lt;&gt;""),TblImps[[#This Row],[Amount]]) + IF(AND(TblImps[[#This Row],[Resource 2]]=AN$2,TblImps[[#This Row],[Part 2]]&lt;&gt;""),TblImps[[#This Row],[Amount 2]]) + IF(AND(TblImps[[#This Row],[Resource 3]]=AN$2,TblImps[[#This Row],[Part 3]]&lt;&gt;""),TblImps[[#This Row],[Amount 3]])</f>
        <v>0</v>
      </c>
      <c r="AO68" s="57">
        <f>IF(AND(TblImps[[#This Row],[Resource]]=AO$2,TblImps[[#This Row],[Part]]&lt;&gt;""),TblImps[[#This Row],[Amount]]) + IF(AND(TblImps[[#This Row],[Resource 2]]=AO$2,TblImps[[#This Row],[Part 2]]&lt;&gt;""),TblImps[[#This Row],[Amount 2]]) + IF(AND(TblImps[[#This Row],[Resource 3]]=AO$2,TblImps[[#This Row],[Part 3]]&lt;&gt;""),TblImps[[#This Row],[Amount 3]])</f>
        <v>0</v>
      </c>
      <c r="AP68" s="57">
        <f>IF(AND(TblImps[[#This Row],[Resource]]=AP$2,TblImps[[#This Row],[Part]]&lt;&gt;""),TblImps[[#This Row],[Amount]]) + IF(AND(TblImps[[#This Row],[Resource 2]]=AP$2,TblImps[[#This Row],[Part 2]]&lt;&gt;""),TblImps[[#This Row],[Amount 2]]) + IF(AND(TblImps[[#This Row],[Resource 3]]=AP$2,TblImps[[#This Row],[Part 3]]&lt;&gt;""),TblImps[[#This Row],[Amount 3]])</f>
        <v>0</v>
      </c>
      <c r="AQ68" s="142"/>
      <c r="AR6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142"/>
      <c r="AW6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142"/>
      <c r="BB6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142"/>
      <c r="BG6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57">
        <f ca="1">IF(OFFSET(TblMagic[[#This Row],[Active Alchemists Flame]],-1,0)&gt;0,TblConstr[[#This Row],[Tot Alc]]*alchemist_flame_invest,0)</f>
        <v>0</v>
      </c>
      <c r="BL68" s="142"/>
      <c r="BM6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8" s="142"/>
      <c r="BR6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8" s="142"/>
      <c r="BW6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8" s="61">
        <f>TblImps[[#This Row],[Login]]</f>
        <v>0</v>
      </c>
      <c r="BY68" s="137"/>
      <c r="BZ68" s="293">
        <f ca="1">OFFSET(TblImps[[#This Row],[Real time]],-1,0)+1/24</f>
        <v>46322.666666666511</v>
      </c>
      <c r="CA68" s="294">
        <f ca="1">OFFSET(TblImps[[#This Row],[Servertime]],-1,0)+1/24</f>
        <v>46322.666666666511</v>
      </c>
      <c r="CB68" s="57"/>
      <c r="CC68" s="292"/>
      <c r="CD68" s="292"/>
    </row>
    <row r="69" spans="1:85" x14ac:dyDescent="0.2">
      <c r="A69" s="214">
        <f ca="1">TblConstr[[#This Row],[Land]]</f>
        <v>50</v>
      </c>
      <c r="B69" s="142"/>
      <c r="C69" s="94">
        <f ca="1">TblProd[[#This Row],[Platinum]]</f>
        <v>180844</v>
      </c>
      <c r="D69" s="94">
        <f ca="1">TblProd[[#This Row],[Lumber]]</f>
        <v>55769</v>
      </c>
      <c r="E69" s="94">
        <f ca="1">TblProd[[#This Row],[Ore]]</f>
        <v>0</v>
      </c>
      <c r="F69" s="94">
        <f ca="1">TblProd[[#This Row],[Gems]]</f>
        <v>0</v>
      </c>
      <c r="G69" s="154"/>
      <c r="H69" s="94">
        <f ca="1">TblMili[[#This Row],[Draftees]]</f>
        <v>526</v>
      </c>
      <c r="I69" s="180">
        <f ca="1">TblPop[[#This Row],[Employment]]</f>
        <v>1</v>
      </c>
      <c r="J69" s="180">
        <f ca="1">TblPop[[#This Row],[Total]]/TblPop[[#This Row],[Net max]]</f>
        <v>1</v>
      </c>
      <c r="K69" s="283">
        <f>TblRezone[[#This Row],[Hour]]</f>
        <v>66</v>
      </c>
      <c r="L69" s="284">
        <f ca="1">TblImps[[#This Row],[Real time]]</f>
        <v>46322.708333333176</v>
      </c>
      <c r="M69" s="61">
        <f>IF(ISERROR(TblImps[[#This Row],[algorithm]]),0,TblImps[[#This Row],[algorithm]]*1)</f>
        <v>0</v>
      </c>
      <c r="N69" s="94">
        <f ca="1">TblImps[[#This Row],[Land]]</f>
        <v>50</v>
      </c>
      <c r="O69" s="285" t="s">
        <v>4</v>
      </c>
      <c r="P69" s="286"/>
      <c r="Q69" s="285" t="s">
        <v>210</v>
      </c>
      <c r="R69" s="285" t="s">
        <v>7</v>
      </c>
      <c r="S69" s="286"/>
      <c r="T69" s="285" t="s">
        <v>210</v>
      </c>
      <c r="U69" s="285" t="s">
        <v>3</v>
      </c>
      <c r="V69" s="286"/>
      <c r="W69" s="285" t="s">
        <v>210</v>
      </c>
      <c r="X69" s="142"/>
      <c r="Y69" s="287">
        <f ca="1">science_cap*(1-EXP(-TblImps[[#This Row],[Σ Science]]/(science_param*(OFFSET(TblImps[[#This Row],[Land]],1,0)-OFFSET(TblExplore[[#This Row],[Land Bonus]],1,0)*20)+15000)))*(1+(mason_bonus*TblConstr[[#This Row],[Tot Mas]]/TblConstr[[#This Row],[Land (2)]]))</f>
        <v>0</v>
      </c>
      <c r="Z69" s="287">
        <f ca="1">keep_cap*(1-EXP(-TblImps[[#This Row],[Σ Keep]]/(keep_param*(OFFSET(TblImps[[#This Row],[Land]],1,0)-OFFSET(TblExplore[[#This Row],[Land Bonus]],1,0)*20)+15000)))*(1+(mason_bonus*TblConstr[[#This Row],[Tot Mas]]/TblConstr[[#This Row],[Land (2)]]))</f>
        <v>0</v>
      </c>
      <c r="AA69" s="287">
        <f ca="1">harbor_towers_cap*(1-EXP(-TblImps[[#This Row],[Σ Spires]]/(towers_param*(OFFSET(TblImps[[#This Row],[Land]],1,0)-OFFSET(TblExplore[[#This Row],[Land Bonus]],1,0)*20)+15000)))*(1+(mason_bonus*TblConstr[[#This Row],[Tot Mas]]/TblConstr[[#This Row],[Land (2)]]))</f>
        <v>0</v>
      </c>
      <c r="AB69" s="287">
        <f ca="1">walls_forges_cap*(1-EXP(-TblImps[[#This Row],[Σ Forges]]/(walls_forges_param*(OFFSET(TblImps[[#This Row],[Land]],1,0)-OFFSET(TblExplore[[#This Row],[Land Bonus]],1,0)*20)+15000)))*(1+(mason_bonus*TblConstr[[#This Row],[Tot Mas]]/TblConstr[[#This Row],[Land (2)]]))</f>
        <v>0</v>
      </c>
      <c r="AC69" s="287">
        <f ca="1">walls_forges_cap*(1-EXP(-TblImps[[#This Row],[Σ Walls]]/(walls_forges_param*(OFFSET(TblImps[[#This Row],[Land]],1,0)-OFFSET(TblExplore[[#This Row],[Land Bonus]],1,0)*20)+15000)))*(1+(mason_bonus*TblConstr[[#This Row],[Tot Mas]]/TblConstr[[#This Row],[Land (2)]]))</f>
        <v>0</v>
      </c>
      <c r="AD69" s="287">
        <f ca="1">harbor_towers_cap*(1-EXP(-TblImps[[#This Row],[Σ Harbor]]/(harbor_towers_param*(OFFSET(TblImps[[#This Row],[Land]],1,0)-OFFSET(TblExplore[[#This Row],[Land Bonus]],1,0)*20)+15000)))*(1+(mason_bonus*TblConstr[[#This Row],[Tot Mas]]/TblConstr[[#This Row],[Land (2)]]))</f>
        <v>0</v>
      </c>
      <c r="AE69" s="142"/>
      <c r="AF69" s="61">
        <f ca="1">(1+Overview!$I$29)*SUM(TblImps[[#This Row],[P2]:[G2]])+OFFSET(TblImps[[#This Row],[Σ Science]],-1,0)</f>
        <v>0</v>
      </c>
      <c r="AG69" s="61">
        <f ca="1">(1+Overview!$I$29)*SUM(TblImps[[#This Row],[P3]:[G3]])+OFFSET(TblImps[[#This Row],[Σ Keep]],-1,0)</f>
        <v>0</v>
      </c>
      <c r="AH69" s="61">
        <f ca="1">(1+Overview!$I$29 + tech_7_1*TblTech[[#This Row],[7-1]])*SUM(TblImps[[#This Row],[P4]:[G4]])+OFFSET(TblImps[[#This Row],[Σ Spires]],-1,0)</f>
        <v>0</v>
      </c>
      <c r="AI69" s="61">
        <f ca="1">(1+Overview!$I$29)*SUM(TblImps[[#This Row],[P5]:[FW5]])+OFFSET(TblImps[[#This Row],[Σ Forges]],-1,0)</f>
        <v>0</v>
      </c>
      <c r="AJ69" s="61">
        <f ca="1">(1+Overview!$I$29)*SUM(TblImps[[#This Row],[P6]:[G6]])+OFFSET(TblImps[[#This Row],[Σ Walls]],-1,0)</f>
        <v>0</v>
      </c>
      <c r="AK69" s="61">
        <f ca="1">(1+Overview!$I$29 + tech_7_1*TblTech[[#This Row],[7-1]])*SUM(TblImps[[#This Row],[P7]:[G7]])+OFFSET(TblImps[[#This Row],[Σ Harbor]],-1,0)</f>
        <v>0</v>
      </c>
      <c r="AL69" s="142"/>
      <c r="AM69" s="57">
        <f>IF(AND(TblImps[[#This Row],[Resource]]=AM$2,TblImps[[#This Row],[Part]]&lt;&gt;""),TblImps[[#This Row],[Amount]]) + IF(AND(TblImps[[#This Row],[Resource 2]]=AM$2,TblImps[[#This Row],[Part 2]]&lt;&gt;""),TblImps[[#This Row],[Amount 2]]) + IF(AND(TblImps[[#This Row],[Resource 3]]=AM$2,TblImps[[#This Row],[Part 3]]&lt;&gt;""),TblImps[[#This Row],[Amount 3]])</f>
        <v>0</v>
      </c>
      <c r="AN69" s="57">
        <f>IF(AND(TblImps[[#This Row],[Resource]]=AN$2,TblImps[[#This Row],[Part]]&lt;&gt;""),TblImps[[#This Row],[Amount]]) + IF(AND(TblImps[[#This Row],[Resource 2]]=AN$2,TblImps[[#This Row],[Part 2]]&lt;&gt;""),TblImps[[#This Row],[Amount 2]]) + IF(AND(TblImps[[#This Row],[Resource 3]]=AN$2,TblImps[[#This Row],[Part 3]]&lt;&gt;""),TblImps[[#This Row],[Amount 3]])</f>
        <v>0</v>
      </c>
      <c r="AO69" s="57">
        <f>IF(AND(TblImps[[#This Row],[Resource]]=AO$2,TblImps[[#This Row],[Part]]&lt;&gt;""),TblImps[[#This Row],[Amount]]) + IF(AND(TblImps[[#This Row],[Resource 2]]=AO$2,TblImps[[#This Row],[Part 2]]&lt;&gt;""),TblImps[[#This Row],[Amount 2]]) + IF(AND(TblImps[[#This Row],[Resource 3]]=AO$2,TblImps[[#This Row],[Part 3]]&lt;&gt;""),TblImps[[#This Row],[Amount 3]])</f>
        <v>0</v>
      </c>
      <c r="AP69" s="57">
        <f>IF(AND(TblImps[[#This Row],[Resource]]=AP$2,TblImps[[#This Row],[Part]]&lt;&gt;""),TblImps[[#This Row],[Amount]]) + IF(AND(TblImps[[#This Row],[Resource 2]]=AP$2,TblImps[[#This Row],[Part 2]]&lt;&gt;""),TblImps[[#This Row],[Amount 2]]) + IF(AND(TblImps[[#This Row],[Resource 3]]=AP$2,TblImps[[#This Row],[Part 3]]&lt;&gt;""),TblImps[[#This Row],[Amount 3]])</f>
        <v>0</v>
      </c>
      <c r="AQ69" s="142"/>
      <c r="AR6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142"/>
      <c r="AW6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142"/>
      <c r="BB6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142"/>
      <c r="BG6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57">
        <f ca="1">IF(OFFSET(TblMagic[[#This Row],[Active Alchemists Flame]],-1,0)&gt;0,TblConstr[[#This Row],[Tot Alc]]*alchemist_flame_invest,0)</f>
        <v>0</v>
      </c>
      <c r="BL69" s="142"/>
      <c r="BM6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9" s="142"/>
      <c r="BR6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9" s="142"/>
      <c r="BW6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9" s="61">
        <f>TblImps[[#This Row],[Login]]</f>
        <v>0</v>
      </c>
      <c r="BY69" s="137"/>
      <c r="BZ69" s="293">
        <f ca="1">OFFSET(TblImps[[#This Row],[Real time]],-1,0)+1/24</f>
        <v>46322.708333333176</v>
      </c>
      <c r="CA69" s="294">
        <f ca="1">OFFSET(TblImps[[#This Row],[Servertime]],-1,0)+1/24</f>
        <v>46322.708333333176</v>
      </c>
      <c r="CB69" s="57"/>
      <c r="CC69" s="292"/>
      <c r="CD69" s="292"/>
    </row>
    <row r="70" spans="1:85" x14ac:dyDescent="0.2">
      <c r="A70" s="214">
        <f ca="1">TblConstr[[#This Row],[Land]]</f>
        <v>50</v>
      </c>
      <c r="B70" s="142"/>
      <c r="C70" s="94">
        <f ca="1">TblProd[[#This Row],[Platinum]]</f>
        <v>181500</v>
      </c>
      <c r="D70" s="94">
        <f ca="1">TblProd[[#This Row],[Lumber]]</f>
        <v>56211</v>
      </c>
      <c r="E70" s="94">
        <f ca="1">TblProd[[#This Row],[Ore]]</f>
        <v>0</v>
      </c>
      <c r="F70" s="94">
        <f ca="1">TblProd[[#This Row],[Gems]]</f>
        <v>0</v>
      </c>
      <c r="G70" s="154"/>
      <c r="H70" s="94">
        <f ca="1">TblMili[[#This Row],[Draftees]]</f>
        <v>528</v>
      </c>
      <c r="I70" s="180">
        <f ca="1">TblPop[[#This Row],[Employment]]</f>
        <v>1</v>
      </c>
      <c r="J70" s="180">
        <f ca="1">TblPop[[#This Row],[Total]]/TblPop[[#This Row],[Net max]]</f>
        <v>1</v>
      </c>
      <c r="K70" s="283">
        <f>TblRezone[[#This Row],[Hour]]</f>
        <v>67</v>
      </c>
      <c r="L70" s="284">
        <f ca="1">TblImps[[#This Row],[Real time]]</f>
        <v>46322.74999999984</v>
      </c>
      <c r="M70" s="61">
        <f>IF(ISERROR(TblImps[[#This Row],[algorithm]]),0,TblImps[[#This Row],[algorithm]]*1)</f>
        <v>0</v>
      </c>
      <c r="N70" s="94">
        <f ca="1">TblImps[[#This Row],[Land]]</f>
        <v>50</v>
      </c>
      <c r="O70" s="285" t="s">
        <v>4</v>
      </c>
      <c r="P70" s="286"/>
      <c r="Q70" s="285" t="s">
        <v>210</v>
      </c>
      <c r="R70" s="285" t="s">
        <v>7</v>
      </c>
      <c r="S70" s="286"/>
      <c r="T70" s="285" t="s">
        <v>210</v>
      </c>
      <c r="U70" s="285" t="s">
        <v>3</v>
      </c>
      <c r="V70" s="286"/>
      <c r="W70" s="285" t="s">
        <v>210</v>
      </c>
      <c r="X70" s="142"/>
      <c r="Y70" s="287">
        <f ca="1">science_cap*(1-EXP(-TblImps[[#This Row],[Σ Science]]/(science_param*(OFFSET(TblImps[[#This Row],[Land]],1,0)-OFFSET(TblExplore[[#This Row],[Land Bonus]],1,0)*20)+15000)))*(1+(mason_bonus*TblConstr[[#This Row],[Tot Mas]]/TblConstr[[#This Row],[Land (2)]]))</f>
        <v>0</v>
      </c>
      <c r="Z70" s="287">
        <f ca="1">keep_cap*(1-EXP(-TblImps[[#This Row],[Σ Keep]]/(keep_param*(OFFSET(TblImps[[#This Row],[Land]],1,0)-OFFSET(TblExplore[[#This Row],[Land Bonus]],1,0)*20)+15000)))*(1+(mason_bonus*TblConstr[[#This Row],[Tot Mas]]/TblConstr[[#This Row],[Land (2)]]))</f>
        <v>0</v>
      </c>
      <c r="AA70" s="287">
        <f ca="1">harbor_towers_cap*(1-EXP(-TblImps[[#This Row],[Σ Spires]]/(towers_param*(OFFSET(TblImps[[#This Row],[Land]],1,0)-OFFSET(TblExplore[[#This Row],[Land Bonus]],1,0)*20)+15000)))*(1+(mason_bonus*TblConstr[[#This Row],[Tot Mas]]/TblConstr[[#This Row],[Land (2)]]))</f>
        <v>0</v>
      </c>
      <c r="AB70" s="287">
        <f ca="1">walls_forges_cap*(1-EXP(-TblImps[[#This Row],[Σ Forges]]/(walls_forges_param*(OFFSET(TblImps[[#This Row],[Land]],1,0)-OFFSET(TblExplore[[#This Row],[Land Bonus]],1,0)*20)+15000)))*(1+(mason_bonus*TblConstr[[#This Row],[Tot Mas]]/TblConstr[[#This Row],[Land (2)]]))</f>
        <v>0</v>
      </c>
      <c r="AC70" s="287">
        <f ca="1">walls_forges_cap*(1-EXP(-TblImps[[#This Row],[Σ Walls]]/(walls_forges_param*(OFFSET(TblImps[[#This Row],[Land]],1,0)-OFFSET(TblExplore[[#This Row],[Land Bonus]],1,0)*20)+15000)))*(1+(mason_bonus*TblConstr[[#This Row],[Tot Mas]]/TblConstr[[#This Row],[Land (2)]]))</f>
        <v>0</v>
      </c>
      <c r="AD70" s="287">
        <f ca="1">harbor_towers_cap*(1-EXP(-TblImps[[#This Row],[Σ Harbor]]/(harbor_towers_param*(OFFSET(TblImps[[#This Row],[Land]],1,0)-OFFSET(TblExplore[[#This Row],[Land Bonus]],1,0)*20)+15000)))*(1+(mason_bonus*TblConstr[[#This Row],[Tot Mas]]/TblConstr[[#This Row],[Land (2)]]))</f>
        <v>0</v>
      </c>
      <c r="AE70" s="142"/>
      <c r="AF70" s="61">
        <f ca="1">(1+Overview!$I$29)*SUM(TblImps[[#This Row],[P2]:[G2]])+OFFSET(TblImps[[#This Row],[Σ Science]],-1,0)</f>
        <v>0</v>
      </c>
      <c r="AG70" s="61">
        <f ca="1">(1+Overview!$I$29)*SUM(TblImps[[#This Row],[P3]:[G3]])+OFFSET(TblImps[[#This Row],[Σ Keep]],-1,0)</f>
        <v>0</v>
      </c>
      <c r="AH70" s="61">
        <f ca="1">(1+Overview!$I$29 + tech_7_1*TblTech[[#This Row],[7-1]])*SUM(TblImps[[#This Row],[P4]:[G4]])+OFFSET(TblImps[[#This Row],[Σ Spires]],-1,0)</f>
        <v>0</v>
      </c>
      <c r="AI70" s="61">
        <f ca="1">(1+Overview!$I$29)*SUM(TblImps[[#This Row],[P5]:[FW5]])+OFFSET(TblImps[[#This Row],[Σ Forges]],-1,0)</f>
        <v>0</v>
      </c>
      <c r="AJ70" s="61">
        <f ca="1">(1+Overview!$I$29)*SUM(TblImps[[#This Row],[P6]:[G6]])+OFFSET(TblImps[[#This Row],[Σ Walls]],-1,0)</f>
        <v>0</v>
      </c>
      <c r="AK70" s="61">
        <f ca="1">(1+Overview!$I$29 + tech_7_1*TblTech[[#This Row],[7-1]])*SUM(TblImps[[#This Row],[P7]:[G7]])+OFFSET(TblImps[[#This Row],[Σ Harbor]],-1,0)</f>
        <v>0</v>
      </c>
      <c r="AL70" s="142"/>
      <c r="AM70" s="57">
        <f>IF(AND(TblImps[[#This Row],[Resource]]=AM$2,TblImps[[#This Row],[Part]]&lt;&gt;""),TblImps[[#This Row],[Amount]]) + IF(AND(TblImps[[#This Row],[Resource 2]]=AM$2,TblImps[[#This Row],[Part 2]]&lt;&gt;""),TblImps[[#This Row],[Amount 2]]) + IF(AND(TblImps[[#This Row],[Resource 3]]=AM$2,TblImps[[#This Row],[Part 3]]&lt;&gt;""),TblImps[[#This Row],[Amount 3]])</f>
        <v>0</v>
      </c>
      <c r="AN70" s="57">
        <f>IF(AND(TblImps[[#This Row],[Resource]]=AN$2,TblImps[[#This Row],[Part]]&lt;&gt;""),TblImps[[#This Row],[Amount]]) + IF(AND(TblImps[[#This Row],[Resource 2]]=AN$2,TblImps[[#This Row],[Part 2]]&lt;&gt;""),TblImps[[#This Row],[Amount 2]]) + IF(AND(TblImps[[#This Row],[Resource 3]]=AN$2,TblImps[[#This Row],[Part 3]]&lt;&gt;""),TblImps[[#This Row],[Amount 3]])</f>
        <v>0</v>
      </c>
      <c r="AO70" s="57">
        <f>IF(AND(TblImps[[#This Row],[Resource]]=AO$2,TblImps[[#This Row],[Part]]&lt;&gt;""),TblImps[[#This Row],[Amount]]) + IF(AND(TblImps[[#This Row],[Resource 2]]=AO$2,TblImps[[#This Row],[Part 2]]&lt;&gt;""),TblImps[[#This Row],[Amount 2]]) + IF(AND(TblImps[[#This Row],[Resource 3]]=AO$2,TblImps[[#This Row],[Part 3]]&lt;&gt;""),TblImps[[#This Row],[Amount 3]])</f>
        <v>0</v>
      </c>
      <c r="AP70" s="57">
        <f>IF(AND(TblImps[[#This Row],[Resource]]=AP$2,TblImps[[#This Row],[Part]]&lt;&gt;""),TblImps[[#This Row],[Amount]]) + IF(AND(TblImps[[#This Row],[Resource 2]]=AP$2,TblImps[[#This Row],[Part 2]]&lt;&gt;""),TblImps[[#This Row],[Amount 2]]) + IF(AND(TblImps[[#This Row],[Resource 3]]=AP$2,TblImps[[#This Row],[Part 3]]&lt;&gt;""),TblImps[[#This Row],[Amount 3]])</f>
        <v>0</v>
      </c>
      <c r="AQ70" s="142"/>
      <c r="AR7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142"/>
      <c r="AW7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142"/>
      <c r="BB7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142"/>
      <c r="BG7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57">
        <f ca="1">IF(OFFSET(TblMagic[[#This Row],[Active Alchemists Flame]],-1,0)&gt;0,TblConstr[[#This Row],[Tot Alc]]*alchemist_flame_invest,0)</f>
        <v>0</v>
      </c>
      <c r="BL70" s="142"/>
      <c r="BM7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0" s="142"/>
      <c r="BR7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0" s="142"/>
      <c r="BW7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0" s="61">
        <f>TblImps[[#This Row],[Login]]</f>
        <v>0</v>
      </c>
      <c r="BY70" s="137"/>
      <c r="BZ70" s="293">
        <f ca="1">OFFSET(TblImps[[#This Row],[Real time]],-1,0)+1/24</f>
        <v>46322.74999999984</v>
      </c>
      <c r="CA70" s="294">
        <f ca="1">OFFSET(TblImps[[#This Row],[Servertime]],-1,0)+1/24</f>
        <v>46322.74999999984</v>
      </c>
      <c r="CB70" s="57"/>
      <c r="CC70" s="292"/>
      <c r="CD70" s="292"/>
    </row>
    <row r="71" spans="1:85" x14ac:dyDescent="0.2">
      <c r="A71" s="214">
        <f ca="1">TblConstr[[#This Row],[Land]]</f>
        <v>50</v>
      </c>
      <c r="B71" s="142"/>
      <c r="C71" s="94">
        <f ca="1">TblProd[[#This Row],[Platinum]]</f>
        <v>182150</v>
      </c>
      <c r="D71" s="94">
        <f ca="1">TblProd[[#This Row],[Lumber]]</f>
        <v>56649</v>
      </c>
      <c r="E71" s="94">
        <f ca="1">TblProd[[#This Row],[Ore]]</f>
        <v>0</v>
      </c>
      <c r="F71" s="94">
        <f ca="1">TblProd[[#This Row],[Gems]]</f>
        <v>0</v>
      </c>
      <c r="G71" s="154"/>
      <c r="H71" s="94">
        <f ca="1">TblMili[[#This Row],[Draftees]]</f>
        <v>530</v>
      </c>
      <c r="I71" s="180">
        <f ca="1">TblPop[[#This Row],[Employment]]</f>
        <v>1</v>
      </c>
      <c r="J71" s="180">
        <f ca="1">TblPop[[#This Row],[Total]]/TblPop[[#This Row],[Net max]]</f>
        <v>1</v>
      </c>
      <c r="K71" s="283">
        <f>TblRezone[[#This Row],[Hour]]</f>
        <v>68</v>
      </c>
      <c r="L71" s="284">
        <f ca="1">TblImps[[#This Row],[Real time]]</f>
        <v>46322.791666666504</v>
      </c>
      <c r="M71" s="61">
        <f>IF(ISERROR(TblImps[[#This Row],[algorithm]]),0,TblImps[[#This Row],[algorithm]]*1)</f>
        <v>0</v>
      </c>
      <c r="N71" s="94">
        <f ca="1">TblImps[[#This Row],[Land]]</f>
        <v>50</v>
      </c>
      <c r="O71" s="285" t="s">
        <v>4</v>
      </c>
      <c r="P71" s="286"/>
      <c r="Q71" s="285" t="s">
        <v>210</v>
      </c>
      <c r="R71" s="285" t="s">
        <v>7</v>
      </c>
      <c r="S71" s="286"/>
      <c r="T71" s="285" t="s">
        <v>210</v>
      </c>
      <c r="U71" s="285" t="s">
        <v>3</v>
      </c>
      <c r="V71" s="286"/>
      <c r="W71" s="285" t="s">
        <v>210</v>
      </c>
      <c r="X71" s="142"/>
      <c r="Y71" s="287">
        <f ca="1">science_cap*(1-EXP(-TblImps[[#This Row],[Σ Science]]/(science_param*(OFFSET(TblImps[[#This Row],[Land]],1,0)-OFFSET(TblExplore[[#This Row],[Land Bonus]],1,0)*20)+15000)))*(1+(mason_bonus*TblConstr[[#This Row],[Tot Mas]]/TblConstr[[#This Row],[Land (2)]]))</f>
        <v>0</v>
      </c>
      <c r="Z71" s="287">
        <f ca="1">keep_cap*(1-EXP(-TblImps[[#This Row],[Σ Keep]]/(keep_param*(OFFSET(TblImps[[#This Row],[Land]],1,0)-OFFSET(TblExplore[[#This Row],[Land Bonus]],1,0)*20)+15000)))*(1+(mason_bonus*TblConstr[[#This Row],[Tot Mas]]/TblConstr[[#This Row],[Land (2)]]))</f>
        <v>0</v>
      </c>
      <c r="AA71" s="287">
        <f ca="1">harbor_towers_cap*(1-EXP(-TblImps[[#This Row],[Σ Spires]]/(towers_param*(OFFSET(TblImps[[#This Row],[Land]],1,0)-OFFSET(TblExplore[[#This Row],[Land Bonus]],1,0)*20)+15000)))*(1+(mason_bonus*TblConstr[[#This Row],[Tot Mas]]/TblConstr[[#This Row],[Land (2)]]))</f>
        <v>0</v>
      </c>
      <c r="AB71" s="287">
        <f ca="1">walls_forges_cap*(1-EXP(-TblImps[[#This Row],[Σ Forges]]/(walls_forges_param*(OFFSET(TblImps[[#This Row],[Land]],1,0)-OFFSET(TblExplore[[#This Row],[Land Bonus]],1,0)*20)+15000)))*(1+(mason_bonus*TblConstr[[#This Row],[Tot Mas]]/TblConstr[[#This Row],[Land (2)]]))</f>
        <v>0</v>
      </c>
      <c r="AC71" s="287">
        <f ca="1">walls_forges_cap*(1-EXP(-TblImps[[#This Row],[Σ Walls]]/(walls_forges_param*(OFFSET(TblImps[[#This Row],[Land]],1,0)-OFFSET(TblExplore[[#This Row],[Land Bonus]],1,0)*20)+15000)))*(1+(mason_bonus*TblConstr[[#This Row],[Tot Mas]]/TblConstr[[#This Row],[Land (2)]]))</f>
        <v>0</v>
      </c>
      <c r="AD71" s="287">
        <f ca="1">harbor_towers_cap*(1-EXP(-TblImps[[#This Row],[Σ Harbor]]/(harbor_towers_param*(OFFSET(TblImps[[#This Row],[Land]],1,0)-OFFSET(TblExplore[[#This Row],[Land Bonus]],1,0)*20)+15000)))*(1+(mason_bonus*TblConstr[[#This Row],[Tot Mas]]/TblConstr[[#This Row],[Land (2)]]))</f>
        <v>0</v>
      </c>
      <c r="AE71" s="142"/>
      <c r="AF71" s="61">
        <f ca="1">(1+Overview!$I$29)*SUM(TblImps[[#This Row],[P2]:[G2]])+OFFSET(TblImps[[#This Row],[Σ Science]],-1,0)</f>
        <v>0</v>
      </c>
      <c r="AG71" s="61">
        <f ca="1">(1+Overview!$I$29)*SUM(TblImps[[#This Row],[P3]:[G3]])+OFFSET(TblImps[[#This Row],[Σ Keep]],-1,0)</f>
        <v>0</v>
      </c>
      <c r="AH71" s="61">
        <f ca="1">(1+Overview!$I$29 + tech_7_1*TblTech[[#This Row],[7-1]])*SUM(TblImps[[#This Row],[P4]:[G4]])+OFFSET(TblImps[[#This Row],[Σ Spires]],-1,0)</f>
        <v>0</v>
      </c>
      <c r="AI71" s="61">
        <f ca="1">(1+Overview!$I$29)*SUM(TblImps[[#This Row],[P5]:[FW5]])+OFFSET(TblImps[[#This Row],[Σ Forges]],-1,0)</f>
        <v>0</v>
      </c>
      <c r="AJ71" s="61">
        <f ca="1">(1+Overview!$I$29)*SUM(TblImps[[#This Row],[P6]:[G6]])+OFFSET(TblImps[[#This Row],[Σ Walls]],-1,0)</f>
        <v>0</v>
      </c>
      <c r="AK71" s="61">
        <f ca="1">(1+Overview!$I$29 + tech_7_1*TblTech[[#This Row],[7-1]])*SUM(TblImps[[#This Row],[P7]:[G7]])+OFFSET(TblImps[[#This Row],[Σ Harbor]],-1,0)</f>
        <v>0</v>
      </c>
      <c r="AL71" s="142"/>
      <c r="AM71" s="57">
        <f>IF(AND(TblImps[[#This Row],[Resource]]=AM$2,TblImps[[#This Row],[Part]]&lt;&gt;""),TblImps[[#This Row],[Amount]]) + IF(AND(TblImps[[#This Row],[Resource 2]]=AM$2,TblImps[[#This Row],[Part 2]]&lt;&gt;""),TblImps[[#This Row],[Amount 2]]) + IF(AND(TblImps[[#This Row],[Resource 3]]=AM$2,TblImps[[#This Row],[Part 3]]&lt;&gt;""),TblImps[[#This Row],[Amount 3]])</f>
        <v>0</v>
      </c>
      <c r="AN71" s="57">
        <f>IF(AND(TblImps[[#This Row],[Resource]]=AN$2,TblImps[[#This Row],[Part]]&lt;&gt;""),TblImps[[#This Row],[Amount]]) + IF(AND(TblImps[[#This Row],[Resource 2]]=AN$2,TblImps[[#This Row],[Part 2]]&lt;&gt;""),TblImps[[#This Row],[Amount 2]]) + IF(AND(TblImps[[#This Row],[Resource 3]]=AN$2,TblImps[[#This Row],[Part 3]]&lt;&gt;""),TblImps[[#This Row],[Amount 3]])</f>
        <v>0</v>
      </c>
      <c r="AO71" s="57">
        <f>IF(AND(TblImps[[#This Row],[Resource]]=AO$2,TblImps[[#This Row],[Part]]&lt;&gt;""),TblImps[[#This Row],[Amount]]) + IF(AND(TblImps[[#This Row],[Resource 2]]=AO$2,TblImps[[#This Row],[Part 2]]&lt;&gt;""),TblImps[[#This Row],[Amount 2]]) + IF(AND(TblImps[[#This Row],[Resource 3]]=AO$2,TblImps[[#This Row],[Part 3]]&lt;&gt;""),TblImps[[#This Row],[Amount 3]])</f>
        <v>0</v>
      </c>
      <c r="AP71" s="57">
        <f>IF(AND(TblImps[[#This Row],[Resource]]=AP$2,TblImps[[#This Row],[Part]]&lt;&gt;""),TblImps[[#This Row],[Amount]]) + IF(AND(TblImps[[#This Row],[Resource 2]]=AP$2,TblImps[[#This Row],[Part 2]]&lt;&gt;""),TblImps[[#This Row],[Amount 2]]) + IF(AND(TblImps[[#This Row],[Resource 3]]=AP$2,TblImps[[#This Row],[Part 3]]&lt;&gt;""),TblImps[[#This Row],[Amount 3]])</f>
        <v>0</v>
      </c>
      <c r="AQ71" s="142"/>
      <c r="AR7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142"/>
      <c r="AW7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142"/>
      <c r="BB7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142"/>
      <c r="BG7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57">
        <f ca="1">IF(OFFSET(TblMagic[[#This Row],[Active Alchemists Flame]],-1,0)&gt;0,TblConstr[[#This Row],[Tot Alc]]*alchemist_flame_invest,0)</f>
        <v>0</v>
      </c>
      <c r="BL71" s="142"/>
      <c r="BM7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1" s="142"/>
      <c r="BR7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1" s="142"/>
      <c r="BW7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1" s="61">
        <f>TblImps[[#This Row],[Login]]</f>
        <v>0</v>
      </c>
      <c r="BY71" s="137"/>
      <c r="BZ71" s="293">
        <f ca="1">OFFSET(TblImps[[#This Row],[Real time]],-1,0)+1/24</f>
        <v>46322.791666666504</v>
      </c>
      <c r="CA71" s="294">
        <f ca="1">OFFSET(TblImps[[#This Row],[Servertime]],-1,0)+1/24</f>
        <v>46322.791666666504</v>
      </c>
      <c r="CB71" s="57"/>
      <c r="CC71" s="292"/>
      <c r="CD71" s="292"/>
    </row>
    <row r="72" spans="1:85" x14ac:dyDescent="0.2">
      <c r="A72" s="214">
        <f ca="1">TblConstr[[#This Row],[Land]]</f>
        <v>50</v>
      </c>
      <c r="B72" s="142"/>
      <c r="C72" s="94">
        <f ca="1">TblProd[[#This Row],[Platinum]]</f>
        <v>182795</v>
      </c>
      <c r="D72" s="94">
        <f ca="1">TblProd[[#This Row],[Lumber]]</f>
        <v>57083</v>
      </c>
      <c r="E72" s="94">
        <f ca="1">TblProd[[#This Row],[Ore]]</f>
        <v>0</v>
      </c>
      <c r="F72" s="94">
        <f ca="1">TblProd[[#This Row],[Gems]]</f>
        <v>0</v>
      </c>
      <c r="G72" s="154"/>
      <c r="H72" s="94">
        <f ca="1">TblMili[[#This Row],[Draftees]]</f>
        <v>532</v>
      </c>
      <c r="I72" s="180">
        <f ca="1">TblPop[[#This Row],[Employment]]</f>
        <v>1</v>
      </c>
      <c r="J72" s="180">
        <f ca="1">TblPop[[#This Row],[Total]]/TblPop[[#This Row],[Net max]]</f>
        <v>1</v>
      </c>
      <c r="K72" s="283">
        <f>TblRezone[[#This Row],[Hour]]</f>
        <v>69</v>
      </c>
      <c r="L72" s="284">
        <f ca="1">TblImps[[#This Row],[Real time]]</f>
        <v>46322.833333333168</v>
      </c>
      <c r="M72" s="61">
        <f>IF(ISERROR(TblImps[[#This Row],[algorithm]]),0,TblImps[[#This Row],[algorithm]]*1)</f>
        <v>0</v>
      </c>
      <c r="N72" s="94">
        <f ca="1">TblImps[[#This Row],[Land]]</f>
        <v>50</v>
      </c>
      <c r="O72" s="285" t="s">
        <v>4</v>
      </c>
      <c r="P72" s="286"/>
      <c r="Q72" s="285" t="s">
        <v>210</v>
      </c>
      <c r="R72" s="285" t="s">
        <v>7</v>
      </c>
      <c r="S72" s="286"/>
      <c r="T72" s="285" t="s">
        <v>210</v>
      </c>
      <c r="U72" s="285" t="s">
        <v>3</v>
      </c>
      <c r="V72" s="286"/>
      <c r="W72" s="285" t="s">
        <v>210</v>
      </c>
      <c r="X72" s="142"/>
      <c r="Y72" s="287">
        <f ca="1">science_cap*(1-EXP(-TblImps[[#This Row],[Σ Science]]/(science_param*(OFFSET(TblImps[[#This Row],[Land]],1,0)-OFFSET(TblExplore[[#This Row],[Land Bonus]],1,0)*20)+15000)))*(1+(mason_bonus*TblConstr[[#This Row],[Tot Mas]]/TblConstr[[#This Row],[Land (2)]]))</f>
        <v>0</v>
      </c>
      <c r="Z72" s="287">
        <f ca="1">keep_cap*(1-EXP(-TblImps[[#This Row],[Σ Keep]]/(keep_param*(OFFSET(TblImps[[#This Row],[Land]],1,0)-OFFSET(TblExplore[[#This Row],[Land Bonus]],1,0)*20)+15000)))*(1+(mason_bonus*TblConstr[[#This Row],[Tot Mas]]/TblConstr[[#This Row],[Land (2)]]))</f>
        <v>0</v>
      </c>
      <c r="AA72" s="287">
        <f ca="1">harbor_towers_cap*(1-EXP(-TblImps[[#This Row],[Σ Spires]]/(towers_param*(OFFSET(TblImps[[#This Row],[Land]],1,0)-OFFSET(TblExplore[[#This Row],[Land Bonus]],1,0)*20)+15000)))*(1+(mason_bonus*TblConstr[[#This Row],[Tot Mas]]/TblConstr[[#This Row],[Land (2)]]))</f>
        <v>0</v>
      </c>
      <c r="AB72" s="287">
        <f ca="1">walls_forges_cap*(1-EXP(-TblImps[[#This Row],[Σ Forges]]/(walls_forges_param*(OFFSET(TblImps[[#This Row],[Land]],1,0)-OFFSET(TblExplore[[#This Row],[Land Bonus]],1,0)*20)+15000)))*(1+(mason_bonus*TblConstr[[#This Row],[Tot Mas]]/TblConstr[[#This Row],[Land (2)]]))</f>
        <v>0</v>
      </c>
      <c r="AC72" s="287">
        <f ca="1">walls_forges_cap*(1-EXP(-TblImps[[#This Row],[Σ Walls]]/(walls_forges_param*(OFFSET(TblImps[[#This Row],[Land]],1,0)-OFFSET(TblExplore[[#This Row],[Land Bonus]],1,0)*20)+15000)))*(1+(mason_bonus*TblConstr[[#This Row],[Tot Mas]]/TblConstr[[#This Row],[Land (2)]]))</f>
        <v>0</v>
      </c>
      <c r="AD72" s="287">
        <f ca="1">harbor_towers_cap*(1-EXP(-TblImps[[#This Row],[Σ Harbor]]/(harbor_towers_param*(OFFSET(TblImps[[#This Row],[Land]],1,0)-OFFSET(TblExplore[[#This Row],[Land Bonus]],1,0)*20)+15000)))*(1+(mason_bonus*TblConstr[[#This Row],[Tot Mas]]/TblConstr[[#This Row],[Land (2)]]))</f>
        <v>0</v>
      </c>
      <c r="AE72" s="142"/>
      <c r="AF72" s="61">
        <f ca="1">(1+Overview!$I$29)*SUM(TblImps[[#This Row],[P2]:[G2]])+OFFSET(TblImps[[#This Row],[Σ Science]],-1,0)</f>
        <v>0</v>
      </c>
      <c r="AG72" s="61">
        <f ca="1">(1+Overview!$I$29)*SUM(TblImps[[#This Row],[P3]:[G3]])+OFFSET(TblImps[[#This Row],[Σ Keep]],-1,0)</f>
        <v>0</v>
      </c>
      <c r="AH72" s="61">
        <f ca="1">(1+Overview!$I$29 + tech_7_1*TblTech[[#This Row],[7-1]])*SUM(TblImps[[#This Row],[P4]:[G4]])+OFFSET(TblImps[[#This Row],[Σ Spires]],-1,0)</f>
        <v>0</v>
      </c>
      <c r="AI72" s="61">
        <f ca="1">(1+Overview!$I$29)*SUM(TblImps[[#This Row],[P5]:[FW5]])+OFFSET(TblImps[[#This Row],[Σ Forges]],-1,0)</f>
        <v>0</v>
      </c>
      <c r="AJ72" s="61">
        <f ca="1">(1+Overview!$I$29)*SUM(TblImps[[#This Row],[P6]:[G6]])+OFFSET(TblImps[[#This Row],[Σ Walls]],-1,0)</f>
        <v>0</v>
      </c>
      <c r="AK72" s="61">
        <f ca="1">(1+Overview!$I$29 + tech_7_1*TblTech[[#This Row],[7-1]])*SUM(TblImps[[#This Row],[P7]:[G7]])+OFFSET(TblImps[[#This Row],[Σ Harbor]],-1,0)</f>
        <v>0</v>
      </c>
      <c r="AL72" s="142"/>
      <c r="AM72" s="57">
        <f>IF(AND(TblImps[[#This Row],[Resource]]=AM$2,TblImps[[#This Row],[Part]]&lt;&gt;""),TblImps[[#This Row],[Amount]]) + IF(AND(TblImps[[#This Row],[Resource 2]]=AM$2,TblImps[[#This Row],[Part 2]]&lt;&gt;""),TblImps[[#This Row],[Amount 2]]) + IF(AND(TblImps[[#This Row],[Resource 3]]=AM$2,TblImps[[#This Row],[Part 3]]&lt;&gt;""),TblImps[[#This Row],[Amount 3]])</f>
        <v>0</v>
      </c>
      <c r="AN72" s="57">
        <f>IF(AND(TblImps[[#This Row],[Resource]]=AN$2,TblImps[[#This Row],[Part]]&lt;&gt;""),TblImps[[#This Row],[Amount]]) + IF(AND(TblImps[[#This Row],[Resource 2]]=AN$2,TblImps[[#This Row],[Part 2]]&lt;&gt;""),TblImps[[#This Row],[Amount 2]]) + IF(AND(TblImps[[#This Row],[Resource 3]]=AN$2,TblImps[[#This Row],[Part 3]]&lt;&gt;""),TblImps[[#This Row],[Amount 3]])</f>
        <v>0</v>
      </c>
      <c r="AO72" s="57">
        <f>IF(AND(TblImps[[#This Row],[Resource]]=AO$2,TblImps[[#This Row],[Part]]&lt;&gt;""),TblImps[[#This Row],[Amount]]) + IF(AND(TblImps[[#This Row],[Resource 2]]=AO$2,TblImps[[#This Row],[Part 2]]&lt;&gt;""),TblImps[[#This Row],[Amount 2]]) + IF(AND(TblImps[[#This Row],[Resource 3]]=AO$2,TblImps[[#This Row],[Part 3]]&lt;&gt;""),TblImps[[#This Row],[Amount 3]])</f>
        <v>0</v>
      </c>
      <c r="AP72" s="57">
        <f>IF(AND(TblImps[[#This Row],[Resource]]=AP$2,TblImps[[#This Row],[Part]]&lt;&gt;""),TblImps[[#This Row],[Amount]]) + IF(AND(TblImps[[#This Row],[Resource 2]]=AP$2,TblImps[[#This Row],[Part 2]]&lt;&gt;""),TblImps[[#This Row],[Amount 2]]) + IF(AND(TblImps[[#This Row],[Resource 3]]=AP$2,TblImps[[#This Row],[Part 3]]&lt;&gt;""),TblImps[[#This Row],[Amount 3]])</f>
        <v>0</v>
      </c>
      <c r="AQ72" s="142"/>
      <c r="AR7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142"/>
      <c r="AW7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142"/>
      <c r="BB7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142"/>
      <c r="BG7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57">
        <f ca="1">IF(OFFSET(TblMagic[[#This Row],[Active Alchemists Flame]],-1,0)&gt;0,TblConstr[[#This Row],[Tot Alc]]*alchemist_flame_invest,0)</f>
        <v>0</v>
      </c>
      <c r="BL72" s="142"/>
      <c r="BM7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2" s="142"/>
      <c r="BR7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2" s="142"/>
      <c r="BW7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2" s="61">
        <f>TblImps[[#This Row],[Login]]</f>
        <v>0</v>
      </c>
      <c r="BY72" s="137"/>
      <c r="BZ72" s="293">
        <f ca="1">OFFSET(TblImps[[#This Row],[Real time]],-1,0)+1/24</f>
        <v>46322.833333333168</v>
      </c>
      <c r="CA72" s="294">
        <f ca="1">OFFSET(TblImps[[#This Row],[Servertime]],-1,0)+1/24</f>
        <v>46322.833333333168</v>
      </c>
      <c r="CB72" s="57"/>
      <c r="CC72" s="292"/>
      <c r="CD72" s="292"/>
    </row>
    <row r="73" spans="1:85" x14ac:dyDescent="0.2">
      <c r="A73" s="214">
        <f ca="1">TblConstr[[#This Row],[Land]]</f>
        <v>50</v>
      </c>
      <c r="B73" s="142"/>
      <c r="C73" s="94">
        <f ca="1">TblProd[[#This Row],[Platinum]]</f>
        <v>183434</v>
      </c>
      <c r="D73" s="94">
        <f ca="1">TblProd[[#This Row],[Lumber]]</f>
        <v>57512</v>
      </c>
      <c r="E73" s="94">
        <f ca="1">TblProd[[#This Row],[Ore]]</f>
        <v>0</v>
      </c>
      <c r="F73" s="94">
        <f ca="1">TblProd[[#This Row],[Gems]]</f>
        <v>0</v>
      </c>
      <c r="G73" s="154"/>
      <c r="H73" s="94">
        <f ca="1">TblMili[[#This Row],[Draftees]]</f>
        <v>534</v>
      </c>
      <c r="I73" s="180">
        <f ca="1">TblPop[[#This Row],[Employment]]</f>
        <v>1</v>
      </c>
      <c r="J73" s="180">
        <f ca="1">TblPop[[#This Row],[Total]]/TblPop[[#This Row],[Net max]]</f>
        <v>1</v>
      </c>
      <c r="K73" s="283">
        <f>TblRezone[[#This Row],[Hour]]</f>
        <v>70</v>
      </c>
      <c r="L73" s="284">
        <f ca="1">TblImps[[#This Row],[Real time]]</f>
        <v>46322.874999999833</v>
      </c>
      <c r="M73" s="61">
        <f>IF(ISERROR(TblImps[[#This Row],[algorithm]]),0,TblImps[[#This Row],[algorithm]]*1)</f>
        <v>0</v>
      </c>
      <c r="N73" s="94">
        <f ca="1">TblImps[[#This Row],[Land]]</f>
        <v>50</v>
      </c>
      <c r="O73" s="285" t="s">
        <v>4</v>
      </c>
      <c r="P73" s="286"/>
      <c r="Q73" s="285" t="s">
        <v>210</v>
      </c>
      <c r="R73" s="285" t="s">
        <v>7</v>
      </c>
      <c r="S73" s="286"/>
      <c r="T73" s="285" t="s">
        <v>210</v>
      </c>
      <c r="U73" s="285" t="s">
        <v>3</v>
      </c>
      <c r="V73" s="286"/>
      <c r="W73" s="285" t="s">
        <v>210</v>
      </c>
      <c r="X73" s="142"/>
      <c r="Y73" s="287">
        <f ca="1">science_cap*(1-EXP(-TblImps[[#This Row],[Σ Science]]/(science_param*(OFFSET(TblImps[[#This Row],[Land]],1,0)-OFFSET(TblExplore[[#This Row],[Land Bonus]],1,0)*20)+15000)))*(1+(mason_bonus*TblConstr[[#This Row],[Tot Mas]]/TblConstr[[#This Row],[Land (2)]]))</f>
        <v>0</v>
      </c>
      <c r="Z73" s="287">
        <f ca="1">keep_cap*(1-EXP(-TblImps[[#This Row],[Σ Keep]]/(keep_param*(OFFSET(TblImps[[#This Row],[Land]],1,0)-OFFSET(TblExplore[[#This Row],[Land Bonus]],1,0)*20)+15000)))*(1+(mason_bonus*TblConstr[[#This Row],[Tot Mas]]/TblConstr[[#This Row],[Land (2)]]))</f>
        <v>0</v>
      </c>
      <c r="AA73" s="287">
        <f ca="1">harbor_towers_cap*(1-EXP(-TblImps[[#This Row],[Σ Spires]]/(towers_param*(OFFSET(TblImps[[#This Row],[Land]],1,0)-OFFSET(TblExplore[[#This Row],[Land Bonus]],1,0)*20)+15000)))*(1+(mason_bonus*TblConstr[[#This Row],[Tot Mas]]/TblConstr[[#This Row],[Land (2)]]))</f>
        <v>0</v>
      </c>
      <c r="AB73" s="287">
        <f ca="1">walls_forges_cap*(1-EXP(-TblImps[[#This Row],[Σ Forges]]/(walls_forges_param*(OFFSET(TblImps[[#This Row],[Land]],1,0)-OFFSET(TblExplore[[#This Row],[Land Bonus]],1,0)*20)+15000)))*(1+(mason_bonus*TblConstr[[#This Row],[Tot Mas]]/TblConstr[[#This Row],[Land (2)]]))</f>
        <v>0</v>
      </c>
      <c r="AC73" s="287">
        <f ca="1">walls_forges_cap*(1-EXP(-TblImps[[#This Row],[Σ Walls]]/(walls_forges_param*(OFFSET(TblImps[[#This Row],[Land]],1,0)-OFFSET(TblExplore[[#This Row],[Land Bonus]],1,0)*20)+15000)))*(1+(mason_bonus*TblConstr[[#This Row],[Tot Mas]]/TblConstr[[#This Row],[Land (2)]]))</f>
        <v>0</v>
      </c>
      <c r="AD73" s="287">
        <f ca="1">harbor_towers_cap*(1-EXP(-TblImps[[#This Row],[Σ Harbor]]/(harbor_towers_param*(OFFSET(TblImps[[#This Row],[Land]],1,0)-OFFSET(TblExplore[[#This Row],[Land Bonus]],1,0)*20)+15000)))*(1+(mason_bonus*TblConstr[[#This Row],[Tot Mas]]/TblConstr[[#This Row],[Land (2)]]))</f>
        <v>0</v>
      </c>
      <c r="AE73" s="142"/>
      <c r="AF73" s="61">
        <f ca="1">(1+Overview!$I$29)*SUM(TblImps[[#This Row],[P2]:[G2]])+OFFSET(TblImps[[#This Row],[Σ Science]],-1,0)</f>
        <v>0</v>
      </c>
      <c r="AG73" s="61">
        <f ca="1">(1+Overview!$I$29)*SUM(TblImps[[#This Row],[P3]:[G3]])+OFFSET(TblImps[[#This Row],[Σ Keep]],-1,0)</f>
        <v>0</v>
      </c>
      <c r="AH73" s="61">
        <f ca="1">(1+Overview!$I$29 + tech_7_1*TblTech[[#This Row],[7-1]])*SUM(TblImps[[#This Row],[P4]:[G4]])+OFFSET(TblImps[[#This Row],[Σ Spires]],-1,0)</f>
        <v>0</v>
      </c>
      <c r="AI73" s="61">
        <f ca="1">(1+Overview!$I$29)*SUM(TblImps[[#This Row],[P5]:[FW5]])+OFFSET(TblImps[[#This Row],[Σ Forges]],-1,0)</f>
        <v>0</v>
      </c>
      <c r="AJ73" s="61">
        <f ca="1">(1+Overview!$I$29)*SUM(TblImps[[#This Row],[P6]:[G6]])+OFFSET(TblImps[[#This Row],[Σ Walls]],-1,0)</f>
        <v>0</v>
      </c>
      <c r="AK73" s="61">
        <f ca="1">(1+Overview!$I$29 + tech_7_1*TblTech[[#This Row],[7-1]])*SUM(TblImps[[#This Row],[P7]:[G7]])+OFFSET(TblImps[[#This Row],[Σ Harbor]],-1,0)</f>
        <v>0</v>
      </c>
      <c r="AL73" s="142"/>
      <c r="AM73" s="57">
        <f>IF(AND(TblImps[[#This Row],[Resource]]=AM$2,TblImps[[#This Row],[Part]]&lt;&gt;""),TblImps[[#This Row],[Amount]]) + IF(AND(TblImps[[#This Row],[Resource 2]]=AM$2,TblImps[[#This Row],[Part 2]]&lt;&gt;""),TblImps[[#This Row],[Amount 2]]) + IF(AND(TblImps[[#This Row],[Resource 3]]=AM$2,TblImps[[#This Row],[Part 3]]&lt;&gt;""),TblImps[[#This Row],[Amount 3]])</f>
        <v>0</v>
      </c>
      <c r="AN73" s="57">
        <f>IF(AND(TblImps[[#This Row],[Resource]]=AN$2,TblImps[[#This Row],[Part]]&lt;&gt;""),TblImps[[#This Row],[Amount]]) + IF(AND(TblImps[[#This Row],[Resource 2]]=AN$2,TblImps[[#This Row],[Part 2]]&lt;&gt;""),TblImps[[#This Row],[Amount 2]]) + IF(AND(TblImps[[#This Row],[Resource 3]]=AN$2,TblImps[[#This Row],[Part 3]]&lt;&gt;""),TblImps[[#This Row],[Amount 3]])</f>
        <v>0</v>
      </c>
      <c r="AO73" s="57">
        <f>IF(AND(TblImps[[#This Row],[Resource]]=AO$2,TblImps[[#This Row],[Part]]&lt;&gt;""),TblImps[[#This Row],[Amount]]) + IF(AND(TblImps[[#This Row],[Resource 2]]=AO$2,TblImps[[#This Row],[Part 2]]&lt;&gt;""),TblImps[[#This Row],[Amount 2]]) + IF(AND(TblImps[[#This Row],[Resource 3]]=AO$2,TblImps[[#This Row],[Part 3]]&lt;&gt;""),TblImps[[#This Row],[Amount 3]])</f>
        <v>0</v>
      </c>
      <c r="AP73" s="57">
        <f>IF(AND(TblImps[[#This Row],[Resource]]=AP$2,TblImps[[#This Row],[Part]]&lt;&gt;""),TblImps[[#This Row],[Amount]]) + IF(AND(TblImps[[#This Row],[Resource 2]]=AP$2,TblImps[[#This Row],[Part 2]]&lt;&gt;""),TblImps[[#This Row],[Amount 2]]) + IF(AND(TblImps[[#This Row],[Resource 3]]=AP$2,TblImps[[#This Row],[Part 3]]&lt;&gt;""),TblImps[[#This Row],[Amount 3]])</f>
        <v>0</v>
      </c>
      <c r="AQ73" s="142"/>
      <c r="AR7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142"/>
      <c r="AW7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142"/>
      <c r="BB7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142"/>
      <c r="BG7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57">
        <f ca="1">IF(OFFSET(TblMagic[[#This Row],[Active Alchemists Flame]],-1,0)&gt;0,TblConstr[[#This Row],[Tot Alc]]*alchemist_flame_invest,0)</f>
        <v>0</v>
      </c>
      <c r="BL73" s="142"/>
      <c r="BM7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3" s="142"/>
      <c r="BR7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3" s="142"/>
      <c r="BW7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3" s="61">
        <f>TblImps[[#This Row],[Login]]</f>
        <v>0</v>
      </c>
      <c r="BY73" s="137"/>
      <c r="BZ73" s="293">
        <f ca="1">OFFSET(TblImps[[#This Row],[Real time]],-1,0)+1/24</f>
        <v>46322.874999999833</v>
      </c>
      <c r="CA73" s="294">
        <f ca="1">OFFSET(TblImps[[#This Row],[Servertime]],-1,0)+1/24</f>
        <v>46322.874999999833</v>
      </c>
      <c r="CB73" s="57"/>
      <c r="CC73" s="292"/>
      <c r="CD73" s="292"/>
    </row>
    <row r="74" spans="1:85" x14ac:dyDescent="0.2">
      <c r="A74" s="214">
        <f ca="1">TblConstr[[#This Row],[Land]]</f>
        <v>50</v>
      </c>
      <c r="B74" s="142"/>
      <c r="C74" s="94">
        <f ca="1">TblProd[[#This Row],[Platinum]]</f>
        <v>184068</v>
      </c>
      <c r="D74" s="94">
        <f ca="1">TblProd[[#This Row],[Lumber]]</f>
        <v>57937</v>
      </c>
      <c r="E74" s="94">
        <f ca="1">TblProd[[#This Row],[Ore]]</f>
        <v>0</v>
      </c>
      <c r="F74" s="94">
        <f ca="1">TblProd[[#This Row],[Gems]]</f>
        <v>0</v>
      </c>
      <c r="G74" s="154"/>
      <c r="H74" s="94">
        <f ca="1">TblMili[[#This Row],[Draftees]]</f>
        <v>536</v>
      </c>
      <c r="I74" s="180">
        <f ca="1">TblPop[[#This Row],[Employment]]</f>
        <v>1</v>
      </c>
      <c r="J74" s="180">
        <f ca="1">TblPop[[#This Row],[Total]]/TblPop[[#This Row],[Net max]]</f>
        <v>1</v>
      </c>
      <c r="K74" s="283">
        <f>TblRezone[[#This Row],[Hour]]</f>
        <v>71</v>
      </c>
      <c r="L74" s="284">
        <f ca="1">TblImps[[#This Row],[Real time]]</f>
        <v>46322.916666666497</v>
      </c>
      <c r="M74" s="61">
        <f>IF(ISERROR(TblImps[[#This Row],[algorithm]]),0,TblImps[[#This Row],[algorithm]]*1)</f>
        <v>0</v>
      </c>
      <c r="N74" s="94">
        <f ca="1">TblImps[[#This Row],[Land]]</f>
        <v>50</v>
      </c>
      <c r="O74" s="285" t="s">
        <v>4</v>
      </c>
      <c r="P74" s="286"/>
      <c r="Q74" s="285" t="s">
        <v>210</v>
      </c>
      <c r="R74" s="285" t="s">
        <v>7</v>
      </c>
      <c r="S74" s="286"/>
      <c r="T74" s="285" t="s">
        <v>210</v>
      </c>
      <c r="U74" s="285" t="s">
        <v>3</v>
      </c>
      <c r="V74" s="286"/>
      <c r="W74" s="285" t="s">
        <v>210</v>
      </c>
      <c r="X74" s="142"/>
      <c r="Y74" s="287">
        <f ca="1">science_cap*(1-EXP(-TblImps[[#This Row],[Σ Science]]/(science_param*(OFFSET(TblImps[[#This Row],[Land]],1,0)-OFFSET(TblExplore[[#This Row],[Land Bonus]],1,0)*20)+15000)))*(1+(mason_bonus*TblConstr[[#This Row],[Tot Mas]]/TblConstr[[#This Row],[Land (2)]]))</f>
        <v>0</v>
      </c>
      <c r="Z74" s="287">
        <f ca="1">keep_cap*(1-EXP(-TblImps[[#This Row],[Σ Keep]]/(keep_param*(OFFSET(TblImps[[#This Row],[Land]],1,0)-OFFSET(TblExplore[[#This Row],[Land Bonus]],1,0)*20)+15000)))*(1+(mason_bonus*TblConstr[[#This Row],[Tot Mas]]/TblConstr[[#This Row],[Land (2)]]))</f>
        <v>0</v>
      </c>
      <c r="AA74" s="287">
        <f ca="1">harbor_towers_cap*(1-EXP(-TblImps[[#This Row],[Σ Spires]]/(towers_param*(OFFSET(TblImps[[#This Row],[Land]],1,0)-OFFSET(TblExplore[[#This Row],[Land Bonus]],1,0)*20)+15000)))*(1+(mason_bonus*TblConstr[[#This Row],[Tot Mas]]/TblConstr[[#This Row],[Land (2)]]))</f>
        <v>0</v>
      </c>
      <c r="AB74" s="287">
        <f ca="1">walls_forges_cap*(1-EXP(-TblImps[[#This Row],[Σ Forges]]/(walls_forges_param*(OFFSET(TblImps[[#This Row],[Land]],1,0)-OFFSET(TblExplore[[#This Row],[Land Bonus]],1,0)*20)+15000)))*(1+(mason_bonus*TblConstr[[#This Row],[Tot Mas]]/TblConstr[[#This Row],[Land (2)]]))</f>
        <v>0</v>
      </c>
      <c r="AC74" s="287">
        <f ca="1">walls_forges_cap*(1-EXP(-TblImps[[#This Row],[Σ Walls]]/(walls_forges_param*(OFFSET(TblImps[[#This Row],[Land]],1,0)-OFFSET(TblExplore[[#This Row],[Land Bonus]],1,0)*20)+15000)))*(1+(mason_bonus*TblConstr[[#This Row],[Tot Mas]]/TblConstr[[#This Row],[Land (2)]]))</f>
        <v>0</v>
      </c>
      <c r="AD74" s="287">
        <f ca="1">harbor_towers_cap*(1-EXP(-TblImps[[#This Row],[Σ Harbor]]/(harbor_towers_param*(OFFSET(TblImps[[#This Row],[Land]],1,0)-OFFSET(TblExplore[[#This Row],[Land Bonus]],1,0)*20)+15000)))*(1+(mason_bonus*TblConstr[[#This Row],[Tot Mas]]/TblConstr[[#This Row],[Land (2)]]))</f>
        <v>0</v>
      </c>
      <c r="AE74" s="142"/>
      <c r="AF74" s="61">
        <f ca="1">(1+Overview!$I$29)*SUM(TblImps[[#This Row],[P2]:[G2]])+OFFSET(TblImps[[#This Row],[Σ Science]],-1,0)</f>
        <v>0</v>
      </c>
      <c r="AG74" s="61">
        <f ca="1">(1+Overview!$I$29)*SUM(TblImps[[#This Row],[P3]:[G3]])+OFFSET(TblImps[[#This Row],[Σ Keep]],-1,0)</f>
        <v>0</v>
      </c>
      <c r="AH74" s="61">
        <f ca="1">(1+Overview!$I$29 + tech_7_1*TblTech[[#This Row],[7-1]])*SUM(TblImps[[#This Row],[P4]:[G4]])+OFFSET(TblImps[[#This Row],[Σ Spires]],-1,0)</f>
        <v>0</v>
      </c>
      <c r="AI74" s="61">
        <f ca="1">(1+Overview!$I$29)*SUM(TblImps[[#This Row],[P5]:[FW5]])+OFFSET(TblImps[[#This Row],[Σ Forges]],-1,0)</f>
        <v>0</v>
      </c>
      <c r="AJ74" s="61">
        <f ca="1">(1+Overview!$I$29)*SUM(TblImps[[#This Row],[P6]:[G6]])+OFFSET(TblImps[[#This Row],[Σ Walls]],-1,0)</f>
        <v>0</v>
      </c>
      <c r="AK74" s="61">
        <f ca="1">(1+Overview!$I$29 + tech_7_1*TblTech[[#This Row],[7-1]])*SUM(TblImps[[#This Row],[P7]:[G7]])+OFFSET(TblImps[[#This Row],[Σ Harbor]],-1,0)</f>
        <v>0</v>
      </c>
      <c r="AL74" s="142"/>
      <c r="AM74" s="57">
        <f>IF(AND(TblImps[[#This Row],[Resource]]=AM$2,TblImps[[#This Row],[Part]]&lt;&gt;""),TblImps[[#This Row],[Amount]]) + IF(AND(TblImps[[#This Row],[Resource 2]]=AM$2,TblImps[[#This Row],[Part 2]]&lt;&gt;""),TblImps[[#This Row],[Amount 2]]) + IF(AND(TblImps[[#This Row],[Resource 3]]=AM$2,TblImps[[#This Row],[Part 3]]&lt;&gt;""),TblImps[[#This Row],[Amount 3]])</f>
        <v>0</v>
      </c>
      <c r="AN74" s="57">
        <f>IF(AND(TblImps[[#This Row],[Resource]]=AN$2,TblImps[[#This Row],[Part]]&lt;&gt;""),TblImps[[#This Row],[Amount]]) + IF(AND(TblImps[[#This Row],[Resource 2]]=AN$2,TblImps[[#This Row],[Part 2]]&lt;&gt;""),TblImps[[#This Row],[Amount 2]]) + IF(AND(TblImps[[#This Row],[Resource 3]]=AN$2,TblImps[[#This Row],[Part 3]]&lt;&gt;""),TblImps[[#This Row],[Amount 3]])</f>
        <v>0</v>
      </c>
      <c r="AO74" s="57">
        <f>IF(AND(TblImps[[#This Row],[Resource]]=AO$2,TblImps[[#This Row],[Part]]&lt;&gt;""),TblImps[[#This Row],[Amount]]) + IF(AND(TblImps[[#This Row],[Resource 2]]=AO$2,TblImps[[#This Row],[Part 2]]&lt;&gt;""),TblImps[[#This Row],[Amount 2]]) + IF(AND(TblImps[[#This Row],[Resource 3]]=AO$2,TblImps[[#This Row],[Part 3]]&lt;&gt;""),TblImps[[#This Row],[Amount 3]])</f>
        <v>0</v>
      </c>
      <c r="AP74" s="57">
        <f>IF(AND(TblImps[[#This Row],[Resource]]=AP$2,TblImps[[#This Row],[Part]]&lt;&gt;""),TblImps[[#This Row],[Amount]]) + IF(AND(TblImps[[#This Row],[Resource 2]]=AP$2,TblImps[[#This Row],[Part 2]]&lt;&gt;""),TblImps[[#This Row],[Amount 2]]) + IF(AND(TblImps[[#This Row],[Resource 3]]=AP$2,TblImps[[#This Row],[Part 3]]&lt;&gt;""),TblImps[[#This Row],[Amount 3]])</f>
        <v>0</v>
      </c>
      <c r="AQ74" s="142"/>
      <c r="AR7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142"/>
      <c r="AW7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142"/>
      <c r="BB7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142"/>
      <c r="BG7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57">
        <f ca="1">IF(OFFSET(TblMagic[[#This Row],[Active Alchemists Flame]],-1,0)&gt;0,TblConstr[[#This Row],[Tot Alc]]*alchemist_flame_invest,0)</f>
        <v>0</v>
      </c>
      <c r="BL74" s="142"/>
      <c r="BM7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4" s="142"/>
      <c r="BR7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4" s="142"/>
      <c r="BW7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4" s="61">
        <f>TblImps[[#This Row],[Login]]</f>
        <v>0</v>
      </c>
      <c r="BY74" s="137"/>
      <c r="BZ74" s="293">
        <f ca="1">OFFSET(TblImps[[#This Row],[Real time]],-1,0)+1/24</f>
        <v>46322.916666666497</v>
      </c>
      <c r="CA74" s="294">
        <f ca="1">OFFSET(TblImps[[#This Row],[Servertime]],-1,0)+1/24</f>
        <v>46322.916666666497</v>
      </c>
      <c r="CB74" s="57"/>
      <c r="CC74" s="292"/>
      <c r="CD74" s="292"/>
    </row>
    <row r="75" spans="1:85" x14ac:dyDescent="0.2">
      <c r="A75" s="214">
        <f ca="1">TblConstr[[#This Row],[Land]]</f>
        <v>50</v>
      </c>
      <c r="B75" s="142"/>
      <c r="C75" s="94">
        <f ca="1">TblProd[[#This Row],[Platinum]]</f>
        <v>184697</v>
      </c>
      <c r="D75" s="94">
        <f ca="1">TblProd[[#This Row],[Lumber]]</f>
        <v>58358</v>
      </c>
      <c r="E75" s="94">
        <f ca="1">TblProd[[#This Row],[Ore]]</f>
        <v>0</v>
      </c>
      <c r="F75" s="94">
        <f ca="1">TblProd[[#This Row],[Gems]]</f>
        <v>0</v>
      </c>
      <c r="G75" s="154"/>
      <c r="H75" s="94">
        <f ca="1">TblMili[[#This Row],[Draftees]]</f>
        <v>538</v>
      </c>
      <c r="I75" s="180">
        <f ca="1">TblPop[[#This Row],[Employment]]</f>
        <v>1</v>
      </c>
      <c r="J75" s="180">
        <f ca="1">TblPop[[#This Row],[Total]]/TblPop[[#This Row],[Net max]]</f>
        <v>1</v>
      </c>
      <c r="K75" s="283">
        <f>TblRezone[[#This Row],[Hour]]</f>
        <v>72</v>
      </c>
      <c r="L75" s="284">
        <f ca="1">TblImps[[#This Row],[Real time]]</f>
        <v>46322.958333333161</v>
      </c>
      <c r="M75" s="61">
        <f>IF(ISERROR(TblImps[[#This Row],[algorithm]]),0,TblImps[[#This Row],[algorithm]]*1)</f>
        <v>0</v>
      </c>
      <c r="N75" s="94">
        <f ca="1">TblImps[[#This Row],[Land]]</f>
        <v>50</v>
      </c>
      <c r="O75" s="285" t="s">
        <v>4</v>
      </c>
      <c r="P75" s="286"/>
      <c r="Q75" s="285" t="s">
        <v>210</v>
      </c>
      <c r="R75" s="285" t="s">
        <v>7</v>
      </c>
      <c r="S75" s="286"/>
      <c r="T75" s="285" t="s">
        <v>210</v>
      </c>
      <c r="U75" s="285" t="s">
        <v>3</v>
      </c>
      <c r="V75" s="286"/>
      <c r="W75" s="285" t="s">
        <v>210</v>
      </c>
      <c r="X75" s="142"/>
      <c r="Y75" s="287">
        <f ca="1">science_cap*(1-EXP(-TblImps[[#This Row],[Σ Science]]/(science_param*(OFFSET(TblImps[[#This Row],[Land]],1,0)-OFFSET(TblExplore[[#This Row],[Land Bonus]],1,0)*20)+15000)))*(1+(mason_bonus*TblConstr[[#This Row],[Tot Mas]]/TblConstr[[#This Row],[Land (2)]]))</f>
        <v>0</v>
      </c>
      <c r="Z75" s="287">
        <f ca="1">keep_cap*(1-EXP(-TblImps[[#This Row],[Σ Keep]]/(keep_param*(OFFSET(TblImps[[#This Row],[Land]],1,0)-OFFSET(TblExplore[[#This Row],[Land Bonus]],1,0)*20)+15000)))*(1+(mason_bonus*TblConstr[[#This Row],[Tot Mas]]/TblConstr[[#This Row],[Land (2)]]))</f>
        <v>0</v>
      </c>
      <c r="AA75" s="287">
        <f ca="1">harbor_towers_cap*(1-EXP(-TblImps[[#This Row],[Σ Spires]]/(towers_param*(OFFSET(TblImps[[#This Row],[Land]],1,0)-OFFSET(TblExplore[[#This Row],[Land Bonus]],1,0)*20)+15000)))*(1+(mason_bonus*TblConstr[[#This Row],[Tot Mas]]/TblConstr[[#This Row],[Land (2)]]))</f>
        <v>0</v>
      </c>
      <c r="AB75" s="287">
        <f ca="1">walls_forges_cap*(1-EXP(-TblImps[[#This Row],[Σ Forges]]/(walls_forges_param*(OFFSET(TblImps[[#This Row],[Land]],1,0)-OFFSET(TblExplore[[#This Row],[Land Bonus]],1,0)*20)+15000)))*(1+(mason_bonus*TblConstr[[#This Row],[Tot Mas]]/TblConstr[[#This Row],[Land (2)]]))</f>
        <v>0</v>
      </c>
      <c r="AC75" s="287">
        <f ca="1">walls_forges_cap*(1-EXP(-TblImps[[#This Row],[Σ Walls]]/(walls_forges_param*(OFFSET(TblImps[[#This Row],[Land]],1,0)-OFFSET(TblExplore[[#This Row],[Land Bonus]],1,0)*20)+15000)))*(1+(mason_bonus*TblConstr[[#This Row],[Tot Mas]]/TblConstr[[#This Row],[Land (2)]]))</f>
        <v>0</v>
      </c>
      <c r="AD75" s="287">
        <f ca="1">harbor_towers_cap*(1-EXP(-TblImps[[#This Row],[Σ Harbor]]/(harbor_towers_param*(OFFSET(TblImps[[#This Row],[Land]],1,0)-OFFSET(TblExplore[[#This Row],[Land Bonus]],1,0)*20)+15000)))*(1+(mason_bonus*TblConstr[[#This Row],[Tot Mas]]/TblConstr[[#This Row],[Land (2)]]))</f>
        <v>0</v>
      </c>
      <c r="AE75" s="142"/>
      <c r="AF75" s="61">
        <f ca="1">(1+Overview!$I$29)*SUM(TblImps[[#This Row],[P2]:[G2]])+OFFSET(TblImps[[#This Row],[Σ Science]],-1,0)</f>
        <v>0</v>
      </c>
      <c r="AG75" s="61">
        <f ca="1">(1+Overview!$I$29)*SUM(TblImps[[#This Row],[P3]:[G3]])+OFFSET(TblImps[[#This Row],[Σ Keep]],-1,0)</f>
        <v>0</v>
      </c>
      <c r="AH75" s="61">
        <f ca="1">(1+Overview!$I$29 + tech_7_1*TblTech[[#This Row],[7-1]])*SUM(TblImps[[#This Row],[P4]:[G4]])+OFFSET(TblImps[[#This Row],[Σ Spires]],-1,0)</f>
        <v>0</v>
      </c>
      <c r="AI75" s="61">
        <f ca="1">(1+Overview!$I$29)*SUM(TblImps[[#This Row],[P5]:[FW5]])+OFFSET(TblImps[[#This Row],[Σ Forges]],-1,0)</f>
        <v>0</v>
      </c>
      <c r="AJ75" s="61">
        <f ca="1">(1+Overview!$I$29)*SUM(TblImps[[#This Row],[P6]:[G6]])+OFFSET(TblImps[[#This Row],[Σ Walls]],-1,0)</f>
        <v>0</v>
      </c>
      <c r="AK75" s="61">
        <f ca="1">(1+Overview!$I$29 + tech_7_1*TblTech[[#This Row],[7-1]])*SUM(TblImps[[#This Row],[P7]:[G7]])+OFFSET(TblImps[[#This Row],[Σ Harbor]],-1,0)</f>
        <v>0</v>
      </c>
      <c r="AL75" s="142"/>
      <c r="AM75" s="57">
        <f>IF(AND(TblImps[[#This Row],[Resource]]=AM$2,TblImps[[#This Row],[Part]]&lt;&gt;""),TblImps[[#This Row],[Amount]]) + IF(AND(TblImps[[#This Row],[Resource 2]]=AM$2,TblImps[[#This Row],[Part 2]]&lt;&gt;""),TblImps[[#This Row],[Amount 2]]) + IF(AND(TblImps[[#This Row],[Resource 3]]=AM$2,TblImps[[#This Row],[Part 3]]&lt;&gt;""),TblImps[[#This Row],[Amount 3]])</f>
        <v>0</v>
      </c>
      <c r="AN75" s="57">
        <f>IF(AND(TblImps[[#This Row],[Resource]]=AN$2,TblImps[[#This Row],[Part]]&lt;&gt;""),TblImps[[#This Row],[Amount]]) + IF(AND(TblImps[[#This Row],[Resource 2]]=AN$2,TblImps[[#This Row],[Part 2]]&lt;&gt;""),TblImps[[#This Row],[Amount 2]]) + IF(AND(TblImps[[#This Row],[Resource 3]]=AN$2,TblImps[[#This Row],[Part 3]]&lt;&gt;""),TblImps[[#This Row],[Amount 3]])</f>
        <v>0</v>
      </c>
      <c r="AO75" s="57">
        <f>IF(AND(TblImps[[#This Row],[Resource]]=AO$2,TblImps[[#This Row],[Part]]&lt;&gt;""),TblImps[[#This Row],[Amount]]) + IF(AND(TblImps[[#This Row],[Resource 2]]=AO$2,TblImps[[#This Row],[Part 2]]&lt;&gt;""),TblImps[[#This Row],[Amount 2]]) + IF(AND(TblImps[[#This Row],[Resource 3]]=AO$2,TblImps[[#This Row],[Part 3]]&lt;&gt;""),TblImps[[#This Row],[Amount 3]])</f>
        <v>0</v>
      </c>
      <c r="AP75" s="57">
        <f>IF(AND(TblImps[[#This Row],[Resource]]=AP$2,TblImps[[#This Row],[Part]]&lt;&gt;""),TblImps[[#This Row],[Amount]]) + IF(AND(TblImps[[#This Row],[Resource 2]]=AP$2,TblImps[[#This Row],[Part 2]]&lt;&gt;""),TblImps[[#This Row],[Amount 2]]) + IF(AND(TblImps[[#This Row],[Resource 3]]=AP$2,TblImps[[#This Row],[Part 3]]&lt;&gt;""),TblImps[[#This Row],[Amount 3]])</f>
        <v>0</v>
      </c>
      <c r="AQ75" s="142"/>
      <c r="AR7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142"/>
      <c r="AW7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142"/>
      <c r="BB7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142"/>
      <c r="BG7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57">
        <f ca="1">IF(OFFSET(TblMagic[[#This Row],[Active Alchemists Flame]],-1,0)&gt;0,TblConstr[[#This Row],[Tot Alc]]*alchemist_flame_invest,0)</f>
        <v>0</v>
      </c>
      <c r="BL75" s="142"/>
      <c r="BM7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5" s="142"/>
      <c r="BR7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5" s="142"/>
      <c r="BW7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5" s="61">
        <f>TblImps[[#This Row],[Login]]</f>
        <v>0</v>
      </c>
      <c r="BY75" s="137"/>
      <c r="BZ75" s="293">
        <f ca="1">OFFSET(TblImps[[#This Row],[Real time]],-1,0)+1/24</f>
        <v>46322.958333333161</v>
      </c>
      <c r="CA75" s="294">
        <f ca="1">OFFSET(TblImps[[#This Row],[Servertime]],-1,0)+1/24</f>
        <v>46322.958333333161</v>
      </c>
      <c r="CB75" s="57"/>
      <c r="CC75" s="292"/>
      <c r="CD75" s="292"/>
    </row>
    <row r="76" spans="1:85" x14ac:dyDescent="0.2">
      <c r="A76" s="214">
        <f ca="1">TblConstr[[#This Row],[Land]]</f>
        <v>50</v>
      </c>
      <c r="B76" s="142"/>
      <c r="C76" s="430">
        <f ca="1">TblProd[[#This Row],[Platinum]]</f>
        <v>185320</v>
      </c>
      <c r="D76" s="430">
        <f ca="1">TblProd[[#This Row],[Lumber]]</f>
        <v>58774</v>
      </c>
      <c r="E76" s="430">
        <f ca="1">TblProd[[#This Row],[Ore]]</f>
        <v>0</v>
      </c>
      <c r="F76" s="430">
        <f ca="1">TblProd[[#This Row],[Gems]]</f>
        <v>0</v>
      </c>
      <c r="G76" s="154"/>
      <c r="H76" s="430">
        <f ca="1">TblMili[[#This Row],[Draftees]]</f>
        <v>540</v>
      </c>
      <c r="I76" s="429">
        <f ca="1">TblPop[[#This Row],[Employment]]</f>
        <v>1</v>
      </c>
      <c r="J76" s="429">
        <f ca="1">TblPop[[#This Row],[Total]]/TblPop[[#This Row],[Net max]]</f>
        <v>1</v>
      </c>
      <c r="K76" s="283">
        <f>TblRezone[[#This Row],[Hour]]</f>
        <v>73</v>
      </c>
      <c r="L76" s="284">
        <f ca="1">TblImps[[#This Row],[Real time]]</f>
        <v>46322.999999999825</v>
      </c>
      <c r="M76" s="428">
        <f>IF(ISERROR(TblImps[[#This Row],[algorithm]]),0,TblImps[[#This Row],[algorithm]]*1)</f>
        <v>0</v>
      </c>
      <c r="N76" s="430">
        <f ca="1">TblImps[[#This Row],[Land]]</f>
        <v>50</v>
      </c>
      <c r="O76" s="285" t="s">
        <v>4</v>
      </c>
      <c r="P76" s="286"/>
      <c r="Q76" s="285" t="s">
        <v>210</v>
      </c>
      <c r="R76" s="285" t="s">
        <v>7</v>
      </c>
      <c r="S76" s="286"/>
      <c r="T76" s="285" t="s">
        <v>210</v>
      </c>
      <c r="U76" s="285" t="s">
        <v>3</v>
      </c>
      <c r="V76" s="286"/>
      <c r="W76" s="285" t="s">
        <v>210</v>
      </c>
      <c r="X76" s="142"/>
      <c r="Y76" s="459">
        <f ca="1">science_cap*(1-EXP(-TblImps[[#This Row],[Σ Science]]/(science_param*(OFFSET(TblImps[[#This Row],[Land]],1,0)-OFFSET(TblExplore[[#This Row],[Land Bonus]],1,0)*20)+15000)))*(1+(mason_bonus*TblConstr[[#This Row],[Tot Mas]]/TblConstr[[#This Row],[Land (2)]]))</f>
        <v>0</v>
      </c>
      <c r="Z76" s="459">
        <f ca="1">keep_cap*(1-EXP(-TblImps[[#This Row],[Σ Keep]]/(keep_param*(OFFSET(TblImps[[#This Row],[Land]],1,0)-OFFSET(TblExplore[[#This Row],[Land Bonus]],1,0)*20)+15000)))*(1+(mason_bonus*TblConstr[[#This Row],[Tot Mas]]/TblConstr[[#This Row],[Land (2)]]))</f>
        <v>0</v>
      </c>
      <c r="AA76" s="459">
        <f ca="1">harbor_towers_cap*(1-EXP(-TblImps[[#This Row],[Σ Spires]]/(towers_param*(OFFSET(TblImps[[#This Row],[Land]],1,0)-OFFSET(TblExplore[[#This Row],[Land Bonus]],1,0)*20)+15000)))*(1+(mason_bonus*TblConstr[[#This Row],[Tot Mas]]/TblConstr[[#This Row],[Land (2)]]))</f>
        <v>0</v>
      </c>
      <c r="AB76" s="459">
        <f ca="1">walls_forges_cap*(1-EXP(-TblImps[[#This Row],[Σ Forges]]/(walls_forges_param*(OFFSET(TblImps[[#This Row],[Land]],1,0)-OFFSET(TblExplore[[#This Row],[Land Bonus]],1,0)*20)+15000)))*(1+(mason_bonus*TblConstr[[#This Row],[Tot Mas]]/TblConstr[[#This Row],[Land (2)]]))</f>
        <v>0</v>
      </c>
      <c r="AC76" s="459">
        <f ca="1">walls_forges_cap*(1-EXP(-TblImps[[#This Row],[Σ Walls]]/(walls_forges_param*(OFFSET(TblImps[[#This Row],[Land]],1,0)-OFFSET(TblExplore[[#This Row],[Land Bonus]],1,0)*20)+15000)))*(1+(mason_bonus*TblConstr[[#This Row],[Tot Mas]]/TblConstr[[#This Row],[Land (2)]]))</f>
        <v>0</v>
      </c>
      <c r="AD76" s="459">
        <f ca="1">harbor_towers_cap*(1-EXP(-TblImps[[#This Row],[Σ Harbor]]/(harbor_towers_param*(OFFSET(TblImps[[#This Row],[Land]],1,0)-OFFSET(TblExplore[[#This Row],[Land Bonus]],1,0)*20)+15000)))*(1+(mason_bonus*TblConstr[[#This Row],[Tot Mas]]/TblConstr[[#This Row],[Land (2)]]))</f>
        <v>0</v>
      </c>
      <c r="AE76" s="142"/>
      <c r="AF76" s="428">
        <f ca="1">(1+Overview!$I$29)*SUM(TblImps[[#This Row],[P2]:[G2]])+OFFSET(TblImps[[#This Row],[Σ Science]],-1,0)</f>
        <v>0</v>
      </c>
      <c r="AG76" s="428">
        <f ca="1">(1+Overview!$I$29)*SUM(TblImps[[#This Row],[P3]:[G3]])+OFFSET(TblImps[[#This Row],[Σ Keep]],-1,0)</f>
        <v>0</v>
      </c>
      <c r="AH76" s="428">
        <f ca="1">(1+Overview!$I$29 + tech_7_1*TblTech[[#This Row],[7-1]])*SUM(TblImps[[#This Row],[P4]:[G4]])+OFFSET(TblImps[[#This Row],[Σ Spires]],-1,0)</f>
        <v>0</v>
      </c>
      <c r="AI76" s="428">
        <f ca="1">(1+Overview!$I$29)*SUM(TblImps[[#This Row],[P5]:[FW5]])+OFFSET(TblImps[[#This Row],[Σ Forges]],-1,0)</f>
        <v>0</v>
      </c>
      <c r="AJ76" s="428">
        <f ca="1">(1+Overview!$I$29)*SUM(TblImps[[#This Row],[P6]:[G6]])+OFFSET(TblImps[[#This Row],[Σ Walls]],-1,0)</f>
        <v>0</v>
      </c>
      <c r="AK76" s="428">
        <f ca="1">(1+Overview!$I$29 + tech_7_1*TblTech[[#This Row],[7-1]])*SUM(TblImps[[#This Row],[P7]:[G7]])+OFFSET(TblImps[[#This Row],[Σ Harbor]],-1,0)</f>
        <v>0</v>
      </c>
      <c r="AL76" s="142"/>
      <c r="AM76" s="431">
        <f>IF(AND(TblImps[[#This Row],[Resource]]=AM$2,TblImps[[#This Row],[Part]]&lt;&gt;""),TblImps[[#This Row],[Amount]]) + IF(AND(TblImps[[#This Row],[Resource 2]]=AM$2,TblImps[[#This Row],[Part 2]]&lt;&gt;""),TblImps[[#This Row],[Amount 2]]) + IF(AND(TblImps[[#This Row],[Resource 3]]=AM$2,TblImps[[#This Row],[Part 3]]&lt;&gt;""),TblImps[[#This Row],[Amount 3]])</f>
        <v>0</v>
      </c>
      <c r="AN76" s="431">
        <f>IF(AND(TblImps[[#This Row],[Resource]]=AN$2,TblImps[[#This Row],[Part]]&lt;&gt;""),TblImps[[#This Row],[Amount]]) + IF(AND(TblImps[[#This Row],[Resource 2]]=AN$2,TblImps[[#This Row],[Part 2]]&lt;&gt;""),TblImps[[#This Row],[Amount 2]]) + IF(AND(TblImps[[#This Row],[Resource 3]]=AN$2,TblImps[[#This Row],[Part 3]]&lt;&gt;""),TblImps[[#This Row],[Amount 3]])</f>
        <v>0</v>
      </c>
      <c r="AO76" s="431">
        <f>IF(AND(TblImps[[#This Row],[Resource]]=AO$2,TblImps[[#This Row],[Part]]&lt;&gt;""),TblImps[[#This Row],[Amount]]) + IF(AND(TblImps[[#This Row],[Resource 2]]=AO$2,TblImps[[#This Row],[Part 2]]&lt;&gt;""),TblImps[[#This Row],[Amount 2]]) + IF(AND(TblImps[[#This Row],[Resource 3]]=AO$2,TblImps[[#This Row],[Part 3]]&lt;&gt;""),TblImps[[#This Row],[Amount 3]])</f>
        <v>0</v>
      </c>
      <c r="AP76" s="431">
        <f>IF(AND(TblImps[[#This Row],[Resource]]=AP$2,TblImps[[#This Row],[Part]]&lt;&gt;""),TblImps[[#This Row],[Amount]]) + IF(AND(TblImps[[#This Row],[Resource 2]]=AP$2,TblImps[[#This Row],[Part 2]]&lt;&gt;""),TblImps[[#This Row],[Amount 2]]) + IF(AND(TblImps[[#This Row],[Resource 3]]=AP$2,TblImps[[#This Row],[Part 3]]&lt;&gt;""),TblImps[[#This Row],[Amount 3]])</f>
        <v>0</v>
      </c>
      <c r="AQ76" s="142"/>
      <c r="AR76" s="431">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431">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431">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431">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142"/>
      <c r="AW76" s="431">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431">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431">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431">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142"/>
      <c r="BB76" s="431">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431">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431">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431">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142"/>
      <c r="BG76" s="431">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431">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431">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431">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431">
        <f ca="1">IF(OFFSET(TblMagic[[#This Row],[Active Alchemists Flame]],-1,0)&gt;0,TblConstr[[#This Row],[Tot Alc]]*alchemist_flame_invest,0)</f>
        <v>0</v>
      </c>
      <c r="BL76" s="142"/>
      <c r="BM76" s="431">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6" s="431">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6" s="431">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6" s="431">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6" s="142"/>
      <c r="BR76" s="431">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6" s="431">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6" s="431">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6" s="431">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6" s="142"/>
      <c r="BW76" s="433"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6" s="428">
        <f>TblImps[[#This Row],[Login]]</f>
        <v>0</v>
      </c>
      <c r="BY76" s="137"/>
      <c r="BZ76" s="460">
        <f ca="1">OFFSET(TblImps[[#This Row],[Real time]],-1,0)+1/24</f>
        <v>46322.999999999825</v>
      </c>
      <c r="CA76" s="461">
        <f ca="1">OFFSET(TblImps[[#This Row],[Servertime]],-1,0)+1/24</f>
        <v>46322.999999999825</v>
      </c>
    </row>
    <row r="77" spans="1:85" x14ac:dyDescent="0.2">
      <c r="A77" s="214">
        <f ca="1">TblConstr[[#This Row],[Land]]</f>
        <v>50</v>
      </c>
      <c r="B77" s="142"/>
      <c r="C77" s="94">
        <f ca="1">TblProd[[#This Row],[Platinum]]</f>
        <v>185938</v>
      </c>
      <c r="D77" s="94">
        <f ca="1">TblProd[[#This Row],[Lumber]]</f>
        <v>59186</v>
      </c>
      <c r="E77" s="94">
        <f ca="1">TblProd[[#This Row],[Ore]]</f>
        <v>0</v>
      </c>
      <c r="F77" s="94">
        <f ca="1">TblProd[[#This Row],[Gems]]</f>
        <v>0</v>
      </c>
      <c r="G77" s="154"/>
      <c r="H77" s="94">
        <f ca="1">TblMili[[#This Row],[Draftees]]</f>
        <v>542</v>
      </c>
      <c r="I77" s="180">
        <f ca="1">TblPop[[#This Row],[Employment]]</f>
        <v>1</v>
      </c>
      <c r="J77" s="180">
        <f ca="1">TblPop[[#This Row],[Total]]/TblPop[[#This Row],[Net max]]</f>
        <v>1</v>
      </c>
      <c r="K77" s="283">
        <f>TblRezone[[#This Row],[Hour]]</f>
        <v>74</v>
      </c>
      <c r="L77" s="284">
        <f ca="1">TblImps[[#This Row],[Real time]]</f>
        <v>46323.04166666649</v>
      </c>
      <c r="M77" s="61">
        <f>IF(ISERROR(TblImps[[#This Row],[algorithm]]),0,TblImps[[#This Row],[algorithm]]*1)</f>
        <v>0</v>
      </c>
      <c r="N77" s="94">
        <f ca="1">TblImps[[#This Row],[Land]]</f>
        <v>50</v>
      </c>
      <c r="O77" s="285" t="s">
        <v>4</v>
      </c>
      <c r="P77" s="286"/>
      <c r="Q77" s="285" t="s">
        <v>210</v>
      </c>
      <c r="R77" s="285" t="s">
        <v>7</v>
      </c>
      <c r="S77" s="286"/>
      <c r="T77" s="285" t="s">
        <v>210</v>
      </c>
      <c r="U77" s="285" t="s">
        <v>3</v>
      </c>
      <c r="V77" s="286"/>
      <c r="W77" s="285" t="s">
        <v>210</v>
      </c>
      <c r="X77" s="142"/>
      <c r="Y77" s="287">
        <f ca="1">science_cap*(1-EXP(-TblImps[[#This Row],[Σ Science]]/(science_param*(OFFSET(TblImps[[#This Row],[Land]],1,0)-OFFSET(TblExplore[[#This Row],[Land Bonus]],1,0)*20)+15000)))*(1+(mason_bonus*TblConstr[[#This Row],[Tot Mas]]/TblConstr[[#This Row],[Land (2)]]))</f>
        <v>0</v>
      </c>
      <c r="Z77" s="287">
        <f ca="1">keep_cap*(1-EXP(-TblImps[[#This Row],[Σ Keep]]/(keep_param*(OFFSET(TblImps[[#This Row],[Land]],1,0)-OFFSET(TblExplore[[#This Row],[Land Bonus]],1,0)*20)+15000)))*(1+(mason_bonus*TblConstr[[#This Row],[Tot Mas]]/TblConstr[[#This Row],[Land (2)]]))</f>
        <v>0</v>
      </c>
      <c r="AA77" s="287">
        <f ca="1">harbor_towers_cap*(1-EXP(-TblImps[[#This Row],[Σ Spires]]/(towers_param*(OFFSET(TblImps[[#This Row],[Land]],1,0)-OFFSET(TblExplore[[#This Row],[Land Bonus]],1,0)*20)+15000)))*(1+(mason_bonus*TblConstr[[#This Row],[Tot Mas]]/TblConstr[[#This Row],[Land (2)]]))</f>
        <v>0</v>
      </c>
      <c r="AB77" s="287">
        <f ca="1">walls_forges_cap*(1-EXP(-TblImps[[#This Row],[Σ Forges]]/(walls_forges_param*(OFFSET(TblImps[[#This Row],[Land]],1,0)-OFFSET(TblExplore[[#This Row],[Land Bonus]],1,0)*20)+15000)))*(1+(mason_bonus*TblConstr[[#This Row],[Tot Mas]]/TblConstr[[#This Row],[Land (2)]]))</f>
        <v>0</v>
      </c>
      <c r="AC77" s="287">
        <f ca="1">walls_forges_cap*(1-EXP(-TblImps[[#This Row],[Σ Walls]]/(walls_forges_param*(OFFSET(TblImps[[#This Row],[Land]],1,0)-OFFSET(TblExplore[[#This Row],[Land Bonus]],1,0)*20)+15000)))*(1+(mason_bonus*TblConstr[[#This Row],[Tot Mas]]/TblConstr[[#This Row],[Land (2)]]))</f>
        <v>0</v>
      </c>
      <c r="AD77" s="287">
        <f ca="1">harbor_towers_cap*(1-EXP(-TblImps[[#This Row],[Σ Harbor]]/(harbor_towers_param*(OFFSET(TblImps[[#This Row],[Land]],1,0)-OFFSET(TblExplore[[#This Row],[Land Bonus]],1,0)*20)+15000)))*(1+(mason_bonus*TblConstr[[#This Row],[Tot Mas]]/TblConstr[[#This Row],[Land (2)]]))</f>
        <v>0</v>
      </c>
      <c r="AE77" s="142"/>
      <c r="AF77" s="61">
        <f ca="1">(1+Overview!$I$29)*SUM(TblImps[[#This Row],[P2]:[G2]])+OFFSET(TblImps[[#This Row],[Σ Science]],-1,0)</f>
        <v>0</v>
      </c>
      <c r="AG77" s="61">
        <f ca="1">(1+Overview!$I$29)*SUM(TblImps[[#This Row],[P3]:[G3]])+OFFSET(TblImps[[#This Row],[Σ Keep]],-1,0)</f>
        <v>0</v>
      </c>
      <c r="AH77" s="61">
        <f ca="1">(1+Overview!$I$29 + tech_7_1*TblTech[[#This Row],[7-1]])*SUM(TblImps[[#This Row],[P4]:[G4]])+OFFSET(TblImps[[#This Row],[Σ Spires]],-1,0)</f>
        <v>0</v>
      </c>
      <c r="AI77" s="61">
        <f ca="1">(1+Overview!$I$29)*SUM(TblImps[[#This Row],[P5]:[FW5]])+OFFSET(TblImps[[#This Row],[Σ Forges]],-1,0)</f>
        <v>0</v>
      </c>
      <c r="AJ77" s="61">
        <f ca="1">(1+Overview!$I$29)*SUM(TblImps[[#This Row],[P6]:[G6]])+OFFSET(TblImps[[#This Row],[Σ Walls]],-1,0)</f>
        <v>0</v>
      </c>
      <c r="AK77" s="61">
        <f ca="1">(1+Overview!$I$29 + tech_7_1*TblTech[[#This Row],[7-1]])*SUM(TblImps[[#This Row],[P7]:[G7]])+OFFSET(TblImps[[#This Row],[Σ Harbor]],-1,0)</f>
        <v>0</v>
      </c>
      <c r="AL77" s="142"/>
      <c r="AM77" s="57">
        <f>IF(AND(TblImps[[#This Row],[Resource]]=AM$2,TblImps[[#This Row],[Part]]&lt;&gt;""),TblImps[[#This Row],[Amount]]) + IF(AND(TblImps[[#This Row],[Resource 2]]=AM$2,TblImps[[#This Row],[Part 2]]&lt;&gt;""),TblImps[[#This Row],[Amount 2]]) + IF(AND(TblImps[[#This Row],[Resource 3]]=AM$2,TblImps[[#This Row],[Part 3]]&lt;&gt;""),TblImps[[#This Row],[Amount 3]])</f>
        <v>0</v>
      </c>
      <c r="AN77" s="57">
        <f>IF(AND(TblImps[[#This Row],[Resource]]=AN$2,TblImps[[#This Row],[Part]]&lt;&gt;""),TblImps[[#This Row],[Amount]]) + IF(AND(TblImps[[#This Row],[Resource 2]]=AN$2,TblImps[[#This Row],[Part 2]]&lt;&gt;""),TblImps[[#This Row],[Amount 2]]) + IF(AND(TblImps[[#This Row],[Resource 3]]=AN$2,TblImps[[#This Row],[Part 3]]&lt;&gt;""),TblImps[[#This Row],[Amount 3]])</f>
        <v>0</v>
      </c>
      <c r="AO77" s="57">
        <f>IF(AND(TblImps[[#This Row],[Resource]]=AO$2,TblImps[[#This Row],[Part]]&lt;&gt;""),TblImps[[#This Row],[Amount]]) + IF(AND(TblImps[[#This Row],[Resource 2]]=AO$2,TblImps[[#This Row],[Part 2]]&lt;&gt;""),TblImps[[#This Row],[Amount 2]]) + IF(AND(TblImps[[#This Row],[Resource 3]]=AO$2,TblImps[[#This Row],[Part 3]]&lt;&gt;""),TblImps[[#This Row],[Amount 3]])</f>
        <v>0</v>
      </c>
      <c r="AP77" s="57">
        <f>IF(AND(TblImps[[#This Row],[Resource]]=AP$2,TblImps[[#This Row],[Part]]&lt;&gt;""),TblImps[[#This Row],[Amount]]) + IF(AND(TblImps[[#This Row],[Resource 2]]=AP$2,TblImps[[#This Row],[Part 2]]&lt;&gt;""),TblImps[[#This Row],[Amount 2]]) + IF(AND(TblImps[[#This Row],[Resource 3]]=AP$2,TblImps[[#This Row],[Part 3]]&lt;&gt;""),TblImps[[#This Row],[Amount 3]])</f>
        <v>0</v>
      </c>
      <c r="AQ77" s="142"/>
      <c r="AR7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142"/>
      <c r="AW7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142"/>
      <c r="BB7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142"/>
      <c r="BG7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57">
        <f ca="1">IF(OFFSET(TblMagic[[#This Row],[Active Alchemists Flame]],-1,0)&gt;0,TblConstr[[#This Row],[Tot Alc]]*alchemist_flame_invest,0)</f>
        <v>0</v>
      </c>
      <c r="BL77" s="142"/>
      <c r="BM7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7" s="142"/>
      <c r="BR7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7" s="142"/>
      <c r="BW7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7" s="61">
        <f>TblImps[[#This Row],[Login]]</f>
        <v>0</v>
      </c>
      <c r="BY77" s="137"/>
      <c r="BZ77" s="293">
        <f ca="1">OFFSET(TblImps[[#This Row],[Real time]],-1,0)+1/24</f>
        <v>46323.04166666649</v>
      </c>
      <c r="CA77" s="294">
        <f ca="1">OFFSET(TblImps[[#This Row],[Servertime]],-1,0)+1/24</f>
        <v>46323.04166666649</v>
      </c>
      <c r="CB77" s="57"/>
      <c r="CC77" s="292"/>
      <c r="CD77" s="292"/>
    </row>
    <row r="78" spans="1:85" x14ac:dyDescent="0.2">
      <c r="A78" s="214">
        <f ca="1">TblConstr[[#This Row],[Land]]</f>
        <v>50</v>
      </c>
      <c r="B78" s="142"/>
      <c r="C78" s="94">
        <f ca="1">TblProd[[#This Row],[Platinum]]</f>
        <v>186550</v>
      </c>
      <c r="D78" s="94">
        <f ca="1">TblProd[[#This Row],[Lumber]]</f>
        <v>59594</v>
      </c>
      <c r="E78" s="94">
        <f ca="1">TblProd[[#This Row],[Ore]]</f>
        <v>0</v>
      </c>
      <c r="F78" s="94">
        <f ca="1">TblProd[[#This Row],[Gems]]</f>
        <v>0</v>
      </c>
      <c r="G78" s="154"/>
      <c r="H78" s="94">
        <f ca="1">TblMili[[#This Row],[Draftees]]</f>
        <v>544</v>
      </c>
      <c r="I78" s="180">
        <f ca="1">TblPop[[#This Row],[Employment]]</f>
        <v>1</v>
      </c>
      <c r="J78" s="180">
        <f ca="1">TblPop[[#This Row],[Total]]/TblPop[[#This Row],[Net max]]</f>
        <v>1</v>
      </c>
      <c r="K78" s="283">
        <f>TblRezone[[#This Row],[Hour]]</f>
        <v>75</v>
      </c>
      <c r="L78" s="284">
        <f ca="1">TblImps[[#This Row],[Real time]]</f>
        <v>46323.083333333154</v>
      </c>
      <c r="M78" s="61">
        <f>IF(ISERROR(TblImps[[#This Row],[algorithm]]),0,TblImps[[#This Row],[algorithm]]*1)</f>
        <v>0</v>
      </c>
      <c r="N78" s="94">
        <f ca="1">TblImps[[#This Row],[Land]]</f>
        <v>50</v>
      </c>
      <c r="O78" s="285" t="s">
        <v>4</v>
      </c>
      <c r="P78" s="286"/>
      <c r="Q78" s="285" t="s">
        <v>210</v>
      </c>
      <c r="R78" s="285" t="s">
        <v>7</v>
      </c>
      <c r="S78" s="286"/>
      <c r="T78" s="285" t="s">
        <v>210</v>
      </c>
      <c r="U78" s="285" t="s">
        <v>3</v>
      </c>
      <c r="V78" s="286"/>
      <c r="W78" s="285" t="s">
        <v>210</v>
      </c>
      <c r="X78" s="142"/>
      <c r="Y78" s="287">
        <f ca="1">science_cap*(1-EXP(-TblImps[[#This Row],[Σ Science]]/(science_param*(OFFSET(TblImps[[#This Row],[Land]],1,0)-OFFSET(TblExplore[[#This Row],[Land Bonus]],1,0)*20)+15000)))*(1+(mason_bonus*TblConstr[[#This Row],[Tot Mas]]/TblConstr[[#This Row],[Land (2)]]))</f>
        <v>0</v>
      </c>
      <c r="Z78" s="287">
        <f ca="1">keep_cap*(1-EXP(-TblImps[[#This Row],[Σ Keep]]/(keep_param*(OFFSET(TblImps[[#This Row],[Land]],1,0)-OFFSET(TblExplore[[#This Row],[Land Bonus]],1,0)*20)+15000)))*(1+(mason_bonus*TblConstr[[#This Row],[Tot Mas]]/TblConstr[[#This Row],[Land (2)]]))</f>
        <v>0</v>
      </c>
      <c r="AA78" s="287">
        <f ca="1">harbor_towers_cap*(1-EXP(-TblImps[[#This Row],[Σ Spires]]/(towers_param*(OFFSET(TblImps[[#This Row],[Land]],1,0)-OFFSET(TblExplore[[#This Row],[Land Bonus]],1,0)*20)+15000)))*(1+(mason_bonus*TblConstr[[#This Row],[Tot Mas]]/TblConstr[[#This Row],[Land (2)]]))</f>
        <v>0</v>
      </c>
      <c r="AB78" s="287">
        <f ca="1">walls_forges_cap*(1-EXP(-TblImps[[#This Row],[Σ Forges]]/(walls_forges_param*(OFFSET(TblImps[[#This Row],[Land]],1,0)-OFFSET(TblExplore[[#This Row],[Land Bonus]],1,0)*20)+15000)))*(1+(mason_bonus*TblConstr[[#This Row],[Tot Mas]]/TblConstr[[#This Row],[Land (2)]]))</f>
        <v>0</v>
      </c>
      <c r="AC78" s="287">
        <f ca="1">walls_forges_cap*(1-EXP(-TblImps[[#This Row],[Σ Walls]]/(walls_forges_param*(OFFSET(TblImps[[#This Row],[Land]],1,0)-OFFSET(TblExplore[[#This Row],[Land Bonus]],1,0)*20)+15000)))*(1+(mason_bonus*TblConstr[[#This Row],[Tot Mas]]/TblConstr[[#This Row],[Land (2)]]))</f>
        <v>0</v>
      </c>
      <c r="AD78" s="287">
        <f ca="1">harbor_towers_cap*(1-EXP(-TblImps[[#This Row],[Σ Harbor]]/(harbor_towers_param*(OFFSET(TblImps[[#This Row],[Land]],1,0)-OFFSET(TblExplore[[#This Row],[Land Bonus]],1,0)*20)+15000)))*(1+(mason_bonus*TblConstr[[#This Row],[Tot Mas]]/TblConstr[[#This Row],[Land (2)]]))</f>
        <v>0</v>
      </c>
      <c r="AE78" s="142"/>
      <c r="AF78" s="61">
        <f ca="1">(1+Overview!$I$29)*SUM(TblImps[[#This Row],[P2]:[G2]])+OFFSET(TblImps[[#This Row],[Σ Science]],-1,0)</f>
        <v>0</v>
      </c>
      <c r="AG78" s="61">
        <f ca="1">(1+Overview!$I$29)*SUM(TblImps[[#This Row],[P3]:[G3]])+OFFSET(TblImps[[#This Row],[Σ Keep]],-1,0)</f>
        <v>0</v>
      </c>
      <c r="AH78" s="61">
        <f ca="1">(1+Overview!$I$29 + tech_7_1*TblTech[[#This Row],[7-1]])*SUM(TblImps[[#This Row],[P4]:[G4]])+OFFSET(TblImps[[#This Row],[Σ Spires]],-1,0)</f>
        <v>0</v>
      </c>
      <c r="AI78" s="61">
        <f ca="1">(1+Overview!$I$29)*SUM(TblImps[[#This Row],[P5]:[FW5]])+OFFSET(TblImps[[#This Row],[Σ Forges]],-1,0)</f>
        <v>0</v>
      </c>
      <c r="AJ78" s="61">
        <f ca="1">(1+Overview!$I$29)*SUM(TblImps[[#This Row],[P6]:[G6]])+OFFSET(TblImps[[#This Row],[Σ Walls]],-1,0)</f>
        <v>0</v>
      </c>
      <c r="AK78" s="61">
        <f ca="1">(1+Overview!$I$29 + tech_7_1*TblTech[[#This Row],[7-1]])*SUM(TblImps[[#This Row],[P7]:[G7]])+OFFSET(TblImps[[#This Row],[Σ Harbor]],-1,0)</f>
        <v>0</v>
      </c>
      <c r="AL78" s="142"/>
      <c r="AM78" s="57">
        <f>IF(AND(TblImps[[#This Row],[Resource]]=AM$2,TblImps[[#This Row],[Part]]&lt;&gt;""),TblImps[[#This Row],[Amount]]) + IF(AND(TblImps[[#This Row],[Resource 2]]=AM$2,TblImps[[#This Row],[Part 2]]&lt;&gt;""),TblImps[[#This Row],[Amount 2]]) + IF(AND(TblImps[[#This Row],[Resource 3]]=AM$2,TblImps[[#This Row],[Part 3]]&lt;&gt;""),TblImps[[#This Row],[Amount 3]])</f>
        <v>0</v>
      </c>
      <c r="AN78" s="57">
        <f>IF(AND(TblImps[[#This Row],[Resource]]=AN$2,TblImps[[#This Row],[Part]]&lt;&gt;""),TblImps[[#This Row],[Amount]]) + IF(AND(TblImps[[#This Row],[Resource 2]]=AN$2,TblImps[[#This Row],[Part 2]]&lt;&gt;""),TblImps[[#This Row],[Amount 2]]) + IF(AND(TblImps[[#This Row],[Resource 3]]=AN$2,TblImps[[#This Row],[Part 3]]&lt;&gt;""),TblImps[[#This Row],[Amount 3]])</f>
        <v>0</v>
      </c>
      <c r="AO78" s="57">
        <f>IF(AND(TblImps[[#This Row],[Resource]]=AO$2,TblImps[[#This Row],[Part]]&lt;&gt;""),TblImps[[#This Row],[Amount]]) + IF(AND(TblImps[[#This Row],[Resource 2]]=AO$2,TblImps[[#This Row],[Part 2]]&lt;&gt;""),TblImps[[#This Row],[Amount 2]]) + IF(AND(TblImps[[#This Row],[Resource 3]]=AO$2,TblImps[[#This Row],[Part 3]]&lt;&gt;""),TblImps[[#This Row],[Amount 3]])</f>
        <v>0</v>
      </c>
      <c r="AP78" s="57">
        <f>IF(AND(TblImps[[#This Row],[Resource]]=AP$2,TblImps[[#This Row],[Part]]&lt;&gt;""),TblImps[[#This Row],[Amount]]) + IF(AND(TblImps[[#This Row],[Resource 2]]=AP$2,TblImps[[#This Row],[Part 2]]&lt;&gt;""),TblImps[[#This Row],[Amount 2]]) + IF(AND(TblImps[[#This Row],[Resource 3]]=AP$2,TblImps[[#This Row],[Part 3]]&lt;&gt;""),TblImps[[#This Row],[Amount 3]])</f>
        <v>0</v>
      </c>
      <c r="AQ78" s="142"/>
      <c r="AR7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142"/>
      <c r="AW7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142"/>
      <c r="BB7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142"/>
      <c r="BG7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57">
        <f ca="1">IF(OFFSET(TblMagic[[#This Row],[Active Alchemists Flame]],-1,0)&gt;0,TblConstr[[#This Row],[Tot Alc]]*alchemist_flame_invest,0)</f>
        <v>0</v>
      </c>
      <c r="BL78" s="142"/>
      <c r="BM7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8" s="142"/>
      <c r="BR7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8" s="142"/>
      <c r="BW7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8" s="61">
        <f>TblImps[[#This Row],[Login]]</f>
        <v>0</v>
      </c>
      <c r="BY78" s="137"/>
      <c r="BZ78" s="293">
        <f ca="1">OFFSET(TblImps[[#This Row],[Real time]],-1,0)+1/24</f>
        <v>46323.083333333154</v>
      </c>
      <c r="CA78" s="294">
        <f ca="1">OFFSET(TblImps[[#This Row],[Servertime]],-1,0)+1/24</f>
        <v>46323.083333333154</v>
      </c>
      <c r="CB78" s="57"/>
      <c r="CC78" s="292"/>
      <c r="CD78" s="292"/>
      <c r="CG78" s="295"/>
    </row>
    <row r="79" spans="1:85" x14ac:dyDescent="0.2">
      <c r="A79" s="214">
        <f ca="1">TblConstr[[#This Row],[Land]]</f>
        <v>50</v>
      </c>
      <c r="B79" s="142"/>
      <c r="C79" s="94">
        <f ca="1">TblProd[[#This Row],[Platinum]]</f>
        <v>187157</v>
      </c>
      <c r="D79" s="94">
        <f ca="1">TblProd[[#This Row],[Lumber]]</f>
        <v>59998</v>
      </c>
      <c r="E79" s="94">
        <f ca="1">TblProd[[#This Row],[Ore]]</f>
        <v>0</v>
      </c>
      <c r="F79" s="94">
        <f ca="1">TblProd[[#This Row],[Gems]]</f>
        <v>0</v>
      </c>
      <c r="G79" s="154"/>
      <c r="H79" s="94">
        <f ca="1">TblMili[[#This Row],[Draftees]]</f>
        <v>546</v>
      </c>
      <c r="I79" s="180">
        <f ca="1">TblPop[[#This Row],[Employment]]</f>
        <v>1</v>
      </c>
      <c r="J79" s="180">
        <f ca="1">TblPop[[#This Row],[Total]]/TblPop[[#This Row],[Net max]]</f>
        <v>1</v>
      </c>
      <c r="K79" s="283">
        <f>TblRezone[[#This Row],[Hour]]</f>
        <v>76</v>
      </c>
      <c r="L79" s="284">
        <f ca="1">TblImps[[#This Row],[Real time]]</f>
        <v>46323.124999999818</v>
      </c>
      <c r="M79" s="61">
        <f>IF(ISERROR(TblImps[[#This Row],[algorithm]]),0,TblImps[[#This Row],[algorithm]]*1)</f>
        <v>0</v>
      </c>
      <c r="N79" s="94">
        <f ca="1">TblImps[[#This Row],[Land]]</f>
        <v>50</v>
      </c>
      <c r="O79" s="285" t="s">
        <v>4</v>
      </c>
      <c r="P79" s="286"/>
      <c r="Q79" s="285" t="s">
        <v>210</v>
      </c>
      <c r="R79" s="285" t="s">
        <v>7</v>
      </c>
      <c r="S79" s="286"/>
      <c r="T79" s="285" t="s">
        <v>210</v>
      </c>
      <c r="U79" s="285" t="s">
        <v>3</v>
      </c>
      <c r="V79" s="286"/>
      <c r="W79" s="285" t="s">
        <v>210</v>
      </c>
      <c r="X79" s="142"/>
      <c r="Y79" s="287">
        <f ca="1">science_cap*(1-EXP(-TblImps[[#This Row],[Σ Science]]/(science_param*(OFFSET(TblImps[[#This Row],[Land]],1,0)-OFFSET(TblExplore[[#This Row],[Land Bonus]],1,0)*20)+15000)))*(1+(mason_bonus*TblConstr[[#This Row],[Tot Mas]]/TblConstr[[#This Row],[Land (2)]]))</f>
        <v>0</v>
      </c>
      <c r="Z79" s="287">
        <f ca="1">keep_cap*(1-EXP(-TblImps[[#This Row],[Σ Keep]]/(keep_param*(OFFSET(TblImps[[#This Row],[Land]],1,0)-OFFSET(TblExplore[[#This Row],[Land Bonus]],1,0)*20)+15000)))*(1+(mason_bonus*TblConstr[[#This Row],[Tot Mas]]/TblConstr[[#This Row],[Land (2)]]))</f>
        <v>0</v>
      </c>
      <c r="AA79" s="287">
        <f ca="1">harbor_towers_cap*(1-EXP(-TblImps[[#This Row],[Σ Spires]]/(towers_param*(OFFSET(TblImps[[#This Row],[Land]],1,0)-OFFSET(TblExplore[[#This Row],[Land Bonus]],1,0)*20)+15000)))*(1+(mason_bonus*TblConstr[[#This Row],[Tot Mas]]/TblConstr[[#This Row],[Land (2)]]))</f>
        <v>0</v>
      </c>
      <c r="AB79" s="287">
        <f ca="1">walls_forges_cap*(1-EXP(-TblImps[[#This Row],[Σ Forges]]/(walls_forges_param*(OFFSET(TblImps[[#This Row],[Land]],1,0)-OFFSET(TblExplore[[#This Row],[Land Bonus]],1,0)*20)+15000)))*(1+(mason_bonus*TblConstr[[#This Row],[Tot Mas]]/TblConstr[[#This Row],[Land (2)]]))</f>
        <v>0</v>
      </c>
      <c r="AC79" s="287">
        <f ca="1">walls_forges_cap*(1-EXP(-TblImps[[#This Row],[Σ Walls]]/(walls_forges_param*(OFFSET(TblImps[[#This Row],[Land]],1,0)-OFFSET(TblExplore[[#This Row],[Land Bonus]],1,0)*20)+15000)))*(1+(mason_bonus*TblConstr[[#This Row],[Tot Mas]]/TblConstr[[#This Row],[Land (2)]]))</f>
        <v>0</v>
      </c>
      <c r="AD79" s="287">
        <f ca="1">harbor_towers_cap*(1-EXP(-TblImps[[#This Row],[Σ Harbor]]/(harbor_towers_param*(OFFSET(TblImps[[#This Row],[Land]],1,0)-OFFSET(TblExplore[[#This Row],[Land Bonus]],1,0)*20)+15000)))*(1+(mason_bonus*TblConstr[[#This Row],[Tot Mas]]/TblConstr[[#This Row],[Land (2)]]))</f>
        <v>0</v>
      </c>
      <c r="AE79" s="142"/>
      <c r="AF79" s="61">
        <f ca="1">(1+Overview!$I$29)*SUM(TblImps[[#This Row],[P2]:[G2]])+OFFSET(TblImps[[#This Row],[Σ Science]],-1,0)</f>
        <v>0</v>
      </c>
      <c r="AG79" s="61">
        <f ca="1">(1+Overview!$I$29)*SUM(TblImps[[#This Row],[P3]:[G3]])+OFFSET(TblImps[[#This Row],[Σ Keep]],-1,0)</f>
        <v>0</v>
      </c>
      <c r="AH79" s="61">
        <f ca="1">(1+Overview!$I$29 + tech_7_1*TblTech[[#This Row],[7-1]])*SUM(TblImps[[#This Row],[P4]:[G4]])+OFFSET(TblImps[[#This Row],[Σ Spires]],-1,0)</f>
        <v>0</v>
      </c>
      <c r="AI79" s="61">
        <f ca="1">(1+Overview!$I$29)*SUM(TblImps[[#This Row],[P5]:[FW5]])+OFFSET(TblImps[[#This Row],[Σ Forges]],-1,0)</f>
        <v>0</v>
      </c>
      <c r="AJ79" s="61">
        <f ca="1">(1+Overview!$I$29)*SUM(TblImps[[#This Row],[P6]:[G6]])+OFFSET(TblImps[[#This Row],[Σ Walls]],-1,0)</f>
        <v>0</v>
      </c>
      <c r="AK79" s="61">
        <f ca="1">(1+Overview!$I$29 + tech_7_1*TblTech[[#This Row],[7-1]])*SUM(TblImps[[#This Row],[P7]:[G7]])+OFFSET(TblImps[[#This Row],[Σ Harbor]],-1,0)</f>
        <v>0</v>
      </c>
      <c r="AL79" s="142"/>
      <c r="AM79" s="57">
        <f>IF(AND(TblImps[[#This Row],[Resource]]=AM$2,TblImps[[#This Row],[Part]]&lt;&gt;""),TblImps[[#This Row],[Amount]]) + IF(AND(TblImps[[#This Row],[Resource 2]]=AM$2,TblImps[[#This Row],[Part 2]]&lt;&gt;""),TblImps[[#This Row],[Amount 2]]) + IF(AND(TblImps[[#This Row],[Resource 3]]=AM$2,TblImps[[#This Row],[Part 3]]&lt;&gt;""),TblImps[[#This Row],[Amount 3]])</f>
        <v>0</v>
      </c>
      <c r="AN79" s="57">
        <f>IF(AND(TblImps[[#This Row],[Resource]]=AN$2,TblImps[[#This Row],[Part]]&lt;&gt;""),TblImps[[#This Row],[Amount]]) + IF(AND(TblImps[[#This Row],[Resource 2]]=AN$2,TblImps[[#This Row],[Part 2]]&lt;&gt;""),TblImps[[#This Row],[Amount 2]]) + IF(AND(TblImps[[#This Row],[Resource 3]]=AN$2,TblImps[[#This Row],[Part 3]]&lt;&gt;""),TblImps[[#This Row],[Amount 3]])</f>
        <v>0</v>
      </c>
      <c r="AO79" s="57">
        <f>IF(AND(TblImps[[#This Row],[Resource]]=AO$2,TblImps[[#This Row],[Part]]&lt;&gt;""),TblImps[[#This Row],[Amount]]) + IF(AND(TblImps[[#This Row],[Resource 2]]=AO$2,TblImps[[#This Row],[Part 2]]&lt;&gt;""),TblImps[[#This Row],[Amount 2]]) + IF(AND(TblImps[[#This Row],[Resource 3]]=AO$2,TblImps[[#This Row],[Part 3]]&lt;&gt;""),TblImps[[#This Row],[Amount 3]])</f>
        <v>0</v>
      </c>
      <c r="AP79" s="57">
        <f>IF(AND(TblImps[[#This Row],[Resource]]=AP$2,TblImps[[#This Row],[Part]]&lt;&gt;""),TblImps[[#This Row],[Amount]]) + IF(AND(TblImps[[#This Row],[Resource 2]]=AP$2,TblImps[[#This Row],[Part 2]]&lt;&gt;""),TblImps[[#This Row],[Amount 2]]) + IF(AND(TblImps[[#This Row],[Resource 3]]=AP$2,TblImps[[#This Row],[Part 3]]&lt;&gt;""),TblImps[[#This Row],[Amount 3]])</f>
        <v>0</v>
      </c>
      <c r="AQ79" s="142"/>
      <c r="AR7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142"/>
      <c r="AW7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142"/>
      <c r="BB7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142"/>
      <c r="BG7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57">
        <f ca="1">IF(OFFSET(TblMagic[[#This Row],[Active Alchemists Flame]],-1,0)&gt;0,TblConstr[[#This Row],[Tot Alc]]*alchemist_flame_invest,0)</f>
        <v>0</v>
      </c>
      <c r="BL79" s="142"/>
      <c r="BM7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9" s="142"/>
      <c r="BR7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9" s="142"/>
      <c r="BW7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9" s="61">
        <f>TblImps[[#This Row],[Login]]</f>
        <v>0</v>
      </c>
      <c r="BY79" s="137"/>
      <c r="BZ79" s="293">
        <f ca="1">OFFSET(TblImps[[#This Row],[Real time]],-1,0)+1/24</f>
        <v>46323.124999999818</v>
      </c>
      <c r="CA79" s="294">
        <f ca="1">OFFSET(TblImps[[#This Row],[Servertime]],-1,0)+1/24</f>
        <v>46323.124999999818</v>
      </c>
      <c r="CB79" s="57"/>
      <c r="CC79" s="292"/>
      <c r="CD79" s="292"/>
      <c r="CG79" s="296"/>
    </row>
    <row r="80" spans="1:85" x14ac:dyDescent="0.2">
      <c r="A80" s="214">
        <f ca="1">TblConstr[[#This Row],[Land]]</f>
        <v>50</v>
      </c>
      <c r="B80" s="142"/>
      <c r="C80" s="94">
        <f ca="1">TblProd[[#This Row],[Platinum]]</f>
        <v>187759</v>
      </c>
      <c r="D80" s="94">
        <f ca="1">TblProd[[#This Row],[Lumber]]</f>
        <v>60398</v>
      </c>
      <c r="E80" s="94">
        <f ca="1">TblProd[[#This Row],[Ore]]</f>
        <v>0</v>
      </c>
      <c r="F80" s="94">
        <f ca="1">TblProd[[#This Row],[Gems]]</f>
        <v>0</v>
      </c>
      <c r="G80" s="154"/>
      <c r="H80" s="94">
        <f ca="1">TblMili[[#This Row],[Draftees]]</f>
        <v>548</v>
      </c>
      <c r="I80" s="180">
        <f ca="1">TblPop[[#This Row],[Employment]]</f>
        <v>1</v>
      </c>
      <c r="J80" s="180">
        <f ca="1">TblPop[[#This Row],[Total]]/TblPop[[#This Row],[Net max]]</f>
        <v>1</v>
      </c>
      <c r="K80" s="283">
        <f>TblRezone[[#This Row],[Hour]]</f>
        <v>77</v>
      </c>
      <c r="L80" s="284">
        <f ca="1">TblImps[[#This Row],[Real time]]</f>
        <v>46323.166666666482</v>
      </c>
      <c r="M80" s="61">
        <f>IF(ISERROR(TblImps[[#This Row],[algorithm]]),0,TblImps[[#This Row],[algorithm]]*1)</f>
        <v>0</v>
      </c>
      <c r="N80" s="94">
        <f ca="1">TblImps[[#This Row],[Land]]</f>
        <v>50</v>
      </c>
      <c r="O80" s="285" t="s">
        <v>4</v>
      </c>
      <c r="P80" s="286"/>
      <c r="Q80" s="285" t="s">
        <v>210</v>
      </c>
      <c r="R80" s="285" t="s">
        <v>7</v>
      </c>
      <c r="S80" s="286"/>
      <c r="T80" s="285" t="s">
        <v>210</v>
      </c>
      <c r="U80" s="285" t="s">
        <v>3</v>
      </c>
      <c r="V80" s="286"/>
      <c r="W80" s="285" t="s">
        <v>210</v>
      </c>
      <c r="X80" s="142"/>
      <c r="Y80" s="287">
        <f ca="1">science_cap*(1-EXP(-TblImps[[#This Row],[Σ Science]]/(science_param*(OFFSET(TblImps[[#This Row],[Land]],1,0)-OFFSET(TblExplore[[#This Row],[Land Bonus]],1,0)*20)+15000)))*(1+(mason_bonus*TblConstr[[#This Row],[Tot Mas]]/TblConstr[[#This Row],[Land (2)]]))</f>
        <v>0</v>
      </c>
      <c r="Z80" s="287">
        <f ca="1">keep_cap*(1-EXP(-TblImps[[#This Row],[Σ Keep]]/(keep_param*(OFFSET(TblImps[[#This Row],[Land]],1,0)-OFFSET(TblExplore[[#This Row],[Land Bonus]],1,0)*20)+15000)))*(1+(mason_bonus*TblConstr[[#This Row],[Tot Mas]]/TblConstr[[#This Row],[Land (2)]]))</f>
        <v>0</v>
      </c>
      <c r="AA80" s="287">
        <f ca="1">harbor_towers_cap*(1-EXP(-TblImps[[#This Row],[Σ Spires]]/(towers_param*(OFFSET(TblImps[[#This Row],[Land]],1,0)-OFFSET(TblExplore[[#This Row],[Land Bonus]],1,0)*20)+15000)))*(1+(mason_bonus*TblConstr[[#This Row],[Tot Mas]]/TblConstr[[#This Row],[Land (2)]]))</f>
        <v>0</v>
      </c>
      <c r="AB80" s="287">
        <f ca="1">walls_forges_cap*(1-EXP(-TblImps[[#This Row],[Σ Forges]]/(walls_forges_param*(OFFSET(TblImps[[#This Row],[Land]],1,0)-OFFSET(TblExplore[[#This Row],[Land Bonus]],1,0)*20)+15000)))*(1+(mason_bonus*TblConstr[[#This Row],[Tot Mas]]/TblConstr[[#This Row],[Land (2)]]))</f>
        <v>0</v>
      </c>
      <c r="AC80" s="287">
        <f ca="1">walls_forges_cap*(1-EXP(-TblImps[[#This Row],[Σ Walls]]/(walls_forges_param*(OFFSET(TblImps[[#This Row],[Land]],1,0)-OFFSET(TblExplore[[#This Row],[Land Bonus]],1,0)*20)+15000)))*(1+(mason_bonus*TblConstr[[#This Row],[Tot Mas]]/TblConstr[[#This Row],[Land (2)]]))</f>
        <v>0</v>
      </c>
      <c r="AD80" s="287">
        <f ca="1">harbor_towers_cap*(1-EXP(-TblImps[[#This Row],[Σ Harbor]]/(harbor_towers_param*(OFFSET(TblImps[[#This Row],[Land]],1,0)-OFFSET(TblExplore[[#This Row],[Land Bonus]],1,0)*20)+15000)))*(1+(mason_bonus*TblConstr[[#This Row],[Tot Mas]]/TblConstr[[#This Row],[Land (2)]]))</f>
        <v>0</v>
      </c>
      <c r="AE80" s="142"/>
      <c r="AF80" s="61">
        <f ca="1">(1+Overview!$I$29)*SUM(TblImps[[#This Row],[P2]:[G2]])+OFFSET(TblImps[[#This Row],[Σ Science]],-1,0)</f>
        <v>0</v>
      </c>
      <c r="AG80" s="61">
        <f ca="1">(1+Overview!$I$29)*SUM(TblImps[[#This Row],[P3]:[G3]])+OFFSET(TblImps[[#This Row],[Σ Keep]],-1,0)</f>
        <v>0</v>
      </c>
      <c r="AH80" s="61">
        <f ca="1">(1+Overview!$I$29 + tech_7_1*TblTech[[#This Row],[7-1]])*SUM(TblImps[[#This Row],[P4]:[G4]])+OFFSET(TblImps[[#This Row],[Σ Spires]],-1,0)</f>
        <v>0</v>
      </c>
      <c r="AI80" s="61">
        <f ca="1">(1+Overview!$I$29)*SUM(TblImps[[#This Row],[P5]:[FW5]])+OFFSET(TblImps[[#This Row],[Σ Forges]],-1,0)</f>
        <v>0</v>
      </c>
      <c r="AJ80" s="61">
        <f ca="1">(1+Overview!$I$29)*SUM(TblImps[[#This Row],[P6]:[G6]])+OFFSET(TblImps[[#This Row],[Σ Walls]],-1,0)</f>
        <v>0</v>
      </c>
      <c r="AK80" s="61">
        <f ca="1">(1+Overview!$I$29 + tech_7_1*TblTech[[#This Row],[7-1]])*SUM(TblImps[[#This Row],[P7]:[G7]])+OFFSET(TblImps[[#This Row],[Σ Harbor]],-1,0)</f>
        <v>0</v>
      </c>
      <c r="AL80" s="142"/>
      <c r="AM80" s="57">
        <f>IF(AND(TblImps[[#This Row],[Resource]]=AM$2,TblImps[[#This Row],[Part]]&lt;&gt;""),TblImps[[#This Row],[Amount]]) + IF(AND(TblImps[[#This Row],[Resource 2]]=AM$2,TblImps[[#This Row],[Part 2]]&lt;&gt;""),TblImps[[#This Row],[Amount 2]]) + IF(AND(TblImps[[#This Row],[Resource 3]]=AM$2,TblImps[[#This Row],[Part 3]]&lt;&gt;""),TblImps[[#This Row],[Amount 3]])</f>
        <v>0</v>
      </c>
      <c r="AN80" s="57">
        <f>IF(AND(TblImps[[#This Row],[Resource]]=AN$2,TblImps[[#This Row],[Part]]&lt;&gt;""),TblImps[[#This Row],[Amount]]) + IF(AND(TblImps[[#This Row],[Resource 2]]=AN$2,TblImps[[#This Row],[Part 2]]&lt;&gt;""),TblImps[[#This Row],[Amount 2]]) + IF(AND(TblImps[[#This Row],[Resource 3]]=AN$2,TblImps[[#This Row],[Part 3]]&lt;&gt;""),TblImps[[#This Row],[Amount 3]])</f>
        <v>0</v>
      </c>
      <c r="AO80" s="57">
        <f>IF(AND(TblImps[[#This Row],[Resource]]=AO$2,TblImps[[#This Row],[Part]]&lt;&gt;""),TblImps[[#This Row],[Amount]]) + IF(AND(TblImps[[#This Row],[Resource 2]]=AO$2,TblImps[[#This Row],[Part 2]]&lt;&gt;""),TblImps[[#This Row],[Amount 2]]) + IF(AND(TblImps[[#This Row],[Resource 3]]=AO$2,TblImps[[#This Row],[Part 3]]&lt;&gt;""),TblImps[[#This Row],[Amount 3]])</f>
        <v>0</v>
      </c>
      <c r="AP80" s="57">
        <f>IF(AND(TblImps[[#This Row],[Resource]]=AP$2,TblImps[[#This Row],[Part]]&lt;&gt;""),TblImps[[#This Row],[Amount]]) + IF(AND(TblImps[[#This Row],[Resource 2]]=AP$2,TblImps[[#This Row],[Part 2]]&lt;&gt;""),TblImps[[#This Row],[Amount 2]]) + IF(AND(TblImps[[#This Row],[Resource 3]]=AP$2,TblImps[[#This Row],[Part 3]]&lt;&gt;""),TblImps[[#This Row],[Amount 3]])</f>
        <v>0</v>
      </c>
      <c r="AQ80" s="142"/>
      <c r="AR8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142"/>
      <c r="AW8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142"/>
      <c r="BB8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142"/>
      <c r="BG8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57">
        <f ca="1">IF(OFFSET(TblMagic[[#This Row],[Active Alchemists Flame]],-1,0)&gt;0,TblConstr[[#This Row],[Tot Alc]]*alchemist_flame_invest,0)</f>
        <v>0</v>
      </c>
      <c r="BL80" s="142"/>
      <c r="BM8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0" s="142"/>
      <c r="BR8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0" s="142"/>
      <c r="BW8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0" s="61">
        <f>TblImps[[#This Row],[Login]]</f>
        <v>0</v>
      </c>
      <c r="BY80" s="137"/>
      <c r="BZ80" s="293">
        <f ca="1">OFFSET(TblImps[[#This Row],[Real time]],-1,0)+1/24</f>
        <v>46323.166666666482</v>
      </c>
      <c r="CA80" s="294">
        <f ca="1">OFFSET(TblImps[[#This Row],[Servertime]],-1,0)+1/24</f>
        <v>46323.166666666482</v>
      </c>
      <c r="CB80" s="57"/>
      <c r="CC80" s="292"/>
      <c r="CD80" s="292"/>
      <c r="CG80" s="295"/>
    </row>
    <row r="81" spans="1:85" x14ac:dyDescent="0.2">
      <c r="A81" s="214">
        <f ca="1">TblConstr[[#This Row],[Land]]</f>
        <v>50</v>
      </c>
      <c r="B81" s="142"/>
      <c r="C81" s="94">
        <f ca="1">TblProd[[#This Row],[Platinum]]</f>
        <v>188355</v>
      </c>
      <c r="D81" s="94">
        <f ca="1">TblProd[[#This Row],[Lumber]]</f>
        <v>60794</v>
      </c>
      <c r="E81" s="94">
        <f ca="1">TblProd[[#This Row],[Ore]]</f>
        <v>0</v>
      </c>
      <c r="F81" s="94">
        <f ca="1">TblProd[[#This Row],[Gems]]</f>
        <v>0</v>
      </c>
      <c r="G81" s="154"/>
      <c r="H81" s="94">
        <f ca="1">TblMili[[#This Row],[Draftees]]</f>
        <v>550</v>
      </c>
      <c r="I81" s="180">
        <f ca="1">TblPop[[#This Row],[Employment]]</f>
        <v>1</v>
      </c>
      <c r="J81" s="180">
        <f ca="1">TblPop[[#This Row],[Total]]/TblPop[[#This Row],[Net max]]</f>
        <v>1</v>
      </c>
      <c r="K81" s="283">
        <f>TblRezone[[#This Row],[Hour]]</f>
        <v>78</v>
      </c>
      <c r="L81" s="284">
        <f ca="1">TblImps[[#This Row],[Real time]]</f>
        <v>46323.208333333147</v>
      </c>
      <c r="M81" s="61">
        <f>IF(ISERROR(TblImps[[#This Row],[algorithm]]),0,TblImps[[#This Row],[algorithm]]*1)</f>
        <v>0</v>
      </c>
      <c r="N81" s="94">
        <f ca="1">TblImps[[#This Row],[Land]]</f>
        <v>50</v>
      </c>
      <c r="O81" s="285" t="s">
        <v>4</v>
      </c>
      <c r="P81" s="286"/>
      <c r="Q81" s="285" t="s">
        <v>210</v>
      </c>
      <c r="R81" s="285" t="s">
        <v>7</v>
      </c>
      <c r="S81" s="286"/>
      <c r="T81" s="285" t="s">
        <v>210</v>
      </c>
      <c r="U81" s="285" t="s">
        <v>3</v>
      </c>
      <c r="V81" s="286"/>
      <c r="W81" s="285" t="s">
        <v>210</v>
      </c>
      <c r="X81" s="142"/>
      <c r="Y81" s="287">
        <f ca="1">science_cap*(1-EXP(-TblImps[[#This Row],[Σ Science]]/(science_param*(OFFSET(TblImps[[#This Row],[Land]],1,0)-OFFSET(TblExplore[[#This Row],[Land Bonus]],1,0)*20)+15000)))*(1+(mason_bonus*TblConstr[[#This Row],[Tot Mas]]/TblConstr[[#This Row],[Land (2)]]))</f>
        <v>0</v>
      </c>
      <c r="Z81" s="287">
        <f ca="1">keep_cap*(1-EXP(-TblImps[[#This Row],[Σ Keep]]/(keep_param*(OFFSET(TblImps[[#This Row],[Land]],1,0)-OFFSET(TblExplore[[#This Row],[Land Bonus]],1,0)*20)+15000)))*(1+(mason_bonus*TblConstr[[#This Row],[Tot Mas]]/TblConstr[[#This Row],[Land (2)]]))</f>
        <v>0</v>
      </c>
      <c r="AA81" s="287">
        <f ca="1">harbor_towers_cap*(1-EXP(-TblImps[[#This Row],[Σ Spires]]/(towers_param*(OFFSET(TblImps[[#This Row],[Land]],1,0)-OFFSET(TblExplore[[#This Row],[Land Bonus]],1,0)*20)+15000)))*(1+(mason_bonus*TblConstr[[#This Row],[Tot Mas]]/TblConstr[[#This Row],[Land (2)]]))</f>
        <v>0</v>
      </c>
      <c r="AB81" s="287">
        <f ca="1">walls_forges_cap*(1-EXP(-TblImps[[#This Row],[Σ Forges]]/(walls_forges_param*(OFFSET(TblImps[[#This Row],[Land]],1,0)-OFFSET(TblExplore[[#This Row],[Land Bonus]],1,0)*20)+15000)))*(1+(mason_bonus*TblConstr[[#This Row],[Tot Mas]]/TblConstr[[#This Row],[Land (2)]]))</f>
        <v>0</v>
      </c>
      <c r="AC81" s="287">
        <f ca="1">walls_forges_cap*(1-EXP(-TblImps[[#This Row],[Σ Walls]]/(walls_forges_param*(OFFSET(TblImps[[#This Row],[Land]],1,0)-OFFSET(TblExplore[[#This Row],[Land Bonus]],1,0)*20)+15000)))*(1+(mason_bonus*TblConstr[[#This Row],[Tot Mas]]/TblConstr[[#This Row],[Land (2)]]))</f>
        <v>0</v>
      </c>
      <c r="AD81" s="287">
        <f ca="1">harbor_towers_cap*(1-EXP(-TblImps[[#This Row],[Σ Harbor]]/(harbor_towers_param*(OFFSET(TblImps[[#This Row],[Land]],1,0)-OFFSET(TblExplore[[#This Row],[Land Bonus]],1,0)*20)+15000)))*(1+(mason_bonus*TblConstr[[#This Row],[Tot Mas]]/TblConstr[[#This Row],[Land (2)]]))</f>
        <v>0</v>
      </c>
      <c r="AE81" s="142"/>
      <c r="AF81" s="61">
        <f ca="1">(1+Overview!$I$29)*SUM(TblImps[[#This Row],[P2]:[G2]])+OFFSET(TblImps[[#This Row],[Σ Science]],-1,0)</f>
        <v>0</v>
      </c>
      <c r="AG81" s="61">
        <f ca="1">(1+Overview!$I$29)*SUM(TblImps[[#This Row],[P3]:[G3]])+OFFSET(TblImps[[#This Row],[Σ Keep]],-1,0)</f>
        <v>0</v>
      </c>
      <c r="AH81" s="61">
        <f ca="1">(1+Overview!$I$29 + tech_7_1*TblTech[[#This Row],[7-1]])*SUM(TblImps[[#This Row],[P4]:[G4]])+OFFSET(TblImps[[#This Row],[Σ Spires]],-1,0)</f>
        <v>0</v>
      </c>
      <c r="AI81" s="61">
        <f ca="1">(1+Overview!$I$29)*SUM(TblImps[[#This Row],[P5]:[FW5]])+OFFSET(TblImps[[#This Row],[Σ Forges]],-1,0)</f>
        <v>0</v>
      </c>
      <c r="AJ81" s="61">
        <f ca="1">(1+Overview!$I$29)*SUM(TblImps[[#This Row],[P6]:[G6]])+OFFSET(TblImps[[#This Row],[Σ Walls]],-1,0)</f>
        <v>0</v>
      </c>
      <c r="AK81" s="61">
        <f ca="1">(1+Overview!$I$29 + tech_7_1*TblTech[[#This Row],[7-1]])*SUM(TblImps[[#This Row],[P7]:[G7]])+OFFSET(TblImps[[#This Row],[Σ Harbor]],-1,0)</f>
        <v>0</v>
      </c>
      <c r="AL81" s="142"/>
      <c r="AM81" s="57">
        <f>IF(AND(TblImps[[#This Row],[Resource]]=AM$2,TblImps[[#This Row],[Part]]&lt;&gt;""),TblImps[[#This Row],[Amount]]) + IF(AND(TblImps[[#This Row],[Resource 2]]=AM$2,TblImps[[#This Row],[Part 2]]&lt;&gt;""),TblImps[[#This Row],[Amount 2]]) + IF(AND(TblImps[[#This Row],[Resource 3]]=AM$2,TblImps[[#This Row],[Part 3]]&lt;&gt;""),TblImps[[#This Row],[Amount 3]])</f>
        <v>0</v>
      </c>
      <c r="AN81" s="57">
        <f>IF(AND(TblImps[[#This Row],[Resource]]=AN$2,TblImps[[#This Row],[Part]]&lt;&gt;""),TblImps[[#This Row],[Amount]]) + IF(AND(TblImps[[#This Row],[Resource 2]]=AN$2,TblImps[[#This Row],[Part 2]]&lt;&gt;""),TblImps[[#This Row],[Amount 2]]) + IF(AND(TblImps[[#This Row],[Resource 3]]=AN$2,TblImps[[#This Row],[Part 3]]&lt;&gt;""),TblImps[[#This Row],[Amount 3]])</f>
        <v>0</v>
      </c>
      <c r="AO81" s="57">
        <f>IF(AND(TblImps[[#This Row],[Resource]]=AO$2,TblImps[[#This Row],[Part]]&lt;&gt;""),TblImps[[#This Row],[Amount]]) + IF(AND(TblImps[[#This Row],[Resource 2]]=AO$2,TblImps[[#This Row],[Part 2]]&lt;&gt;""),TblImps[[#This Row],[Amount 2]]) + IF(AND(TblImps[[#This Row],[Resource 3]]=AO$2,TblImps[[#This Row],[Part 3]]&lt;&gt;""),TblImps[[#This Row],[Amount 3]])</f>
        <v>0</v>
      </c>
      <c r="AP81" s="57">
        <f>IF(AND(TblImps[[#This Row],[Resource]]=AP$2,TblImps[[#This Row],[Part]]&lt;&gt;""),TblImps[[#This Row],[Amount]]) + IF(AND(TblImps[[#This Row],[Resource 2]]=AP$2,TblImps[[#This Row],[Part 2]]&lt;&gt;""),TblImps[[#This Row],[Amount 2]]) + IF(AND(TblImps[[#This Row],[Resource 3]]=AP$2,TblImps[[#This Row],[Part 3]]&lt;&gt;""),TblImps[[#This Row],[Amount 3]])</f>
        <v>0</v>
      </c>
      <c r="AQ81" s="142"/>
      <c r="AR8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142"/>
      <c r="AW8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142"/>
      <c r="BB8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142"/>
      <c r="BG8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57">
        <f ca="1">IF(OFFSET(TblMagic[[#This Row],[Active Alchemists Flame]],-1,0)&gt;0,TblConstr[[#This Row],[Tot Alc]]*alchemist_flame_invest,0)</f>
        <v>0</v>
      </c>
      <c r="BL81" s="142"/>
      <c r="BM8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1" s="142"/>
      <c r="BR8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1" s="142"/>
      <c r="BW8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1" s="61">
        <f>TblImps[[#This Row],[Login]]</f>
        <v>0</v>
      </c>
      <c r="BY81" s="137"/>
      <c r="BZ81" s="293">
        <f ca="1">OFFSET(TblImps[[#This Row],[Real time]],-1,0)+1/24</f>
        <v>46323.208333333147</v>
      </c>
      <c r="CA81" s="294">
        <f ca="1">OFFSET(TblImps[[#This Row],[Servertime]],-1,0)+1/24</f>
        <v>46323.208333333147</v>
      </c>
      <c r="CB81" s="57"/>
      <c r="CC81" s="292"/>
      <c r="CD81" s="292"/>
      <c r="CG81" s="295"/>
    </row>
    <row r="82" spans="1:85" x14ac:dyDescent="0.2">
      <c r="A82" s="214">
        <f ca="1">TblConstr[[#This Row],[Land]]</f>
        <v>50</v>
      </c>
      <c r="B82" s="142"/>
      <c r="C82" s="94">
        <f ca="1">TblProd[[#This Row],[Platinum]]</f>
        <v>188946</v>
      </c>
      <c r="D82" s="94">
        <f ca="1">TblProd[[#This Row],[Lumber]]</f>
        <v>61186</v>
      </c>
      <c r="E82" s="94">
        <f ca="1">TblProd[[#This Row],[Ore]]</f>
        <v>0</v>
      </c>
      <c r="F82" s="94">
        <f ca="1">TblProd[[#This Row],[Gems]]</f>
        <v>0</v>
      </c>
      <c r="G82" s="154"/>
      <c r="H82" s="94">
        <f ca="1">TblMili[[#This Row],[Draftees]]</f>
        <v>552</v>
      </c>
      <c r="I82" s="180">
        <f ca="1">TblPop[[#This Row],[Employment]]</f>
        <v>1</v>
      </c>
      <c r="J82" s="180">
        <f ca="1">TblPop[[#This Row],[Total]]/TblPop[[#This Row],[Net max]]</f>
        <v>1</v>
      </c>
      <c r="K82" s="283">
        <f>TblRezone[[#This Row],[Hour]]</f>
        <v>79</v>
      </c>
      <c r="L82" s="284">
        <f ca="1">TblImps[[#This Row],[Real time]]</f>
        <v>46323.249999999811</v>
      </c>
      <c r="M82" s="61">
        <f>IF(ISERROR(TblImps[[#This Row],[algorithm]]),0,TblImps[[#This Row],[algorithm]]*1)</f>
        <v>0</v>
      </c>
      <c r="N82" s="94">
        <f ca="1">TblImps[[#This Row],[Land]]</f>
        <v>50</v>
      </c>
      <c r="O82" s="285" t="s">
        <v>4</v>
      </c>
      <c r="P82" s="286"/>
      <c r="Q82" s="285" t="s">
        <v>210</v>
      </c>
      <c r="R82" s="285" t="s">
        <v>7</v>
      </c>
      <c r="S82" s="286"/>
      <c r="T82" s="285" t="s">
        <v>210</v>
      </c>
      <c r="U82" s="285" t="s">
        <v>3</v>
      </c>
      <c r="V82" s="286"/>
      <c r="W82" s="285" t="s">
        <v>210</v>
      </c>
      <c r="X82" s="142"/>
      <c r="Y82" s="287">
        <f ca="1">science_cap*(1-EXP(-TblImps[[#This Row],[Σ Science]]/(science_param*(OFFSET(TblImps[[#This Row],[Land]],1,0)-OFFSET(TblExplore[[#This Row],[Land Bonus]],1,0)*20)+15000)))*(1+(mason_bonus*TblConstr[[#This Row],[Tot Mas]]/TblConstr[[#This Row],[Land (2)]]))</f>
        <v>0</v>
      </c>
      <c r="Z82" s="287">
        <f ca="1">keep_cap*(1-EXP(-TblImps[[#This Row],[Σ Keep]]/(keep_param*(OFFSET(TblImps[[#This Row],[Land]],1,0)-OFFSET(TblExplore[[#This Row],[Land Bonus]],1,0)*20)+15000)))*(1+(mason_bonus*TblConstr[[#This Row],[Tot Mas]]/TblConstr[[#This Row],[Land (2)]]))</f>
        <v>0</v>
      </c>
      <c r="AA82" s="287">
        <f ca="1">harbor_towers_cap*(1-EXP(-TblImps[[#This Row],[Σ Spires]]/(towers_param*(OFFSET(TblImps[[#This Row],[Land]],1,0)-OFFSET(TblExplore[[#This Row],[Land Bonus]],1,0)*20)+15000)))*(1+(mason_bonus*TblConstr[[#This Row],[Tot Mas]]/TblConstr[[#This Row],[Land (2)]]))</f>
        <v>0</v>
      </c>
      <c r="AB82" s="287">
        <f ca="1">walls_forges_cap*(1-EXP(-TblImps[[#This Row],[Σ Forges]]/(walls_forges_param*(OFFSET(TblImps[[#This Row],[Land]],1,0)-OFFSET(TblExplore[[#This Row],[Land Bonus]],1,0)*20)+15000)))*(1+(mason_bonus*TblConstr[[#This Row],[Tot Mas]]/TblConstr[[#This Row],[Land (2)]]))</f>
        <v>0</v>
      </c>
      <c r="AC82" s="287">
        <f ca="1">walls_forges_cap*(1-EXP(-TblImps[[#This Row],[Σ Walls]]/(walls_forges_param*(OFFSET(TblImps[[#This Row],[Land]],1,0)-OFFSET(TblExplore[[#This Row],[Land Bonus]],1,0)*20)+15000)))*(1+(mason_bonus*TblConstr[[#This Row],[Tot Mas]]/TblConstr[[#This Row],[Land (2)]]))</f>
        <v>0</v>
      </c>
      <c r="AD82" s="287">
        <f ca="1">harbor_towers_cap*(1-EXP(-TblImps[[#This Row],[Σ Harbor]]/(harbor_towers_param*(OFFSET(TblImps[[#This Row],[Land]],1,0)-OFFSET(TblExplore[[#This Row],[Land Bonus]],1,0)*20)+15000)))*(1+(mason_bonus*TblConstr[[#This Row],[Tot Mas]]/TblConstr[[#This Row],[Land (2)]]))</f>
        <v>0</v>
      </c>
      <c r="AE82" s="142"/>
      <c r="AF82" s="61">
        <f ca="1">(1+Overview!$I$29)*SUM(TblImps[[#This Row],[P2]:[G2]])+OFFSET(TblImps[[#This Row],[Σ Science]],-1,0)</f>
        <v>0</v>
      </c>
      <c r="AG82" s="61">
        <f ca="1">(1+Overview!$I$29)*SUM(TblImps[[#This Row],[P3]:[G3]])+OFFSET(TblImps[[#This Row],[Σ Keep]],-1,0)</f>
        <v>0</v>
      </c>
      <c r="AH82" s="61">
        <f ca="1">(1+Overview!$I$29 + tech_7_1*TblTech[[#This Row],[7-1]])*SUM(TblImps[[#This Row],[P4]:[G4]])+OFFSET(TblImps[[#This Row],[Σ Spires]],-1,0)</f>
        <v>0</v>
      </c>
      <c r="AI82" s="61">
        <f ca="1">(1+Overview!$I$29)*SUM(TblImps[[#This Row],[P5]:[FW5]])+OFFSET(TblImps[[#This Row],[Σ Forges]],-1,0)</f>
        <v>0</v>
      </c>
      <c r="AJ82" s="61">
        <f ca="1">(1+Overview!$I$29)*SUM(TblImps[[#This Row],[P6]:[G6]])+OFFSET(TblImps[[#This Row],[Σ Walls]],-1,0)</f>
        <v>0</v>
      </c>
      <c r="AK82" s="61">
        <f ca="1">(1+Overview!$I$29 + tech_7_1*TblTech[[#This Row],[7-1]])*SUM(TblImps[[#This Row],[P7]:[G7]])+OFFSET(TblImps[[#This Row],[Σ Harbor]],-1,0)</f>
        <v>0</v>
      </c>
      <c r="AL82" s="142"/>
      <c r="AM82" s="57">
        <f>IF(AND(TblImps[[#This Row],[Resource]]=AM$2,TblImps[[#This Row],[Part]]&lt;&gt;""),TblImps[[#This Row],[Amount]]) + IF(AND(TblImps[[#This Row],[Resource 2]]=AM$2,TblImps[[#This Row],[Part 2]]&lt;&gt;""),TblImps[[#This Row],[Amount 2]]) + IF(AND(TblImps[[#This Row],[Resource 3]]=AM$2,TblImps[[#This Row],[Part 3]]&lt;&gt;""),TblImps[[#This Row],[Amount 3]])</f>
        <v>0</v>
      </c>
      <c r="AN82" s="57">
        <f>IF(AND(TblImps[[#This Row],[Resource]]=AN$2,TblImps[[#This Row],[Part]]&lt;&gt;""),TblImps[[#This Row],[Amount]]) + IF(AND(TblImps[[#This Row],[Resource 2]]=AN$2,TblImps[[#This Row],[Part 2]]&lt;&gt;""),TblImps[[#This Row],[Amount 2]]) + IF(AND(TblImps[[#This Row],[Resource 3]]=AN$2,TblImps[[#This Row],[Part 3]]&lt;&gt;""),TblImps[[#This Row],[Amount 3]])</f>
        <v>0</v>
      </c>
      <c r="AO82" s="57">
        <f>IF(AND(TblImps[[#This Row],[Resource]]=AO$2,TblImps[[#This Row],[Part]]&lt;&gt;""),TblImps[[#This Row],[Amount]]) + IF(AND(TblImps[[#This Row],[Resource 2]]=AO$2,TblImps[[#This Row],[Part 2]]&lt;&gt;""),TblImps[[#This Row],[Amount 2]]) + IF(AND(TblImps[[#This Row],[Resource 3]]=AO$2,TblImps[[#This Row],[Part 3]]&lt;&gt;""),TblImps[[#This Row],[Amount 3]])</f>
        <v>0</v>
      </c>
      <c r="AP82" s="57">
        <f>IF(AND(TblImps[[#This Row],[Resource]]=AP$2,TblImps[[#This Row],[Part]]&lt;&gt;""),TblImps[[#This Row],[Amount]]) + IF(AND(TblImps[[#This Row],[Resource 2]]=AP$2,TblImps[[#This Row],[Part 2]]&lt;&gt;""),TblImps[[#This Row],[Amount 2]]) + IF(AND(TblImps[[#This Row],[Resource 3]]=AP$2,TblImps[[#This Row],[Part 3]]&lt;&gt;""),TblImps[[#This Row],[Amount 3]])</f>
        <v>0</v>
      </c>
      <c r="AQ82" s="142"/>
      <c r="AR8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142"/>
      <c r="AW8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142"/>
      <c r="BB8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142"/>
      <c r="BG8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57">
        <f ca="1">IF(OFFSET(TblMagic[[#This Row],[Active Alchemists Flame]],-1,0)&gt;0,TblConstr[[#This Row],[Tot Alc]]*alchemist_flame_invest,0)</f>
        <v>0</v>
      </c>
      <c r="BL82" s="142"/>
      <c r="BM8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2" s="142"/>
      <c r="BR8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2" s="142"/>
      <c r="BW8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2" s="61">
        <f>TblImps[[#This Row],[Login]]</f>
        <v>0</v>
      </c>
      <c r="BY82" s="137"/>
      <c r="BZ82" s="293">
        <f ca="1">OFFSET(TblImps[[#This Row],[Real time]],-1,0)+1/24</f>
        <v>46323.249999999811</v>
      </c>
      <c r="CA82" s="294">
        <f ca="1">OFFSET(TblImps[[#This Row],[Servertime]],-1,0)+1/24</f>
        <v>46323.249999999811</v>
      </c>
      <c r="CB82" s="57"/>
      <c r="CC82" s="292"/>
      <c r="CD82" s="292"/>
    </row>
    <row r="83" spans="1:85" x14ac:dyDescent="0.2">
      <c r="A83" s="214">
        <f ca="1">TblConstr[[#This Row],[Land]]</f>
        <v>50</v>
      </c>
      <c r="B83" s="142"/>
      <c r="C83" s="94">
        <f ca="1">TblProd[[#This Row],[Platinum]]</f>
        <v>189531</v>
      </c>
      <c r="D83" s="94">
        <f ca="1">TblProd[[#This Row],[Lumber]]</f>
        <v>61574</v>
      </c>
      <c r="E83" s="94">
        <f ca="1">TblProd[[#This Row],[Ore]]</f>
        <v>0</v>
      </c>
      <c r="F83" s="94">
        <f ca="1">TblProd[[#This Row],[Gems]]</f>
        <v>0</v>
      </c>
      <c r="G83" s="154"/>
      <c r="H83" s="94">
        <f ca="1">TblMili[[#This Row],[Draftees]]</f>
        <v>554</v>
      </c>
      <c r="I83" s="180">
        <f ca="1">TblPop[[#This Row],[Employment]]</f>
        <v>1</v>
      </c>
      <c r="J83" s="180">
        <f ca="1">TblPop[[#This Row],[Total]]/TblPop[[#This Row],[Net max]]</f>
        <v>1</v>
      </c>
      <c r="K83" s="283">
        <f>TblRezone[[#This Row],[Hour]]</f>
        <v>80</v>
      </c>
      <c r="L83" s="284">
        <f ca="1">TblImps[[#This Row],[Real time]]</f>
        <v>46323.291666666475</v>
      </c>
      <c r="M83" s="61">
        <f>IF(ISERROR(TblImps[[#This Row],[algorithm]]),0,TblImps[[#This Row],[algorithm]]*1)</f>
        <v>0</v>
      </c>
      <c r="N83" s="94">
        <f ca="1">TblImps[[#This Row],[Land]]</f>
        <v>50</v>
      </c>
      <c r="O83" s="285" t="s">
        <v>4</v>
      </c>
      <c r="P83" s="286"/>
      <c r="Q83" s="285" t="s">
        <v>210</v>
      </c>
      <c r="R83" s="285" t="s">
        <v>7</v>
      </c>
      <c r="S83" s="286"/>
      <c r="T83" s="285" t="s">
        <v>210</v>
      </c>
      <c r="U83" s="285" t="s">
        <v>3</v>
      </c>
      <c r="V83" s="286"/>
      <c r="W83" s="285" t="s">
        <v>210</v>
      </c>
      <c r="X83" s="142"/>
      <c r="Y83" s="287">
        <f ca="1">science_cap*(1-EXP(-TblImps[[#This Row],[Σ Science]]/(science_param*(OFFSET(TblImps[[#This Row],[Land]],1,0)-OFFSET(TblExplore[[#This Row],[Land Bonus]],1,0)*20)+15000)))*(1+(mason_bonus*TblConstr[[#This Row],[Tot Mas]]/TblConstr[[#This Row],[Land (2)]]))</f>
        <v>0</v>
      </c>
      <c r="Z83" s="287">
        <f ca="1">keep_cap*(1-EXP(-TblImps[[#This Row],[Σ Keep]]/(keep_param*(OFFSET(TblImps[[#This Row],[Land]],1,0)-OFFSET(TblExplore[[#This Row],[Land Bonus]],1,0)*20)+15000)))*(1+(mason_bonus*TblConstr[[#This Row],[Tot Mas]]/TblConstr[[#This Row],[Land (2)]]))</f>
        <v>0</v>
      </c>
      <c r="AA83" s="287">
        <f ca="1">harbor_towers_cap*(1-EXP(-TblImps[[#This Row],[Σ Spires]]/(towers_param*(OFFSET(TblImps[[#This Row],[Land]],1,0)-OFFSET(TblExplore[[#This Row],[Land Bonus]],1,0)*20)+15000)))*(1+(mason_bonus*TblConstr[[#This Row],[Tot Mas]]/TblConstr[[#This Row],[Land (2)]]))</f>
        <v>0</v>
      </c>
      <c r="AB83" s="287">
        <f ca="1">walls_forges_cap*(1-EXP(-TblImps[[#This Row],[Σ Forges]]/(walls_forges_param*(OFFSET(TblImps[[#This Row],[Land]],1,0)-OFFSET(TblExplore[[#This Row],[Land Bonus]],1,0)*20)+15000)))*(1+(mason_bonus*TblConstr[[#This Row],[Tot Mas]]/TblConstr[[#This Row],[Land (2)]]))</f>
        <v>0</v>
      </c>
      <c r="AC83" s="287">
        <f ca="1">walls_forges_cap*(1-EXP(-TblImps[[#This Row],[Σ Walls]]/(walls_forges_param*(OFFSET(TblImps[[#This Row],[Land]],1,0)-OFFSET(TblExplore[[#This Row],[Land Bonus]],1,0)*20)+15000)))*(1+(mason_bonus*TblConstr[[#This Row],[Tot Mas]]/TblConstr[[#This Row],[Land (2)]]))</f>
        <v>0</v>
      </c>
      <c r="AD83" s="287">
        <f ca="1">harbor_towers_cap*(1-EXP(-TblImps[[#This Row],[Σ Harbor]]/(harbor_towers_param*(OFFSET(TblImps[[#This Row],[Land]],1,0)-OFFSET(TblExplore[[#This Row],[Land Bonus]],1,0)*20)+15000)))*(1+(mason_bonus*TblConstr[[#This Row],[Tot Mas]]/TblConstr[[#This Row],[Land (2)]]))</f>
        <v>0</v>
      </c>
      <c r="AE83" s="142"/>
      <c r="AF83" s="61">
        <f ca="1">(1+Overview!$I$29)*SUM(TblImps[[#This Row],[P2]:[G2]])+OFFSET(TblImps[[#This Row],[Σ Science]],-1,0)</f>
        <v>0</v>
      </c>
      <c r="AG83" s="61">
        <f ca="1">(1+Overview!$I$29)*SUM(TblImps[[#This Row],[P3]:[G3]])+OFFSET(TblImps[[#This Row],[Σ Keep]],-1,0)</f>
        <v>0</v>
      </c>
      <c r="AH83" s="61">
        <f ca="1">(1+Overview!$I$29 + tech_7_1*TblTech[[#This Row],[7-1]])*SUM(TblImps[[#This Row],[P4]:[G4]])+OFFSET(TblImps[[#This Row],[Σ Spires]],-1,0)</f>
        <v>0</v>
      </c>
      <c r="AI83" s="61">
        <f ca="1">(1+Overview!$I$29)*SUM(TblImps[[#This Row],[P5]:[FW5]])+OFFSET(TblImps[[#This Row],[Σ Forges]],-1,0)</f>
        <v>0</v>
      </c>
      <c r="AJ83" s="61">
        <f ca="1">(1+Overview!$I$29)*SUM(TblImps[[#This Row],[P6]:[G6]])+OFFSET(TblImps[[#This Row],[Σ Walls]],-1,0)</f>
        <v>0</v>
      </c>
      <c r="AK83" s="61">
        <f ca="1">(1+Overview!$I$29 + tech_7_1*TblTech[[#This Row],[7-1]])*SUM(TblImps[[#This Row],[P7]:[G7]])+OFFSET(TblImps[[#This Row],[Σ Harbor]],-1,0)</f>
        <v>0</v>
      </c>
      <c r="AL83" s="142"/>
      <c r="AM83" s="57">
        <f>IF(AND(TblImps[[#This Row],[Resource]]=AM$2,TblImps[[#This Row],[Part]]&lt;&gt;""),TblImps[[#This Row],[Amount]]) + IF(AND(TblImps[[#This Row],[Resource 2]]=AM$2,TblImps[[#This Row],[Part 2]]&lt;&gt;""),TblImps[[#This Row],[Amount 2]]) + IF(AND(TblImps[[#This Row],[Resource 3]]=AM$2,TblImps[[#This Row],[Part 3]]&lt;&gt;""),TblImps[[#This Row],[Amount 3]])</f>
        <v>0</v>
      </c>
      <c r="AN83" s="57">
        <f>IF(AND(TblImps[[#This Row],[Resource]]=AN$2,TblImps[[#This Row],[Part]]&lt;&gt;""),TblImps[[#This Row],[Amount]]) + IF(AND(TblImps[[#This Row],[Resource 2]]=AN$2,TblImps[[#This Row],[Part 2]]&lt;&gt;""),TblImps[[#This Row],[Amount 2]]) + IF(AND(TblImps[[#This Row],[Resource 3]]=AN$2,TblImps[[#This Row],[Part 3]]&lt;&gt;""),TblImps[[#This Row],[Amount 3]])</f>
        <v>0</v>
      </c>
      <c r="AO83" s="57">
        <f>IF(AND(TblImps[[#This Row],[Resource]]=AO$2,TblImps[[#This Row],[Part]]&lt;&gt;""),TblImps[[#This Row],[Amount]]) + IF(AND(TblImps[[#This Row],[Resource 2]]=AO$2,TblImps[[#This Row],[Part 2]]&lt;&gt;""),TblImps[[#This Row],[Amount 2]]) + IF(AND(TblImps[[#This Row],[Resource 3]]=AO$2,TblImps[[#This Row],[Part 3]]&lt;&gt;""),TblImps[[#This Row],[Amount 3]])</f>
        <v>0</v>
      </c>
      <c r="AP83" s="57">
        <f>IF(AND(TblImps[[#This Row],[Resource]]=AP$2,TblImps[[#This Row],[Part]]&lt;&gt;""),TblImps[[#This Row],[Amount]]) + IF(AND(TblImps[[#This Row],[Resource 2]]=AP$2,TblImps[[#This Row],[Part 2]]&lt;&gt;""),TblImps[[#This Row],[Amount 2]]) + IF(AND(TblImps[[#This Row],[Resource 3]]=AP$2,TblImps[[#This Row],[Part 3]]&lt;&gt;""),TblImps[[#This Row],[Amount 3]])</f>
        <v>0</v>
      </c>
      <c r="AQ83" s="142"/>
      <c r="AR8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142"/>
      <c r="AW8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142"/>
      <c r="BB8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142"/>
      <c r="BG8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57">
        <f ca="1">IF(OFFSET(TblMagic[[#This Row],[Active Alchemists Flame]],-1,0)&gt;0,TblConstr[[#This Row],[Tot Alc]]*alchemist_flame_invest,0)</f>
        <v>0</v>
      </c>
      <c r="BL83" s="142"/>
      <c r="BM8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3" s="142"/>
      <c r="BR8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3" s="142"/>
      <c r="BW8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3" s="61">
        <f>TblImps[[#This Row],[Login]]</f>
        <v>0</v>
      </c>
      <c r="BY83" s="137"/>
      <c r="BZ83" s="293">
        <f ca="1">OFFSET(TblImps[[#This Row],[Real time]],-1,0)+1/24</f>
        <v>46323.291666666475</v>
      </c>
      <c r="CA83" s="294">
        <f ca="1">OFFSET(TblImps[[#This Row],[Servertime]],-1,0)+1/24</f>
        <v>46323.291666666475</v>
      </c>
      <c r="CB83" s="57"/>
      <c r="CC83" s="292"/>
      <c r="CD83" s="292"/>
    </row>
    <row r="84" spans="1:85" x14ac:dyDescent="0.2">
      <c r="A84" s="214">
        <f ca="1">TblConstr[[#This Row],[Land]]</f>
        <v>50</v>
      </c>
      <c r="B84" s="142"/>
      <c r="C84" s="94">
        <f ca="1">TblProd[[#This Row],[Platinum]]</f>
        <v>190111</v>
      </c>
      <c r="D84" s="94">
        <f ca="1">TblProd[[#This Row],[Lumber]]</f>
        <v>61958</v>
      </c>
      <c r="E84" s="94">
        <f ca="1">TblProd[[#This Row],[Ore]]</f>
        <v>0</v>
      </c>
      <c r="F84" s="94">
        <f ca="1">TblProd[[#This Row],[Gems]]</f>
        <v>0</v>
      </c>
      <c r="G84" s="154"/>
      <c r="H84" s="94">
        <f ca="1">TblMili[[#This Row],[Draftees]]</f>
        <v>556</v>
      </c>
      <c r="I84" s="180">
        <f ca="1">TblPop[[#This Row],[Employment]]</f>
        <v>1</v>
      </c>
      <c r="J84" s="180">
        <f ca="1">TblPop[[#This Row],[Total]]/TblPop[[#This Row],[Net max]]</f>
        <v>1</v>
      </c>
      <c r="K84" s="283">
        <f>TblRezone[[#This Row],[Hour]]</f>
        <v>81</v>
      </c>
      <c r="L84" s="284">
        <f ca="1">TblImps[[#This Row],[Real time]]</f>
        <v>46323.333333333139</v>
      </c>
      <c r="M84" s="61">
        <f>IF(ISERROR(TblImps[[#This Row],[algorithm]]),0,TblImps[[#This Row],[algorithm]]*1)</f>
        <v>0</v>
      </c>
      <c r="N84" s="94">
        <f ca="1">TblImps[[#This Row],[Land]]</f>
        <v>50</v>
      </c>
      <c r="O84" s="285" t="s">
        <v>4</v>
      </c>
      <c r="P84" s="286"/>
      <c r="Q84" s="285" t="s">
        <v>210</v>
      </c>
      <c r="R84" s="285" t="s">
        <v>7</v>
      </c>
      <c r="S84" s="286"/>
      <c r="T84" s="285" t="s">
        <v>210</v>
      </c>
      <c r="U84" s="285" t="s">
        <v>3</v>
      </c>
      <c r="V84" s="286"/>
      <c r="W84" s="285" t="s">
        <v>210</v>
      </c>
      <c r="X84" s="142"/>
      <c r="Y84" s="287">
        <f ca="1">science_cap*(1-EXP(-TblImps[[#This Row],[Σ Science]]/(science_param*(OFFSET(TblImps[[#This Row],[Land]],1,0)-OFFSET(TblExplore[[#This Row],[Land Bonus]],1,0)*20)+15000)))*(1+(mason_bonus*TblConstr[[#This Row],[Tot Mas]]/TblConstr[[#This Row],[Land (2)]]))</f>
        <v>0</v>
      </c>
      <c r="Z84" s="287">
        <f ca="1">keep_cap*(1-EXP(-TblImps[[#This Row],[Σ Keep]]/(keep_param*(OFFSET(TblImps[[#This Row],[Land]],1,0)-OFFSET(TblExplore[[#This Row],[Land Bonus]],1,0)*20)+15000)))*(1+(mason_bonus*TblConstr[[#This Row],[Tot Mas]]/TblConstr[[#This Row],[Land (2)]]))</f>
        <v>0</v>
      </c>
      <c r="AA84" s="287">
        <f ca="1">harbor_towers_cap*(1-EXP(-TblImps[[#This Row],[Σ Spires]]/(towers_param*(OFFSET(TblImps[[#This Row],[Land]],1,0)-OFFSET(TblExplore[[#This Row],[Land Bonus]],1,0)*20)+15000)))*(1+(mason_bonus*TblConstr[[#This Row],[Tot Mas]]/TblConstr[[#This Row],[Land (2)]]))</f>
        <v>0</v>
      </c>
      <c r="AB84" s="287">
        <f ca="1">walls_forges_cap*(1-EXP(-TblImps[[#This Row],[Σ Forges]]/(walls_forges_param*(OFFSET(TblImps[[#This Row],[Land]],1,0)-OFFSET(TblExplore[[#This Row],[Land Bonus]],1,0)*20)+15000)))*(1+(mason_bonus*TblConstr[[#This Row],[Tot Mas]]/TblConstr[[#This Row],[Land (2)]]))</f>
        <v>0</v>
      </c>
      <c r="AC84" s="287">
        <f ca="1">walls_forges_cap*(1-EXP(-TblImps[[#This Row],[Σ Walls]]/(walls_forges_param*(OFFSET(TblImps[[#This Row],[Land]],1,0)-OFFSET(TblExplore[[#This Row],[Land Bonus]],1,0)*20)+15000)))*(1+(mason_bonus*TblConstr[[#This Row],[Tot Mas]]/TblConstr[[#This Row],[Land (2)]]))</f>
        <v>0</v>
      </c>
      <c r="AD84" s="287">
        <f ca="1">harbor_towers_cap*(1-EXP(-TblImps[[#This Row],[Σ Harbor]]/(harbor_towers_param*(OFFSET(TblImps[[#This Row],[Land]],1,0)-OFFSET(TblExplore[[#This Row],[Land Bonus]],1,0)*20)+15000)))*(1+(mason_bonus*TblConstr[[#This Row],[Tot Mas]]/TblConstr[[#This Row],[Land (2)]]))</f>
        <v>0</v>
      </c>
      <c r="AE84" s="142"/>
      <c r="AF84" s="61">
        <f ca="1">(1+Overview!$I$29)*SUM(TblImps[[#This Row],[P2]:[G2]])+OFFSET(TblImps[[#This Row],[Σ Science]],-1,0)</f>
        <v>0</v>
      </c>
      <c r="AG84" s="61">
        <f ca="1">(1+Overview!$I$29)*SUM(TblImps[[#This Row],[P3]:[G3]])+OFFSET(TblImps[[#This Row],[Σ Keep]],-1,0)</f>
        <v>0</v>
      </c>
      <c r="AH84" s="61">
        <f ca="1">(1+Overview!$I$29 + tech_7_1*TblTech[[#This Row],[7-1]])*SUM(TblImps[[#This Row],[P4]:[G4]])+OFFSET(TblImps[[#This Row],[Σ Spires]],-1,0)</f>
        <v>0</v>
      </c>
      <c r="AI84" s="61">
        <f ca="1">(1+Overview!$I$29)*SUM(TblImps[[#This Row],[P5]:[FW5]])+OFFSET(TblImps[[#This Row],[Σ Forges]],-1,0)</f>
        <v>0</v>
      </c>
      <c r="AJ84" s="61">
        <f ca="1">(1+Overview!$I$29)*SUM(TblImps[[#This Row],[P6]:[G6]])+OFFSET(TblImps[[#This Row],[Σ Walls]],-1,0)</f>
        <v>0</v>
      </c>
      <c r="AK84" s="61">
        <f ca="1">(1+Overview!$I$29 + tech_7_1*TblTech[[#This Row],[7-1]])*SUM(TblImps[[#This Row],[P7]:[G7]])+OFFSET(TblImps[[#This Row],[Σ Harbor]],-1,0)</f>
        <v>0</v>
      </c>
      <c r="AL84" s="142"/>
      <c r="AM84" s="57">
        <f>IF(AND(TblImps[[#This Row],[Resource]]=AM$2,TblImps[[#This Row],[Part]]&lt;&gt;""),TblImps[[#This Row],[Amount]]) + IF(AND(TblImps[[#This Row],[Resource 2]]=AM$2,TblImps[[#This Row],[Part 2]]&lt;&gt;""),TblImps[[#This Row],[Amount 2]]) + IF(AND(TblImps[[#This Row],[Resource 3]]=AM$2,TblImps[[#This Row],[Part 3]]&lt;&gt;""),TblImps[[#This Row],[Amount 3]])</f>
        <v>0</v>
      </c>
      <c r="AN84" s="57">
        <f>IF(AND(TblImps[[#This Row],[Resource]]=AN$2,TblImps[[#This Row],[Part]]&lt;&gt;""),TblImps[[#This Row],[Amount]]) + IF(AND(TblImps[[#This Row],[Resource 2]]=AN$2,TblImps[[#This Row],[Part 2]]&lt;&gt;""),TblImps[[#This Row],[Amount 2]]) + IF(AND(TblImps[[#This Row],[Resource 3]]=AN$2,TblImps[[#This Row],[Part 3]]&lt;&gt;""),TblImps[[#This Row],[Amount 3]])</f>
        <v>0</v>
      </c>
      <c r="AO84" s="57">
        <f>IF(AND(TblImps[[#This Row],[Resource]]=AO$2,TblImps[[#This Row],[Part]]&lt;&gt;""),TblImps[[#This Row],[Amount]]) + IF(AND(TblImps[[#This Row],[Resource 2]]=AO$2,TblImps[[#This Row],[Part 2]]&lt;&gt;""),TblImps[[#This Row],[Amount 2]]) + IF(AND(TblImps[[#This Row],[Resource 3]]=AO$2,TblImps[[#This Row],[Part 3]]&lt;&gt;""),TblImps[[#This Row],[Amount 3]])</f>
        <v>0</v>
      </c>
      <c r="AP84" s="57">
        <f>IF(AND(TblImps[[#This Row],[Resource]]=AP$2,TblImps[[#This Row],[Part]]&lt;&gt;""),TblImps[[#This Row],[Amount]]) + IF(AND(TblImps[[#This Row],[Resource 2]]=AP$2,TblImps[[#This Row],[Part 2]]&lt;&gt;""),TblImps[[#This Row],[Amount 2]]) + IF(AND(TblImps[[#This Row],[Resource 3]]=AP$2,TblImps[[#This Row],[Part 3]]&lt;&gt;""),TblImps[[#This Row],[Amount 3]])</f>
        <v>0</v>
      </c>
      <c r="AQ84" s="142"/>
      <c r="AR8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142"/>
      <c r="AW8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142"/>
      <c r="BB8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142"/>
      <c r="BG8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57">
        <f ca="1">IF(OFFSET(TblMagic[[#This Row],[Active Alchemists Flame]],-1,0)&gt;0,TblConstr[[#This Row],[Tot Alc]]*alchemist_flame_invest,0)</f>
        <v>0</v>
      </c>
      <c r="BL84" s="142"/>
      <c r="BM8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4" s="142"/>
      <c r="BR8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4" s="142"/>
      <c r="BW8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4" s="61">
        <f>TblImps[[#This Row],[Login]]</f>
        <v>0</v>
      </c>
      <c r="BY84" s="137"/>
      <c r="BZ84" s="293">
        <f ca="1">OFFSET(TblImps[[#This Row],[Real time]],-1,0)+1/24</f>
        <v>46323.333333333139</v>
      </c>
      <c r="CA84" s="294">
        <f ca="1">OFFSET(TblImps[[#This Row],[Servertime]],-1,0)+1/24</f>
        <v>46323.333333333139</v>
      </c>
      <c r="CB84" s="57"/>
      <c r="CC84" s="292"/>
      <c r="CD84" s="292"/>
    </row>
    <row r="85" spans="1:85" x14ac:dyDescent="0.2">
      <c r="A85" s="214">
        <f ca="1">TblConstr[[#This Row],[Land]]</f>
        <v>50</v>
      </c>
      <c r="B85" s="142"/>
      <c r="C85" s="94">
        <f ca="1">TblProd[[#This Row],[Platinum]]</f>
        <v>190686</v>
      </c>
      <c r="D85" s="94">
        <f ca="1">TblProd[[#This Row],[Lumber]]</f>
        <v>62338</v>
      </c>
      <c r="E85" s="94">
        <f ca="1">TblProd[[#This Row],[Ore]]</f>
        <v>0</v>
      </c>
      <c r="F85" s="94">
        <f ca="1">TblProd[[#This Row],[Gems]]</f>
        <v>0</v>
      </c>
      <c r="G85" s="154"/>
      <c r="H85" s="94">
        <f ca="1">TblMili[[#This Row],[Draftees]]</f>
        <v>558</v>
      </c>
      <c r="I85" s="180">
        <f ca="1">TblPop[[#This Row],[Employment]]</f>
        <v>1</v>
      </c>
      <c r="J85" s="180">
        <f ca="1">TblPop[[#This Row],[Total]]/TblPop[[#This Row],[Net max]]</f>
        <v>1</v>
      </c>
      <c r="K85" s="283">
        <f>TblRezone[[#This Row],[Hour]]</f>
        <v>82</v>
      </c>
      <c r="L85" s="284">
        <f ca="1">TblImps[[#This Row],[Real time]]</f>
        <v>46323.374999999804</v>
      </c>
      <c r="M85" s="61">
        <f>IF(ISERROR(TblImps[[#This Row],[algorithm]]),0,TblImps[[#This Row],[algorithm]]*1)</f>
        <v>0</v>
      </c>
      <c r="N85" s="94">
        <f ca="1">TblImps[[#This Row],[Land]]</f>
        <v>50</v>
      </c>
      <c r="O85" s="285" t="s">
        <v>4</v>
      </c>
      <c r="P85" s="286"/>
      <c r="Q85" s="285" t="s">
        <v>210</v>
      </c>
      <c r="R85" s="285" t="s">
        <v>7</v>
      </c>
      <c r="S85" s="286"/>
      <c r="T85" s="285" t="s">
        <v>210</v>
      </c>
      <c r="U85" s="285" t="s">
        <v>3</v>
      </c>
      <c r="V85" s="286"/>
      <c r="W85" s="285" t="s">
        <v>210</v>
      </c>
      <c r="X85" s="142"/>
      <c r="Y85" s="287">
        <f ca="1">science_cap*(1-EXP(-TblImps[[#This Row],[Σ Science]]/(science_param*(OFFSET(TblImps[[#This Row],[Land]],1,0)-OFFSET(TblExplore[[#This Row],[Land Bonus]],1,0)*20)+15000)))*(1+(mason_bonus*TblConstr[[#This Row],[Tot Mas]]/TblConstr[[#This Row],[Land (2)]]))</f>
        <v>0</v>
      </c>
      <c r="Z85" s="287">
        <f ca="1">keep_cap*(1-EXP(-TblImps[[#This Row],[Σ Keep]]/(keep_param*(OFFSET(TblImps[[#This Row],[Land]],1,0)-OFFSET(TblExplore[[#This Row],[Land Bonus]],1,0)*20)+15000)))*(1+(mason_bonus*TblConstr[[#This Row],[Tot Mas]]/TblConstr[[#This Row],[Land (2)]]))</f>
        <v>0</v>
      </c>
      <c r="AA85" s="287">
        <f ca="1">harbor_towers_cap*(1-EXP(-TblImps[[#This Row],[Σ Spires]]/(towers_param*(OFFSET(TblImps[[#This Row],[Land]],1,0)-OFFSET(TblExplore[[#This Row],[Land Bonus]],1,0)*20)+15000)))*(1+(mason_bonus*TblConstr[[#This Row],[Tot Mas]]/TblConstr[[#This Row],[Land (2)]]))</f>
        <v>0</v>
      </c>
      <c r="AB85" s="287">
        <f ca="1">walls_forges_cap*(1-EXP(-TblImps[[#This Row],[Σ Forges]]/(walls_forges_param*(OFFSET(TblImps[[#This Row],[Land]],1,0)-OFFSET(TblExplore[[#This Row],[Land Bonus]],1,0)*20)+15000)))*(1+(mason_bonus*TblConstr[[#This Row],[Tot Mas]]/TblConstr[[#This Row],[Land (2)]]))</f>
        <v>0</v>
      </c>
      <c r="AC85" s="287">
        <f ca="1">walls_forges_cap*(1-EXP(-TblImps[[#This Row],[Σ Walls]]/(walls_forges_param*(OFFSET(TblImps[[#This Row],[Land]],1,0)-OFFSET(TblExplore[[#This Row],[Land Bonus]],1,0)*20)+15000)))*(1+(mason_bonus*TblConstr[[#This Row],[Tot Mas]]/TblConstr[[#This Row],[Land (2)]]))</f>
        <v>0</v>
      </c>
      <c r="AD85" s="287">
        <f ca="1">harbor_towers_cap*(1-EXP(-TblImps[[#This Row],[Σ Harbor]]/(harbor_towers_param*(OFFSET(TblImps[[#This Row],[Land]],1,0)-OFFSET(TblExplore[[#This Row],[Land Bonus]],1,0)*20)+15000)))*(1+(mason_bonus*TblConstr[[#This Row],[Tot Mas]]/TblConstr[[#This Row],[Land (2)]]))</f>
        <v>0</v>
      </c>
      <c r="AE85" s="142"/>
      <c r="AF85" s="61">
        <f ca="1">(1+Overview!$I$29)*SUM(TblImps[[#This Row],[P2]:[G2]])+OFFSET(TblImps[[#This Row],[Σ Science]],-1,0)</f>
        <v>0</v>
      </c>
      <c r="AG85" s="61">
        <f ca="1">(1+Overview!$I$29)*SUM(TblImps[[#This Row],[P3]:[G3]])+OFFSET(TblImps[[#This Row],[Σ Keep]],-1,0)</f>
        <v>0</v>
      </c>
      <c r="AH85" s="61">
        <f ca="1">(1+Overview!$I$29 + tech_7_1*TblTech[[#This Row],[7-1]])*SUM(TblImps[[#This Row],[P4]:[G4]])+OFFSET(TblImps[[#This Row],[Σ Spires]],-1,0)</f>
        <v>0</v>
      </c>
      <c r="AI85" s="61">
        <f ca="1">(1+Overview!$I$29)*SUM(TblImps[[#This Row],[P5]:[FW5]])+OFFSET(TblImps[[#This Row],[Σ Forges]],-1,0)</f>
        <v>0</v>
      </c>
      <c r="AJ85" s="61">
        <f ca="1">(1+Overview!$I$29)*SUM(TblImps[[#This Row],[P6]:[G6]])+OFFSET(TblImps[[#This Row],[Σ Walls]],-1,0)</f>
        <v>0</v>
      </c>
      <c r="AK85" s="61">
        <f ca="1">(1+Overview!$I$29 + tech_7_1*TblTech[[#This Row],[7-1]])*SUM(TblImps[[#This Row],[P7]:[G7]])+OFFSET(TblImps[[#This Row],[Σ Harbor]],-1,0)</f>
        <v>0</v>
      </c>
      <c r="AL85" s="142"/>
      <c r="AM85" s="57">
        <f>IF(AND(TblImps[[#This Row],[Resource]]=AM$2,TblImps[[#This Row],[Part]]&lt;&gt;""),TblImps[[#This Row],[Amount]]) + IF(AND(TblImps[[#This Row],[Resource 2]]=AM$2,TblImps[[#This Row],[Part 2]]&lt;&gt;""),TblImps[[#This Row],[Amount 2]]) + IF(AND(TblImps[[#This Row],[Resource 3]]=AM$2,TblImps[[#This Row],[Part 3]]&lt;&gt;""),TblImps[[#This Row],[Amount 3]])</f>
        <v>0</v>
      </c>
      <c r="AN85" s="57">
        <f>IF(AND(TblImps[[#This Row],[Resource]]=AN$2,TblImps[[#This Row],[Part]]&lt;&gt;""),TblImps[[#This Row],[Amount]]) + IF(AND(TblImps[[#This Row],[Resource 2]]=AN$2,TblImps[[#This Row],[Part 2]]&lt;&gt;""),TblImps[[#This Row],[Amount 2]]) + IF(AND(TblImps[[#This Row],[Resource 3]]=AN$2,TblImps[[#This Row],[Part 3]]&lt;&gt;""),TblImps[[#This Row],[Amount 3]])</f>
        <v>0</v>
      </c>
      <c r="AO85" s="57">
        <f>IF(AND(TblImps[[#This Row],[Resource]]=AO$2,TblImps[[#This Row],[Part]]&lt;&gt;""),TblImps[[#This Row],[Amount]]) + IF(AND(TblImps[[#This Row],[Resource 2]]=AO$2,TblImps[[#This Row],[Part 2]]&lt;&gt;""),TblImps[[#This Row],[Amount 2]]) + IF(AND(TblImps[[#This Row],[Resource 3]]=AO$2,TblImps[[#This Row],[Part 3]]&lt;&gt;""),TblImps[[#This Row],[Amount 3]])</f>
        <v>0</v>
      </c>
      <c r="AP85" s="57">
        <f>IF(AND(TblImps[[#This Row],[Resource]]=AP$2,TblImps[[#This Row],[Part]]&lt;&gt;""),TblImps[[#This Row],[Amount]]) + IF(AND(TblImps[[#This Row],[Resource 2]]=AP$2,TblImps[[#This Row],[Part 2]]&lt;&gt;""),TblImps[[#This Row],[Amount 2]]) + IF(AND(TblImps[[#This Row],[Resource 3]]=AP$2,TblImps[[#This Row],[Part 3]]&lt;&gt;""),TblImps[[#This Row],[Amount 3]])</f>
        <v>0</v>
      </c>
      <c r="AQ85" s="142"/>
      <c r="AR8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142"/>
      <c r="AW8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142"/>
      <c r="BB8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142"/>
      <c r="BG8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57">
        <f ca="1">IF(OFFSET(TblMagic[[#This Row],[Active Alchemists Flame]],-1,0)&gt;0,TblConstr[[#This Row],[Tot Alc]]*alchemist_flame_invest,0)</f>
        <v>0</v>
      </c>
      <c r="BL85" s="142"/>
      <c r="BM8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5" s="142"/>
      <c r="BR8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5" s="142"/>
      <c r="BW8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5" s="61">
        <f>TblImps[[#This Row],[Login]]</f>
        <v>0</v>
      </c>
      <c r="BY85" s="137"/>
      <c r="BZ85" s="293">
        <f ca="1">OFFSET(TblImps[[#This Row],[Real time]],-1,0)+1/24</f>
        <v>46323.374999999804</v>
      </c>
      <c r="CA85" s="294">
        <f ca="1">OFFSET(TblImps[[#This Row],[Servertime]],-1,0)+1/24</f>
        <v>46323.374999999804</v>
      </c>
      <c r="CB85" s="57"/>
      <c r="CC85" s="292"/>
      <c r="CD85" s="292"/>
    </row>
    <row r="86" spans="1:85" x14ac:dyDescent="0.2">
      <c r="A86" s="214">
        <f ca="1">TblConstr[[#This Row],[Land]]</f>
        <v>50</v>
      </c>
      <c r="B86" s="142"/>
      <c r="C86" s="94">
        <f ca="1">TblProd[[#This Row],[Platinum]]</f>
        <v>191255</v>
      </c>
      <c r="D86" s="94">
        <f ca="1">TblProd[[#This Row],[Lumber]]</f>
        <v>62715</v>
      </c>
      <c r="E86" s="94">
        <f ca="1">TblProd[[#This Row],[Ore]]</f>
        <v>0</v>
      </c>
      <c r="F86" s="94">
        <f ca="1">TblProd[[#This Row],[Gems]]</f>
        <v>0</v>
      </c>
      <c r="G86" s="154"/>
      <c r="H86" s="94">
        <f ca="1">TblMili[[#This Row],[Draftees]]</f>
        <v>560</v>
      </c>
      <c r="I86" s="180">
        <f ca="1">TblPop[[#This Row],[Employment]]</f>
        <v>1</v>
      </c>
      <c r="J86" s="180">
        <f ca="1">TblPop[[#This Row],[Total]]/TblPop[[#This Row],[Net max]]</f>
        <v>1</v>
      </c>
      <c r="K86" s="283">
        <f>TblRezone[[#This Row],[Hour]]</f>
        <v>83</v>
      </c>
      <c r="L86" s="284">
        <f ca="1">TblImps[[#This Row],[Real time]]</f>
        <v>46323.416666666468</v>
      </c>
      <c r="M86" s="61">
        <f>IF(ISERROR(TblImps[[#This Row],[algorithm]]),0,TblImps[[#This Row],[algorithm]]*1)</f>
        <v>0</v>
      </c>
      <c r="N86" s="94">
        <f ca="1">TblImps[[#This Row],[Land]]</f>
        <v>50</v>
      </c>
      <c r="O86" s="285" t="s">
        <v>4</v>
      </c>
      <c r="P86" s="286"/>
      <c r="Q86" s="285" t="s">
        <v>210</v>
      </c>
      <c r="R86" s="285" t="s">
        <v>7</v>
      </c>
      <c r="S86" s="286"/>
      <c r="T86" s="285" t="s">
        <v>210</v>
      </c>
      <c r="U86" s="285" t="s">
        <v>3</v>
      </c>
      <c r="V86" s="286"/>
      <c r="W86" s="285" t="s">
        <v>210</v>
      </c>
      <c r="X86" s="142"/>
      <c r="Y86" s="287">
        <f ca="1">science_cap*(1-EXP(-TblImps[[#This Row],[Σ Science]]/(science_param*(OFFSET(TblImps[[#This Row],[Land]],1,0)-OFFSET(TblExplore[[#This Row],[Land Bonus]],1,0)*20)+15000)))*(1+(mason_bonus*TblConstr[[#This Row],[Tot Mas]]/TblConstr[[#This Row],[Land (2)]]))</f>
        <v>0</v>
      </c>
      <c r="Z86" s="287">
        <f ca="1">keep_cap*(1-EXP(-TblImps[[#This Row],[Σ Keep]]/(keep_param*(OFFSET(TblImps[[#This Row],[Land]],1,0)-OFFSET(TblExplore[[#This Row],[Land Bonus]],1,0)*20)+15000)))*(1+(mason_bonus*TblConstr[[#This Row],[Tot Mas]]/TblConstr[[#This Row],[Land (2)]]))</f>
        <v>0</v>
      </c>
      <c r="AA86" s="287">
        <f ca="1">harbor_towers_cap*(1-EXP(-TblImps[[#This Row],[Σ Spires]]/(towers_param*(OFFSET(TblImps[[#This Row],[Land]],1,0)-OFFSET(TblExplore[[#This Row],[Land Bonus]],1,0)*20)+15000)))*(1+(mason_bonus*TblConstr[[#This Row],[Tot Mas]]/TblConstr[[#This Row],[Land (2)]]))</f>
        <v>0</v>
      </c>
      <c r="AB86" s="287">
        <f ca="1">walls_forges_cap*(1-EXP(-TblImps[[#This Row],[Σ Forges]]/(walls_forges_param*(OFFSET(TblImps[[#This Row],[Land]],1,0)-OFFSET(TblExplore[[#This Row],[Land Bonus]],1,0)*20)+15000)))*(1+(mason_bonus*TblConstr[[#This Row],[Tot Mas]]/TblConstr[[#This Row],[Land (2)]]))</f>
        <v>0</v>
      </c>
      <c r="AC86" s="287">
        <f ca="1">walls_forges_cap*(1-EXP(-TblImps[[#This Row],[Σ Walls]]/(walls_forges_param*(OFFSET(TblImps[[#This Row],[Land]],1,0)-OFFSET(TblExplore[[#This Row],[Land Bonus]],1,0)*20)+15000)))*(1+(mason_bonus*TblConstr[[#This Row],[Tot Mas]]/TblConstr[[#This Row],[Land (2)]]))</f>
        <v>0</v>
      </c>
      <c r="AD86" s="287">
        <f ca="1">harbor_towers_cap*(1-EXP(-TblImps[[#This Row],[Σ Harbor]]/(harbor_towers_param*(OFFSET(TblImps[[#This Row],[Land]],1,0)-OFFSET(TblExplore[[#This Row],[Land Bonus]],1,0)*20)+15000)))*(1+(mason_bonus*TblConstr[[#This Row],[Tot Mas]]/TblConstr[[#This Row],[Land (2)]]))</f>
        <v>0</v>
      </c>
      <c r="AE86" s="142"/>
      <c r="AF86" s="61">
        <f ca="1">(1+Overview!$I$29)*SUM(TblImps[[#This Row],[P2]:[G2]])+OFFSET(TblImps[[#This Row],[Σ Science]],-1,0)</f>
        <v>0</v>
      </c>
      <c r="AG86" s="61">
        <f ca="1">(1+Overview!$I$29)*SUM(TblImps[[#This Row],[P3]:[G3]])+OFFSET(TblImps[[#This Row],[Σ Keep]],-1,0)</f>
        <v>0</v>
      </c>
      <c r="AH86" s="61">
        <f ca="1">(1+Overview!$I$29 + tech_7_1*TblTech[[#This Row],[7-1]])*SUM(TblImps[[#This Row],[P4]:[G4]])+OFFSET(TblImps[[#This Row],[Σ Spires]],-1,0)</f>
        <v>0</v>
      </c>
      <c r="AI86" s="61">
        <f ca="1">(1+Overview!$I$29)*SUM(TblImps[[#This Row],[P5]:[FW5]])+OFFSET(TblImps[[#This Row],[Σ Forges]],-1,0)</f>
        <v>0</v>
      </c>
      <c r="AJ86" s="61">
        <f ca="1">(1+Overview!$I$29)*SUM(TblImps[[#This Row],[P6]:[G6]])+OFFSET(TblImps[[#This Row],[Σ Walls]],-1,0)</f>
        <v>0</v>
      </c>
      <c r="AK86" s="61">
        <f ca="1">(1+Overview!$I$29 + tech_7_1*TblTech[[#This Row],[7-1]])*SUM(TblImps[[#This Row],[P7]:[G7]])+OFFSET(TblImps[[#This Row],[Σ Harbor]],-1,0)</f>
        <v>0</v>
      </c>
      <c r="AL86" s="142"/>
      <c r="AM86" s="57">
        <f>IF(AND(TblImps[[#This Row],[Resource]]=AM$2,TblImps[[#This Row],[Part]]&lt;&gt;""),TblImps[[#This Row],[Amount]]) + IF(AND(TblImps[[#This Row],[Resource 2]]=AM$2,TblImps[[#This Row],[Part 2]]&lt;&gt;""),TblImps[[#This Row],[Amount 2]]) + IF(AND(TblImps[[#This Row],[Resource 3]]=AM$2,TblImps[[#This Row],[Part 3]]&lt;&gt;""),TblImps[[#This Row],[Amount 3]])</f>
        <v>0</v>
      </c>
      <c r="AN86" s="57">
        <f>IF(AND(TblImps[[#This Row],[Resource]]=AN$2,TblImps[[#This Row],[Part]]&lt;&gt;""),TblImps[[#This Row],[Amount]]) + IF(AND(TblImps[[#This Row],[Resource 2]]=AN$2,TblImps[[#This Row],[Part 2]]&lt;&gt;""),TblImps[[#This Row],[Amount 2]]) + IF(AND(TblImps[[#This Row],[Resource 3]]=AN$2,TblImps[[#This Row],[Part 3]]&lt;&gt;""),TblImps[[#This Row],[Amount 3]])</f>
        <v>0</v>
      </c>
      <c r="AO86" s="57">
        <f>IF(AND(TblImps[[#This Row],[Resource]]=AO$2,TblImps[[#This Row],[Part]]&lt;&gt;""),TblImps[[#This Row],[Amount]]) + IF(AND(TblImps[[#This Row],[Resource 2]]=AO$2,TblImps[[#This Row],[Part 2]]&lt;&gt;""),TblImps[[#This Row],[Amount 2]]) + IF(AND(TblImps[[#This Row],[Resource 3]]=AO$2,TblImps[[#This Row],[Part 3]]&lt;&gt;""),TblImps[[#This Row],[Amount 3]])</f>
        <v>0</v>
      </c>
      <c r="AP86" s="57">
        <f>IF(AND(TblImps[[#This Row],[Resource]]=AP$2,TblImps[[#This Row],[Part]]&lt;&gt;""),TblImps[[#This Row],[Amount]]) + IF(AND(TblImps[[#This Row],[Resource 2]]=AP$2,TblImps[[#This Row],[Part 2]]&lt;&gt;""),TblImps[[#This Row],[Amount 2]]) + IF(AND(TblImps[[#This Row],[Resource 3]]=AP$2,TblImps[[#This Row],[Part 3]]&lt;&gt;""),TblImps[[#This Row],[Amount 3]])</f>
        <v>0</v>
      </c>
      <c r="AQ86" s="142"/>
      <c r="AR8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142"/>
      <c r="AW8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142"/>
      <c r="BB8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142"/>
      <c r="BG8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57">
        <f ca="1">IF(OFFSET(TblMagic[[#This Row],[Active Alchemists Flame]],-1,0)&gt;0,TblConstr[[#This Row],[Tot Alc]]*alchemist_flame_invest,0)</f>
        <v>0</v>
      </c>
      <c r="BL86" s="142"/>
      <c r="BM8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6" s="142"/>
      <c r="BR8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6" s="142"/>
      <c r="BW8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6" s="61">
        <f>TblImps[[#This Row],[Login]]</f>
        <v>0</v>
      </c>
      <c r="BY86" s="137"/>
      <c r="BZ86" s="293">
        <f ca="1">OFFSET(TblImps[[#This Row],[Real time]],-1,0)+1/24</f>
        <v>46323.416666666468</v>
      </c>
      <c r="CA86" s="294">
        <f ca="1">OFFSET(TblImps[[#This Row],[Servertime]],-1,0)+1/24</f>
        <v>46323.416666666468</v>
      </c>
      <c r="CB86" s="57"/>
      <c r="CC86" s="292"/>
      <c r="CD86" s="292"/>
    </row>
    <row r="87" spans="1:85" x14ac:dyDescent="0.2">
      <c r="A87" s="214">
        <f ca="1">TblConstr[[#This Row],[Land]]</f>
        <v>50</v>
      </c>
      <c r="B87" s="142"/>
      <c r="C87" s="94">
        <f ca="1">TblProd[[#This Row],[Platinum]]</f>
        <v>191819</v>
      </c>
      <c r="D87" s="94">
        <f ca="1">TblProd[[#This Row],[Lumber]]</f>
        <v>63088</v>
      </c>
      <c r="E87" s="94">
        <f ca="1">TblProd[[#This Row],[Ore]]</f>
        <v>0</v>
      </c>
      <c r="F87" s="94">
        <f ca="1">TblProd[[#This Row],[Gems]]</f>
        <v>0</v>
      </c>
      <c r="G87" s="154"/>
      <c r="H87" s="94">
        <f ca="1">TblMili[[#This Row],[Draftees]]</f>
        <v>562</v>
      </c>
      <c r="I87" s="180">
        <f ca="1">TblPop[[#This Row],[Employment]]</f>
        <v>1</v>
      </c>
      <c r="J87" s="180">
        <f ca="1">TblPop[[#This Row],[Total]]/TblPop[[#This Row],[Net max]]</f>
        <v>1</v>
      </c>
      <c r="K87" s="283">
        <f>TblRezone[[#This Row],[Hour]]</f>
        <v>84</v>
      </c>
      <c r="L87" s="284">
        <f ca="1">TblImps[[#This Row],[Real time]]</f>
        <v>46323.458333333132</v>
      </c>
      <c r="M87" s="61">
        <f>IF(ISERROR(TblImps[[#This Row],[algorithm]]),0,TblImps[[#This Row],[algorithm]]*1)</f>
        <v>0</v>
      </c>
      <c r="N87" s="94">
        <f ca="1">TblImps[[#This Row],[Land]]</f>
        <v>50</v>
      </c>
      <c r="O87" s="285" t="s">
        <v>4</v>
      </c>
      <c r="P87" s="286"/>
      <c r="Q87" s="285" t="s">
        <v>210</v>
      </c>
      <c r="R87" s="285" t="s">
        <v>7</v>
      </c>
      <c r="S87" s="286"/>
      <c r="T87" s="285" t="s">
        <v>210</v>
      </c>
      <c r="U87" s="285" t="s">
        <v>3</v>
      </c>
      <c r="V87" s="286"/>
      <c r="W87" s="285" t="s">
        <v>210</v>
      </c>
      <c r="X87" s="142"/>
      <c r="Y87" s="287">
        <f ca="1">science_cap*(1-EXP(-TblImps[[#This Row],[Σ Science]]/(science_param*(OFFSET(TblImps[[#This Row],[Land]],1,0)-OFFSET(TblExplore[[#This Row],[Land Bonus]],1,0)*20)+15000)))*(1+(mason_bonus*TblConstr[[#This Row],[Tot Mas]]/TblConstr[[#This Row],[Land (2)]]))</f>
        <v>0</v>
      </c>
      <c r="Z87" s="287">
        <f ca="1">keep_cap*(1-EXP(-TblImps[[#This Row],[Σ Keep]]/(keep_param*(OFFSET(TblImps[[#This Row],[Land]],1,0)-OFFSET(TblExplore[[#This Row],[Land Bonus]],1,0)*20)+15000)))*(1+(mason_bonus*TblConstr[[#This Row],[Tot Mas]]/TblConstr[[#This Row],[Land (2)]]))</f>
        <v>0</v>
      </c>
      <c r="AA87" s="287">
        <f ca="1">harbor_towers_cap*(1-EXP(-TblImps[[#This Row],[Σ Spires]]/(towers_param*(OFFSET(TblImps[[#This Row],[Land]],1,0)-OFFSET(TblExplore[[#This Row],[Land Bonus]],1,0)*20)+15000)))*(1+(mason_bonus*TblConstr[[#This Row],[Tot Mas]]/TblConstr[[#This Row],[Land (2)]]))</f>
        <v>0</v>
      </c>
      <c r="AB87" s="287">
        <f ca="1">walls_forges_cap*(1-EXP(-TblImps[[#This Row],[Σ Forges]]/(walls_forges_param*(OFFSET(TblImps[[#This Row],[Land]],1,0)-OFFSET(TblExplore[[#This Row],[Land Bonus]],1,0)*20)+15000)))*(1+(mason_bonus*TblConstr[[#This Row],[Tot Mas]]/TblConstr[[#This Row],[Land (2)]]))</f>
        <v>0</v>
      </c>
      <c r="AC87" s="287">
        <f ca="1">walls_forges_cap*(1-EXP(-TblImps[[#This Row],[Σ Walls]]/(walls_forges_param*(OFFSET(TblImps[[#This Row],[Land]],1,0)-OFFSET(TblExplore[[#This Row],[Land Bonus]],1,0)*20)+15000)))*(1+(mason_bonus*TblConstr[[#This Row],[Tot Mas]]/TblConstr[[#This Row],[Land (2)]]))</f>
        <v>0</v>
      </c>
      <c r="AD87" s="287">
        <f ca="1">harbor_towers_cap*(1-EXP(-TblImps[[#This Row],[Σ Harbor]]/(harbor_towers_param*(OFFSET(TblImps[[#This Row],[Land]],1,0)-OFFSET(TblExplore[[#This Row],[Land Bonus]],1,0)*20)+15000)))*(1+(mason_bonus*TblConstr[[#This Row],[Tot Mas]]/TblConstr[[#This Row],[Land (2)]]))</f>
        <v>0</v>
      </c>
      <c r="AE87" s="142"/>
      <c r="AF87" s="61">
        <f ca="1">(1+Overview!$I$29)*SUM(TblImps[[#This Row],[P2]:[G2]])+OFFSET(TblImps[[#This Row],[Σ Science]],-1,0)</f>
        <v>0</v>
      </c>
      <c r="AG87" s="61">
        <f ca="1">(1+Overview!$I$29)*SUM(TblImps[[#This Row],[P3]:[G3]])+OFFSET(TblImps[[#This Row],[Σ Keep]],-1,0)</f>
        <v>0</v>
      </c>
      <c r="AH87" s="61">
        <f ca="1">(1+Overview!$I$29 + tech_7_1*TblTech[[#This Row],[7-1]])*SUM(TblImps[[#This Row],[P4]:[G4]])+OFFSET(TblImps[[#This Row],[Σ Spires]],-1,0)</f>
        <v>0</v>
      </c>
      <c r="AI87" s="61">
        <f ca="1">(1+Overview!$I$29)*SUM(TblImps[[#This Row],[P5]:[FW5]])+OFFSET(TblImps[[#This Row],[Σ Forges]],-1,0)</f>
        <v>0</v>
      </c>
      <c r="AJ87" s="61">
        <f ca="1">(1+Overview!$I$29)*SUM(TblImps[[#This Row],[P6]:[G6]])+OFFSET(TblImps[[#This Row],[Σ Walls]],-1,0)</f>
        <v>0</v>
      </c>
      <c r="AK87" s="61">
        <f ca="1">(1+Overview!$I$29 + tech_7_1*TblTech[[#This Row],[7-1]])*SUM(TblImps[[#This Row],[P7]:[G7]])+OFFSET(TblImps[[#This Row],[Σ Harbor]],-1,0)</f>
        <v>0</v>
      </c>
      <c r="AL87" s="142"/>
      <c r="AM87" s="57">
        <f>IF(AND(TblImps[[#This Row],[Resource]]=AM$2,TblImps[[#This Row],[Part]]&lt;&gt;""),TblImps[[#This Row],[Amount]]) + IF(AND(TblImps[[#This Row],[Resource 2]]=AM$2,TblImps[[#This Row],[Part 2]]&lt;&gt;""),TblImps[[#This Row],[Amount 2]]) + IF(AND(TblImps[[#This Row],[Resource 3]]=AM$2,TblImps[[#This Row],[Part 3]]&lt;&gt;""),TblImps[[#This Row],[Amount 3]])</f>
        <v>0</v>
      </c>
      <c r="AN87" s="57">
        <f>IF(AND(TblImps[[#This Row],[Resource]]=AN$2,TblImps[[#This Row],[Part]]&lt;&gt;""),TblImps[[#This Row],[Amount]]) + IF(AND(TblImps[[#This Row],[Resource 2]]=AN$2,TblImps[[#This Row],[Part 2]]&lt;&gt;""),TblImps[[#This Row],[Amount 2]]) + IF(AND(TblImps[[#This Row],[Resource 3]]=AN$2,TblImps[[#This Row],[Part 3]]&lt;&gt;""),TblImps[[#This Row],[Amount 3]])</f>
        <v>0</v>
      </c>
      <c r="AO87" s="57">
        <f>IF(AND(TblImps[[#This Row],[Resource]]=AO$2,TblImps[[#This Row],[Part]]&lt;&gt;""),TblImps[[#This Row],[Amount]]) + IF(AND(TblImps[[#This Row],[Resource 2]]=AO$2,TblImps[[#This Row],[Part 2]]&lt;&gt;""),TblImps[[#This Row],[Amount 2]]) + IF(AND(TblImps[[#This Row],[Resource 3]]=AO$2,TblImps[[#This Row],[Part 3]]&lt;&gt;""),TblImps[[#This Row],[Amount 3]])</f>
        <v>0</v>
      </c>
      <c r="AP87" s="57">
        <f>IF(AND(TblImps[[#This Row],[Resource]]=AP$2,TblImps[[#This Row],[Part]]&lt;&gt;""),TblImps[[#This Row],[Amount]]) + IF(AND(TblImps[[#This Row],[Resource 2]]=AP$2,TblImps[[#This Row],[Part 2]]&lt;&gt;""),TblImps[[#This Row],[Amount 2]]) + IF(AND(TblImps[[#This Row],[Resource 3]]=AP$2,TblImps[[#This Row],[Part 3]]&lt;&gt;""),TblImps[[#This Row],[Amount 3]])</f>
        <v>0</v>
      </c>
      <c r="AQ87" s="142"/>
      <c r="AR8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142"/>
      <c r="AW8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142"/>
      <c r="BB8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142"/>
      <c r="BG8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57">
        <f ca="1">IF(OFFSET(TblMagic[[#This Row],[Active Alchemists Flame]],-1,0)&gt;0,TblConstr[[#This Row],[Tot Alc]]*alchemist_flame_invest,0)</f>
        <v>0</v>
      </c>
      <c r="BL87" s="142"/>
      <c r="BM8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7" s="142"/>
      <c r="BR8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7" s="142"/>
      <c r="BW8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7" s="61">
        <f>TblImps[[#This Row],[Login]]</f>
        <v>0</v>
      </c>
      <c r="BY87" s="137"/>
      <c r="BZ87" s="293">
        <f ca="1">OFFSET(TblImps[[#This Row],[Real time]],-1,0)+1/24</f>
        <v>46323.458333333132</v>
      </c>
      <c r="CA87" s="294">
        <f ca="1">OFFSET(TblImps[[#This Row],[Servertime]],-1,0)+1/24</f>
        <v>46323.458333333132</v>
      </c>
      <c r="CB87" s="57"/>
      <c r="CC87" s="292"/>
      <c r="CD87" s="292"/>
    </row>
    <row r="88" spans="1:85" x14ac:dyDescent="0.2">
      <c r="A88" s="214">
        <f ca="1">TblConstr[[#This Row],[Land]]</f>
        <v>50</v>
      </c>
      <c r="B88" s="142"/>
      <c r="C88" s="94">
        <f ca="1">TblProd[[#This Row],[Platinum]]</f>
        <v>192377</v>
      </c>
      <c r="D88" s="94">
        <f ca="1">TblProd[[#This Row],[Lumber]]</f>
        <v>63457</v>
      </c>
      <c r="E88" s="94">
        <f ca="1">TblProd[[#This Row],[Ore]]</f>
        <v>0</v>
      </c>
      <c r="F88" s="94">
        <f ca="1">TblProd[[#This Row],[Gems]]</f>
        <v>0</v>
      </c>
      <c r="G88" s="154"/>
      <c r="H88" s="94">
        <f ca="1">TblMili[[#This Row],[Draftees]]</f>
        <v>564</v>
      </c>
      <c r="I88" s="180">
        <f ca="1">TblPop[[#This Row],[Employment]]</f>
        <v>1</v>
      </c>
      <c r="J88" s="180">
        <f ca="1">TblPop[[#This Row],[Total]]/TblPop[[#This Row],[Net max]]</f>
        <v>1</v>
      </c>
      <c r="K88" s="283">
        <f>TblRezone[[#This Row],[Hour]]</f>
        <v>85</v>
      </c>
      <c r="L88" s="284">
        <f ca="1">TblImps[[#This Row],[Real time]]</f>
        <v>46323.499999999796</v>
      </c>
      <c r="M88" s="61">
        <f>IF(ISERROR(TblImps[[#This Row],[algorithm]]),0,TblImps[[#This Row],[algorithm]]*1)</f>
        <v>0</v>
      </c>
      <c r="N88" s="94">
        <f ca="1">TblImps[[#This Row],[Land]]</f>
        <v>50</v>
      </c>
      <c r="O88" s="285" t="s">
        <v>4</v>
      </c>
      <c r="P88" s="286"/>
      <c r="Q88" s="285" t="s">
        <v>210</v>
      </c>
      <c r="R88" s="285" t="s">
        <v>7</v>
      </c>
      <c r="S88" s="286"/>
      <c r="T88" s="285" t="s">
        <v>210</v>
      </c>
      <c r="U88" s="285" t="s">
        <v>3</v>
      </c>
      <c r="V88" s="286"/>
      <c r="W88" s="285" t="s">
        <v>210</v>
      </c>
      <c r="X88" s="142"/>
      <c r="Y88" s="287">
        <f ca="1">science_cap*(1-EXP(-TblImps[[#This Row],[Σ Science]]/(science_param*(OFFSET(TblImps[[#This Row],[Land]],1,0)-OFFSET(TblExplore[[#This Row],[Land Bonus]],1,0)*20)+15000)))*(1+(mason_bonus*TblConstr[[#This Row],[Tot Mas]]/TblConstr[[#This Row],[Land (2)]]))</f>
        <v>0</v>
      </c>
      <c r="Z88" s="287">
        <f ca="1">keep_cap*(1-EXP(-TblImps[[#This Row],[Σ Keep]]/(keep_param*(OFFSET(TblImps[[#This Row],[Land]],1,0)-OFFSET(TblExplore[[#This Row],[Land Bonus]],1,0)*20)+15000)))*(1+(mason_bonus*TblConstr[[#This Row],[Tot Mas]]/TblConstr[[#This Row],[Land (2)]]))</f>
        <v>0</v>
      </c>
      <c r="AA88" s="287">
        <f ca="1">harbor_towers_cap*(1-EXP(-TblImps[[#This Row],[Σ Spires]]/(towers_param*(OFFSET(TblImps[[#This Row],[Land]],1,0)-OFFSET(TblExplore[[#This Row],[Land Bonus]],1,0)*20)+15000)))*(1+(mason_bonus*TblConstr[[#This Row],[Tot Mas]]/TblConstr[[#This Row],[Land (2)]]))</f>
        <v>0</v>
      </c>
      <c r="AB88" s="287">
        <f ca="1">walls_forges_cap*(1-EXP(-TblImps[[#This Row],[Σ Forges]]/(walls_forges_param*(OFFSET(TblImps[[#This Row],[Land]],1,0)-OFFSET(TblExplore[[#This Row],[Land Bonus]],1,0)*20)+15000)))*(1+(mason_bonus*TblConstr[[#This Row],[Tot Mas]]/TblConstr[[#This Row],[Land (2)]]))</f>
        <v>0</v>
      </c>
      <c r="AC88" s="287">
        <f ca="1">walls_forges_cap*(1-EXP(-TblImps[[#This Row],[Σ Walls]]/(walls_forges_param*(OFFSET(TblImps[[#This Row],[Land]],1,0)-OFFSET(TblExplore[[#This Row],[Land Bonus]],1,0)*20)+15000)))*(1+(mason_bonus*TblConstr[[#This Row],[Tot Mas]]/TblConstr[[#This Row],[Land (2)]]))</f>
        <v>0</v>
      </c>
      <c r="AD88" s="287">
        <f ca="1">harbor_towers_cap*(1-EXP(-TblImps[[#This Row],[Σ Harbor]]/(harbor_towers_param*(OFFSET(TblImps[[#This Row],[Land]],1,0)-OFFSET(TblExplore[[#This Row],[Land Bonus]],1,0)*20)+15000)))*(1+(mason_bonus*TblConstr[[#This Row],[Tot Mas]]/TblConstr[[#This Row],[Land (2)]]))</f>
        <v>0</v>
      </c>
      <c r="AE88" s="142"/>
      <c r="AF88" s="61">
        <f ca="1">(1+Overview!$I$29)*SUM(TblImps[[#This Row],[P2]:[G2]])+OFFSET(TblImps[[#This Row],[Σ Science]],-1,0)</f>
        <v>0</v>
      </c>
      <c r="AG88" s="61">
        <f ca="1">(1+Overview!$I$29)*SUM(TblImps[[#This Row],[P3]:[G3]])+OFFSET(TblImps[[#This Row],[Σ Keep]],-1,0)</f>
        <v>0</v>
      </c>
      <c r="AH88" s="61">
        <f ca="1">(1+Overview!$I$29 + tech_7_1*TblTech[[#This Row],[7-1]])*SUM(TblImps[[#This Row],[P4]:[G4]])+OFFSET(TblImps[[#This Row],[Σ Spires]],-1,0)</f>
        <v>0</v>
      </c>
      <c r="AI88" s="61">
        <f ca="1">(1+Overview!$I$29)*SUM(TblImps[[#This Row],[P5]:[FW5]])+OFFSET(TblImps[[#This Row],[Σ Forges]],-1,0)</f>
        <v>0</v>
      </c>
      <c r="AJ88" s="61">
        <f ca="1">(1+Overview!$I$29)*SUM(TblImps[[#This Row],[P6]:[G6]])+OFFSET(TblImps[[#This Row],[Σ Walls]],-1,0)</f>
        <v>0</v>
      </c>
      <c r="AK88" s="61">
        <f ca="1">(1+Overview!$I$29 + tech_7_1*TblTech[[#This Row],[7-1]])*SUM(TblImps[[#This Row],[P7]:[G7]])+OFFSET(TblImps[[#This Row],[Σ Harbor]],-1,0)</f>
        <v>0</v>
      </c>
      <c r="AL88" s="142"/>
      <c r="AM88" s="57">
        <f>IF(AND(TblImps[[#This Row],[Resource]]=AM$2,TblImps[[#This Row],[Part]]&lt;&gt;""),TblImps[[#This Row],[Amount]]) + IF(AND(TblImps[[#This Row],[Resource 2]]=AM$2,TblImps[[#This Row],[Part 2]]&lt;&gt;""),TblImps[[#This Row],[Amount 2]]) + IF(AND(TblImps[[#This Row],[Resource 3]]=AM$2,TblImps[[#This Row],[Part 3]]&lt;&gt;""),TblImps[[#This Row],[Amount 3]])</f>
        <v>0</v>
      </c>
      <c r="AN88" s="57">
        <f>IF(AND(TblImps[[#This Row],[Resource]]=AN$2,TblImps[[#This Row],[Part]]&lt;&gt;""),TblImps[[#This Row],[Amount]]) + IF(AND(TblImps[[#This Row],[Resource 2]]=AN$2,TblImps[[#This Row],[Part 2]]&lt;&gt;""),TblImps[[#This Row],[Amount 2]]) + IF(AND(TblImps[[#This Row],[Resource 3]]=AN$2,TblImps[[#This Row],[Part 3]]&lt;&gt;""),TblImps[[#This Row],[Amount 3]])</f>
        <v>0</v>
      </c>
      <c r="AO88" s="57">
        <f>IF(AND(TblImps[[#This Row],[Resource]]=AO$2,TblImps[[#This Row],[Part]]&lt;&gt;""),TblImps[[#This Row],[Amount]]) + IF(AND(TblImps[[#This Row],[Resource 2]]=AO$2,TblImps[[#This Row],[Part 2]]&lt;&gt;""),TblImps[[#This Row],[Amount 2]]) + IF(AND(TblImps[[#This Row],[Resource 3]]=AO$2,TblImps[[#This Row],[Part 3]]&lt;&gt;""),TblImps[[#This Row],[Amount 3]])</f>
        <v>0</v>
      </c>
      <c r="AP88" s="57">
        <f>IF(AND(TblImps[[#This Row],[Resource]]=AP$2,TblImps[[#This Row],[Part]]&lt;&gt;""),TblImps[[#This Row],[Amount]]) + IF(AND(TblImps[[#This Row],[Resource 2]]=AP$2,TblImps[[#This Row],[Part 2]]&lt;&gt;""),TblImps[[#This Row],[Amount 2]]) + IF(AND(TblImps[[#This Row],[Resource 3]]=AP$2,TblImps[[#This Row],[Part 3]]&lt;&gt;""),TblImps[[#This Row],[Amount 3]])</f>
        <v>0</v>
      </c>
      <c r="AQ88" s="142"/>
      <c r="AR8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142"/>
      <c r="AW8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142"/>
      <c r="BB8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142"/>
      <c r="BG8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57">
        <f ca="1">IF(OFFSET(TblMagic[[#This Row],[Active Alchemists Flame]],-1,0)&gt;0,TblConstr[[#This Row],[Tot Alc]]*alchemist_flame_invest,0)</f>
        <v>0</v>
      </c>
      <c r="BL88" s="142"/>
      <c r="BM8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8" s="142"/>
      <c r="BR8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8" s="142"/>
      <c r="BW8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8" s="61">
        <f>TblImps[[#This Row],[Login]]</f>
        <v>0</v>
      </c>
      <c r="BY88" s="137"/>
      <c r="BZ88" s="293">
        <f ca="1">OFFSET(TblImps[[#This Row],[Real time]],-1,0)+1/24</f>
        <v>46323.499999999796</v>
      </c>
      <c r="CA88" s="294">
        <f ca="1">OFFSET(TblImps[[#This Row],[Servertime]],-1,0)+1/24</f>
        <v>46323.499999999796</v>
      </c>
      <c r="CB88" s="57"/>
      <c r="CC88" s="292"/>
      <c r="CD88" s="292"/>
    </row>
    <row r="89" spans="1:85" x14ac:dyDescent="0.2">
      <c r="A89" s="214">
        <f ca="1">TblConstr[[#This Row],[Land]]</f>
        <v>50</v>
      </c>
      <c r="B89" s="142"/>
      <c r="C89" s="94">
        <f ca="1">TblProd[[#This Row],[Platinum]]</f>
        <v>192930</v>
      </c>
      <c r="D89" s="94">
        <f ca="1">TblProd[[#This Row],[Lumber]]</f>
        <v>63822</v>
      </c>
      <c r="E89" s="94">
        <f ca="1">TblProd[[#This Row],[Ore]]</f>
        <v>0</v>
      </c>
      <c r="F89" s="94">
        <f ca="1">TblProd[[#This Row],[Gems]]</f>
        <v>0</v>
      </c>
      <c r="G89" s="154"/>
      <c r="H89" s="94">
        <f ca="1">TblMili[[#This Row],[Draftees]]</f>
        <v>566</v>
      </c>
      <c r="I89" s="180">
        <f ca="1">TblPop[[#This Row],[Employment]]</f>
        <v>1</v>
      </c>
      <c r="J89" s="180">
        <f ca="1">TblPop[[#This Row],[Total]]/TblPop[[#This Row],[Net max]]</f>
        <v>1</v>
      </c>
      <c r="K89" s="283">
        <f>TblRezone[[#This Row],[Hour]]</f>
        <v>86</v>
      </c>
      <c r="L89" s="284">
        <f ca="1">TblImps[[#This Row],[Real time]]</f>
        <v>46323.541666666461</v>
      </c>
      <c r="M89" s="61">
        <f>IF(ISERROR(TblImps[[#This Row],[algorithm]]),0,TblImps[[#This Row],[algorithm]]*1)</f>
        <v>0</v>
      </c>
      <c r="N89" s="94">
        <f ca="1">TblImps[[#This Row],[Land]]</f>
        <v>50</v>
      </c>
      <c r="O89" s="285" t="s">
        <v>4</v>
      </c>
      <c r="P89" s="286"/>
      <c r="Q89" s="285" t="s">
        <v>210</v>
      </c>
      <c r="R89" s="285" t="s">
        <v>7</v>
      </c>
      <c r="S89" s="286"/>
      <c r="T89" s="285" t="s">
        <v>210</v>
      </c>
      <c r="U89" s="285" t="s">
        <v>3</v>
      </c>
      <c r="V89" s="286"/>
      <c r="W89" s="285" t="s">
        <v>210</v>
      </c>
      <c r="X89" s="142"/>
      <c r="Y89" s="287">
        <f ca="1">science_cap*(1-EXP(-TblImps[[#This Row],[Σ Science]]/(science_param*(OFFSET(TblImps[[#This Row],[Land]],1,0)-OFFSET(TblExplore[[#This Row],[Land Bonus]],1,0)*20)+15000)))*(1+(mason_bonus*TblConstr[[#This Row],[Tot Mas]]/TblConstr[[#This Row],[Land (2)]]))</f>
        <v>0</v>
      </c>
      <c r="Z89" s="287">
        <f ca="1">keep_cap*(1-EXP(-TblImps[[#This Row],[Σ Keep]]/(keep_param*(OFFSET(TblImps[[#This Row],[Land]],1,0)-OFFSET(TblExplore[[#This Row],[Land Bonus]],1,0)*20)+15000)))*(1+(mason_bonus*TblConstr[[#This Row],[Tot Mas]]/TblConstr[[#This Row],[Land (2)]]))</f>
        <v>0</v>
      </c>
      <c r="AA89" s="287">
        <f ca="1">harbor_towers_cap*(1-EXP(-TblImps[[#This Row],[Σ Spires]]/(towers_param*(OFFSET(TblImps[[#This Row],[Land]],1,0)-OFFSET(TblExplore[[#This Row],[Land Bonus]],1,0)*20)+15000)))*(1+(mason_bonus*TblConstr[[#This Row],[Tot Mas]]/TblConstr[[#This Row],[Land (2)]]))</f>
        <v>0</v>
      </c>
      <c r="AB89" s="287">
        <f ca="1">walls_forges_cap*(1-EXP(-TblImps[[#This Row],[Σ Forges]]/(walls_forges_param*(OFFSET(TblImps[[#This Row],[Land]],1,0)-OFFSET(TblExplore[[#This Row],[Land Bonus]],1,0)*20)+15000)))*(1+(mason_bonus*TblConstr[[#This Row],[Tot Mas]]/TblConstr[[#This Row],[Land (2)]]))</f>
        <v>0</v>
      </c>
      <c r="AC89" s="287">
        <f ca="1">walls_forges_cap*(1-EXP(-TblImps[[#This Row],[Σ Walls]]/(walls_forges_param*(OFFSET(TblImps[[#This Row],[Land]],1,0)-OFFSET(TblExplore[[#This Row],[Land Bonus]],1,0)*20)+15000)))*(1+(mason_bonus*TblConstr[[#This Row],[Tot Mas]]/TblConstr[[#This Row],[Land (2)]]))</f>
        <v>0</v>
      </c>
      <c r="AD89" s="287">
        <f ca="1">harbor_towers_cap*(1-EXP(-TblImps[[#This Row],[Σ Harbor]]/(harbor_towers_param*(OFFSET(TblImps[[#This Row],[Land]],1,0)-OFFSET(TblExplore[[#This Row],[Land Bonus]],1,0)*20)+15000)))*(1+(mason_bonus*TblConstr[[#This Row],[Tot Mas]]/TblConstr[[#This Row],[Land (2)]]))</f>
        <v>0</v>
      </c>
      <c r="AE89" s="142"/>
      <c r="AF89" s="61">
        <f ca="1">(1+Overview!$I$29)*SUM(TblImps[[#This Row],[P2]:[G2]])+OFFSET(TblImps[[#This Row],[Σ Science]],-1,0)</f>
        <v>0</v>
      </c>
      <c r="AG89" s="61">
        <f ca="1">(1+Overview!$I$29)*SUM(TblImps[[#This Row],[P3]:[G3]])+OFFSET(TblImps[[#This Row],[Σ Keep]],-1,0)</f>
        <v>0</v>
      </c>
      <c r="AH89" s="61">
        <f ca="1">(1+Overview!$I$29 + tech_7_1*TblTech[[#This Row],[7-1]])*SUM(TblImps[[#This Row],[P4]:[G4]])+OFFSET(TblImps[[#This Row],[Σ Spires]],-1,0)</f>
        <v>0</v>
      </c>
      <c r="AI89" s="61">
        <f ca="1">(1+Overview!$I$29)*SUM(TblImps[[#This Row],[P5]:[FW5]])+OFFSET(TblImps[[#This Row],[Σ Forges]],-1,0)</f>
        <v>0</v>
      </c>
      <c r="AJ89" s="61">
        <f ca="1">(1+Overview!$I$29)*SUM(TblImps[[#This Row],[P6]:[G6]])+OFFSET(TblImps[[#This Row],[Σ Walls]],-1,0)</f>
        <v>0</v>
      </c>
      <c r="AK89" s="61">
        <f ca="1">(1+Overview!$I$29 + tech_7_1*TblTech[[#This Row],[7-1]])*SUM(TblImps[[#This Row],[P7]:[G7]])+OFFSET(TblImps[[#This Row],[Σ Harbor]],-1,0)</f>
        <v>0</v>
      </c>
      <c r="AL89" s="142"/>
      <c r="AM89" s="57">
        <f>IF(AND(TblImps[[#This Row],[Resource]]=AM$2,TblImps[[#This Row],[Part]]&lt;&gt;""),TblImps[[#This Row],[Amount]]) + IF(AND(TblImps[[#This Row],[Resource 2]]=AM$2,TblImps[[#This Row],[Part 2]]&lt;&gt;""),TblImps[[#This Row],[Amount 2]]) + IF(AND(TblImps[[#This Row],[Resource 3]]=AM$2,TblImps[[#This Row],[Part 3]]&lt;&gt;""),TblImps[[#This Row],[Amount 3]])</f>
        <v>0</v>
      </c>
      <c r="AN89" s="57">
        <f>IF(AND(TblImps[[#This Row],[Resource]]=AN$2,TblImps[[#This Row],[Part]]&lt;&gt;""),TblImps[[#This Row],[Amount]]) + IF(AND(TblImps[[#This Row],[Resource 2]]=AN$2,TblImps[[#This Row],[Part 2]]&lt;&gt;""),TblImps[[#This Row],[Amount 2]]) + IF(AND(TblImps[[#This Row],[Resource 3]]=AN$2,TblImps[[#This Row],[Part 3]]&lt;&gt;""),TblImps[[#This Row],[Amount 3]])</f>
        <v>0</v>
      </c>
      <c r="AO89" s="57">
        <f>IF(AND(TblImps[[#This Row],[Resource]]=AO$2,TblImps[[#This Row],[Part]]&lt;&gt;""),TblImps[[#This Row],[Amount]]) + IF(AND(TblImps[[#This Row],[Resource 2]]=AO$2,TblImps[[#This Row],[Part 2]]&lt;&gt;""),TblImps[[#This Row],[Amount 2]]) + IF(AND(TblImps[[#This Row],[Resource 3]]=AO$2,TblImps[[#This Row],[Part 3]]&lt;&gt;""),TblImps[[#This Row],[Amount 3]])</f>
        <v>0</v>
      </c>
      <c r="AP89" s="57">
        <f>IF(AND(TblImps[[#This Row],[Resource]]=AP$2,TblImps[[#This Row],[Part]]&lt;&gt;""),TblImps[[#This Row],[Amount]]) + IF(AND(TblImps[[#This Row],[Resource 2]]=AP$2,TblImps[[#This Row],[Part 2]]&lt;&gt;""),TblImps[[#This Row],[Amount 2]]) + IF(AND(TblImps[[#This Row],[Resource 3]]=AP$2,TblImps[[#This Row],[Part 3]]&lt;&gt;""),TblImps[[#This Row],[Amount 3]])</f>
        <v>0</v>
      </c>
      <c r="AQ89" s="142"/>
      <c r="AR8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142"/>
      <c r="AW8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142"/>
      <c r="BB8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142"/>
      <c r="BG8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57">
        <f ca="1">IF(OFFSET(TblMagic[[#This Row],[Active Alchemists Flame]],-1,0)&gt;0,TblConstr[[#This Row],[Tot Alc]]*alchemist_flame_invest,0)</f>
        <v>0</v>
      </c>
      <c r="BL89" s="142"/>
      <c r="BM8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9" s="142"/>
      <c r="BR8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9" s="142"/>
      <c r="BW8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9" s="61">
        <f>TblImps[[#This Row],[Login]]</f>
        <v>0</v>
      </c>
      <c r="BY89" s="137"/>
      <c r="BZ89" s="293">
        <f ca="1">OFFSET(TblImps[[#This Row],[Real time]],-1,0)+1/24</f>
        <v>46323.541666666461</v>
      </c>
      <c r="CA89" s="294">
        <f ca="1">OFFSET(TblImps[[#This Row],[Servertime]],-1,0)+1/24</f>
        <v>46323.541666666461</v>
      </c>
      <c r="CB89" s="57"/>
      <c r="CC89" s="292"/>
      <c r="CD89" s="292"/>
      <c r="CE89" s="159"/>
    </row>
    <row r="90" spans="1:85" x14ac:dyDescent="0.2">
      <c r="A90" s="214">
        <f ca="1">TblConstr[[#This Row],[Land]]</f>
        <v>50</v>
      </c>
      <c r="B90" s="142"/>
      <c r="C90" s="94">
        <f ca="1">TblProd[[#This Row],[Platinum]]</f>
        <v>193478</v>
      </c>
      <c r="D90" s="94">
        <f ca="1">TblProd[[#This Row],[Lumber]]</f>
        <v>64184</v>
      </c>
      <c r="E90" s="94">
        <f ca="1">TblProd[[#This Row],[Ore]]</f>
        <v>0</v>
      </c>
      <c r="F90" s="94">
        <f ca="1">TblProd[[#This Row],[Gems]]</f>
        <v>0</v>
      </c>
      <c r="G90" s="154"/>
      <c r="H90" s="94">
        <f ca="1">TblMili[[#This Row],[Draftees]]</f>
        <v>568</v>
      </c>
      <c r="I90" s="180">
        <f ca="1">TblPop[[#This Row],[Employment]]</f>
        <v>1</v>
      </c>
      <c r="J90" s="180">
        <f ca="1">TblPop[[#This Row],[Total]]/TblPop[[#This Row],[Net max]]</f>
        <v>1</v>
      </c>
      <c r="K90" s="283">
        <f>TblRezone[[#This Row],[Hour]]</f>
        <v>87</v>
      </c>
      <c r="L90" s="284">
        <f ca="1">TblImps[[#This Row],[Real time]]</f>
        <v>46323.583333333125</v>
      </c>
      <c r="M90" s="61">
        <f>IF(ISERROR(TblImps[[#This Row],[algorithm]]),0,TblImps[[#This Row],[algorithm]]*1)</f>
        <v>0</v>
      </c>
      <c r="N90" s="94">
        <f ca="1">TblImps[[#This Row],[Land]]</f>
        <v>50</v>
      </c>
      <c r="O90" s="285" t="s">
        <v>4</v>
      </c>
      <c r="P90" s="286"/>
      <c r="Q90" s="285" t="s">
        <v>210</v>
      </c>
      <c r="R90" s="285" t="s">
        <v>7</v>
      </c>
      <c r="S90" s="286"/>
      <c r="T90" s="285" t="s">
        <v>210</v>
      </c>
      <c r="U90" s="285" t="s">
        <v>3</v>
      </c>
      <c r="V90" s="286"/>
      <c r="W90" s="285" t="s">
        <v>210</v>
      </c>
      <c r="X90" s="142"/>
      <c r="Y90" s="287">
        <f ca="1">science_cap*(1-EXP(-TblImps[[#This Row],[Σ Science]]/(science_param*(OFFSET(TblImps[[#This Row],[Land]],1,0)-OFFSET(TblExplore[[#This Row],[Land Bonus]],1,0)*20)+15000)))*(1+(mason_bonus*TblConstr[[#This Row],[Tot Mas]]/TblConstr[[#This Row],[Land (2)]]))</f>
        <v>0</v>
      </c>
      <c r="Z90" s="287">
        <f ca="1">keep_cap*(1-EXP(-TblImps[[#This Row],[Σ Keep]]/(keep_param*(OFFSET(TblImps[[#This Row],[Land]],1,0)-OFFSET(TblExplore[[#This Row],[Land Bonus]],1,0)*20)+15000)))*(1+(mason_bonus*TblConstr[[#This Row],[Tot Mas]]/TblConstr[[#This Row],[Land (2)]]))</f>
        <v>0</v>
      </c>
      <c r="AA90" s="287">
        <f ca="1">harbor_towers_cap*(1-EXP(-TblImps[[#This Row],[Σ Spires]]/(towers_param*(OFFSET(TblImps[[#This Row],[Land]],1,0)-OFFSET(TblExplore[[#This Row],[Land Bonus]],1,0)*20)+15000)))*(1+(mason_bonus*TblConstr[[#This Row],[Tot Mas]]/TblConstr[[#This Row],[Land (2)]]))</f>
        <v>0</v>
      </c>
      <c r="AB90" s="287">
        <f ca="1">walls_forges_cap*(1-EXP(-TblImps[[#This Row],[Σ Forges]]/(walls_forges_param*(OFFSET(TblImps[[#This Row],[Land]],1,0)-OFFSET(TblExplore[[#This Row],[Land Bonus]],1,0)*20)+15000)))*(1+(mason_bonus*TblConstr[[#This Row],[Tot Mas]]/TblConstr[[#This Row],[Land (2)]]))</f>
        <v>0</v>
      </c>
      <c r="AC90" s="287">
        <f ca="1">walls_forges_cap*(1-EXP(-TblImps[[#This Row],[Σ Walls]]/(walls_forges_param*(OFFSET(TblImps[[#This Row],[Land]],1,0)-OFFSET(TblExplore[[#This Row],[Land Bonus]],1,0)*20)+15000)))*(1+(mason_bonus*TblConstr[[#This Row],[Tot Mas]]/TblConstr[[#This Row],[Land (2)]]))</f>
        <v>0</v>
      </c>
      <c r="AD90" s="287">
        <f ca="1">harbor_towers_cap*(1-EXP(-TblImps[[#This Row],[Σ Harbor]]/(harbor_towers_param*(OFFSET(TblImps[[#This Row],[Land]],1,0)-OFFSET(TblExplore[[#This Row],[Land Bonus]],1,0)*20)+15000)))*(1+(mason_bonus*TblConstr[[#This Row],[Tot Mas]]/TblConstr[[#This Row],[Land (2)]]))</f>
        <v>0</v>
      </c>
      <c r="AE90" s="142"/>
      <c r="AF90" s="61">
        <f ca="1">(1+Overview!$I$29)*SUM(TblImps[[#This Row],[P2]:[G2]])+OFFSET(TblImps[[#This Row],[Σ Science]],-1,0)</f>
        <v>0</v>
      </c>
      <c r="AG90" s="61">
        <f ca="1">(1+Overview!$I$29)*SUM(TblImps[[#This Row],[P3]:[G3]])+OFFSET(TblImps[[#This Row],[Σ Keep]],-1,0)</f>
        <v>0</v>
      </c>
      <c r="AH90" s="61">
        <f ca="1">(1+Overview!$I$29 + tech_7_1*TblTech[[#This Row],[7-1]])*SUM(TblImps[[#This Row],[P4]:[G4]])+OFFSET(TblImps[[#This Row],[Σ Spires]],-1,0)</f>
        <v>0</v>
      </c>
      <c r="AI90" s="61">
        <f ca="1">(1+Overview!$I$29)*SUM(TblImps[[#This Row],[P5]:[FW5]])+OFFSET(TblImps[[#This Row],[Σ Forges]],-1,0)</f>
        <v>0</v>
      </c>
      <c r="AJ90" s="61">
        <f ca="1">(1+Overview!$I$29)*SUM(TblImps[[#This Row],[P6]:[G6]])+OFFSET(TblImps[[#This Row],[Σ Walls]],-1,0)</f>
        <v>0</v>
      </c>
      <c r="AK90" s="61">
        <f ca="1">(1+Overview!$I$29 + tech_7_1*TblTech[[#This Row],[7-1]])*SUM(TblImps[[#This Row],[P7]:[G7]])+OFFSET(TblImps[[#This Row],[Σ Harbor]],-1,0)</f>
        <v>0</v>
      </c>
      <c r="AL90" s="142"/>
      <c r="AM90" s="57">
        <f>IF(AND(TblImps[[#This Row],[Resource]]=AM$2,TblImps[[#This Row],[Part]]&lt;&gt;""),TblImps[[#This Row],[Amount]]) + IF(AND(TblImps[[#This Row],[Resource 2]]=AM$2,TblImps[[#This Row],[Part 2]]&lt;&gt;""),TblImps[[#This Row],[Amount 2]]) + IF(AND(TblImps[[#This Row],[Resource 3]]=AM$2,TblImps[[#This Row],[Part 3]]&lt;&gt;""),TblImps[[#This Row],[Amount 3]])</f>
        <v>0</v>
      </c>
      <c r="AN90" s="57">
        <f>IF(AND(TblImps[[#This Row],[Resource]]=AN$2,TblImps[[#This Row],[Part]]&lt;&gt;""),TblImps[[#This Row],[Amount]]) + IF(AND(TblImps[[#This Row],[Resource 2]]=AN$2,TblImps[[#This Row],[Part 2]]&lt;&gt;""),TblImps[[#This Row],[Amount 2]]) + IF(AND(TblImps[[#This Row],[Resource 3]]=AN$2,TblImps[[#This Row],[Part 3]]&lt;&gt;""),TblImps[[#This Row],[Amount 3]])</f>
        <v>0</v>
      </c>
      <c r="AO90" s="57">
        <f>IF(AND(TblImps[[#This Row],[Resource]]=AO$2,TblImps[[#This Row],[Part]]&lt;&gt;""),TblImps[[#This Row],[Amount]]) + IF(AND(TblImps[[#This Row],[Resource 2]]=AO$2,TblImps[[#This Row],[Part 2]]&lt;&gt;""),TblImps[[#This Row],[Amount 2]]) + IF(AND(TblImps[[#This Row],[Resource 3]]=AO$2,TblImps[[#This Row],[Part 3]]&lt;&gt;""),TblImps[[#This Row],[Amount 3]])</f>
        <v>0</v>
      </c>
      <c r="AP90" s="57">
        <f>IF(AND(TblImps[[#This Row],[Resource]]=AP$2,TblImps[[#This Row],[Part]]&lt;&gt;""),TblImps[[#This Row],[Amount]]) + IF(AND(TblImps[[#This Row],[Resource 2]]=AP$2,TblImps[[#This Row],[Part 2]]&lt;&gt;""),TblImps[[#This Row],[Amount 2]]) + IF(AND(TblImps[[#This Row],[Resource 3]]=AP$2,TblImps[[#This Row],[Part 3]]&lt;&gt;""),TblImps[[#This Row],[Amount 3]])</f>
        <v>0</v>
      </c>
      <c r="AQ90" s="142"/>
      <c r="AR9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142"/>
      <c r="AW9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142"/>
      <c r="BB9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142"/>
      <c r="BG9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57">
        <f ca="1">IF(OFFSET(TblMagic[[#This Row],[Active Alchemists Flame]],-1,0)&gt;0,TblConstr[[#This Row],[Tot Alc]]*alchemist_flame_invest,0)</f>
        <v>0</v>
      </c>
      <c r="BL90" s="142"/>
      <c r="BM9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0" s="142"/>
      <c r="BR9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0" s="142"/>
      <c r="BW9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0" s="61">
        <f>TblImps[[#This Row],[Login]]</f>
        <v>0</v>
      </c>
      <c r="BY90" s="137"/>
      <c r="BZ90" s="293">
        <f ca="1">OFFSET(TblImps[[#This Row],[Real time]],-1,0)+1/24</f>
        <v>46323.583333333125</v>
      </c>
      <c r="CA90" s="294">
        <f ca="1">OFFSET(TblImps[[#This Row],[Servertime]],-1,0)+1/24</f>
        <v>46323.583333333125</v>
      </c>
      <c r="CB90" s="297"/>
      <c r="CC90" s="292"/>
      <c r="CD90" s="292"/>
      <c r="CG90" s="295"/>
    </row>
    <row r="91" spans="1:85" x14ac:dyDescent="0.2">
      <c r="A91" s="214">
        <f ca="1">TblConstr[[#This Row],[Land]]</f>
        <v>50</v>
      </c>
      <c r="B91" s="142"/>
      <c r="C91" s="94">
        <f ca="1">TblProd[[#This Row],[Platinum]]</f>
        <v>194020</v>
      </c>
      <c r="D91" s="94">
        <f ca="1">TblProd[[#This Row],[Lumber]]</f>
        <v>64542</v>
      </c>
      <c r="E91" s="94">
        <f ca="1">TblProd[[#This Row],[Ore]]</f>
        <v>0</v>
      </c>
      <c r="F91" s="94">
        <f ca="1">TblProd[[#This Row],[Gems]]</f>
        <v>0</v>
      </c>
      <c r="G91" s="154"/>
      <c r="H91" s="94">
        <f ca="1">TblMili[[#This Row],[Draftees]]</f>
        <v>570</v>
      </c>
      <c r="I91" s="180">
        <f ca="1">TblPop[[#This Row],[Employment]]</f>
        <v>1</v>
      </c>
      <c r="J91" s="180">
        <f ca="1">TblPop[[#This Row],[Total]]/TblPop[[#This Row],[Net max]]</f>
        <v>1</v>
      </c>
      <c r="K91" s="283">
        <f>TblRezone[[#This Row],[Hour]]</f>
        <v>88</v>
      </c>
      <c r="L91" s="284">
        <f ca="1">TblImps[[#This Row],[Real time]]</f>
        <v>46323.624999999789</v>
      </c>
      <c r="M91" s="61">
        <f>IF(ISERROR(TblImps[[#This Row],[algorithm]]),0,TblImps[[#This Row],[algorithm]]*1)</f>
        <v>0</v>
      </c>
      <c r="N91" s="94">
        <f ca="1">TblImps[[#This Row],[Land]]</f>
        <v>50</v>
      </c>
      <c r="O91" s="285" t="s">
        <v>4</v>
      </c>
      <c r="P91" s="286"/>
      <c r="Q91" s="285" t="s">
        <v>210</v>
      </c>
      <c r="R91" s="285" t="s">
        <v>7</v>
      </c>
      <c r="S91" s="286"/>
      <c r="T91" s="285" t="s">
        <v>210</v>
      </c>
      <c r="U91" s="285" t="s">
        <v>3</v>
      </c>
      <c r="V91" s="286"/>
      <c r="W91" s="285" t="s">
        <v>210</v>
      </c>
      <c r="X91" s="142"/>
      <c r="Y91" s="287">
        <f ca="1">science_cap*(1-EXP(-TblImps[[#This Row],[Σ Science]]/(science_param*(OFFSET(TblImps[[#This Row],[Land]],1,0)-OFFSET(TblExplore[[#This Row],[Land Bonus]],1,0)*20)+15000)))*(1+(mason_bonus*TblConstr[[#This Row],[Tot Mas]]/TblConstr[[#This Row],[Land (2)]]))</f>
        <v>0</v>
      </c>
      <c r="Z91" s="287">
        <f ca="1">keep_cap*(1-EXP(-TblImps[[#This Row],[Σ Keep]]/(keep_param*(OFFSET(TblImps[[#This Row],[Land]],1,0)-OFFSET(TblExplore[[#This Row],[Land Bonus]],1,0)*20)+15000)))*(1+(mason_bonus*TblConstr[[#This Row],[Tot Mas]]/TblConstr[[#This Row],[Land (2)]]))</f>
        <v>0</v>
      </c>
      <c r="AA91" s="287">
        <f ca="1">harbor_towers_cap*(1-EXP(-TblImps[[#This Row],[Σ Spires]]/(towers_param*(OFFSET(TblImps[[#This Row],[Land]],1,0)-OFFSET(TblExplore[[#This Row],[Land Bonus]],1,0)*20)+15000)))*(1+(mason_bonus*TblConstr[[#This Row],[Tot Mas]]/TblConstr[[#This Row],[Land (2)]]))</f>
        <v>0</v>
      </c>
      <c r="AB91" s="287">
        <f ca="1">walls_forges_cap*(1-EXP(-TblImps[[#This Row],[Σ Forges]]/(walls_forges_param*(OFFSET(TblImps[[#This Row],[Land]],1,0)-OFFSET(TblExplore[[#This Row],[Land Bonus]],1,0)*20)+15000)))*(1+(mason_bonus*TblConstr[[#This Row],[Tot Mas]]/TblConstr[[#This Row],[Land (2)]]))</f>
        <v>0</v>
      </c>
      <c r="AC91" s="287">
        <f ca="1">walls_forges_cap*(1-EXP(-TblImps[[#This Row],[Σ Walls]]/(walls_forges_param*(OFFSET(TblImps[[#This Row],[Land]],1,0)-OFFSET(TblExplore[[#This Row],[Land Bonus]],1,0)*20)+15000)))*(1+(mason_bonus*TblConstr[[#This Row],[Tot Mas]]/TblConstr[[#This Row],[Land (2)]]))</f>
        <v>0</v>
      </c>
      <c r="AD91" s="287">
        <f ca="1">harbor_towers_cap*(1-EXP(-TblImps[[#This Row],[Σ Harbor]]/(harbor_towers_param*(OFFSET(TblImps[[#This Row],[Land]],1,0)-OFFSET(TblExplore[[#This Row],[Land Bonus]],1,0)*20)+15000)))*(1+(mason_bonus*TblConstr[[#This Row],[Tot Mas]]/TblConstr[[#This Row],[Land (2)]]))</f>
        <v>0</v>
      </c>
      <c r="AE91" s="142"/>
      <c r="AF91" s="61">
        <f ca="1">(1+Overview!$I$29)*SUM(TblImps[[#This Row],[P2]:[G2]])+OFFSET(TblImps[[#This Row],[Σ Science]],-1,0)</f>
        <v>0</v>
      </c>
      <c r="AG91" s="61">
        <f ca="1">(1+Overview!$I$29)*SUM(TblImps[[#This Row],[P3]:[G3]])+OFFSET(TblImps[[#This Row],[Σ Keep]],-1,0)</f>
        <v>0</v>
      </c>
      <c r="AH91" s="61">
        <f ca="1">(1+Overview!$I$29 + tech_7_1*TblTech[[#This Row],[7-1]])*SUM(TblImps[[#This Row],[P4]:[G4]])+OFFSET(TblImps[[#This Row],[Σ Spires]],-1,0)</f>
        <v>0</v>
      </c>
      <c r="AI91" s="61">
        <f ca="1">(1+Overview!$I$29)*SUM(TblImps[[#This Row],[P5]:[FW5]])+OFFSET(TblImps[[#This Row],[Σ Forges]],-1,0)</f>
        <v>0</v>
      </c>
      <c r="AJ91" s="61">
        <f ca="1">(1+Overview!$I$29)*SUM(TblImps[[#This Row],[P6]:[G6]])+OFFSET(TblImps[[#This Row],[Σ Walls]],-1,0)</f>
        <v>0</v>
      </c>
      <c r="AK91" s="61">
        <f ca="1">(1+Overview!$I$29 + tech_7_1*TblTech[[#This Row],[7-1]])*SUM(TblImps[[#This Row],[P7]:[G7]])+OFFSET(TblImps[[#This Row],[Σ Harbor]],-1,0)</f>
        <v>0</v>
      </c>
      <c r="AL91" s="142"/>
      <c r="AM91" s="57">
        <f>IF(AND(TblImps[[#This Row],[Resource]]=AM$2,TblImps[[#This Row],[Part]]&lt;&gt;""),TblImps[[#This Row],[Amount]]) + IF(AND(TblImps[[#This Row],[Resource 2]]=AM$2,TblImps[[#This Row],[Part 2]]&lt;&gt;""),TblImps[[#This Row],[Amount 2]]) + IF(AND(TblImps[[#This Row],[Resource 3]]=AM$2,TblImps[[#This Row],[Part 3]]&lt;&gt;""),TblImps[[#This Row],[Amount 3]])</f>
        <v>0</v>
      </c>
      <c r="AN91" s="57">
        <f>IF(AND(TblImps[[#This Row],[Resource]]=AN$2,TblImps[[#This Row],[Part]]&lt;&gt;""),TblImps[[#This Row],[Amount]]) + IF(AND(TblImps[[#This Row],[Resource 2]]=AN$2,TblImps[[#This Row],[Part 2]]&lt;&gt;""),TblImps[[#This Row],[Amount 2]]) + IF(AND(TblImps[[#This Row],[Resource 3]]=AN$2,TblImps[[#This Row],[Part 3]]&lt;&gt;""),TblImps[[#This Row],[Amount 3]])</f>
        <v>0</v>
      </c>
      <c r="AO91" s="57">
        <f>IF(AND(TblImps[[#This Row],[Resource]]=AO$2,TblImps[[#This Row],[Part]]&lt;&gt;""),TblImps[[#This Row],[Amount]]) + IF(AND(TblImps[[#This Row],[Resource 2]]=AO$2,TblImps[[#This Row],[Part 2]]&lt;&gt;""),TblImps[[#This Row],[Amount 2]]) + IF(AND(TblImps[[#This Row],[Resource 3]]=AO$2,TblImps[[#This Row],[Part 3]]&lt;&gt;""),TblImps[[#This Row],[Amount 3]])</f>
        <v>0</v>
      </c>
      <c r="AP91" s="57">
        <f>IF(AND(TblImps[[#This Row],[Resource]]=AP$2,TblImps[[#This Row],[Part]]&lt;&gt;""),TblImps[[#This Row],[Amount]]) + IF(AND(TblImps[[#This Row],[Resource 2]]=AP$2,TblImps[[#This Row],[Part 2]]&lt;&gt;""),TblImps[[#This Row],[Amount 2]]) + IF(AND(TblImps[[#This Row],[Resource 3]]=AP$2,TblImps[[#This Row],[Part 3]]&lt;&gt;""),TblImps[[#This Row],[Amount 3]])</f>
        <v>0</v>
      </c>
      <c r="AQ91" s="142"/>
      <c r="AR9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142"/>
      <c r="AW9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142"/>
      <c r="BB9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142"/>
      <c r="BG9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57">
        <f ca="1">IF(OFFSET(TblMagic[[#This Row],[Active Alchemists Flame]],-1,0)&gt;0,TblConstr[[#This Row],[Tot Alc]]*alchemist_flame_invest,0)</f>
        <v>0</v>
      </c>
      <c r="BL91" s="142"/>
      <c r="BM9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1" s="142"/>
      <c r="BR9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1" s="142"/>
      <c r="BW9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1" s="61">
        <f>TblImps[[#This Row],[Login]]</f>
        <v>0</v>
      </c>
      <c r="BY91" s="137"/>
      <c r="BZ91" s="293">
        <f ca="1">OFFSET(TblImps[[#This Row],[Real time]],-1,0)+1/24</f>
        <v>46323.624999999789</v>
      </c>
      <c r="CA91" s="294">
        <f ca="1">OFFSET(TblImps[[#This Row],[Servertime]],-1,0)+1/24</f>
        <v>46323.624999999789</v>
      </c>
      <c r="CB91" s="57"/>
      <c r="CC91" s="292"/>
      <c r="CD91" s="292"/>
      <c r="CG91" s="296"/>
    </row>
    <row r="92" spans="1:85" x14ac:dyDescent="0.2">
      <c r="A92" s="214">
        <f ca="1">TblConstr[[#This Row],[Land]]</f>
        <v>50</v>
      </c>
      <c r="B92" s="142"/>
      <c r="C92" s="94">
        <f ca="1">TblProd[[#This Row],[Platinum]]</f>
        <v>194557</v>
      </c>
      <c r="D92" s="94">
        <f ca="1">TblProd[[#This Row],[Lumber]]</f>
        <v>64897</v>
      </c>
      <c r="E92" s="94">
        <f ca="1">TblProd[[#This Row],[Ore]]</f>
        <v>0</v>
      </c>
      <c r="F92" s="94">
        <f ca="1">TblProd[[#This Row],[Gems]]</f>
        <v>0</v>
      </c>
      <c r="G92" s="154"/>
      <c r="H92" s="94">
        <f ca="1">TblMili[[#This Row],[Draftees]]</f>
        <v>572</v>
      </c>
      <c r="I92" s="180">
        <f ca="1">TblPop[[#This Row],[Employment]]</f>
        <v>1</v>
      </c>
      <c r="J92" s="180">
        <f ca="1">TblPop[[#This Row],[Total]]/TblPop[[#This Row],[Net max]]</f>
        <v>1</v>
      </c>
      <c r="K92" s="283">
        <f>TblRezone[[#This Row],[Hour]]</f>
        <v>89</v>
      </c>
      <c r="L92" s="284">
        <f ca="1">TblImps[[#This Row],[Real time]]</f>
        <v>46323.666666666453</v>
      </c>
      <c r="M92" s="61">
        <f>IF(ISERROR(TblImps[[#This Row],[algorithm]]),0,TblImps[[#This Row],[algorithm]]*1)</f>
        <v>0</v>
      </c>
      <c r="N92" s="94">
        <f ca="1">TblImps[[#This Row],[Land]]</f>
        <v>50</v>
      </c>
      <c r="O92" s="285" t="s">
        <v>4</v>
      </c>
      <c r="P92" s="286"/>
      <c r="Q92" s="285" t="s">
        <v>210</v>
      </c>
      <c r="R92" s="285" t="s">
        <v>7</v>
      </c>
      <c r="S92" s="286"/>
      <c r="T92" s="285" t="s">
        <v>210</v>
      </c>
      <c r="U92" s="285" t="s">
        <v>3</v>
      </c>
      <c r="V92" s="286"/>
      <c r="W92" s="285" t="s">
        <v>210</v>
      </c>
      <c r="X92" s="142"/>
      <c r="Y92" s="287">
        <f ca="1">science_cap*(1-EXP(-TblImps[[#This Row],[Σ Science]]/(science_param*(OFFSET(TblImps[[#This Row],[Land]],1,0)-OFFSET(TblExplore[[#This Row],[Land Bonus]],1,0)*20)+15000)))*(1+(mason_bonus*TblConstr[[#This Row],[Tot Mas]]/TblConstr[[#This Row],[Land (2)]]))</f>
        <v>0</v>
      </c>
      <c r="Z92" s="287">
        <f ca="1">keep_cap*(1-EXP(-TblImps[[#This Row],[Σ Keep]]/(keep_param*(OFFSET(TblImps[[#This Row],[Land]],1,0)-OFFSET(TblExplore[[#This Row],[Land Bonus]],1,0)*20)+15000)))*(1+(mason_bonus*TblConstr[[#This Row],[Tot Mas]]/TblConstr[[#This Row],[Land (2)]]))</f>
        <v>0</v>
      </c>
      <c r="AA92" s="287">
        <f ca="1">harbor_towers_cap*(1-EXP(-TblImps[[#This Row],[Σ Spires]]/(towers_param*(OFFSET(TblImps[[#This Row],[Land]],1,0)-OFFSET(TblExplore[[#This Row],[Land Bonus]],1,0)*20)+15000)))*(1+(mason_bonus*TblConstr[[#This Row],[Tot Mas]]/TblConstr[[#This Row],[Land (2)]]))</f>
        <v>0</v>
      </c>
      <c r="AB92" s="287">
        <f ca="1">walls_forges_cap*(1-EXP(-TblImps[[#This Row],[Σ Forges]]/(walls_forges_param*(OFFSET(TblImps[[#This Row],[Land]],1,0)-OFFSET(TblExplore[[#This Row],[Land Bonus]],1,0)*20)+15000)))*(1+(mason_bonus*TblConstr[[#This Row],[Tot Mas]]/TblConstr[[#This Row],[Land (2)]]))</f>
        <v>0</v>
      </c>
      <c r="AC92" s="287">
        <f ca="1">walls_forges_cap*(1-EXP(-TblImps[[#This Row],[Σ Walls]]/(walls_forges_param*(OFFSET(TblImps[[#This Row],[Land]],1,0)-OFFSET(TblExplore[[#This Row],[Land Bonus]],1,0)*20)+15000)))*(1+(mason_bonus*TblConstr[[#This Row],[Tot Mas]]/TblConstr[[#This Row],[Land (2)]]))</f>
        <v>0</v>
      </c>
      <c r="AD92" s="287">
        <f ca="1">harbor_towers_cap*(1-EXP(-TblImps[[#This Row],[Σ Harbor]]/(harbor_towers_param*(OFFSET(TblImps[[#This Row],[Land]],1,0)-OFFSET(TblExplore[[#This Row],[Land Bonus]],1,0)*20)+15000)))*(1+(mason_bonus*TblConstr[[#This Row],[Tot Mas]]/TblConstr[[#This Row],[Land (2)]]))</f>
        <v>0</v>
      </c>
      <c r="AE92" s="142"/>
      <c r="AF92" s="61">
        <f ca="1">(1+Overview!$I$29)*SUM(TblImps[[#This Row],[P2]:[G2]])+OFFSET(TblImps[[#This Row],[Σ Science]],-1,0)</f>
        <v>0</v>
      </c>
      <c r="AG92" s="61">
        <f ca="1">(1+Overview!$I$29)*SUM(TblImps[[#This Row],[P3]:[G3]])+OFFSET(TblImps[[#This Row],[Σ Keep]],-1,0)</f>
        <v>0</v>
      </c>
      <c r="AH92" s="61">
        <f ca="1">(1+Overview!$I$29 + tech_7_1*TblTech[[#This Row],[7-1]])*SUM(TblImps[[#This Row],[P4]:[G4]])+OFFSET(TblImps[[#This Row],[Σ Spires]],-1,0)</f>
        <v>0</v>
      </c>
      <c r="AI92" s="61">
        <f ca="1">(1+Overview!$I$29)*SUM(TblImps[[#This Row],[P5]:[FW5]])+OFFSET(TblImps[[#This Row],[Σ Forges]],-1,0)</f>
        <v>0</v>
      </c>
      <c r="AJ92" s="61">
        <f ca="1">(1+Overview!$I$29)*SUM(TblImps[[#This Row],[P6]:[G6]])+OFFSET(TblImps[[#This Row],[Σ Walls]],-1,0)</f>
        <v>0</v>
      </c>
      <c r="AK92" s="61">
        <f ca="1">(1+Overview!$I$29 + tech_7_1*TblTech[[#This Row],[7-1]])*SUM(TblImps[[#This Row],[P7]:[G7]])+OFFSET(TblImps[[#This Row],[Σ Harbor]],-1,0)</f>
        <v>0</v>
      </c>
      <c r="AL92" s="142"/>
      <c r="AM92" s="57">
        <f>IF(AND(TblImps[[#This Row],[Resource]]=AM$2,TblImps[[#This Row],[Part]]&lt;&gt;""),TblImps[[#This Row],[Amount]]) + IF(AND(TblImps[[#This Row],[Resource 2]]=AM$2,TblImps[[#This Row],[Part 2]]&lt;&gt;""),TblImps[[#This Row],[Amount 2]]) + IF(AND(TblImps[[#This Row],[Resource 3]]=AM$2,TblImps[[#This Row],[Part 3]]&lt;&gt;""),TblImps[[#This Row],[Amount 3]])</f>
        <v>0</v>
      </c>
      <c r="AN92" s="57">
        <f>IF(AND(TblImps[[#This Row],[Resource]]=AN$2,TblImps[[#This Row],[Part]]&lt;&gt;""),TblImps[[#This Row],[Amount]]) + IF(AND(TblImps[[#This Row],[Resource 2]]=AN$2,TblImps[[#This Row],[Part 2]]&lt;&gt;""),TblImps[[#This Row],[Amount 2]]) + IF(AND(TblImps[[#This Row],[Resource 3]]=AN$2,TblImps[[#This Row],[Part 3]]&lt;&gt;""),TblImps[[#This Row],[Amount 3]])</f>
        <v>0</v>
      </c>
      <c r="AO92" s="57">
        <f>IF(AND(TblImps[[#This Row],[Resource]]=AO$2,TblImps[[#This Row],[Part]]&lt;&gt;""),TblImps[[#This Row],[Amount]]) + IF(AND(TblImps[[#This Row],[Resource 2]]=AO$2,TblImps[[#This Row],[Part 2]]&lt;&gt;""),TblImps[[#This Row],[Amount 2]]) + IF(AND(TblImps[[#This Row],[Resource 3]]=AO$2,TblImps[[#This Row],[Part 3]]&lt;&gt;""),TblImps[[#This Row],[Amount 3]])</f>
        <v>0</v>
      </c>
      <c r="AP92" s="57">
        <f>IF(AND(TblImps[[#This Row],[Resource]]=AP$2,TblImps[[#This Row],[Part]]&lt;&gt;""),TblImps[[#This Row],[Amount]]) + IF(AND(TblImps[[#This Row],[Resource 2]]=AP$2,TblImps[[#This Row],[Part 2]]&lt;&gt;""),TblImps[[#This Row],[Amount 2]]) + IF(AND(TblImps[[#This Row],[Resource 3]]=AP$2,TblImps[[#This Row],[Part 3]]&lt;&gt;""),TblImps[[#This Row],[Amount 3]])</f>
        <v>0</v>
      </c>
      <c r="AQ92" s="142"/>
      <c r="AR9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142"/>
      <c r="AW9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142"/>
      <c r="BB9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142"/>
      <c r="BG9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57">
        <f ca="1">IF(OFFSET(TblMagic[[#This Row],[Active Alchemists Flame]],-1,0)&gt;0,TblConstr[[#This Row],[Tot Alc]]*alchemist_flame_invest,0)</f>
        <v>0</v>
      </c>
      <c r="BL92" s="142"/>
      <c r="BM9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2" s="142"/>
      <c r="BR9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2" s="142"/>
      <c r="BW9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2" s="61">
        <f>TblImps[[#This Row],[Login]]</f>
        <v>0</v>
      </c>
      <c r="BY92" s="137"/>
      <c r="BZ92" s="293">
        <f ca="1">OFFSET(TblImps[[#This Row],[Real time]],-1,0)+1/24</f>
        <v>46323.666666666453</v>
      </c>
      <c r="CA92" s="294">
        <f ca="1">OFFSET(TblImps[[#This Row],[Servertime]],-1,0)+1/24</f>
        <v>46323.666666666453</v>
      </c>
      <c r="CB92" s="57"/>
      <c r="CC92" s="292"/>
      <c r="CD92" s="292"/>
      <c r="CG92" s="295"/>
    </row>
    <row r="93" spans="1:85" x14ac:dyDescent="0.2">
      <c r="A93" s="214">
        <f ca="1">TblConstr[[#This Row],[Land]]</f>
        <v>50</v>
      </c>
      <c r="B93" s="142"/>
      <c r="C93" s="94">
        <f ca="1">TblProd[[#This Row],[Platinum]]</f>
        <v>195088</v>
      </c>
      <c r="D93" s="94">
        <f ca="1">TblProd[[#This Row],[Lumber]]</f>
        <v>65248</v>
      </c>
      <c r="E93" s="94">
        <f ca="1">TblProd[[#This Row],[Ore]]</f>
        <v>0</v>
      </c>
      <c r="F93" s="94">
        <f ca="1">TblProd[[#This Row],[Gems]]</f>
        <v>0</v>
      </c>
      <c r="G93" s="154"/>
      <c r="H93" s="94">
        <f ca="1">TblMili[[#This Row],[Draftees]]</f>
        <v>574</v>
      </c>
      <c r="I93" s="180">
        <f ca="1">TblPop[[#This Row],[Employment]]</f>
        <v>1</v>
      </c>
      <c r="J93" s="180">
        <f ca="1">TblPop[[#This Row],[Total]]/TblPop[[#This Row],[Net max]]</f>
        <v>1</v>
      </c>
      <c r="K93" s="283">
        <f>TblRezone[[#This Row],[Hour]]</f>
        <v>90</v>
      </c>
      <c r="L93" s="284">
        <f ca="1">TblImps[[#This Row],[Real time]]</f>
        <v>46323.708333333117</v>
      </c>
      <c r="M93" s="61">
        <f>IF(ISERROR(TblImps[[#This Row],[algorithm]]),0,TblImps[[#This Row],[algorithm]]*1)</f>
        <v>0</v>
      </c>
      <c r="N93" s="94">
        <f ca="1">TblImps[[#This Row],[Land]]</f>
        <v>50</v>
      </c>
      <c r="O93" s="285" t="s">
        <v>4</v>
      </c>
      <c r="P93" s="286"/>
      <c r="Q93" s="285" t="s">
        <v>210</v>
      </c>
      <c r="R93" s="285" t="s">
        <v>7</v>
      </c>
      <c r="S93" s="286"/>
      <c r="T93" s="285" t="s">
        <v>210</v>
      </c>
      <c r="U93" s="285" t="s">
        <v>3</v>
      </c>
      <c r="V93" s="286"/>
      <c r="W93" s="285" t="s">
        <v>210</v>
      </c>
      <c r="X93" s="142"/>
      <c r="Y93" s="287">
        <f ca="1">science_cap*(1-EXP(-TblImps[[#This Row],[Σ Science]]/(science_param*(OFFSET(TblImps[[#This Row],[Land]],1,0)-OFFSET(TblExplore[[#This Row],[Land Bonus]],1,0)*20)+15000)))*(1+(mason_bonus*TblConstr[[#This Row],[Tot Mas]]/TblConstr[[#This Row],[Land (2)]]))</f>
        <v>0</v>
      </c>
      <c r="Z93" s="287">
        <f ca="1">keep_cap*(1-EXP(-TblImps[[#This Row],[Σ Keep]]/(keep_param*(OFFSET(TblImps[[#This Row],[Land]],1,0)-OFFSET(TblExplore[[#This Row],[Land Bonus]],1,0)*20)+15000)))*(1+(mason_bonus*TblConstr[[#This Row],[Tot Mas]]/TblConstr[[#This Row],[Land (2)]]))</f>
        <v>0</v>
      </c>
      <c r="AA93" s="287">
        <f ca="1">harbor_towers_cap*(1-EXP(-TblImps[[#This Row],[Σ Spires]]/(towers_param*(OFFSET(TblImps[[#This Row],[Land]],1,0)-OFFSET(TblExplore[[#This Row],[Land Bonus]],1,0)*20)+15000)))*(1+(mason_bonus*TblConstr[[#This Row],[Tot Mas]]/TblConstr[[#This Row],[Land (2)]]))</f>
        <v>0</v>
      </c>
      <c r="AB93" s="287">
        <f ca="1">walls_forges_cap*(1-EXP(-TblImps[[#This Row],[Σ Forges]]/(walls_forges_param*(OFFSET(TblImps[[#This Row],[Land]],1,0)-OFFSET(TblExplore[[#This Row],[Land Bonus]],1,0)*20)+15000)))*(1+(mason_bonus*TblConstr[[#This Row],[Tot Mas]]/TblConstr[[#This Row],[Land (2)]]))</f>
        <v>0</v>
      </c>
      <c r="AC93" s="287">
        <f ca="1">walls_forges_cap*(1-EXP(-TblImps[[#This Row],[Σ Walls]]/(walls_forges_param*(OFFSET(TblImps[[#This Row],[Land]],1,0)-OFFSET(TblExplore[[#This Row],[Land Bonus]],1,0)*20)+15000)))*(1+(mason_bonus*TblConstr[[#This Row],[Tot Mas]]/TblConstr[[#This Row],[Land (2)]]))</f>
        <v>0</v>
      </c>
      <c r="AD93" s="287">
        <f ca="1">harbor_towers_cap*(1-EXP(-TblImps[[#This Row],[Σ Harbor]]/(harbor_towers_param*(OFFSET(TblImps[[#This Row],[Land]],1,0)-OFFSET(TblExplore[[#This Row],[Land Bonus]],1,0)*20)+15000)))*(1+(mason_bonus*TblConstr[[#This Row],[Tot Mas]]/TblConstr[[#This Row],[Land (2)]]))</f>
        <v>0</v>
      </c>
      <c r="AE93" s="142"/>
      <c r="AF93" s="61">
        <f ca="1">(1+Overview!$I$29)*SUM(TblImps[[#This Row],[P2]:[G2]])+OFFSET(TblImps[[#This Row],[Σ Science]],-1,0)</f>
        <v>0</v>
      </c>
      <c r="AG93" s="61">
        <f ca="1">(1+Overview!$I$29)*SUM(TblImps[[#This Row],[P3]:[G3]])+OFFSET(TblImps[[#This Row],[Σ Keep]],-1,0)</f>
        <v>0</v>
      </c>
      <c r="AH93" s="61">
        <f ca="1">(1+Overview!$I$29 + tech_7_1*TblTech[[#This Row],[7-1]])*SUM(TblImps[[#This Row],[P4]:[G4]])+OFFSET(TblImps[[#This Row],[Σ Spires]],-1,0)</f>
        <v>0</v>
      </c>
      <c r="AI93" s="61">
        <f ca="1">(1+Overview!$I$29)*SUM(TblImps[[#This Row],[P5]:[FW5]])+OFFSET(TblImps[[#This Row],[Σ Forges]],-1,0)</f>
        <v>0</v>
      </c>
      <c r="AJ93" s="61">
        <f ca="1">(1+Overview!$I$29)*SUM(TblImps[[#This Row],[P6]:[G6]])+OFFSET(TblImps[[#This Row],[Σ Walls]],-1,0)</f>
        <v>0</v>
      </c>
      <c r="AK93" s="61">
        <f ca="1">(1+Overview!$I$29 + tech_7_1*TblTech[[#This Row],[7-1]])*SUM(TblImps[[#This Row],[P7]:[G7]])+OFFSET(TblImps[[#This Row],[Σ Harbor]],-1,0)</f>
        <v>0</v>
      </c>
      <c r="AL93" s="142"/>
      <c r="AM93" s="57">
        <f>IF(AND(TblImps[[#This Row],[Resource]]=AM$2,TblImps[[#This Row],[Part]]&lt;&gt;""),TblImps[[#This Row],[Amount]]) + IF(AND(TblImps[[#This Row],[Resource 2]]=AM$2,TblImps[[#This Row],[Part 2]]&lt;&gt;""),TblImps[[#This Row],[Amount 2]]) + IF(AND(TblImps[[#This Row],[Resource 3]]=AM$2,TblImps[[#This Row],[Part 3]]&lt;&gt;""),TblImps[[#This Row],[Amount 3]])</f>
        <v>0</v>
      </c>
      <c r="AN93" s="57">
        <f>IF(AND(TblImps[[#This Row],[Resource]]=AN$2,TblImps[[#This Row],[Part]]&lt;&gt;""),TblImps[[#This Row],[Amount]]) + IF(AND(TblImps[[#This Row],[Resource 2]]=AN$2,TblImps[[#This Row],[Part 2]]&lt;&gt;""),TblImps[[#This Row],[Amount 2]]) + IF(AND(TblImps[[#This Row],[Resource 3]]=AN$2,TblImps[[#This Row],[Part 3]]&lt;&gt;""),TblImps[[#This Row],[Amount 3]])</f>
        <v>0</v>
      </c>
      <c r="AO93" s="57">
        <f>IF(AND(TblImps[[#This Row],[Resource]]=AO$2,TblImps[[#This Row],[Part]]&lt;&gt;""),TblImps[[#This Row],[Amount]]) + IF(AND(TblImps[[#This Row],[Resource 2]]=AO$2,TblImps[[#This Row],[Part 2]]&lt;&gt;""),TblImps[[#This Row],[Amount 2]]) + IF(AND(TblImps[[#This Row],[Resource 3]]=AO$2,TblImps[[#This Row],[Part 3]]&lt;&gt;""),TblImps[[#This Row],[Amount 3]])</f>
        <v>0</v>
      </c>
      <c r="AP93" s="57">
        <f>IF(AND(TblImps[[#This Row],[Resource]]=AP$2,TblImps[[#This Row],[Part]]&lt;&gt;""),TblImps[[#This Row],[Amount]]) + IF(AND(TblImps[[#This Row],[Resource 2]]=AP$2,TblImps[[#This Row],[Part 2]]&lt;&gt;""),TblImps[[#This Row],[Amount 2]]) + IF(AND(TblImps[[#This Row],[Resource 3]]=AP$2,TblImps[[#This Row],[Part 3]]&lt;&gt;""),TblImps[[#This Row],[Amount 3]])</f>
        <v>0</v>
      </c>
      <c r="AQ93" s="142"/>
      <c r="AR9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142"/>
      <c r="AW9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142"/>
      <c r="BB9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142"/>
      <c r="BG9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57">
        <f ca="1">IF(OFFSET(TblMagic[[#This Row],[Active Alchemists Flame]],-1,0)&gt;0,TblConstr[[#This Row],[Tot Alc]]*alchemist_flame_invest,0)</f>
        <v>0</v>
      </c>
      <c r="BL93" s="142"/>
      <c r="BM9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3" s="142"/>
      <c r="BR9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3" s="142"/>
      <c r="BW9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3" s="61">
        <f>TblImps[[#This Row],[Login]]</f>
        <v>0</v>
      </c>
      <c r="BY93" s="137"/>
      <c r="BZ93" s="293">
        <f ca="1">OFFSET(TblImps[[#This Row],[Real time]],-1,0)+1/24</f>
        <v>46323.708333333117</v>
      </c>
      <c r="CA93" s="294">
        <f ca="1">OFFSET(TblImps[[#This Row],[Servertime]],-1,0)+1/24</f>
        <v>46323.708333333117</v>
      </c>
      <c r="CB93" s="57"/>
      <c r="CC93" s="292"/>
      <c r="CD93" s="292"/>
      <c r="CG93" s="295"/>
    </row>
    <row r="94" spans="1:85" x14ac:dyDescent="0.2">
      <c r="A94" s="214">
        <f ca="1">TblConstr[[#This Row],[Land]]</f>
        <v>50</v>
      </c>
      <c r="B94" s="142"/>
      <c r="C94" s="94">
        <f ca="1">TblProd[[#This Row],[Platinum]]</f>
        <v>195614</v>
      </c>
      <c r="D94" s="94">
        <f ca="1">TblProd[[#This Row],[Lumber]]</f>
        <v>65596</v>
      </c>
      <c r="E94" s="94">
        <f ca="1">TblProd[[#This Row],[Ore]]</f>
        <v>0</v>
      </c>
      <c r="F94" s="94">
        <f ca="1">TblProd[[#This Row],[Gems]]</f>
        <v>0</v>
      </c>
      <c r="G94" s="154"/>
      <c r="H94" s="94">
        <f ca="1">TblMili[[#This Row],[Draftees]]</f>
        <v>576</v>
      </c>
      <c r="I94" s="180">
        <f ca="1">TblPop[[#This Row],[Employment]]</f>
        <v>1</v>
      </c>
      <c r="J94" s="180">
        <f ca="1">TblPop[[#This Row],[Total]]/TblPop[[#This Row],[Net max]]</f>
        <v>1</v>
      </c>
      <c r="K94" s="283">
        <f>TblRezone[[#This Row],[Hour]]</f>
        <v>91</v>
      </c>
      <c r="L94" s="284">
        <f ca="1">TblImps[[#This Row],[Real time]]</f>
        <v>46323.749999999782</v>
      </c>
      <c r="M94" s="61">
        <f>IF(ISERROR(TblImps[[#This Row],[algorithm]]),0,TblImps[[#This Row],[algorithm]]*1)</f>
        <v>0</v>
      </c>
      <c r="N94" s="94">
        <f ca="1">TblImps[[#This Row],[Land]]</f>
        <v>50</v>
      </c>
      <c r="O94" s="285" t="s">
        <v>4</v>
      </c>
      <c r="P94" s="286"/>
      <c r="Q94" s="285" t="s">
        <v>210</v>
      </c>
      <c r="R94" s="285" t="s">
        <v>7</v>
      </c>
      <c r="S94" s="286"/>
      <c r="T94" s="285" t="s">
        <v>210</v>
      </c>
      <c r="U94" s="285" t="s">
        <v>3</v>
      </c>
      <c r="V94" s="286"/>
      <c r="W94" s="285" t="s">
        <v>210</v>
      </c>
      <c r="X94" s="142"/>
      <c r="Y94" s="287">
        <f ca="1">science_cap*(1-EXP(-TblImps[[#This Row],[Σ Science]]/(science_param*(OFFSET(TblImps[[#This Row],[Land]],1,0)-OFFSET(TblExplore[[#This Row],[Land Bonus]],1,0)*20)+15000)))*(1+(mason_bonus*TblConstr[[#This Row],[Tot Mas]]/TblConstr[[#This Row],[Land (2)]]))</f>
        <v>0</v>
      </c>
      <c r="Z94" s="287">
        <f ca="1">keep_cap*(1-EXP(-TblImps[[#This Row],[Σ Keep]]/(keep_param*(OFFSET(TblImps[[#This Row],[Land]],1,0)-OFFSET(TblExplore[[#This Row],[Land Bonus]],1,0)*20)+15000)))*(1+(mason_bonus*TblConstr[[#This Row],[Tot Mas]]/TblConstr[[#This Row],[Land (2)]]))</f>
        <v>0</v>
      </c>
      <c r="AA94" s="287">
        <f ca="1">harbor_towers_cap*(1-EXP(-TblImps[[#This Row],[Σ Spires]]/(towers_param*(OFFSET(TblImps[[#This Row],[Land]],1,0)-OFFSET(TblExplore[[#This Row],[Land Bonus]],1,0)*20)+15000)))*(1+(mason_bonus*TblConstr[[#This Row],[Tot Mas]]/TblConstr[[#This Row],[Land (2)]]))</f>
        <v>0</v>
      </c>
      <c r="AB94" s="287">
        <f ca="1">walls_forges_cap*(1-EXP(-TblImps[[#This Row],[Σ Forges]]/(walls_forges_param*(OFFSET(TblImps[[#This Row],[Land]],1,0)-OFFSET(TblExplore[[#This Row],[Land Bonus]],1,0)*20)+15000)))*(1+(mason_bonus*TblConstr[[#This Row],[Tot Mas]]/TblConstr[[#This Row],[Land (2)]]))</f>
        <v>0</v>
      </c>
      <c r="AC94" s="287">
        <f ca="1">walls_forges_cap*(1-EXP(-TblImps[[#This Row],[Σ Walls]]/(walls_forges_param*(OFFSET(TblImps[[#This Row],[Land]],1,0)-OFFSET(TblExplore[[#This Row],[Land Bonus]],1,0)*20)+15000)))*(1+(mason_bonus*TblConstr[[#This Row],[Tot Mas]]/TblConstr[[#This Row],[Land (2)]]))</f>
        <v>0</v>
      </c>
      <c r="AD94" s="287">
        <f ca="1">harbor_towers_cap*(1-EXP(-TblImps[[#This Row],[Σ Harbor]]/(harbor_towers_param*(OFFSET(TblImps[[#This Row],[Land]],1,0)-OFFSET(TblExplore[[#This Row],[Land Bonus]],1,0)*20)+15000)))*(1+(mason_bonus*TblConstr[[#This Row],[Tot Mas]]/TblConstr[[#This Row],[Land (2)]]))</f>
        <v>0</v>
      </c>
      <c r="AE94" s="142"/>
      <c r="AF94" s="61">
        <f ca="1">(1+Overview!$I$29)*SUM(TblImps[[#This Row],[P2]:[G2]])+OFFSET(TblImps[[#This Row],[Σ Science]],-1,0)</f>
        <v>0</v>
      </c>
      <c r="AG94" s="61">
        <f ca="1">(1+Overview!$I$29)*SUM(TblImps[[#This Row],[P3]:[G3]])+OFFSET(TblImps[[#This Row],[Σ Keep]],-1,0)</f>
        <v>0</v>
      </c>
      <c r="AH94" s="61">
        <f ca="1">(1+Overview!$I$29 + tech_7_1*TblTech[[#This Row],[7-1]])*SUM(TblImps[[#This Row],[P4]:[G4]])+OFFSET(TblImps[[#This Row],[Σ Spires]],-1,0)</f>
        <v>0</v>
      </c>
      <c r="AI94" s="61">
        <f ca="1">(1+Overview!$I$29)*SUM(TblImps[[#This Row],[P5]:[FW5]])+OFFSET(TblImps[[#This Row],[Σ Forges]],-1,0)</f>
        <v>0</v>
      </c>
      <c r="AJ94" s="61">
        <f ca="1">(1+Overview!$I$29)*SUM(TblImps[[#This Row],[P6]:[G6]])+OFFSET(TblImps[[#This Row],[Σ Walls]],-1,0)</f>
        <v>0</v>
      </c>
      <c r="AK94" s="61">
        <f ca="1">(1+Overview!$I$29 + tech_7_1*TblTech[[#This Row],[7-1]])*SUM(TblImps[[#This Row],[P7]:[G7]])+OFFSET(TblImps[[#This Row],[Σ Harbor]],-1,0)</f>
        <v>0</v>
      </c>
      <c r="AL94" s="142"/>
      <c r="AM94" s="57">
        <f>IF(AND(TblImps[[#This Row],[Resource]]=AM$2,TblImps[[#This Row],[Part]]&lt;&gt;""),TblImps[[#This Row],[Amount]]) + IF(AND(TblImps[[#This Row],[Resource 2]]=AM$2,TblImps[[#This Row],[Part 2]]&lt;&gt;""),TblImps[[#This Row],[Amount 2]]) + IF(AND(TblImps[[#This Row],[Resource 3]]=AM$2,TblImps[[#This Row],[Part 3]]&lt;&gt;""),TblImps[[#This Row],[Amount 3]])</f>
        <v>0</v>
      </c>
      <c r="AN94" s="57">
        <f>IF(AND(TblImps[[#This Row],[Resource]]=AN$2,TblImps[[#This Row],[Part]]&lt;&gt;""),TblImps[[#This Row],[Amount]]) + IF(AND(TblImps[[#This Row],[Resource 2]]=AN$2,TblImps[[#This Row],[Part 2]]&lt;&gt;""),TblImps[[#This Row],[Amount 2]]) + IF(AND(TblImps[[#This Row],[Resource 3]]=AN$2,TblImps[[#This Row],[Part 3]]&lt;&gt;""),TblImps[[#This Row],[Amount 3]])</f>
        <v>0</v>
      </c>
      <c r="AO94" s="57">
        <f>IF(AND(TblImps[[#This Row],[Resource]]=AO$2,TblImps[[#This Row],[Part]]&lt;&gt;""),TblImps[[#This Row],[Amount]]) + IF(AND(TblImps[[#This Row],[Resource 2]]=AO$2,TblImps[[#This Row],[Part 2]]&lt;&gt;""),TblImps[[#This Row],[Amount 2]]) + IF(AND(TblImps[[#This Row],[Resource 3]]=AO$2,TblImps[[#This Row],[Part 3]]&lt;&gt;""),TblImps[[#This Row],[Amount 3]])</f>
        <v>0</v>
      </c>
      <c r="AP94" s="57">
        <f>IF(AND(TblImps[[#This Row],[Resource]]=AP$2,TblImps[[#This Row],[Part]]&lt;&gt;""),TblImps[[#This Row],[Amount]]) + IF(AND(TblImps[[#This Row],[Resource 2]]=AP$2,TblImps[[#This Row],[Part 2]]&lt;&gt;""),TblImps[[#This Row],[Amount 2]]) + IF(AND(TblImps[[#This Row],[Resource 3]]=AP$2,TblImps[[#This Row],[Part 3]]&lt;&gt;""),TblImps[[#This Row],[Amount 3]])</f>
        <v>0</v>
      </c>
      <c r="AQ94" s="142"/>
      <c r="AR9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142"/>
      <c r="AW9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142"/>
      <c r="BB9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142"/>
      <c r="BG9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57">
        <f ca="1">IF(OFFSET(TblMagic[[#This Row],[Active Alchemists Flame]],-1,0)&gt;0,TblConstr[[#This Row],[Tot Alc]]*alchemist_flame_invest,0)</f>
        <v>0</v>
      </c>
      <c r="BL94" s="142"/>
      <c r="BM9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4" s="142"/>
      <c r="BR9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4" s="142"/>
      <c r="BW9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4" s="61">
        <f>TblImps[[#This Row],[Login]]</f>
        <v>0</v>
      </c>
      <c r="BY94" s="137"/>
      <c r="BZ94" s="293">
        <f ca="1">OFFSET(TblImps[[#This Row],[Real time]],-1,0)+1/24</f>
        <v>46323.749999999782</v>
      </c>
      <c r="CA94" s="294">
        <f ca="1">OFFSET(TblImps[[#This Row],[Servertime]],-1,0)+1/24</f>
        <v>46323.749999999782</v>
      </c>
      <c r="CB94" s="57"/>
      <c r="CC94" s="292"/>
      <c r="CD94" s="292"/>
    </row>
    <row r="95" spans="1:85" x14ac:dyDescent="0.2">
      <c r="A95" s="214">
        <f ca="1">TblConstr[[#This Row],[Land]]</f>
        <v>50</v>
      </c>
      <c r="B95" s="142"/>
      <c r="C95" s="94">
        <f ca="1">TblProd[[#This Row],[Platinum]]</f>
        <v>196135</v>
      </c>
      <c r="D95" s="94">
        <f ca="1">TblProd[[#This Row],[Lumber]]</f>
        <v>65940</v>
      </c>
      <c r="E95" s="94">
        <f ca="1">TblProd[[#This Row],[Ore]]</f>
        <v>0</v>
      </c>
      <c r="F95" s="94">
        <f ca="1">TblProd[[#This Row],[Gems]]</f>
        <v>0</v>
      </c>
      <c r="G95" s="154"/>
      <c r="H95" s="94">
        <f ca="1">TblMili[[#This Row],[Draftees]]</f>
        <v>578</v>
      </c>
      <c r="I95" s="180">
        <f ca="1">TblPop[[#This Row],[Employment]]</f>
        <v>1</v>
      </c>
      <c r="J95" s="180">
        <f ca="1">TblPop[[#This Row],[Total]]/TblPop[[#This Row],[Net max]]</f>
        <v>1</v>
      </c>
      <c r="K95" s="283">
        <f>TblRezone[[#This Row],[Hour]]</f>
        <v>92</v>
      </c>
      <c r="L95" s="284">
        <f ca="1">TblImps[[#This Row],[Real time]]</f>
        <v>46323.791666666446</v>
      </c>
      <c r="M95" s="61">
        <f>IF(ISERROR(TblImps[[#This Row],[algorithm]]),0,TblImps[[#This Row],[algorithm]]*1)</f>
        <v>0</v>
      </c>
      <c r="N95" s="94">
        <f ca="1">TblImps[[#This Row],[Land]]</f>
        <v>50</v>
      </c>
      <c r="O95" s="285" t="s">
        <v>4</v>
      </c>
      <c r="P95" s="286"/>
      <c r="Q95" s="285" t="s">
        <v>210</v>
      </c>
      <c r="R95" s="285" t="s">
        <v>7</v>
      </c>
      <c r="S95" s="286"/>
      <c r="T95" s="285" t="s">
        <v>210</v>
      </c>
      <c r="U95" s="285" t="s">
        <v>3</v>
      </c>
      <c r="V95" s="286"/>
      <c r="W95" s="285" t="s">
        <v>210</v>
      </c>
      <c r="X95" s="142"/>
      <c r="Y95" s="287">
        <f ca="1">science_cap*(1-EXP(-TblImps[[#This Row],[Σ Science]]/(science_param*(OFFSET(TblImps[[#This Row],[Land]],1,0)-OFFSET(TblExplore[[#This Row],[Land Bonus]],1,0)*20)+15000)))*(1+(mason_bonus*TblConstr[[#This Row],[Tot Mas]]/TblConstr[[#This Row],[Land (2)]]))</f>
        <v>0</v>
      </c>
      <c r="Z95" s="287">
        <f ca="1">keep_cap*(1-EXP(-TblImps[[#This Row],[Σ Keep]]/(keep_param*(OFFSET(TblImps[[#This Row],[Land]],1,0)-OFFSET(TblExplore[[#This Row],[Land Bonus]],1,0)*20)+15000)))*(1+(mason_bonus*TblConstr[[#This Row],[Tot Mas]]/TblConstr[[#This Row],[Land (2)]]))</f>
        <v>0</v>
      </c>
      <c r="AA95" s="287">
        <f ca="1">harbor_towers_cap*(1-EXP(-TblImps[[#This Row],[Σ Spires]]/(towers_param*(OFFSET(TblImps[[#This Row],[Land]],1,0)-OFFSET(TblExplore[[#This Row],[Land Bonus]],1,0)*20)+15000)))*(1+(mason_bonus*TblConstr[[#This Row],[Tot Mas]]/TblConstr[[#This Row],[Land (2)]]))</f>
        <v>0</v>
      </c>
      <c r="AB95" s="287">
        <f ca="1">walls_forges_cap*(1-EXP(-TblImps[[#This Row],[Σ Forges]]/(walls_forges_param*(OFFSET(TblImps[[#This Row],[Land]],1,0)-OFFSET(TblExplore[[#This Row],[Land Bonus]],1,0)*20)+15000)))*(1+(mason_bonus*TblConstr[[#This Row],[Tot Mas]]/TblConstr[[#This Row],[Land (2)]]))</f>
        <v>0</v>
      </c>
      <c r="AC95" s="287">
        <f ca="1">walls_forges_cap*(1-EXP(-TblImps[[#This Row],[Σ Walls]]/(walls_forges_param*(OFFSET(TblImps[[#This Row],[Land]],1,0)-OFFSET(TblExplore[[#This Row],[Land Bonus]],1,0)*20)+15000)))*(1+(mason_bonus*TblConstr[[#This Row],[Tot Mas]]/TblConstr[[#This Row],[Land (2)]]))</f>
        <v>0</v>
      </c>
      <c r="AD95" s="287">
        <f ca="1">harbor_towers_cap*(1-EXP(-TblImps[[#This Row],[Σ Harbor]]/(harbor_towers_param*(OFFSET(TblImps[[#This Row],[Land]],1,0)-OFFSET(TblExplore[[#This Row],[Land Bonus]],1,0)*20)+15000)))*(1+(mason_bonus*TblConstr[[#This Row],[Tot Mas]]/TblConstr[[#This Row],[Land (2)]]))</f>
        <v>0</v>
      </c>
      <c r="AE95" s="142"/>
      <c r="AF95" s="61">
        <f ca="1">(1+Overview!$I$29)*SUM(TblImps[[#This Row],[P2]:[G2]])+OFFSET(TblImps[[#This Row],[Σ Science]],-1,0)</f>
        <v>0</v>
      </c>
      <c r="AG95" s="61">
        <f ca="1">(1+Overview!$I$29)*SUM(TblImps[[#This Row],[P3]:[G3]])+OFFSET(TblImps[[#This Row],[Σ Keep]],-1,0)</f>
        <v>0</v>
      </c>
      <c r="AH95" s="61">
        <f ca="1">(1+Overview!$I$29 + tech_7_1*TblTech[[#This Row],[7-1]])*SUM(TblImps[[#This Row],[P4]:[G4]])+OFFSET(TblImps[[#This Row],[Σ Spires]],-1,0)</f>
        <v>0</v>
      </c>
      <c r="AI95" s="61">
        <f ca="1">(1+Overview!$I$29)*SUM(TblImps[[#This Row],[P5]:[FW5]])+OFFSET(TblImps[[#This Row],[Σ Forges]],-1,0)</f>
        <v>0</v>
      </c>
      <c r="AJ95" s="61">
        <f ca="1">(1+Overview!$I$29)*SUM(TblImps[[#This Row],[P6]:[G6]])+OFFSET(TblImps[[#This Row],[Σ Walls]],-1,0)</f>
        <v>0</v>
      </c>
      <c r="AK95" s="61">
        <f ca="1">(1+Overview!$I$29 + tech_7_1*TblTech[[#This Row],[7-1]])*SUM(TblImps[[#This Row],[P7]:[G7]])+OFFSET(TblImps[[#This Row],[Σ Harbor]],-1,0)</f>
        <v>0</v>
      </c>
      <c r="AL95" s="142"/>
      <c r="AM95" s="57">
        <f>IF(AND(TblImps[[#This Row],[Resource]]=AM$2,TblImps[[#This Row],[Part]]&lt;&gt;""),TblImps[[#This Row],[Amount]]) + IF(AND(TblImps[[#This Row],[Resource 2]]=AM$2,TblImps[[#This Row],[Part 2]]&lt;&gt;""),TblImps[[#This Row],[Amount 2]]) + IF(AND(TblImps[[#This Row],[Resource 3]]=AM$2,TblImps[[#This Row],[Part 3]]&lt;&gt;""),TblImps[[#This Row],[Amount 3]])</f>
        <v>0</v>
      </c>
      <c r="AN95" s="57">
        <f>IF(AND(TblImps[[#This Row],[Resource]]=AN$2,TblImps[[#This Row],[Part]]&lt;&gt;""),TblImps[[#This Row],[Amount]]) + IF(AND(TblImps[[#This Row],[Resource 2]]=AN$2,TblImps[[#This Row],[Part 2]]&lt;&gt;""),TblImps[[#This Row],[Amount 2]]) + IF(AND(TblImps[[#This Row],[Resource 3]]=AN$2,TblImps[[#This Row],[Part 3]]&lt;&gt;""),TblImps[[#This Row],[Amount 3]])</f>
        <v>0</v>
      </c>
      <c r="AO95" s="57">
        <f>IF(AND(TblImps[[#This Row],[Resource]]=AO$2,TblImps[[#This Row],[Part]]&lt;&gt;""),TblImps[[#This Row],[Amount]]) + IF(AND(TblImps[[#This Row],[Resource 2]]=AO$2,TblImps[[#This Row],[Part 2]]&lt;&gt;""),TblImps[[#This Row],[Amount 2]]) + IF(AND(TblImps[[#This Row],[Resource 3]]=AO$2,TblImps[[#This Row],[Part 3]]&lt;&gt;""),TblImps[[#This Row],[Amount 3]])</f>
        <v>0</v>
      </c>
      <c r="AP95" s="57">
        <f>IF(AND(TblImps[[#This Row],[Resource]]=AP$2,TblImps[[#This Row],[Part]]&lt;&gt;""),TblImps[[#This Row],[Amount]]) + IF(AND(TblImps[[#This Row],[Resource 2]]=AP$2,TblImps[[#This Row],[Part 2]]&lt;&gt;""),TblImps[[#This Row],[Amount 2]]) + IF(AND(TblImps[[#This Row],[Resource 3]]=AP$2,TblImps[[#This Row],[Part 3]]&lt;&gt;""),TblImps[[#This Row],[Amount 3]])</f>
        <v>0</v>
      </c>
      <c r="AQ95" s="142"/>
      <c r="AR9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142"/>
      <c r="AW9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142"/>
      <c r="BB9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142"/>
      <c r="BG9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57">
        <f ca="1">IF(OFFSET(TblMagic[[#This Row],[Active Alchemists Flame]],-1,0)&gt;0,TblConstr[[#This Row],[Tot Alc]]*alchemist_flame_invest,0)</f>
        <v>0</v>
      </c>
      <c r="BL95" s="142"/>
      <c r="BM9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5" s="142"/>
      <c r="BR9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5" s="142"/>
      <c r="BW9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5" s="61">
        <f>TblImps[[#This Row],[Login]]</f>
        <v>0</v>
      </c>
      <c r="BY95" s="137"/>
      <c r="BZ95" s="293">
        <f ca="1">OFFSET(TblImps[[#This Row],[Real time]],-1,0)+1/24</f>
        <v>46323.791666666446</v>
      </c>
      <c r="CA95" s="294">
        <f ca="1">OFFSET(TblImps[[#This Row],[Servertime]],-1,0)+1/24</f>
        <v>46323.791666666446</v>
      </c>
      <c r="CB95" s="57"/>
      <c r="CC95" s="292"/>
      <c r="CD95" s="292"/>
    </row>
    <row r="96" spans="1:85" x14ac:dyDescent="0.2">
      <c r="A96" s="214">
        <f ca="1">TblConstr[[#This Row],[Land]]</f>
        <v>50</v>
      </c>
      <c r="B96" s="142"/>
      <c r="C96" s="94">
        <f ca="1">TblProd[[#This Row],[Platinum]]</f>
        <v>196650</v>
      </c>
      <c r="D96" s="94">
        <f ca="1">TblProd[[#This Row],[Lumber]]</f>
        <v>66281</v>
      </c>
      <c r="E96" s="94">
        <f ca="1">TblProd[[#This Row],[Ore]]</f>
        <v>0</v>
      </c>
      <c r="F96" s="94">
        <f ca="1">TblProd[[#This Row],[Gems]]</f>
        <v>0</v>
      </c>
      <c r="G96" s="154"/>
      <c r="H96" s="94">
        <f ca="1">TblMili[[#This Row],[Draftees]]</f>
        <v>580</v>
      </c>
      <c r="I96" s="180">
        <f ca="1">TblPop[[#This Row],[Employment]]</f>
        <v>1</v>
      </c>
      <c r="J96" s="180">
        <f ca="1">TblPop[[#This Row],[Total]]/TblPop[[#This Row],[Net max]]</f>
        <v>1</v>
      </c>
      <c r="K96" s="283">
        <f>TblRezone[[#This Row],[Hour]]</f>
        <v>93</v>
      </c>
      <c r="L96" s="284">
        <f ca="1">TblImps[[#This Row],[Real time]]</f>
        <v>46323.83333333311</v>
      </c>
      <c r="M96" s="61">
        <f>IF(ISERROR(TblImps[[#This Row],[algorithm]]),0,TblImps[[#This Row],[algorithm]]*1)</f>
        <v>0</v>
      </c>
      <c r="N96" s="94">
        <f ca="1">TblImps[[#This Row],[Land]]</f>
        <v>50</v>
      </c>
      <c r="O96" s="285" t="s">
        <v>4</v>
      </c>
      <c r="P96" s="286"/>
      <c r="Q96" s="285" t="s">
        <v>210</v>
      </c>
      <c r="R96" s="285" t="s">
        <v>7</v>
      </c>
      <c r="S96" s="286"/>
      <c r="T96" s="285" t="s">
        <v>210</v>
      </c>
      <c r="U96" s="285" t="s">
        <v>3</v>
      </c>
      <c r="V96" s="286"/>
      <c r="W96" s="285" t="s">
        <v>210</v>
      </c>
      <c r="X96" s="142"/>
      <c r="Y96" s="287">
        <f ca="1">science_cap*(1-EXP(-TblImps[[#This Row],[Σ Science]]/(science_param*(OFFSET(TblImps[[#This Row],[Land]],1,0)-OFFSET(TblExplore[[#This Row],[Land Bonus]],1,0)*20)+15000)))*(1+(mason_bonus*TblConstr[[#This Row],[Tot Mas]]/TblConstr[[#This Row],[Land (2)]]))</f>
        <v>0</v>
      </c>
      <c r="Z96" s="287">
        <f ca="1">keep_cap*(1-EXP(-TblImps[[#This Row],[Σ Keep]]/(keep_param*(OFFSET(TblImps[[#This Row],[Land]],1,0)-OFFSET(TblExplore[[#This Row],[Land Bonus]],1,0)*20)+15000)))*(1+(mason_bonus*TblConstr[[#This Row],[Tot Mas]]/TblConstr[[#This Row],[Land (2)]]))</f>
        <v>0</v>
      </c>
      <c r="AA96" s="287">
        <f ca="1">harbor_towers_cap*(1-EXP(-TblImps[[#This Row],[Σ Spires]]/(towers_param*(OFFSET(TblImps[[#This Row],[Land]],1,0)-OFFSET(TblExplore[[#This Row],[Land Bonus]],1,0)*20)+15000)))*(1+(mason_bonus*TblConstr[[#This Row],[Tot Mas]]/TblConstr[[#This Row],[Land (2)]]))</f>
        <v>0</v>
      </c>
      <c r="AB96" s="287">
        <f ca="1">walls_forges_cap*(1-EXP(-TblImps[[#This Row],[Σ Forges]]/(walls_forges_param*(OFFSET(TblImps[[#This Row],[Land]],1,0)-OFFSET(TblExplore[[#This Row],[Land Bonus]],1,0)*20)+15000)))*(1+(mason_bonus*TblConstr[[#This Row],[Tot Mas]]/TblConstr[[#This Row],[Land (2)]]))</f>
        <v>0</v>
      </c>
      <c r="AC96" s="287">
        <f ca="1">walls_forges_cap*(1-EXP(-TblImps[[#This Row],[Σ Walls]]/(walls_forges_param*(OFFSET(TblImps[[#This Row],[Land]],1,0)-OFFSET(TblExplore[[#This Row],[Land Bonus]],1,0)*20)+15000)))*(1+(mason_bonus*TblConstr[[#This Row],[Tot Mas]]/TblConstr[[#This Row],[Land (2)]]))</f>
        <v>0</v>
      </c>
      <c r="AD96" s="287">
        <f ca="1">harbor_towers_cap*(1-EXP(-TblImps[[#This Row],[Σ Harbor]]/(harbor_towers_param*(OFFSET(TblImps[[#This Row],[Land]],1,0)-OFFSET(TblExplore[[#This Row],[Land Bonus]],1,0)*20)+15000)))*(1+(mason_bonus*TblConstr[[#This Row],[Tot Mas]]/TblConstr[[#This Row],[Land (2)]]))</f>
        <v>0</v>
      </c>
      <c r="AE96" s="142"/>
      <c r="AF96" s="61">
        <f ca="1">(1+Overview!$I$29)*SUM(TblImps[[#This Row],[P2]:[G2]])+OFFSET(TblImps[[#This Row],[Σ Science]],-1,0)</f>
        <v>0</v>
      </c>
      <c r="AG96" s="61">
        <f ca="1">(1+Overview!$I$29)*SUM(TblImps[[#This Row],[P3]:[G3]])+OFFSET(TblImps[[#This Row],[Σ Keep]],-1,0)</f>
        <v>0</v>
      </c>
      <c r="AH96" s="61">
        <f ca="1">(1+Overview!$I$29 + tech_7_1*TblTech[[#This Row],[7-1]])*SUM(TblImps[[#This Row],[P4]:[G4]])+OFFSET(TblImps[[#This Row],[Σ Spires]],-1,0)</f>
        <v>0</v>
      </c>
      <c r="AI96" s="61">
        <f ca="1">(1+Overview!$I$29)*SUM(TblImps[[#This Row],[P5]:[FW5]])+OFFSET(TblImps[[#This Row],[Σ Forges]],-1,0)</f>
        <v>0</v>
      </c>
      <c r="AJ96" s="61">
        <f ca="1">(1+Overview!$I$29)*SUM(TblImps[[#This Row],[P6]:[G6]])+OFFSET(TblImps[[#This Row],[Σ Walls]],-1,0)</f>
        <v>0</v>
      </c>
      <c r="AK96" s="61">
        <f ca="1">(1+Overview!$I$29 + tech_7_1*TblTech[[#This Row],[7-1]])*SUM(TblImps[[#This Row],[P7]:[G7]])+OFFSET(TblImps[[#This Row],[Σ Harbor]],-1,0)</f>
        <v>0</v>
      </c>
      <c r="AL96" s="142"/>
      <c r="AM96" s="57">
        <f>IF(AND(TblImps[[#This Row],[Resource]]=AM$2,TblImps[[#This Row],[Part]]&lt;&gt;""),TblImps[[#This Row],[Amount]]) + IF(AND(TblImps[[#This Row],[Resource 2]]=AM$2,TblImps[[#This Row],[Part 2]]&lt;&gt;""),TblImps[[#This Row],[Amount 2]]) + IF(AND(TblImps[[#This Row],[Resource 3]]=AM$2,TblImps[[#This Row],[Part 3]]&lt;&gt;""),TblImps[[#This Row],[Amount 3]])</f>
        <v>0</v>
      </c>
      <c r="AN96" s="57">
        <f>IF(AND(TblImps[[#This Row],[Resource]]=AN$2,TblImps[[#This Row],[Part]]&lt;&gt;""),TblImps[[#This Row],[Amount]]) + IF(AND(TblImps[[#This Row],[Resource 2]]=AN$2,TblImps[[#This Row],[Part 2]]&lt;&gt;""),TblImps[[#This Row],[Amount 2]]) + IF(AND(TblImps[[#This Row],[Resource 3]]=AN$2,TblImps[[#This Row],[Part 3]]&lt;&gt;""),TblImps[[#This Row],[Amount 3]])</f>
        <v>0</v>
      </c>
      <c r="AO96" s="57">
        <f>IF(AND(TblImps[[#This Row],[Resource]]=AO$2,TblImps[[#This Row],[Part]]&lt;&gt;""),TblImps[[#This Row],[Amount]]) + IF(AND(TblImps[[#This Row],[Resource 2]]=AO$2,TblImps[[#This Row],[Part 2]]&lt;&gt;""),TblImps[[#This Row],[Amount 2]]) + IF(AND(TblImps[[#This Row],[Resource 3]]=AO$2,TblImps[[#This Row],[Part 3]]&lt;&gt;""),TblImps[[#This Row],[Amount 3]])</f>
        <v>0</v>
      </c>
      <c r="AP96" s="57">
        <f>IF(AND(TblImps[[#This Row],[Resource]]=AP$2,TblImps[[#This Row],[Part]]&lt;&gt;""),TblImps[[#This Row],[Amount]]) + IF(AND(TblImps[[#This Row],[Resource 2]]=AP$2,TblImps[[#This Row],[Part 2]]&lt;&gt;""),TblImps[[#This Row],[Amount 2]]) + IF(AND(TblImps[[#This Row],[Resource 3]]=AP$2,TblImps[[#This Row],[Part 3]]&lt;&gt;""),TblImps[[#This Row],[Amount 3]])</f>
        <v>0</v>
      </c>
      <c r="AQ96" s="142"/>
      <c r="AR9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142"/>
      <c r="AW9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142"/>
      <c r="BB9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142"/>
      <c r="BG9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57">
        <f ca="1">IF(OFFSET(TblMagic[[#This Row],[Active Alchemists Flame]],-1,0)&gt;0,TblConstr[[#This Row],[Tot Alc]]*alchemist_flame_invest,0)</f>
        <v>0</v>
      </c>
      <c r="BL96" s="142"/>
      <c r="BM9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6" s="142"/>
      <c r="BR9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6" s="142"/>
      <c r="BW9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6" s="61">
        <f>TblImps[[#This Row],[Login]]</f>
        <v>0</v>
      </c>
      <c r="BY96" s="137"/>
      <c r="BZ96" s="293">
        <f ca="1">OFFSET(TblImps[[#This Row],[Real time]],-1,0)+1/24</f>
        <v>46323.83333333311</v>
      </c>
      <c r="CA96" s="294">
        <f ca="1">OFFSET(TblImps[[#This Row],[Servertime]],-1,0)+1/24</f>
        <v>46323.83333333311</v>
      </c>
      <c r="CB96" s="57"/>
      <c r="CC96" s="292"/>
      <c r="CD96" s="292"/>
    </row>
    <row r="97" spans="1:83" x14ac:dyDescent="0.2">
      <c r="A97" s="214">
        <f ca="1">TblConstr[[#This Row],[Land]]</f>
        <v>50</v>
      </c>
      <c r="B97" s="142"/>
      <c r="C97" s="94">
        <f ca="1">TblProd[[#This Row],[Platinum]]</f>
        <v>197160</v>
      </c>
      <c r="D97" s="94">
        <f ca="1">TblProd[[#This Row],[Lumber]]</f>
        <v>66618</v>
      </c>
      <c r="E97" s="94">
        <f ca="1">TblProd[[#This Row],[Ore]]</f>
        <v>0</v>
      </c>
      <c r="F97" s="94">
        <f ca="1">TblProd[[#This Row],[Gems]]</f>
        <v>0</v>
      </c>
      <c r="G97" s="154"/>
      <c r="H97" s="94">
        <f ca="1">TblMili[[#This Row],[Draftees]]</f>
        <v>582</v>
      </c>
      <c r="I97" s="180">
        <f ca="1">TblPop[[#This Row],[Employment]]</f>
        <v>1</v>
      </c>
      <c r="J97" s="180">
        <f ca="1">TblPop[[#This Row],[Total]]/TblPop[[#This Row],[Net max]]</f>
        <v>1</v>
      </c>
      <c r="K97" s="283">
        <f>TblRezone[[#This Row],[Hour]]</f>
        <v>94</v>
      </c>
      <c r="L97" s="284">
        <f ca="1">TblImps[[#This Row],[Real time]]</f>
        <v>46323.874999999774</v>
      </c>
      <c r="M97" s="61">
        <f>IF(ISERROR(TblImps[[#This Row],[algorithm]]),0,TblImps[[#This Row],[algorithm]]*1)</f>
        <v>0</v>
      </c>
      <c r="N97" s="94">
        <f ca="1">TblImps[[#This Row],[Land]]</f>
        <v>50</v>
      </c>
      <c r="O97" s="285" t="s">
        <v>4</v>
      </c>
      <c r="P97" s="286"/>
      <c r="Q97" s="285" t="s">
        <v>210</v>
      </c>
      <c r="R97" s="285" t="s">
        <v>7</v>
      </c>
      <c r="S97" s="286"/>
      <c r="T97" s="285" t="s">
        <v>210</v>
      </c>
      <c r="U97" s="285" t="s">
        <v>3</v>
      </c>
      <c r="V97" s="286"/>
      <c r="W97" s="285" t="s">
        <v>210</v>
      </c>
      <c r="X97" s="142"/>
      <c r="Y97" s="287">
        <f ca="1">science_cap*(1-EXP(-TblImps[[#This Row],[Σ Science]]/(science_param*(OFFSET(TblImps[[#This Row],[Land]],1,0)-OFFSET(TblExplore[[#This Row],[Land Bonus]],1,0)*20)+15000)))*(1+(mason_bonus*TblConstr[[#This Row],[Tot Mas]]/TblConstr[[#This Row],[Land (2)]]))</f>
        <v>0</v>
      </c>
      <c r="Z97" s="287">
        <f ca="1">keep_cap*(1-EXP(-TblImps[[#This Row],[Σ Keep]]/(keep_param*(OFFSET(TblImps[[#This Row],[Land]],1,0)-OFFSET(TblExplore[[#This Row],[Land Bonus]],1,0)*20)+15000)))*(1+(mason_bonus*TblConstr[[#This Row],[Tot Mas]]/TblConstr[[#This Row],[Land (2)]]))</f>
        <v>0</v>
      </c>
      <c r="AA97" s="287">
        <f ca="1">harbor_towers_cap*(1-EXP(-TblImps[[#This Row],[Σ Spires]]/(towers_param*(OFFSET(TblImps[[#This Row],[Land]],1,0)-OFFSET(TblExplore[[#This Row],[Land Bonus]],1,0)*20)+15000)))*(1+(mason_bonus*TblConstr[[#This Row],[Tot Mas]]/TblConstr[[#This Row],[Land (2)]]))</f>
        <v>0</v>
      </c>
      <c r="AB97" s="287">
        <f ca="1">walls_forges_cap*(1-EXP(-TblImps[[#This Row],[Σ Forges]]/(walls_forges_param*(OFFSET(TblImps[[#This Row],[Land]],1,0)-OFFSET(TblExplore[[#This Row],[Land Bonus]],1,0)*20)+15000)))*(1+(mason_bonus*TblConstr[[#This Row],[Tot Mas]]/TblConstr[[#This Row],[Land (2)]]))</f>
        <v>0</v>
      </c>
      <c r="AC97" s="287">
        <f ca="1">walls_forges_cap*(1-EXP(-TblImps[[#This Row],[Σ Walls]]/(walls_forges_param*(OFFSET(TblImps[[#This Row],[Land]],1,0)-OFFSET(TblExplore[[#This Row],[Land Bonus]],1,0)*20)+15000)))*(1+(mason_bonus*TblConstr[[#This Row],[Tot Mas]]/TblConstr[[#This Row],[Land (2)]]))</f>
        <v>0</v>
      </c>
      <c r="AD97" s="287">
        <f ca="1">harbor_towers_cap*(1-EXP(-TblImps[[#This Row],[Σ Harbor]]/(harbor_towers_param*(OFFSET(TblImps[[#This Row],[Land]],1,0)-OFFSET(TblExplore[[#This Row],[Land Bonus]],1,0)*20)+15000)))*(1+(mason_bonus*TblConstr[[#This Row],[Tot Mas]]/TblConstr[[#This Row],[Land (2)]]))</f>
        <v>0</v>
      </c>
      <c r="AE97" s="142"/>
      <c r="AF97" s="61">
        <f ca="1">(1+Overview!$I$29)*SUM(TblImps[[#This Row],[P2]:[G2]])+OFFSET(TblImps[[#This Row],[Σ Science]],-1,0)</f>
        <v>0</v>
      </c>
      <c r="AG97" s="61">
        <f ca="1">(1+Overview!$I$29)*SUM(TblImps[[#This Row],[P3]:[G3]])+OFFSET(TblImps[[#This Row],[Σ Keep]],-1,0)</f>
        <v>0</v>
      </c>
      <c r="AH97" s="61">
        <f ca="1">(1+Overview!$I$29 + tech_7_1*TblTech[[#This Row],[7-1]])*SUM(TblImps[[#This Row],[P4]:[G4]])+OFFSET(TblImps[[#This Row],[Σ Spires]],-1,0)</f>
        <v>0</v>
      </c>
      <c r="AI97" s="61">
        <f ca="1">(1+Overview!$I$29)*SUM(TblImps[[#This Row],[P5]:[FW5]])+OFFSET(TblImps[[#This Row],[Σ Forges]],-1,0)</f>
        <v>0</v>
      </c>
      <c r="AJ97" s="61">
        <f ca="1">(1+Overview!$I$29)*SUM(TblImps[[#This Row],[P6]:[G6]])+OFFSET(TblImps[[#This Row],[Σ Walls]],-1,0)</f>
        <v>0</v>
      </c>
      <c r="AK97" s="61">
        <f ca="1">(1+Overview!$I$29 + tech_7_1*TblTech[[#This Row],[7-1]])*SUM(TblImps[[#This Row],[P7]:[G7]])+OFFSET(TblImps[[#This Row],[Σ Harbor]],-1,0)</f>
        <v>0</v>
      </c>
      <c r="AL97" s="142"/>
      <c r="AM97" s="57">
        <f>IF(AND(TblImps[[#This Row],[Resource]]=AM$2,TblImps[[#This Row],[Part]]&lt;&gt;""),TblImps[[#This Row],[Amount]]) + IF(AND(TblImps[[#This Row],[Resource 2]]=AM$2,TblImps[[#This Row],[Part 2]]&lt;&gt;""),TblImps[[#This Row],[Amount 2]]) + IF(AND(TblImps[[#This Row],[Resource 3]]=AM$2,TblImps[[#This Row],[Part 3]]&lt;&gt;""),TblImps[[#This Row],[Amount 3]])</f>
        <v>0</v>
      </c>
      <c r="AN97" s="57">
        <f>IF(AND(TblImps[[#This Row],[Resource]]=AN$2,TblImps[[#This Row],[Part]]&lt;&gt;""),TblImps[[#This Row],[Amount]]) + IF(AND(TblImps[[#This Row],[Resource 2]]=AN$2,TblImps[[#This Row],[Part 2]]&lt;&gt;""),TblImps[[#This Row],[Amount 2]]) + IF(AND(TblImps[[#This Row],[Resource 3]]=AN$2,TblImps[[#This Row],[Part 3]]&lt;&gt;""),TblImps[[#This Row],[Amount 3]])</f>
        <v>0</v>
      </c>
      <c r="AO97" s="57">
        <f>IF(AND(TblImps[[#This Row],[Resource]]=AO$2,TblImps[[#This Row],[Part]]&lt;&gt;""),TblImps[[#This Row],[Amount]]) + IF(AND(TblImps[[#This Row],[Resource 2]]=AO$2,TblImps[[#This Row],[Part 2]]&lt;&gt;""),TblImps[[#This Row],[Amount 2]]) + IF(AND(TblImps[[#This Row],[Resource 3]]=AO$2,TblImps[[#This Row],[Part 3]]&lt;&gt;""),TblImps[[#This Row],[Amount 3]])</f>
        <v>0</v>
      </c>
      <c r="AP97" s="57">
        <f>IF(AND(TblImps[[#This Row],[Resource]]=AP$2,TblImps[[#This Row],[Part]]&lt;&gt;""),TblImps[[#This Row],[Amount]]) + IF(AND(TblImps[[#This Row],[Resource 2]]=AP$2,TblImps[[#This Row],[Part 2]]&lt;&gt;""),TblImps[[#This Row],[Amount 2]]) + IF(AND(TblImps[[#This Row],[Resource 3]]=AP$2,TblImps[[#This Row],[Part 3]]&lt;&gt;""),TblImps[[#This Row],[Amount 3]])</f>
        <v>0</v>
      </c>
      <c r="AQ97" s="142"/>
      <c r="AR9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142"/>
      <c r="AW9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142"/>
      <c r="BB9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142"/>
      <c r="BG9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57">
        <f ca="1">IF(OFFSET(TblMagic[[#This Row],[Active Alchemists Flame]],-1,0)&gt;0,TblConstr[[#This Row],[Tot Alc]]*alchemist_flame_invest,0)</f>
        <v>0</v>
      </c>
      <c r="BL97" s="142"/>
      <c r="BM9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7" s="142"/>
      <c r="BR9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7" s="142"/>
      <c r="BW9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7" s="61">
        <f>TblImps[[#This Row],[Login]]</f>
        <v>0</v>
      </c>
      <c r="BY97" s="137"/>
      <c r="BZ97" s="293">
        <f ca="1">OFFSET(TblImps[[#This Row],[Real time]],-1,0)+1/24</f>
        <v>46323.874999999774</v>
      </c>
      <c r="CA97" s="294">
        <f ca="1">OFFSET(TblImps[[#This Row],[Servertime]],-1,0)+1/24</f>
        <v>46323.874999999774</v>
      </c>
      <c r="CB97" s="57"/>
      <c r="CC97" s="292"/>
      <c r="CD97" s="292"/>
    </row>
    <row r="98" spans="1:83" x14ac:dyDescent="0.2">
      <c r="A98" s="214">
        <f ca="1">TblConstr[[#This Row],[Land]]</f>
        <v>50</v>
      </c>
      <c r="B98" s="142"/>
      <c r="C98" s="94">
        <f ca="1">TblProd[[#This Row],[Platinum]]</f>
        <v>197664</v>
      </c>
      <c r="D98" s="94">
        <f ca="1">TblProd[[#This Row],[Lumber]]</f>
        <v>66952</v>
      </c>
      <c r="E98" s="94">
        <f ca="1">TblProd[[#This Row],[Ore]]</f>
        <v>0</v>
      </c>
      <c r="F98" s="94">
        <f ca="1">TblProd[[#This Row],[Gems]]</f>
        <v>0</v>
      </c>
      <c r="G98" s="154"/>
      <c r="H98" s="94">
        <f ca="1">TblMili[[#This Row],[Draftees]]</f>
        <v>584</v>
      </c>
      <c r="I98" s="180">
        <f ca="1">TblPop[[#This Row],[Employment]]</f>
        <v>1</v>
      </c>
      <c r="J98" s="180">
        <f ca="1">TblPop[[#This Row],[Total]]/TblPop[[#This Row],[Net max]]</f>
        <v>1</v>
      </c>
      <c r="K98" s="283">
        <f>TblRezone[[#This Row],[Hour]]</f>
        <v>95</v>
      </c>
      <c r="L98" s="284">
        <f ca="1">TblImps[[#This Row],[Real time]]</f>
        <v>46323.916666666439</v>
      </c>
      <c r="M98" s="61">
        <f>IF(ISERROR(TblImps[[#This Row],[algorithm]]),0,TblImps[[#This Row],[algorithm]]*1)</f>
        <v>0</v>
      </c>
      <c r="N98" s="94">
        <f ca="1">TblImps[[#This Row],[Land]]</f>
        <v>50</v>
      </c>
      <c r="O98" s="285" t="s">
        <v>4</v>
      </c>
      <c r="P98" s="286"/>
      <c r="Q98" s="285" t="s">
        <v>210</v>
      </c>
      <c r="R98" s="285" t="s">
        <v>7</v>
      </c>
      <c r="S98" s="286"/>
      <c r="T98" s="285" t="s">
        <v>210</v>
      </c>
      <c r="U98" s="285" t="s">
        <v>3</v>
      </c>
      <c r="V98" s="286"/>
      <c r="W98" s="285" t="s">
        <v>210</v>
      </c>
      <c r="X98" s="142"/>
      <c r="Y98" s="287">
        <f ca="1">science_cap*(1-EXP(-TblImps[[#This Row],[Σ Science]]/(science_param*(OFFSET(TblImps[[#This Row],[Land]],1,0)-OFFSET(TblExplore[[#This Row],[Land Bonus]],1,0)*20)+15000)))*(1+(mason_bonus*TblConstr[[#This Row],[Tot Mas]]/TblConstr[[#This Row],[Land (2)]]))</f>
        <v>0</v>
      </c>
      <c r="Z98" s="287">
        <f ca="1">keep_cap*(1-EXP(-TblImps[[#This Row],[Σ Keep]]/(keep_param*(OFFSET(TblImps[[#This Row],[Land]],1,0)-OFFSET(TblExplore[[#This Row],[Land Bonus]],1,0)*20)+15000)))*(1+(mason_bonus*TblConstr[[#This Row],[Tot Mas]]/TblConstr[[#This Row],[Land (2)]]))</f>
        <v>0</v>
      </c>
      <c r="AA98" s="287">
        <f ca="1">harbor_towers_cap*(1-EXP(-TblImps[[#This Row],[Σ Spires]]/(towers_param*(OFFSET(TblImps[[#This Row],[Land]],1,0)-OFFSET(TblExplore[[#This Row],[Land Bonus]],1,0)*20)+15000)))*(1+(mason_bonus*TblConstr[[#This Row],[Tot Mas]]/TblConstr[[#This Row],[Land (2)]]))</f>
        <v>0</v>
      </c>
      <c r="AB98" s="287">
        <f ca="1">walls_forges_cap*(1-EXP(-TblImps[[#This Row],[Σ Forges]]/(walls_forges_param*(OFFSET(TblImps[[#This Row],[Land]],1,0)-OFFSET(TblExplore[[#This Row],[Land Bonus]],1,0)*20)+15000)))*(1+(mason_bonus*TblConstr[[#This Row],[Tot Mas]]/TblConstr[[#This Row],[Land (2)]]))</f>
        <v>0</v>
      </c>
      <c r="AC98" s="287">
        <f ca="1">walls_forges_cap*(1-EXP(-TblImps[[#This Row],[Σ Walls]]/(walls_forges_param*(OFFSET(TblImps[[#This Row],[Land]],1,0)-OFFSET(TblExplore[[#This Row],[Land Bonus]],1,0)*20)+15000)))*(1+(mason_bonus*TblConstr[[#This Row],[Tot Mas]]/TblConstr[[#This Row],[Land (2)]]))</f>
        <v>0</v>
      </c>
      <c r="AD98" s="287">
        <f ca="1">harbor_towers_cap*(1-EXP(-TblImps[[#This Row],[Σ Harbor]]/(harbor_towers_param*(OFFSET(TblImps[[#This Row],[Land]],1,0)-OFFSET(TblExplore[[#This Row],[Land Bonus]],1,0)*20)+15000)))*(1+(mason_bonus*TblConstr[[#This Row],[Tot Mas]]/TblConstr[[#This Row],[Land (2)]]))</f>
        <v>0</v>
      </c>
      <c r="AE98" s="142"/>
      <c r="AF98" s="61">
        <f ca="1">(1+Overview!$I$29)*SUM(TblImps[[#This Row],[P2]:[G2]])+OFFSET(TblImps[[#This Row],[Σ Science]],-1,0)</f>
        <v>0</v>
      </c>
      <c r="AG98" s="61">
        <f ca="1">(1+Overview!$I$29)*SUM(TblImps[[#This Row],[P3]:[G3]])+OFFSET(TblImps[[#This Row],[Σ Keep]],-1,0)</f>
        <v>0</v>
      </c>
      <c r="AH98" s="61">
        <f ca="1">(1+Overview!$I$29 + tech_7_1*TblTech[[#This Row],[7-1]])*SUM(TblImps[[#This Row],[P4]:[G4]])+OFFSET(TblImps[[#This Row],[Σ Spires]],-1,0)</f>
        <v>0</v>
      </c>
      <c r="AI98" s="61">
        <f ca="1">(1+Overview!$I$29)*SUM(TblImps[[#This Row],[P5]:[FW5]])+OFFSET(TblImps[[#This Row],[Σ Forges]],-1,0)</f>
        <v>0</v>
      </c>
      <c r="AJ98" s="61">
        <f ca="1">(1+Overview!$I$29)*SUM(TblImps[[#This Row],[P6]:[G6]])+OFFSET(TblImps[[#This Row],[Σ Walls]],-1,0)</f>
        <v>0</v>
      </c>
      <c r="AK98" s="61">
        <f ca="1">(1+Overview!$I$29 + tech_7_1*TblTech[[#This Row],[7-1]])*SUM(TblImps[[#This Row],[P7]:[G7]])+OFFSET(TblImps[[#This Row],[Σ Harbor]],-1,0)</f>
        <v>0</v>
      </c>
      <c r="AL98" s="142"/>
      <c r="AM98" s="57">
        <f>IF(AND(TblImps[[#This Row],[Resource]]=AM$2,TblImps[[#This Row],[Part]]&lt;&gt;""),TblImps[[#This Row],[Amount]]) + IF(AND(TblImps[[#This Row],[Resource 2]]=AM$2,TblImps[[#This Row],[Part 2]]&lt;&gt;""),TblImps[[#This Row],[Amount 2]]) + IF(AND(TblImps[[#This Row],[Resource 3]]=AM$2,TblImps[[#This Row],[Part 3]]&lt;&gt;""),TblImps[[#This Row],[Amount 3]])</f>
        <v>0</v>
      </c>
      <c r="AN98" s="57">
        <f>IF(AND(TblImps[[#This Row],[Resource]]=AN$2,TblImps[[#This Row],[Part]]&lt;&gt;""),TblImps[[#This Row],[Amount]]) + IF(AND(TblImps[[#This Row],[Resource 2]]=AN$2,TblImps[[#This Row],[Part 2]]&lt;&gt;""),TblImps[[#This Row],[Amount 2]]) + IF(AND(TblImps[[#This Row],[Resource 3]]=AN$2,TblImps[[#This Row],[Part 3]]&lt;&gt;""),TblImps[[#This Row],[Amount 3]])</f>
        <v>0</v>
      </c>
      <c r="AO98" s="57">
        <f>IF(AND(TblImps[[#This Row],[Resource]]=AO$2,TblImps[[#This Row],[Part]]&lt;&gt;""),TblImps[[#This Row],[Amount]]) + IF(AND(TblImps[[#This Row],[Resource 2]]=AO$2,TblImps[[#This Row],[Part 2]]&lt;&gt;""),TblImps[[#This Row],[Amount 2]]) + IF(AND(TblImps[[#This Row],[Resource 3]]=AO$2,TblImps[[#This Row],[Part 3]]&lt;&gt;""),TblImps[[#This Row],[Amount 3]])</f>
        <v>0</v>
      </c>
      <c r="AP98" s="57">
        <f>IF(AND(TblImps[[#This Row],[Resource]]=AP$2,TblImps[[#This Row],[Part]]&lt;&gt;""),TblImps[[#This Row],[Amount]]) + IF(AND(TblImps[[#This Row],[Resource 2]]=AP$2,TblImps[[#This Row],[Part 2]]&lt;&gt;""),TblImps[[#This Row],[Amount 2]]) + IF(AND(TblImps[[#This Row],[Resource 3]]=AP$2,TblImps[[#This Row],[Part 3]]&lt;&gt;""),TblImps[[#This Row],[Amount 3]])</f>
        <v>0</v>
      </c>
      <c r="AQ98" s="142"/>
      <c r="AR9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142"/>
      <c r="AW9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142"/>
      <c r="BB9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142"/>
      <c r="BG9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57">
        <f ca="1">IF(OFFSET(TblMagic[[#This Row],[Active Alchemists Flame]],-1,0)&gt;0,TblConstr[[#This Row],[Tot Alc]]*alchemist_flame_invest,0)</f>
        <v>0</v>
      </c>
      <c r="BL98" s="142"/>
      <c r="BM9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8" s="142"/>
      <c r="BR9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8" s="142"/>
      <c r="BW9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8" s="61">
        <f>TblImps[[#This Row],[Login]]</f>
        <v>0</v>
      </c>
      <c r="BY98" s="137"/>
      <c r="BZ98" s="293">
        <f ca="1">OFFSET(TblImps[[#This Row],[Real time]],-1,0)+1/24</f>
        <v>46323.916666666439</v>
      </c>
      <c r="CA98" s="294">
        <f ca="1">OFFSET(TblImps[[#This Row],[Servertime]],-1,0)+1/24</f>
        <v>46323.916666666439</v>
      </c>
      <c r="CB98" s="57"/>
      <c r="CC98" s="292"/>
      <c r="CD98" s="292"/>
    </row>
    <row r="99" spans="1:83" x14ac:dyDescent="0.2">
      <c r="A99" s="214">
        <f ca="1">TblConstr[[#This Row],[Land]]</f>
        <v>50</v>
      </c>
      <c r="B99" s="142"/>
      <c r="C99" s="94">
        <f ca="1">TblProd[[#This Row],[Platinum]]</f>
        <v>198163</v>
      </c>
      <c r="D99" s="94">
        <f ca="1">TblProd[[#This Row],[Lumber]]</f>
        <v>67282</v>
      </c>
      <c r="E99" s="94">
        <f ca="1">TblProd[[#This Row],[Ore]]</f>
        <v>0</v>
      </c>
      <c r="F99" s="94">
        <f ca="1">TblProd[[#This Row],[Gems]]</f>
        <v>0</v>
      </c>
      <c r="G99" s="154"/>
      <c r="H99" s="94">
        <f ca="1">TblMili[[#This Row],[Draftees]]</f>
        <v>586</v>
      </c>
      <c r="I99" s="180">
        <f ca="1">TblPop[[#This Row],[Employment]]</f>
        <v>1</v>
      </c>
      <c r="J99" s="180">
        <f ca="1">TblPop[[#This Row],[Total]]/TblPop[[#This Row],[Net max]]</f>
        <v>1</v>
      </c>
      <c r="K99" s="283">
        <f>TblRezone[[#This Row],[Hour]]</f>
        <v>96</v>
      </c>
      <c r="L99" s="284">
        <f ca="1">TblImps[[#This Row],[Real time]]</f>
        <v>46323.958333333103</v>
      </c>
      <c r="M99" s="61">
        <f>IF(ISERROR(TblImps[[#This Row],[algorithm]]),0,TblImps[[#This Row],[algorithm]]*1)</f>
        <v>0</v>
      </c>
      <c r="N99" s="94">
        <f ca="1">TblImps[[#This Row],[Land]]</f>
        <v>50</v>
      </c>
      <c r="O99" s="285" t="s">
        <v>4</v>
      </c>
      <c r="P99" s="286"/>
      <c r="Q99" s="285" t="s">
        <v>210</v>
      </c>
      <c r="R99" s="285" t="s">
        <v>7</v>
      </c>
      <c r="S99" s="286"/>
      <c r="T99" s="285" t="s">
        <v>210</v>
      </c>
      <c r="U99" s="285" t="s">
        <v>3</v>
      </c>
      <c r="V99" s="286"/>
      <c r="W99" s="285" t="s">
        <v>210</v>
      </c>
      <c r="X99" s="142"/>
      <c r="Y99" s="287">
        <f ca="1">science_cap*(1-EXP(-TblImps[[#This Row],[Σ Science]]/(science_param*(OFFSET(TblImps[[#This Row],[Land]],1,0)-OFFSET(TblExplore[[#This Row],[Land Bonus]],1,0)*20)+15000)))*(1+(mason_bonus*TblConstr[[#This Row],[Tot Mas]]/TblConstr[[#This Row],[Land (2)]]))</f>
        <v>0</v>
      </c>
      <c r="Z99" s="287">
        <f ca="1">keep_cap*(1-EXP(-TblImps[[#This Row],[Σ Keep]]/(keep_param*(OFFSET(TblImps[[#This Row],[Land]],1,0)-OFFSET(TblExplore[[#This Row],[Land Bonus]],1,0)*20)+15000)))*(1+(mason_bonus*TblConstr[[#This Row],[Tot Mas]]/TblConstr[[#This Row],[Land (2)]]))</f>
        <v>0</v>
      </c>
      <c r="AA99" s="287">
        <f ca="1">harbor_towers_cap*(1-EXP(-TblImps[[#This Row],[Σ Spires]]/(towers_param*(OFFSET(TblImps[[#This Row],[Land]],1,0)-OFFSET(TblExplore[[#This Row],[Land Bonus]],1,0)*20)+15000)))*(1+(mason_bonus*TblConstr[[#This Row],[Tot Mas]]/TblConstr[[#This Row],[Land (2)]]))</f>
        <v>0</v>
      </c>
      <c r="AB99" s="287">
        <f ca="1">walls_forges_cap*(1-EXP(-TblImps[[#This Row],[Σ Forges]]/(walls_forges_param*(OFFSET(TblImps[[#This Row],[Land]],1,0)-OFFSET(TblExplore[[#This Row],[Land Bonus]],1,0)*20)+15000)))*(1+(mason_bonus*TblConstr[[#This Row],[Tot Mas]]/TblConstr[[#This Row],[Land (2)]]))</f>
        <v>0</v>
      </c>
      <c r="AC99" s="287">
        <f ca="1">walls_forges_cap*(1-EXP(-TblImps[[#This Row],[Σ Walls]]/(walls_forges_param*(OFFSET(TblImps[[#This Row],[Land]],1,0)-OFFSET(TblExplore[[#This Row],[Land Bonus]],1,0)*20)+15000)))*(1+(mason_bonus*TblConstr[[#This Row],[Tot Mas]]/TblConstr[[#This Row],[Land (2)]]))</f>
        <v>0</v>
      </c>
      <c r="AD99" s="287">
        <f ca="1">harbor_towers_cap*(1-EXP(-TblImps[[#This Row],[Σ Harbor]]/(harbor_towers_param*(OFFSET(TblImps[[#This Row],[Land]],1,0)-OFFSET(TblExplore[[#This Row],[Land Bonus]],1,0)*20)+15000)))*(1+(mason_bonus*TblConstr[[#This Row],[Tot Mas]]/TblConstr[[#This Row],[Land (2)]]))</f>
        <v>0</v>
      </c>
      <c r="AE99" s="142"/>
      <c r="AF99" s="61">
        <f ca="1">(1+Overview!$I$29)*SUM(TblImps[[#This Row],[P2]:[G2]])+OFFSET(TblImps[[#This Row],[Σ Science]],-1,0)</f>
        <v>0</v>
      </c>
      <c r="AG99" s="61">
        <f ca="1">(1+Overview!$I$29)*SUM(TblImps[[#This Row],[P3]:[G3]])+OFFSET(TblImps[[#This Row],[Σ Keep]],-1,0)</f>
        <v>0</v>
      </c>
      <c r="AH99" s="61">
        <f ca="1">(1+Overview!$I$29 + tech_7_1*TblTech[[#This Row],[7-1]])*SUM(TblImps[[#This Row],[P4]:[G4]])+OFFSET(TblImps[[#This Row],[Σ Spires]],-1,0)</f>
        <v>0</v>
      </c>
      <c r="AI99" s="61">
        <f ca="1">(1+Overview!$I$29)*SUM(TblImps[[#This Row],[P5]:[FW5]])+OFFSET(TblImps[[#This Row],[Σ Forges]],-1,0)</f>
        <v>0</v>
      </c>
      <c r="AJ99" s="61">
        <f ca="1">(1+Overview!$I$29)*SUM(TblImps[[#This Row],[P6]:[G6]])+OFFSET(TblImps[[#This Row],[Σ Walls]],-1,0)</f>
        <v>0</v>
      </c>
      <c r="AK99" s="61">
        <f ca="1">(1+Overview!$I$29 + tech_7_1*TblTech[[#This Row],[7-1]])*SUM(TblImps[[#This Row],[P7]:[G7]])+OFFSET(TblImps[[#This Row],[Σ Harbor]],-1,0)</f>
        <v>0</v>
      </c>
      <c r="AL99" s="142"/>
      <c r="AM99" s="57">
        <f>IF(AND(TblImps[[#This Row],[Resource]]=AM$2,TblImps[[#This Row],[Part]]&lt;&gt;""),TblImps[[#This Row],[Amount]]) + IF(AND(TblImps[[#This Row],[Resource 2]]=AM$2,TblImps[[#This Row],[Part 2]]&lt;&gt;""),TblImps[[#This Row],[Amount 2]]) + IF(AND(TblImps[[#This Row],[Resource 3]]=AM$2,TblImps[[#This Row],[Part 3]]&lt;&gt;""),TblImps[[#This Row],[Amount 3]])</f>
        <v>0</v>
      </c>
      <c r="AN99" s="57">
        <f>IF(AND(TblImps[[#This Row],[Resource]]=AN$2,TblImps[[#This Row],[Part]]&lt;&gt;""),TblImps[[#This Row],[Amount]]) + IF(AND(TblImps[[#This Row],[Resource 2]]=AN$2,TblImps[[#This Row],[Part 2]]&lt;&gt;""),TblImps[[#This Row],[Amount 2]]) + IF(AND(TblImps[[#This Row],[Resource 3]]=AN$2,TblImps[[#This Row],[Part 3]]&lt;&gt;""),TblImps[[#This Row],[Amount 3]])</f>
        <v>0</v>
      </c>
      <c r="AO99" s="57">
        <f>IF(AND(TblImps[[#This Row],[Resource]]=AO$2,TblImps[[#This Row],[Part]]&lt;&gt;""),TblImps[[#This Row],[Amount]]) + IF(AND(TblImps[[#This Row],[Resource 2]]=AO$2,TblImps[[#This Row],[Part 2]]&lt;&gt;""),TblImps[[#This Row],[Amount 2]]) + IF(AND(TblImps[[#This Row],[Resource 3]]=AO$2,TblImps[[#This Row],[Part 3]]&lt;&gt;""),TblImps[[#This Row],[Amount 3]])</f>
        <v>0</v>
      </c>
      <c r="AP99" s="57">
        <f>IF(AND(TblImps[[#This Row],[Resource]]=AP$2,TblImps[[#This Row],[Part]]&lt;&gt;""),TblImps[[#This Row],[Amount]]) + IF(AND(TblImps[[#This Row],[Resource 2]]=AP$2,TblImps[[#This Row],[Part 2]]&lt;&gt;""),TblImps[[#This Row],[Amount 2]]) + IF(AND(TblImps[[#This Row],[Resource 3]]=AP$2,TblImps[[#This Row],[Part 3]]&lt;&gt;""),TblImps[[#This Row],[Amount 3]])</f>
        <v>0</v>
      </c>
      <c r="AQ99" s="142"/>
      <c r="AR9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142"/>
      <c r="AW9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142"/>
      <c r="BB9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142"/>
      <c r="BG9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57">
        <f ca="1">IF(OFFSET(TblMagic[[#This Row],[Active Alchemists Flame]],-1,0)&gt;0,TblConstr[[#This Row],[Tot Alc]]*alchemist_flame_invest,0)</f>
        <v>0</v>
      </c>
      <c r="BL99" s="142"/>
      <c r="BM9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9" s="142"/>
      <c r="BR9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9" s="142"/>
      <c r="BW9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9" s="61">
        <f>TblImps[[#This Row],[Login]]</f>
        <v>0</v>
      </c>
      <c r="BY99" s="137"/>
      <c r="BZ99" s="293">
        <f ca="1">OFFSET(TblImps[[#This Row],[Real time]],-1,0)+1/24</f>
        <v>46323.958333333103</v>
      </c>
      <c r="CA99" s="294">
        <f ca="1">OFFSET(TblImps[[#This Row],[Servertime]],-1,0)+1/24</f>
        <v>46323.958333333103</v>
      </c>
      <c r="CB99" s="57"/>
      <c r="CC99" s="292"/>
      <c r="CD99" s="292"/>
    </row>
    <row r="100" spans="1:83" x14ac:dyDescent="0.2">
      <c r="A100" s="214">
        <f ca="1">TblConstr[[#This Row],[Land]]</f>
        <v>50</v>
      </c>
      <c r="B100" s="142"/>
      <c r="C100" s="94">
        <f ca="1">TblProd[[#This Row],[Platinum]]</f>
        <v>198657</v>
      </c>
      <c r="D100" s="94">
        <f ca="1">TblProd[[#This Row],[Lumber]]</f>
        <v>67609</v>
      </c>
      <c r="E100" s="94">
        <f ca="1">TblProd[[#This Row],[Ore]]</f>
        <v>0</v>
      </c>
      <c r="F100" s="94">
        <f ca="1">TblProd[[#This Row],[Gems]]</f>
        <v>0</v>
      </c>
      <c r="G100" s="154"/>
      <c r="H100" s="94">
        <f ca="1">TblMili[[#This Row],[Draftees]]</f>
        <v>588</v>
      </c>
      <c r="I100" s="180">
        <f ca="1">TblPop[[#This Row],[Employment]]</f>
        <v>1</v>
      </c>
      <c r="J100" s="180">
        <f ca="1">TblPop[[#This Row],[Total]]/TblPop[[#This Row],[Net max]]</f>
        <v>1</v>
      </c>
      <c r="K100" s="283">
        <f>TblRezone[[#This Row],[Hour]]</f>
        <v>97</v>
      </c>
      <c r="L100" s="284">
        <f ca="1">TblImps[[#This Row],[Real time]]</f>
        <v>46323.999999999767</v>
      </c>
      <c r="M100" s="61">
        <f>IF(ISERROR(TblImps[[#This Row],[algorithm]]),0,TblImps[[#This Row],[algorithm]]*1)</f>
        <v>0</v>
      </c>
      <c r="N100" s="94">
        <f ca="1">TblImps[[#This Row],[Land]]</f>
        <v>50</v>
      </c>
      <c r="O100" s="285" t="s">
        <v>4</v>
      </c>
      <c r="P100" s="286"/>
      <c r="Q100" s="285" t="s">
        <v>210</v>
      </c>
      <c r="R100" s="285" t="s">
        <v>7</v>
      </c>
      <c r="S100" s="286"/>
      <c r="T100" s="285" t="s">
        <v>210</v>
      </c>
      <c r="U100" s="285" t="s">
        <v>3</v>
      </c>
      <c r="V100" s="286"/>
      <c r="W100" s="285" t="s">
        <v>210</v>
      </c>
      <c r="X100" s="142"/>
      <c r="Y100" s="287">
        <f ca="1">science_cap*(1-EXP(-TblImps[[#This Row],[Σ Science]]/(science_param*(OFFSET(TblImps[[#This Row],[Land]],1,0)-OFFSET(TblExplore[[#This Row],[Land Bonus]],1,0)*20)+15000)))*(1+(mason_bonus*TblConstr[[#This Row],[Tot Mas]]/TblConstr[[#This Row],[Land (2)]]))</f>
        <v>0</v>
      </c>
      <c r="Z100" s="287">
        <f ca="1">keep_cap*(1-EXP(-TblImps[[#This Row],[Σ Keep]]/(keep_param*(OFFSET(TblImps[[#This Row],[Land]],1,0)-OFFSET(TblExplore[[#This Row],[Land Bonus]],1,0)*20)+15000)))*(1+(mason_bonus*TblConstr[[#This Row],[Tot Mas]]/TblConstr[[#This Row],[Land (2)]]))</f>
        <v>0</v>
      </c>
      <c r="AA100" s="287">
        <f ca="1">harbor_towers_cap*(1-EXP(-TblImps[[#This Row],[Σ Spires]]/(towers_param*(OFFSET(TblImps[[#This Row],[Land]],1,0)-OFFSET(TblExplore[[#This Row],[Land Bonus]],1,0)*20)+15000)))*(1+(mason_bonus*TblConstr[[#This Row],[Tot Mas]]/TblConstr[[#This Row],[Land (2)]]))</f>
        <v>0</v>
      </c>
      <c r="AB100" s="287">
        <f ca="1">walls_forges_cap*(1-EXP(-TblImps[[#This Row],[Σ Forges]]/(walls_forges_param*(OFFSET(TblImps[[#This Row],[Land]],1,0)-OFFSET(TblExplore[[#This Row],[Land Bonus]],1,0)*20)+15000)))*(1+(mason_bonus*TblConstr[[#This Row],[Tot Mas]]/TblConstr[[#This Row],[Land (2)]]))</f>
        <v>0</v>
      </c>
      <c r="AC100" s="287">
        <f ca="1">walls_forges_cap*(1-EXP(-TblImps[[#This Row],[Σ Walls]]/(walls_forges_param*(OFFSET(TblImps[[#This Row],[Land]],1,0)-OFFSET(TblExplore[[#This Row],[Land Bonus]],1,0)*20)+15000)))*(1+(mason_bonus*TblConstr[[#This Row],[Tot Mas]]/TblConstr[[#This Row],[Land (2)]]))</f>
        <v>0</v>
      </c>
      <c r="AD100" s="287">
        <f ca="1">harbor_towers_cap*(1-EXP(-TblImps[[#This Row],[Σ Harbor]]/(harbor_towers_param*(OFFSET(TblImps[[#This Row],[Land]],1,0)-OFFSET(TblExplore[[#This Row],[Land Bonus]],1,0)*20)+15000)))*(1+(mason_bonus*TblConstr[[#This Row],[Tot Mas]]/TblConstr[[#This Row],[Land (2)]]))</f>
        <v>0</v>
      </c>
      <c r="AE100" s="142"/>
      <c r="AF100" s="61">
        <f ca="1">(1+Overview!$I$29)*SUM(TblImps[[#This Row],[P2]:[G2]])+OFFSET(TblImps[[#This Row],[Σ Science]],-1,0)</f>
        <v>0</v>
      </c>
      <c r="AG100" s="61">
        <f ca="1">(1+Overview!$I$29)*SUM(TblImps[[#This Row],[P3]:[G3]])+OFFSET(TblImps[[#This Row],[Σ Keep]],-1,0)</f>
        <v>0</v>
      </c>
      <c r="AH100" s="61">
        <f ca="1">(1+Overview!$I$29 + tech_7_1*TblTech[[#This Row],[7-1]])*SUM(TblImps[[#This Row],[P4]:[G4]])+OFFSET(TblImps[[#This Row],[Σ Spires]],-1,0)</f>
        <v>0</v>
      </c>
      <c r="AI100" s="61">
        <f ca="1">(1+Overview!$I$29)*SUM(TblImps[[#This Row],[P5]:[FW5]])+OFFSET(TblImps[[#This Row],[Σ Forges]],-1,0)</f>
        <v>0</v>
      </c>
      <c r="AJ100" s="61">
        <f ca="1">(1+Overview!$I$29)*SUM(TblImps[[#This Row],[P6]:[G6]])+OFFSET(TblImps[[#This Row],[Σ Walls]],-1,0)</f>
        <v>0</v>
      </c>
      <c r="AK100" s="61">
        <f ca="1">(1+Overview!$I$29 + tech_7_1*TblTech[[#This Row],[7-1]])*SUM(TblImps[[#This Row],[P7]:[G7]])+OFFSET(TblImps[[#This Row],[Σ Harbor]],-1,0)</f>
        <v>0</v>
      </c>
      <c r="AL100" s="142"/>
      <c r="AM100" s="57">
        <f>IF(AND(TblImps[[#This Row],[Resource]]=AM$2,TblImps[[#This Row],[Part]]&lt;&gt;""),TblImps[[#This Row],[Amount]]) + IF(AND(TblImps[[#This Row],[Resource 2]]=AM$2,TblImps[[#This Row],[Part 2]]&lt;&gt;""),TblImps[[#This Row],[Amount 2]]) + IF(AND(TblImps[[#This Row],[Resource 3]]=AM$2,TblImps[[#This Row],[Part 3]]&lt;&gt;""),TblImps[[#This Row],[Amount 3]])</f>
        <v>0</v>
      </c>
      <c r="AN100" s="57">
        <f>IF(AND(TblImps[[#This Row],[Resource]]=AN$2,TblImps[[#This Row],[Part]]&lt;&gt;""),TblImps[[#This Row],[Amount]]) + IF(AND(TblImps[[#This Row],[Resource 2]]=AN$2,TblImps[[#This Row],[Part 2]]&lt;&gt;""),TblImps[[#This Row],[Amount 2]]) + IF(AND(TblImps[[#This Row],[Resource 3]]=AN$2,TblImps[[#This Row],[Part 3]]&lt;&gt;""),TblImps[[#This Row],[Amount 3]])</f>
        <v>0</v>
      </c>
      <c r="AO100" s="57">
        <f>IF(AND(TblImps[[#This Row],[Resource]]=AO$2,TblImps[[#This Row],[Part]]&lt;&gt;""),TblImps[[#This Row],[Amount]]) + IF(AND(TblImps[[#This Row],[Resource 2]]=AO$2,TblImps[[#This Row],[Part 2]]&lt;&gt;""),TblImps[[#This Row],[Amount 2]]) + IF(AND(TblImps[[#This Row],[Resource 3]]=AO$2,TblImps[[#This Row],[Part 3]]&lt;&gt;""),TblImps[[#This Row],[Amount 3]])</f>
        <v>0</v>
      </c>
      <c r="AP100" s="57">
        <f>IF(AND(TblImps[[#This Row],[Resource]]=AP$2,TblImps[[#This Row],[Part]]&lt;&gt;""),TblImps[[#This Row],[Amount]]) + IF(AND(TblImps[[#This Row],[Resource 2]]=AP$2,TblImps[[#This Row],[Part 2]]&lt;&gt;""),TblImps[[#This Row],[Amount 2]]) + IF(AND(TblImps[[#This Row],[Resource 3]]=AP$2,TblImps[[#This Row],[Part 3]]&lt;&gt;""),TblImps[[#This Row],[Amount 3]])</f>
        <v>0</v>
      </c>
      <c r="AQ100" s="142"/>
      <c r="AR10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142"/>
      <c r="AW10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142"/>
      <c r="BB10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142"/>
      <c r="BG10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57">
        <f ca="1">IF(OFFSET(TblMagic[[#This Row],[Active Alchemists Flame]],-1,0)&gt;0,TblConstr[[#This Row],[Tot Alc]]*alchemist_flame_invest,0)</f>
        <v>0</v>
      </c>
      <c r="BL100" s="142"/>
      <c r="BM10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0" s="142"/>
      <c r="BR10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0" s="142"/>
      <c r="BW10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0" s="61">
        <f>TblImps[[#This Row],[Login]]</f>
        <v>0</v>
      </c>
      <c r="BY100" s="137"/>
      <c r="BZ100" s="293">
        <f ca="1">OFFSET(TblImps[[#This Row],[Real time]],-1,0)+1/24</f>
        <v>46323.999999999767</v>
      </c>
      <c r="CA100" s="294">
        <f ca="1">OFFSET(TblImps[[#This Row],[Servertime]],-1,0)+1/24</f>
        <v>46323.999999999767</v>
      </c>
      <c r="CB100" s="57"/>
      <c r="CC100" s="292"/>
      <c r="CD100" s="292"/>
    </row>
    <row r="101" spans="1:83" x14ac:dyDescent="0.2">
      <c r="A101" s="214">
        <f ca="1">TblConstr[[#This Row],[Land]]</f>
        <v>50</v>
      </c>
      <c r="B101" s="142"/>
      <c r="C101" s="94">
        <f ca="1">TblProd[[#This Row],[Platinum]]</f>
        <v>199145</v>
      </c>
      <c r="D101" s="94">
        <f ca="1">TblProd[[#This Row],[Lumber]]</f>
        <v>67933</v>
      </c>
      <c r="E101" s="94">
        <f ca="1">TblProd[[#This Row],[Ore]]</f>
        <v>0</v>
      </c>
      <c r="F101" s="94">
        <f ca="1">TblProd[[#This Row],[Gems]]</f>
        <v>0</v>
      </c>
      <c r="G101" s="154"/>
      <c r="H101" s="94">
        <f ca="1">TblMili[[#This Row],[Draftees]]</f>
        <v>590</v>
      </c>
      <c r="I101" s="180">
        <f ca="1">TblPop[[#This Row],[Employment]]</f>
        <v>1</v>
      </c>
      <c r="J101" s="180">
        <f ca="1">TblPop[[#This Row],[Total]]/TblPop[[#This Row],[Net max]]</f>
        <v>1</v>
      </c>
      <c r="K101" s="283">
        <f>TblRezone[[#This Row],[Hour]]</f>
        <v>98</v>
      </c>
      <c r="L101" s="284">
        <f ca="1">TblImps[[#This Row],[Real time]]</f>
        <v>46324.041666666431</v>
      </c>
      <c r="M101" s="61">
        <f>IF(ISERROR(TblImps[[#This Row],[algorithm]]),0,TblImps[[#This Row],[algorithm]]*1)</f>
        <v>0</v>
      </c>
      <c r="N101" s="94">
        <f ca="1">TblImps[[#This Row],[Land]]</f>
        <v>50</v>
      </c>
      <c r="O101" s="285" t="s">
        <v>4</v>
      </c>
      <c r="P101" s="286"/>
      <c r="Q101" s="285" t="s">
        <v>210</v>
      </c>
      <c r="R101" s="285" t="s">
        <v>7</v>
      </c>
      <c r="S101" s="286"/>
      <c r="T101" s="285" t="s">
        <v>210</v>
      </c>
      <c r="U101" s="285" t="s">
        <v>3</v>
      </c>
      <c r="V101" s="286"/>
      <c r="W101" s="285" t="s">
        <v>210</v>
      </c>
      <c r="X101" s="142"/>
      <c r="Y101" s="287">
        <f ca="1">science_cap*(1-EXP(-TblImps[[#This Row],[Σ Science]]/(science_param*(OFFSET(TblImps[[#This Row],[Land]],1,0)-OFFSET(TblExplore[[#This Row],[Land Bonus]],1,0)*20)+15000)))*(1+(mason_bonus*TblConstr[[#This Row],[Tot Mas]]/TblConstr[[#This Row],[Land (2)]]))</f>
        <v>0</v>
      </c>
      <c r="Z101" s="287">
        <f ca="1">keep_cap*(1-EXP(-TblImps[[#This Row],[Σ Keep]]/(keep_param*(OFFSET(TblImps[[#This Row],[Land]],1,0)-OFFSET(TblExplore[[#This Row],[Land Bonus]],1,0)*20)+15000)))*(1+(mason_bonus*TblConstr[[#This Row],[Tot Mas]]/TblConstr[[#This Row],[Land (2)]]))</f>
        <v>0</v>
      </c>
      <c r="AA101" s="287">
        <f ca="1">harbor_towers_cap*(1-EXP(-TblImps[[#This Row],[Σ Spires]]/(towers_param*(OFFSET(TblImps[[#This Row],[Land]],1,0)-OFFSET(TblExplore[[#This Row],[Land Bonus]],1,0)*20)+15000)))*(1+(mason_bonus*TblConstr[[#This Row],[Tot Mas]]/TblConstr[[#This Row],[Land (2)]]))</f>
        <v>0</v>
      </c>
      <c r="AB101" s="287">
        <f ca="1">walls_forges_cap*(1-EXP(-TblImps[[#This Row],[Σ Forges]]/(walls_forges_param*(OFFSET(TblImps[[#This Row],[Land]],1,0)-OFFSET(TblExplore[[#This Row],[Land Bonus]],1,0)*20)+15000)))*(1+(mason_bonus*TblConstr[[#This Row],[Tot Mas]]/TblConstr[[#This Row],[Land (2)]]))</f>
        <v>0</v>
      </c>
      <c r="AC101" s="287">
        <f ca="1">walls_forges_cap*(1-EXP(-TblImps[[#This Row],[Σ Walls]]/(walls_forges_param*(OFFSET(TblImps[[#This Row],[Land]],1,0)-OFFSET(TblExplore[[#This Row],[Land Bonus]],1,0)*20)+15000)))*(1+(mason_bonus*TblConstr[[#This Row],[Tot Mas]]/TblConstr[[#This Row],[Land (2)]]))</f>
        <v>0</v>
      </c>
      <c r="AD101" s="287">
        <f ca="1">harbor_towers_cap*(1-EXP(-TblImps[[#This Row],[Σ Harbor]]/(harbor_towers_param*(OFFSET(TblImps[[#This Row],[Land]],1,0)-OFFSET(TblExplore[[#This Row],[Land Bonus]],1,0)*20)+15000)))*(1+(mason_bonus*TblConstr[[#This Row],[Tot Mas]]/TblConstr[[#This Row],[Land (2)]]))</f>
        <v>0</v>
      </c>
      <c r="AE101" s="142"/>
      <c r="AF101" s="61">
        <f ca="1">(1+Overview!$I$29)*SUM(TblImps[[#This Row],[P2]:[G2]])+OFFSET(TblImps[[#This Row],[Σ Science]],-1,0)</f>
        <v>0</v>
      </c>
      <c r="AG101" s="61">
        <f ca="1">(1+Overview!$I$29)*SUM(TblImps[[#This Row],[P3]:[G3]])+OFFSET(TblImps[[#This Row],[Σ Keep]],-1,0)</f>
        <v>0</v>
      </c>
      <c r="AH101" s="61">
        <f ca="1">(1+Overview!$I$29 + tech_7_1*TblTech[[#This Row],[7-1]])*SUM(TblImps[[#This Row],[P4]:[G4]])+OFFSET(TblImps[[#This Row],[Σ Spires]],-1,0)</f>
        <v>0</v>
      </c>
      <c r="AI101" s="61">
        <f ca="1">(1+Overview!$I$29)*SUM(TblImps[[#This Row],[P5]:[FW5]])+OFFSET(TblImps[[#This Row],[Σ Forges]],-1,0)</f>
        <v>0</v>
      </c>
      <c r="AJ101" s="61">
        <f ca="1">(1+Overview!$I$29)*SUM(TblImps[[#This Row],[P6]:[G6]])+OFFSET(TblImps[[#This Row],[Σ Walls]],-1,0)</f>
        <v>0</v>
      </c>
      <c r="AK101" s="61">
        <f ca="1">(1+Overview!$I$29 + tech_7_1*TblTech[[#This Row],[7-1]])*SUM(TblImps[[#This Row],[P7]:[G7]])+OFFSET(TblImps[[#This Row],[Σ Harbor]],-1,0)</f>
        <v>0</v>
      </c>
      <c r="AL101" s="142"/>
      <c r="AM101" s="57">
        <f>IF(AND(TblImps[[#This Row],[Resource]]=AM$2,TblImps[[#This Row],[Part]]&lt;&gt;""),TblImps[[#This Row],[Amount]]) + IF(AND(TblImps[[#This Row],[Resource 2]]=AM$2,TblImps[[#This Row],[Part 2]]&lt;&gt;""),TblImps[[#This Row],[Amount 2]]) + IF(AND(TblImps[[#This Row],[Resource 3]]=AM$2,TblImps[[#This Row],[Part 3]]&lt;&gt;""),TblImps[[#This Row],[Amount 3]])</f>
        <v>0</v>
      </c>
      <c r="AN101" s="57">
        <f>IF(AND(TblImps[[#This Row],[Resource]]=AN$2,TblImps[[#This Row],[Part]]&lt;&gt;""),TblImps[[#This Row],[Amount]]) + IF(AND(TblImps[[#This Row],[Resource 2]]=AN$2,TblImps[[#This Row],[Part 2]]&lt;&gt;""),TblImps[[#This Row],[Amount 2]]) + IF(AND(TblImps[[#This Row],[Resource 3]]=AN$2,TblImps[[#This Row],[Part 3]]&lt;&gt;""),TblImps[[#This Row],[Amount 3]])</f>
        <v>0</v>
      </c>
      <c r="AO101" s="57">
        <f>IF(AND(TblImps[[#This Row],[Resource]]=AO$2,TblImps[[#This Row],[Part]]&lt;&gt;""),TblImps[[#This Row],[Amount]]) + IF(AND(TblImps[[#This Row],[Resource 2]]=AO$2,TblImps[[#This Row],[Part 2]]&lt;&gt;""),TblImps[[#This Row],[Amount 2]]) + IF(AND(TblImps[[#This Row],[Resource 3]]=AO$2,TblImps[[#This Row],[Part 3]]&lt;&gt;""),TblImps[[#This Row],[Amount 3]])</f>
        <v>0</v>
      </c>
      <c r="AP101" s="57">
        <f>IF(AND(TblImps[[#This Row],[Resource]]=AP$2,TblImps[[#This Row],[Part]]&lt;&gt;""),TblImps[[#This Row],[Amount]]) + IF(AND(TblImps[[#This Row],[Resource 2]]=AP$2,TblImps[[#This Row],[Part 2]]&lt;&gt;""),TblImps[[#This Row],[Amount 2]]) + IF(AND(TblImps[[#This Row],[Resource 3]]=AP$2,TblImps[[#This Row],[Part 3]]&lt;&gt;""),TblImps[[#This Row],[Amount 3]])</f>
        <v>0</v>
      </c>
      <c r="AQ101" s="142"/>
      <c r="AR10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142"/>
      <c r="AW10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142"/>
      <c r="BB10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142"/>
      <c r="BG10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57">
        <f ca="1">IF(OFFSET(TblMagic[[#This Row],[Active Alchemists Flame]],-1,0)&gt;0,TblConstr[[#This Row],[Tot Alc]]*alchemist_flame_invest,0)</f>
        <v>0</v>
      </c>
      <c r="BL101" s="142"/>
      <c r="BM10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1" s="142"/>
      <c r="BR10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1" s="142"/>
      <c r="BW10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1" s="61">
        <f>TblImps[[#This Row],[Login]]</f>
        <v>0</v>
      </c>
      <c r="BY101" s="137"/>
      <c r="BZ101" s="293">
        <f ca="1">OFFSET(TblImps[[#This Row],[Real time]],-1,0)+1/24</f>
        <v>46324.041666666431</v>
      </c>
      <c r="CA101" s="294">
        <f ca="1">OFFSET(TblImps[[#This Row],[Servertime]],-1,0)+1/24</f>
        <v>46324.041666666431</v>
      </c>
      <c r="CB101" s="57"/>
      <c r="CC101" s="292"/>
      <c r="CD101" s="292"/>
    </row>
    <row r="102" spans="1:83" x14ac:dyDescent="0.2">
      <c r="A102" s="214">
        <f ca="1">TblConstr[[#This Row],[Land]]</f>
        <v>50</v>
      </c>
      <c r="B102" s="142"/>
      <c r="C102" s="94">
        <f ca="1">TblProd[[#This Row],[Platinum]]</f>
        <v>199628</v>
      </c>
      <c r="D102" s="94">
        <f ca="1">TblProd[[#This Row],[Lumber]]</f>
        <v>68254</v>
      </c>
      <c r="E102" s="94">
        <f ca="1">TblProd[[#This Row],[Ore]]</f>
        <v>0</v>
      </c>
      <c r="F102" s="94">
        <f ca="1">TblProd[[#This Row],[Gems]]</f>
        <v>0</v>
      </c>
      <c r="G102" s="154"/>
      <c r="H102" s="94">
        <f ca="1">TblMili[[#This Row],[Draftees]]</f>
        <v>592</v>
      </c>
      <c r="I102" s="180">
        <f ca="1">TblPop[[#This Row],[Employment]]</f>
        <v>1</v>
      </c>
      <c r="J102" s="180">
        <f ca="1">TblPop[[#This Row],[Total]]/TblPop[[#This Row],[Net max]]</f>
        <v>1</v>
      </c>
      <c r="K102" s="283">
        <f>TblRezone[[#This Row],[Hour]]</f>
        <v>99</v>
      </c>
      <c r="L102" s="284">
        <f ca="1">TblImps[[#This Row],[Real time]]</f>
        <v>46324.083333333096</v>
      </c>
      <c r="M102" s="61">
        <f>IF(ISERROR(TblImps[[#This Row],[algorithm]]),0,TblImps[[#This Row],[algorithm]]*1)</f>
        <v>0</v>
      </c>
      <c r="N102" s="94">
        <f ca="1">TblImps[[#This Row],[Land]]</f>
        <v>50</v>
      </c>
      <c r="O102" s="285" t="s">
        <v>4</v>
      </c>
      <c r="P102" s="286"/>
      <c r="Q102" s="285" t="s">
        <v>210</v>
      </c>
      <c r="R102" s="285" t="s">
        <v>7</v>
      </c>
      <c r="S102" s="286"/>
      <c r="T102" s="285" t="s">
        <v>210</v>
      </c>
      <c r="U102" s="285" t="s">
        <v>3</v>
      </c>
      <c r="V102" s="286"/>
      <c r="W102" s="285" t="s">
        <v>210</v>
      </c>
      <c r="X102" s="142"/>
      <c r="Y102" s="287">
        <f ca="1">science_cap*(1-EXP(-TblImps[[#This Row],[Σ Science]]/(science_param*(OFFSET(TblImps[[#This Row],[Land]],1,0)-OFFSET(TblExplore[[#This Row],[Land Bonus]],1,0)*20)+15000)))*(1+(mason_bonus*TblConstr[[#This Row],[Tot Mas]]/TblConstr[[#This Row],[Land (2)]]))</f>
        <v>0</v>
      </c>
      <c r="Z102" s="287">
        <f ca="1">keep_cap*(1-EXP(-TblImps[[#This Row],[Σ Keep]]/(keep_param*(OFFSET(TblImps[[#This Row],[Land]],1,0)-OFFSET(TblExplore[[#This Row],[Land Bonus]],1,0)*20)+15000)))*(1+(mason_bonus*TblConstr[[#This Row],[Tot Mas]]/TblConstr[[#This Row],[Land (2)]]))</f>
        <v>0</v>
      </c>
      <c r="AA102" s="287">
        <f ca="1">harbor_towers_cap*(1-EXP(-TblImps[[#This Row],[Σ Spires]]/(towers_param*(OFFSET(TblImps[[#This Row],[Land]],1,0)-OFFSET(TblExplore[[#This Row],[Land Bonus]],1,0)*20)+15000)))*(1+(mason_bonus*TblConstr[[#This Row],[Tot Mas]]/TblConstr[[#This Row],[Land (2)]]))</f>
        <v>0</v>
      </c>
      <c r="AB102" s="287">
        <f ca="1">walls_forges_cap*(1-EXP(-TblImps[[#This Row],[Σ Forges]]/(walls_forges_param*(OFFSET(TblImps[[#This Row],[Land]],1,0)-OFFSET(TblExplore[[#This Row],[Land Bonus]],1,0)*20)+15000)))*(1+(mason_bonus*TblConstr[[#This Row],[Tot Mas]]/TblConstr[[#This Row],[Land (2)]]))</f>
        <v>0</v>
      </c>
      <c r="AC102" s="287">
        <f ca="1">walls_forges_cap*(1-EXP(-TblImps[[#This Row],[Σ Walls]]/(walls_forges_param*(OFFSET(TblImps[[#This Row],[Land]],1,0)-OFFSET(TblExplore[[#This Row],[Land Bonus]],1,0)*20)+15000)))*(1+(mason_bonus*TblConstr[[#This Row],[Tot Mas]]/TblConstr[[#This Row],[Land (2)]]))</f>
        <v>0</v>
      </c>
      <c r="AD102" s="287">
        <f ca="1">harbor_towers_cap*(1-EXP(-TblImps[[#This Row],[Σ Harbor]]/(harbor_towers_param*(OFFSET(TblImps[[#This Row],[Land]],1,0)-OFFSET(TblExplore[[#This Row],[Land Bonus]],1,0)*20)+15000)))*(1+(mason_bonus*TblConstr[[#This Row],[Tot Mas]]/TblConstr[[#This Row],[Land (2)]]))</f>
        <v>0</v>
      </c>
      <c r="AE102" s="142"/>
      <c r="AF102" s="61">
        <f ca="1">(1+Overview!$I$29)*SUM(TblImps[[#This Row],[P2]:[G2]])+OFFSET(TblImps[[#This Row],[Σ Science]],-1,0)</f>
        <v>0</v>
      </c>
      <c r="AG102" s="61">
        <f ca="1">(1+Overview!$I$29)*SUM(TblImps[[#This Row],[P3]:[G3]])+OFFSET(TblImps[[#This Row],[Σ Keep]],-1,0)</f>
        <v>0</v>
      </c>
      <c r="AH102" s="61">
        <f ca="1">(1+Overview!$I$29 + tech_7_1*TblTech[[#This Row],[7-1]])*SUM(TblImps[[#This Row],[P4]:[G4]])+OFFSET(TblImps[[#This Row],[Σ Spires]],-1,0)</f>
        <v>0</v>
      </c>
      <c r="AI102" s="61">
        <f ca="1">(1+Overview!$I$29)*SUM(TblImps[[#This Row],[P5]:[FW5]])+OFFSET(TblImps[[#This Row],[Σ Forges]],-1,0)</f>
        <v>0</v>
      </c>
      <c r="AJ102" s="61">
        <f ca="1">(1+Overview!$I$29)*SUM(TblImps[[#This Row],[P6]:[G6]])+OFFSET(TblImps[[#This Row],[Σ Walls]],-1,0)</f>
        <v>0</v>
      </c>
      <c r="AK102" s="61">
        <f ca="1">(1+Overview!$I$29 + tech_7_1*TblTech[[#This Row],[7-1]])*SUM(TblImps[[#This Row],[P7]:[G7]])+OFFSET(TblImps[[#This Row],[Σ Harbor]],-1,0)</f>
        <v>0</v>
      </c>
      <c r="AL102" s="142"/>
      <c r="AM102" s="57">
        <f>IF(AND(TblImps[[#This Row],[Resource]]=AM$2,TblImps[[#This Row],[Part]]&lt;&gt;""),TblImps[[#This Row],[Amount]]) + IF(AND(TblImps[[#This Row],[Resource 2]]=AM$2,TblImps[[#This Row],[Part 2]]&lt;&gt;""),TblImps[[#This Row],[Amount 2]]) + IF(AND(TblImps[[#This Row],[Resource 3]]=AM$2,TblImps[[#This Row],[Part 3]]&lt;&gt;""),TblImps[[#This Row],[Amount 3]])</f>
        <v>0</v>
      </c>
      <c r="AN102" s="57">
        <f>IF(AND(TblImps[[#This Row],[Resource]]=AN$2,TblImps[[#This Row],[Part]]&lt;&gt;""),TblImps[[#This Row],[Amount]]) + IF(AND(TblImps[[#This Row],[Resource 2]]=AN$2,TblImps[[#This Row],[Part 2]]&lt;&gt;""),TblImps[[#This Row],[Amount 2]]) + IF(AND(TblImps[[#This Row],[Resource 3]]=AN$2,TblImps[[#This Row],[Part 3]]&lt;&gt;""),TblImps[[#This Row],[Amount 3]])</f>
        <v>0</v>
      </c>
      <c r="AO102" s="57">
        <f>IF(AND(TblImps[[#This Row],[Resource]]=AO$2,TblImps[[#This Row],[Part]]&lt;&gt;""),TblImps[[#This Row],[Amount]]) + IF(AND(TblImps[[#This Row],[Resource 2]]=AO$2,TblImps[[#This Row],[Part 2]]&lt;&gt;""),TblImps[[#This Row],[Amount 2]]) + IF(AND(TblImps[[#This Row],[Resource 3]]=AO$2,TblImps[[#This Row],[Part 3]]&lt;&gt;""),TblImps[[#This Row],[Amount 3]])</f>
        <v>0</v>
      </c>
      <c r="AP102" s="57">
        <f>IF(AND(TblImps[[#This Row],[Resource]]=AP$2,TblImps[[#This Row],[Part]]&lt;&gt;""),TblImps[[#This Row],[Amount]]) + IF(AND(TblImps[[#This Row],[Resource 2]]=AP$2,TblImps[[#This Row],[Part 2]]&lt;&gt;""),TblImps[[#This Row],[Amount 2]]) + IF(AND(TblImps[[#This Row],[Resource 3]]=AP$2,TblImps[[#This Row],[Part 3]]&lt;&gt;""),TblImps[[#This Row],[Amount 3]])</f>
        <v>0</v>
      </c>
      <c r="AQ102" s="142"/>
      <c r="AR10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142"/>
      <c r="AW10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142"/>
      <c r="BB10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142"/>
      <c r="BG10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57">
        <f ca="1">IF(OFFSET(TblMagic[[#This Row],[Active Alchemists Flame]],-1,0)&gt;0,TblConstr[[#This Row],[Tot Alc]]*alchemist_flame_invest,0)</f>
        <v>0</v>
      </c>
      <c r="BL102" s="142"/>
      <c r="BM10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2" s="142"/>
      <c r="BR10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2" s="142"/>
      <c r="BW10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2" s="61">
        <f>TblImps[[#This Row],[Login]]</f>
        <v>0</v>
      </c>
      <c r="BY102" s="137"/>
      <c r="BZ102" s="293">
        <f ca="1">OFFSET(TblImps[[#This Row],[Real time]],-1,0)+1/24</f>
        <v>46324.083333333096</v>
      </c>
      <c r="CA102" s="294">
        <f ca="1">OFFSET(TblImps[[#This Row],[Servertime]],-1,0)+1/24</f>
        <v>46324.083333333096</v>
      </c>
      <c r="CB102" s="57"/>
      <c r="CC102" s="292"/>
      <c r="CD102" s="292"/>
      <c r="CE102" s="45" t="s">
        <v>4</v>
      </c>
    </row>
    <row r="103" spans="1:83" x14ac:dyDescent="0.2">
      <c r="A103" s="214">
        <f ca="1">TblConstr[[#This Row],[Land]]</f>
        <v>50</v>
      </c>
      <c r="B103" s="142"/>
      <c r="C103" s="94">
        <f ca="1">TblProd[[#This Row],[Platinum]]</f>
        <v>200105</v>
      </c>
      <c r="D103" s="94">
        <f ca="1">TblProd[[#This Row],[Lumber]]</f>
        <v>68571</v>
      </c>
      <c r="E103" s="94">
        <f ca="1">TblProd[[#This Row],[Ore]]</f>
        <v>0</v>
      </c>
      <c r="F103" s="94">
        <f ca="1">TblProd[[#This Row],[Gems]]</f>
        <v>0</v>
      </c>
      <c r="G103" s="154"/>
      <c r="H103" s="94">
        <f ca="1">TblMili[[#This Row],[Draftees]]</f>
        <v>594</v>
      </c>
      <c r="I103" s="180">
        <f ca="1">TblPop[[#This Row],[Employment]]</f>
        <v>1</v>
      </c>
      <c r="J103" s="180">
        <f ca="1">TblPop[[#This Row],[Total]]/TblPop[[#This Row],[Net max]]</f>
        <v>1</v>
      </c>
      <c r="K103" s="283">
        <f>TblRezone[[#This Row],[Hour]]</f>
        <v>100</v>
      </c>
      <c r="L103" s="284">
        <f ca="1">TblImps[[#This Row],[Real time]]</f>
        <v>46324.12499999976</v>
      </c>
      <c r="M103" s="61">
        <f>IF(ISERROR(TblImps[[#This Row],[algorithm]]),0,TblImps[[#This Row],[algorithm]]*1)</f>
        <v>0</v>
      </c>
      <c r="N103" s="94">
        <f ca="1">TblImps[[#This Row],[Land]]</f>
        <v>50</v>
      </c>
      <c r="O103" s="285" t="s">
        <v>4</v>
      </c>
      <c r="P103" s="286"/>
      <c r="Q103" s="285" t="s">
        <v>210</v>
      </c>
      <c r="R103" s="285" t="s">
        <v>7</v>
      </c>
      <c r="S103" s="286"/>
      <c r="T103" s="285" t="s">
        <v>210</v>
      </c>
      <c r="U103" s="285" t="s">
        <v>3</v>
      </c>
      <c r="V103" s="286"/>
      <c r="W103" s="285" t="s">
        <v>210</v>
      </c>
      <c r="X103" s="142"/>
      <c r="Y103" s="287">
        <f ca="1">science_cap*(1-EXP(-TblImps[[#This Row],[Σ Science]]/(science_param*(OFFSET(TblImps[[#This Row],[Land]],1,0)-OFFSET(TblExplore[[#This Row],[Land Bonus]],1,0)*20)+15000)))*(1+(mason_bonus*TblConstr[[#This Row],[Tot Mas]]/TblConstr[[#This Row],[Land (2)]]))</f>
        <v>0</v>
      </c>
      <c r="Z103" s="287">
        <f ca="1">keep_cap*(1-EXP(-TblImps[[#This Row],[Σ Keep]]/(keep_param*(OFFSET(TblImps[[#This Row],[Land]],1,0)-OFFSET(TblExplore[[#This Row],[Land Bonus]],1,0)*20)+15000)))*(1+(mason_bonus*TblConstr[[#This Row],[Tot Mas]]/TblConstr[[#This Row],[Land (2)]]))</f>
        <v>0</v>
      </c>
      <c r="AA103" s="287">
        <f ca="1">harbor_towers_cap*(1-EXP(-TblImps[[#This Row],[Σ Spires]]/(towers_param*(OFFSET(TblImps[[#This Row],[Land]],1,0)-OFFSET(TblExplore[[#This Row],[Land Bonus]],1,0)*20)+15000)))*(1+(mason_bonus*TblConstr[[#This Row],[Tot Mas]]/TblConstr[[#This Row],[Land (2)]]))</f>
        <v>0</v>
      </c>
      <c r="AB103" s="287">
        <f ca="1">walls_forges_cap*(1-EXP(-TblImps[[#This Row],[Σ Forges]]/(walls_forges_param*(OFFSET(TblImps[[#This Row],[Land]],1,0)-OFFSET(TblExplore[[#This Row],[Land Bonus]],1,0)*20)+15000)))*(1+(mason_bonus*TblConstr[[#This Row],[Tot Mas]]/TblConstr[[#This Row],[Land (2)]]))</f>
        <v>0</v>
      </c>
      <c r="AC103" s="287">
        <f ca="1">walls_forges_cap*(1-EXP(-TblImps[[#This Row],[Σ Walls]]/(walls_forges_param*(OFFSET(TblImps[[#This Row],[Land]],1,0)-OFFSET(TblExplore[[#This Row],[Land Bonus]],1,0)*20)+15000)))*(1+(mason_bonus*TblConstr[[#This Row],[Tot Mas]]/TblConstr[[#This Row],[Land (2)]]))</f>
        <v>0</v>
      </c>
      <c r="AD103" s="287">
        <f ca="1">harbor_towers_cap*(1-EXP(-TblImps[[#This Row],[Σ Harbor]]/(harbor_towers_param*(OFFSET(TblImps[[#This Row],[Land]],1,0)-OFFSET(TblExplore[[#This Row],[Land Bonus]],1,0)*20)+15000)))*(1+(mason_bonus*TblConstr[[#This Row],[Tot Mas]]/TblConstr[[#This Row],[Land (2)]]))</f>
        <v>0</v>
      </c>
      <c r="AE103" s="142"/>
      <c r="AF103" s="61">
        <f ca="1">(1+Overview!$I$29)*SUM(TblImps[[#This Row],[P2]:[G2]])+OFFSET(TblImps[[#This Row],[Σ Science]],-1,0)</f>
        <v>0</v>
      </c>
      <c r="AG103" s="61">
        <f ca="1">(1+Overview!$I$29)*SUM(TblImps[[#This Row],[P3]:[G3]])+OFFSET(TblImps[[#This Row],[Σ Keep]],-1,0)</f>
        <v>0</v>
      </c>
      <c r="AH103" s="61">
        <f ca="1">(1+Overview!$I$29 + tech_7_1*TblTech[[#This Row],[7-1]])*SUM(TblImps[[#This Row],[P4]:[G4]])+OFFSET(TblImps[[#This Row],[Σ Spires]],-1,0)</f>
        <v>0</v>
      </c>
      <c r="AI103" s="61">
        <f ca="1">(1+Overview!$I$29)*SUM(TblImps[[#This Row],[P5]:[FW5]])+OFFSET(TblImps[[#This Row],[Σ Forges]],-1,0)</f>
        <v>0</v>
      </c>
      <c r="AJ103" s="61">
        <f ca="1">(1+Overview!$I$29)*SUM(TblImps[[#This Row],[P6]:[G6]])+OFFSET(TblImps[[#This Row],[Σ Walls]],-1,0)</f>
        <v>0</v>
      </c>
      <c r="AK103" s="61">
        <f ca="1">(1+Overview!$I$29 + tech_7_1*TblTech[[#This Row],[7-1]])*SUM(TblImps[[#This Row],[P7]:[G7]])+OFFSET(TblImps[[#This Row],[Σ Harbor]],-1,0)</f>
        <v>0</v>
      </c>
      <c r="AL103" s="142"/>
      <c r="AM103" s="57">
        <f>IF(AND(TblImps[[#This Row],[Resource]]=AM$2,TblImps[[#This Row],[Part]]&lt;&gt;""),TblImps[[#This Row],[Amount]]) + IF(AND(TblImps[[#This Row],[Resource 2]]=AM$2,TblImps[[#This Row],[Part 2]]&lt;&gt;""),TblImps[[#This Row],[Amount 2]]) + IF(AND(TblImps[[#This Row],[Resource 3]]=AM$2,TblImps[[#This Row],[Part 3]]&lt;&gt;""),TblImps[[#This Row],[Amount 3]])</f>
        <v>0</v>
      </c>
      <c r="AN103" s="57">
        <f>IF(AND(TblImps[[#This Row],[Resource]]=AN$2,TblImps[[#This Row],[Part]]&lt;&gt;""),TblImps[[#This Row],[Amount]]) + IF(AND(TblImps[[#This Row],[Resource 2]]=AN$2,TblImps[[#This Row],[Part 2]]&lt;&gt;""),TblImps[[#This Row],[Amount 2]]) + IF(AND(TblImps[[#This Row],[Resource 3]]=AN$2,TblImps[[#This Row],[Part 3]]&lt;&gt;""),TblImps[[#This Row],[Amount 3]])</f>
        <v>0</v>
      </c>
      <c r="AO103" s="57">
        <f>IF(AND(TblImps[[#This Row],[Resource]]=AO$2,TblImps[[#This Row],[Part]]&lt;&gt;""),TblImps[[#This Row],[Amount]]) + IF(AND(TblImps[[#This Row],[Resource 2]]=AO$2,TblImps[[#This Row],[Part 2]]&lt;&gt;""),TblImps[[#This Row],[Amount 2]]) + IF(AND(TblImps[[#This Row],[Resource 3]]=AO$2,TblImps[[#This Row],[Part 3]]&lt;&gt;""),TblImps[[#This Row],[Amount 3]])</f>
        <v>0</v>
      </c>
      <c r="AP103" s="57">
        <f>IF(AND(TblImps[[#This Row],[Resource]]=AP$2,TblImps[[#This Row],[Part]]&lt;&gt;""),TblImps[[#This Row],[Amount]]) + IF(AND(TblImps[[#This Row],[Resource 2]]=AP$2,TblImps[[#This Row],[Part 2]]&lt;&gt;""),TblImps[[#This Row],[Amount 2]]) + IF(AND(TblImps[[#This Row],[Resource 3]]=AP$2,TblImps[[#This Row],[Part 3]]&lt;&gt;""),TblImps[[#This Row],[Amount 3]])</f>
        <v>0</v>
      </c>
      <c r="AQ103" s="142"/>
      <c r="AR10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142"/>
      <c r="AW10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142"/>
      <c r="BB10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142"/>
      <c r="BG10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57">
        <f ca="1">IF(OFFSET(TblMagic[[#This Row],[Active Alchemists Flame]],-1,0)&gt;0,TblConstr[[#This Row],[Tot Alc]]*alchemist_flame_invest,0)</f>
        <v>0</v>
      </c>
      <c r="BL103" s="142"/>
      <c r="BM10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3" s="142"/>
      <c r="BR10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3" s="142"/>
      <c r="BW10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3" s="61">
        <f>TblImps[[#This Row],[Login]]</f>
        <v>0</v>
      </c>
      <c r="BY103" s="137"/>
      <c r="BZ103" s="293">
        <f ca="1">OFFSET(TblImps[[#This Row],[Real time]],-1,0)+1/24</f>
        <v>46324.12499999976</v>
      </c>
      <c r="CA103" s="294">
        <f ca="1">OFFSET(TblImps[[#This Row],[Servertime]],-1,0)+1/24</f>
        <v>46324.12499999976</v>
      </c>
      <c r="CB103" s="57"/>
      <c r="CC103" s="292"/>
      <c r="CD103" s="292"/>
      <c r="CE103" s="45" t="s">
        <v>7</v>
      </c>
    </row>
    <row r="104" spans="1:83" x14ac:dyDescent="0.2">
      <c r="A104" s="214">
        <f ca="1">TblConstr[[#This Row],[Land]]</f>
        <v>50</v>
      </c>
      <c r="B104" s="142"/>
      <c r="C104" s="94">
        <f ca="1">TblProd[[#This Row],[Platinum]]</f>
        <v>200577</v>
      </c>
      <c r="D104" s="94">
        <f ca="1">TblProd[[#This Row],[Lumber]]</f>
        <v>68885</v>
      </c>
      <c r="E104" s="94">
        <f ca="1">TblProd[[#This Row],[Ore]]</f>
        <v>0</v>
      </c>
      <c r="F104" s="94">
        <f ca="1">TblProd[[#This Row],[Gems]]</f>
        <v>0</v>
      </c>
      <c r="G104" s="154"/>
      <c r="H104" s="94">
        <f ca="1">TblMili[[#This Row],[Draftees]]</f>
        <v>596</v>
      </c>
      <c r="I104" s="180">
        <f ca="1">TblPop[[#This Row],[Employment]]</f>
        <v>1</v>
      </c>
      <c r="J104" s="180">
        <f ca="1">TblPop[[#This Row],[Total]]/TblPop[[#This Row],[Net max]]</f>
        <v>1</v>
      </c>
      <c r="K104" s="283">
        <f>TblRezone[[#This Row],[Hour]]</f>
        <v>101</v>
      </c>
      <c r="L104" s="284">
        <f ca="1">TblImps[[#This Row],[Real time]]</f>
        <v>46324.166666666424</v>
      </c>
      <c r="M104" s="61">
        <f>IF(ISERROR(TblImps[[#This Row],[algorithm]]),0,TblImps[[#This Row],[algorithm]]*1)</f>
        <v>0</v>
      </c>
      <c r="N104" s="94">
        <f ca="1">TblImps[[#This Row],[Land]]</f>
        <v>50</v>
      </c>
      <c r="O104" s="285" t="s">
        <v>4</v>
      </c>
      <c r="P104" s="286"/>
      <c r="Q104" s="285" t="s">
        <v>210</v>
      </c>
      <c r="R104" s="285" t="s">
        <v>7</v>
      </c>
      <c r="S104" s="286"/>
      <c r="T104" s="285" t="s">
        <v>210</v>
      </c>
      <c r="U104" s="285" t="s">
        <v>3</v>
      </c>
      <c r="V104" s="286"/>
      <c r="W104" s="285" t="s">
        <v>210</v>
      </c>
      <c r="X104" s="142"/>
      <c r="Y104" s="287">
        <f ca="1">science_cap*(1-EXP(-TblImps[[#This Row],[Σ Science]]/(science_param*(OFFSET(TblImps[[#This Row],[Land]],1,0)-OFFSET(TblExplore[[#This Row],[Land Bonus]],1,0)*20)+15000)))*(1+(mason_bonus*TblConstr[[#This Row],[Tot Mas]]/TblConstr[[#This Row],[Land (2)]]))</f>
        <v>0</v>
      </c>
      <c r="Z104" s="287">
        <f ca="1">keep_cap*(1-EXP(-TblImps[[#This Row],[Σ Keep]]/(keep_param*(OFFSET(TblImps[[#This Row],[Land]],1,0)-OFFSET(TblExplore[[#This Row],[Land Bonus]],1,0)*20)+15000)))*(1+(mason_bonus*TblConstr[[#This Row],[Tot Mas]]/TblConstr[[#This Row],[Land (2)]]))</f>
        <v>0</v>
      </c>
      <c r="AA104" s="287">
        <f ca="1">harbor_towers_cap*(1-EXP(-TblImps[[#This Row],[Σ Spires]]/(towers_param*(OFFSET(TblImps[[#This Row],[Land]],1,0)-OFFSET(TblExplore[[#This Row],[Land Bonus]],1,0)*20)+15000)))*(1+(mason_bonus*TblConstr[[#This Row],[Tot Mas]]/TblConstr[[#This Row],[Land (2)]]))</f>
        <v>0</v>
      </c>
      <c r="AB104" s="287">
        <f ca="1">walls_forges_cap*(1-EXP(-TblImps[[#This Row],[Σ Forges]]/(walls_forges_param*(OFFSET(TblImps[[#This Row],[Land]],1,0)-OFFSET(TblExplore[[#This Row],[Land Bonus]],1,0)*20)+15000)))*(1+(mason_bonus*TblConstr[[#This Row],[Tot Mas]]/TblConstr[[#This Row],[Land (2)]]))</f>
        <v>0</v>
      </c>
      <c r="AC104" s="287">
        <f ca="1">walls_forges_cap*(1-EXP(-TblImps[[#This Row],[Σ Walls]]/(walls_forges_param*(OFFSET(TblImps[[#This Row],[Land]],1,0)-OFFSET(TblExplore[[#This Row],[Land Bonus]],1,0)*20)+15000)))*(1+(mason_bonus*TblConstr[[#This Row],[Tot Mas]]/TblConstr[[#This Row],[Land (2)]]))</f>
        <v>0</v>
      </c>
      <c r="AD104" s="287">
        <f ca="1">harbor_towers_cap*(1-EXP(-TblImps[[#This Row],[Σ Harbor]]/(harbor_towers_param*(OFFSET(TblImps[[#This Row],[Land]],1,0)-OFFSET(TblExplore[[#This Row],[Land Bonus]],1,0)*20)+15000)))*(1+(mason_bonus*TblConstr[[#This Row],[Tot Mas]]/TblConstr[[#This Row],[Land (2)]]))</f>
        <v>0</v>
      </c>
      <c r="AE104" s="142"/>
      <c r="AF104" s="61">
        <f ca="1">(1+Overview!$I$29)*SUM(TblImps[[#This Row],[P2]:[G2]])+OFFSET(TblImps[[#This Row],[Σ Science]],-1,0)</f>
        <v>0</v>
      </c>
      <c r="AG104" s="61">
        <f ca="1">(1+Overview!$I$29)*SUM(TblImps[[#This Row],[P3]:[G3]])+OFFSET(TblImps[[#This Row],[Σ Keep]],-1,0)</f>
        <v>0</v>
      </c>
      <c r="AH104" s="61">
        <f ca="1">(1+Overview!$I$29 + tech_7_1*TblTech[[#This Row],[7-1]])*SUM(TblImps[[#This Row],[P4]:[G4]])+OFFSET(TblImps[[#This Row],[Σ Spires]],-1,0)</f>
        <v>0</v>
      </c>
      <c r="AI104" s="61">
        <f ca="1">(1+Overview!$I$29)*SUM(TblImps[[#This Row],[P5]:[FW5]])+OFFSET(TblImps[[#This Row],[Σ Forges]],-1,0)</f>
        <v>0</v>
      </c>
      <c r="AJ104" s="61">
        <f ca="1">(1+Overview!$I$29)*SUM(TblImps[[#This Row],[P6]:[G6]])+OFFSET(TblImps[[#This Row],[Σ Walls]],-1,0)</f>
        <v>0</v>
      </c>
      <c r="AK104" s="61">
        <f ca="1">(1+Overview!$I$29 + tech_7_1*TblTech[[#This Row],[7-1]])*SUM(TblImps[[#This Row],[P7]:[G7]])+OFFSET(TblImps[[#This Row],[Σ Harbor]],-1,0)</f>
        <v>0</v>
      </c>
      <c r="AL104" s="142"/>
      <c r="AM104" s="57">
        <f>IF(AND(TblImps[[#This Row],[Resource]]=AM$2,TblImps[[#This Row],[Part]]&lt;&gt;""),TblImps[[#This Row],[Amount]]) + IF(AND(TblImps[[#This Row],[Resource 2]]=AM$2,TblImps[[#This Row],[Part 2]]&lt;&gt;""),TblImps[[#This Row],[Amount 2]]) + IF(AND(TblImps[[#This Row],[Resource 3]]=AM$2,TblImps[[#This Row],[Part 3]]&lt;&gt;""),TblImps[[#This Row],[Amount 3]])</f>
        <v>0</v>
      </c>
      <c r="AN104" s="57">
        <f>IF(AND(TblImps[[#This Row],[Resource]]=AN$2,TblImps[[#This Row],[Part]]&lt;&gt;""),TblImps[[#This Row],[Amount]]) + IF(AND(TblImps[[#This Row],[Resource 2]]=AN$2,TblImps[[#This Row],[Part 2]]&lt;&gt;""),TblImps[[#This Row],[Amount 2]]) + IF(AND(TblImps[[#This Row],[Resource 3]]=AN$2,TblImps[[#This Row],[Part 3]]&lt;&gt;""),TblImps[[#This Row],[Amount 3]])</f>
        <v>0</v>
      </c>
      <c r="AO104" s="57">
        <f>IF(AND(TblImps[[#This Row],[Resource]]=AO$2,TblImps[[#This Row],[Part]]&lt;&gt;""),TblImps[[#This Row],[Amount]]) + IF(AND(TblImps[[#This Row],[Resource 2]]=AO$2,TblImps[[#This Row],[Part 2]]&lt;&gt;""),TblImps[[#This Row],[Amount 2]]) + IF(AND(TblImps[[#This Row],[Resource 3]]=AO$2,TblImps[[#This Row],[Part 3]]&lt;&gt;""),TblImps[[#This Row],[Amount 3]])</f>
        <v>0</v>
      </c>
      <c r="AP104" s="57">
        <f>IF(AND(TblImps[[#This Row],[Resource]]=AP$2,TblImps[[#This Row],[Part]]&lt;&gt;""),TblImps[[#This Row],[Amount]]) + IF(AND(TblImps[[#This Row],[Resource 2]]=AP$2,TblImps[[#This Row],[Part 2]]&lt;&gt;""),TblImps[[#This Row],[Amount 2]]) + IF(AND(TblImps[[#This Row],[Resource 3]]=AP$2,TblImps[[#This Row],[Part 3]]&lt;&gt;""),TblImps[[#This Row],[Amount 3]])</f>
        <v>0</v>
      </c>
      <c r="AQ104" s="142"/>
      <c r="AR10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142"/>
      <c r="AW10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142"/>
      <c r="BB10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142"/>
      <c r="BG10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57">
        <f ca="1">IF(OFFSET(TblMagic[[#This Row],[Active Alchemists Flame]],-1,0)&gt;0,TblConstr[[#This Row],[Tot Alc]]*alchemist_flame_invest,0)</f>
        <v>0</v>
      </c>
      <c r="BL104" s="142"/>
      <c r="BM10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4" s="142"/>
      <c r="BR10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4" s="142"/>
      <c r="BW10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4" s="61">
        <f>TblImps[[#This Row],[Login]]</f>
        <v>0</v>
      </c>
      <c r="BY104" s="137"/>
      <c r="BZ104" s="293">
        <f ca="1">OFFSET(TblImps[[#This Row],[Real time]],-1,0)+1/24</f>
        <v>46324.166666666424</v>
      </c>
      <c r="CA104" s="294">
        <f ca="1">OFFSET(TblImps[[#This Row],[Servertime]],-1,0)+1/24</f>
        <v>46324.166666666424</v>
      </c>
      <c r="CB104" s="57"/>
      <c r="CC104" s="292"/>
      <c r="CD104" s="292"/>
      <c r="CE104" s="45" t="s">
        <v>3</v>
      </c>
    </row>
    <row r="105" spans="1:83" x14ac:dyDescent="0.2">
      <c r="A105" s="214">
        <f ca="1">TblConstr[[#This Row],[Land]]</f>
        <v>50</v>
      </c>
      <c r="B105" s="142"/>
      <c r="C105" s="94">
        <f ca="1">TblProd[[#This Row],[Platinum]]</f>
        <v>201044</v>
      </c>
      <c r="D105" s="94">
        <f ca="1">TblProd[[#This Row],[Lumber]]</f>
        <v>69196</v>
      </c>
      <c r="E105" s="94">
        <f ca="1">TblProd[[#This Row],[Ore]]</f>
        <v>0</v>
      </c>
      <c r="F105" s="94">
        <f ca="1">TblProd[[#This Row],[Gems]]</f>
        <v>0</v>
      </c>
      <c r="G105" s="154"/>
      <c r="H105" s="94">
        <f ca="1">TblMili[[#This Row],[Draftees]]</f>
        <v>598</v>
      </c>
      <c r="I105" s="180">
        <f ca="1">TblPop[[#This Row],[Employment]]</f>
        <v>1</v>
      </c>
      <c r="J105" s="180">
        <f ca="1">TblPop[[#This Row],[Total]]/TblPop[[#This Row],[Net max]]</f>
        <v>1</v>
      </c>
      <c r="K105" s="283">
        <f>TblRezone[[#This Row],[Hour]]</f>
        <v>102</v>
      </c>
      <c r="L105" s="284">
        <f ca="1">TblImps[[#This Row],[Real time]]</f>
        <v>46324.208333333088</v>
      </c>
      <c r="M105" s="61">
        <f>IF(ISERROR(TblImps[[#This Row],[algorithm]]),0,TblImps[[#This Row],[algorithm]]*1)</f>
        <v>0</v>
      </c>
      <c r="N105" s="94">
        <f ca="1">TblImps[[#This Row],[Land]]</f>
        <v>50</v>
      </c>
      <c r="O105" s="285" t="s">
        <v>4</v>
      </c>
      <c r="P105" s="286"/>
      <c r="Q105" s="285" t="s">
        <v>210</v>
      </c>
      <c r="R105" s="285" t="s">
        <v>7</v>
      </c>
      <c r="S105" s="286"/>
      <c r="T105" s="285" t="s">
        <v>210</v>
      </c>
      <c r="U105" s="285" t="s">
        <v>3</v>
      </c>
      <c r="V105" s="286"/>
      <c r="W105" s="285" t="s">
        <v>210</v>
      </c>
      <c r="X105" s="142"/>
      <c r="Y105" s="287">
        <f ca="1">science_cap*(1-EXP(-TblImps[[#This Row],[Σ Science]]/(science_param*(OFFSET(TblImps[[#This Row],[Land]],1,0)-OFFSET(TblExplore[[#This Row],[Land Bonus]],1,0)*20)+15000)))*(1+(mason_bonus*TblConstr[[#This Row],[Tot Mas]]/TblConstr[[#This Row],[Land (2)]]))</f>
        <v>0</v>
      </c>
      <c r="Z105" s="287">
        <f ca="1">keep_cap*(1-EXP(-TblImps[[#This Row],[Σ Keep]]/(keep_param*(OFFSET(TblImps[[#This Row],[Land]],1,0)-OFFSET(TblExplore[[#This Row],[Land Bonus]],1,0)*20)+15000)))*(1+(mason_bonus*TblConstr[[#This Row],[Tot Mas]]/TblConstr[[#This Row],[Land (2)]]))</f>
        <v>0</v>
      </c>
      <c r="AA105" s="287">
        <f ca="1">harbor_towers_cap*(1-EXP(-TblImps[[#This Row],[Σ Spires]]/(towers_param*(OFFSET(TblImps[[#This Row],[Land]],1,0)-OFFSET(TblExplore[[#This Row],[Land Bonus]],1,0)*20)+15000)))*(1+(mason_bonus*TblConstr[[#This Row],[Tot Mas]]/TblConstr[[#This Row],[Land (2)]]))</f>
        <v>0</v>
      </c>
      <c r="AB105" s="287">
        <f ca="1">walls_forges_cap*(1-EXP(-TblImps[[#This Row],[Σ Forges]]/(walls_forges_param*(OFFSET(TblImps[[#This Row],[Land]],1,0)-OFFSET(TblExplore[[#This Row],[Land Bonus]],1,0)*20)+15000)))*(1+(mason_bonus*TblConstr[[#This Row],[Tot Mas]]/TblConstr[[#This Row],[Land (2)]]))</f>
        <v>0</v>
      </c>
      <c r="AC105" s="287">
        <f ca="1">walls_forges_cap*(1-EXP(-TblImps[[#This Row],[Σ Walls]]/(walls_forges_param*(OFFSET(TblImps[[#This Row],[Land]],1,0)-OFFSET(TblExplore[[#This Row],[Land Bonus]],1,0)*20)+15000)))*(1+(mason_bonus*TblConstr[[#This Row],[Tot Mas]]/TblConstr[[#This Row],[Land (2)]]))</f>
        <v>0</v>
      </c>
      <c r="AD105" s="287">
        <f ca="1">harbor_towers_cap*(1-EXP(-TblImps[[#This Row],[Σ Harbor]]/(harbor_towers_param*(OFFSET(TblImps[[#This Row],[Land]],1,0)-OFFSET(TblExplore[[#This Row],[Land Bonus]],1,0)*20)+15000)))*(1+(mason_bonus*TblConstr[[#This Row],[Tot Mas]]/TblConstr[[#This Row],[Land (2)]]))</f>
        <v>0</v>
      </c>
      <c r="AE105" s="142"/>
      <c r="AF105" s="61">
        <f ca="1">(1+Overview!$I$29)*SUM(TblImps[[#This Row],[P2]:[G2]])+OFFSET(TblImps[[#This Row],[Σ Science]],-1,0)</f>
        <v>0</v>
      </c>
      <c r="AG105" s="61">
        <f ca="1">(1+Overview!$I$29)*SUM(TblImps[[#This Row],[P3]:[G3]])+OFFSET(TblImps[[#This Row],[Σ Keep]],-1,0)</f>
        <v>0</v>
      </c>
      <c r="AH105" s="61">
        <f ca="1">(1+Overview!$I$29 + tech_7_1*TblTech[[#This Row],[7-1]])*SUM(TblImps[[#This Row],[P4]:[G4]])+OFFSET(TblImps[[#This Row],[Σ Spires]],-1,0)</f>
        <v>0</v>
      </c>
      <c r="AI105" s="61">
        <f ca="1">(1+Overview!$I$29)*SUM(TblImps[[#This Row],[P5]:[FW5]])+OFFSET(TblImps[[#This Row],[Σ Forges]],-1,0)</f>
        <v>0</v>
      </c>
      <c r="AJ105" s="61">
        <f ca="1">(1+Overview!$I$29)*SUM(TblImps[[#This Row],[P6]:[G6]])+OFFSET(TblImps[[#This Row],[Σ Walls]],-1,0)</f>
        <v>0</v>
      </c>
      <c r="AK105" s="61">
        <f ca="1">(1+Overview!$I$29 + tech_7_1*TblTech[[#This Row],[7-1]])*SUM(TblImps[[#This Row],[P7]:[G7]])+OFFSET(TblImps[[#This Row],[Σ Harbor]],-1,0)</f>
        <v>0</v>
      </c>
      <c r="AL105" s="142"/>
      <c r="AM105" s="57">
        <f>IF(AND(TblImps[[#This Row],[Resource]]=AM$2,TblImps[[#This Row],[Part]]&lt;&gt;""),TblImps[[#This Row],[Amount]]) + IF(AND(TblImps[[#This Row],[Resource 2]]=AM$2,TblImps[[#This Row],[Part 2]]&lt;&gt;""),TblImps[[#This Row],[Amount 2]]) + IF(AND(TblImps[[#This Row],[Resource 3]]=AM$2,TblImps[[#This Row],[Part 3]]&lt;&gt;""),TblImps[[#This Row],[Amount 3]])</f>
        <v>0</v>
      </c>
      <c r="AN105" s="57">
        <f>IF(AND(TblImps[[#This Row],[Resource]]=AN$2,TblImps[[#This Row],[Part]]&lt;&gt;""),TblImps[[#This Row],[Amount]]) + IF(AND(TblImps[[#This Row],[Resource 2]]=AN$2,TblImps[[#This Row],[Part 2]]&lt;&gt;""),TblImps[[#This Row],[Amount 2]]) + IF(AND(TblImps[[#This Row],[Resource 3]]=AN$2,TblImps[[#This Row],[Part 3]]&lt;&gt;""),TblImps[[#This Row],[Amount 3]])</f>
        <v>0</v>
      </c>
      <c r="AO105" s="57">
        <f>IF(AND(TblImps[[#This Row],[Resource]]=AO$2,TblImps[[#This Row],[Part]]&lt;&gt;""),TblImps[[#This Row],[Amount]]) + IF(AND(TblImps[[#This Row],[Resource 2]]=AO$2,TblImps[[#This Row],[Part 2]]&lt;&gt;""),TblImps[[#This Row],[Amount 2]]) + IF(AND(TblImps[[#This Row],[Resource 3]]=AO$2,TblImps[[#This Row],[Part 3]]&lt;&gt;""),TblImps[[#This Row],[Amount 3]])</f>
        <v>0</v>
      </c>
      <c r="AP105" s="57">
        <f>IF(AND(TblImps[[#This Row],[Resource]]=AP$2,TblImps[[#This Row],[Part]]&lt;&gt;""),TblImps[[#This Row],[Amount]]) + IF(AND(TblImps[[#This Row],[Resource 2]]=AP$2,TblImps[[#This Row],[Part 2]]&lt;&gt;""),TblImps[[#This Row],[Amount 2]]) + IF(AND(TblImps[[#This Row],[Resource 3]]=AP$2,TblImps[[#This Row],[Part 3]]&lt;&gt;""),TblImps[[#This Row],[Amount 3]])</f>
        <v>0</v>
      </c>
      <c r="AQ105" s="142"/>
      <c r="AR10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142"/>
      <c r="AW10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142"/>
      <c r="BB10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142"/>
      <c r="BG10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57">
        <f ca="1">IF(OFFSET(TblMagic[[#This Row],[Active Alchemists Flame]],-1,0)&gt;0,TblConstr[[#This Row],[Tot Alc]]*alchemist_flame_invest,0)</f>
        <v>0</v>
      </c>
      <c r="BL105" s="142"/>
      <c r="BM10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5" s="142"/>
      <c r="BR10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5" s="142"/>
      <c r="BW10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5" s="61">
        <f>TblImps[[#This Row],[Login]]</f>
        <v>0</v>
      </c>
      <c r="BY105" s="137"/>
      <c r="BZ105" s="293">
        <f ca="1">OFFSET(TblImps[[#This Row],[Real time]],-1,0)+1/24</f>
        <v>46324.208333333088</v>
      </c>
      <c r="CA105" s="294">
        <f ca="1">OFFSET(TblImps[[#This Row],[Servertime]],-1,0)+1/24</f>
        <v>46324.208333333088</v>
      </c>
      <c r="CB105" s="57"/>
      <c r="CC105" s="292"/>
      <c r="CD105" s="292"/>
      <c r="CE105" s="45" t="s">
        <v>2</v>
      </c>
    </row>
    <row r="106" spans="1:83" x14ac:dyDescent="0.2">
      <c r="A106" s="214">
        <f ca="1">TblConstr[[#This Row],[Land]]</f>
        <v>50</v>
      </c>
      <c r="B106" s="142"/>
      <c r="C106" s="94">
        <f ca="1">TblProd[[#This Row],[Platinum]]</f>
        <v>201505</v>
      </c>
      <c r="D106" s="94">
        <f ca="1">TblProd[[#This Row],[Lumber]]</f>
        <v>69504</v>
      </c>
      <c r="E106" s="94">
        <f ca="1">TblProd[[#This Row],[Ore]]</f>
        <v>0</v>
      </c>
      <c r="F106" s="94">
        <f ca="1">TblProd[[#This Row],[Gems]]</f>
        <v>0</v>
      </c>
      <c r="G106" s="154"/>
      <c r="H106" s="94">
        <f ca="1">TblMili[[#This Row],[Draftees]]</f>
        <v>600</v>
      </c>
      <c r="I106" s="180">
        <f ca="1">TblPop[[#This Row],[Employment]]</f>
        <v>1</v>
      </c>
      <c r="J106" s="180">
        <f ca="1">TblPop[[#This Row],[Total]]/TblPop[[#This Row],[Net max]]</f>
        <v>1</v>
      </c>
      <c r="K106" s="283">
        <f>TblRezone[[#This Row],[Hour]]</f>
        <v>103</v>
      </c>
      <c r="L106" s="284">
        <f ca="1">TblImps[[#This Row],[Real time]]</f>
        <v>46324.249999999753</v>
      </c>
      <c r="M106" s="61">
        <f>IF(ISERROR(TblImps[[#This Row],[algorithm]]),0,TblImps[[#This Row],[algorithm]]*1)</f>
        <v>0</v>
      </c>
      <c r="N106" s="94">
        <f ca="1">TblImps[[#This Row],[Land]]</f>
        <v>50</v>
      </c>
      <c r="O106" s="285" t="s">
        <v>4</v>
      </c>
      <c r="P106" s="286"/>
      <c r="Q106" s="285" t="s">
        <v>210</v>
      </c>
      <c r="R106" s="285" t="s">
        <v>7</v>
      </c>
      <c r="S106" s="286"/>
      <c r="T106" s="285" t="s">
        <v>210</v>
      </c>
      <c r="U106" s="285" t="s">
        <v>3</v>
      </c>
      <c r="V106" s="286"/>
      <c r="W106" s="285" t="s">
        <v>210</v>
      </c>
      <c r="X106" s="142"/>
      <c r="Y106" s="287">
        <f ca="1">science_cap*(1-EXP(-TblImps[[#This Row],[Σ Science]]/(science_param*(OFFSET(TblImps[[#This Row],[Land]],1,0)-OFFSET(TblExplore[[#This Row],[Land Bonus]],1,0)*20)+15000)))*(1+(mason_bonus*TblConstr[[#This Row],[Tot Mas]]/TblConstr[[#This Row],[Land (2)]]))</f>
        <v>0</v>
      </c>
      <c r="Z106" s="287">
        <f ca="1">keep_cap*(1-EXP(-TblImps[[#This Row],[Σ Keep]]/(keep_param*(OFFSET(TblImps[[#This Row],[Land]],1,0)-OFFSET(TblExplore[[#This Row],[Land Bonus]],1,0)*20)+15000)))*(1+(mason_bonus*TblConstr[[#This Row],[Tot Mas]]/TblConstr[[#This Row],[Land (2)]]))</f>
        <v>0</v>
      </c>
      <c r="AA106" s="287">
        <f ca="1">harbor_towers_cap*(1-EXP(-TblImps[[#This Row],[Σ Spires]]/(towers_param*(OFFSET(TblImps[[#This Row],[Land]],1,0)-OFFSET(TblExplore[[#This Row],[Land Bonus]],1,0)*20)+15000)))*(1+(mason_bonus*TblConstr[[#This Row],[Tot Mas]]/TblConstr[[#This Row],[Land (2)]]))</f>
        <v>0</v>
      </c>
      <c r="AB106" s="287">
        <f ca="1">walls_forges_cap*(1-EXP(-TblImps[[#This Row],[Σ Forges]]/(walls_forges_param*(OFFSET(TblImps[[#This Row],[Land]],1,0)-OFFSET(TblExplore[[#This Row],[Land Bonus]],1,0)*20)+15000)))*(1+(mason_bonus*TblConstr[[#This Row],[Tot Mas]]/TblConstr[[#This Row],[Land (2)]]))</f>
        <v>0</v>
      </c>
      <c r="AC106" s="287">
        <f ca="1">walls_forges_cap*(1-EXP(-TblImps[[#This Row],[Σ Walls]]/(walls_forges_param*(OFFSET(TblImps[[#This Row],[Land]],1,0)-OFFSET(TblExplore[[#This Row],[Land Bonus]],1,0)*20)+15000)))*(1+(mason_bonus*TblConstr[[#This Row],[Tot Mas]]/TblConstr[[#This Row],[Land (2)]]))</f>
        <v>0</v>
      </c>
      <c r="AD106" s="287">
        <f ca="1">harbor_towers_cap*(1-EXP(-TblImps[[#This Row],[Σ Harbor]]/(harbor_towers_param*(OFFSET(TblImps[[#This Row],[Land]],1,0)-OFFSET(TblExplore[[#This Row],[Land Bonus]],1,0)*20)+15000)))*(1+(mason_bonus*TblConstr[[#This Row],[Tot Mas]]/TblConstr[[#This Row],[Land (2)]]))</f>
        <v>0</v>
      </c>
      <c r="AE106" s="142"/>
      <c r="AF106" s="61">
        <f ca="1">(1+Overview!$I$29)*SUM(TblImps[[#This Row],[P2]:[G2]])+OFFSET(TblImps[[#This Row],[Σ Science]],-1,0)</f>
        <v>0</v>
      </c>
      <c r="AG106" s="61">
        <f ca="1">(1+Overview!$I$29)*SUM(TblImps[[#This Row],[P3]:[G3]])+OFFSET(TblImps[[#This Row],[Σ Keep]],-1,0)</f>
        <v>0</v>
      </c>
      <c r="AH106" s="61">
        <f ca="1">(1+Overview!$I$29 + tech_7_1*TblTech[[#This Row],[7-1]])*SUM(TblImps[[#This Row],[P4]:[G4]])+OFFSET(TblImps[[#This Row],[Σ Spires]],-1,0)</f>
        <v>0</v>
      </c>
      <c r="AI106" s="61">
        <f ca="1">(1+Overview!$I$29)*SUM(TblImps[[#This Row],[P5]:[FW5]])+OFFSET(TblImps[[#This Row],[Σ Forges]],-1,0)</f>
        <v>0</v>
      </c>
      <c r="AJ106" s="61">
        <f ca="1">(1+Overview!$I$29)*SUM(TblImps[[#This Row],[P6]:[G6]])+OFFSET(TblImps[[#This Row],[Σ Walls]],-1,0)</f>
        <v>0</v>
      </c>
      <c r="AK106" s="61">
        <f ca="1">(1+Overview!$I$29 + tech_7_1*TblTech[[#This Row],[7-1]])*SUM(TblImps[[#This Row],[P7]:[G7]])+OFFSET(TblImps[[#This Row],[Σ Harbor]],-1,0)</f>
        <v>0</v>
      </c>
      <c r="AL106" s="142"/>
      <c r="AM106" s="57">
        <f>IF(AND(TblImps[[#This Row],[Resource]]=AM$2,TblImps[[#This Row],[Part]]&lt;&gt;""),TblImps[[#This Row],[Amount]]) + IF(AND(TblImps[[#This Row],[Resource 2]]=AM$2,TblImps[[#This Row],[Part 2]]&lt;&gt;""),TblImps[[#This Row],[Amount 2]]) + IF(AND(TblImps[[#This Row],[Resource 3]]=AM$2,TblImps[[#This Row],[Part 3]]&lt;&gt;""),TblImps[[#This Row],[Amount 3]])</f>
        <v>0</v>
      </c>
      <c r="AN106" s="57">
        <f>IF(AND(TblImps[[#This Row],[Resource]]=AN$2,TblImps[[#This Row],[Part]]&lt;&gt;""),TblImps[[#This Row],[Amount]]) + IF(AND(TblImps[[#This Row],[Resource 2]]=AN$2,TblImps[[#This Row],[Part 2]]&lt;&gt;""),TblImps[[#This Row],[Amount 2]]) + IF(AND(TblImps[[#This Row],[Resource 3]]=AN$2,TblImps[[#This Row],[Part 3]]&lt;&gt;""),TblImps[[#This Row],[Amount 3]])</f>
        <v>0</v>
      </c>
      <c r="AO106" s="57">
        <f>IF(AND(TblImps[[#This Row],[Resource]]=AO$2,TblImps[[#This Row],[Part]]&lt;&gt;""),TblImps[[#This Row],[Amount]]) + IF(AND(TblImps[[#This Row],[Resource 2]]=AO$2,TblImps[[#This Row],[Part 2]]&lt;&gt;""),TblImps[[#This Row],[Amount 2]]) + IF(AND(TblImps[[#This Row],[Resource 3]]=AO$2,TblImps[[#This Row],[Part 3]]&lt;&gt;""),TblImps[[#This Row],[Amount 3]])</f>
        <v>0</v>
      </c>
      <c r="AP106" s="57">
        <f>IF(AND(TblImps[[#This Row],[Resource]]=AP$2,TblImps[[#This Row],[Part]]&lt;&gt;""),TblImps[[#This Row],[Amount]]) + IF(AND(TblImps[[#This Row],[Resource 2]]=AP$2,TblImps[[#This Row],[Part 2]]&lt;&gt;""),TblImps[[#This Row],[Amount 2]]) + IF(AND(TblImps[[#This Row],[Resource 3]]=AP$2,TblImps[[#This Row],[Part 3]]&lt;&gt;""),TblImps[[#This Row],[Amount 3]])</f>
        <v>0</v>
      </c>
      <c r="AQ106" s="142"/>
      <c r="AR10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142"/>
      <c r="AW10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142"/>
      <c r="BB10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142"/>
      <c r="BG10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57">
        <f ca="1">IF(OFFSET(TblMagic[[#This Row],[Active Alchemists Flame]],-1,0)&gt;0,TblConstr[[#This Row],[Tot Alc]]*alchemist_flame_invest,0)</f>
        <v>0</v>
      </c>
      <c r="BL106" s="142"/>
      <c r="BM10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6" s="142"/>
      <c r="BR10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6" s="142"/>
      <c r="BW10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6" s="61">
        <f>TblImps[[#This Row],[Login]]</f>
        <v>0</v>
      </c>
      <c r="BY106" s="137"/>
      <c r="BZ106" s="293">
        <f ca="1">OFFSET(TblImps[[#This Row],[Real time]],-1,0)+1/24</f>
        <v>46324.249999999753</v>
      </c>
      <c r="CA106" s="294">
        <f ca="1">OFFSET(TblImps[[#This Row],[Servertime]],-1,0)+1/24</f>
        <v>46324.249999999753</v>
      </c>
      <c r="CB106" s="57"/>
      <c r="CC106" s="292"/>
      <c r="CD106" s="292"/>
    </row>
    <row r="107" spans="1:83" x14ac:dyDescent="0.2">
      <c r="A107" s="214">
        <f ca="1">TblConstr[[#This Row],[Land]]</f>
        <v>50</v>
      </c>
      <c r="B107" s="142"/>
      <c r="C107" s="94">
        <f ca="1">TblProd[[#This Row],[Platinum]]</f>
        <v>201961</v>
      </c>
      <c r="D107" s="94">
        <f ca="1">TblProd[[#This Row],[Lumber]]</f>
        <v>69809</v>
      </c>
      <c r="E107" s="94">
        <f ca="1">TblProd[[#This Row],[Ore]]</f>
        <v>0</v>
      </c>
      <c r="F107" s="94">
        <f ca="1">TblProd[[#This Row],[Gems]]</f>
        <v>0</v>
      </c>
      <c r="G107" s="154"/>
      <c r="H107" s="94">
        <f ca="1">TblMili[[#This Row],[Draftees]]</f>
        <v>602</v>
      </c>
      <c r="I107" s="180">
        <f ca="1">TblPop[[#This Row],[Employment]]</f>
        <v>1</v>
      </c>
      <c r="J107" s="180">
        <f ca="1">TblPop[[#This Row],[Total]]/TblPop[[#This Row],[Net max]]</f>
        <v>1</v>
      </c>
      <c r="K107" s="283">
        <f>TblRezone[[#This Row],[Hour]]</f>
        <v>104</v>
      </c>
      <c r="L107" s="284">
        <f ca="1">TblImps[[#This Row],[Real time]]</f>
        <v>46324.291666666417</v>
      </c>
      <c r="M107" s="61">
        <f>IF(ISERROR(TblImps[[#This Row],[algorithm]]),0,TblImps[[#This Row],[algorithm]]*1)</f>
        <v>0</v>
      </c>
      <c r="N107" s="94">
        <f ca="1">TblImps[[#This Row],[Land]]</f>
        <v>50</v>
      </c>
      <c r="O107" s="285" t="s">
        <v>4</v>
      </c>
      <c r="P107" s="286"/>
      <c r="Q107" s="285" t="s">
        <v>210</v>
      </c>
      <c r="R107" s="285" t="s">
        <v>7</v>
      </c>
      <c r="S107" s="286"/>
      <c r="T107" s="285" t="s">
        <v>210</v>
      </c>
      <c r="U107" s="285" t="s">
        <v>3</v>
      </c>
      <c r="V107" s="286"/>
      <c r="W107" s="285" t="s">
        <v>210</v>
      </c>
      <c r="X107" s="142"/>
      <c r="Y107" s="287">
        <f ca="1">science_cap*(1-EXP(-TblImps[[#This Row],[Σ Science]]/(science_param*(OFFSET(TblImps[[#This Row],[Land]],1,0)-OFFSET(TblExplore[[#This Row],[Land Bonus]],1,0)*20)+15000)))*(1+(mason_bonus*TblConstr[[#This Row],[Tot Mas]]/TblConstr[[#This Row],[Land (2)]]))</f>
        <v>0</v>
      </c>
      <c r="Z107" s="287">
        <f ca="1">keep_cap*(1-EXP(-TblImps[[#This Row],[Σ Keep]]/(keep_param*(OFFSET(TblImps[[#This Row],[Land]],1,0)-OFFSET(TblExplore[[#This Row],[Land Bonus]],1,0)*20)+15000)))*(1+(mason_bonus*TblConstr[[#This Row],[Tot Mas]]/TblConstr[[#This Row],[Land (2)]]))</f>
        <v>0</v>
      </c>
      <c r="AA107" s="287">
        <f ca="1">harbor_towers_cap*(1-EXP(-TblImps[[#This Row],[Σ Spires]]/(towers_param*(OFFSET(TblImps[[#This Row],[Land]],1,0)-OFFSET(TblExplore[[#This Row],[Land Bonus]],1,0)*20)+15000)))*(1+(mason_bonus*TblConstr[[#This Row],[Tot Mas]]/TblConstr[[#This Row],[Land (2)]]))</f>
        <v>0</v>
      </c>
      <c r="AB107" s="287">
        <f ca="1">walls_forges_cap*(1-EXP(-TblImps[[#This Row],[Σ Forges]]/(walls_forges_param*(OFFSET(TblImps[[#This Row],[Land]],1,0)-OFFSET(TblExplore[[#This Row],[Land Bonus]],1,0)*20)+15000)))*(1+(mason_bonus*TblConstr[[#This Row],[Tot Mas]]/TblConstr[[#This Row],[Land (2)]]))</f>
        <v>0</v>
      </c>
      <c r="AC107" s="287">
        <f ca="1">walls_forges_cap*(1-EXP(-TblImps[[#This Row],[Σ Walls]]/(walls_forges_param*(OFFSET(TblImps[[#This Row],[Land]],1,0)-OFFSET(TblExplore[[#This Row],[Land Bonus]],1,0)*20)+15000)))*(1+(mason_bonus*TblConstr[[#This Row],[Tot Mas]]/TblConstr[[#This Row],[Land (2)]]))</f>
        <v>0</v>
      </c>
      <c r="AD107" s="287">
        <f ca="1">harbor_towers_cap*(1-EXP(-TblImps[[#This Row],[Σ Harbor]]/(harbor_towers_param*(OFFSET(TblImps[[#This Row],[Land]],1,0)-OFFSET(TblExplore[[#This Row],[Land Bonus]],1,0)*20)+15000)))*(1+(mason_bonus*TblConstr[[#This Row],[Tot Mas]]/TblConstr[[#This Row],[Land (2)]]))</f>
        <v>0</v>
      </c>
      <c r="AE107" s="142"/>
      <c r="AF107" s="61">
        <f ca="1">(1+Overview!$I$29)*SUM(TblImps[[#This Row],[P2]:[G2]])+OFFSET(TblImps[[#This Row],[Σ Science]],-1,0)</f>
        <v>0</v>
      </c>
      <c r="AG107" s="61">
        <f ca="1">(1+Overview!$I$29)*SUM(TblImps[[#This Row],[P3]:[G3]])+OFFSET(TblImps[[#This Row],[Σ Keep]],-1,0)</f>
        <v>0</v>
      </c>
      <c r="AH107" s="61">
        <f ca="1">(1+Overview!$I$29 + tech_7_1*TblTech[[#This Row],[7-1]])*SUM(TblImps[[#This Row],[P4]:[G4]])+OFFSET(TblImps[[#This Row],[Σ Spires]],-1,0)</f>
        <v>0</v>
      </c>
      <c r="AI107" s="61">
        <f ca="1">(1+Overview!$I$29)*SUM(TblImps[[#This Row],[P5]:[FW5]])+OFFSET(TblImps[[#This Row],[Σ Forges]],-1,0)</f>
        <v>0</v>
      </c>
      <c r="AJ107" s="61">
        <f ca="1">(1+Overview!$I$29)*SUM(TblImps[[#This Row],[P6]:[G6]])+OFFSET(TblImps[[#This Row],[Σ Walls]],-1,0)</f>
        <v>0</v>
      </c>
      <c r="AK107" s="61">
        <f ca="1">(1+Overview!$I$29 + tech_7_1*TblTech[[#This Row],[7-1]])*SUM(TblImps[[#This Row],[P7]:[G7]])+OFFSET(TblImps[[#This Row],[Σ Harbor]],-1,0)</f>
        <v>0</v>
      </c>
      <c r="AL107" s="142"/>
      <c r="AM107" s="57">
        <f>IF(AND(TblImps[[#This Row],[Resource]]=AM$2,TblImps[[#This Row],[Part]]&lt;&gt;""),TblImps[[#This Row],[Amount]]) + IF(AND(TblImps[[#This Row],[Resource 2]]=AM$2,TblImps[[#This Row],[Part 2]]&lt;&gt;""),TblImps[[#This Row],[Amount 2]]) + IF(AND(TblImps[[#This Row],[Resource 3]]=AM$2,TblImps[[#This Row],[Part 3]]&lt;&gt;""),TblImps[[#This Row],[Amount 3]])</f>
        <v>0</v>
      </c>
      <c r="AN107" s="57">
        <f>IF(AND(TblImps[[#This Row],[Resource]]=AN$2,TblImps[[#This Row],[Part]]&lt;&gt;""),TblImps[[#This Row],[Amount]]) + IF(AND(TblImps[[#This Row],[Resource 2]]=AN$2,TblImps[[#This Row],[Part 2]]&lt;&gt;""),TblImps[[#This Row],[Amount 2]]) + IF(AND(TblImps[[#This Row],[Resource 3]]=AN$2,TblImps[[#This Row],[Part 3]]&lt;&gt;""),TblImps[[#This Row],[Amount 3]])</f>
        <v>0</v>
      </c>
      <c r="AO107" s="57">
        <f>IF(AND(TblImps[[#This Row],[Resource]]=AO$2,TblImps[[#This Row],[Part]]&lt;&gt;""),TblImps[[#This Row],[Amount]]) + IF(AND(TblImps[[#This Row],[Resource 2]]=AO$2,TblImps[[#This Row],[Part 2]]&lt;&gt;""),TblImps[[#This Row],[Amount 2]]) + IF(AND(TblImps[[#This Row],[Resource 3]]=AO$2,TblImps[[#This Row],[Part 3]]&lt;&gt;""),TblImps[[#This Row],[Amount 3]])</f>
        <v>0</v>
      </c>
      <c r="AP107" s="57">
        <f>IF(AND(TblImps[[#This Row],[Resource]]=AP$2,TblImps[[#This Row],[Part]]&lt;&gt;""),TblImps[[#This Row],[Amount]]) + IF(AND(TblImps[[#This Row],[Resource 2]]=AP$2,TblImps[[#This Row],[Part 2]]&lt;&gt;""),TblImps[[#This Row],[Amount 2]]) + IF(AND(TblImps[[#This Row],[Resource 3]]=AP$2,TblImps[[#This Row],[Part 3]]&lt;&gt;""),TblImps[[#This Row],[Amount 3]])</f>
        <v>0</v>
      </c>
      <c r="AQ107" s="142"/>
      <c r="AR10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142"/>
      <c r="AW10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142"/>
      <c r="BB10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142"/>
      <c r="BG10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57">
        <f ca="1">IF(OFFSET(TblMagic[[#This Row],[Active Alchemists Flame]],-1,0)&gt;0,TblConstr[[#This Row],[Tot Alc]]*alchemist_flame_invest,0)</f>
        <v>0</v>
      </c>
      <c r="BL107" s="142"/>
      <c r="BM10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7" s="142"/>
      <c r="BR10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7" s="142"/>
      <c r="BW10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7" s="61">
        <f>TblImps[[#This Row],[Login]]</f>
        <v>0</v>
      </c>
      <c r="BY107" s="137"/>
      <c r="BZ107" s="293">
        <f ca="1">OFFSET(TblImps[[#This Row],[Real time]],-1,0)+1/24</f>
        <v>46324.291666666417</v>
      </c>
      <c r="CA107" s="294">
        <f ca="1">OFFSET(TblImps[[#This Row],[Servertime]],-1,0)+1/24</f>
        <v>46324.291666666417</v>
      </c>
      <c r="CB107" s="57"/>
      <c r="CC107" s="292"/>
      <c r="CD107" s="292"/>
      <c r="CE107" s="45" t="s">
        <v>208</v>
      </c>
    </row>
    <row r="108" spans="1:83" x14ac:dyDescent="0.2">
      <c r="A108" s="214">
        <f ca="1">TblConstr[[#This Row],[Land]]</f>
        <v>50</v>
      </c>
      <c r="B108" s="142"/>
      <c r="C108" s="94">
        <f ca="1">TblProd[[#This Row],[Platinum]]</f>
        <v>202411</v>
      </c>
      <c r="D108" s="94">
        <f ca="1">TblProd[[#This Row],[Lumber]]</f>
        <v>70111</v>
      </c>
      <c r="E108" s="94">
        <f ca="1">TblProd[[#This Row],[Ore]]</f>
        <v>0</v>
      </c>
      <c r="F108" s="94">
        <f ca="1">TblProd[[#This Row],[Gems]]</f>
        <v>0</v>
      </c>
      <c r="G108" s="154"/>
      <c r="H108" s="94">
        <f ca="1">TblMili[[#This Row],[Draftees]]</f>
        <v>604</v>
      </c>
      <c r="I108" s="180">
        <f ca="1">TblPop[[#This Row],[Employment]]</f>
        <v>1</v>
      </c>
      <c r="J108" s="180">
        <f ca="1">TblPop[[#This Row],[Total]]/TblPop[[#This Row],[Net max]]</f>
        <v>1</v>
      </c>
      <c r="K108" s="283">
        <f>TblRezone[[#This Row],[Hour]]</f>
        <v>105</v>
      </c>
      <c r="L108" s="284">
        <f ca="1">TblImps[[#This Row],[Real time]]</f>
        <v>46324.333333333081</v>
      </c>
      <c r="M108" s="61">
        <f>IF(ISERROR(TblImps[[#This Row],[algorithm]]),0,TblImps[[#This Row],[algorithm]]*1)</f>
        <v>0</v>
      </c>
      <c r="N108" s="94">
        <f ca="1">TblImps[[#This Row],[Land]]</f>
        <v>50</v>
      </c>
      <c r="O108" s="285" t="s">
        <v>4</v>
      </c>
      <c r="P108" s="286"/>
      <c r="Q108" s="285" t="s">
        <v>210</v>
      </c>
      <c r="R108" s="285" t="s">
        <v>7</v>
      </c>
      <c r="S108" s="286"/>
      <c r="T108" s="285" t="s">
        <v>210</v>
      </c>
      <c r="U108" s="285" t="s">
        <v>3</v>
      </c>
      <c r="V108" s="286"/>
      <c r="W108" s="285" t="s">
        <v>210</v>
      </c>
      <c r="X108" s="142"/>
      <c r="Y108" s="287">
        <f ca="1">science_cap*(1-EXP(-TblImps[[#This Row],[Σ Science]]/(science_param*(OFFSET(TblImps[[#This Row],[Land]],1,0)-OFFSET(TblExplore[[#This Row],[Land Bonus]],1,0)*20)+15000)))*(1+(mason_bonus*TblConstr[[#This Row],[Tot Mas]]/TblConstr[[#This Row],[Land (2)]]))</f>
        <v>0</v>
      </c>
      <c r="Z108" s="287">
        <f ca="1">keep_cap*(1-EXP(-TblImps[[#This Row],[Σ Keep]]/(keep_param*(OFFSET(TblImps[[#This Row],[Land]],1,0)-OFFSET(TblExplore[[#This Row],[Land Bonus]],1,0)*20)+15000)))*(1+(mason_bonus*TblConstr[[#This Row],[Tot Mas]]/TblConstr[[#This Row],[Land (2)]]))</f>
        <v>0</v>
      </c>
      <c r="AA108" s="287">
        <f ca="1">harbor_towers_cap*(1-EXP(-TblImps[[#This Row],[Σ Spires]]/(towers_param*(OFFSET(TblImps[[#This Row],[Land]],1,0)-OFFSET(TblExplore[[#This Row],[Land Bonus]],1,0)*20)+15000)))*(1+(mason_bonus*TblConstr[[#This Row],[Tot Mas]]/TblConstr[[#This Row],[Land (2)]]))</f>
        <v>0</v>
      </c>
      <c r="AB108" s="287">
        <f ca="1">walls_forges_cap*(1-EXP(-TblImps[[#This Row],[Σ Forges]]/(walls_forges_param*(OFFSET(TblImps[[#This Row],[Land]],1,0)-OFFSET(TblExplore[[#This Row],[Land Bonus]],1,0)*20)+15000)))*(1+(mason_bonus*TblConstr[[#This Row],[Tot Mas]]/TblConstr[[#This Row],[Land (2)]]))</f>
        <v>0</v>
      </c>
      <c r="AC108" s="287">
        <f ca="1">walls_forges_cap*(1-EXP(-TblImps[[#This Row],[Σ Walls]]/(walls_forges_param*(OFFSET(TblImps[[#This Row],[Land]],1,0)-OFFSET(TblExplore[[#This Row],[Land Bonus]],1,0)*20)+15000)))*(1+(mason_bonus*TblConstr[[#This Row],[Tot Mas]]/TblConstr[[#This Row],[Land (2)]]))</f>
        <v>0</v>
      </c>
      <c r="AD108" s="287">
        <f ca="1">harbor_towers_cap*(1-EXP(-TblImps[[#This Row],[Σ Harbor]]/(harbor_towers_param*(OFFSET(TblImps[[#This Row],[Land]],1,0)-OFFSET(TblExplore[[#This Row],[Land Bonus]],1,0)*20)+15000)))*(1+(mason_bonus*TblConstr[[#This Row],[Tot Mas]]/TblConstr[[#This Row],[Land (2)]]))</f>
        <v>0</v>
      </c>
      <c r="AE108" s="142"/>
      <c r="AF108" s="61">
        <f ca="1">(1+Overview!$I$29)*SUM(TblImps[[#This Row],[P2]:[G2]])+OFFSET(TblImps[[#This Row],[Σ Science]],-1,0)</f>
        <v>0</v>
      </c>
      <c r="AG108" s="61">
        <f ca="1">(1+Overview!$I$29)*SUM(TblImps[[#This Row],[P3]:[G3]])+OFFSET(TblImps[[#This Row],[Σ Keep]],-1,0)</f>
        <v>0</v>
      </c>
      <c r="AH108" s="61">
        <f ca="1">(1+Overview!$I$29 + tech_7_1*TblTech[[#This Row],[7-1]])*SUM(TblImps[[#This Row],[P4]:[G4]])+OFFSET(TblImps[[#This Row],[Σ Spires]],-1,0)</f>
        <v>0</v>
      </c>
      <c r="AI108" s="61">
        <f ca="1">(1+Overview!$I$29)*SUM(TblImps[[#This Row],[P5]:[FW5]])+OFFSET(TblImps[[#This Row],[Σ Forges]],-1,0)</f>
        <v>0</v>
      </c>
      <c r="AJ108" s="61">
        <f ca="1">(1+Overview!$I$29)*SUM(TblImps[[#This Row],[P6]:[G6]])+OFFSET(TblImps[[#This Row],[Σ Walls]],-1,0)</f>
        <v>0</v>
      </c>
      <c r="AK108" s="61">
        <f ca="1">(1+Overview!$I$29 + tech_7_1*TblTech[[#This Row],[7-1]])*SUM(TblImps[[#This Row],[P7]:[G7]])+OFFSET(TblImps[[#This Row],[Σ Harbor]],-1,0)</f>
        <v>0</v>
      </c>
      <c r="AL108" s="142"/>
      <c r="AM108" s="57">
        <f>IF(AND(TblImps[[#This Row],[Resource]]=AM$2,TblImps[[#This Row],[Part]]&lt;&gt;""),TblImps[[#This Row],[Amount]]) + IF(AND(TblImps[[#This Row],[Resource 2]]=AM$2,TblImps[[#This Row],[Part 2]]&lt;&gt;""),TblImps[[#This Row],[Amount 2]]) + IF(AND(TblImps[[#This Row],[Resource 3]]=AM$2,TblImps[[#This Row],[Part 3]]&lt;&gt;""),TblImps[[#This Row],[Amount 3]])</f>
        <v>0</v>
      </c>
      <c r="AN108" s="57">
        <f>IF(AND(TblImps[[#This Row],[Resource]]=AN$2,TblImps[[#This Row],[Part]]&lt;&gt;""),TblImps[[#This Row],[Amount]]) + IF(AND(TblImps[[#This Row],[Resource 2]]=AN$2,TblImps[[#This Row],[Part 2]]&lt;&gt;""),TblImps[[#This Row],[Amount 2]]) + IF(AND(TblImps[[#This Row],[Resource 3]]=AN$2,TblImps[[#This Row],[Part 3]]&lt;&gt;""),TblImps[[#This Row],[Amount 3]])</f>
        <v>0</v>
      </c>
      <c r="AO108" s="57">
        <f>IF(AND(TblImps[[#This Row],[Resource]]=AO$2,TblImps[[#This Row],[Part]]&lt;&gt;""),TblImps[[#This Row],[Amount]]) + IF(AND(TblImps[[#This Row],[Resource 2]]=AO$2,TblImps[[#This Row],[Part 2]]&lt;&gt;""),TblImps[[#This Row],[Amount 2]]) + IF(AND(TblImps[[#This Row],[Resource 3]]=AO$2,TblImps[[#This Row],[Part 3]]&lt;&gt;""),TblImps[[#This Row],[Amount 3]])</f>
        <v>0</v>
      </c>
      <c r="AP108" s="57">
        <f>IF(AND(TblImps[[#This Row],[Resource]]=AP$2,TblImps[[#This Row],[Part]]&lt;&gt;""),TblImps[[#This Row],[Amount]]) + IF(AND(TblImps[[#This Row],[Resource 2]]=AP$2,TblImps[[#This Row],[Part 2]]&lt;&gt;""),TblImps[[#This Row],[Amount 2]]) + IF(AND(TblImps[[#This Row],[Resource 3]]=AP$2,TblImps[[#This Row],[Part 3]]&lt;&gt;""),TblImps[[#This Row],[Amount 3]])</f>
        <v>0</v>
      </c>
      <c r="AQ108" s="142"/>
      <c r="AR10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142"/>
      <c r="AW10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142"/>
      <c r="BB10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142"/>
      <c r="BG10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57">
        <f ca="1">IF(OFFSET(TblMagic[[#This Row],[Active Alchemists Flame]],-1,0)&gt;0,TblConstr[[#This Row],[Tot Alc]]*alchemist_flame_invest,0)</f>
        <v>0</v>
      </c>
      <c r="BL108" s="142"/>
      <c r="BM10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8" s="142"/>
      <c r="BR10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8" s="142"/>
      <c r="BW10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8" s="61">
        <f>TblImps[[#This Row],[Login]]</f>
        <v>0</v>
      </c>
      <c r="BY108" s="137"/>
      <c r="BZ108" s="293">
        <f ca="1">OFFSET(TblImps[[#This Row],[Real time]],-1,0)+1/24</f>
        <v>46324.333333333081</v>
      </c>
      <c r="CA108" s="294">
        <f ca="1">OFFSET(TblImps[[#This Row],[Servertime]],-1,0)+1/24</f>
        <v>46324.333333333081</v>
      </c>
      <c r="CB108" s="57"/>
      <c r="CC108" s="292"/>
      <c r="CD108" s="292"/>
      <c r="CE108" s="45" t="s">
        <v>210</v>
      </c>
    </row>
    <row r="109" spans="1:83" x14ac:dyDescent="0.2">
      <c r="A109" s="214">
        <f ca="1">TblConstr[[#This Row],[Land]]</f>
        <v>50</v>
      </c>
      <c r="B109" s="142"/>
      <c r="C109" s="94">
        <f ca="1">TblProd[[#This Row],[Platinum]]</f>
        <v>202856</v>
      </c>
      <c r="D109" s="94">
        <f ca="1">TblProd[[#This Row],[Lumber]]</f>
        <v>70410</v>
      </c>
      <c r="E109" s="94">
        <f ca="1">TblProd[[#This Row],[Ore]]</f>
        <v>0</v>
      </c>
      <c r="F109" s="94">
        <f ca="1">TblProd[[#This Row],[Gems]]</f>
        <v>0</v>
      </c>
      <c r="G109" s="154"/>
      <c r="H109" s="94">
        <f ca="1">TblMili[[#This Row],[Draftees]]</f>
        <v>606</v>
      </c>
      <c r="I109" s="180">
        <f ca="1">TblPop[[#This Row],[Employment]]</f>
        <v>1</v>
      </c>
      <c r="J109" s="180">
        <f ca="1">TblPop[[#This Row],[Total]]/TblPop[[#This Row],[Net max]]</f>
        <v>1</v>
      </c>
      <c r="K109" s="283">
        <f>TblRezone[[#This Row],[Hour]]</f>
        <v>106</v>
      </c>
      <c r="L109" s="284">
        <f ca="1">TblImps[[#This Row],[Real time]]</f>
        <v>46324.374999999745</v>
      </c>
      <c r="M109" s="61">
        <f>IF(ISERROR(TblImps[[#This Row],[algorithm]]),0,TblImps[[#This Row],[algorithm]]*1)</f>
        <v>0</v>
      </c>
      <c r="N109" s="94">
        <f ca="1">TblImps[[#This Row],[Land]]</f>
        <v>50</v>
      </c>
      <c r="O109" s="285" t="s">
        <v>4</v>
      </c>
      <c r="P109" s="286"/>
      <c r="Q109" s="285" t="s">
        <v>210</v>
      </c>
      <c r="R109" s="285" t="s">
        <v>7</v>
      </c>
      <c r="S109" s="286"/>
      <c r="T109" s="285" t="s">
        <v>210</v>
      </c>
      <c r="U109" s="285" t="s">
        <v>3</v>
      </c>
      <c r="V109" s="286"/>
      <c r="W109" s="285" t="s">
        <v>210</v>
      </c>
      <c r="X109" s="142"/>
      <c r="Y109" s="287">
        <f ca="1">science_cap*(1-EXP(-TblImps[[#This Row],[Σ Science]]/(science_param*(OFFSET(TblImps[[#This Row],[Land]],1,0)-OFFSET(TblExplore[[#This Row],[Land Bonus]],1,0)*20)+15000)))*(1+(mason_bonus*TblConstr[[#This Row],[Tot Mas]]/TblConstr[[#This Row],[Land (2)]]))</f>
        <v>0</v>
      </c>
      <c r="Z109" s="287">
        <f ca="1">keep_cap*(1-EXP(-TblImps[[#This Row],[Σ Keep]]/(keep_param*(OFFSET(TblImps[[#This Row],[Land]],1,0)-OFFSET(TblExplore[[#This Row],[Land Bonus]],1,0)*20)+15000)))*(1+(mason_bonus*TblConstr[[#This Row],[Tot Mas]]/TblConstr[[#This Row],[Land (2)]]))</f>
        <v>0</v>
      </c>
      <c r="AA109" s="287">
        <f ca="1">harbor_towers_cap*(1-EXP(-TblImps[[#This Row],[Σ Spires]]/(towers_param*(OFFSET(TblImps[[#This Row],[Land]],1,0)-OFFSET(TblExplore[[#This Row],[Land Bonus]],1,0)*20)+15000)))*(1+(mason_bonus*TblConstr[[#This Row],[Tot Mas]]/TblConstr[[#This Row],[Land (2)]]))</f>
        <v>0</v>
      </c>
      <c r="AB109" s="287">
        <f ca="1">walls_forges_cap*(1-EXP(-TblImps[[#This Row],[Σ Forges]]/(walls_forges_param*(OFFSET(TblImps[[#This Row],[Land]],1,0)-OFFSET(TblExplore[[#This Row],[Land Bonus]],1,0)*20)+15000)))*(1+(mason_bonus*TblConstr[[#This Row],[Tot Mas]]/TblConstr[[#This Row],[Land (2)]]))</f>
        <v>0</v>
      </c>
      <c r="AC109" s="287">
        <f ca="1">walls_forges_cap*(1-EXP(-TblImps[[#This Row],[Σ Walls]]/(walls_forges_param*(OFFSET(TblImps[[#This Row],[Land]],1,0)-OFFSET(TblExplore[[#This Row],[Land Bonus]],1,0)*20)+15000)))*(1+(mason_bonus*TblConstr[[#This Row],[Tot Mas]]/TblConstr[[#This Row],[Land (2)]]))</f>
        <v>0</v>
      </c>
      <c r="AD109" s="287">
        <f ca="1">harbor_towers_cap*(1-EXP(-TblImps[[#This Row],[Σ Harbor]]/(harbor_towers_param*(OFFSET(TblImps[[#This Row],[Land]],1,0)-OFFSET(TblExplore[[#This Row],[Land Bonus]],1,0)*20)+15000)))*(1+(mason_bonus*TblConstr[[#This Row],[Tot Mas]]/TblConstr[[#This Row],[Land (2)]]))</f>
        <v>0</v>
      </c>
      <c r="AE109" s="142"/>
      <c r="AF109" s="61">
        <f ca="1">(1+Overview!$I$29)*SUM(TblImps[[#This Row],[P2]:[G2]])+OFFSET(TblImps[[#This Row],[Σ Science]],-1,0)</f>
        <v>0</v>
      </c>
      <c r="AG109" s="61">
        <f ca="1">(1+Overview!$I$29)*SUM(TblImps[[#This Row],[P3]:[G3]])+OFFSET(TblImps[[#This Row],[Σ Keep]],-1,0)</f>
        <v>0</v>
      </c>
      <c r="AH109" s="61">
        <f ca="1">(1+Overview!$I$29 + tech_7_1*TblTech[[#This Row],[7-1]])*SUM(TblImps[[#This Row],[P4]:[G4]])+OFFSET(TblImps[[#This Row],[Σ Spires]],-1,0)</f>
        <v>0</v>
      </c>
      <c r="AI109" s="61">
        <f ca="1">(1+Overview!$I$29)*SUM(TblImps[[#This Row],[P5]:[FW5]])+OFFSET(TblImps[[#This Row],[Σ Forges]],-1,0)</f>
        <v>0</v>
      </c>
      <c r="AJ109" s="61">
        <f ca="1">(1+Overview!$I$29)*SUM(TblImps[[#This Row],[P6]:[G6]])+OFFSET(TblImps[[#This Row],[Σ Walls]],-1,0)</f>
        <v>0</v>
      </c>
      <c r="AK109" s="61">
        <f ca="1">(1+Overview!$I$29 + tech_7_1*TblTech[[#This Row],[7-1]])*SUM(TblImps[[#This Row],[P7]:[G7]])+OFFSET(TblImps[[#This Row],[Σ Harbor]],-1,0)</f>
        <v>0</v>
      </c>
      <c r="AL109" s="142"/>
      <c r="AM109" s="57">
        <f>IF(AND(TblImps[[#This Row],[Resource]]=AM$2,TblImps[[#This Row],[Part]]&lt;&gt;""),TblImps[[#This Row],[Amount]]) + IF(AND(TblImps[[#This Row],[Resource 2]]=AM$2,TblImps[[#This Row],[Part 2]]&lt;&gt;""),TblImps[[#This Row],[Amount 2]]) + IF(AND(TblImps[[#This Row],[Resource 3]]=AM$2,TblImps[[#This Row],[Part 3]]&lt;&gt;""),TblImps[[#This Row],[Amount 3]])</f>
        <v>0</v>
      </c>
      <c r="AN109" s="57">
        <f>IF(AND(TblImps[[#This Row],[Resource]]=AN$2,TblImps[[#This Row],[Part]]&lt;&gt;""),TblImps[[#This Row],[Amount]]) + IF(AND(TblImps[[#This Row],[Resource 2]]=AN$2,TblImps[[#This Row],[Part 2]]&lt;&gt;""),TblImps[[#This Row],[Amount 2]]) + IF(AND(TblImps[[#This Row],[Resource 3]]=AN$2,TblImps[[#This Row],[Part 3]]&lt;&gt;""),TblImps[[#This Row],[Amount 3]])</f>
        <v>0</v>
      </c>
      <c r="AO109" s="57">
        <f>IF(AND(TblImps[[#This Row],[Resource]]=AO$2,TblImps[[#This Row],[Part]]&lt;&gt;""),TblImps[[#This Row],[Amount]]) + IF(AND(TblImps[[#This Row],[Resource 2]]=AO$2,TblImps[[#This Row],[Part 2]]&lt;&gt;""),TblImps[[#This Row],[Amount 2]]) + IF(AND(TblImps[[#This Row],[Resource 3]]=AO$2,TblImps[[#This Row],[Part 3]]&lt;&gt;""),TblImps[[#This Row],[Amount 3]])</f>
        <v>0</v>
      </c>
      <c r="AP109" s="57">
        <f>IF(AND(TblImps[[#This Row],[Resource]]=AP$2,TblImps[[#This Row],[Part]]&lt;&gt;""),TblImps[[#This Row],[Amount]]) + IF(AND(TblImps[[#This Row],[Resource 2]]=AP$2,TblImps[[#This Row],[Part 2]]&lt;&gt;""),TblImps[[#This Row],[Amount 2]]) + IF(AND(TblImps[[#This Row],[Resource 3]]=AP$2,TblImps[[#This Row],[Part 3]]&lt;&gt;""),TblImps[[#This Row],[Amount 3]])</f>
        <v>0</v>
      </c>
      <c r="AQ109" s="142"/>
      <c r="AR10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142"/>
      <c r="AW10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142"/>
      <c r="BB10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142"/>
      <c r="BG10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57">
        <f ca="1">IF(OFFSET(TblMagic[[#This Row],[Active Alchemists Flame]],-1,0)&gt;0,TblConstr[[#This Row],[Tot Alc]]*alchemist_flame_invest,0)</f>
        <v>0</v>
      </c>
      <c r="BL109" s="142"/>
      <c r="BM10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9" s="142"/>
      <c r="BR10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9" s="142"/>
      <c r="BW10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9" s="61">
        <f>TblImps[[#This Row],[Login]]</f>
        <v>0</v>
      </c>
      <c r="BY109" s="137"/>
      <c r="BZ109" s="293">
        <f ca="1">OFFSET(TblImps[[#This Row],[Real time]],-1,0)+1/24</f>
        <v>46324.374999999745</v>
      </c>
      <c r="CA109" s="294">
        <f ca="1">OFFSET(TblImps[[#This Row],[Servertime]],-1,0)+1/24</f>
        <v>46324.374999999745</v>
      </c>
      <c r="CB109" s="57"/>
      <c r="CC109" s="292"/>
      <c r="CD109" s="292"/>
      <c r="CE109" s="45" t="s">
        <v>211</v>
      </c>
    </row>
    <row r="110" spans="1:83" x14ac:dyDescent="0.2">
      <c r="A110" s="214">
        <f ca="1">TblConstr[[#This Row],[Land]]</f>
        <v>50</v>
      </c>
      <c r="B110" s="142"/>
      <c r="C110" s="94">
        <f ca="1">TblProd[[#This Row],[Platinum]]</f>
        <v>203296</v>
      </c>
      <c r="D110" s="94">
        <f ca="1">TblProd[[#This Row],[Lumber]]</f>
        <v>70706</v>
      </c>
      <c r="E110" s="94">
        <f ca="1">TblProd[[#This Row],[Ore]]</f>
        <v>0</v>
      </c>
      <c r="F110" s="94">
        <f ca="1">TblProd[[#This Row],[Gems]]</f>
        <v>0</v>
      </c>
      <c r="G110" s="154"/>
      <c r="H110" s="94">
        <f ca="1">TblMili[[#This Row],[Draftees]]</f>
        <v>608</v>
      </c>
      <c r="I110" s="180">
        <f ca="1">TblPop[[#This Row],[Employment]]</f>
        <v>1</v>
      </c>
      <c r="J110" s="180">
        <f ca="1">TblPop[[#This Row],[Total]]/TblPop[[#This Row],[Net max]]</f>
        <v>1</v>
      </c>
      <c r="K110" s="283">
        <f>TblRezone[[#This Row],[Hour]]</f>
        <v>107</v>
      </c>
      <c r="L110" s="284">
        <f ca="1">TblImps[[#This Row],[Real time]]</f>
        <v>46324.41666666641</v>
      </c>
      <c r="M110" s="61">
        <f>IF(ISERROR(TblImps[[#This Row],[algorithm]]),0,TblImps[[#This Row],[algorithm]]*1)</f>
        <v>0</v>
      </c>
      <c r="N110" s="94">
        <f ca="1">TblImps[[#This Row],[Land]]</f>
        <v>50</v>
      </c>
      <c r="O110" s="285" t="s">
        <v>4</v>
      </c>
      <c r="P110" s="286"/>
      <c r="Q110" s="285" t="s">
        <v>210</v>
      </c>
      <c r="R110" s="285" t="s">
        <v>7</v>
      </c>
      <c r="S110" s="286"/>
      <c r="T110" s="285" t="s">
        <v>210</v>
      </c>
      <c r="U110" s="285" t="s">
        <v>3</v>
      </c>
      <c r="V110" s="286"/>
      <c r="W110" s="285" t="s">
        <v>210</v>
      </c>
      <c r="X110" s="142"/>
      <c r="Y110" s="287">
        <f ca="1">science_cap*(1-EXP(-TblImps[[#This Row],[Σ Science]]/(science_param*(OFFSET(TblImps[[#This Row],[Land]],1,0)-OFFSET(TblExplore[[#This Row],[Land Bonus]],1,0)*20)+15000)))*(1+(mason_bonus*TblConstr[[#This Row],[Tot Mas]]/TblConstr[[#This Row],[Land (2)]]))</f>
        <v>0</v>
      </c>
      <c r="Z110" s="287">
        <f ca="1">keep_cap*(1-EXP(-TblImps[[#This Row],[Σ Keep]]/(keep_param*(OFFSET(TblImps[[#This Row],[Land]],1,0)-OFFSET(TblExplore[[#This Row],[Land Bonus]],1,0)*20)+15000)))*(1+(mason_bonus*TblConstr[[#This Row],[Tot Mas]]/TblConstr[[#This Row],[Land (2)]]))</f>
        <v>0</v>
      </c>
      <c r="AA110" s="287">
        <f ca="1">harbor_towers_cap*(1-EXP(-TblImps[[#This Row],[Σ Spires]]/(towers_param*(OFFSET(TblImps[[#This Row],[Land]],1,0)-OFFSET(TblExplore[[#This Row],[Land Bonus]],1,0)*20)+15000)))*(1+(mason_bonus*TblConstr[[#This Row],[Tot Mas]]/TblConstr[[#This Row],[Land (2)]]))</f>
        <v>0</v>
      </c>
      <c r="AB110" s="287">
        <f ca="1">walls_forges_cap*(1-EXP(-TblImps[[#This Row],[Σ Forges]]/(walls_forges_param*(OFFSET(TblImps[[#This Row],[Land]],1,0)-OFFSET(TblExplore[[#This Row],[Land Bonus]],1,0)*20)+15000)))*(1+(mason_bonus*TblConstr[[#This Row],[Tot Mas]]/TblConstr[[#This Row],[Land (2)]]))</f>
        <v>0</v>
      </c>
      <c r="AC110" s="287">
        <f ca="1">walls_forges_cap*(1-EXP(-TblImps[[#This Row],[Σ Walls]]/(walls_forges_param*(OFFSET(TblImps[[#This Row],[Land]],1,0)-OFFSET(TblExplore[[#This Row],[Land Bonus]],1,0)*20)+15000)))*(1+(mason_bonus*TblConstr[[#This Row],[Tot Mas]]/TblConstr[[#This Row],[Land (2)]]))</f>
        <v>0</v>
      </c>
      <c r="AD110" s="287">
        <f ca="1">harbor_towers_cap*(1-EXP(-TblImps[[#This Row],[Σ Harbor]]/(harbor_towers_param*(OFFSET(TblImps[[#This Row],[Land]],1,0)-OFFSET(TblExplore[[#This Row],[Land Bonus]],1,0)*20)+15000)))*(1+(mason_bonus*TblConstr[[#This Row],[Tot Mas]]/TblConstr[[#This Row],[Land (2)]]))</f>
        <v>0</v>
      </c>
      <c r="AE110" s="142"/>
      <c r="AF110" s="61">
        <f ca="1">(1+Overview!$I$29)*SUM(TblImps[[#This Row],[P2]:[G2]])+OFFSET(TblImps[[#This Row],[Σ Science]],-1,0)</f>
        <v>0</v>
      </c>
      <c r="AG110" s="61">
        <f ca="1">(1+Overview!$I$29)*SUM(TblImps[[#This Row],[P3]:[G3]])+OFFSET(TblImps[[#This Row],[Σ Keep]],-1,0)</f>
        <v>0</v>
      </c>
      <c r="AH110" s="61">
        <f ca="1">(1+Overview!$I$29 + tech_7_1*TblTech[[#This Row],[7-1]])*SUM(TblImps[[#This Row],[P4]:[G4]])+OFFSET(TblImps[[#This Row],[Σ Spires]],-1,0)</f>
        <v>0</v>
      </c>
      <c r="AI110" s="61">
        <f ca="1">(1+Overview!$I$29)*SUM(TblImps[[#This Row],[P5]:[FW5]])+OFFSET(TblImps[[#This Row],[Σ Forges]],-1,0)</f>
        <v>0</v>
      </c>
      <c r="AJ110" s="61">
        <f ca="1">(1+Overview!$I$29)*SUM(TblImps[[#This Row],[P6]:[G6]])+OFFSET(TblImps[[#This Row],[Σ Walls]],-1,0)</f>
        <v>0</v>
      </c>
      <c r="AK110" s="61">
        <f ca="1">(1+Overview!$I$29 + tech_7_1*TblTech[[#This Row],[7-1]])*SUM(TblImps[[#This Row],[P7]:[G7]])+OFFSET(TblImps[[#This Row],[Σ Harbor]],-1,0)</f>
        <v>0</v>
      </c>
      <c r="AL110" s="142"/>
      <c r="AM110" s="57">
        <f>IF(AND(TblImps[[#This Row],[Resource]]=AM$2,TblImps[[#This Row],[Part]]&lt;&gt;""),TblImps[[#This Row],[Amount]]) + IF(AND(TblImps[[#This Row],[Resource 2]]=AM$2,TblImps[[#This Row],[Part 2]]&lt;&gt;""),TblImps[[#This Row],[Amount 2]]) + IF(AND(TblImps[[#This Row],[Resource 3]]=AM$2,TblImps[[#This Row],[Part 3]]&lt;&gt;""),TblImps[[#This Row],[Amount 3]])</f>
        <v>0</v>
      </c>
      <c r="AN110" s="57">
        <f>IF(AND(TblImps[[#This Row],[Resource]]=AN$2,TblImps[[#This Row],[Part]]&lt;&gt;""),TblImps[[#This Row],[Amount]]) + IF(AND(TblImps[[#This Row],[Resource 2]]=AN$2,TblImps[[#This Row],[Part 2]]&lt;&gt;""),TblImps[[#This Row],[Amount 2]]) + IF(AND(TblImps[[#This Row],[Resource 3]]=AN$2,TblImps[[#This Row],[Part 3]]&lt;&gt;""),TblImps[[#This Row],[Amount 3]])</f>
        <v>0</v>
      </c>
      <c r="AO110" s="57">
        <f>IF(AND(TblImps[[#This Row],[Resource]]=AO$2,TblImps[[#This Row],[Part]]&lt;&gt;""),TblImps[[#This Row],[Amount]]) + IF(AND(TblImps[[#This Row],[Resource 2]]=AO$2,TblImps[[#This Row],[Part 2]]&lt;&gt;""),TblImps[[#This Row],[Amount 2]]) + IF(AND(TblImps[[#This Row],[Resource 3]]=AO$2,TblImps[[#This Row],[Part 3]]&lt;&gt;""),TblImps[[#This Row],[Amount 3]])</f>
        <v>0</v>
      </c>
      <c r="AP110" s="57">
        <f>IF(AND(TblImps[[#This Row],[Resource]]=AP$2,TblImps[[#This Row],[Part]]&lt;&gt;""),TblImps[[#This Row],[Amount]]) + IF(AND(TblImps[[#This Row],[Resource 2]]=AP$2,TblImps[[#This Row],[Part 2]]&lt;&gt;""),TblImps[[#This Row],[Amount 2]]) + IF(AND(TblImps[[#This Row],[Resource 3]]=AP$2,TblImps[[#This Row],[Part 3]]&lt;&gt;""),TblImps[[#This Row],[Amount 3]])</f>
        <v>0</v>
      </c>
      <c r="AQ110" s="142"/>
      <c r="AR1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142"/>
      <c r="AW1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142"/>
      <c r="BB1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142"/>
      <c r="BG1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57">
        <f ca="1">IF(OFFSET(TblMagic[[#This Row],[Active Alchemists Flame]],-1,0)&gt;0,TblConstr[[#This Row],[Tot Alc]]*alchemist_flame_invest,0)</f>
        <v>0</v>
      </c>
      <c r="BL110" s="142"/>
      <c r="BM11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0" s="142"/>
      <c r="BR11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0" s="142"/>
      <c r="BW1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0" s="61">
        <f>TblImps[[#This Row],[Login]]</f>
        <v>0</v>
      </c>
      <c r="BY110" s="137"/>
      <c r="BZ110" s="293">
        <f ca="1">OFFSET(TblImps[[#This Row],[Real time]],-1,0)+1/24</f>
        <v>46324.41666666641</v>
      </c>
      <c r="CA110" s="294">
        <f ca="1">OFFSET(TblImps[[#This Row],[Servertime]],-1,0)+1/24</f>
        <v>46324.41666666641</v>
      </c>
      <c r="CB110" s="57"/>
      <c r="CC110" s="292"/>
      <c r="CD110" s="292"/>
      <c r="CE110" s="45" t="s">
        <v>212</v>
      </c>
    </row>
    <row r="111" spans="1:83" x14ac:dyDescent="0.2">
      <c r="A111" s="214">
        <f ca="1">TblConstr[[#This Row],[Land]]</f>
        <v>50</v>
      </c>
      <c r="B111" s="142"/>
      <c r="C111" s="94">
        <f ca="1">TblProd[[#This Row],[Platinum]]</f>
        <v>203730</v>
      </c>
      <c r="D111" s="94">
        <f ca="1">TblProd[[#This Row],[Lumber]]</f>
        <v>70999</v>
      </c>
      <c r="E111" s="94">
        <f ca="1">TblProd[[#This Row],[Ore]]</f>
        <v>0</v>
      </c>
      <c r="F111" s="94">
        <f ca="1">TblProd[[#This Row],[Gems]]</f>
        <v>0</v>
      </c>
      <c r="G111" s="154"/>
      <c r="H111" s="94">
        <f ca="1">TblMili[[#This Row],[Draftees]]</f>
        <v>610</v>
      </c>
      <c r="I111" s="180">
        <f ca="1">TblPop[[#This Row],[Employment]]</f>
        <v>1</v>
      </c>
      <c r="J111" s="180">
        <f ca="1">TblPop[[#This Row],[Total]]/TblPop[[#This Row],[Net max]]</f>
        <v>1</v>
      </c>
      <c r="K111" s="283">
        <f>TblRezone[[#This Row],[Hour]]</f>
        <v>108</v>
      </c>
      <c r="L111" s="284">
        <f ca="1">TblImps[[#This Row],[Real time]]</f>
        <v>46324.458333333074</v>
      </c>
      <c r="M111" s="61">
        <f>IF(ISERROR(TblImps[[#This Row],[algorithm]]),0,TblImps[[#This Row],[algorithm]]*1)</f>
        <v>0</v>
      </c>
      <c r="N111" s="94">
        <f ca="1">TblImps[[#This Row],[Land]]</f>
        <v>50</v>
      </c>
      <c r="O111" s="285" t="s">
        <v>4</v>
      </c>
      <c r="P111" s="286"/>
      <c r="Q111" s="285" t="s">
        <v>210</v>
      </c>
      <c r="R111" s="285" t="s">
        <v>7</v>
      </c>
      <c r="S111" s="286"/>
      <c r="T111" s="285" t="s">
        <v>210</v>
      </c>
      <c r="U111" s="285" t="s">
        <v>3</v>
      </c>
      <c r="V111" s="286"/>
      <c r="W111" s="285" t="s">
        <v>210</v>
      </c>
      <c r="X111" s="142"/>
      <c r="Y111" s="287">
        <f ca="1">science_cap*(1-EXP(-TblImps[[#This Row],[Σ Science]]/(science_param*(OFFSET(TblImps[[#This Row],[Land]],1,0)-OFFSET(TblExplore[[#This Row],[Land Bonus]],1,0)*20)+15000)))*(1+(mason_bonus*TblConstr[[#This Row],[Tot Mas]]/TblConstr[[#This Row],[Land (2)]]))</f>
        <v>0</v>
      </c>
      <c r="Z111" s="287">
        <f ca="1">keep_cap*(1-EXP(-TblImps[[#This Row],[Σ Keep]]/(keep_param*(OFFSET(TblImps[[#This Row],[Land]],1,0)-OFFSET(TblExplore[[#This Row],[Land Bonus]],1,0)*20)+15000)))*(1+(mason_bonus*TblConstr[[#This Row],[Tot Mas]]/TblConstr[[#This Row],[Land (2)]]))</f>
        <v>0</v>
      </c>
      <c r="AA111" s="287">
        <f ca="1">harbor_towers_cap*(1-EXP(-TblImps[[#This Row],[Σ Spires]]/(towers_param*(OFFSET(TblImps[[#This Row],[Land]],1,0)-OFFSET(TblExplore[[#This Row],[Land Bonus]],1,0)*20)+15000)))*(1+(mason_bonus*TblConstr[[#This Row],[Tot Mas]]/TblConstr[[#This Row],[Land (2)]]))</f>
        <v>0</v>
      </c>
      <c r="AB111" s="287">
        <f ca="1">walls_forges_cap*(1-EXP(-TblImps[[#This Row],[Σ Forges]]/(walls_forges_param*(OFFSET(TblImps[[#This Row],[Land]],1,0)-OFFSET(TblExplore[[#This Row],[Land Bonus]],1,0)*20)+15000)))*(1+(mason_bonus*TblConstr[[#This Row],[Tot Mas]]/TblConstr[[#This Row],[Land (2)]]))</f>
        <v>0</v>
      </c>
      <c r="AC111" s="287">
        <f ca="1">walls_forges_cap*(1-EXP(-TblImps[[#This Row],[Σ Walls]]/(walls_forges_param*(OFFSET(TblImps[[#This Row],[Land]],1,0)-OFFSET(TblExplore[[#This Row],[Land Bonus]],1,0)*20)+15000)))*(1+(mason_bonus*TblConstr[[#This Row],[Tot Mas]]/TblConstr[[#This Row],[Land (2)]]))</f>
        <v>0</v>
      </c>
      <c r="AD111" s="287">
        <f ca="1">harbor_towers_cap*(1-EXP(-TblImps[[#This Row],[Σ Harbor]]/(harbor_towers_param*(OFFSET(TblImps[[#This Row],[Land]],1,0)-OFFSET(TblExplore[[#This Row],[Land Bonus]],1,0)*20)+15000)))*(1+(mason_bonus*TblConstr[[#This Row],[Tot Mas]]/TblConstr[[#This Row],[Land (2)]]))</f>
        <v>0</v>
      </c>
      <c r="AE111" s="142"/>
      <c r="AF111" s="61">
        <f ca="1">(1+Overview!$I$29)*SUM(TblImps[[#This Row],[P2]:[G2]])+OFFSET(TblImps[[#This Row],[Σ Science]],-1,0)</f>
        <v>0</v>
      </c>
      <c r="AG111" s="61">
        <f ca="1">(1+Overview!$I$29)*SUM(TblImps[[#This Row],[P3]:[G3]])+OFFSET(TblImps[[#This Row],[Σ Keep]],-1,0)</f>
        <v>0</v>
      </c>
      <c r="AH111" s="61">
        <f ca="1">(1+Overview!$I$29 + tech_7_1*TblTech[[#This Row],[7-1]])*SUM(TblImps[[#This Row],[P4]:[G4]])+OFFSET(TblImps[[#This Row],[Σ Spires]],-1,0)</f>
        <v>0</v>
      </c>
      <c r="AI111" s="61">
        <f ca="1">(1+Overview!$I$29)*SUM(TblImps[[#This Row],[P5]:[FW5]])+OFFSET(TblImps[[#This Row],[Σ Forges]],-1,0)</f>
        <v>0</v>
      </c>
      <c r="AJ111" s="61">
        <f ca="1">(1+Overview!$I$29)*SUM(TblImps[[#This Row],[P6]:[G6]])+OFFSET(TblImps[[#This Row],[Σ Walls]],-1,0)</f>
        <v>0</v>
      </c>
      <c r="AK111" s="61">
        <f ca="1">(1+Overview!$I$29 + tech_7_1*TblTech[[#This Row],[7-1]])*SUM(TblImps[[#This Row],[P7]:[G7]])+OFFSET(TblImps[[#This Row],[Σ Harbor]],-1,0)</f>
        <v>0</v>
      </c>
      <c r="AL111" s="142"/>
      <c r="AM111" s="57">
        <f>IF(AND(TblImps[[#This Row],[Resource]]=AM$2,TblImps[[#This Row],[Part]]&lt;&gt;""),TblImps[[#This Row],[Amount]]) + IF(AND(TblImps[[#This Row],[Resource 2]]=AM$2,TblImps[[#This Row],[Part 2]]&lt;&gt;""),TblImps[[#This Row],[Amount 2]]) + IF(AND(TblImps[[#This Row],[Resource 3]]=AM$2,TblImps[[#This Row],[Part 3]]&lt;&gt;""),TblImps[[#This Row],[Amount 3]])</f>
        <v>0</v>
      </c>
      <c r="AN111" s="57">
        <f>IF(AND(TblImps[[#This Row],[Resource]]=AN$2,TblImps[[#This Row],[Part]]&lt;&gt;""),TblImps[[#This Row],[Amount]]) + IF(AND(TblImps[[#This Row],[Resource 2]]=AN$2,TblImps[[#This Row],[Part 2]]&lt;&gt;""),TblImps[[#This Row],[Amount 2]]) + IF(AND(TblImps[[#This Row],[Resource 3]]=AN$2,TblImps[[#This Row],[Part 3]]&lt;&gt;""),TblImps[[#This Row],[Amount 3]])</f>
        <v>0</v>
      </c>
      <c r="AO111" s="57">
        <f>IF(AND(TblImps[[#This Row],[Resource]]=AO$2,TblImps[[#This Row],[Part]]&lt;&gt;""),TblImps[[#This Row],[Amount]]) + IF(AND(TblImps[[#This Row],[Resource 2]]=AO$2,TblImps[[#This Row],[Part 2]]&lt;&gt;""),TblImps[[#This Row],[Amount 2]]) + IF(AND(TblImps[[#This Row],[Resource 3]]=AO$2,TblImps[[#This Row],[Part 3]]&lt;&gt;""),TblImps[[#This Row],[Amount 3]])</f>
        <v>0</v>
      </c>
      <c r="AP111" s="57">
        <f>IF(AND(TblImps[[#This Row],[Resource]]=AP$2,TblImps[[#This Row],[Part]]&lt;&gt;""),TblImps[[#This Row],[Amount]]) + IF(AND(TblImps[[#This Row],[Resource 2]]=AP$2,TblImps[[#This Row],[Part 2]]&lt;&gt;""),TblImps[[#This Row],[Amount 2]]) + IF(AND(TblImps[[#This Row],[Resource 3]]=AP$2,TblImps[[#This Row],[Part 3]]&lt;&gt;""),TblImps[[#This Row],[Amount 3]])</f>
        <v>0</v>
      </c>
      <c r="AQ111" s="142"/>
      <c r="AR1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142"/>
      <c r="AW1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142"/>
      <c r="BB1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142"/>
      <c r="BG1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57">
        <f ca="1">IF(OFFSET(TblMagic[[#This Row],[Active Alchemists Flame]],-1,0)&gt;0,TblConstr[[#This Row],[Tot Alc]]*alchemist_flame_invest,0)</f>
        <v>0</v>
      </c>
      <c r="BL111" s="142"/>
      <c r="BM11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1" s="142"/>
      <c r="BR11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1" s="142"/>
      <c r="BW1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1" s="61">
        <f>TblImps[[#This Row],[Login]]</f>
        <v>0</v>
      </c>
      <c r="BY111" s="137"/>
      <c r="BZ111" s="293">
        <f ca="1">OFFSET(TblImps[[#This Row],[Real time]],-1,0)+1/24</f>
        <v>46324.458333333074</v>
      </c>
      <c r="CA111" s="294">
        <f ca="1">OFFSET(TblImps[[#This Row],[Servertime]],-1,0)+1/24</f>
        <v>46324.458333333074</v>
      </c>
      <c r="CB111" s="57"/>
      <c r="CC111" s="292"/>
      <c r="CD111" s="292"/>
      <c r="CE111" s="45" t="s">
        <v>213</v>
      </c>
    </row>
    <row r="112" spans="1:83" x14ac:dyDescent="0.2">
      <c r="A112" s="214">
        <f ca="1">TblConstr[[#This Row],[Land]]</f>
        <v>50</v>
      </c>
      <c r="B112" s="142"/>
      <c r="C112" s="94">
        <f ca="1">TblProd[[#This Row],[Platinum]]</f>
        <v>204159</v>
      </c>
      <c r="D112" s="94">
        <f ca="1">TblProd[[#This Row],[Lumber]]</f>
        <v>71289</v>
      </c>
      <c r="E112" s="94">
        <f ca="1">TblProd[[#This Row],[Ore]]</f>
        <v>0</v>
      </c>
      <c r="F112" s="94">
        <f ca="1">TblProd[[#This Row],[Gems]]</f>
        <v>0</v>
      </c>
      <c r="G112" s="154"/>
      <c r="H112" s="94">
        <f ca="1">TblMili[[#This Row],[Draftees]]</f>
        <v>612</v>
      </c>
      <c r="I112" s="180">
        <f ca="1">TblPop[[#This Row],[Employment]]</f>
        <v>1</v>
      </c>
      <c r="J112" s="180">
        <f ca="1">TblPop[[#This Row],[Total]]/TblPop[[#This Row],[Net max]]</f>
        <v>1</v>
      </c>
      <c r="K112" s="283">
        <f>TblRezone[[#This Row],[Hour]]</f>
        <v>109</v>
      </c>
      <c r="L112" s="284">
        <f ca="1">TblImps[[#This Row],[Real time]]</f>
        <v>46324.499999999738</v>
      </c>
      <c r="M112" s="61">
        <f>IF(ISERROR(TblImps[[#This Row],[algorithm]]),0,TblImps[[#This Row],[algorithm]]*1)</f>
        <v>0</v>
      </c>
      <c r="N112" s="94">
        <f ca="1">TblImps[[#This Row],[Land]]</f>
        <v>50</v>
      </c>
      <c r="O112" s="285" t="s">
        <v>4</v>
      </c>
      <c r="P112" s="286"/>
      <c r="Q112" s="285" t="s">
        <v>210</v>
      </c>
      <c r="R112" s="285" t="s">
        <v>7</v>
      </c>
      <c r="S112" s="286"/>
      <c r="T112" s="285" t="s">
        <v>210</v>
      </c>
      <c r="U112" s="285" t="s">
        <v>3</v>
      </c>
      <c r="V112" s="286"/>
      <c r="W112" s="285" t="s">
        <v>210</v>
      </c>
      <c r="X112" s="142"/>
      <c r="Y112" s="287">
        <f ca="1">science_cap*(1-EXP(-TblImps[[#This Row],[Σ Science]]/(science_param*(OFFSET(TblImps[[#This Row],[Land]],1,0)-OFFSET(TblExplore[[#This Row],[Land Bonus]],1,0)*20)+15000)))*(1+(mason_bonus*TblConstr[[#This Row],[Tot Mas]]/TblConstr[[#This Row],[Land (2)]]))</f>
        <v>0</v>
      </c>
      <c r="Z112" s="287">
        <f ca="1">keep_cap*(1-EXP(-TblImps[[#This Row],[Σ Keep]]/(keep_param*(OFFSET(TblImps[[#This Row],[Land]],1,0)-OFFSET(TblExplore[[#This Row],[Land Bonus]],1,0)*20)+15000)))*(1+(mason_bonus*TblConstr[[#This Row],[Tot Mas]]/TblConstr[[#This Row],[Land (2)]]))</f>
        <v>0</v>
      </c>
      <c r="AA112" s="287">
        <f ca="1">harbor_towers_cap*(1-EXP(-TblImps[[#This Row],[Σ Spires]]/(towers_param*(OFFSET(TblImps[[#This Row],[Land]],1,0)-OFFSET(TblExplore[[#This Row],[Land Bonus]],1,0)*20)+15000)))*(1+(mason_bonus*TblConstr[[#This Row],[Tot Mas]]/TblConstr[[#This Row],[Land (2)]]))</f>
        <v>0</v>
      </c>
      <c r="AB112" s="287">
        <f ca="1">walls_forges_cap*(1-EXP(-TblImps[[#This Row],[Σ Forges]]/(walls_forges_param*(OFFSET(TblImps[[#This Row],[Land]],1,0)-OFFSET(TblExplore[[#This Row],[Land Bonus]],1,0)*20)+15000)))*(1+(mason_bonus*TblConstr[[#This Row],[Tot Mas]]/TblConstr[[#This Row],[Land (2)]]))</f>
        <v>0</v>
      </c>
      <c r="AC112" s="287">
        <f ca="1">walls_forges_cap*(1-EXP(-TblImps[[#This Row],[Σ Walls]]/(walls_forges_param*(OFFSET(TblImps[[#This Row],[Land]],1,0)-OFFSET(TblExplore[[#This Row],[Land Bonus]],1,0)*20)+15000)))*(1+(mason_bonus*TblConstr[[#This Row],[Tot Mas]]/TblConstr[[#This Row],[Land (2)]]))</f>
        <v>0</v>
      </c>
      <c r="AD112" s="287">
        <f ca="1">harbor_towers_cap*(1-EXP(-TblImps[[#This Row],[Σ Harbor]]/(harbor_towers_param*(OFFSET(TblImps[[#This Row],[Land]],1,0)-OFFSET(TblExplore[[#This Row],[Land Bonus]],1,0)*20)+15000)))*(1+(mason_bonus*TblConstr[[#This Row],[Tot Mas]]/TblConstr[[#This Row],[Land (2)]]))</f>
        <v>0</v>
      </c>
      <c r="AE112" s="142"/>
      <c r="AF112" s="61">
        <f ca="1">(1+Overview!$I$29)*SUM(TblImps[[#This Row],[P2]:[G2]])+OFFSET(TblImps[[#This Row],[Σ Science]],-1,0)</f>
        <v>0</v>
      </c>
      <c r="AG112" s="61">
        <f ca="1">(1+Overview!$I$29)*SUM(TblImps[[#This Row],[P3]:[G3]])+OFFSET(TblImps[[#This Row],[Σ Keep]],-1,0)</f>
        <v>0</v>
      </c>
      <c r="AH112" s="61">
        <f ca="1">(1+Overview!$I$29 + tech_7_1*TblTech[[#This Row],[7-1]])*SUM(TblImps[[#This Row],[P4]:[G4]])+OFFSET(TblImps[[#This Row],[Σ Spires]],-1,0)</f>
        <v>0</v>
      </c>
      <c r="AI112" s="61">
        <f ca="1">(1+Overview!$I$29)*SUM(TblImps[[#This Row],[P5]:[FW5]])+OFFSET(TblImps[[#This Row],[Σ Forges]],-1,0)</f>
        <v>0</v>
      </c>
      <c r="AJ112" s="61">
        <f ca="1">(1+Overview!$I$29)*SUM(TblImps[[#This Row],[P6]:[G6]])+OFFSET(TblImps[[#This Row],[Σ Walls]],-1,0)</f>
        <v>0</v>
      </c>
      <c r="AK112" s="61">
        <f ca="1">(1+Overview!$I$29 + tech_7_1*TblTech[[#This Row],[7-1]])*SUM(TblImps[[#This Row],[P7]:[G7]])+OFFSET(TblImps[[#This Row],[Σ Harbor]],-1,0)</f>
        <v>0</v>
      </c>
      <c r="AL112" s="142"/>
      <c r="AM112" s="57">
        <f>IF(AND(TblImps[[#This Row],[Resource]]=AM$2,TblImps[[#This Row],[Part]]&lt;&gt;""),TblImps[[#This Row],[Amount]]) + IF(AND(TblImps[[#This Row],[Resource 2]]=AM$2,TblImps[[#This Row],[Part 2]]&lt;&gt;""),TblImps[[#This Row],[Amount 2]]) + IF(AND(TblImps[[#This Row],[Resource 3]]=AM$2,TblImps[[#This Row],[Part 3]]&lt;&gt;""),TblImps[[#This Row],[Amount 3]])</f>
        <v>0</v>
      </c>
      <c r="AN112" s="57">
        <f>IF(AND(TblImps[[#This Row],[Resource]]=AN$2,TblImps[[#This Row],[Part]]&lt;&gt;""),TblImps[[#This Row],[Amount]]) + IF(AND(TblImps[[#This Row],[Resource 2]]=AN$2,TblImps[[#This Row],[Part 2]]&lt;&gt;""),TblImps[[#This Row],[Amount 2]]) + IF(AND(TblImps[[#This Row],[Resource 3]]=AN$2,TblImps[[#This Row],[Part 3]]&lt;&gt;""),TblImps[[#This Row],[Amount 3]])</f>
        <v>0</v>
      </c>
      <c r="AO112" s="57">
        <f>IF(AND(TblImps[[#This Row],[Resource]]=AO$2,TblImps[[#This Row],[Part]]&lt;&gt;""),TblImps[[#This Row],[Amount]]) + IF(AND(TblImps[[#This Row],[Resource 2]]=AO$2,TblImps[[#This Row],[Part 2]]&lt;&gt;""),TblImps[[#This Row],[Amount 2]]) + IF(AND(TblImps[[#This Row],[Resource 3]]=AO$2,TblImps[[#This Row],[Part 3]]&lt;&gt;""),TblImps[[#This Row],[Amount 3]])</f>
        <v>0</v>
      </c>
      <c r="AP112" s="57">
        <f>IF(AND(TblImps[[#This Row],[Resource]]=AP$2,TblImps[[#This Row],[Part]]&lt;&gt;""),TblImps[[#This Row],[Amount]]) + IF(AND(TblImps[[#This Row],[Resource 2]]=AP$2,TblImps[[#This Row],[Part 2]]&lt;&gt;""),TblImps[[#This Row],[Amount 2]]) + IF(AND(TblImps[[#This Row],[Resource 3]]=AP$2,TblImps[[#This Row],[Part 3]]&lt;&gt;""),TblImps[[#This Row],[Amount 3]])</f>
        <v>0</v>
      </c>
      <c r="AQ112" s="142"/>
      <c r="AR1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142"/>
      <c r="AW1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142"/>
      <c r="BB1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142"/>
      <c r="BG1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57">
        <f ca="1">IF(OFFSET(TblMagic[[#This Row],[Active Alchemists Flame]],-1,0)&gt;0,TblConstr[[#This Row],[Tot Alc]]*alchemist_flame_invest,0)</f>
        <v>0</v>
      </c>
      <c r="BL112" s="142"/>
      <c r="BM11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2" s="142"/>
      <c r="BR11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2" s="142"/>
      <c r="BW1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2" s="61">
        <f>TblImps[[#This Row],[Login]]</f>
        <v>0</v>
      </c>
      <c r="BY112" s="137"/>
      <c r="BZ112" s="293">
        <f ca="1">OFFSET(TblImps[[#This Row],[Real time]],-1,0)+1/24</f>
        <v>46324.499999999738</v>
      </c>
      <c r="CA112" s="294">
        <f ca="1">OFFSET(TblImps[[#This Row],[Servertime]],-1,0)+1/24</f>
        <v>46324.499999999738</v>
      </c>
      <c r="CB112" s="57"/>
      <c r="CC112" s="292"/>
      <c r="CD112" s="292"/>
      <c r="CE112" s="45" t="s">
        <v>214</v>
      </c>
    </row>
    <row r="113" spans="1:82" x14ac:dyDescent="0.2">
      <c r="A113" s="214">
        <f ca="1">TblConstr[[#This Row],[Land]]</f>
        <v>50</v>
      </c>
      <c r="B113" s="142"/>
      <c r="C113" s="94">
        <f ca="1">TblProd[[#This Row],[Platinum]]</f>
        <v>204582</v>
      </c>
      <c r="D113" s="94">
        <f ca="1">TblProd[[#This Row],[Lumber]]</f>
        <v>71576</v>
      </c>
      <c r="E113" s="94">
        <f ca="1">TblProd[[#This Row],[Ore]]</f>
        <v>0</v>
      </c>
      <c r="F113" s="94">
        <f ca="1">TblProd[[#This Row],[Gems]]</f>
        <v>0</v>
      </c>
      <c r="G113" s="154"/>
      <c r="H113" s="94">
        <f ca="1">TblMili[[#This Row],[Draftees]]</f>
        <v>614</v>
      </c>
      <c r="I113" s="180">
        <f ca="1">TblPop[[#This Row],[Employment]]</f>
        <v>1</v>
      </c>
      <c r="J113" s="180">
        <f ca="1">TblPop[[#This Row],[Total]]/TblPop[[#This Row],[Net max]]</f>
        <v>1</v>
      </c>
      <c r="K113" s="283">
        <f>TblRezone[[#This Row],[Hour]]</f>
        <v>110</v>
      </c>
      <c r="L113" s="284">
        <f ca="1">TblImps[[#This Row],[Real time]]</f>
        <v>46324.541666666402</v>
      </c>
      <c r="M113" s="61">
        <f>IF(ISERROR(TblImps[[#This Row],[algorithm]]),0,TblImps[[#This Row],[algorithm]]*1)</f>
        <v>0</v>
      </c>
      <c r="N113" s="94">
        <f ca="1">TblImps[[#This Row],[Land]]</f>
        <v>50</v>
      </c>
      <c r="O113" s="285" t="s">
        <v>4</v>
      </c>
      <c r="P113" s="286"/>
      <c r="Q113" s="285" t="s">
        <v>210</v>
      </c>
      <c r="R113" s="285" t="s">
        <v>7</v>
      </c>
      <c r="S113" s="286"/>
      <c r="T113" s="285" t="s">
        <v>210</v>
      </c>
      <c r="U113" s="285" t="s">
        <v>3</v>
      </c>
      <c r="V113" s="286"/>
      <c r="W113" s="285" t="s">
        <v>210</v>
      </c>
      <c r="X113" s="142"/>
      <c r="Y113" s="287">
        <f ca="1">science_cap*(1-EXP(-TblImps[[#This Row],[Σ Science]]/(science_param*(OFFSET(TblImps[[#This Row],[Land]],1,0)-OFFSET(TblExplore[[#This Row],[Land Bonus]],1,0)*20)+15000)))*(1+(mason_bonus*TblConstr[[#This Row],[Tot Mas]]/TblConstr[[#This Row],[Land (2)]]))</f>
        <v>0</v>
      </c>
      <c r="Z113" s="287">
        <f ca="1">keep_cap*(1-EXP(-TblImps[[#This Row],[Σ Keep]]/(keep_param*(OFFSET(TblImps[[#This Row],[Land]],1,0)-OFFSET(TblExplore[[#This Row],[Land Bonus]],1,0)*20)+15000)))*(1+(mason_bonus*TblConstr[[#This Row],[Tot Mas]]/TblConstr[[#This Row],[Land (2)]]))</f>
        <v>0</v>
      </c>
      <c r="AA113" s="287">
        <f ca="1">harbor_towers_cap*(1-EXP(-TblImps[[#This Row],[Σ Spires]]/(towers_param*(OFFSET(TblImps[[#This Row],[Land]],1,0)-OFFSET(TblExplore[[#This Row],[Land Bonus]],1,0)*20)+15000)))*(1+(mason_bonus*TblConstr[[#This Row],[Tot Mas]]/TblConstr[[#This Row],[Land (2)]]))</f>
        <v>0</v>
      </c>
      <c r="AB113" s="287">
        <f ca="1">walls_forges_cap*(1-EXP(-TblImps[[#This Row],[Σ Forges]]/(walls_forges_param*(OFFSET(TblImps[[#This Row],[Land]],1,0)-OFFSET(TblExplore[[#This Row],[Land Bonus]],1,0)*20)+15000)))*(1+(mason_bonus*TblConstr[[#This Row],[Tot Mas]]/TblConstr[[#This Row],[Land (2)]]))</f>
        <v>0</v>
      </c>
      <c r="AC113" s="287">
        <f ca="1">walls_forges_cap*(1-EXP(-TblImps[[#This Row],[Σ Walls]]/(walls_forges_param*(OFFSET(TblImps[[#This Row],[Land]],1,0)-OFFSET(TblExplore[[#This Row],[Land Bonus]],1,0)*20)+15000)))*(1+(mason_bonus*TblConstr[[#This Row],[Tot Mas]]/TblConstr[[#This Row],[Land (2)]]))</f>
        <v>0</v>
      </c>
      <c r="AD113" s="287">
        <f ca="1">harbor_towers_cap*(1-EXP(-TblImps[[#This Row],[Σ Harbor]]/(harbor_towers_param*(OFFSET(TblImps[[#This Row],[Land]],1,0)-OFFSET(TblExplore[[#This Row],[Land Bonus]],1,0)*20)+15000)))*(1+(mason_bonus*TblConstr[[#This Row],[Tot Mas]]/TblConstr[[#This Row],[Land (2)]]))</f>
        <v>0</v>
      </c>
      <c r="AE113" s="142"/>
      <c r="AF113" s="61">
        <f ca="1">(1+Overview!$I$29)*SUM(TblImps[[#This Row],[P2]:[G2]])+OFFSET(TblImps[[#This Row],[Σ Science]],-1,0)</f>
        <v>0</v>
      </c>
      <c r="AG113" s="61">
        <f ca="1">(1+Overview!$I$29)*SUM(TblImps[[#This Row],[P3]:[G3]])+OFFSET(TblImps[[#This Row],[Σ Keep]],-1,0)</f>
        <v>0</v>
      </c>
      <c r="AH113" s="61">
        <f ca="1">(1+Overview!$I$29 + tech_7_1*TblTech[[#This Row],[7-1]])*SUM(TblImps[[#This Row],[P4]:[G4]])+OFFSET(TblImps[[#This Row],[Σ Spires]],-1,0)</f>
        <v>0</v>
      </c>
      <c r="AI113" s="61">
        <f ca="1">(1+Overview!$I$29)*SUM(TblImps[[#This Row],[P5]:[FW5]])+OFFSET(TblImps[[#This Row],[Σ Forges]],-1,0)</f>
        <v>0</v>
      </c>
      <c r="AJ113" s="61">
        <f ca="1">(1+Overview!$I$29)*SUM(TblImps[[#This Row],[P6]:[G6]])+OFFSET(TblImps[[#This Row],[Σ Walls]],-1,0)</f>
        <v>0</v>
      </c>
      <c r="AK113" s="61">
        <f ca="1">(1+Overview!$I$29 + tech_7_1*TblTech[[#This Row],[7-1]])*SUM(TblImps[[#This Row],[P7]:[G7]])+OFFSET(TblImps[[#This Row],[Σ Harbor]],-1,0)</f>
        <v>0</v>
      </c>
      <c r="AL113" s="142"/>
      <c r="AM113" s="57">
        <f>IF(AND(TblImps[[#This Row],[Resource]]=AM$2,TblImps[[#This Row],[Part]]&lt;&gt;""),TblImps[[#This Row],[Amount]]) + IF(AND(TblImps[[#This Row],[Resource 2]]=AM$2,TblImps[[#This Row],[Part 2]]&lt;&gt;""),TblImps[[#This Row],[Amount 2]]) + IF(AND(TblImps[[#This Row],[Resource 3]]=AM$2,TblImps[[#This Row],[Part 3]]&lt;&gt;""),TblImps[[#This Row],[Amount 3]])</f>
        <v>0</v>
      </c>
      <c r="AN113" s="57">
        <f>IF(AND(TblImps[[#This Row],[Resource]]=AN$2,TblImps[[#This Row],[Part]]&lt;&gt;""),TblImps[[#This Row],[Amount]]) + IF(AND(TblImps[[#This Row],[Resource 2]]=AN$2,TblImps[[#This Row],[Part 2]]&lt;&gt;""),TblImps[[#This Row],[Amount 2]]) + IF(AND(TblImps[[#This Row],[Resource 3]]=AN$2,TblImps[[#This Row],[Part 3]]&lt;&gt;""),TblImps[[#This Row],[Amount 3]])</f>
        <v>0</v>
      </c>
      <c r="AO113" s="57">
        <f>IF(AND(TblImps[[#This Row],[Resource]]=AO$2,TblImps[[#This Row],[Part]]&lt;&gt;""),TblImps[[#This Row],[Amount]]) + IF(AND(TblImps[[#This Row],[Resource 2]]=AO$2,TblImps[[#This Row],[Part 2]]&lt;&gt;""),TblImps[[#This Row],[Amount 2]]) + IF(AND(TblImps[[#This Row],[Resource 3]]=AO$2,TblImps[[#This Row],[Part 3]]&lt;&gt;""),TblImps[[#This Row],[Amount 3]])</f>
        <v>0</v>
      </c>
      <c r="AP113" s="57">
        <f>IF(AND(TblImps[[#This Row],[Resource]]=AP$2,TblImps[[#This Row],[Part]]&lt;&gt;""),TblImps[[#This Row],[Amount]]) + IF(AND(TblImps[[#This Row],[Resource 2]]=AP$2,TblImps[[#This Row],[Part 2]]&lt;&gt;""),TblImps[[#This Row],[Amount 2]]) + IF(AND(TblImps[[#This Row],[Resource 3]]=AP$2,TblImps[[#This Row],[Part 3]]&lt;&gt;""),TblImps[[#This Row],[Amount 3]])</f>
        <v>0</v>
      </c>
      <c r="AQ113" s="142"/>
      <c r="AR1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142"/>
      <c r="AW1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142"/>
      <c r="BB1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142"/>
      <c r="BG1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57">
        <f ca="1">IF(OFFSET(TblMagic[[#This Row],[Active Alchemists Flame]],-1,0)&gt;0,TblConstr[[#This Row],[Tot Alc]]*alchemist_flame_invest,0)</f>
        <v>0</v>
      </c>
      <c r="BL113" s="142"/>
      <c r="BM11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3" s="142"/>
      <c r="BR11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3" s="142"/>
      <c r="BW1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3" s="61">
        <f>TblImps[[#This Row],[Login]]</f>
        <v>0</v>
      </c>
      <c r="BY113" s="137"/>
      <c r="BZ113" s="293">
        <f ca="1">OFFSET(TblImps[[#This Row],[Real time]],-1,0)+1/24</f>
        <v>46324.541666666402</v>
      </c>
      <c r="CA113" s="294">
        <f ca="1">OFFSET(TblImps[[#This Row],[Servertime]],-1,0)+1/24</f>
        <v>46324.541666666402</v>
      </c>
      <c r="CB113" s="57"/>
      <c r="CC113" s="292"/>
      <c r="CD113" s="292"/>
    </row>
    <row r="114" spans="1:82" x14ac:dyDescent="0.2">
      <c r="A114" s="214">
        <f ca="1">TblConstr[[#This Row],[Land]]</f>
        <v>50</v>
      </c>
      <c r="B114" s="142"/>
      <c r="C114" s="94">
        <f ca="1">TblProd[[#This Row],[Platinum]]</f>
        <v>205000</v>
      </c>
      <c r="D114" s="94">
        <f ca="1">TblProd[[#This Row],[Lumber]]</f>
        <v>71860</v>
      </c>
      <c r="E114" s="94">
        <f ca="1">TblProd[[#This Row],[Ore]]</f>
        <v>0</v>
      </c>
      <c r="F114" s="94">
        <f ca="1">TblProd[[#This Row],[Gems]]</f>
        <v>0</v>
      </c>
      <c r="G114" s="154"/>
      <c r="H114" s="94">
        <f ca="1">TblMili[[#This Row],[Draftees]]</f>
        <v>616</v>
      </c>
      <c r="I114" s="180">
        <f ca="1">TblPop[[#This Row],[Employment]]</f>
        <v>1</v>
      </c>
      <c r="J114" s="180">
        <f ca="1">TblPop[[#This Row],[Total]]/TblPop[[#This Row],[Net max]]</f>
        <v>1</v>
      </c>
      <c r="K114" s="283">
        <f>TblRezone[[#This Row],[Hour]]</f>
        <v>111</v>
      </c>
      <c r="L114" s="284">
        <f ca="1">TblImps[[#This Row],[Real time]]</f>
        <v>46324.583333333067</v>
      </c>
      <c r="M114" s="61">
        <f>IF(ISERROR(TblImps[[#This Row],[algorithm]]),0,TblImps[[#This Row],[algorithm]]*1)</f>
        <v>0</v>
      </c>
      <c r="N114" s="94">
        <f ca="1">TblImps[[#This Row],[Land]]</f>
        <v>50</v>
      </c>
      <c r="O114" s="285" t="s">
        <v>4</v>
      </c>
      <c r="P114" s="286"/>
      <c r="Q114" s="285" t="s">
        <v>210</v>
      </c>
      <c r="R114" s="285" t="s">
        <v>7</v>
      </c>
      <c r="S114" s="286"/>
      <c r="T114" s="285" t="s">
        <v>210</v>
      </c>
      <c r="U114" s="285" t="s">
        <v>3</v>
      </c>
      <c r="V114" s="286"/>
      <c r="W114" s="285" t="s">
        <v>210</v>
      </c>
      <c r="X114" s="142"/>
      <c r="Y114" s="287">
        <f ca="1">science_cap*(1-EXP(-TblImps[[#This Row],[Σ Science]]/(science_param*(OFFSET(TblImps[[#This Row],[Land]],1,0)-OFFSET(TblExplore[[#This Row],[Land Bonus]],1,0)*20)+15000)))*(1+(mason_bonus*TblConstr[[#This Row],[Tot Mas]]/TblConstr[[#This Row],[Land (2)]]))</f>
        <v>0</v>
      </c>
      <c r="Z114" s="287">
        <f ca="1">keep_cap*(1-EXP(-TblImps[[#This Row],[Σ Keep]]/(keep_param*(OFFSET(TblImps[[#This Row],[Land]],1,0)-OFFSET(TblExplore[[#This Row],[Land Bonus]],1,0)*20)+15000)))*(1+(mason_bonus*TblConstr[[#This Row],[Tot Mas]]/TblConstr[[#This Row],[Land (2)]]))</f>
        <v>0</v>
      </c>
      <c r="AA114" s="287">
        <f ca="1">harbor_towers_cap*(1-EXP(-TblImps[[#This Row],[Σ Spires]]/(towers_param*(OFFSET(TblImps[[#This Row],[Land]],1,0)-OFFSET(TblExplore[[#This Row],[Land Bonus]],1,0)*20)+15000)))*(1+(mason_bonus*TblConstr[[#This Row],[Tot Mas]]/TblConstr[[#This Row],[Land (2)]]))</f>
        <v>0</v>
      </c>
      <c r="AB114" s="287">
        <f ca="1">walls_forges_cap*(1-EXP(-TblImps[[#This Row],[Σ Forges]]/(walls_forges_param*(OFFSET(TblImps[[#This Row],[Land]],1,0)-OFFSET(TblExplore[[#This Row],[Land Bonus]],1,0)*20)+15000)))*(1+(mason_bonus*TblConstr[[#This Row],[Tot Mas]]/TblConstr[[#This Row],[Land (2)]]))</f>
        <v>0</v>
      </c>
      <c r="AC114" s="287">
        <f ca="1">walls_forges_cap*(1-EXP(-TblImps[[#This Row],[Σ Walls]]/(walls_forges_param*(OFFSET(TblImps[[#This Row],[Land]],1,0)-OFFSET(TblExplore[[#This Row],[Land Bonus]],1,0)*20)+15000)))*(1+(mason_bonus*TblConstr[[#This Row],[Tot Mas]]/TblConstr[[#This Row],[Land (2)]]))</f>
        <v>0</v>
      </c>
      <c r="AD114" s="287">
        <f ca="1">harbor_towers_cap*(1-EXP(-TblImps[[#This Row],[Σ Harbor]]/(harbor_towers_param*(OFFSET(TblImps[[#This Row],[Land]],1,0)-OFFSET(TblExplore[[#This Row],[Land Bonus]],1,0)*20)+15000)))*(1+(mason_bonus*TblConstr[[#This Row],[Tot Mas]]/TblConstr[[#This Row],[Land (2)]]))</f>
        <v>0</v>
      </c>
      <c r="AE114" s="142"/>
      <c r="AF114" s="61">
        <f ca="1">(1+Overview!$I$29)*SUM(TblImps[[#This Row],[P2]:[G2]])+OFFSET(TblImps[[#This Row],[Σ Science]],-1,0)</f>
        <v>0</v>
      </c>
      <c r="AG114" s="61">
        <f ca="1">(1+Overview!$I$29)*SUM(TblImps[[#This Row],[P3]:[G3]])+OFFSET(TblImps[[#This Row],[Σ Keep]],-1,0)</f>
        <v>0</v>
      </c>
      <c r="AH114" s="61">
        <f ca="1">(1+Overview!$I$29 + tech_7_1*TblTech[[#This Row],[7-1]])*SUM(TblImps[[#This Row],[P4]:[G4]])+OFFSET(TblImps[[#This Row],[Σ Spires]],-1,0)</f>
        <v>0</v>
      </c>
      <c r="AI114" s="61">
        <f ca="1">(1+Overview!$I$29)*SUM(TblImps[[#This Row],[P5]:[FW5]])+OFFSET(TblImps[[#This Row],[Σ Forges]],-1,0)</f>
        <v>0</v>
      </c>
      <c r="AJ114" s="61">
        <f ca="1">(1+Overview!$I$29)*SUM(TblImps[[#This Row],[P6]:[G6]])+OFFSET(TblImps[[#This Row],[Σ Walls]],-1,0)</f>
        <v>0</v>
      </c>
      <c r="AK114" s="61">
        <f ca="1">(1+Overview!$I$29 + tech_7_1*TblTech[[#This Row],[7-1]])*SUM(TblImps[[#This Row],[P7]:[G7]])+OFFSET(TblImps[[#This Row],[Σ Harbor]],-1,0)</f>
        <v>0</v>
      </c>
      <c r="AL114" s="142"/>
      <c r="AM114" s="57">
        <f>IF(AND(TblImps[[#This Row],[Resource]]=AM$2,TblImps[[#This Row],[Part]]&lt;&gt;""),TblImps[[#This Row],[Amount]]) + IF(AND(TblImps[[#This Row],[Resource 2]]=AM$2,TblImps[[#This Row],[Part 2]]&lt;&gt;""),TblImps[[#This Row],[Amount 2]]) + IF(AND(TblImps[[#This Row],[Resource 3]]=AM$2,TblImps[[#This Row],[Part 3]]&lt;&gt;""),TblImps[[#This Row],[Amount 3]])</f>
        <v>0</v>
      </c>
      <c r="AN114" s="57">
        <f>IF(AND(TblImps[[#This Row],[Resource]]=AN$2,TblImps[[#This Row],[Part]]&lt;&gt;""),TblImps[[#This Row],[Amount]]) + IF(AND(TblImps[[#This Row],[Resource 2]]=AN$2,TblImps[[#This Row],[Part 2]]&lt;&gt;""),TblImps[[#This Row],[Amount 2]]) + IF(AND(TblImps[[#This Row],[Resource 3]]=AN$2,TblImps[[#This Row],[Part 3]]&lt;&gt;""),TblImps[[#This Row],[Amount 3]])</f>
        <v>0</v>
      </c>
      <c r="AO114" s="57">
        <f>IF(AND(TblImps[[#This Row],[Resource]]=AO$2,TblImps[[#This Row],[Part]]&lt;&gt;""),TblImps[[#This Row],[Amount]]) + IF(AND(TblImps[[#This Row],[Resource 2]]=AO$2,TblImps[[#This Row],[Part 2]]&lt;&gt;""),TblImps[[#This Row],[Amount 2]]) + IF(AND(TblImps[[#This Row],[Resource 3]]=AO$2,TblImps[[#This Row],[Part 3]]&lt;&gt;""),TblImps[[#This Row],[Amount 3]])</f>
        <v>0</v>
      </c>
      <c r="AP114" s="57">
        <f>IF(AND(TblImps[[#This Row],[Resource]]=AP$2,TblImps[[#This Row],[Part]]&lt;&gt;""),TblImps[[#This Row],[Amount]]) + IF(AND(TblImps[[#This Row],[Resource 2]]=AP$2,TblImps[[#This Row],[Part 2]]&lt;&gt;""),TblImps[[#This Row],[Amount 2]]) + IF(AND(TblImps[[#This Row],[Resource 3]]=AP$2,TblImps[[#This Row],[Part 3]]&lt;&gt;""),TblImps[[#This Row],[Amount 3]])</f>
        <v>0</v>
      </c>
      <c r="AQ114" s="142"/>
      <c r="AR1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142"/>
      <c r="AW1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142"/>
      <c r="BB1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142"/>
      <c r="BG1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57">
        <f ca="1">IF(OFFSET(TblMagic[[#This Row],[Active Alchemists Flame]],-1,0)&gt;0,TblConstr[[#This Row],[Tot Alc]]*alchemist_flame_invest,0)</f>
        <v>0</v>
      </c>
      <c r="BL114" s="142"/>
      <c r="BM11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4" s="142"/>
      <c r="BR11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4" s="142"/>
      <c r="BW1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4" s="61">
        <f>TblImps[[#This Row],[Login]]</f>
        <v>0</v>
      </c>
      <c r="BY114" s="137"/>
      <c r="BZ114" s="293">
        <f ca="1">OFFSET(TblImps[[#This Row],[Real time]],-1,0)+1/24</f>
        <v>46324.583333333067</v>
      </c>
      <c r="CA114" s="294">
        <f ca="1">OFFSET(TblImps[[#This Row],[Servertime]],-1,0)+1/24</f>
        <v>46324.583333333067</v>
      </c>
      <c r="CB114" s="297"/>
      <c r="CC114" s="292"/>
      <c r="CD114" s="292"/>
    </row>
    <row r="115" spans="1:82" x14ac:dyDescent="0.2">
      <c r="A115" s="214">
        <f ca="1">TblConstr[[#This Row],[Land]]</f>
        <v>50</v>
      </c>
      <c r="B115" s="142"/>
      <c r="C115" s="94">
        <f ca="1">TblProd[[#This Row],[Platinum]]</f>
        <v>205413</v>
      </c>
      <c r="D115" s="94">
        <f ca="1">TblProd[[#This Row],[Lumber]]</f>
        <v>72141</v>
      </c>
      <c r="E115" s="94">
        <f ca="1">TblProd[[#This Row],[Ore]]</f>
        <v>0</v>
      </c>
      <c r="F115" s="94">
        <f ca="1">TblProd[[#This Row],[Gems]]</f>
        <v>0</v>
      </c>
      <c r="G115" s="154"/>
      <c r="H115" s="94">
        <f ca="1">TblMili[[#This Row],[Draftees]]</f>
        <v>618</v>
      </c>
      <c r="I115" s="180">
        <f ca="1">TblPop[[#This Row],[Employment]]</f>
        <v>1</v>
      </c>
      <c r="J115" s="180">
        <f ca="1">TblPop[[#This Row],[Total]]/TblPop[[#This Row],[Net max]]</f>
        <v>1</v>
      </c>
      <c r="K115" s="283">
        <f>TblRezone[[#This Row],[Hour]]</f>
        <v>112</v>
      </c>
      <c r="L115" s="284">
        <f ca="1">TblImps[[#This Row],[Real time]]</f>
        <v>46324.624999999731</v>
      </c>
      <c r="M115" s="61">
        <f>IF(ISERROR(TblImps[[#This Row],[algorithm]]),0,TblImps[[#This Row],[algorithm]]*1)</f>
        <v>0</v>
      </c>
      <c r="N115" s="94">
        <f ca="1">TblImps[[#This Row],[Land]]</f>
        <v>50</v>
      </c>
      <c r="O115" s="285" t="s">
        <v>4</v>
      </c>
      <c r="P115" s="286"/>
      <c r="Q115" s="285" t="s">
        <v>210</v>
      </c>
      <c r="R115" s="285" t="s">
        <v>7</v>
      </c>
      <c r="S115" s="286"/>
      <c r="T115" s="285" t="s">
        <v>210</v>
      </c>
      <c r="U115" s="285" t="s">
        <v>3</v>
      </c>
      <c r="V115" s="286"/>
      <c r="W115" s="285" t="s">
        <v>210</v>
      </c>
      <c r="X115" s="142"/>
      <c r="Y115" s="287">
        <f ca="1">science_cap*(1-EXP(-TblImps[[#This Row],[Σ Science]]/(science_param*(OFFSET(TblImps[[#This Row],[Land]],1,0)-OFFSET(TblExplore[[#This Row],[Land Bonus]],1,0)*20)+15000)))*(1+(mason_bonus*TblConstr[[#This Row],[Tot Mas]]/TblConstr[[#This Row],[Land (2)]]))</f>
        <v>0</v>
      </c>
      <c r="Z115" s="287">
        <f ca="1">keep_cap*(1-EXP(-TblImps[[#This Row],[Σ Keep]]/(keep_param*(OFFSET(TblImps[[#This Row],[Land]],1,0)-OFFSET(TblExplore[[#This Row],[Land Bonus]],1,0)*20)+15000)))*(1+(mason_bonus*TblConstr[[#This Row],[Tot Mas]]/TblConstr[[#This Row],[Land (2)]]))</f>
        <v>0</v>
      </c>
      <c r="AA115" s="287">
        <f ca="1">harbor_towers_cap*(1-EXP(-TblImps[[#This Row],[Σ Spires]]/(towers_param*(OFFSET(TblImps[[#This Row],[Land]],1,0)-OFFSET(TblExplore[[#This Row],[Land Bonus]],1,0)*20)+15000)))*(1+(mason_bonus*TblConstr[[#This Row],[Tot Mas]]/TblConstr[[#This Row],[Land (2)]]))</f>
        <v>0</v>
      </c>
      <c r="AB115" s="287">
        <f ca="1">walls_forges_cap*(1-EXP(-TblImps[[#This Row],[Σ Forges]]/(walls_forges_param*(OFFSET(TblImps[[#This Row],[Land]],1,0)-OFFSET(TblExplore[[#This Row],[Land Bonus]],1,0)*20)+15000)))*(1+(mason_bonus*TblConstr[[#This Row],[Tot Mas]]/TblConstr[[#This Row],[Land (2)]]))</f>
        <v>0</v>
      </c>
      <c r="AC115" s="287">
        <f ca="1">walls_forges_cap*(1-EXP(-TblImps[[#This Row],[Σ Walls]]/(walls_forges_param*(OFFSET(TblImps[[#This Row],[Land]],1,0)-OFFSET(TblExplore[[#This Row],[Land Bonus]],1,0)*20)+15000)))*(1+(mason_bonus*TblConstr[[#This Row],[Tot Mas]]/TblConstr[[#This Row],[Land (2)]]))</f>
        <v>0</v>
      </c>
      <c r="AD115" s="287">
        <f ca="1">harbor_towers_cap*(1-EXP(-TblImps[[#This Row],[Σ Harbor]]/(harbor_towers_param*(OFFSET(TblImps[[#This Row],[Land]],1,0)-OFFSET(TblExplore[[#This Row],[Land Bonus]],1,0)*20)+15000)))*(1+(mason_bonus*TblConstr[[#This Row],[Tot Mas]]/TblConstr[[#This Row],[Land (2)]]))</f>
        <v>0</v>
      </c>
      <c r="AE115" s="142"/>
      <c r="AF115" s="61">
        <f ca="1">(1+Overview!$I$29)*SUM(TblImps[[#This Row],[P2]:[G2]])+OFFSET(TblImps[[#This Row],[Σ Science]],-1,0)</f>
        <v>0</v>
      </c>
      <c r="AG115" s="61">
        <f ca="1">(1+Overview!$I$29)*SUM(TblImps[[#This Row],[P3]:[G3]])+OFFSET(TblImps[[#This Row],[Σ Keep]],-1,0)</f>
        <v>0</v>
      </c>
      <c r="AH115" s="61">
        <f ca="1">(1+Overview!$I$29 + tech_7_1*TblTech[[#This Row],[7-1]])*SUM(TblImps[[#This Row],[P4]:[G4]])+OFFSET(TblImps[[#This Row],[Σ Spires]],-1,0)</f>
        <v>0</v>
      </c>
      <c r="AI115" s="61">
        <f ca="1">(1+Overview!$I$29)*SUM(TblImps[[#This Row],[P5]:[FW5]])+OFFSET(TblImps[[#This Row],[Σ Forges]],-1,0)</f>
        <v>0</v>
      </c>
      <c r="AJ115" s="61">
        <f ca="1">(1+Overview!$I$29)*SUM(TblImps[[#This Row],[P6]:[G6]])+OFFSET(TblImps[[#This Row],[Σ Walls]],-1,0)</f>
        <v>0</v>
      </c>
      <c r="AK115" s="61">
        <f ca="1">(1+Overview!$I$29 + tech_7_1*TblTech[[#This Row],[7-1]])*SUM(TblImps[[#This Row],[P7]:[G7]])+OFFSET(TblImps[[#This Row],[Σ Harbor]],-1,0)</f>
        <v>0</v>
      </c>
      <c r="AL115" s="142"/>
      <c r="AM115" s="57">
        <f>IF(AND(TblImps[[#This Row],[Resource]]=AM$2,TblImps[[#This Row],[Part]]&lt;&gt;""),TblImps[[#This Row],[Amount]]) + IF(AND(TblImps[[#This Row],[Resource 2]]=AM$2,TblImps[[#This Row],[Part 2]]&lt;&gt;""),TblImps[[#This Row],[Amount 2]]) + IF(AND(TblImps[[#This Row],[Resource 3]]=AM$2,TblImps[[#This Row],[Part 3]]&lt;&gt;""),TblImps[[#This Row],[Amount 3]])</f>
        <v>0</v>
      </c>
      <c r="AN115" s="57">
        <f>IF(AND(TblImps[[#This Row],[Resource]]=AN$2,TblImps[[#This Row],[Part]]&lt;&gt;""),TblImps[[#This Row],[Amount]]) + IF(AND(TblImps[[#This Row],[Resource 2]]=AN$2,TblImps[[#This Row],[Part 2]]&lt;&gt;""),TblImps[[#This Row],[Amount 2]]) + IF(AND(TblImps[[#This Row],[Resource 3]]=AN$2,TblImps[[#This Row],[Part 3]]&lt;&gt;""),TblImps[[#This Row],[Amount 3]])</f>
        <v>0</v>
      </c>
      <c r="AO115" s="57">
        <f>IF(AND(TblImps[[#This Row],[Resource]]=AO$2,TblImps[[#This Row],[Part]]&lt;&gt;""),TblImps[[#This Row],[Amount]]) + IF(AND(TblImps[[#This Row],[Resource 2]]=AO$2,TblImps[[#This Row],[Part 2]]&lt;&gt;""),TblImps[[#This Row],[Amount 2]]) + IF(AND(TblImps[[#This Row],[Resource 3]]=AO$2,TblImps[[#This Row],[Part 3]]&lt;&gt;""),TblImps[[#This Row],[Amount 3]])</f>
        <v>0</v>
      </c>
      <c r="AP115" s="57">
        <f>IF(AND(TblImps[[#This Row],[Resource]]=AP$2,TblImps[[#This Row],[Part]]&lt;&gt;""),TblImps[[#This Row],[Amount]]) + IF(AND(TblImps[[#This Row],[Resource 2]]=AP$2,TblImps[[#This Row],[Part 2]]&lt;&gt;""),TblImps[[#This Row],[Amount 2]]) + IF(AND(TblImps[[#This Row],[Resource 3]]=AP$2,TblImps[[#This Row],[Part 3]]&lt;&gt;""),TblImps[[#This Row],[Amount 3]])</f>
        <v>0</v>
      </c>
      <c r="AQ115" s="142"/>
      <c r="AR1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142"/>
      <c r="AW1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142"/>
      <c r="BB1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142"/>
      <c r="BG1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57">
        <f ca="1">IF(OFFSET(TblMagic[[#This Row],[Active Alchemists Flame]],-1,0)&gt;0,TblConstr[[#This Row],[Tot Alc]]*alchemist_flame_invest,0)</f>
        <v>0</v>
      </c>
      <c r="BL115" s="142"/>
      <c r="BM11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5" s="142"/>
      <c r="BR11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5" s="142"/>
      <c r="BW1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5" s="61">
        <f>TblImps[[#This Row],[Login]]</f>
        <v>0</v>
      </c>
      <c r="BY115" s="137"/>
      <c r="BZ115" s="293">
        <f ca="1">OFFSET(TblImps[[#This Row],[Real time]],-1,0)+1/24</f>
        <v>46324.624999999731</v>
      </c>
      <c r="CA115" s="294">
        <f ca="1">OFFSET(TblImps[[#This Row],[Servertime]],-1,0)+1/24</f>
        <v>46324.624999999731</v>
      </c>
      <c r="CB115" s="57"/>
      <c r="CC115" s="292"/>
      <c r="CD115" s="292"/>
    </row>
    <row r="116" spans="1:82" x14ac:dyDescent="0.2">
      <c r="A116" s="214">
        <f ca="1">TblConstr[[#This Row],[Land]]</f>
        <v>50</v>
      </c>
      <c r="B116" s="142"/>
      <c r="C116" s="94">
        <f ca="1">TblProd[[#This Row],[Platinum]]</f>
        <v>205820</v>
      </c>
      <c r="D116" s="94">
        <f ca="1">TblProd[[#This Row],[Lumber]]</f>
        <v>72420</v>
      </c>
      <c r="E116" s="94">
        <f ca="1">TblProd[[#This Row],[Ore]]</f>
        <v>0</v>
      </c>
      <c r="F116" s="94">
        <f ca="1">TblProd[[#This Row],[Gems]]</f>
        <v>0</v>
      </c>
      <c r="G116" s="154"/>
      <c r="H116" s="94">
        <f ca="1">TblMili[[#This Row],[Draftees]]</f>
        <v>620</v>
      </c>
      <c r="I116" s="180">
        <f ca="1">TblPop[[#This Row],[Employment]]</f>
        <v>1</v>
      </c>
      <c r="J116" s="180">
        <f ca="1">TblPop[[#This Row],[Total]]/TblPop[[#This Row],[Net max]]</f>
        <v>1</v>
      </c>
      <c r="K116" s="283">
        <f>TblRezone[[#This Row],[Hour]]</f>
        <v>113</v>
      </c>
      <c r="L116" s="284">
        <f ca="1">TblImps[[#This Row],[Real time]]</f>
        <v>46324.666666666395</v>
      </c>
      <c r="M116" s="61">
        <f>IF(ISERROR(TblImps[[#This Row],[algorithm]]),0,TblImps[[#This Row],[algorithm]]*1)</f>
        <v>0</v>
      </c>
      <c r="N116" s="94">
        <f ca="1">TblImps[[#This Row],[Land]]</f>
        <v>50</v>
      </c>
      <c r="O116" s="285" t="s">
        <v>4</v>
      </c>
      <c r="P116" s="286"/>
      <c r="Q116" s="285" t="s">
        <v>210</v>
      </c>
      <c r="R116" s="285" t="s">
        <v>7</v>
      </c>
      <c r="S116" s="286"/>
      <c r="T116" s="285" t="s">
        <v>210</v>
      </c>
      <c r="U116" s="285" t="s">
        <v>3</v>
      </c>
      <c r="V116" s="286"/>
      <c r="W116" s="285" t="s">
        <v>210</v>
      </c>
      <c r="X116" s="142"/>
      <c r="Y116" s="287">
        <f ca="1">science_cap*(1-EXP(-TblImps[[#This Row],[Σ Science]]/(science_param*(OFFSET(TblImps[[#This Row],[Land]],1,0)-OFFSET(TblExplore[[#This Row],[Land Bonus]],1,0)*20)+15000)))*(1+(mason_bonus*TblConstr[[#This Row],[Tot Mas]]/TblConstr[[#This Row],[Land (2)]]))</f>
        <v>0</v>
      </c>
      <c r="Z116" s="287">
        <f ca="1">keep_cap*(1-EXP(-TblImps[[#This Row],[Σ Keep]]/(keep_param*(OFFSET(TblImps[[#This Row],[Land]],1,0)-OFFSET(TblExplore[[#This Row],[Land Bonus]],1,0)*20)+15000)))*(1+(mason_bonus*TblConstr[[#This Row],[Tot Mas]]/TblConstr[[#This Row],[Land (2)]]))</f>
        <v>0</v>
      </c>
      <c r="AA116" s="287">
        <f ca="1">harbor_towers_cap*(1-EXP(-TblImps[[#This Row],[Σ Spires]]/(towers_param*(OFFSET(TblImps[[#This Row],[Land]],1,0)-OFFSET(TblExplore[[#This Row],[Land Bonus]],1,0)*20)+15000)))*(1+(mason_bonus*TblConstr[[#This Row],[Tot Mas]]/TblConstr[[#This Row],[Land (2)]]))</f>
        <v>0</v>
      </c>
      <c r="AB116" s="287">
        <f ca="1">walls_forges_cap*(1-EXP(-TblImps[[#This Row],[Σ Forges]]/(walls_forges_param*(OFFSET(TblImps[[#This Row],[Land]],1,0)-OFFSET(TblExplore[[#This Row],[Land Bonus]],1,0)*20)+15000)))*(1+(mason_bonus*TblConstr[[#This Row],[Tot Mas]]/TblConstr[[#This Row],[Land (2)]]))</f>
        <v>0</v>
      </c>
      <c r="AC116" s="287">
        <f ca="1">walls_forges_cap*(1-EXP(-TblImps[[#This Row],[Σ Walls]]/(walls_forges_param*(OFFSET(TblImps[[#This Row],[Land]],1,0)-OFFSET(TblExplore[[#This Row],[Land Bonus]],1,0)*20)+15000)))*(1+(mason_bonus*TblConstr[[#This Row],[Tot Mas]]/TblConstr[[#This Row],[Land (2)]]))</f>
        <v>0</v>
      </c>
      <c r="AD116" s="287">
        <f ca="1">harbor_towers_cap*(1-EXP(-TblImps[[#This Row],[Σ Harbor]]/(harbor_towers_param*(OFFSET(TblImps[[#This Row],[Land]],1,0)-OFFSET(TblExplore[[#This Row],[Land Bonus]],1,0)*20)+15000)))*(1+(mason_bonus*TblConstr[[#This Row],[Tot Mas]]/TblConstr[[#This Row],[Land (2)]]))</f>
        <v>0</v>
      </c>
      <c r="AE116" s="142"/>
      <c r="AF116" s="61">
        <f ca="1">(1+Overview!$I$29)*SUM(TblImps[[#This Row],[P2]:[G2]])+OFFSET(TblImps[[#This Row],[Σ Science]],-1,0)</f>
        <v>0</v>
      </c>
      <c r="AG116" s="61">
        <f ca="1">(1+Overview!$I$29)*SUM(TblImps[[#This Row],[P3]:[G3]])+OFFSET(TblImps[[#This Row],[Σ Keep]],-1,0)</f>
        <v>0</v>
      </c>
      <c r="AH116" s="61">
        <f ca="1">(1+Overview!$I$29 + tech_7_1*TblTech[[#This Row],[7-1]])*SUM(TblImps[[#This Row],[P4]:[G4]])+OFFSET(TblImps[[#This Row],[Σ Spires]],-1,0)</f>
        <v>0</v>
      </c>
      <c r="AI116" s="61">
        <f ca="1">(1+Overview!$I$29)*SUM(TblImps[[#This Row],[P5]:[FW5]])+OFFSET(TblImps[[#This Row],[Σ Forges]],-1,0)</f>
        <v>0</v>
      </c>
      <c r="AJ116" s="61">
        <f ca="1">(1+Overview!$I$29)*SUM(TblImps[[#This Row],[P6]:[G6]])+OFFSET(TblImps[[#This Row],[Σ Walls]],-1,0)</f>
        <v>0</v>
      </c>
      <c r="AK116" s="61">
        <f ca="1">(1+Overview!$I$29 + tech_7_1*TblTech[[#This Row],[7-1]])*SUM(TblImps[[#This Row],[P7]:[G7]])+OFFSET(TblImps[[#This Row],[Σ Harbor]],-1,0)</f>
        <v>0</v>
      </c>
      <c r="AL116" s="142"/>
      <c r="AM116" s="57">
        <f>IF(AND(TblImps[[#This Row],[Resource]]=AM$2,TblImps[[#This Row],[Part]]&lt;&gt;""),TblImps[[#This Row],[Amount]]) + IF(AND(TblImps[[#This Row],[Resource 2]]=AM$2,TblImps[[#This Row],[Part 2]]&lt;&gt;""),TblImps[[#This Row],[Amount 2]]) + IF(AND(TblImps[[#This Row],[Resource 3]]=AM$2,TblImps[[#This Row],[Part 3]]&lt;&gt;""),TblImps[[#This Row],[Amount 3]])</f>
        <v>0</v>
      </c>
      <c r="AN116" s="57">
        <f>IF(AND(TblImps[[#This Row],[Resource]]=AN$2,TblImps[[#This Row],[Part]]&lt;&gt;""),TblImps[[#This Row],[Amount]]) + IF(AND(TblImps[[#This Row],[Resource 2]]=AN$2,TblImps[[#This Row],[Part 2]]&lt;&gt;""),TblImps[[#This Row],[Amount 2]]) + IF(AND(TblImps[[#This Row],[Resource 3]]=AN$2,TblImps[[#This Row],[Part 3]]&lt;&gt;""),TblImps[[#This Row],[Amount 3]])</f>
        <v>0</v>
      </c>
      <c r="AO116" s="57">
        <f>IF(AND(TblImps[[#This Row],[Resource]]=AO$2,TblImps[[#This Row],[Part]]&lt;&gt;""),TblImps[[#This Row],[Amount]]) + IF(AND(TblImps[[#This Row],[Resource 2]]=AO$2,TblImps[[#This Row],[Part 2]]&lt;&gt;""),TblImps[[#This Row],[Amount 2]]) + IF(AND(TblImps[[#This Row],[Resource 3]]=AO$2,TblImps[[#This Row],[Part 3]]&lt;&gt;""),TblImps[[#This Row],[Amount 3]])</f>
        <v>0</v>
      </c>
      <c r="AP116" s="57">
        <f>IF(AND(TblImps[[#This Row],[Resource]]=AP$2,TblImps[[#This Row],[Part]]&lt;&gt;""),TblImps[[#This Row],[Amount]]) + IF(AND(TblImps[[#This Row],[Resource 2]]=AP$2,TblImps[[#This Row],[Part 2]]&lt;&gt;""),TblImps[[#This Row],[Amount 2]]) + IF(AND(TblImps[[#This Row],[Resource 3]]=AP$2,TblImps[[#This Row],[Part 3]]&lt;&gt;""),TblImps[[#This Row],[Amount 3]])</f>
        <v>0</v>
      </c>
      <c r="AQ116" s="142"/>
      <c r="AR1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142"/>
      <c r="AW1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142"/>
      <c r="BB1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142"/>
      <c r="BG1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57">
        <f ca="1">IF(OFFSET(TblMagic[[#This Row],[Active Alchemists Flame]],-1,0)&gt;0,TblConstr[[#This Row],[Tot Alc]]*alchemist_flame_invest,0)</f>
        <v>0</v>
      </c>
      <c r="BL116" s="142"/>
      <c r="BM11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6" s="142"/>
      <c r="BR11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6" s="142"/>
      <c r="BW1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6" s="61">
        <f>TblImps[[#This Row],[Login]]</f>
        <v>0</v>
      </c>
      <c r="BY116" s="137"/>
      <c r="BZ116" s="293">
        <f ca="1">OFFSET(TblImps[[#This Row],[Real time]],-1,0)+1/24</f>
        <v>46324.666666666395</v>
      </c>
      <c r="CA116" s="294">
        <f ca="1">OFFSET(TblImps[[#This Row],[Servertime]],-1,0)+1/24</f>
        <v>46324.666666666395</v>
      </c>
      <c r="CB116" s="57"/>
      <c r="CC116" s="292"/>
      <c r="CD116" s="292"/>
    </row>
    <row r="117" spans="1:82" x14ac:dyDescent="0.2">
      <c r="A117" s="214">
        <f ca="1">TblConstr[[#This Row],[Land]]</f>
        <v>50</v>
      </c>
      <c r="B117" s="142"/>
      <c r="C117" s="94">
        <f ca="1">TblProd[[#This Row],[Platinum]]</f>
        <v>206222</v>
      </c>
      <c r="D117" s="94">
        <f ca="1">TblProd[[#This Row],[Lumber]]</f>
        <v>72696</v>
      </c>
      <c r="E117" s="94">
        <f ca="1">TblProd[[#This Row],[Ore]]</f>
        <v>0</v>
      </c>
      <c r="F117" s="94">
        <f ca="1">TblProd[[#This Row],[Gems]]</f>
        <v>0</v>
      </c>
      <c r="G117" s="154"/>
      <c r="H117" s="94">
        <f ca="1">TblMili[[#This Row],[Draftees]]</f>
        <v>621</v>
      </c>
      <c r="I117" s="180">
        <f ca="1">TblPop[[#This Row],[Employment]]</f>
        <v>1</v>
      </c>
      <c r="J117" s="180">
        <f ca="1">TblPop[[#This Row],[Total]]/TblPop[[#This Row],[Net max]]</f>
        <v>1</v>
      </c>
      <c r="K117" s="283">
        <f>TblRezone[[#This Row],[Hour]]</f>
        <v>114</v>
      </c>
      <c r="L117" s="284">
        <f ca="1">TblImps[[#This Row],[Real time]]</f>
        <v>46324.708333333059</v>
      </c>
      <c r="M117" s="61">
        <f>IF(ISERROR(TblImps[[#This Row],[algorithm]]),0,TblImps[[#This Row],[algorithm]]*1)</f>
        <v>0</v>
      </c>
      <c r="N117" s="94">
        <f ca="1">TblImps[[#This Row],[Land]]</f>
        <v>50</v>
      </c>
      <c r="O117" s="285" t="s">
        <v>4</v>
      </c>
      <c r="P117" s="286"/>
      <c r="Q117" s="285" t="s">
        <v>210</v>
      </c>
      <c r="R117" s="285" t="s">
        <v>7</v>
      </c>
      <c r="S117" s="286"/>
      <c r="T117" s="285" t="s">
        <v>210</v>
      </c>
      <c r="U117" s="285" t="s">
        <v>3</v>
      </c>
      <c r="V117" s="286"/>
      <c r="W117" s="285" t="s">
        <v>210</v>
      </c>
      <c r="X117" s="142"/>
      <c r="Y117" s="287">
        <f ca="1">science_cap*(1-EXP(-TblImps[[#This Row],[Σ Science]]/(science_param*(OFFSET(TblImps[[#This Row],[Land]],1,0)-OFFSET(TblExplore[[#This Row],[Land Bonus]],1,0)*20)+15000)))*(1+(mason_bonus*TblConstr[[#This Row],[Tot Mas]]/TblConstr[[#This Row],[Land (2)]]))</f>
        <v>0</v>
      </c>
      <c r="Z117" s="287">
        <f ca="1">keep_cap*(1-EXP(-TblImps[[#This Row],[Σ Keep]]/(keep_param*(OFFSET(TblImps[[#This Row],[Land]],1,0)-OFFSET(TblExplore[[#This Row],[Land Bonus]],1,0)*20)+15000)))*(1+(mason_bonus*TblConstr[[#This Row],[Tot Mas]]/TblConstr[[#This Row],[Land (2)]]))</f>
        <v>0</v>
      </c>
      <c r="AA117" s="287">
        <f ca="1">harbor_towers_cap*(1-EXP(-TblImps[[#This Row],[Σ Spires]]/(towers_param*(OFFSET(TblImps[[#This Row],[Land]],1,0)-OFFSET(TblExplore[[#This Row],[Land Bonus]],1,0)*20)+15000)))*(1+(mason_bonus*TblConstr[[#This Row],[Tot Mas]]/TblConstr[[#This Row],[Land (2)]]))</f>
        <v>0</v>
      </c>
      <c r="AB117" s="287">
        <f ca="1">walls_forges_cap*(1-EXP(-TblImps[[#This Row],[Σ Forges]]/(walls_forges_param*(OFFSET(TblImps[[#This Row],[Land]],1,0)-OFFSET(TblExplore[[#This Row],[Land Bonus]],1,0)*20)+15000)))*(1+(mason_bonus*TblConstr[[#This Row],[Tot Mas]]/TblConstr[[#This Row],[Land (2)]]))</f>
        <v>0</v>
      </c>
      <c r="AC117" s="287">
        <f ca="1">walls_forges_cap*(1-EXP(-TblImps[[#This Row],[Σ Walls]]/(walls_forges_param*(OFFSET(TblImps[[#This Row],[Land]],1,0)-OFFSET(TblExplore[[#This Row],[Land Bonus]],1,0)*20)+15000)))*(1+(mason_bonus*TblConstr[[#This Row],[Tot Mas]]/TblConstr[[#This Row],[Land (2)]]))</f>
        <v>0</v>
      </c>
      <c r="AD117" s="287">
        <f ca="1">harbor_towers_cap*(1-EXP(-TblImps[[#This Row],[Σ Harbor]]/(harbor_towers_param*(OFFSET(TblImps[[#This Row],[Land]],1,0)-OFFSET(TblExplore[[#This Row],[Land Bonus]],1,0)*20)+15000)))*(1+(mason_bonus*TblConstr[[#This Row],[Tot Mas]]/TblConstr[[#This Row],[Land (2)]]))</f>
        <v>0</v>
      </c>
      <c r="AE117" s="142"/>
      <c r="AF117" s="61">
        <f ca="1">(1+Overview!$I$29)*SUM(TblImps[[#This Row],[P2]:[G2]])+OFFSET(TblImps[[#This Row],[Σ Science]],-1,0)</f>
        <v>0</v>
      </c>
      <c r="AG117" s="61">
        <f ca="1">(1+Overview!$I$29)*SUM(TblImps[[#This Row],[P3]:[G3]])+OFFSET(TblImps[[#This Row],[Σ Keep]],-1,0)</f>
        <v>0</v>
      </c>
      <c r="AH117" s="61">
        <f ca="1">(1+Overview!$I$29 + tech_7_1*TblTech[[#This Row],[7-1]])*SUM(TblImps[[#This Row],[P4]:[G4]])+OFFSET(TblImps[[#This Row],[Σ Spires]],-1,0)</f>
        <v>0</v>
      </c>
      <c r="AI117" s="61">
        <f ca="1">(1+Overview!$I$29)*SUM(TblImps[[#This Row],[P5]:[FW5]])+OFFSET(TblImps[[#This Row],[Σ Forges]],-1,0)</f>
        <v>0</v>
      </c>
      <c r="AJ117" s="61">
        <f ca="1">(1+Overview!$I$29)*SUM(TblImps[[#This Row],[P6]:[G6]])+OFFSET(TblImps[[#This Row],[Σ Walls]],-1,0)</f>
        <v>0</v>
      </c>
      <c r="AK117" s="61">
        <f ca="1">(1+Overview!$I$29 + tech_7_1*TblTech[[#This Row],[7-1]])*SUM(TblImps[[#This Row],[P7]:[G7]])+OFFSET(TblImps[[#This Row],[Σ Harbor]],-1,0)</f>
        <v>0</v>
      </c>
      <c r="AL117" s="142"/>
      <c r="AM117" s="57">
        <f>IF(AND(TblImps[[#This Row],[Resource]]=AM$2,TblImps[[#This Row],[Part]]&lt;&gt;""),TblImps[[#This Row],[Amount]]) + IF(AND(TblImps[[#This Row],[Resource 2]]=AM$2,TblImps[[#This Row],[Part 2]]&lt;&gt;""),TblImps[[#This Row],[Amount 2]]) + IF(AND(TblImps[[#This Row],[Resource 3]]=AM$2,TblImps[[#This Row],[Part 3]]&lt;&gt;""),TblImps[[#This Row],[Amount 3]])</f>
        <v>0</v>
      </c>
      <c r="AN117" s="57">
        <f>IF(AND(TblImps[[#This Row],[Resource]]=AN$2,TblImps[[#This Row],[Part]]&lt;&gt;""),TblImps[[#This Row],[Amount]]) + IF(AND(TblImps[[#This Row],[Resource 2]]=AN$2,TblImps[[#This Row],[Part 2]]&lt;&gt;""),TblImps[[#This Row],[Amount 2]]) + IF(AND(TblImps[[#This Row],[Resource 3]]=AN$2,TblImps[[#This Row],[Part 3]]&lt;&gt;""),TblImps[[#This Row],[Amount 3]])</f>
        <v>0</v>
      </c>
      <c r="AO117" s="57">
        <f>IF(AND(TblImps[[#This Row],[Resource]]=AO$2,TblImps[[#This Row],[Part]]&lt;&gt;""),TblImps[[#This Row],[Amount]]) + IF(AND(TblImps[[#This Row],[Resource 2]]=AO$2,TblImps[[#This Row],[Part 2]]&lt;&gt;""),TblImps[[#This Row],[Amount 2]]) + IF(AND(TblImps[[#This Row],[Resource 3]]=AO$2,TblImps[[#This Row],[Part 3]]&lt;&gt;""),TblImps[[#This Row],[Amount 3]])</f>
        <v>0</v>
      </c>
      <c r="AP117" s="57">
        <f>IF(AND(TblImps[[#This Row],[Resource]]=AP$2,TblImps[[#This Row],[Part]]&lt;&gt;""),TblImps[[#This Row],[Amount]]) + IF(AND(TblImps[[#This Row],[Resource 2]]=AP$2,TblImps[[#This Row],[Part 2]]&lt;&gt;""),TblImps[[#This Row],[Amount 2]]) + IF(AND(TblImps[[#This Row],[Resource 3]]=AP$2,TblImps[[#This Row],[Part 3]]&lt;&gt;""),TblImps[[#This Row],[Amount 3]])</f>
        <v>0</v>
      </c>
      <c r="AQ117" s="142"/>
      <c r="AR1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142"/>
      <c r="AW1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142"/>
      <c r="BB1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142"/>
      <c r="BG1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57">
        <f ca="1">IF(OFFSET(TblMagic[[#This Row],[Active Alchemists Flame]],-1,0)&gt;0,TblConstr[[#This Row],[Tot Alc]]*alchemist_flame_invest,0)</f>
        <v>0</v>
      </c>
      <c r="BL117" s="142"/>
      <c r="BM11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7" s="142"/>
      <c r="BR11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7" s="142"/>
      <c r="BW1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7" s="61">
        <f>TblImps[[#This Row],[Login]]</f>
        <v>0</v>
      </c>
      <c r="BY117" s="137"/>
      <c r="BZ117" s="293">
        <f ca="1">OFFSET(TblImps[[#This Row],[Real time]],-1,0)+1/24</f>
        <v>46324.708333333059</v>
      </c>
      <c r="CA117" s="294">
        <f ca="1">OFFSET(TblImps[[#This Row],[Servertime]],-1,0)+1/24</f>
        <v>46324.708333333059</v>
      </c>
      <c r="CB117" s="57"/>
      <c r="CC117" s="292"/>
      <c r="CD117" s="292"/>
    </row>
    <row r="118" spans="1:82" x14ac:dyDescent="0.2">
      <c r="A118" s="214">
        <f ca="1">TblConstr[[#This Row],[Land]]</f>
        <v>50</v>
      </c>
      <c r="B118" s="142"/>
      <c r="C118" s="94">
        <f ca="1">TblProd[[#This Row],[Platinum]]</f>
        <v>206621</v>
      </c>
      <c r="D118" s="94">
        <f ca="1">TblProd[[#This Row],[Lumber]]</f>
        <v>72969</v>
      </c>
      <c r="E118" s="94">
        <f ca="1">TblProd[[#This Row],[Ore]]</f>
        <v>0</v>
      </c>
      <c r="F118" s="94">
        <f ca="1">TblProd[[#This Row],[Gems]]</f>
        <v>0</v>
      </c>
      <c r="G118" s="154"/>
      <c r="H118" s="94">
        <f ca="1">TblMili[[#This Row],[Draftees]]</f>
        <v>622</v>
      </c>
      <c r="I118" s="180">
        <f ca="1">TblPop[[#This Row],[Employment]]</f>
        <v>1</v>
      </c>
      <c r="J118" s="180">
        <f ca="1">TblPop[[#This Row],[Total]]/TblPop[[#This Row],[Net max]]</f>
        <v>1</v>
      </c>
      <c r="K118" s="283">
        <f>TblRezone[[#This Row],[Hour]]</f>
        <v>115</v>
      </c>
      <c r="L118" s="284">
        <f ca="1">TblImps[[#This Row],[Real time]]</f>
        <v>46324.749999999724</v>
      </c>
      <c r="M118" s="61">
        <f>IF(ISERROR(TblImps[[#This Row],[algorithm]]),0,TblImps[[#This Row],[algorithm]]*1)</f>
        <v>0</v>
      </c>
      <c r="N118" s="94">
        <f ca="1">TblImps[[#This Row],[Land]]</f>
        <v>50</v>
      </c>
      <c r="O118" s="285" t="s">
        <v>4</v>
      </c>
      <c r="P118" s="286"/>
      <c r="Q118" s="285" t="s">
        <v>210</v>
      </c>
      <c r="R118" s="285" t="s">
        <v>7</v>
      </c>
      <c r="S118" s="286"/>
      <c r="T118" s="285" t="s">
        <v>210</v>
      </c>
      <c r="U118" s="285" t="s">
        <v>3</v>
      </c>
      <c r="V118" s="286"/>
      <c r="W118" s="285" t="s">
        <v>210</v>
      </c>
      <c r="X118" s="142"/>
      <c r="Y118" s="287">
        <f ca="1">science_cap*(1-EXP(-TblImps[[#This Row],[Σ Science]]/(science_param*(OFFSET(TblImps[[#This Row],[Land]],1,0)-OFFSET(TblExplore[[#This Row],[Land Bonus]],1,0)*20)+15000)))*(1+(mason_bonus*TblConstr[[#This Row],[Tot Mas]]/TblConstr[[#This Row],[Land (2)]]))</f>
        <v>0</v>
      </c>
      <c r="Z118" s="287">
        <f ca="1">keep_cap*(1-EXP(-TblImps[[#This Row],[Σ Keep]]/(keep_param*(OFFSET(TblImps[[#This Row],[Land]],1,0)-OFFSET(TblExplore[[#This Row],[Land Bonus]],1,0)*20)+15000)))*(1+(mason_bonus*TblConstr[[#This Row],[Tot Mas]]/TblConstr[[#This Row],[Land (2)]]))</f>
        <v>0</v>
      </c>
      <c r="AA118" s="287">
        <f ca="1">harbor_towers_cap*(1-EXP(-TblImps[[#This Row],[Σ Spires]]/(towers_param*(OFFSET(TblImps[[#This Row],[Land]],1,0)-OFFSET(TblExplore[[#This Row],[Land Bonus]],1,0)*20)+15000)))*(1+(mason_bonus*TblConstr[[#This Row],[Tot Mas]]/TblConstr[[#This Row],[Land (2)]]))</f>
        <v>0</v>
      </c>
      <c r="AB118" s="287">
        <f ca="1">walls_forges_cap*(1-EXP(-TblImps[[#This Row],[Σ Forges]]/(walls_forges_param*(OFFSET(TblImps[[#This Row],[Land]],1,0)-OFFSET(TblExplore[[#This Row],[Land Bonus]],1,0)*20)+15000)))*(1+(mason_bonus*TblConstr[[#This Row],[Tot Mas]]/TblConstr[[#This Row],[Land (2)]]))</f>
        <v>0</v>
      </c>
      <c r="AC118" s="287">
        <f ca="1">walls_forges_cap*(1-EXP(-TblImps[[#This Row],[Σ Walls]]/(walls_forges_param*(OFFSET(TblImps[[#This Row],[Land]],1,0)-OFFSET(TblExplore[[#This Row],[Land Bonus]],1,0)*20)+15000)))*(1+(mason_bonus*TblConstr[[#This Row],[Tot Mas]]/TblConstr[[#This Row],[Land (2)]]))</f>
        <v>0</v>
      </c>
      <c r="AD118" s="287">
        <f ca="1">harbor_towers_cap*(1-EXP(-TblImps[[#This Row],[Σ Harbor]]/(harbor_towers_param*(OFFSET(TblImps[[#This Row],[Land]],1,0)-OFFSET(TblExplore[[#This Row],[Land Bonus]],1,0)*20)+15000)))*(1+(mason_bonus*TblConstr[[#This Row],[Tot Mas]]/TblConstr[[#This Row],[Land (2)]]))</f>
        <v>0</v>
      </c>
      <c r="AE118" s="142"/>
      <c r="AF118" s="61">
        <f ca="1">(1+Overview!$I$29)*SUM(TblImps[[#This Row],[P2]:[G2]])+OFFSET(TblImps[[#This Row],[Σ Science]],-1,0)</f>
        <v>0</v>
      </c>
      <c r="AG118" s="61">
        <f ca="1">(1+Overview!$I$29)*SUM(TblImps[[#This Row],[P3]:[G3]])+OFFSET(TblImps[[#This Row],[Σ Keep]],-1,0)</f>
        <v>0</v>
      </c>
      <c r="AH118" s="61">
        <f ca="1">(1+Overview!$I$29 + tech_7_1*TblTech[[#This Row],[7-1]])*SUM(TblImps[[#This Row],[P4]:[G4]])+OFFSET(TblImps[[#This Row],[Σ Spires]],-1,0)</f>
        <v>0</v>
      </c>
      <c r="AI118" s="61">
        <f ca="1">(1+Overview!$I$29)*SUM(TblImps[[#This Row],[P5]:[FW5]])+OFFSET(TblImps[[#This Row],[Σ Forges]],-1,0)</f>
        <v>0</v>
      </c>
      <c r="AJ118" s="61">
        <f ca="1">(1+Overview!$I$29)*SUM(TblImps[[#This Row],[P6]:[G6]])+OFFSET(TblImps[[#This Row],[Σ Walls]],-1,0)</f>
        <v>0</v>
      </c>
      <c r="AK118" s="61">
        <f ca="1">(1+Overview!$I$29 + tech_7_1*TblTech[[#This Row],[7-1]])*SUM(TblImps[[#This Row],[P7]:[G7]])+OFFSET(TblImps[[#This Row],[Σ Harbor]],-1,0)</f>
        <v>0</v>
      </c>
      <c r="AL118" s="142"/>
      <c r="AM118" s="57">
        <f>IF(AND(TblImps[[#This Row],[Resource]]=AM$2,TblImps[[#This Row],[Part]]&lt;&gt;""),TblImps[[#This Row],[Amount]]) + IF(AND(TblImps[[#This Row],[Resource 2]]=AM$2,TblImps[[#This Row],[Part 2]]&lt;&gt;""),TblImps[[#This Row],[Amount 2]]) + IF(AND(TblImps[[#This Row],[Resource 3]]=AM$2,TblImps[[#This Row],[Part 3]]&lt;&gt;""),TblImps[[#This Row],[Amount 3]])</f>
        <v>0</v>
      </c>
      <c r="AN118" s="57">
        <f>IF(AND(TblImps[[#This Row],[Resource]]=AN$2,TblImps[[#This Row],[Part]]&lt;&gt;""),TblImps[[#This Row],[Amount]]) + IF(AND(TblImps[[#This Row],[Resource 2]]=AN$2,TblImps[[#This Row],[Part 2]]&lt;&gt;""),TblImps[[#This Row],[Amount 2]]) + IF(AND(TblImps[[#This Row],[Resource 3]]=AN$2,TblImps[[#This Row],[Part 3]]&lt;&gt;""),TblImps[[#This Row],[Amount 3]])</f>
        <v>0</v>
      </c>
      <c r="AO118" s="57">
        <f>IF(AND(TblImps[[#This Row],[Resource]]=AO$2,TblImps[[#This Row],[Part]]&lt;&gt;""),TblImps[[#This Row],[Amount]]) + IF(AND(TblImps[[#This Row],[Resource 2]]=AO$2,TblImps[[#This Row],[Part 2]]&lt;&gt;""),TblImps[[#This Row],[Amount 2]]) + IF(AND(TblImps[[#This Row],[Resource 3]]=AO$2,TblImps[[#This Row],[Part 3]]&lt;&gt;""),TblImps[[#This Row],[Amount 3]])</f>
        <v>0</v>
      </c>
      <c r="AP118" s="57">
        <f>IF(AND(TblImps[[#This Row],[Resource]]=AP$2,TblImps[[#This Row],[Part]]&lt;&gt;""),TblImps[[#This Row],[Amount]]) + IF(AND(TblImps[[#This Row],[Resource 2]]=AP$2,TblImps[[#This Row],[Part 2]]&lt;&gt;""),TblImps[[#This Row],[Amount 2]]) + IF(AND(TblImps[[#This Row],[Resource 3]]=AP$2,TblImps[[#This Row],[Part 3]]&lt;&gt;""),TblImps[[#This Row],[Amount 3]])</f>
        <v>0</v>
      </c>
      <c r="AQ118" s="142"/>
      <c r="AR1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142"/>
      <c r="AW1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142"/>
      <c r="BB1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142"/>
      <c r="BG1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57">
        <f ca="1">IF(OFFSET(TblMagic[[#This Row],[Active Alchemists Flame]],-1,0)&gt;0,TblConstr[[#This Row],[Tot Alc]]*alchemist_flame_invest,0)</f>
        <v>0</v>
      </c>
      <c r="BL118" s="142"/>
      <c r="BM11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8" s="142"/>
      <c r="BR11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8" s="142"/>
      <c r="BW1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8" s="61">
        <f>TblImps[[#This Row],[Login]]</f>
        <v>0</v>
      </c>
      <c r="BY118" s="137"/>
      <c r="BZ118" s="293">
        <f ca="1">OFFSET(TblImps[[#This Row],[Real time]],-1,0)+1/24</f>
        <v>46324.749999999724</v>
      </c>
      <c r="CA118" s="294">
        <f ca="1">OFFSET(TblImps[[#This Row],[Servertime]],-1,0)+1/24</f>
        <v>46324.749999999724</v>
      </c>
      <c r="CB118" s="57"/>
      <c r="CC118" s="292"/>
      <c r="CD118" s="292"/>
    </row>
    <row r="119" spans="1:82" x14ac:dyDescent="0.2">
      <c r="A119" s="214">
        <f ca="1">TblConstr[[#This Row],[Land]]</f>
        <v>50</v>
      </c>
      <c r="B119" s="142"/>
      <c r="C119" s="94">
        <f ca="1">TblProd[[#This Row],[Platinum]]</f>
        <v>207017</v>
      </c>
      <c r="D119" s="94">
        <f ca="1">TblProd[[#This Row],[Lumber]]</f>
        <v>73239</v>
      </c>
      <c r="E119" s="94">
        <f ca="1">TblProd[[#This Row],[Ore]]</f>
        <v>0</v>
      </c>
      <c r="F119" s="94">
        <f ca="1">TblProd[[#This Row],[Gems]]</f>
        <v>0</v>
      </c>
      <c r="G119" s="154"/>
      <c r="H119" s="94">
        <f ca="1">TblMili[[#This Row],[Draftees]]</f>
        <v>623</v>
      </c>
      <c r="I119" s="180">
        <f ca="1">TblPop[[#This Row],[Employment]]</f>
        <v>1</v>
      </c>
      <c r="J119" s="180">
        <f ca="1">TblPop[[#This Row],[Total]]/TblPop[[#This Row],[Net max]]</f>
        <v>1</v>
      </c>
      <c r="K119" s="283">
        <f>TblRezone[[#This Row],[Hour]]</f>
        <v>116</v>
      </c>
      <c r="L119" s="284">
        <f ca="1">TblImps[[#This Row],[Real time]]</f>
        <v>46324.791666666388</v>
      </c>
      <c r="M119" s="61">
        <f>IF(ISERROR(TblImps[[#This Row],[algorithm]]),0,TblImps[[#This Row],[algorithm]]*1)</f>
        <v>0</v>
      </c>
      <c r="N119" s="94">
        <f ca="1">TblImps[[#This Row],[Land]]</f>
        <v>50</v>
      </c>
      <c r="O119" s="285" t="s">
        <v>4</v>
      </c>
      <c r="P119" s="286"/>
      <c r="Q119" s="285" t="s">
        <v>210</v>
      </c>
      <c r="R119" s="285" t="s">
        <v>7</v>
      </c>
      <c r="S119" s="286"/>
      <c r="T119" s="285" t="s">
        <v>210</v>
      </c>
      <c r="U119" s="285" t="s">
        <v>3</v>
      </c>
      <c r="V119" s="286"/>
      <c r="W119" s="285" t="s">
        <v>210</v>
      </c>
      <c r="X119" s="142"/>
      <c r="Y119" s="287">
        <f ca="1">science_cap*(1-EXP(-TblImps[[#This Row],[Σ Science]]/(science_param*(OFFSET(TblImps[[#This Row],[Land]],1,0)-OFFSET(TblExplore[[#This Row],[Land Bonus]],1,0)*20)+15000)))*(1+(mason_bonus*TblConstr[[#This Row],[Tot Mas]]/TblConstr[[#This Row],[Land (2)]]))</f>
        <v>0</v>
      </c>
      <c r="Z119" s="287">
        <f ca="1">keep_cap*(1-EXP(-TblImps[[#This Row],[Σ Keep]]/(keep_param*(OFFSET(TblImps[[#This Row],[Land]],1,0)-OFFSET(TblExplore[[#This Row],[Land Bonus]],1,0)*20)+15000)))*(1+(mason_bonus*TblConstr[[#This Row],[Tot Mas]]/TblConstr[[#This Row],[Land (2)]]))</f>
        <v>0</v>
      </c>
      <c r="AA119" s="287">
        <f ca="1">harbor_towers_cap*(1-EXP(-TblImps[[#This Row],[Σ Spires]]/(towers_param*(OFFSET(TblImps[[#This Row],[Land]],1,0)-OFFSET(TblExplore[[#This Row],[Land Bonus]],1,0)*20)+15000)))*(1+(mason_bonus*TblConstr[[#This Row],[Tot Mas]]/TblConstr[[#This Row],[Land (2)]]))</f>
        <v>0</v>
      </c>
      <c r="AB119" s="287">
        <f ca="1">walls_forges_cap*(1-EXP(-TblImps[[#This Row],[Σ Forges]]/(walls_forges_param*(OFFSET(TblImps[[#This Row],[Land]],1,0)-OFFSET(TblExplore[[#This Row],[Land Bonus]],1,0)*20)+15000)))*(1+(mason_bonus*TblConstr[[#This Row],[Tot Mas]]/TblConstr[[#This Row],[Land (2)]]))</f>
        <v>0</v>
      </c>
      <c r="AC119" s="287">
        <f ca="1">walls_forges_cap*(1-EXP(-TblImps[[#This Row],[Σ Walls]]/(walls_forges_param*(OFFSET(TblImps[[#This Row],[Land]],1,0)-OFFSET(TblExplore[[#This Row],[Land Bonus]],1,0)*20)+15000)))*(1+(mason_bonus*TblConstr[[#This Row],[Tot Mas]]/TblConstr[[#This Row],[Land (2)]]))</f>
        <v>0</v>
      </c>
      <c r="AD119" s="287">
        <f ca="1">harbor_towers_cap*(1-EXP(-TblImps[[#This Row],[Σ Harbor]]/(harbor_towers_param*(OFFSET(TblImps[[#This Row],[Land]],1,0)-OFFSET(TblExplore[[#This Row],[Land Bonus]],1,0)*20)+15000)))*(1+(mason_bonus*TblConstr[[#This Row],[Tot Mas]]/TblConstr[[#This Row],[Land (2)]]))</f>
        <v>0</v>
      </c>
      <c r="AE119" s="142"/>
      <c r="AF119" s="61">
        <f ca="1">(1+Overview!$I$29)*SUM(TblImps[[#This Row],[P2]:[G2]])+OFFSET(TblImps[[#This Row],[Σ Science]],-1,0)</f>
        <v>0</v>
      </c>
      <c r="AG119" s="61">
        <f ca="1">(1+Overview!$I$29)*SUM(TblImps[[#This Row],[P3]:[G3]])+OFFSET(TblImps[[#This Row],[Σ Keep]],-1,0)</f>
        <v>0</v>
      </c>
      <c r="AH119" s="61">
        <f ca="1">(1+Overview!$I$29 + tech_7_1*TblTech[[#This Row],[7-1]])*SUM(TblImps[[#This Row],[P4]:[G4]])+OFFSET(TblImps[[#This Row],[Σ Spires]],-1,0)</f>
        <v>0</v>
      </c>
      <c r="AI119" s="61">
        <f ca="1">(1+Overview!$I$29)*SUM(TblImps[[#This Row],[P5]:[FW5]])+OFFSET(TblImps[[#This Row],[Σ Forges]],-1,0)</f>
        <v>0</v>
      </c>
      <c r="AJ119" s="61">
        <f ca="1">(1+Overview!$I$29)*SUM(TblImps[[#This Row],[P6]:[G6]])+OFFSET(TblImps[[#This Row],[Σ Walls]],-1,0)</f>
        <v>0</v>
      </c>
      <c r="AK119" s="61">
        <f ca="1">(1+Overview!$I$29 + tech_7_1*TblTech[[#This Row],[7-1]])*SUM(TblImps[[#This Row],[P7]:[G7]])+OFFSET(TblImps[[#This Row],[Σ Harbor]],-1,0)</f>
        <v>0</v>
      </c>
      <c r="AL119" s="142"/>
      <c r="AM119" s="57">
        <f>IF(AND(TblImps[[#This Row],[Resource]]=AM$2,TblImps[[#This Row],[Part]]&lt;&gt;""),TblImps[[#This Row],[Amount]]) + IF(AND(TblImps[[#This Row],[Resource 2]]=AM$2,TblImps[[#This Row],[Part 2]]&lt;&gt;""),TblImps[[#This Row],[Amount 2]]) + IF(AND(TblImps[[#This Row],[Resource 3]]=AM$2,TblImps[[#This Row],[Part 3]]&lt;&gt;""),TblImps[[#This Row],[Amount 3]])</f>
        <v>0</v>
      </c>
      <c r="AN119" s="57">
        <f>IF(AND(TblImps[[#This Row],[Resource]]=AN$2,TblImps[[#This Row],[Part]]&lt;&gt;""),TblImps[[#This Row],[Amount]]) + IF(AND(TblImps[[#This Row],[Resource 2]]=AN$2,TblImps[[#This Row],[Part 2]]&lt;&gt;""),TblImps[[#This Row],[Amount 2]]) + IF(AND(TblImps[[#This Row],[Resource 3]]=AN$2,TblImps[[#This Row],[Part 3]]&lt;&gt;""),TblImps[[#This Row],[Amount 3]])</f>
        <v>0</v>
      </c>
      <c r="AO119" s="57">
        <f>IF(AND(TblImps[[#This Row],[Resource]]=AO$2,TblImps[[#This Row],[Part]]&lt;&gt;""),TblImps[[#This Row],[Amount]]) + IF(AND(TblImps[[#This Row],[Resource 2]]=AO$2,TblImps[[#This Row],[Part 2]]&lt;&gt;""),TblImps[[#This Row],[Amount 2]]) + IF(AND(TblImps[[#This Row],[Resource 3]]=AO$2,TblImps[[#This Row],[Part 3]]&lt;&gt;""),TblImps[[#This Row],[Amount 3]])</f>
        <v>0</v>
      </c>
      <c r="AP119" s="57">
        <f>IF(AND(TblImps[[#This Row],[Resource]]=AP$2,TblImps[[#This Row],[Part]]&lt;&gt;""),TblImps[[#This Row],[Amount]]) + IF(AND(TblImps[[#This Row],[Resource 2]]=AP$2,TblImps[[#This Row],[Part 2]]&lt;&gt;""),TblImps[[#This Row],[Amount 2]]) + IF(AND(TblImps[[#This Row],[Resource 3]]=AP$2,TblImps[[#This Row],[Part 3]]&lt;&gt;""),TblImps[[#This Row],[Amount 3]])</f>
        <v>0</v>
      </c>
      <c r="AQ119" s="142"/>
      <c r="AR1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142"/>
      <c r="AW1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142"/>
      <c r="BB1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142"/>
      <c r="BG1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57">
        <f ca="1">IF(OFFSET(TblMagic[[#This Row],[Active Alchemists Flame]],-1,0)&gt;0,TblConstr[[#This Row],[Tot Alc]]*alchemist_flame_invest,0)</f>
        <v>0</v>
      </c>
      <c r="BL119" s="142"/>
      <c r="BM11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9" s="142"/>
      <c r="BR11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9" s="142"/>
      <c r="BW1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9" s="61">
        <f>TblImps[[#This Row],[Login]]</f>
        <v>0</v>
      </c>
      <c r="BY119" s="137"/>
      <c r="BZ119" s="293">
        <f ca="1">OFFSET(TblImps[[#This Row],[Real time]],-1,0)+1/24</f>
        <v>46324.791666666388</v>
      </c>
      <c r="CA119" s="294">
        <f ca="1">OFFSET(TblImps[[#This Row],[Servertime]],-1,0)+1/24</f>
        <v>46324.791666666388</v>
      </c>
      <c r="CB119" s="57"/>
      <c r="CC119" s="292"/>
      <c r="CD119" s="292"/>
    </row>
    <row r="120" spans="1:82" x14ac:dyDescent="0.2">
      <c r="A120" s="214">
        <f ca="1">TblConstr[[#This Row],[Land]]</f>
        <v>50</v>
      </c>
      <c r="B120" s="142"/>
      <c r="C120" s="94">
        <f ca="1">TblProd[[#This Row],[Platinum]]</f>
        <v>207411</v>
      </c>
      <c r="D120" s="94">
        <f ca="1">TblProd[[#This Row],[Lumber]]</f>
        <v>73507</v>
      </c>
      <c r="E120" s="94">
        <f ca="1">TblProd[[#This Row],[Ore]]</f>
        <v>0</v>
      </c>
      <c r="F120" s="94">
        <f ca="1">TblProd[[#This Row],[Gems]]</f>
        <v>0</v>
      </c>
      <c r="G120" s="154"/>
      <c r="H120" s="94">
        <f ca="1">TblMili[[#This Row],[Draftees]]</f>
        <v>624</v>
      </c>
      <c r="I120" s="180">
        <f ca="1">TblPop[[#This Row],[Employment]]</f>
        <v>1</v>
      </c>
      <c r="J120" s="180">
        <f ca="1">TblPop[[#This Row],[Total]]/TblPop[[#This Row],[Net max]]</f>
        <v>1</v>
      </c>
      <c r="K120" s="283">
        <f>TblRezone[[#This Row],[Hour]]</f>
        <v>117</v>
      </c>
      <c r="L120" s="284">
        <f ca="1">TblImps[[#This Row],[Real time]]</f>
        <v>46324.833333333052</v>
      </c>
      <c r="M120" s="61">
        <f>IF(ISERROR(TblImps[[#This Row],[algorithm]]),0,TblImps[[#This Row],[algorithm]]*1)</f>
        <v>0</v>
      </c>
      <c r="N120" s="94">
        <f ca="1">TblImps[[#This Row],[Land]]</f>
        <v>50</v>
      </c>
      <c r="O120" s="285" t="s">
        <v>4</v>
      </c>
      <c r="P120" s="286"/>
      <c r="Q120" s="285" t="s">
        <v>210</v>
      </c>
      <c r="R120" s="285" t="s">
        <v>7</v>
      </c>
      <c r="S120" s="286"/>
      <c r="T120" s="285" t="s">
        <v>210</v>
      </c>
      <c r="U120" s="285" t="s">
        <v>3</v>
      </c>
      <c r="V120" s="286"/>
      <c r="W120" s="285" t="s">
        <v>210</v>
      </c>
      <c r="X120" s="142"/>
      <c r="Y120" s="287">
        <f ca="1">science_cap*(1-EXP(-TblImps[[#This Row],[Σ Science]]/(science_param*(OFFSET(TblImps[[#This Row],[Land]],1,0)-OFFSET(TblExplore[[#This Row],[Land Bonus]],1,0)*20)+15000)))*(1+(mason_bonus*TblConstr[[#This Row],[Tot Mas]]/TblConstr[[#This Row],[Land (2)]]))</f>
        <v>0</v>
      </c>
      <c r="Z120" s="287">
        <f ca="1">keep_cap*(1-EXP(-TblImps[[#This Row],[Σ Keep]]/(keep_param*(OFFSET(TblImps[[#This Row],[Land]],1,0)-OFFSET(TblExplore[[#This Row],[Land Bonus]],1,0)*20)+15000)))*(1+(mason_bonus*TblConstr[[#This Row],[Tot Mas]]/TblConstr[[#This Row],[Land (2)]]))</f>
        <v>0</v>
      </c>
      <c r="AA120" s="287">
        <f ca="1">harbor_towers_cap*(1-EXP(-TblImps[[#This Row],[Σ Spires]]/(towers_param*(OFFSET(TblImps[[#This Row],[Land]],1,0)-OFFSET(TblExplore[[#This Row],[Land Bonus]],1,0)*20)+15000)))*(1+(mason_bonus*TblConstr[[#This Row],[Tot Mas]]/TblConstr[[#This Row],[Land (2)]]))</f>
        <v>0</v>
      </c>
      <c r="AB120" s="287">
        <f ca="1">walls_forges_cap*(1-EXP(-TblImps[[#This Row],[Σ Forges]]/(walls_forges_param*(OFFSET(TblImps[[#This Row],[Land]],1,0)-OFFSET(TblExplore[[#This Row],[Land Bonus]],1,0)*20)+15000)))*(1+(mason_bonus*TblConstr[[#This Row],[Tot Mas]]/TblConstr[[#This Row],[Land (2)]]))</f>
        <v>0</v>
      </c>
      <c r="AC120" s="287">
        <f ca="1">walls_forges_cap*(1-EXP(-TblImps[[#This Row],[Σ Walls]]/(walls_forges_param*(OFFSET(TblImps[[#This Row],[Land]],1,0)-OFFSET(TblExplore[[#This Row],[Land Bonus]],1,0)*20)+15000)))*(1+(mason_bonus*TblConstr[[#This Row],[Tot Mas]]/TblConstr[[#This Row],[Land (2)]]))</f>
        <v>0</v>
      </c>
      <c r="AD120" s="287">
        <f ca="1">harbor_towers_cap*(1-EXP(-TblImps[[#This Row],[Σ Harbor]]/(harbor_towers_param*(OFFSET(TblImps[[#This Row],[Land]],1,0)-OFFSET(TblExplore[[#This Row],[Land Bonus]],1,0)*20)+15000)))*(1+(mason_bonus*TblConstr[[#This Row],[Tot Mas]]/TblConstr[[#This Row],[Land (2)]]))</f>
        <v>0</v>
      </c>
      <c r="AE120" s="142"/>
      <c r="AF120" s="61">
        <f ca="1">(1+Overview!$I$29)*SUM(TblImps[[#This Row],[P2]:[G2]])+OFFSET(TblImps[[#This Row],[Σ Science]],-1,0)</f>
        <v>0</v>
      </c>
      <c r="AG120" s="61">
        <f ca="1">(1+Overview!$I$29)*SUM(TblImps[[#This Row],[P3]:[G3]])+OFFSET(TblImps[[#This Row],[Σ Keep]],-1,0)</f>
        <v>0</v>
      </c>
      <c r="AH120" s="61">
        <f ca="1">(1+Overview!$I$29 + tech_7_1*TblTech[[#This Row],[7-1]])*SUM(TblImps[[#This Row],[P4]:[G4]])+OFFSET(TblImps[[#This Row],[Σ Spires]],-1,0)</f>
        <v>0</v>
      </c>
      <c r="AI120" s="61">
        <f ca="1">(1+Overview!$I$29)*SUM(TblImps[[#This Row],[P5]:[FW5]])+OFFSET(TblImps[[#This Row],[Σ Forges]],-1,0)</f>
        <v>0</v>
      </c>
      <c r="AJ120" s="61">
        <f ca="1">(1+Overview!$I$29)*SUM(TblImps[[#This Row],[P6]:[G6]])+OFFSET(TblImps[[#This Row],[Σ Walls]],-1,0)</f>
        <v>0</v>
      </c>
      <c r="AK120" s="61">
        <f ca="1">(1+Overview!$I$29 + tech_7_1*TblTech[[#This Row],[7-1]])*SUM(TblImps[[#This Row],[P7]:[G7]])+OFFSET(TblImps[[#This Row],[Σ Harbor]],-1,0)</f>
        <v>0</v>
      </c>
      <c r="AL120" s="142"/>
      <c r="AM120" s="57">
        <f>IF(AND(TblImps[[#This Row],[Resource]]=AM$2,TblImps[[#This Row],[Part]]&lt;&gt;""),TblImps[[#This Row],[Amount]]) + IF(AND(TblImps[[#This Row],[Resource 2]]=AM$2,TblImps[[#This Row],[Part 2]]&lt;&gt;""),TblImps[[#This Row],[Amount 2]]) + IF(AND(TblImps[[#This Row],[Resource 3]]=AM$2,TblImps[[#This Row],[Part 3]]&lt;&gt;""),TblImps[[#This Row],[Amount 3]])</f>
        <v>0</v>
      </c>
      <c r="AN120" s="57">
        <f>IF(AND(TblImps[[#This Row],[Resource]]=AN$2,TblImps[[#This Row],[Part]]&lt;&gt;""),TblImps[[#This Row],[Amount]]) + IF(AND(TblImps[[#This Row],[Resource 2]]=AN$2,TblImps[[#This Row],[Part 2]]&lt;&gt;""),TblImps[[#This Row],[Amount 2]]) + IF(AND(TblImps[[#This Row],[Resource 3]]=AN$2,TblImps[[#This Row],[Part 3]]&lt;&gt;""),TblImps[[#This Row],[Amount 3]])</f>
        <v>0</v>
      </c>
      <c r="AO120" s="57">
        <f>IF(AND(TblImps[[#This Row],[Resource]]=AO$2,TblImps[[#This Row],[Part]]&lt;&gt;""),TblImps[[#This Row],[Amount]]) + IF(AND(TblImps[[#This Row],[Resource 2]]=AO$2,TblImps[[#This Row],[Part 2]]&lt;&gt;""),TblImps[[#This Row],[Amount 2]]) + IF(AND(TblImps[[#This Row],[Resource 3]]=AO$2,TblImps[[#This Row],[Part 3]]&lt;&gt;""),TblImps[[#This Row],[Amount 3]])</f>
        <v>0</v>
      </c>
      <c r="AP120" s="57">
        <f>IF(AND(TblImps[[#This Row],[Resource]]=AP$2,TblImps[[#This Row],[Part]]&lt;&gt;""),TblImps[[#This Row],[Amount]]) + IF(AND(TblImps[[#This Row],[Resource 2]]=AP$2,TblImps[[#This Row],[Part 2]]&lt;&gt;""),TblImps[[#This Row],[Amount 2]]) + IF(AND(TblImps[[#This Row],[Resource 3]]=AP$2,TblImps[[#This Row],[Part 3]]&lt;&gt;""),TblImps[[#This Row],[Amount 3]])</f>
        <v>0</v>
      </c>
      <c r="AQ120" s="142"/>
      <c r="AR1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142"/>
      <c r="AW1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142"/>
      <c r="BB1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142"/>
      <c r="BG1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57">
        <f ca="1">IF(OFFSET(TblMagic[[#This Row],[Active Alchemists Flame]],-1,0)&gt;0,TblConstr[[#This Row],[Tot Alc]]*alchemist_flame_invest,0)</f>
        <v>0</v>
      </c>
      <c r="BL120" s="142"/>
      <c r="BM12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0" s="142"/>
      <c r="BR12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0" s="142"/>
      <c r="BW1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0" s="61">
        <f>TblImps[[#This Row],[Login]]</f>
        <v>0</v>
      </c>
      <c r="BY120" s="137"/>
      <c r="BZ120" s="293">
        <f ca="1">OFFSET(TblImps[[#This Row],[Real time]],-1,0)+1/24</f>
        <v>46324.833333333052</v>
      </c>
      <c r="CA120" s="294">
        <f ca="1">OFFSET(TblImps[[#This Row],[Servertime]],-1,0)+1/24</f>
        <v>46324.833333333052</v>
      </c>
      <c r="CB120" s="57"/>
      <c r="CC120" s="292"/>
      <c r="CD120" s="292"/>
    </row>
    <row r="121" spans="1:82" x14ac:dyDescent="0.2">
      <c r="A121" s="214">
        <f ca="1">TblConstr[[#This Row],[Land]]</f>
        <v>50</v>
      </c>
      <c r="B121" s="142"/>
      <c r="C121" s="94">
        <f ca="1">TblProd[[#This Row],[Platinum]]</f>
        <v>207802</v>
      </c>
      <c r="D121" s="94">
        <f ca="1">TblProd[[#This Row],[Lumber]]</f>
        <v>73772</v>
      </c>
      <c r="E121" s="94">
        <f ca="1">TblProd[[#This Row],[Ore]]</f>
        <v>0</v>
      </c>
      <c r="F121" s="94">
        <f ca="1">TblProd[[#This Row],[Gems]]</f>
        <v>0</v>
      </c>
      <c r="G121" s="154"/>
      <c r="H121" s="94">
        <f ca="1">TblMili[[#This Row],[Draftees]]</f>
        <v>625</v>
      </c>
      <c r="I121" s="180">
        <f ca="1">TblPop[[#This Row],[Employment]]</f>
        <v>1</v>
      </c>
      <c r="J121" s="180">
        <f ca="1">TblPop[[#This Row],[Total]]/TblPop[[#This Row],[Net max]]</f>
        <v>1</v>
      </c>
      <c r="K121" s="283">
        <f>TblRezone[[#This Row],[Hour]]</f>
        <v>118</v>
      </c>
      <c r="L121" s="284">
        <f ca="1">TblImps[[#This Row],[Real time]]</f>
        <v>46324.874999999716</v>
      </c>
      <c r="M121" s="61">
        <f>IF(ISERROR(TblImps[[#This Row],[algorithm]]),0,TblImps[[#This Row],[algorithm]]*1)</f>
        <v>0</v>
      </c>
      <c r="N121" s="94">
        <f ca="1">TblImps[[#This Row],[Land]]</f>
        <v>50</v>
      </c>
      <c r="O121" s="285" t="s">
        <v>4</v>
      </c>
      <c r="P121" s="286"/>
      <c r="Q121" s="285" t="s">
        <v>210</v>
      </c>
      <c r="R121" s="285" t="s">
        <v>7</v>
      </c>
      <c r="S121" s="286"/>
      <c r="T121" s="285" t="s">
        <v>210</v>
      </c>
      <c r="U121" s="285" t="s">
        <v>3</v>
      </c>
      <c r="V121" s="286"/>
      <c r="W121" s="285" t="s">
        <v>210</v>
      </c>
      <c r="X121" s="142"/>
      <c r="Y121" s="287">
        <f ca="1">science_cap*(1-EXP(-TblImps[[#This Row],[Σ Science]]/(science_param*(OFFSET(TblImps[[#This Row],[Land]],1,0)-OFFSET(TblExplore[[#This Row],[Land Bonus]],1,0)*20)+15000)))*(1+(mason_bonus*TblConstr[[#This Row],[Tot Mas]]/TblConstr[[#This Row],[Land (2)]]))</f>
        <v>0</v>
      </c>
      <c r="Z121" s="287">
        <f ca="1">keep_cap*(1-EXP(-TblImps[[#This Row],[Σ Keep]]/(keep_param*(OFFSET(TblImps[[#This Row],[Land]],1,0)-OFFSET(TblExplore[[#This Row],[Land Bonus]],1,0)*20)+15000)))*(1+(mason_bonus*TblConstr[[#This Row],[Tot Mas]]/TblConstr[[#This Row],[Land (2)]]))</f>
        <v>0</v>
      </c>
      <c r="AA121" s="287">
        <f ca="1">harbor_towers_cap*(1-EXP(-TblImps[[#This Row],[Σ Spires]]/(towers_param*(OFFSET(TblImps[[#This Row],[Land]],1,0)-OFFSET(TblExplore[[#This Row],[Land Bonus]],1,0)*20)+15000)))*(1+(mason_bonus*TblConstr[[#This Row],[Tot Mas]]/TblConstr[[#This Row],[Land (2)]]))</f>
        <v>0</v>
      </c>
      <c r="AB121" s="287">
        <f ca="1">walls_forges_cap*(1-EXP(-TblImps[[#This Row],[Σ Forges]]/(walls_forges_param*(OFFSET(TblImps[[#This Row],[Land]],1,0)-OFFSET(TblExplore[[#This Row],[Land Bonus]],1,0)*20)+15000)))*(1+(mason_bonus*TblConstr[[#This Row],[Tot Mas]]/TblConstr[[#This Row],[Land (2)]]))</f>
        <v>0</v>
      </c>
      <c r="AC121" s="287">
        <f ca="1">walls_forges_cap*(1-EXP(-TblImps[[#This Row],[Σ Walls]]/(walls_forges_param*(OFFSET(TblImps[[#This Row],[Land]],1,0)-OFFSET(TblExplore[[#This Row],[Land Bonus]],1,0)*20)+15000)))*(1+(mason_bonus*TblConstr[[#This Row],[Tot Mas]]/TblConstr[[#This Row],[Land (2)]]))</f>
        <v>0</v>
      </c>
      <c r="AD121" s="287">
        <f ca="1">harbor_towers_cap*(1-EXP(-TblImps[[#This Row],[Σ Harbor]]/(harbor_towers_param*(OFFSET(TblImps[[#This Row],[Land]],1,0)-OFFSET(TblExplore[[#This Row],[Land Bonus]],1,0)*20)+15000)))*(1+(mason_bonus*TblConstr[[#This Row],[Tot Mas]]/TblConstr[[#This Row],[Land (2)]]))</f>
        <v>0</v>
      </c>
      <c r="AE121" s="142"/>
      <c r="AF121" s="61">
        <f ca="1">(1+Overview!$I$29)*SUM(TblImps[[#This Row],[P2]:[G2]])+OFFSET(TblImps[[#This Row],[Σ Science]],-1,0)</f>
        <v>0</v>
      </c>
      <c r="AG121" s="61">
        <f ca="1">(1+Overview!$I$29)*SUM(TblImps[[#This Row],[P3]:[G3]])+OFFSET(TblImps[[#This Row],[Σ Keep]],-1,0)</f>
        <v>0</v>
      </c>
      <c r="AH121" s="61">
        <f ca="1">(1+Overview!$I$29 + tech_7_1*TblTech[[#This Row],[7-1]])*SUM(TblImps[[#This Row],[P4]:[G4]])+OFFSET(TblImps[[#This Row],[Σ Spires]],-1,0)</f>
        <v>0</v>
      </c>
      <c r="AI121" s="61">
        <f ca="1">(1+Overview!$I$29)*SUM(TblImps[[#This Row],[P5]:[FW5]])+OFFSET(TblImps[[#This Row],[Σ Forges]],-1,0)</f>
        <v>0</v>
      </c>
      <c r="AJ121" s="61">
        <f ca="1">(1+Overview!$I$29)*SUM(TblImps[[#This Row],[P6]:[G6]])+OFFSET(TblImps[[#This Row],[Σ Walls]],-1,0)</f>
        <v>0</v>
      </c>
      <c r="AK121" s="61">
        <f ca="1">(1+Overview!$I$29 + tech_7_1*TblTech[[#This Row],[7-1]])*SUM(TblImps[[#This Row],[P7]:[G7]])+OFFSET(TblImps[[#This Row],[Σ Harbor]],-1,0)</f>
        <v>0</v>
      </c>
      <c r="AL121" s="142"/>
      <c r="AM121" s="57">
        <f>IF(AND(TblImps[[#This Row],[Resource]]=AM$2,TblImps[[#This Row],[Part]]&lt;&gt;""),TblImps[[#This Row],[Amount]]) + IF(AND(TblImps[[#This Row],[Resource 2]]=AM$2,TblImps[[#This Row],[Part 2]]&lt;&gt;""),TblImps[[#This Row],[Amount 2]]) + IF(AND(TblImps[[#This Row],[Resource 3]]=AM$2,TblImps[[#This Row],[Part 3]]&lt;&gt;""),TblImps[[#This Row],[Amount 3]])</f>
        <v>0</v>
      </c>
      <c r="AN121" s="57">
        <f>IF(AND(TblImps[[#This Row],[Resource]]=AN$2,TblImps[[#This Row],[Part]]&lt;&gt;""),TblImps[[#This Row],[Amount]]) + IF(AND(TblImps[[#This Row],[Resource 2]]=AN$2,TblImps[[#This Row],[Part 2]]&lt;&gt;""),TblImps[[#This Row],[Amount 2]]) + IF(AND(TblImps[[#This Row],[Resource 3]]=AN$2,TblImps[[#This Row],[Part 3]]&lt;&gt;""),TblImps[[#This Row],[Amount 3]])</f>
        <v>0</v>
      </c>
      <c r="AO121" s="57">
        <f>IF(AND(TblImps[[#This Row],[Resource]]=AO$2,TblImps[[#This Row],[Part]]&lt;&gt;""),TblImps[[#This Row],[Amount]]) + IF(AND(TblImps[[#This Row],[Resource 2]]=AO$2,TblImps[[#This Row],[Part 2]]&lt;&gt;""),TblImps[[#This Row],[Amount 2]]) + IF(AND(TblImps[[#This Row],[Resource 3]]=AO$2,TblImps[[#This Row],[Part 3]]&lt;&gt;""),TblImps[[#This Row],[Amount 3]])</f>
        <v>0</v>
      </c>
      <c r="AP121" s="57">
        <f>IF(AND(TblImps[[#This Row],[Resource]]=AP$2,TblImps[[#This Row],[Part]]&lt;&gt;""),TblImps[[#This Row],[Amount]]) + IF(AND(TblImps[[#This Row],[Resource 2]]=AP$2,TblImps[[#This Row],[Part 2]]&lt;&gt;""),TblImps[[#This Row],[Amount 2]]) + IF(AND(TblImps[[#This Row],[Resource 3]]=AP$2,TblImps[[#This Row],[Part 3]]&lt;&gt;""),TblImps[[#This Row],[Amount 3]])</f>
        <v>0</v>
      </c>
      <c r="AQ121" s="142"/>
      <c r="AR1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142"/>
      <c r="AW1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142"/>
      <c r="BB1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142"/>
      <c r="BG1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57">
        <f ca="1">IF(OFFSET(TblMagic[[#This Row],[Active Alchemists Flame]],-1,0)&gt;0,TblConstr[[#This Row],[Tot Alc]]*alchemist_flame_invest,0)</f>
        <v>0</v>
      </c>
      <c r="BL121" s="142"/>
      <c r="BM12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1" s="142"/>
      <c r="BR12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1" s="142"/>
      <c r="BW1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1" s="61">
        <f>TblImps[[#This Row],[Login]]</f>
        <v>0</v>
      </c>
      <c r="BY121" s="137"/>
      <c r="BZ121" s="293">
        <f ca="1">OFFSET(TblImps[[#This Row],[Real time]],-1,0)+1/24</f>
        <v>46324.874999999716</v>
      </c>
      <c r="CA121" s="294">
        <f ca="1">OFFSET(TblImps[[#This Row],[Servertime]],-1,0)+1/24</f>
        <v>46324.874999999716</v>
      </c>
      <c r="CB121" s="57"/>
      <c r="CC121" s="292"/>
      <c r="CD121" s="292"/>
    </row>
    <row r="122" spans="1:82" x14ac:dyDescent="0.2">
      <c r="A122" s="214">
        <f ca="1">TblConstr[[#This Row],[Land]]</f>
        <v>50</v>
      </c>
      <c r="B122" s="142"/>
      <c r="C122" s="94">
        <f ca="1">TblProd[[#This Row],[Platinum]]</f>
        <v>208190</v>
      </c>
      <c r="D122" s="94">
        <f ca="1">TblProd[[#This Row],[Lumber]]</f>
        <v>74034</v>
      </c>
      <c r="E122" s="94">
        <f ca="1">TblProd[[#This Row],[Ore]]</f>
        <v>0</v>
      </c>
      <c r="F122" s="94">
        <f ca="1">TblProd[[#This Row],[Gems]]</f>
        <v>0</v>
      </c>
      <c r="G122" s="154"/>
      <c r="H122" s="94">
        <f ca="1">TblMili[[#This Row],[Draftees]]</f>
        <v>626</v>
      </c>
      <c r="I122" s="180">
        <f ca="1">TblPop[[#This Row],[Employment]]</f>
        <v>1</v>
      </c>
      <c r="J122" s="180">
        <f ca="1">TblPop[[#This Row],[Total]]/TblPop[[#This Row],[Net max]]</f>
        <v>1</v>
      </c>
      <c r="K122" s="283">
        <f>TblRezone[[#This Row],[Hour]]</f>
        <v>119</v>
      </c>
      <c r="L122" s="284">
        <f ca="1">TblImps[[#This Row],[Real time]]</f>
        <v>46324.91666666638</v>
      </c>
      <c r="M122" s="61">
        <f>IF(ISERROR(TblImps[[#This Row],[algorithm]]),0,TblImps[[#This Row],[algorithm]]*1)</f>
        <v>0</v>
      </c>
      <c r="N122" s="94">
        <f ca="1">TblImps[[#This Row],[Land]]</f>
        <v>50</v>
      </c>
      <c r="O122" s="285" t="s">
        <v>4</v>
      </c>
      <c r="P122" s="286"/>
      <c r="Q122" s="285" t="s">
        <v>210</v>
      </c>
      <c r="R122" s="285" t="s">
        <v>7</v>
      </c>
      <c r="S122" s="286"/>
      <c r="T122" s="285" t="s">
        <v>210</v>
      </c>
      <c r="U122" s="285" t="s">
        <v>3</v>
      </c>
      <c r="V122" s="286"/>
      <c r="W122" s="285" t="s">
        <v>210</v>
      </c>
      <c r="X122" s="142"/>
      <c r="Y122" s="287">
        <f ca="1">science_cap*(1-EXP(-TblImps[[#This Row],[Σ Science]]/(science_param*(OFFSET(TblImps[[#This Row],[Land]],1,0)-OFFSET(TblExplore[[#This Row],[Land Bonus]],1,0)*20)+15000)))*(1+(mason_bonus*TblConstr[[#This Row],[Tot Mas]]/TblConstr[[#This Row],[Land (2)]]))</f>
        <v>0</v>
      </c>
      <c r="Z122" s="287">
        <f ca="1">keep_cap*(1-EXP(-TblImps[[#This Row],[Σ Keep]]/(keep_param*(OFFSET(TblImps[[#This Row],[Land]],1,0)-OFFSET(TblExplore[[#This Row],[Land Bonus]],1,0)*20)+15000)))*(1+(mason_bonus*TblConstr[[#This Row],[Tot Mas]]/TblConstr[[#This Row],[Land (2)]]))</f>
        <v>0</v>
      </c>
      <c r="AA122" s="287">
        <f ca="1">harbor_towers_cap*(1-EXP(-TblImps[[#This Row],[Σ Spires]]/(towers_param*(OFFSET(TblImps[[#This Row],[Land]],1,0)-OFFSET(TblExplore[[#This Row],[Land Bonus]],1,0)*20)+15000)))*(1+(mason_bonus*TblConstr[[#This Row],[Tot Mas]]/TblConstr[[#This Row],[Land (2)]]))</f>
        <v>0</v>
      </c>
      <c r="AB122" s="287">
        <f ca="1">walls_forges_cap*(1-EXP(-TblImps[[#This Row],[Σ Forges]]/(walls_forges_param*(OFFSET(TblImps[[#This Row],[Land]],1,0)-OFFSET(TblExplore[[#This Row],[Land Bonus]],1,0)*20)+15000)))*(1+(mason_bonus*TblConstr[[#This Row],[Tot Mas]]/TblConstr[[#This Row],[Land (2)]]))</f>
        <v>0</v>
      </c>
      <c r="AC122" s="287">
        <f ca="1">walls_forges_cap*(1-EXP(-TblImps[[#This Row],[Σ Walls]]/(walls_forges_param*(OFFSET(TblImps[[#This Row],[Land]],1,0)-OFFSET(TblExplore[[#This Row],[Land Bonus]],1,0)*20)+15000)))*(1+(mason_bonus*TblConstr[[#This Row],[Tot Mas]]/TblConstr[[#This Row],[Land (2)]]))</f>
        <v>0</v>
      </c>
      <c r="AD122" s="287">
        <f ca="1">harbor_towers_cap*(1-EXP(-TblImps[[#This Row],[Σ Harbor]]/(harbor_towers_param*(OFFSET(TblImps[[#This Row],[Land]],1,0)-OFFSET(TblExplore[[#This Row],[Land Bonus]],1,0)*20)+15000)))*(1+(mason_bonus*TblConstr[[#This Row],[Tot Mas]]/TblConstr[[#This Row],[Land (2)]]))</f>
        <v>0</v>
      </c>
      <c r="AE122" s="142"/>
      <c r="AF122" s="61">
        <f ca="1">(1+Overview!$I$29)*SUM(TblImps[[#This Row],[P2]:[G2]])+OFFSET(TblImps[[#This Row],[Σ Science]],-1,0)</f>
        <v>0</v>
      </c>
      <c r="AG122" s="61">
        <f ca="1">(1+Overview!$I$29)*SUM(TblImps[[#This Row],[P3]:[G3]])+OFFSET(TblImps[[#This Row],[Σ Keep]],-1,0)</f>
        <v>0</v>
      </c>
      <c r="AH122" s="61">
        <f ca="1">(1+Overview!$I$29 + tech_7_1*TblTech[[#This Row],[7-1]])*SUM(TblImps[[#This Row],[P4]:[G4]])+OFFSET(TblImps[[#This Row],[Σ Spires]],-1,0)</f>
        <v>0</v>
      </c>
      <c r="AI122" s="61">
        <f ca="1">(1+Overview!$I$29)*SUM(TblImps[[#This Row],[P5]:[FW5]])+OFFSET(TblImps[[#This Row],[Σ Forges]],-1,0)</f>
        <v>0</v>
      </c>
      <c r="AJ122" s="61">
        <f ca="1">(1+Overview!$I$29)*SUM(TblImps[[#This Row],[P6]:[G6]])+OFFSET(TblImps[[#This Row],[Σ Walls]],-1,0)</f>
        <v>0</v>
      </c>
      <c r="AK122" s="61">
        <f ca="1">(1+Overview!$I$29 + tech_7_1*TblTech[[#This Row],[7-1]])*SUM(TblImps[[#This Row],[P7]:[G7]])+OFFSET(TblImps[[#This Row],[Σ Harbor]],-1,0)</f>
        <v>0</v>
      </c>
      <c r="AL122" s="142"/>
      <c r="AM122" s="57">
        <f>IF(AND(TblImps[[#This Row],[Resource]]=AM$2,TblImps[[#This Row],[Part]]&lt;&gt;""),TblImps[[#This Row],[Amount]]) + IF(AND(TblImps[[#This Row],[Resource 2]]=AM$2,TblImps[[#This Row],[Part 2]]&lt;&gt;""),TblImps[[#This Row],[Amount 2]]) + IF(AND(TblImps[[#This Row],[Resource 3]]=AM$2,TblImps[[#This Row],[Part 3]]&lt;&gt;""),TblImps[[#This Row],[Amount 3]])</f>
        <v>0</v>
      </c>
      <c r="AN122" s="57">
        <f>IF(AND(TblImps[[#This Row],[Resource]]=AN$2,TblImps[[#This Row],[Part]]&lt;&gt;""),TblImps[[#This Row],[Amount]]) + IF(AND(TblImps[[#This Row],[Resource 2]]=AN$2,TblImps[[#This Row],[Part 2]]&lt;&gt;""),TblImps[[#This Row],[Amount 2]]) + IF(AND(TblImps[[#This Row],[Resource 3]]=AN$2,TblImps[[#This Row],[Part 3]]&lt;&gt;""),TblImps[[#This Row],[Amount 3]])</f>
        <v>0</v>
      </c>
      <c r="AO122" s="57">
        <f>IF(AND(TblImps[[#This Row],[Resource]]=AO$2,TblImps[[#This Row],[Part]]&lt;&gt;""),TblImps[[#This Row],[Amount]]) + IF(AND(TblImps[[#This Row],[Resource 2]]=AO$2,TblImps[[#This Row],[Part 2]]&lt;&gt;""),TblImps[[#This Row],[Amount 2]]) + IF(AND(TblImps[[#This Row],[Resource 3]]=AO$2,TblImps[[#This Row],[Part 3]]&lt;&gt;""),TblImps[[#This Row],[Amount 3]])</f>
        <v>0</v>
      </c>
      <c r="AP122" s="57">
        <f>IF(AND(TblImps[[#This Row],[Resource]]=AP$2,TblImps[[#This Row],[Part]]&lt;&gt;""),TblImps[[#This Row],[Amount]]) + IF(AND(TblImps[[#This Row],[Resource 2]]=AP$2,TblImps[[#This Row],[Part 2]]&lt;&gt;""),TblImps[[#This Row],[Amount 2]]) + IF(AND(TblImps[[#This Row],[Resource 3]]=AP$2,TblImps[[#This Row],[Part 3]]&lt;&gt;""),TblImps[[#This Row],[Amount 3]])</f>
        <v>0</v>
      </c>
      <c r="AQ122" s="142"/>
      <c r="AR1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142"/>
      <c r="AW1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142"/>
      <c r="BB1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142"/>
      <c r="BG1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57">
        <f ca="1">IF(OFFSET(TblMagic[[#This Row],[Active Alchemists Flame]],-1,0)&gt;0,TblConstr[[#This Row],[Tot Alc]]*alchemist_flame_invest,0)</f>
        <v>0</v>
      </c>
      <c r="BL122" s="142"/>
      <c r="BM12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2" s="142"/>
      <c r="BR12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2" s="142"/>
      <c r="BW1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2" s="61">
        <f>TblImps[[#This Row],[Login]]</f>
        <v>0</v>
      </c>
      <c r="BY122" s="137"/>
      <c r="BZ122" s="293">
        <f ca="1">OFFSET(TblImps[[#This Row],[Real time]],-1,0)+1/24</f>
        <v>46324.91666666638</v>
      </c>
      <c r="CA122" s="294">
        <f ca="1">OFFSET(TblImps[[#This Row],[Servertime]],-1,0)+1/24</f>
        <v>46324.91666666638</v>
      </c>
      <c r="CB122" s="57"/>
      <c r="CC122" s="292"/>
      <c r="CD122" s="292"/>
    </row>
    <row r="123" spans="1:82" x14ac:dyDescent="0.2">
      <c r="A123" s="214">
        <f ca="1">TblConstr[[#This Row],[Land]]</f>
        <v>50</v>
      </c>
      <c r="B123" s="142"/>
      <c r="C123" s="94">
        <f ca="1">TblProd[[#This Row],[Platinum]]</f>
        <v>208576</v>
      </c>
      <c r="D123" s="94">
        <f ca="1">TblProd[[#This Row],[Lumber]]</f>
        <v>74294</v>
      </c>
      <c r="E123" s="94">
        <f ca="1">TblProd[[#This Row],[Ore]]</f>
        <v>0</v>
      </c>
      <c r="F123" s="94">
        <f ca="1">TblProd[[#This Row],[Gems]]</f>
        <v>0</v>
      </c>
      <c r="G123" s="154"/>
      <c r="H123" s="94">
        <f ca="1">TblMili[[#This Row],[Draftees]]</f>
        <v>627</v>
      </c>
      <c r="I123" s="180">
        <f ca="1">TblPop[[#This Row],[Employment]]</f>
        <v>1</v>
      </c>
      <c r="J123" s="180">
        <f ca="1">TblPop[[#This Row],[Total]]/TblPop[[#This Row],[Net max]]</f>
        <v>1</v>
      </c>
      <c r="K123" s="283">
        <f>TblRezone[[#This Row],[Hour]]</f>
        <v>120</v>
      </c>
      <c r="L123" s="284">
        <f ca="1">TblImps[[#This Row],[Real time]]</f>
        <v>46324.958333333045</v>
      </c>
      <c r="M123" s="61">
        <f>IF(ISERROR(TblImps[[#This Row],[algorithm]]),0,TblImps[[#This Row],[algorithm]]*1)</f>
        <v>0</v>
      </c>
      <c r="N123" s="94">
        <f ca="1">TblImps[[#This Row],[Land]]</f>
        <v>50</v>
      </c>
      <c r="O123" s="285" t="s">
        <v>4</v>
      </c>
      <c r="P123" s="286"/>
      <c r="Q123" s="285" t="s">
        <v>210</v>
      </c>
      <c r="R123" s="285" t="s">
        <v>7</v>
      </c>
      <c r="S123" s="286"/>
      <c r="T123" s="285" t="s">
        <v>210</v>
      </c>
      <c r="U123" s="285" t="s">
        <v>3</v>
      </c>
      <c r="V123" s="286"/>
      <c r="W123" s="285" t="s">
        <v>210</v>
      </c>
      <c r="X123" s="142"/>
      <c r="Y123" s="287">
        <f ca="1">science_cap*(1-EXP(-TblImps[[#This Row],[Σ Science]]/(science_param*(OFFSET(TblImps[[#This Row],[Land]],1,0)-OFFSET(TblExplore[[#This Row],[Land Bonus]],1,0)*20)+15000)))*(1+(mason_bonus*TblConstr[[#This Row],[Tot Mas]]/TblConstr[[#This Row],[Land (2)]]))</f>
        <v>0</v>
      </c>
      <c r="Z123" s="287">
        <f ca="1">keep_cap*(1-EXP(-TblImps[[#This Row],[Σ Keep]]/(keep_param*(OFFSET(TblImps[[#This Row],[Land]],1,0)-OFFSET(TblExplore[[#This Row],[Land Bonus]],1,0)*20)+15000)))*(1+(mason_bonus*TblConstr[[#This Row],[Tot Mas]]/TblConstr[[#This Row],[Land (2)]]))</f>
        <v>0</v>
      </c>
      <c r="AA123" s="287">
        <f ca="1">harbor_towers_cap*(1-EXP(-TblImps[[#This Row],[Σ Spires]]/(towers_param*(OFFSET(TblImps[[#This Row],[Land]],1,0)-OFFSET(TblExplore[[#This Row],[Land Bonus]],1,0)*20)+15000)))*(1+(mason_bonus*TblConstr[[#This Row],[Tot Mas]]/TblConstr[[#This Row],[Land (2)]]))</f>
        <v>0</v>
      </c>
      <c r="AB123" s="287">
        <f ca="1">walls_forges_cap*(1-EXP(-TblImps[[#This Row],[Σ Forges]]/(walls_forges_param*(OFFSET(TblImps[[#This Row],[Land]],1,0)-OFFSET(TblExplore[[#This Row],[Land Bonus]],1,0)*20)+15000)))*(1+(mason_bonus*TblConstr[[#This Row],[Tot Mas]]/TblConstr[[#This Row],[Land (2)]]))</f>
        <v>0</v>
      </c>
      <c r="AC123" s="287">
        <f ca="1">walls_forges_cap*(1-EXP(-TblImps[[#This Row],[Σ Walls]]/(walls_forges_param*(OFFSET(TblImps[[#This Row],[Land]],1,0)-OFFSET(TblExplore[[#This Row],[Land Bonus]],1,0)*20)+15000)))*(1+(mason_bonus*TblConstr[[#This Row],[Tot Mas]]/TblConstr[[#This Row],[Land (2)]]))</f>
        <v>0</v>
      </c>
      <c r="AD123" s="287">
        <f ca="1">harbor_towers_cap*(1-EXP(-TblImps[[#This Row],[Σ Harbor]]/(harbor_towers_param*(OFFSET(TblImps[[#This Row],[Land]],1,0)-OFFSET(TblExplore[[#This Row],[Land Bonus]],1,0)*20)+15000)))*(1+(mason_bonus*TblConstr[[#This Row],[Tot Mas]]/TblConstr[[#This Row],[Land (2)]]))</f>
        <v>0</v>
      </c>
      <c r="AE123" s="142"/>
      <c r="AF123" s="61">
        <f ca="1">(1+Overview!$I$29)*SUM(TblImps[[#This Row],[P2]:[G2]])+OFFSET(TblImps[[#This Row],[Σ Science]],-1,0)</f>
        <v>0</v>
      </c>
      <c r="AG123" s="61">
        <f ca="1">(1+Overview!$I$29)*SUM(TblImps[[#This Row],[P3]:[G3]])+OFFSET(TblImps[[#This Row],[Σ Keep]],-1,0)</f>
        <v>0</v>
      </c>
      <c r="AH123" s="61">
        <f ca="1">(1+Overview!$I$29 + tech_7_1*TblTech[[#This Row],[7-1]])*SUM(TblImps[[#This Row],[P4]:[G4]])+OFFSET(TblImps[[#This Row],[Σ Spires]],-1,0)</f>
        <v>0</v>
      </c>
      <c r="AI123" s="61">
        <f ca="1">(1+Overview!$I$29)*SUM(TblImps[[#This Row],[P5]:[FW5]])+OFFSET(TblImps[[#This Row],[Σ Forges]],-1,0)</f>
        <v>0</v>
      </c>
      <c r="AJ123" s="61">
        <f ca="1">(1+Overview!$I$29)*SUM(TblImps[[#This Row],[P6]:[G6]])+OFFSET(TblImps[[#This Row],[Σ Walls]],-1,0)</f>
        <v>0</v>
      </c>
      <c r="AK123" s="61">
        <f ca="1">(1+Overview!$I$29 + tech_7_1*TblTech[[#This Row],[7-1]])*SUM(TblImps[[#This Row],[P7]:[G7]])+OFFSET(TblImps[[#This Row],[Σ Harbor]],-1,0)</f>
        <v>0</v>
      </c>
      <c r="AL123" s="142"/>
      <c r="AM123" s="57">
        <f>IF(AND(TblImps[[#This Row],[Resource]]=AM$2,TblImps[[#This Row],[Part]]&lt;&gt;""),TblImps[[#This Row],[Amount]]) + IF(AND(TblImps[[#This Row],[Resource 2]]=AM$2,TblImps[[#This Row],[Part 2]]&lt;&gt;""),TblImps[[#This Row],[Amount 2]]) + IF(AND(TblImps[[#This Row],[Resource 3]]=AM$2,TblImps[[#This Row],[Part 3]]&lt;&gt;""),TblImps[[#This Row],[Amount 3]])</f>
        <v>0</v>
      </c>
      <c r="AN123" s="57">
        <f>IF(AND(TblImps[[#This Row],[Resource]]=AN$2,TblImps[[#This Row],[Part]]&lt;&gt;""),TblImps[[#This Row],[Amount]]) + IF(AND(TblImps[[#This Row],[Resource 2]]=AN$2,TblImps[[#This Row],[Part 2]]&lt;&gt;""),TblImps[[#This Row],[Amount 2]]) + IF(AND(TblImps[[#This Row],[Resource 3]]=AN$2,TblImps[[#This Row],[Part 3]]&lt;&gt;""),TblImps[[#This Row],[Amount 3]])</f>
        <v>0</v>
      </c>
      <c r="AO123" s="57">
        <f>IF(AND(TblImps[[#This Row],[Resource]]=AO$2,TblImps[[#This Row],[Part]]&lt;&gt;""),TblImps[[#This Row],[Amount]]) + IF(AND(TblImps[[#This Row],[Resource 2]]=AO$2,TblImps[[#This Row],[Part 2]]&lt;&gt;""),TblImps[[#This Row],[Amount 2]]) + IF(AND(TblImps[[#This Row],[Resource 3]]=AO$2,TblImps[[#This Row],[Part 3]]&lt;&gt;""),TblImps[[#This Row],[Amount 3]])</f>
        <v>0</v>
      </c>
      <c r="AP123" s="57">
        <f>IF(AND(TblImps[[#This Row],[Resource]]=AP$2,TblImps[[#This Row],[Part]]&lt;&gt;""),TblImps[[#This Row],[Amount]]) + IF(AND(TblImps[[#This Row],[Resource 2]]=AP$2,TblImps[[#This Row],[Part 2]]&lt;&gt;""),TblImps[[#This Row],[Amount 2]]) + IF(AND(TblImps[[#This Row],[Resource 3]]=AP$2,TblImps[[#This Row],[Part 3]]&lt;&gt;""),TblImps[[#This Row],[Amount 3]])</f>
        <v>0</v>
      </c>
      <c r="AQ123" s="142"/>
      <c r="AR1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142"/>
      <c r="AW1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142"/>
      <c r="BB1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142"/>
      <c r="BG1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57">
        <f ca="1">IF(OFFSET(TblMagic[[#This Row],[Active Alchemists Flame]],-1,0)&gt;0,TblConstr[[#This Row],[Tot Alc]]*alchemist_flame_invest,0)</f>
        <v>0</v>
      </c>
      <c r="BL123" s="142"/>
      <c r="BM12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3" s="142"/>
      <c r="BR12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3" s="142"/>
      <c r="BW1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3" s="61">
        <f>TblImps[[#This Row],[Login]]</f>
        <v>0</v>
      </c>
      <c r="BY123" s="137"/>
      <c r="BZ123" s="293">
        <f ca="1">OFFSET(TblImps[[#This Row],[Real time]],-1,0)+1/24</f>
        <v>46324.958333333045</v>
      </c>
      <c r="CA123" s="294">
        <f ca="1">OFFSET(TblImps[[#This Row],[Servertime]],-1,0)+1/24</f>
        <v>46324.958333333045</v>
      </c>
      <c r="CB123" s="57"/>
      <c r="CC123" s="292"/>
      <c r="CD123" s="292"/>
    </row>
    <row r="124" spans="1:82" x14ac:dyDescent="0.2">
      <c r="A124" s="214">
        <f ca="1">TblConstr[[#This Row],[Land]]</f>
        <v>50</v>
      </c>
      <c r="B124" s="142"/>
      <c r="C124" s="94">
        <f ca="1">TblProd[[#This Row],[Platinum]]</f>
        <v>208959</v>
      </c>
      <c r="D124" s="94">
        <f ca="1">TblProd[[#This Row],[Lumber]]</f>
        <v>74551</v>
      </c>
      <c r="E124" s="94">
        <f ca="1">TblProd[[#This Row],[Ore]]</f>
        <v>0</v>
      </c>
      <c r="F124" s="94">
        <f ca="1">TblProd[[#This Row],[Gems]]</f>
        <v>0</v>
      </c>
      <c r="G124" s="154"/>
      <c r="H124" s="94">
        <f ca="1">TblMili[[#This Row],[Draftees]]</f>
        <v>628</v>
      </c>
      <c r="I124" s="180">
        <f ca="1">TblPop[[#This Row],[Employment]]</f>
        <v>1</v>
      </c>
      <c r="J124" s="180">
        <f ca="1">TblPop[[#This Row],[Total]]/TblPop[[#This Row],[Net max]]</f>
        <v>1</v>
      </c>
      <c r="K124" s="283">
        <f>TblRezone[[#This Row],[Hour]]</f>
        <v>121</v>
      </c>
      <c r="L124" s="284">
        <f ca="1">TblImps[[#This Row],[Real time]]</f>
        <v>46324.999999999709</v>
      </c>
      <c r="M124" s="61">
        <f>IF(ISERROR(TblImps[[#This Row],[algorithm]]),0,TblImps[[#This Row],[algorithm]]*1)</f>
        <v>0</v>
      </c>
      <c r="N124" s="94">
        <f ca="1">TblImps[[#This Row],[Land]]</f>
        <v>50</v>
      </c>
      <c r="O124" s="285" t="s">
        <v>4</v>
      </c>
      <c r="P124" s="286"/>
      <c r="Q124" s="285" t="s">
        <v>210</v>
      </c>
      <c r="R124" s="285" t="s">
        <v>7</v>
      </c>
      <c r="S124" s="286"/>
      <c r="T124" s="285" t="s">
        <v>210</v>
      </c>
      <c r="U124" s="285" t="s">
        <v>3</v>
      </c>
      <c r="V124" s="286"/>
      <c r="W124" s="285" t="s">
        <v>210</v>
      </c>
      <c r="X124" s="142"/>
      <c r="Y124" s="287">
        <f ca="1">science_cap*(1-EXP(-TblImps[[#This Row],[Σ Science]]/(science_param*(OFFSET(TblImps[[#This Row],[Land]],1,0)-OFFSET(TblExplore[[#This Row],[Land Bonus]],1,0)*20)+15000)))*(1+(mason_bonus*TblConstr[[#This Row],[Tot Mas]]/TblConstr[[#This Row],[Land (2)]]))</f>
        <v>0</v>
      </c>
      <c r="Z124" s="287">
        <f ca="1">keep_cap*(1-EXP(-TblImps[[#This Row],[Σ Keep]]/(keep_param*(OFFSET(TblImps[[#This Row],[Land]],1,0)-OFFSET(TblExplore[[#This Row],[Land Bonus]],1,0)*20)+15000)))*(1+(mason_bonus*TblConstr[[#This Row],[Tot Mas]]/TblConstr[[#This Row],[Land (2)]]))</f>
        <v>0</v>
      </c>
      <c r="AA124" s="287">
        <f ca="1">harbor_towers_cap*(1-EXP(-TblImps[[#This Row],[Σ Spires]]/(towers_param*(OFFSET(TblImps[[#This Row],[Land]],1,0)-OFFSET(TblExplore[[#This Row],[Land Bonus]],1,0)*20)+15000)))*(1+(mason_bonus*TblConstr[[#This Row],[Tot Mas]]/TblConstr[[#This Row],[Land (2)]]))</f>
        <v>0</v>
      </c>
      <c r="AB124" s="287">
        <f ca="1">walls_forges_cap*(1-EXP(-TblImps[[#This Row],[Σ Forges]]/(walls_forges_param*(OFFSET(TblImps[[#This Row],[Land]],1,0)-OFFSET(TblExplore[[#This Row],[Land Bonus]],1,0)*20)+15000)))*(1+(mason_bonus*TblConstr[[#This Row],[Tot Mas]]/TblConstr[[#This Row],[Land (2)]]))</f>
        <v>0</v>
      </c>
      <c r="AC124" s="287">
        <f ca="1">walls_forges_cap*(1-EXP(-TblImps[[#This Row],[Σ Walls]]/(walls_forges_param*(OFFSET(TblImps[[#This Row],[Land]],1,0)-OFFSET(TblExplore[[#This Row],[Land Bonus]],1,0)*20)+15000)))*(1+(mason_bonus*TblConstr[[#This Row],[Tot Mas]]/TblConstr[[#This Row],[Land (2)]]))</f>
        <v>0</v>
      </c>
      <c r="AD124" s="287">
        <f ca="1">harbor_towers_cap*(1-EXP(-TblImps[[#This Row],[Σ Harbor]]/(harbor_towers_param*(OFFSET(TblImps[[#This Row],[Land]],1,0)-OFFSET(TblExplore[[#This Row],[Land Bonus]],1,0)*20)+15000)))*(1+(mason_bonus*TblConstr[[#This Row],[Tot Mas]]/TblConstr[[#This Row],[Land (2)]]))</f>
        <v>0</v>
      </c>
      <c r="AE124" s="142"/>
      <c r="AF124" s="61">
        <f ca="1">(1+Overview!$I$29)*SUM(TblImps[[#This Row],[P2]:[G2]])+OFFSET(TblImps[[#This Row],[Σ Science]],-1,0)</f>
        <v>0</v>
      </c>
      <c r="AG124" s="61">
        <f ca="1">(1+Overview!$I$29)*SUM(TblImps[[#This Row],[P3]:[G3]])+OFFSET(TblImps[[#This Row],[Σ Keep]],-1,0)</f>
        <v>0</v>
      </c>
      <c r="AH124" s="61">
        <f ca="1">(1+Overview!$I$29 + tech_7_1*TblTech[[#This Row],[7-1]])*SUM(TblImps[[#This Row],[P4]:[G4]])+OFFSET(TblImps[[#This Row],[Σ Spires]],-1,0)</f>
        <v>0</v>
      </c>
      <c r="AI124" s="61">
        <f ca="1">(1+Overview!$I$29)*SUM(TblImps[[#This Row],[P5]:[FW5]])+OFFSET(TblImps[[#This Row],[Σ Forges]],-1,0)</f>
        <v>0</v>
      </c>
      <c r="AJ124" s="61">
        <f ca="1">(1+Overview!$I$29)*SUM(TblImps[[#This Row],[P6]:[G6]])+OFFSET(TblImps[[#This Row],[Σ Walls]],-1,0)</f>
        <v>0</v>
      </c>
      <c r="AK124" s="61">
        <f ca="1">(1+Overview!$I$29 + tech_7_1*TblTech[[#This Row],[7-1]])*SUM(TblImps[[#This Row],[P7]:[G7]])+OFFSET(TblImps[[#This Row],[Σ Harbor]],-1,0)</f>
        <v>0</v>
      </c>
      <c r="AL124" s="142"/>
      <c r="AM124" s="57">
        <f>IF(AND(TblImps[[#This Row],[Resource]]=AM$2,TblImps[[#This Row],[Part]]&lt;&gt;""),TblImps[[#This Row],[Amount]]) + IF(AND(TblImps[[#This Row],[Resource 2]]=AM$2,TblImps[[#This Row],[Part 2]]&lt;&gt;""),TblImps[[#This Row],[Amount 2]]) + IF(AND(TblImps[[#This Row],[Resource 3]]=AM$2,TblImps[[#This Row],[Part 3]]&lt;&gt;""),TblImps[[#This Row],[Amount 3]])</f>
        <v>0</v>
      </c>
      <c r="AN124" s="57">
        <f>IF(AND(TblImps[[#This Row],[Resource]]=AN$2,TblImps[[#This Row],[Part]]&lt;&gt;""),TblImps[[#This Row],[Amount]]) + IF(AND(TblImps[[#This Row],[Resource 2]]=AN$2,TblImps[[#This Row],[Part 2]]&lt;&gt;""),TblImps[[#This Row],[Amount 2]]) + IF(AND(TblImps[[#This Row],[Resource 3]]=AN$2,TblImps[[#This Row],[Part 3]]&lt;&gt;""),TblImps[[#This Row],[Amount 3]])</f>
        <v>0</v>
      </c>
      <c r="AO124" s="57">
        <f>IF(AND(TblImps[[#This Row],[Resource]]=AO$2,TblImps[[#This Row],[Part]]&lt;&gt;""),TblImps[[#This Row],[Amount]]) + IF(AND(TblImps[[#This Row],[Resource 2]]=AO$2,TblImps[[#This Row],[Part 2]]&lt;&gt;""),TblImps[[#This Row],[Amount 2]]) + IF(AND(TblImps[[#This Row],[Resource 3]]=AO$2,TblImps[[#This Row],[Part 3]]&lt;&gt;""),TblImps[[#This Row],[Amount 3]])</f>
        <v>0</v>
      </c>
      <c r="AP124" s="57">
        <f>IF(AND(TblImps[[#This Row],[Resource]]=AP$2,TblImps[[#This Row],[Part]]&lt;&gt;""),TblImps[[#This Row],[Amount]]) + IF(AND(TblImps[[#This Row],[Resource 2]]=AP$2,TblImps[[#This Row],[Part 2]]&lt;&gt;""),TblImps[[#This Row],[Amount 2]]) + IF(AND(TblImps[[#This Row],[Resource 3]]=AP$2,TblImps[[#This Row],[Part 3]]&lt;&gt;""),TblImps[[#This Row],[Amount 3]])</f>
        <v>0</v>
      </c>
      <c r="AQ124" s="142"/>
      <c r="AR1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142"/>
      <c r="AW1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142"/>
      <c r="BB1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142"/>
      <c r="BG1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57">
        <f ca="1">IF(OFFSET(TblMagic[[#This Row],[Active Alchemists Flame]],-1,0)&gt;0,TblConstr[[#This Row],[Tot Alc]]*alchemist_flame_invest,0)</f>
        <v>0</v>
      </c>
      <c r="BL124" s="142"/>
      <c r="BM12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4" s="142"/>
      <c r="BR12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4" s="142"/>
      <c r="BW1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4" s="61">
        <f>TblImps[[#This Row],[Login]]</f>
        <v>0</v>
      </c>
      <c r="BY124" s="137"/>
      <c r="BZ124" s="293">
        <f ca="1">OFFSET(TblImps[[#This Row],[Real time]],-1,0)+1/24</f>
        <v>46324.999999999709</v>
      </c>
      <c r="CA124" s="294">
        <f ca="1">OFFSET(TblImps[[#This Row],[Servertime]],-1,0)+1/24</f>
        <v>46324.999999999709</v>
      </c>
      <c r="CB124" s="57"/>
      <c r="CC124" s="292"/>
      <c r="CD124" s="292"/>
    </row>
    <row r="125" spans="1:82" x14ac:dyDescent="0.2">
      <c r="A125" s="214">
        <f ca="1">TblConstr[[#This Row],[Land]]</f>
        <v>50</v>
      </c>
      <c r="B125" s="142"/>
      <c r="C125" s="94">
        <f ca="1">TblProd[[#This Row],[Platinum]]</f>
        <v>209339</v>
      </c>
      <c r="D125" s="94">
        <f ca="1">TblProd[[#This Row],[Lumber]]</f>
        <v>74805</v>
      </c>
      <c r="E125" s="94">
        <f ca="1">TblProd[[#This Row],[Ore]]</f>
        <v>0</v>
      </c>
      <c r="F125" s="94">
        <f ca="1">TblProd[[#This Row],[Gems]]</f>
        <v>0</v>
      </c>
      <c r="G125" s="154"/>
      <c r="H125" s="94">
        <f ca="1">TblMili[[#This Row],[Draftees]]</f>
        <v>629</v>
      </c>
      <c r="I125" s="180">
        <f ca="1">TblPop[[#This Row],[Employment]]</f>
        <v>1</v>
      </c>
      <c r="J125" s="180">
        <f ca="1">TblPop[[#This Row],[Total]]/TblPop[[#This Row],[Net max]]</f>
        <v>1</v>
      </c>
      <c r="K125" s="283">
        <f>TblRezone[[#This Row],[Hour]]</f>
        <v>122</v>
      </c>
      <c r="L125" s="284">
        <f ca="1">TblImps[[#This Row],[Real time]]</f>
        <v>46325.041666666373</v>
      </c>
      <c r="M125" s="61">
        <f>IF(ISERROR(TblImps[[#This Row],[algorithm]]),0,TblImps[[#This Row],[algorithm]]*1)</f>
        <v>0</v>
      </c>
      <c r="N125" s="94">
        <f ca="1">TblImps[[#This Row],[Land]]</f>
        <v>50</v>
      </c>
      <c r="O125" s="285" t="s">
        <v>4</v>
      </c>
      <c r="P125" s="286"/>
      <c r="Q125" s="285" t="s">
        <v>210</v>
      </c>
      <c r="R125" s="285" t="s">
        <v>7</v>
      </c>
      <c r="S125" s="286"/>
      <c r="T125" s="285" t="s">
        <v>210</v>
      </c>
      <c r="U125" s="285" t="s">
        <v>3</v>
      </c>
      <c r="V125" s="286"/>
      <c r="W125" s="285" t="s">
        <v>210</v>
      </c>
      <c r="X125" s="142"/>
      <c r="Y125" s="287">
        <f ca="1">science_cap*(1-EXP(-TblImps[[#This Row],[Σ Science]]/(science_param*(OFFSET(TblImps[[#This Row],[Land]],1,0)-OFFSET(TblExplore[[#This Row],[Land Bonus]],1,0)*20)+15000)))*(1+(mason_bonus*TblConstr[[#This Row],[Tot Mas]]/TblConstr[[#This Row],[Land (2)]]))</f>
        <v>0</v>
      </c>
      <c r="Z125" s="287">
        <f ca="1">keep_cap*(1-EXP(-TblImps[[#This Row],[Σ Keep]]/(keep_param*(OFFSET(TblImps[[#This Row],[Land]],1,0)-OFFSET(TblExplore[[#This Row],[Land Bonus]],1,0)*20)+15000)))*(1+(mason_bonus*TblConstr[[#This Row],[Tot Mas]]/TblConstr[[#This Row],[Land (2)]]))</f>
        <v>0</v>
      </c>
      <c r="AA125" s="287">
        <f ca="1">harbor_towers_cap*(1-EXP(-TblImps[[#This Row],[Σ Spires]]/(towers_param*(OFFSET(TblImps[[#This Row],[Land]],1,0)-OFFSET(TblExplore[[#This Row],[Land Bonus]],1,0)*20)+15000)))*(1+(mason_bonus*TblConstr[[#This Row],[Tot Mas]]/TblConstr[[#This Row],[Land (2)]]))</f>
        <v>0</v>
      </c>
      <c r="AB125" s="287">
        <f ca="1">walls_forges_cap*(1-EXP(-TblImps[[#This Row],[Σ Forges]]/(walls_forges_param*(OFFSET(TblImps[[#This Row],[Land]],1,0)-OFFSET(TblExplore[[#This Row],[Land Bonus]],1,0)*20)+15000)))*(1+(mason_bonus*TblConstr[[#This Row],[Tot Mas]]/TblConstr[[#This Row],[Land (2)]]))</f>
        <v>0</v>
      </c>
      <c r="AC125" s="287">
        <f ca="1">walls_forges_cap*(1-EXP(-TblImps[[#This Row],[Σ Walls]]/(walls_forges_param*(OFFSET(TblImps[[#This Row],[Land]],1,0)-OFFSET(TblExplore[[#This Row],[Land Bonus]],1,0)*20)+15000)))*(1+(mason_bonus*TblConstr[[#This Row],[Tot Mas]]/TblConstr[[#This Row],[Land (2)]]))</f>
        <v>0</v>
      </c>
      <c r="AD125" s="287">
        <f ca="1">harbor_towers_cap*(1-EXP(-TblImps[[#This Row],[Σ Harbor]]/(harbor_towers_param*(OFFSET(TblImps[[#This Row],[Land]],1,0)-OFFSET(TblExplore[[#This Row],[Land Bonus]],1,0)*20)+15000)))*(1+(mason_bonus*TblConstr[[#This Row],[Tot Mas]]/TblConstr[[#This Row],[Land (2)]]))</f>
        <v>0</v>
      </c>
      <c r="AE125" s="142"/>
      <c r="AF125" s="61">
        <f ca="1">(1+Overview!$I$29)*SUM(TblImps[[#This Row],[P2]:[G2]])+OFFSET(TblImps[[#This Row],[Σ Science]],-1,0)</f>
        <v>0</v>
      </c>
      <c r="AG125" s="61">
        <f ca="1">(1+Overview!$I$29)*SUM(TblImps[[#This Row],[P3]:[G3]])+OFFSET(TblImps[[#This Row],[Σ Keep]],-1,0)</f>
        <v>0</v>
      </c>
      <c r="AH125" s="61">
        <f ca="1">(1+Overview!$I$29 + tech_7_1*TblTech[[#This Row],[7-1]])*SUM(TblImps[[#This Row],[P4]:[G4]])+OFFSET(TblImps[[#This Row],[Σ Spires]],-1,0)</f>
        <v>0</v>
      </c>
      <c r="AI125" s="61">
        <f ca="1">(1+Overview!$I$29)*SUM(TblImps[[#This Row],[P5]:[FW5]])+OFFSET(TblImps[[#This Row],[Σ Forges]],-1,0)</f>
        <v>0</v>
      </c>
      <c r="AJ125" s="61">
        <f ca="1">(1+Overview!$I$29)*SUM(TblImps[[#This Row],[P6]:[G6]])+OFFSET(TblImps[[#This Row],[Σ Walls]],-1,0)</f>
        <v>0</v>
      </c>
      <c r="AK125" s="61">
        <f ca="1">(1+Overview!$I$29 + tech_7_1*TblTech[[#This Row],[7-1]])*SUM(TblImps[[#This Row],[P7]:[G7]])+OFFSET(TblImps[[#This Row],[Σ Harbor]],-1,0)</f>
        <v>0</v>
      </c>
      <c r="AL125" s="142"/>
      <c r="AM125" s="57">
        <f>IF(AND(TblImps[[#This Row],[Resource]]=AM$2,TblImps[[#This Row],[Part]]&lt;&gt;""),TblImps[[#This Row],[Amount]]) + IF(AND(TblImps[[#This Row],[Resource 2]]=AM$2,TblImps[[#This Row],[Part 2]]&lt;&gt;""),TblImps[[#This Row],[Amount 2]]) + IF(AND(TblImps[[#This Row],[Resource 3]]=AM$2,TblImps[[#This Row],[Part 3]]&lt;&gt;""),TblImps[[#This Row],[Amount 3]])</f>
        <v>0</v>
      </c>
      <c r="AN125" s="57">
        <f>IF(AND(TblImps[[#This Row],[Resource]]=AN$2,TblImps[[#This Row],[Part]]&lt;&gt;""),TblImps[[#This Row],[Amount]]) + IF(AND(TblImps[[#This Row],[Resource 2]]=AN$2,TblImps[[#This Row],[Part 2]]&lt;&gt;""),TblImps[[#This Row],[Amount 2]]) + IF(AND(TblImps[[#This Row],[Resource 3]]=AN$2,TblImps[[#This Row],[Part 3]]&lt;&gt;""),TblImps[[#This Row],[Amount 3]])</f>
        <v>0</v>
      </c>
      <c r="AO125" s="57">
        <f>IF(AND(TblImps[[#This Row],[Resource]]=AO$2,TblImps[[#This Row],[Part]]&lt;&gt;""),TblImps[[#This Row],[Amount]]) + IF(AND(TblImps[[#This Row],[Resource 2]]=AO$2,TblImps[[#This Row],[Part 2]]&lt;&gt;""),TblImps[[#This Row],[Amount 2]]) + IF(AND(TblImps[[#This Row],[Resource 3]]=AO$2,TblImps[[#This Row],[Part 3]]&lt;&gt;""),TblImps[[#This Row],[Amount 3]])</f>
        <v>0</v>
      </c>
      <c r="AP125" s="57">
        <f>IF(AND(TblImps[[#This Row],[Resource]]=AP$2,TblImps[[#This Row],[Part]]&lt;&gt;""),TblImps[[#This Row],[Amount]]) + IF(AND(TblImps[[#This Row],[Resource 2]]=AP$2,TblImps[[#This Row],[Part 2]]&lt;&gt;""),TblImps[[#This Row],[Amount 2]]) + IF(AND(TblImps[[#This Row],[Resource 3]]=AP$2,TblImps[[#This Row],[Part 3]]&lt;&gt;""),TblImps[[#This Row],[Amount 3]])</f>
        <v>0</v>
      </c>
      <c r="AQ125" s="142"/>
      <c r="AR1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142"/>
      <c r="AW1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142"/>
      <c r="BB1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142"/>
      <c r="BG1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57">
        <f ca="1">IF(OFFSET(TblMagic[[#This Row],[Active Alchemists Flame]],-1,0)&gt;0,TblConstr[[#This Row],[Tot Alc]]*alchemist_flame_invest,0)</f>
        <v>0</v>
      </c>
      <c r="BL125" s="142"/>
      <c r="BM12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5" s="142"/>
      <c r="BR12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5" s="142"/>
      <c r="BW1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5" s="61">
        <f>TblImps[[#This Row],[Login]]</f>
        <v>0</v>
      </c>
      <c r="BY125" s="137"/>
      <c r="BZ125" s="293">
        <f ca="1">OFFSET(TblImps[[#This Row],[Real time]],-1,0)+1/24</f>
        <v>46325.041666666373</v>
      </c>
      <c r="CA125" s="294">
        <f ca="1">OFFSET(TblImps[[#This Row],[Servertime]],-1,0)+1/24</f>
        <v>46325.041666666373</v>
      </c>
      <c r="CB125" s="57"/>
      <c r="CC125" s="292"/>
      <c r="CD125" s="292"/>
    </row>
    <row r="126" spans="1:82" x14ac:dyDescent="0.2">
      <c r="A126" s="214">
        <f ca="1">TblConstr[[#This Row],[Land]]</f>
        <v>50</v>
      </c>
      <c r="B126" s="142"/>
      <c r="C126" s="94">
        <f ca="1">TblProd[[#This Row],[Platinum]]</f>
        <v>209717</v>
      </c>
      <c r="D126" s="94">
        <f ca="1">TblProd[[#This Row],[Lumber]]</f>
        <v>75057</v>
      </c>
      <c r="E126" s="94">
        <f ca="1">TblProd[[#This Row],[Ore]]</f>
        <v>0</v>
      </c>
      <c r="F126" s="94">
        <f ca="1">TblProd[[#This Row],[Gems]]</f>
        <v>0</v>
      </c>
      <c r="G126" s="154"/>
      <c r="H126" s="94">
        <f ca="1">TblMili[[#This Row],[Draftees]]</f>
        <v>630</v>
      </c>
      <c r="I126" s="180">
        <f ca="1">TblPop[[#This Row],[Employment]]</f>
        <v>1</v>
      </c>
      <c r="J126" s="180">
        <f ca="1">TblPop[[#This Row],[Total]]/TblPop[[#This Row],[Net max]]</f>
        <v>1</v>
      </c>
      <c r="K126" s="283">
        <f>TblRezone[[#This Row],[Hour]]</f>
        <v>123</v>
      </c>
      <c r="L126" s="284">
        <f ca="1">TblImps[[#This Row],[Real time]]</f>
        <v>46325.083333333037</v>
      </c>
      <c r="M126" s="61">
        <f>IF(ISERROR(TblImps[[#This Row],[algorithm]]),0,TblImps[[#This Row],[algorithm]]*1)</f>
        <v>0</v>
      </c>
      <c r="N126" s="94">
        <f ca="1">TblImps[[#This Row],[Land]]</f>
        <v>50</v>
      </c>
      <c r="O126" s="285" t="s">
        <v>4</v>
      </c>
      <c r="P126" s="286"/>
      <c r="Q126" s="285" t="s">
        <v>210</v>
      </c>
      <c r="R126" s="285" t="s">
        <v>7</v>
      </c>
      <c r="S126" s="286"/>
      <c r="T126" s="285" t="s">
        <v>210</v>
      </c>
      <c r="U126" s="285" t="s">
        <v>3</v>
      </c>
      <c r="V126" s="286"/>
      <c r="W126" s="285" t="s">
        <v>210</v>
      </c>
      <c r="X126" s="142"/>
      <c r="Y126" s="287">
        <f ca="1">science_cap*(1-EXP(-TblImps[[#This Row],[Σ Science]]/(science_param*(OFFSET(TblImps[[#This Row],[Land]],1,0)-OFFSET(TblExplore[[#This Row],[Land Bonus]],1,0)*20)+15000)))*(1+(mason_bonus*TblConstr[[#This Row],[Tot Mas]]/TblConstr[[#This Row],[Land (2)]]))</f>
        <v>0</v>
      </c>
      <c r="Z126" s="287">
        <f ca="1">keep_cap*(1-EXP(-TblImps[[#This Row],[Σ Keep]]/(keep_param*(OFFSET(TblImps[[#This Row],[Land]],1,0)-OFFSET(TblExplore[[#This Row],[Land Bonus]],1,0)*20)+15000)))*(1+(mason_bonus*TblConstr[[#This Row],[Tot Mas]]/TblConstr[[#This Row],[Land (2)]]))</f>
        <v>0</v>
      </c>
      <c r="AA126" s="287">
        <f ca="1">harbor_towers_cap*(1-EXP(-TblImps[[#This Row],[Σ Spires]]/(towers_param*(OFFSET(TblImps[[#This Row],[Land]],1,0)-OFFSET(TblExplore[[#This Row],[Land Bonus]],1,0)*20)+15000)))*(1+(mason_bonus*TblConstr[[#This Row],[Tot Mas]]/TblConstr[[#This Row],[Land (2)]]))</f>
        <v>0</v>
      </c>
      <c r="AB126" s="287">
        <f ca="1">walls_forges_cap*(1-EXP(-TblImps[[#This Row],[Σ Forges]]/(walls_forges_param*(OFFSET(TblImps[[#This Row],[Land]],1,0)-OFFSET(TblExplore[[#This Row],[Land Bonus]],1,0)*20)+15000)))*(1+(mason_bonus*TblConstr[[#This Row],[Tot Mas]]/TblConstr[[#This Row],[Land (2)]]))</f>
        <v>0</v>
      </c>
      <c r="AC126" s="287">
        <f ca="1">walls_forges_cap*(1-EXP(-TblImps[[#This Row],[Σ Walls]]/(walls_forges_param*(OFFSET(TblImps[[#This Row],[Land]],1,0)-OFFSET(TblExplore[[#This Row],[Land Bonus]],1,0)*20)+15000)))*(1+(mason_bonus*TblConstr[[#This Row],[Tot Mas]]/TblConstr[[#This Row],[Land (2)]]))</f>
        <v>0</v>
      </c>
      <c r="AD126" s="287">
        <f ca="1">harbor_towers_cap*(1-EXP(-TblImps[[#This Row],[Σ Harbor]]/(harbor_towers_param*(OFFSET(TblImps[[#This Row],[Land]],1,0)-OFFSET(TblExplore[[#This Row],[Land Bonus]],1,0)*20)+15000)))*(1+(mason_bonus*TblConstr[[#This Row],[Tot Mas]]/TblConstr[[#This Row],[Land (2)]]))</f>
        <v>0</v>
      </c>
      <c r="AE126" s="142"/>
      <c r="AF126" s="61">
        <f ca="1">(1+Overview!$I$29)*SUM(TblImps[[#This Row],[P2]:[G2]])+OFFSET(TblImps[[#This Row],[Σ Science]],-1,0)</f>
        <v>0</v>
      </c>
      <c r="AG126" s="61">
        <f ca="1">(1+Overview!$I$29)*SUM(TblImps[[#This Row],[P3]:[G3]])+OFFSET(TblImps[[#This Row],[Σ Keep]],-1,0)</f>
        <v>0</v>
      </c>
      <c r="AH126" s="61">
        <f ca="1">(1+Overview!$I$29 + tech_7_1*TblTech[[#This Row],[7-1]])*SUM(TblImps[[#This Row],[P4]:[G4]])+OFFSET(TblImps[[#This Row],[Σ Spires]],-1,0)</f>
        <v>0</v>
      </c>
      <c r="AI126" s="61">
        <f ca="1">(1+Overview!$I$29)*SUM(TblImps[[#This Row],[P5]:[FW5]])+OFFSET(TblImps[[#This Row],[Σ Forges]],-1,0)</f>
        <v>0</v>
      </c>
      <c r="AJ126" s="61">
        <f ca="1">(1+Overview!$I$29)*SUM(TblImps[[#This Row],[P6]:[G6]])+OFFSET(TblImps[[#This Row],[Σ Walls]],-1,0)</f>
        <v>0</v>
      </c>
      <c r="AK126" s="61">
        <f ca="1">(1+Overview!$I$29 + tech_7_1*TblTech[[#This Row],[7-1]])*SUM(TblImps[[#This Row],[P7]:[G7]])+OFFSET(TblImps[[#This Row],[Σ Harbor]],-1,0)</f>
        <v>0</v>
      </c>
      <c r="AL126" s="142"/>
      <c r="AM126" s="57">
        <f>IF(AND(TblImps[[#This Row],[Resource]]=AM$2,TblImps[[#This Row],[Part]]&lt;&gt;""),TblImps[[#This Row],[Amount]]) + IF(AND(TblImps[[#This Row],[Resource 2]]=AM$2,TblImps[[#This Row],[Part 2]]&lt;&gt;""),TblImps[[#This Row],[Amount 2]]) + IF(AND(TblImps[[#This Row],[Resource 3]]=AM$2,TblImps[[#This Row],[Part 3]]&lt;&gt;""),TblImps[[#This Row],[Amount 3]])</f>
        <v>0</v>
      </c>
      <c r="AN126" s="57">
        <f>IF(AND(TblImps[[#This Row],[Resource]]=AN$2,TblImps[[#This Row],[Part]]&lt;&gt;""),TblImps[[#This Row],[Amount]]) + IF(AND(TblImps[[#This Row],[Resource 2]]=AN$2,TblImps[[#This Row],[Part 2]]&lt;&gt;""),TblImps[[#This Row],[Amount 2]]) + IF(AND(TblImps[[#This Row],[Resource 3]]=AN$2,TblImps[[#This Row],[Part 3]]&lt;&gt;""),TblImps[[#This Row],[Amount 3]])</f>
        <v>0</v>
      </c>
      <c r="AO126" s="57">
        <f>IF(AND(TblImps[[#This Row],[Resource]]=AO$2,TblImps[[#This Row],[Part]]&lt;&gt;""),TblImps[[#This Row],[Amount]]) + IF(AND(TblImps[[#This Row],[Resource 2]]=AO$2,TblImps[[#This Row],[Part 2]]&lt;&gt;""),TblImps[[#This Row],[Amount 2]]) + IF(AND(TblImps[[#This Row],[Resource 3]]=AO$2,TblImps[[#This Row],[Part 3]]&lt;&gt;""),TblImps[[#This Row],[Amount 3]])</f>
        <v>0</v>
      </c>
      <c r="AP126" s="57">
        <f>IF(AND(TblImps[[#This Row],[Resource]]=AP$2,TblImps[[#This Row],[Part]]&lt;&gt;""),TblImps[[#This Row],[Amount]]) + IF(AND(TblImps[[#This Row],[Resource 2]]=AP$2,TblImps[[#This Row],[Part 2]]&lt;&gt;""),TblImps[[#This Row],[Amount 2]]) + IF(AND(TblImps[[#This Row],[Resource 3]]=AP$2,TblImps[[#This Row],[Part 3]]&lt;&gt;""),TblImps[[#This Row],[Amount 3]])</f>
        <v>0</v>
      </c>
      <c r="AQ126" s="142"/>
      <c r="AR1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142"/>
      <c r="AW1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142"/>
      <c r="BB1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142"/>
      <c r="BG1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57">
        <f ca="1">IF(OFFSET(TblMagic[[#This Row],[Active Alchemists Flame]],-1,0)&gt;0,TblConstr[[#This Row],[Tot Alc]]*alchemist_flame_invest,0)</f>
        <v>0</v>
      </c>
      <c r="BL126" s="142"/>
      <c r="BM12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6" s="142"/>
      <c r="BR12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6" s="142"/>
      <c r="BW1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6" s="61">
        <f>TblImps[[#This Row],[Login]]</f>
        <v>0</v>
      </c>
      <c r="BY126" s="137"/>
      <c r="BZ126" s="293">
        <f ca="1">OFFSET(TblImps[[#This Row],[Real time]],-1,0)+1/24</f>
        <v>46325.083333333037</v>
      </c>
      <c r="CA126" s="294">
        <f ca="1">OFFSET(TblImps[[#This Row],[Servertime]],-1,0)+1/24</f>
        <v>46325.083333333037</v>
      </c>
      <c r="CB126" s="57"/>
      <c r="CC126" s="292"/>
      <c r="CD126" s="292"/>
    </row>
    <row r="127" spans="1:82" x14ac:dyDescent="0.2">
      <c r="A127" s="214">
        <f ca="1">TblConstr[[#This Row],[Land]]</f>
        <v>50</v>
      </c>
      <c r="B127" s="142"/>
      <c r="C127" s="94">
        <f ca="1">TblProd[[#This Row],[Platinum]]</f>
        <v>210092</v>
      </c>
      <c r="D127" s="94">
        <f ca="1">TblProd[[#This Row],[Lumber]]</f>
        <v>75306</v>
      </c>
      <c r="E127" s="94">
        <f ca="1">TblProd[[#This Row],[Ore]]</f>
        <v>0</v>
      </c>
      <c r="F127" s="94">
        <f ca="1">TblProd[[#This Row],[Gems]]</f>
        <v>0</v>
      </c>
      <c r="G127" s="154"/>
      <c r="H127" s="94">
        <f ca="1">TblMili[[#This Row],[Draftees]]</f>
        <v>631</v>
      </c>
      <c r="I127" s="180">
        <f ca="1">TblPop[[#This Row],[Employment]]</f>
        <v>1</v>
      </c>
      <c r="J127" s="180">
        <f ca="1">TblPop[[#This Row],[Total]]/TblPop[[#This Row],[Net max]]</f>
        <v>1</v>
      </c>
      <c r="K127" s="283">
        <f>TblRezone[[#This Row],[Hour]]</f>
        <v>124</v>
      </c>
      <c r="L127" s="284">
        <f ca="1">TblImps[[#This Row],[Real time]]</f>
        <v>46325.124999999702</v>
      </c>
      <c r="M127" s="61">
        <f>IF(ISERROR(TblImps[[#This Row],[algorithm]]),0,TblImps[[#This Row],[algorithm]]*1)</f>
        <v>0</v>
      </c>
      <c r="N127" s="94">
        <f ca="1">TblImps[[#This Row],[Land]]</f>
        <v>50</v>
      </c>
      <c r="O127" s="285" t="s">
        <v>4</v>
      </c>
      <c r="P127" s="286"/>
      <c r="Q127" s="285" t="s">
        <v>210</v>
      </c>
      <c r="R127" s="285" t="s">
        <v>7</v>
      </c>
      <c r="S127" s="286"/>
      <c r="T127" s="285" t="s">
        <v>210</v>
      </c>
      <c r="U127" s="285" t="s">
        <v>3</v>
      </c>
      <c r="V127" s="286"/>
      <c r="W127" s="285" t="s">
        <v>210</v>
      </c>
      <c r="X127" s="142"/>
      <c r="Y127" s="287">
        <f ca="1">science_cap*(1-EXP(-TblImps[[#This Row],[Σ Science]]/(science_param*(OFFSET(TblImps[[#This Row],[Land]],1,0)-OFFSET(TblExplore[[#This Row],[Land Bonus]],1,0)*20)+15000)))*(1+(mason_bonus*TblConstr[[#This Row],[Tot Mas]]/TblConstr[[#This Row],[Land (2)]]))</f>
        <v>0</v>
      </c>
      <c r="Z127" s="287">
        <f ca="1">keep_cap*(1-EXP(-TblImps[[#This Row],[Σ Keep]]/(keep_param*(OFFSET(TblImps[[#This Row],[Land]],1,0)-OFFSET(TblExplore[[#This Row],[Land Bonus]],1,0)*20)+15000)))*(1+(mason_bonus*TblConstr[[#This Row],[Tot Mas]]/TblConstr[[#This Row],[Land (2)]]))</f>
        <v>0</v>
      </c>
      <c r="AA127" s="287">
        <f ca="1">harbor_towers_cap*(1-EXP(-TblImps[[#This Row],[Σ Spires]]/(towers_param*(OFFSET(TblImps[[#This Row],[Land]],1,0)-OFFSET(TblExplore[[#This Row],[Land Bonus]],1,0)*20)+15000)))*(1+(mason_bonus*TblConstr[[#This Row],[Tot Mas]]/TblConstr[[#This Row],[Land (2)]]))</f>
        <v>0</v>
      </c>
      <c r="AB127" s="287">
        <f ca="1">walls_forges_cap*(1-EXP(-TblImps[[#This Row],[Σ Forges]]/(walls_forges_param*(OFFSET(TblImps[[#This Row],[Land]],1,0)-OFFSET(TblExplore[[#This Row],[Land Bonus]],1,0)*20)+15000)))*(1+(mason_bonus*TblConstr[[#This Row],[Tot Mas]]/TblConstr[[#This Row],[Land (2)]]))</f>
        <v>0</v>
      </c>
      <c r="AC127" s="287">
        <f ca="1">walls_forges_cap*(1-EXP(-TblImps[[#This Row],[Σ Walls]]/(walls_forges_param*(OFFSET(TblImps[[#This Row],[Land]],1,0)-OFFSET(TblExplore[[#This Row],[Land Bonus]],1,0)*20)+15000)))*(1+(mason_bonus*TblConstr[[#This Row],[Tot Mas]]/TblConstr[[#This Row],[Land (2)]]))</f>
        <v>0</v>
      </c>
      <c r="AD127" s="287">
        <f ca="1">harbor_towers_cap*(1-EXP(-TblImps[[#This Row],[Σ Harbor]]/(harbor_towers_param*(OFFSET(TblImps[[#This Row],[Land]],1,0)-OFFSET(TblExplore[[#This Row],[Land Bonus]],1,0)*20)+15000)))*(1+(mason_bonus*TblConstr[[#This Row],[Tot Mas]]/TblConstr[[#This Row],[Land (2)]]))</f>
        <v>0</v>
      </c>
      <c r="AE127" s="142"/>
      <c r="AF127" s="61">
        <f ca="1">(1+Overview!$I$29)*SUM(TblImps[[#This Row],[P2]:[G2]])+OFFSET(TblImps[[#This Row],[Σ Science]],-1,0)</f>
        <v>0</v>
      </c>
      <c r="AG127" s="61">
        <f ca="1">(1+Overview!$I$29)*SUM(TblImps[[#This Row],[P3]:[G3]])+OFFSET(TblImps[[#This Row],[Σ Keep]],-1,0)</f>
        <v>0</v>
      </c>
      <c r="AH127" s="61">
        <f ca="1">(1+Overview!$I$29 + tech_7_1*TblTech[[#This Row],[7-1]])*SUM(TblImps[[#This Row],[P4]:[G4]])+OFFSET(TblImps[[#This Row],[Σ Spires]],-1,0)</f>
        <v>0</v>
      </c>
      <c r="AI127" s="61">
        <f ca="1">(1+Overview!$I$29)*SUM(TblImps[[#This Row],[P5]:[FW5]])+OFFSET(TblImps[[#This Row],[Σ Forges]],-1,0)</f>
        <v>0</v>
      </c>
      <c r="AJ127" s="61">
        <f ca="1">(1+Overview!$I$29)*SUM(TblImps[[#This Row],[P6]:[G6]])+OFFSET(TblImps[[#This Row],[Σ Walls]],-1,0)</f>
        <v>0</v>
      </c>
      <c r="AK127" s="61">
        <f ca="1">(1+Overview!$I$29 + tech_7_1*TblTech[[#This Row],[7-1]])*SUM(TblImps[[#This Row],[P7]:[G7]])+OFFSET(TblImps[[#This Row],[Σ Harbor]],-1,0)</f>
        <v>0</v>
      </c>
      <c r="AL127" s="142"/>
      <c r="AM127" s="57">
        <f>IF(AND(TblImps[[#This Row],[Resource]]=AM$2,TblImps[[#This Row],[Part]]&lt;&gt;""),TblImps[[#This Row],[Amount]]) + IF(AND(TblImps[[#This Row],[Resource 2]]=AM$2,TblImps[[#This Row],[Part 2]]&lt;&gt;""),TblImps[[#This Row],[Amount 2]]) + IF(AND(TblImps[[#This Row],[Resource 3]]=AM$2,TblImps[[#This Row],[Part 3]]&lt;&gt;""),TblImps[[#This Row],[Amount 3]])</f>
        <v>0</v>
      </c>
      <c r="AN127" s="57">
        <f>IF(AND(TblImps[[#This Row],[Resource]]=AN$2,TblImps[[#This Row],[Part]]&lt;&gt;""),TblImps[[#This Row],[Amount]]) + IF(AND(TblImps[[#This Row],[Resource 2]]=AN$2,TblImps[[#This Row],[Part 2]]&lt;&gt;""),TblImps[[#This Row],[Amount 2]]) + IF(AND(TblImps[[#This Row],[Resource 3]]=AN$2,TblImps[[#This Row],[Part 3]]&lt;&gt;""),TblImps[[#This Row],[Amount 3]])</f>
        <v>0</v>
      </c>
      <c r="AO127" s="57">
        <f>IF(AND(TblImps[[#This Row],[Resource]]=AO$2,TblImps[[#This Row],[Part]]&lt;&gt;""),TblImps[[#This Row],[Amount]]) + IF(AND(TblImps[[#This Row],[Resource 2]]=AO$2,TblImps[[#This Row],[Part 2]]&lt;&gt;""),TblImps[[#This Row],[Amount 2]]) + IF(AND(TblImps[[#This Row],[Resource 3]]=AO$2,TblImps[[#This Row],[Part 3]]&lt;&gt;""),TblImps[[#This Row],[Amount 3]])</f>
        <v>0</v>
      </c>
      <c r="AP127" s="57">
        <f>IF(AND(TblImps[[#This Row],[Resource]]=AP$2,TblImps[[#This Row],[Part]]&lt;&gt;""),TblImps[[#This Row],[Amount]]) + IF(AND(TblImps[[#This Row],[Resource 2]]=AP$2,TblImps[[#This Row],[Part 2]]&lt;&gt;""),TblImps[[#This Row],[Amount 2]]) + IF(AND(TblImps[[#This Row],[Resource 3]]=AP$2,TblImps[[#This Row],[Part 3]]&lt;&gt;""),TblImps[[#This Row],[Amount 3]])</f>
        <v>0</v>
      </c>
      <c r="AQ127" s="142"/>
      <c r="AR1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142"/>
      <c r="AW1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142"/>
      <c r="BB1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142"/>
      <c r="BG1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57">
        <f ca="1">IF(OFFSET(TblMagic[[#This Row],[Active Alchemists Flame]],-1,0)&gt;0,TblConstr[[#This Row],[Tot Alc]]*alchemist_flame_invest,0)</f>
        <v>0</v>
      </c>
      <c r="BL127" s="142"/>
      <c r="BM12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7" s="142"/>
      <c r="BR12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7" s="142"/>
      <c r="BW1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7" s="61">
        <f>TblImps[[#This Row],[Login]]</f>
        <v>0</v>
      </c>
      <c r="BY127" s="137"/>
      <c r="BZ127" s="293">
        <f ca="1">OFFSET(TblImps[[#This Row],[Real time]],-1,0)+1/24</f>
        <v>46325.124999999702</v>
      </c>
      <c r="CA127" s="294">
        <f ca="1">OFFSET(TblImps[[#This Row],[Servertime]],-1,0)+1/24</f>
        <v>46325.124999999702</v>
      </c>
      <c r="CB127" s="57"/>
      <c r="CC127" s="292"/>
      <c r="CD127" s="292"/>
    </row>
    <row r="128" spans="1:82" x14ac:dyDescent="0.2">
      <c r="A128" s="214">
        <f ca="1">TblConstr[[#This Row],[Land]]</f>
        <v>50</v>
      </c>
      <c r="B128" s="142"/>
      <c r="C128" s="94">
        <f ca="1">TblProd[[#This Row],[Platinum]]</f>
        <v>210464</v>
      </c>
      <c r="D128" s="94">
        <f ca="1">TblProd[[#This Row],[Lumber]]</f>
        <v>75553</v>
      </c>
      <c r="E128" s="94">
        <f ca="1">TblProd[[#This Row],[Ore]]</f>
        <v>0</v>
      </c>
      <c r="F128" s="94">
        <f ca="1">TblProd[[#This Row],[Gems]]</f>
        <v>0</v>
      </c>
      <c r="G128" s="154"/>
      <c r="H128" s="94">
        <f ca="1">TblMili[[#This Row],[Draftees]]</f>
        <v>632</v>
      </c>
      <c r="I128" s="180">
        <f ca="1">TblPop[[#This Row],[Employment]]</f>
        <v>1</v>
      </c>
      <c r="J128" s="180">
        <f ca="1">TblPop[[#This Row],[Total]]/TblPop[[#This Row],[Net max]]</f>
        <v>1</v>
      </c>
      <c r="K128" s="283">
        <f>TblRezone[[#This Row],[Hour]]</f>
        <v>125</v>
      </c>
      <c r="L128" s="284">
        <f ca="1">TblImps[[#This Row],[Real time]]</f>
        <v>46325.166666666366</v>
      </c>
      <c r="M128" s="61">
        <f>IF(ISERROR(TblImps[[#This Row],[algorithm]]),0,TblImps[[#This Row],[algorithm]]*1)</f>
        <v>0</v>
      </c>
      <c r="N128" s="94">
        <f ca="1">TblImps[[#This Row],[Land]]</f>
        <v>50</v>
      </c>
      <c r="O128" s="285" t="s">
        <v>4</v>
      </c>
      <c r="P128" s="286"/>
      <c r="Q128" s="285" t="s">
        <v>210</v>
      </c>
      <c r="R128" s="285" t="s">
        <v>7</v>
      </c>
      <c r="S128" s="286"/>
      <c r="T128" s="285" t="s">
        <v>210</v>
      </c>
      <c r="U128" s="285" t="s">
        <v>3</v>
      </c>
      <c r="V128" s="286"/>
      <c r="W128" s="285" t="s">
        <v>210</v>
      </c>
      <c r="X128" s="142"/>
      <c r="Y128" s="287">
        <f ca="1">science_cap*(1-EXP(-TblImps[[#This Row],[Σ Science]]/(science_param*(OFFSET(TblImps[[#This Row],[Land]],1,0)-OFFSET(TblExplore[[#This Row],[Land Bonus]],1,0)*20)+15000)))*(1+(mason_bonus*TblConstr[[#This Row],[Tot Mas]]/TblConstr[[#This Row],[Land (2)]]))</f>
        <v>0</v>
      </c>
      <c r="Z128" s="287">
        <f ca="1">keep_cap*(1-EXP(-TblImps[[#This Row],[Σ Keep]]/(keep_param*(OFFSET(TblImps[[#This Row],[Land]],1,0)-OFFSET(TblExplore[[#This Row],[Land Bonus]],1,0)*20)+15000)))*(1+(mason_bonus*TblConstr[[#This Row],[Tot Mas]]/TblConstr[[#This Row],[Land (2)]]))</f>
        <v>0</v>
      </c>
      <c r="AA128" s="287">
        <f ca="1">harbor_towers_cap*(1-EXP(-TblImps[[#This Row],[Σ Spires]]/(towers_param*(OFFSET(TblImps[[#This Row],[Land]],1,0)-OFFSET(TblExplore[[#This Row],[Land Bonus]],1,0)*20)+15000)))*(1+(mason_bonus*TblConstr[[#This Row],[Tot Mas]]/TblConstr[[#This Row],[Land (2)]]))</f>
        <v>0</v>
      </c>
      <c r="AB128" s="287">
        <f ca="1">walls_forges_cap*(1-EXP(-TblImps[[#This Row],[Σ Forges]]/(walls_forges_param*(OFFSET(TblImps[[#This Row],[Land]],1,0)-OFFSET(TblExplore[[#This Row],[Land Bonus]],1,0)*20)+15000)))*(1+(mason_bonus*TblConstr[[#This Row],[Tot Mas]]/TblConstr[[#This Row],[Land (2)]]))</f>
        <v>0</v>
      </c>
      <c r="AC128" s="287">
        <f ca="1">walls_forges_cap*(1-EXP(-TblImps[[#This Row],[Σ Walls]]/(walls_forges_param*(OFFSET(TblImps[[#This Row],[Land]],1,0)-OFFSET(TblExplore[[#This Row],[Land Bonus]],1,0)*20)+15000)))*(1+(mason_bonus*TblConstr[[#This Row],[Tot Mas]]/TblConstr[[#This Row],[Land (2)]]))</f>
        <v>0</v>
      </c>
      <c r="AD128" s="287">
        <f ca="1">harbor_towers_cap*(1-EXP(-TblImps[[#This Row],[Σ Harbor]]/(harbor_towers_param*(OFFSET(TblImps[[#This Row],[Land]],1,0)-OFFSET(TblExplore[[#This Row],[Land Bonus]],1,0)*20)+15000)))*(1+(mason_bonus*TblConstr[[#This Row],[Tot Mas]]/TblConstr[[#This Row],[Land (2)]]))</f>
        <v>0</v>
      </c>
      <c r="AE128" s="142"/>
      <c r="AF128" s="61">
        <f ca="1">(1+Overview!$I$29)*SUM(TblImps[[#This Row],[P2]:[G2]])+OFFSET(TblImps[[#This Row],[Σ Science]],-1,0)</f>
        <v>0</v>
      </c>
      <c r="AG128" s="61">
        <f ca="1">(1+Overview!$I$29)*SUM(TblImps[[#This Row],[P3]:[G3]])+OFFSET(TblImps[[#This Row],[Σ Keep]],-1,0)</f>
        <v>0</v>
      </c>
      <c r="AH128" s="61">
        <f ca="1">(1+Overview!$I$29 + tech_7_1*TblTech[[#This Row],[7-1]])*SUM(TblImps[[#This Row],[P4]:[G4]])+OFFSET(TblImps[[#This Row],[Σ Spires]],-1,0)</f>
        <v>0</v>
      </c>
      <c r="AI128" s="61">
        <f ca="1">(1+Overview!$I$29)*SUM(TblImps[[#This Row],[P5]:[FW5]])+OFFSET(TblImps[[#This Row],[Σ Forges]],-1,0)</f>
        <v>0</v>
      </c>
      <c r="AJ128" s="61">
        <f ca="1">(1+Overview!$I$29)*SUM(TblImps[[#This Row],[P6]:[G6]])+OFFSET(TblImps[[#This Row],[Σ Walls]],-1,0)</f>
        <v>0</v>
      </c>
      <c r="AK128" s="61">
        <f ca="1">(1+Overview!$I$29 + tech_7_1*TblTech[[#This Row],[7-1]])*SUM(TblImps[[#This Row],[P7]:[G7]])+OFFSET(TblImps[[#This Row],[Σ Harbor]],-1,0)</f>
        <v>0</v>
      </c>
      <c r="AL128" s="142"/>
      <c r="AM128" s="57">
        <f>IF(AND(TblImps[[#This Row],[Resource]]=AM$2,TblImps[[#This Row],[Part]]&lt;&gt;""),TblImps[[#This Row],[Amount]]) + IF(AND(TblImps[[#This Row],[Resource 2]]=AM$2,TblImps[[#This Row],[Part 2]]&lt;&gt;""),TblImps[[#This Row],[Amount 2]]) + IF(AND(TblImps[[#This Row],[Resource 3]]=AM$2,TblImps[[#This Row],[Part 3]]&lt;&gt;""),TblImps[[#This Row],[Amount 3]])</f>
        <v>0</v>
      </c>
      <c r="AN128" s="57">
        <f>IF(AND(TblImps[[#This Row],[Resource]]=AN$2,TblImps[[#This Row],[Part]]&lt;&gt;""),TblImps[[#This Row],[Amount]]) + IF(AND(TblImps[[#This Row],[Resource 2]]=AN$2,TblImps[[#This Row],[Part 2]]&lt;&gt;""),TblImps[[#This Row],[Amount 2]]) + IF(AND(TblImps[[#This Row],[Resource 3]]=AN$2,TblImps[[#This Row],[Part 3]]&lt;&gt;""),TblImps[[#This Row],[Amount 3]])</f>
        <v>0</v>
      </c>
      <c r="AO128" s="57">
        <f>IF(AND(TblImps[[#This Row],[Resource]]=AO$2,TblImps[[#This Row],[Part]]&lt;&gt;""),TblImps[[#This Row],[Amount]]) + IF(AND(TblImps[[#This Row],[Resource 2]]=AO$2,TblImps[[#This Row],[Part 2]]&lt;&gt;""),TblImps[[#This Row],[Amount 2]]) + IF(AND(TblImps[[#This Row],[Resource 3]]=AO$2,TblImps[[#This Row],[Part 3]]&lt;&gt;""),TblImps[[#This Row],[Amount 3]])</f>
        <v>0</v>
      </c>
      <c r="AP128" s="57">
        <f>IF(AND(TblImps[[#This Row],[Resource]]=AP$2,TblImps[[#This Row],[Part]]&lt;&gt;""),TblImps[[#This Row],[Amount]]) + IF(AND(TblImps[[#This Row],[Resource 2]]=AP$2,TblImps[[#This Row],[Part 2]]&lt;&gt;""),TblImps[[#This Row],[Amount 2]]) + IF(AND(TblImps[[#This Row],[Resource 3]]=AP$2,TblImps[[#This Row],[Part 3]]&lt;&gt;""),TblImps[[#This Row],[Amount 3]])</f>
        <v>0</v>
      </c>
      <c r="AQ128" s="142"/>
      <c r="AR1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142"/>
      <c r="AW1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142"/>
      <c r="BB1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142"/>
      <c r="BG1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57">
        <f ca="1">IF(OFFSET(TblMagic[[#This Row],[Active Alchemists Flame]],-1,0)&gt;0,TblConstr[[#This Row],[Tot Alc]]*alchemist_flame_invest,0)</f>
        <v>0</v>
      </c>
      <c r="BL128" s="142"/>
      <c r="BM12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8" s="142"/>
      <c r="BR12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8" s="142"/>
      <c r="BW1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8" s="61">
        <f>TblImps[[#This Row],[Login]]</f>
        <v>0</v>
      </c>
      <c r="BY128" s="137"/>
      <c r="BZ128" s="293">
        <f ca="1">OFFSET(TblImps[[#This Row],[Real time]],-1,0)+1/24</f>
        <v>46325.166666666366</v>
      </c>
      <c r="CA128" s="294">
        <f ca="1">OFFSET(TblImps[[#This Row],[Servertime]],-1,0)+1/24</f>
        <v>46325.166666666366</v>
      </c>
      <c r="CB128" s="57"/>
      <c r="CC128" s="292"/>
      <c r="CD128" s="292"/>
    </row>
    <row r="129" spans="1:82" x14ac:dyDescent="0.2">
      <c r="A129" s="214">
        <f ca="1">TblConstr[[#This Row],[Land]]</f>
        <v>50</v>
      </c>
      <c r="B129" s="142"/>
      <c r="C129" s="94">
        <f ca="1">TblProd[[#This Row],[Platinum]]</f>
        <v>210833</v>
      </c>
      <c r="D129" s="94">
        <f ca="1">TblProd[[#This Row],[Lumber]]</f>
        <v>75797</v>
      </c>
      <c r="E129" s="94">
        <f ca="1">TblProd[[#This Row],[Ore]]</f>
        <v>0</v>
      </c>
      <c r="F129" s="94">
        <f ca="1">TblProd[[#This Row],[Gems]]</f>
        <v>0</v>
      </c>
      <c r="G129" s="154"/>
      <c r="H129" s="94">
        <f ca="1">TblMili[[#This Row],[Draftees]]</f>
        <v>633</v>
      </c>
      <c r="I129" s="180">
        <f ca="1">TblPop[[#This Row],[Employment]]</f>
        <v>1</v>
      </c>
      <c r="J129" s="180">
        <f ca="1">TblPop[[#This Row],[Total]]/TblPop[[#This Row],[Net max]]</f>
        <v>1</v>
      </c>
      <c r="K129" s="283">
        <f>TblRezone[[#This Row],[Hour]]</f>
        <v>126</v>
      </c>
      <c r="L129" s="284">
        <f ca="1">TblImps[[#This Row],[Real time]]</f>
        <v>46325.20833333303</v>
      </c>
      <c r="M129" s="61">
        <f>IF(ISERROR(TblImps[[#This Row],[algorithm]]),0,TblImps[[#This Row],[algorithm]]*1)</f>
        <v>0</v>
      </c>
      <c r="N129" s="94">
        <f ca="1">TblImps[[#This Row],[Land]]</f>
        <v>50</v>
      </c>
      <c r="O129" s="285" t="s">
        <v>4</v>
      </c>
      <c r="P129" s="286"/>
      <c r="Q129" s="285" t="s">
        <v>210</v>
      </c>
      <c r="R129" s="285" t="s">
        <v>7</v>
      </c>
      <c r="S129" s="286"/>
      <c r="T129" s="285" t="s">
        <v>210</v>
      </c>
      <c r="U129" s="285" t="s">
        <v>3</v>
      </c>
      <c r="V129" s="286"/>
      <c r="W129" s="285" t="s">
        <v>210</v>
      </c>
      <c r="X129" s="142"/>
      <c r="Y129" s="287">
        <f ca="1">science_cap*(1-EXP(-TblImps[[#This Row],[Σ Science]]/(science_param*(OFFSET(TblImps[[#This Row],[Land]],1,0)-OFFSET(TblExplore[[#This Row],[Land Bonus]],1,0)*20)+15000)))*(1+(mason_bonus*TblConstr[[#This Row],[Tot Mas]]/TblConstr[[#This Row],[Land (2)]]))</f>
        <v>0</v>
      </c>
      <c r="Z129" s="287">
        <f ca="1">keep_cap*(1-EXP(-TblImps[[#This Row],[Σ Keep]]/(keep_param*(OFFSET(TblImps[[#This Row],[Land]],1,0)-OFFSET(TblExplore[[#This Row],[Land Bonus]],1,0)*20)+15000)))*(1+(mason_bonus*TblConstr[[#This Row],[Tot Mas]]/TblConstr[[#This Row],[Land (2)]]))</f>
        <v>0</v>
      </c>
      <c r="AA129" s="287">
        <f ca="1">harbor_towers_cap*(1-EXP(-TblImps[[#This Row],[Σ Spires]]/(towers_param*(OFFSET(TblImps[[#This Row],[Land]],1,0)-OFFSET(TblExplore[[#This Row],[Land Bonus]],1,0)*20)+15000)))*(1+(mason_bonus*TblConstr[[#This Row],[Tot Mas]]/TblConstr[[#This Row],[Land (2)]]))</f>
        <v>0</v>
      </c>
      <c r="AB129" s="287">
        <f ca="1">walls_forges_cap*(1-EXP(-TblImps[[#This Row],[Σ Forges]]/(walls_forges_param*(OFFSET(TblImps[[#This Row],[Land]],1,0)-OFFSET(TblExplore[[#This Row],[Land Bonus]],1,0)*20)+15000)))*(1+(mason_bonus*TblConstr[[#This Row],[Tot Mas]]/TblConstr[[#This Row],[Land (2)]]))</f>
        <v>0</v>
      </c>
      <c r="AC129" s="287">
        <f ca="1">walls_forges_cap*(1-EXP(-TblImps[[#This Row],[Σ Walls]]/(walls_forges_param*(OFFSET(TblImps[[#This Row],[Land]],1,0)-OFFSET(TblExplore[[#This Row],[Land Bonus]],1,0)*20)+15000)))*(1+(mason_bonus*TblConstr[[#This Row],[Tot Mas]]/TblConstr[[#This Row],[Land (2)]]))</f>
        <v>0</v>
      </c>
      <c r="AD129" s="287">
        <f ca="1">harbor_towers_cap*(1-EXP(-TblImps[[#This Row],[Σ Harbor]]/(harbor_towers_param*(OFFSET(TblImps[[#This Row],[Land]],1,0)-OFFSET(TblExplore[[#This Row],[Land Bonus]],1,0)*20)+15000)))*(1+(mason_bonus*TblConstr[[#This Row],[Tot Mas]]/TblConstr[[#This Row],[Land (2)]]))</f>
        <v>0</v>
      </c>
      <c r="AE129" s="142"/>
      <c r="AF129" s="61">
        <f ca="1">(1+Overview!$I$29)*SUM(TblImps[[#This Row],[P2]:[G2]])+OFFSET(TblImps[[#This Row],[Σ Science]],-1,0)</f>
        <v>0</v>
      </c>
      <c r="AG129" s="61">
        <f ca="1">(1+Overview!$I$29)*SUM(TblImps[[#This Row],[P3]:[G3]])+OFFSET(TblImps[[#This Row],[Σ Keep]],-1,0)</f>
        <v>0</v>
      </c>
      <c r="AH129" s="61">
        <f ca="1">(1+Overview!$I$29 + tech_7_1*TblTech[[#This Row],[7-1]])*SUM(TblImps[[#This Row],[P4]:[G4]])+OFFSET(TblImps[[#This Row],[Σ Spires]],-1,0)</f>
        <v>0</v>
      </c>
      <c r="AI129" s="61">
        <f ca="1">(1+Overview!$I$29)*SUM(TblImps[[#This Row],[P5]:[FW5]])+OFFSET(TblImps[[#This Row],[Σ Forges]],-1,0)</f>
        <v>0</v>
      </c>
      <c r="AJ129" s="61">
        <f ca="1">(1+Overview!$I$29)*SUM(TblImps[[#This Row],[P6]:[G6]])+OFFSET(TblImps[[#This Row],[Σ Walls]],-1,0)</f>
        <v>0</v>
      </c>
      <c r="AK129" s="61">
        <f ca="1">(1+Overview!$I$29 + tech_7_1*TblTech[[#This Row],[7-1]])*SUM(TblImps[[#This Row],[P7]:[G7]])+OFFSET(TblImps[[#This Row],[Σ Harbor]],-1,0)</f>
        <v>0</v>
      </c>
      <c r="AL129" s="142"/>
      <c r="AM129" s="57">
        <f>IF(AND(TblImps[[#This Row],[Resource]]=AM$2,TblImps[[#This Row],[Part]]&lt;&gt;""),TblImps[[#This Row],[Amount]]) + IF(AND(TblImps[[#This Row],[Resource 2]]=AM$2,TblImps[[#This Row],[Part 2]]&lt;&gt;""),TblImps[[#This Row],[Amount 2]]) + IF(AND(TblImps[[#This Row],[Resource 3]]=AM$2,TblImps[[#This Row],[Part 3]]&lt;&gt;""),TblImps[[#This Row],[Amount 3]])</f>
        <v>0</v>
      </c>
      <c r="AN129" s="57">
        <f>IF(AND(TblImps[[#This Row],[Resource]]=AN$2,TblImps[[#This Row],[Part]]&lt;&gt;""),TblImps[[#This Row],[Amount]]) + IF(AND(TblImps[[#This Row],[Resource 2]]=AN$2,TblImps[[#This Row],[Part 2]]&lt;&gt;""),TblImps[[#This Row],[Amount 2]]) + IF(AND(TblImps[[#This Row],[Resource 3]]=AN$2,TblImps[[#This Row],[Part 3]]&lt;&gt;""),TblImps[[#This Row],[Amount 3]])</f>
        <v>0</v>
      </c>
      <c r="AO129" s="57">
        <f>IF(AND(TblImps[[#This Row],[Resource]]=AO$2,TblImps[[#This Row],[Part]]&lt;&gt;""),TblImps[[#This Row],[Amount]]) + IF(AND(TblImps[[#This Row],[Resource 2]]=AO$2,TblImps[[#This Row],[Part 2]]&lt;&gt;""),TblImps[[#This Row],[Amount 2]]) + IF(AND(TblImps[[#This Row],[Resource 3]]=AO$2,TblImps[[#This Row],[Part 3]]&lt;&gt;""),TblImps[[#This Row],[Amount 3]])</f>
        <v>0</v>
      </c>
      <c r="AP129" s="57">
        <f>IF(AND(TblImps[[#This Row],[Resource]]=AP$2,TblImps[[#This Row],[Part]]&lt;&gt;""),TblImps[[#This Row],[Amount]]) + IF(AND(TblImps[[#This Row],[Resource 2]]=AP$2,TblImps[[#This Row],[Part 2]]&lt;&gt;""),TblImps[[#This Row],[Amount 2]]) + IF(AND(TblImps[[#This Row],[Resource 3]]=AP$2,TblImps[[#This Row],[Part 3]]&lt;&gt;""),TblImps[[#This Row],[Amount 3]])</f>
        <v>0</v>
      </c>
      <c r="AQ129" s="142"/>
      <c r="AR1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142"/>
      <c r="AW1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142"/>
      <c r="BB1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142"/>
      <c r="BG1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57">
        <f ca="1">IF(OFFSET(TblMagic[[#This Row],[Active Alchemists Flame]],-1,0)&gt;0,TblConstr[[#This Row],[Tot Alc]]*alchemist_flame_invest,0)</f>
        <v>0</v>
      </c>
      <c r="BL129" s="142"/>
      <c r="BM12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9" s="142"/>
      <c r="BR12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9" s="142"/>
      <c r="BW1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9" s="61">
        <f>TblImps[[#This Row],[Login]]</f>
        <v>0</v>
      </c>
      <c r="BY129" s="137"/>
      <c r="BZ129" s="293">
        <f ca="1">OFFSET(TblImps[[#This Row],[Real time]],-1,0)+1/24</f>
        <v>46325.20833333303</v>
      </c>
      <c r="CA129" s="294">
        <f ca="1">OFFSET(TblImps[[#This Row],[Servertime]],-1,0)+1/24</f>
        <v>46325.20833333303</v>
      </c>
      <c r="CB129" s="57"/>
      <c r="CC129" s="292"/>
      <c r="CD129" s="292"/>
    </row>
    <row r="130" spans="1:82" x14ac:dyDescent="0.2">
      <c r="A130" s="214">
        <f ca="1">TblConstr[[#This Row],[Land]]</f>
        <v>50</v>
      </c>
      <c r="B130" s="142"/>
      <c r="C130" s="94">
        <f ca="1">TblProd[[#This Row],[Platinum]]</f>
        <v>211200</v>
      </c>
      <c r="D130" s="94">
        <f ca="1">TblProd[[#This Row],[Lumber]]</f>
        <v>76039</v>
      </c>
      <c r="E130" s="94">
        <f ca="1">TblProd[[#This Row],[Ore]]</f>
        <v>0</v>
      </c>
      <c r="F130" s="94">
        <f ca="1">TblProd[[#This Row],[Gems]]</f>
        <v>0</v>
      </c>
      <c r="G130" s="154"/>
      <c r="H130" s="94">
        <f ca="1">TblMili[[#This Row],[Draftees]]</f>
        <v>634</v>
      </c>
      <c r="I130" s="180">
        <f ca="1">TblPop[[#This Row],[Employment]]</f>
        <v>1</v>
      </c>
      <c r="J130" s="180">
        <f ca="1">TblPop[[#This Row],[Total]]/TblPop[[#This Row],[Net max]]</f>
        <v>1</v>
      </c>
      <c r="K130" s="283">
        <f>TblRezone[[#This Row],[Hour]]</f>
        <v>127</v>
      </c>
      <c r="L130" s="284">
        <f ca="1">TblImps[[#This Row],[Real time]]</f>
        <v>46325.249999999694</v>
      </c>
      <c r="M130" s="61">
        <f>IF(ISERROR(TblImps[[#This Row],[algorithm]]),0,TblImps[[#This Row],[algorithm]]*1)</f>
        <v>0</v>
      </c>
      <c r="N130" s="94">
        <f ca="1">TblImps[[#This Row],[Land]]</f>
        <v>50</v>
      </c>
      <c r="O130" s="285" t="s">
        <v>4</v>
      </c>
      <c r="P130" s="286"/>
      <c r="Q130" s="285" t="s">
        <v>210</v>
      </c>
      <c r="R130" s="285" t="s">
        <v>7</v>
      </c>
      <c r="S130" s="286"/>
      <c r="T130" s="285" t="s">
        <v>210</v>
      </c>
      <c r="U130" s="285" t="s">
        <v>3</v>
      </c>
      <c r="V130" s="286"/>
      <c r="W130" s="285" t="s">
        <v>210</v>
      </c>
      <c r="X130" s="142"/>
      <c r="Y130" s="287">
        <f ca="1">science_cap*(1-EXP(-TblImps[[#This Row],[Σ Science]]/(science_param*(OFFSET(TblImps[[#This Row],[Land]],1,0)-OFFSET(TblExplore[[#This Row],[Land Bonus]],1,0)*20)+15000)))*(1+(mason_bonus*TblConstr[[#This Row],[Tot Mas]]/TblConstr[[#This Row],[Land (2)]]))</f>
        <v>0</v>
      </c>
      <c r="Z130" s="287">
        <f ca="1">keep_cap*(1-EXP(-TblImps[[#This Row],[Σ Keep]]/(keep_param*(OFFSET(TblImps[[#This Row],[Land]],1,0)-OFFSET(TblExplore[[#This Row],[Land Bonus]],1,0)*20)+15000)))*(1+(mason_bonus*TblConstr[[#This Row],[Tot Mas]]/TblConstr[[#This Row],[Land (2)]]))</f>
        <v>0</v>
      </c>
      <c r="AA130" s="287">
        <f ca="1">harbor_towers_cap*(1-EXP(-TblImps[[#This Row],[Σ Spires]]/(towers_param*(OFFSET(TblImps[[#This Row],[Land]],1,0)-OFFSET(TblExplore[[#This Row],[Land Bonus]],1,0)*20)+15000)))*(1+(mason_bonus*TblConstr[[#This Row],[Tot Mas]]/TblConstr[[#This Row],[Land (2)]]))</f>
        <v>0</v>
      </c>
      <c r="AB130" s="287">
        <f ca="1">walls_forges_cap*(1-EXP(-TblImps[[#This Row],[Σ Forges]]/(walls_forges_param*(OFFSET(TblImps[[#This Row],[Land]],1,0)-OFFSET(TblExplore[[#This Row],[Land Bonus]],1,0)*20)+15000)))*(1+(mason_bonus*TblConstr[[#This Row],[Tot Mas]]/TblConstr[[#This Row],[Land (2)]]))</f>
        <v>0</v>
      </c>
      <c r="AC130" s="287">
        <f ca="1">walls_forges_cap*(1-EXP(-TblImps[[#This Row],[Σ Walls]]/(walls_forges_param*(OFFSET(TblImps[[#This Row],[Land]],1,0)-OFFSET(TblExplore[[#This Row],[Land Bonus]],1,0)*20)+15000)))*(1+(mason_bonus*TblConstr[[#This Row],[Tot Mas]]/TblConstr[[#This Row],[Land (2)]]))</f>
        <v>0</v>
      </c>
      <c r="AD130" s="287">
        <f ca="1">harbor_towers_cap*(1-EXP(-TblImps[[#This Row],[Σ Harbor]]/(harbor_towers_param*(OFFSET(TblImps[[#This Row],[Land]],1,0)-OFFSET(TblExplore[[#This Row],[Land Bonus]],1,0)*20)+15000)))*(1+(mason_bonus*TblConstr[[#This Row],[Tot Mas]]/TblConstr[[#This Row],[Land (2)]]))</f>
        <v>0</v>
      </c>
      <c r="AE130" s="142"/>
      <c r="AF130" s="61">
        <f ca="1">(1+Overview!$I$29)*SUM(TblImps[[#This Row],[P2]:[G2]])+OFFSET(TblImps[[#This Row],[Σ Science]],-1,0)</f>
        <v>0</v>
      </c>
      <c r="AG130" s="61">
        <f ca="1">(1+Overview!$I$29)*SUM(TblImps[[#This Row],[P3]:[G3]])+OFFSET(TblImps[[#This Row],[Σ Keep]],-1,0)</f>
        <v>0</v>
      </c>
      <c r="AH130" s="61">
        <f ca="1">(1+Overview!$I$29 + tech_7_1*TblTech[[#This Row],[7-1]])*SUM(TblImps[[#This Row],[P4]:[G4]])+OFFSET(TblImps[[#This Row],[Σ Spires]],-1,0)</f>
        <v>0</v>
      </c>
      <c r="AI130" s="61">
        <f ca="1">(1+Overview!$I$29)*SUM(TblImps[[#This Row],[P5]:[FW5]])+OFFSET(TblImps[[#This Row],[Σ Forges]],-1,0)</f>
        <v>0</v>
      </c>
      <c r="AJ130" s="61">
        <f ca="1">(1+Overview!$I$29)*SUM(TblImps[[#This Row],[P6]:[G6]])+OFFSET(TblImps[[#This Row],[Σ Walls]],-1,0)</f>
        <v>0</v>
      </c>
      <c r="AK130" s="61">
        <f ca="1">(1+Overview!$I$29 + tech_7_1*TblTech[[#This Row],[7-1]])*SUM(TblImps[[#This Row],[P7]:[G7]])+OFFSET(TblImps[[#This Row],[Σ Harbor]],-1,0)</f>
        <v>0</v>
      </c>
      <c r="AL130" s="142"/>
      <c r="AM130" s="57">
        <f>IF(AND(TblImps[[#This Row],[Resource]]=AM$2,TblImps[[#This Row],[Part]]&lt;&gt;""),TblImps[[#This Row],[Amount]]) + IF(AND(TblImps[[#This Row],[Resource 2]]=AM$2,TblImps[[#This Row],[Part 2]]&lt;&gt;""),TblImps[[#This Row],[Amount 2]]) + IF(AND(TblImps[[#This Row],[Resource 3]]=AM$2,TblImps[[#This Row],[Part 3]]&lt;&gt;""),TblImps[[#This Row],[Amount 3]])</f>
        <v>0</v>
      </c>
      <c r="AN130" s="57">
        <f>IF(AND(TblImps[[#This Row],[Resource]]=AN$2,TblImps[[#This Row],[Part]]&lt;&gt;""),TblImps[[#This Row],[Amount]]) + IF(AND(TblImps[[#This Row],[Resource 2]]=AN$2,TblImps[[#This Row],[Part 2]]&lt;&gt;""),TblImps[[#This Row],[Amount 2]]) + IF(AND(TblImps[[#This Row],[Resource 3]]=AN$2,TblImps[[#This Row],[Part 3]]&lt;&gt;""),TblImps[[#This Row],[Amount 3]])</f>
        <v>0</v>
      </c>
      <c r="AO130" s="57">
        <f>IF(AND(TblImps[[#This Row],[Resource]]=AO$2,TblImps[[#This Row],[Part]]&lt;&gt;""),TblImps[[#This Row],[Amount]]) + IF(AND(TblImps[[#This Row],[Resource 2]]=AO$2,TblImps[[#This Row],[Part 2]]&lt;&gt;""),TblImps[[#This Row],[Amount 2]]) + IF(AND(TblImps[[#This Row],[Resource 3]]=AO$2,TblImps[[#This Row],[Part 3]]&lt;&gt;""),TblImps[[#This Row],[Amount 3]])</f>
        <v>0</v>
      </c>
      <c r="AP130" s="57">
        <f>IF(AND(TblImps[[#This Row],[Resource]]=AP$2,TblImps[[#This Row],[Part]]&lt;&gt;""),TblImps[[#This Row],[Amount]]) + IF(AND(TblImps[[#This Row],[Resource 2]]=AP$2,TblImps[[#This Row],[Part 2]]&lt;&gt;""),TblImps[[#This Row],[Amount 2]]) + IF(AND(TblImps[[#This Row],[Resource 3]]=AP$2,TblImps[[#This Row],[Part 3]]&lt;&gt;""),TblImps[[#This Row],[Amount 3]])</f>
        <v>0</v>
      </c>
      <c r="AQ130" s="142"/>
      <c r="AR1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142"/>
      <c r="AW1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142"/>
      <c r="BB1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142"/>
      <c r="BG1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57">
        <f ca="1">IF(OFFSET(TblMagic[[#This Row],[Active Alchemists Flame]],-1,0)&gt;0,TblConstr[[#This Row],[Tot Alc]]*alchemist_flame_invest,0)</f>
        <v>0</v>
      </c>
      <c r="BL130" s="142"/>
      <c r="BM13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3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3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3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30" s="142"/>
      <c r="BR13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3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3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3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30" s="142"/>
      <c r="BW1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30" s="61">
        <f>TblImps[[#This Row],[Login]]</f>
        <v>0</v>
      </c>
      <c r="BY130" s="137"/>
      <c r="BZ130" s="293">
        <f ca="1">OFFSET(TblImps[[#This Row],[Real time]],-1,0)+1/24</f>
        <v>46325.249999999694</v>
      </c>
      <c r="CA130" s="294">
        <f ca="1">OFFSET(TblImps[[#This Row],[Servertime]],-1,0)+1/24</f>
        <v>46325.249999999694</v>
      </c>
      <c r="CB130" s="57"/>
      <c r="CC130" s="292"/>
      <c r="CD130" s="292"/>
    </row>
    <row r="131" spans="1:82" x14ac:dyDescent="0.2">
      <c r="A131" s="214">
        <f ca="1">TblConstr[[#This Row],[Land]]</f>
        <v>50</v>
      </c>
      <c r="B131" s="142"/>
      <c r="C131" s="94">
        <f ca="1">TblProd[[#This Row],[Platinum]]</f>
        <v>211564</v>
      </c>
      <c r="D131" s="94">
        <f ca="1">TblProd[[#This Row],[Lumber]]</f>
        <v>76279</v>
      </c>
      <c r="E131" s="94">
        <f ca="1">TblProd[[#This Row],[Ore]]</f>
        <v>0</v>
      </c>
      <c r="F131" s="94">
        <f ca="1">TblProd[[#This Row],[Gems]]</f>
        <v>0</v>
      </c>
      <c r="G131" s="154"/>
      <c r="H131" s="94">
        <f ca="1">TblMili[[#This Row],[Draftees]]</f>
        <v>635</v>
      </c>
      <c r="I131" s="180">
        <f ca="1">TblPop[[#This Row],[Employment]]</f>
        <v>1</v>
      </c>
      <c r="J131" s="180">
        <f ca="1">TblPop[[#This Row],[Total]]/TblPop[[#This Row],[Net max]]</f>
        <v>1</v>
      </c>
      <c r="K131" s="283">
        <f>TblRezone[[#This Row],[Hour]]</f>
        <v>128</v>
      </c>
      <c r="L131" s="284">
        <f ca="1">TblImps[[#This Row],[Real time]]</f>
        <v>46325.291666666359</v>
      </c>
      <c r="M131" s="61">
        <f>IF(ISERROR(TblImps[[#This Row],[algorithm]]),0,TblImps[[#This Row],[algorithm]]*1)</f>
        <v>0</v>
      </c>
      <c r="N131" s="94">
        <f ca="1">TblImps[[#This Row],[Land]]</f>
        <v>50</v>
      </c>
      <c r="O131" s="285" t="s">
        <v>4</v>
      </c>
      <c r="P131" s="286"/>
      <c r="Q131" s="285" t="s">
        <v>210</v>
      </c>
      <c r="R131" s="285" t="s">
        <v>7</v>
      </c>
      <c r="S131" s="286"/>
      <c r="T131" s="285" t="s">
        <v>210</v>
      </c>
      <c r="U131" s="285" t="s">
        <v>3</v>
      </c>
      <c r="V131" s="286"/>
      <c r="W131" s="285" t="s">
        <v>210</v>
      </c>
      <c r="X131" s="142"/>
      <c r="Y131" s="287">
        <f ca="1">science_cap*(1-EXP(-TblImps[[#This Row],[Σ Science]]/(science_param*(OFFSET(TblImps[[#This Row],[Land]],1,0)-OFFSET(TblExplore[[#This Row],[Land Bonus]],1,0)*20)+15000)))*(1+(mason_bonus*TblConstr[[#This Row],[Tot Mas]]/TblConstr[[#This Row],[Land (2)]]))</f>
        <v>0</v>
      </c>
      <c r="Z131" s="287">
        <f ca="1">keep_cap*(1-EXP(-TblImps[[#This Row],[Σ Keep]]/(keep_param*(OFFSET(TblImps[[#This Row],[Land]],1,0)-OFFSET(TblExplore[[#This Row],[Land Bonus]],1,0)*20)+15000)))*(1+(mason_bonus*TblConstr[[#This Row],[Tot Mas]]/TblConstr[[#This Row],[Land (2)]]))</f>
        <v>0</v>
      </c>
      <c r="AA131" s="287">
        <f ca="1">harbor_towers_cap*(1-EXP(-TblImps[[#This Row],[Σ Spires]]/(towers_param*(OFFSET(TblImps[[#This Row],[Land]],1,0)-OFFSET(TblExplore[[#This Row],[Land Bonus]],1,0)*20)+15000)))*(1+(mason_bonus*TblConstr[[#This Row],[Tot Mas]]/TblConstr[[#This Row],[Land (2)]]))</f>
        <v>0</v>
      </c>
      <c r="AB131" s="287">
        <f ca="1">walls_forges_cap*(1-EXP(-TblImps[[#This Row],[Σ Forges]]/(walls_forges_param*(OFFSET(TblImps[[#This Row],[Land]],1,0)-OFFSET(TblExplore[[#This Row],[Land Bonus]],1,0)*20)+15000)))*(1+(mason_bonus*TblConstr[[#This Row],[Tot Mas]]/TblConstr[[#This Row],[Land (2)]]))</f>
        <v>0</v>
      </c>
      <c r="AC131" s="287">
        <f ca="1">walls_forges_cap*(1-EXP(-TblImps[[#This Row],[Σ Walls]]/(walls_forges_param*(OFFSET(TblImps[[#This Row],[Land]],1,0)-OFFSET(TblExplore[[#This Row],[Land Bonus]],1,0)*20)+15000)))*(1+(mason_bonus*TblConstr[[#This Row],[Tot Mas]]/TblConstr[[#This Row],[Land (2)]]))</f>
        <v>0</v>
      </c>
      <c r="AD131" s="287">
        <f ca="1">harbor_towers_cap*(1-EXP(-TblImps[[#This Row],[Σ Harbor]]/(harbor_towers_param*(OFFSET(TblImps[[#This Row],[Land]],1,0)-OFFSET(TblExplore[[#This Row],[Land Bonus]],1,0)*20)+15000)))*(1+(mason_bonus*TblConstr[[#This Row],[Tot Mas]]/TblConstr[[#This Row],[Land (2)]]))</f>
        <v>0</v>
      </c>
      <c r="AE131" s="142"/>
      <c r="AF131" s="61">
        <f ca="1">(1+Overview!$I$29)*SUM(TblImps[[#This Row],[P2]:[G2]])+OFFSET(TblImps[[#This Row],[Σ Science]],-1,0)</f>
        <v>0</v>
      </c>
      <c r="AG131" s="61">
        <f ca="1">(1+Overview!$I$29)*SUM(TblImps[[#This Row],[P3]:[G3]])+OFFSET(TblImps[[#This Row],[Σ Keep]],-1,0)</f>
        <v>0</v>
      </c>
      <c r="AH131" s="61">
        <f ca="1">(1+Overview!$I$29 + tech_7_1*TblTech[[#This Row],[7-1]])*SUM(TblImps[[#This Row],[P4]:[G4]])+OFFSET(TblImps[[#This Row],[Σ Spires]],-1,0)</f>
        <v>0</v>
      </c>
      <c r="AI131" s="61">
        <f ca="1">(1+Overview!$I$29)*SUM(TblImps[[#This Row],[P5]:[FW5]])+OFFSET(TblImps[[#This Row],[Σ Forges]],-1,0)</f>
        <v>0</v>
      </c>
      <c r="AJ131" s="61">
        <f ca="1">(1+Overview!$I$29)*SUM(TblImps[[#This Row],[P6]:[G6]])+OFFSET(TblImps[[#This Row],[Σ Walls]],-1,0)</f>
        <v>0</v>
      </c>
      <c r="AK131" s="61">
        <f ca="1">(1+Overview!$I$29 + tech_7_1*TblTech[[#This Row],[7-1]])*SUM(TblImps[[#This Row],[P7]:[G7]])+OFFSET(TblImps[[#This Row],[Σ Harbor]],-1,0)</f>
        <v>0</v>
      </c>
      <c r="AL131" s="142"/>
      <c r="AM131" s="57">
        <f>IF(AND(TblImps[[#This Row],[Resource]]=AM$2,TblImps[[#This Row],[Part]]&lt;&gt;""),TblImps[[#This Row],[Amount]]) + IF(AND(TblImps[[#This Row],[Resource 2]]=AM$2,TblImps[[#This Row],[Part 2]]&lt;&gt;""),TblImps[[#This Row],[Amount 2]]) + IF(AND(TblImps[[#This Row],[Resource 3]]=AM$2,TblImps[[#This Row],[Part 3]]&lt;&gt;""),TblImps[[#This Row],[Amount 3]])</f>
        <v>0</v>
      </c>
      <c r="AN131" s="57">
        <f>IF(AND(TblImps[[#This Row],[Resource]]=AN$2,TblImps[[#This Row],[Part]]&lt;&gt;""),TblImps[[#This Row],[Amount]]) + IF(AND(TblImps[[#This Row],[Resource 2]]=AN$2,TblImps[[#This Row],[Part 2]]&lt;&gt;""),TblImps[[#This Row],[Amount 2]]) + IF(AND(TblImps[[#This Row],[Resource 3]]=AN$2,TblImps[[#This Row],[Part 3]]&lt;&gt;""),TblImps[[#This Row],[Amount 3]])</f>
        <v>0</v>
      </c>
      <c r="AO131" s="57">
        <f>IF(AND(TblImps[[#This Row],[Resource]]=AO$2,TblImps[[#This Row],[Part]]&lt;&gt;""),TblImps[[#This Row],[Amount]]) + IF(AND(TblImps[[#This Row],[Resource 2]]=AO$2,TblImps[[#This Row],[Part 2]]&lt;&gt;""),TblImps[[#This Row],[Amount 2]]) + IF(AND(TblImps[[#This Row],[Resource 3]]=AO$2,TblImps[[#This Row],[Part 3]]&lt;&gt;""),TblImps[[#This Row],[Amount 3]])</f>
        <v>0</v>
      </c>
      <c r="AP131" s="57">
        <f>IF(AND(TblImps[[#This Row],[Resource]]=AP$2,TblImps[[#This Row],[Part]]&lt;&gt;""),TblImps[[#This Row],[Amount]]) + IF(AND(TblImps[[#This Row],[Resource 2]]=AP$2,TblImps[[#This Row],[Part 2]]&lt;&gt;""),TblImps[[#This Row],[Amount 2]]) + IF(AND(TblImps[[#This Row],[Resource 3]]=AP$2,TblImps[[#This Row],[Part 3]]&lt;&gt;""),TblImps[[#This Row],[Amount 3]])</f>
        <v>0</v>
      </c>
      <c r="AQ131" s="142"/>
      <c r="AR1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142"/>
      <c r="AW1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142"/>
      <c r="BB1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142"/>
      <c r="BG1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57">
        <f ca="1">IF(OFFSET(TblMagic[[#This Row],[Active Alchemists Flame]],-1,0)&gt;0,TblConstr[[#This Row],[Tot Alc]]*alchemist_flame_invest,0)</f>
        <v>0</v>
      </c>
      <c r="BL131" s="142"/>
      <c r="BM13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3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3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3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31" s="142"/>
      <c r="BR13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3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3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3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31" s="142"/>
      <c r="BW1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31" s="61">
        <f>TblImps[[#This Row],[Login]]</f>
        <v>0</v>
      </c>
      <c r="BY131" s="137"/>
      <c r="BZ131" s="293">
        <f ca="1">OFFSET(TblImps[[#This Row],[Real time]],-1,0)+1/24</f>
        <v>46325.291666666359</v>
      </c>
      <c r="CA131" s="294">
        <f ca="1">OFFSET(TblImps[[#This Row],[Servertime]],-1,0)+1/24</f>
        <v>46325.291666666359</v>
      </c>
      <c r="CB131" s="57"/>
      <c r="CC131" s="292"/>
      <c r="CD131" s="292"/>
    </row>
    <row r="132" spans="1:82" x14ac:dyDescent="0.2">
      <c r="A132" s="214">
        <f ca="1">TblConstr[[#This Row],[Land]]</f>
        <v>50</v>
      </c>
      <c r="B132" s="142"/>
      <c r="C132" s="94">
        <f ca="1">TblProd[[#This Row],[Platinum]]</f>
        <v>211925</v>
      </c>
      <c r="D132" s="94">
        <f ca="1">TblProd[[#This Row],[Lumber]]</f>
        <v>76516</v>
      </c>
      <c r="E132" s="94">
        <f ca="1">TblProd[[#This Row],[Ore]]</f>
        <v>0</v>
      </c>
      <c r="F132" s="94">
        <f ca="1">TblProd[[#This Row],[Gems]]</f>
        <v>0</v>
      </c>
      <c r="G132" s="154"/>
      <c r="H132" s="94">
        <f ca="1">TblMili[[#This Row],[Draftees]]</f>
        <v>636</v>
      </c>
      <c r="I132" s="180">
        <f ca="1">TblPop[[#This Row],[Employment]]</f>
        <v>1</v>
      </c>
      <c r="J132" s="180">
        <f ca="1">TblPop[[#This Row],[Total]]/TblPop[[#This Row],[Net max]]</f>
        <v>1</v>
      </c>
      <c r="K132" s="283">
        <f>TblRezone[[#This Row],[Hour]]</f>
        <v>129</v>
      </c>
      <c r="L132" s="284">
        <f ca="1">TblImps[[#This Row],[Real time]]</f>
        <v>46325.333333333023</v>
      </c>
      <c r="M132" s="61">
        <f>IF(ISERROR(TblImps[[#This Row],[algorithm]]),0,TblImps[[#This Row],[algorithm]]*1)</f>
        <v>0</v>
      </c>
      <c r="N132" s="94">
        <f ca="1">TblImps[[#This Row],[Land]]</f>
        <v>50</v>
      </c>
      <c r="O132" s="285" t="s">
        <v>4</v>
      </c>
      <c r="P132" s="286"/>
      <c r="Q132" s="285" t="s">
        <v>210</v>
      </c>
      <c r="R132" s="285" t="s">
        <v>7</v>
      </c>
      <c r="S132" s="286"/>
      <c r="T132" s="285" t="s">
        <v>210</v>
      </c>
      <c r="U132" s="285" t="s">
        <v>3</v>
      </c>
      <c r="V132" s="286"/>
      <c r="W132" s="285" t="s">
        <v>210</v>
      </c>
      <c r="X132" s="142"/>
      <c r="Y132" s="287">
        <f ca="1">science_cap*(1-EXP(-TblImps[[#This Row],[Σ Science]]/(science_param*(OFFSET(TblImps[[#This Row],[Land]],1,0)-OFFSET(TblExplore[[#This Row],[Land Bonus]],1,0)*20)+15000)))*(1+(mason_bonus*TblConstr[[#This Row],[Tot Mas]]/TblConstr[[#This Row],[Land (2)]]))</f>
        <v>0</v>
      </c>
      <c r="Z132" s="287">
        <f ca="1">keep_cap*(1-EXP(-TblImps[[#This Row],[Σ Keep]]/(keep_param*(OFFSET(TblImps[[#This Row],[Land]],1,0)-OFFSET(TblExplore[[#This Row],[Land Bonus]],1,0)*20)+15000)))*(1+(mason_bonus*TblConstr[[#This Row],[Tot Mas]]/TblConstr[[#This Row],[Land (2)]]))</f>
        <v>0</v>
      </c>
      <c r="AA132" s="287">
        <f ca="1">harbor_towers_cap*(1-EXP(-TblImps[[#This Row],[Σ Spires]]/(towers_param*(OFFSET(TblImps[[#This Row],[Land]],1,0)-OFFSET(TblExplore[[#This Row],[Land Bonus]],1,0)*20)+15000)))*(1+(mason_bonus*TblConstr[[#This Row],[Tot Mas]]/TblConstr[[#This Row],[Land (2)]]))</f>
        <v>0</v>
      </c>
      <c r="AB132" s="287">
        <f ca="1">walls_forges_cap*(1-EXP(-TblImps[[#This Row],[Σ Forges]]/(walls_forges_param*(OFFSET(TblImps[[#This Row],[Land]],1,0)-OFFSET(TblExplore[[#This Row],[Land Bonus]],1,0)*20)+15000)))*(1+(mason_bonus*TblConstr[[#This Row],[Tot Mas]]/TblConstr[[#This Row],[Land (2)]]))</f>
        <v>0</v>
      </c>
      <c r="AC132" s="287">
        <f ca="1">walls_forges_cap*(1-EXP(-TblImps[[#This Row],[Σ Walls]]/(walls_forges_param*(OFFSET(TblImps[[#This Row],[Land]],1,0)-OFFSET(TblExplore[[#This Row],[Land Bonus]],1,0)*20)+15000)))*(1+(mason_bonus*TblConstr[[#This Row],[Tot Mas]]/TblConstr[[#This Row],[Land (2)]]))</f>
        <v>0</v>
      </c>
      <c r="AD132" s="287">
        <f ca="1">harbor_towers_cap*(1-EXP(-TblImps[[#This Row],[Σ Harbor]]/(harbor_towers_param*(OFFSET(TblImps[[#This Row],[Land]],1,0)-OFFSET(TblExplore[[#This Row],[Land Bonus]],1,0)*20)+15000)))*(1+(mason_bonus*TblConstr[[#This Row],[Tot Mas]]/TblConstr[[#This Row],[Land (2)]]))</f>
        <v>0</v>
      </c>
      <c r="AE132" s="142"/>
      <c r="AF132" s="61">
        <f ca="1">(1+Overview!$I$29)*SUM(TblImps[[#This Row],[P2]:[G2]])+OFFSET(TblImps[[#This Row],[Σ Science]],-1,0)</f>
        <v>0</v>
      </c>
      <c r="AG132" s="61">
        <f ca="1">(1+Overview!$I$29)*SUM(TblImps[[#This Row],[P3]:[G3]])+OFFSET(TblImps[[#This Row],[Σ Keep]],-1,0)</f>
        <v>0</v>
      </c>
      <c r="AH132" s="61">
        <f ca="1">(1+Overview!$I$29 + tech_7_1*TblTech[[#This Row],[7-1]])*SUM(TblImps[[#This Row],[P4]:[G4]])+OFFSET(TblImps[[#This Row],[Σ Spires]],-1,0)</f>
        <v>0</v>
      </c>
      <c r="AI132" s="61">
        <f ca="1">(1+Overview!$I$29)*SUM(TblImps[[#This Row],[P5]:[FW5]])+OFFSET(TblImps[[#This Row],[Σ Forges]],-1,0)</f>
        <v>0</v>
      </c>
      <c r="AJ132" s="61">
        <f ca="1">(1+Overview!$I$29)*SUM(TblImps[[#This Row],[P6]:[G6]])+OFFSET(TblImps[[#This Row],[Σ Walls]],-1,0)</f>
        <v>0</v>
      </c>
      <c r="AK132" s="61">
        <f ca="1">(1+Overview!$I$29 + tech_7_1*TblTech[[#This Row],[7-1]])*SUM(TblImps[[#This Row],[P7]:[G7]])+OFFSET(TblImps[[#This Row],[Σ Harbor]],-1,0)</f>
        <v>0</v>
      </c>
      <c r="AL132" s="142"/>
      <c r="AM132" s="57">
        <f>IF(AND(TblImps[[#This Row],[Resource]]=AM$2,TblImps[[#This Row],[Part]]&lt;&gt;""),TblImps[[#This Row],[Amount]]) + IF(AND(TblImps[[#This Row],[Resource 2]]=AM$2,TblImps[[#This Row],[Part 2]]&lt;&gt;""),TblImps[[#This Row],[Amount 2]]) + IF(AND(TblImps[[#This Row],[Resource 3]]=AM$2,TblImps[[#This Row],[Part 3]]&lt;&gt;""),TblImps[[#This Row],[Amount 3]])</f>
        <v>0</v>
      </c>
      <c r="AN132" s="57">
        <f>IF(AND(TblImps[[#This Row],[Resource]]=AN$2,TblImps[[#This Row],[Part]]&lt;&gt;""),TblImps[[#This Row],[Amount]]) + IF(AND(TblImps[[#This Row],[Resource 2]]=AN$2,TblImps[[#This Row],[Part 2]]&lt;&gt;""),TblImps[[#This Row],[Amount 2]]) + IF(AND(TblImps[[#This Row],[Resource 3]]=AN$2,TblImps[[#This Row],[Part 3]]&lt;&gt;""),TblImps[[#This Row],[Amount 3]])</f>
        <v>0</v>
      </c>
      <c r="AO132" s="57">
        <f>IF(AND(TblImps[[#This Row],[Resource]]=AO$2,TblImps[[#This Row],[Part]]&lt;&gt;""),TblImps[[#This Row],[Amount]]) + IF(AND(TblImps[[#This Row],[Resource 2]]=AO$2,TblImps[[#This Row],[Part 2]]&lt;&gt;""),TblImps[[#This Row],[Amount 2]]) + IF(AND(TblImps[[#This Row],[Resource 3]]=AO$2,TblImps[[#This Row],[Part 3]]&lt;&gt;""),TblImps[[#This Row],[Amount 3]])</f>
        <v>0</v>
      </c>
      <c r="AP132" s="57">
        <f>IF(AND(TblImps[[#This Row],[Resource]]=AP$2,TblImps[[#This Row],[Part]]&lt;&gt;""),TblImps[[#This Row],[Amount]]) + IF(AND(TblImps[[#This Row],[Resource 2]]=AP$2,TblImps[[#This Row],[Part 2]]&lt;&gt;""),TblImps[[#This Row],[Amount 2]]) + IF(AND(TblImps[[#This Row],[Resource 3]]=AP$2,TblImps[[#This Row],[Part 3]]&lt;&gt;""),TblImps[[#This Row],[Amount 3]])</f>
        <v>0</v>
      </c>
      <c r="AQ132" s="142"/>
      <c r="AR1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142"/>
      <c r="AW1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142"/>
      <c r="BB1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142"/>
      <c r="BG1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57">
        <f ca="1">IF(OFFSET(TblMagic[[#This Row],[Active Alchemists Flame]],-1,0)&gt;0,TblConstr[[#This Row],[Tot Alc]]*alchemist_flame_invest,0)</f>
        <v>0</v>
      </c>
      <c r="BL132" s="142"/>
      <c r="BM13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3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3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3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32" s="142"/>
      <c r="BR13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3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3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3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32" s="142"/>
      <c r="BW1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32" s="61">
        <f>TblImps[[#This Row],[Login]]</f>
        <v>0</v>
      </c>
      <c r="BY132" s="137"/>
      <c r="BZ132" s="293">
        <f ca="1">OFFSET(TblImps[[#This Row],[Real time]],-1,0)+1/24</f>
        <v>46325.333333333023</v>
      </c>
      <c r="CA132" s="294">
        <f ca="1">OFFSET(TblImps[[#This Row],[Servertime]],-1,0)+1/24</f>
        <v>46325.333333333023</v>
      </c>
      <c r="CB132" s="57"/>
      <c r="CC132" s="292"/>
      <c r="CD132" s="292"/>
    </row>
    <row r="133" spans="1:82" x14ac:dyDescent="0.2">
      <c r="A133" s="214">
        <f ca="1">TblConstr[[#This Row],[Land]]</f>
        <v>50</v>
      </c>
      <c r="B133" s="142"/>
      <c r="C133" s="94">
        <f ca="1">TblProd[[#This Row],[Platinum]]</f>
        <v>212284</v>
      </c>
      <c r="D133" s="94">
        <f ca="1">TblProd[[#This Row],[Lumber]]</f>
        <v>76751</v>
      </c>
      <c r="E133" s="94">
        <f ca="1">TblProd[[#This Row],[Ore]]</f>
        <v>0</v>
      </c>
      <c r="F133" s="94">
        <f ca="1">TblProd[[#This Row],[Gems]]</f>
        <v>0</v>
      </c>
      <c r="G133" s="154"/>
      <c r="H133" s="94">
        <f ca="1">TblMili[[#This Row],[Draftees]]</f>
        <v>637</v>
      </c>
      <c r="I133" s="180">
        <f ca="1">TblPop[[#This Row],[Employment]]</f>
        <v>1</v>
      </c>
      <c r="J133" s="180">
        <f ca="1">TblPop[[#This Row],[Total]]/TblPop[[#This Row],[Net max]]</f>
        <v>1</v>
      </c>
      <c r="K133" s="283">
        <f>TblRezone[[#This Row],[Hour]]</f>
        <v>130</v>
      </c>
      <c r="L133" s="284">
        <f ca="1">TblImps[[#This Row],[Real time]]</f>
        <v>46325.374999999687</v>
      </c>
      <c r="M133" s="61">
        <f>IF(ISERROR(TblImps[[#This Row],[algorithm]]),0,TblImps[[#This Row],[algorithm]]*1)</f>
        <v>0</v>
      </c>
      <c r="N133" s="94">
        <f ca="1">TblImps[[#This Row],[Land]]</f>
        <v>50</v>
      </c>
      <c r="O133" s="285" t="s">
        <v>4</v>
      </c>
      <c r="P133" s="286"/>
      <c r="Q133" s="285" t="s">
        <v>210</v>
      </c>
      <c r="R133" s="285" t="s">
        <v>7</v>
      </c>
      <c r="S133" s="286"/>
      <c r="T133" s="285" t="s">
        <v>210</v>
      </c>
      <c r="U133" s="285" t="s">
        <v>3</v>
      </c>
      <c r="V133" s="286"/>
      <c r="W133" s="285" t="s">
        <v>210</v>
      </c>
      <c r="X133" s="142"/>
      <c r="Y133" s="287">
        <f ca="1">science_cap*(1-EXP(-TblImps[[#This Row],[Σ Science]]/(science_param*(OFFSET(TblImps[[#This Row],[Land]],1,0)-OFFSET(TblExplore[[#This Row],[Land Bonus]],1,0)*20)+15000)))*(1+(mason_bonus*TblConstr[[#This Row],[Tot Mas]]/TblConstr[[#This Row],[Land (2)]]))</f>
        <v>0</v>
      </c>
      <c r="Z133" s="287">
        <f ca="1">keep_cap*(1-EXP(-TblImps[[#This Row],[Σ Keep]]/(keep_param*(OFFSET(TblImps[[#This Row],[Land]],1,0)-OFFSET(TblExplore[[#This Row],[Land Bonus]],1,0)*20)+15000)))*(1+(mason_bonus*TblConstr[[#This Row],[Tot Mas]]/TblConstr[[#This Row],[Land (2)]]))</f>
        <v>0</v>
      </c>
      <c r="AA133" s="287">
        <f ca="1">harbor_towers_cap*(1-EXP(-TblImps[[#This Row],[Σ Spires]]/(towers_param*(OFFSET(TblImps[[#This Row],[Land]],1,0)-OFFSET(TblExplore[[#This Row],[Land Bonus]],1,0)*20)+15000)))*(1+(mason_bonus*TblConstr[[#This Row],[Tot Mas]]/TblConstr[[#This Row],[Land (2)]]))</f>
        <v>0</v>
      </c>
      <c r="AB133" s="287">
        <f ca="1">walls_forges_cap*(1-EXP(-TblImps[[#This Row],[Σ Forges]]/(walls_forges_param*(OFFSET(TblImps[[#This Row],[Land]],1,0)-OFFSET(TblExplore[[#This Row],[Land Bonus]],1,0)*20)+15000)))*(1+(mason_bonus*TblConstr[[#This Row],[Tot Mas]]/TblConstr[[#This Row],[Land (2)]]))</f>
        <v>0</v>
      </c>
      <c r="AC133" s="287">
        <f ca="1">walls_forges_cap*(1-EXP(-TblImps[[#This Row],[Σ Walls]]/(walls_forges_param*(OFFSET(TblImps[[#This Row],[Land]],1,0)-OFFSET(TblExplore[[#This Row],[Land Bonus]],1,0)*20)+15000)))*(1+(mason_bonus*TblConstr[[#This Row],[Tot Mas]]/TblConstr[[#This Row],[Land (2)]]))</f>
        <v>0</v>
      </c>
      <c r="AD133" s="287">
        <f ca="1">harbor_towers_cap*(1-EXP(-TblImps[[#This Row],[Σ Harbor]]/(harbor_towers_param*(OFFSET(TblImps[[#This Row],[Land]],1,0)-OFFSET(TblExplore[[#This Row],[Land Bonus]],1,0)*20)+15000)))*(1+(mason_bonus*TblConstr[[#This Row],[Tot Mas]]/TblConstr[[#This Row],[Land (2)]]))</f>
        <v>0</v>
      </c>
      <c r="AE133" s="142"/>
      <c r="AF133" s="61">
        <f ca="1">(1+Overview!$I$29)*SUM(TblImps[[#This Row],[P2]:[G2]])+OFFSET(TblImps[[#This Row],[Σ Science]],-1,0)</f>
        <v>0</v>
      </c>
      <c r="AG133" s="61">
        <f ca="1">(1+Overview!$I$29)*SUM(TblImps[[#This Row],[P3]:[G3]])+OFFSET(TblImps[[#This Row],[Σ Keep]],-1,0)</f>
        <v>0</v>
      </c>
      <c r="AH133" s="61">
        <f ca="1">(1+Overview!$I$29 + tech_7_1*TblTech[[#This Row],[7-1]])*SUM(TblImps[[#This Row],[P4]:[G4]])+OFFSET(TblImps[[#This Row],[Σ Spires]],-1,0)</f>
        <v>0</v>
      </c>
      <c r="AI133" s="61">
        <f ca="1">(1+Overview!$I$29)*SUM(TblImps[[#This Row],[P5]:[FW5]])+OFFSET(TblImps[[#This Row],[Σ Forges]],-1,0)</f>
        <v>0</v>
      </c>
      <c r="AJ133" s="61">
        <f ca="1">(1+Overview!$I$29)*SUM(TblImps[[#This Row],[P6]:[G6]])+OFFSET(TblImps[[#This Row],[Σ Walls]],-1,0)</f>
        <v>0</v>
      </c>
      <c r="AK133" s="61">
        <f ca="1">(1+Overview!$I$29 + tech_7_1*TblTech[[#This Row],[7-1]])*SUM(TblImps[[#This Row],[P7]:[G7]])+OFFSET(TblImps[[#This Row],[Σ Harbor]],-1,0)</f>
        <v>0</v>
      </c>
      <c r="AL133" s="142"/>
      <c r="AM133" s="57">
        <f>IF(AND(TblImps[[#This Row],[Resource]]=AM$2,TblImps[[#This Row],[Part]]&lt;&gt;""),TblImps[[#This Row],[Amount]]) + IF(AND(TblImps[[#This Row],[Resource 2]]=AM$2,TblImps[[#This Row],[Part 2]]&lt;&gt;""),TblImps[[#This Row],[Amount 2]]) + IF(AND(TblImps[[#This Row],[Resource 3]]=AM$2,TblImps[[#This Row],[Part 3]]&lt;&gt;""),TblImps[[#This Row],[Amount 3]])</f>
        <v>0</v>
      </c>
      <c r="AN133" s="57">
        <f>IF(AND(TblImps[[#This Row],[Resource]]=AN$2,TblImps[[#This Row],[Part]]&lt;&gt;""),TblImps[[#This Row],[Amount]]) + IF(AND(TblImps[[#This Row],[Resource 2]]=AN$2,TblImps[[#This Row],[Part 2]]&lt;&gt;""),TblImps[[#This Row],[Amount 2]]) + IF(AND(TblImps[[#This Row],[Resource 3]]=AN$2,TblImps[[#This Row],[Part 3]]&lt;&gt;""),TblImps[[#This Row],[Amount 3]])</f>
        <v>0</v>
      </c>
      <c r="AO133" s="57">
        <f>IF(AND(TblImps[[#This Row],[Resource]]=AO$2,TblImps[[#This Row],[Part]]&lt;&gt;""),TblImps[[#This Row],[Amount]]) + IF(AND(TblImps[[#This Row],[Resource 2]]=AO$2,TblImps[[#This Row],[Part 2]]&lt;&gt;""),TblImps[[#This Row],[Amount 2]]) + IF(AND(TblImps[[#This Row],[Resource 3]]=AO$2,TblImps[[#This Row],[Part 3]]&lt;&gt;""),TblImps[[#This Row],[Amount 3]])</f>
        <v>0</v>
      </c>
      <c r="AP133" s="57">
        <f>IF(AND(TblImps[[#This Row],[Resource]]=AP$2,TblImps[[#This Row],[Part]]&lt;&gt;""),TblImps[[#This Row],[Amount]]) + IF(AND(TblImps[[#This Row],[Resource 2]]=AP$2,TblImps[[#This Row],[Part 2]]&lt;&gt;""),TblImps[[#This Row],[Amount 2]]) + IF(AND(TblImps[[#This Row],[Resource 3]]=AP$2,TblImps[[#This Row],[Part 3]]&lt;&gt;""),TblImps[[#This Row],[Amount 3]])</f>
        <v>0</v>
      </c>
      <c r="AQ133" s="142"/>
      <c r="AR1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142"/>
      <c r="AW1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142"/>
      <c r="BB1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142"/>
      <c r="BG1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57">
        <f ca="1">IF(OFFSET(TblMagic[[#This Row],[Active Alchemists Flame]],-1,0)&gt;0,TblConstr[[#This Row],[Tot Alc]]*alchemist_flame_invest,0)</f>
        <v>0</v>
      </c>
      <c r="BL133" s="142"/>
      <c r="BM13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3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3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3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33" s="142"/>
      <c r="BR13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3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3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3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33" s="142"/>
      <c r="BW1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33" s="61">
        <f>TblImps[[#This Row],[Login]]</f>
        <v>0</v>
      </c>
      <c r="BY133" s="137"/>
      <c r="BZ133" s="293">
        <f ca="1">OFFSET(TblImps[[#This Row],[Real time]],-1,0)+1/24</f>
        <v>46325.374999999687</v>
      </c>
      <c r="CA133" s="294">
        <f ca="1">OFFSET(TblImps[[#This Row],[Servertime]],-1,0)+1/24</f>
        <v>46325.374999999687</v>
      </c>
      <c r="CB133" s="57"/>
      <c r="CC133" s="292"/>
      <c r="CD133" s="292"/>
    </row>
    <row r="134" spans="1:82" x14ac:dyDescent="0.2">
      <c r="A134" s="214">
        <f ca="1">TblConstr[[#This Row],[Land]]</f>
        <v>50</v>
      </c>
      <c r="B134" s="142"/>
      <c r="C134" s="94">
        <f ca="1">TblProd[[#This Row],[Platinum]]</f>
        <v>212640</v>
      </c>
      <c r="D134" s="94">
        <f ca="1">TblProd[[#This Row],[Lumber]]</f>
        <v>76983</v>
      </c>
      <c r="E134" s="94">
        <f ca="1">TblProd[[#This Row],[Ore]]</f>
        <v>0</v>
      </c>
      <c r="F134" s="94">
        <f ca="1">TblProd[[#This Row],[Gems]]</f>
        <v>0</v>
      </c>
      <c r="G134" s="154"/>
      <c r="H134" s="94">
        <f ca="1">TblMili[[#This Row],[Draftees]]</f>
        <v>638</v>
      </c>
      <c r="I134" s="180">
        <f ca="1">TblPop[[#This Row],[Employment]]</f>
        <v>1</v>
      </c>
      <c r="J134" s="180">
        <f ca="1">TblPop[[#This Row],[Total]]/TblPop[[#This Row],[Net max]]</f>
        <v>1</v>
      </c>
      <c r="K134" s="283">
        <f>TblRezone[[#This Row],[Hour]]</f>
        <v>131</v>
      </c>
      <c r="L134" s="284">
        <f ca="1">TblImps[[#This Row],[Real time]]</f>
        <v>46325.416666666351</v>
      </c>
      <c r="M134" s="61">
        <f>IF(ISERROR(TblImps[[#This Row],[algorithm]]),0,TblImps[[#This Row],[algorithm]]*1)</f>
        <v>0</v>
      </c>
      <c r="N134" s="94">
        <f ca="1">TblImps[[#This Row],[Land]]</f>
        <v>50</v>
      </c>
      <c r="O134" s="285" t="s">
        <v>4</v>
      </c>
      <c r="P134" s="286"/>
      <c r="Q134" s="285" t="s">
        <v>210</v>
      </c>
      <c r="R134" s="285" t="s">
        <v>7</v>
      </c>
      <c r="S134" s="286"/>
      <c r="T134" s="285" t="s">
        <v>210</v>
      </c>
      <c r="U134" s="285" t="s">
        <v>3</v>
      </c>
      <c r="V134" s="286"/>
      <c r="W134" s="285" t="s">
        <v>210</v>
      </c>
      <c r="X134" s="142"/>
      <c r="Y134" s="287">
        <f ca="1">science_cap*(1-EXP(-TblImps[[#This Row],[Σ Science]]/(science_param*(OFFSET(TblImps[[#This Row],[Land]],1,0)-OFFSET(TblExplore[[#This Row],[Land Bonus]],1,0)*20)+15000)))*(1+(mason_bonus*TblConstr[[#This Row],[Tot Mas]]/TblConstr[[#This Row],[Land (2)]]))</f>
        <v>0</v>
      </c>
      <c r="Z134" s="287">
        <f ca="1">keep_cap*(1-EXP(-TblImps[[#This Row],[Σ Keep]]/(keep_param*(OFFSET(TblImps[[#This Row],[Land]],1,0)-OFFSET(TblExplore[[#This Row],[Land Bonus]],1,0)*20)+15000)))*(1+(mason_bonus*TblConstr[[#This Row],[Tot Mas]]/TblConstr[[#This Row],[Land (2)]]))</f>
        <v>0</v>
      </c>
      <c r="AA134" s="287">
        <f ca="1">harbor_towers_cap*(1-EXP(-TblImps[[#This Row],[Σ Spires]]/(towers_param*(OFFSET(TblImps[[#This Row],[Land]],1,0)-OFFSET(TblExplore[[#This Row],[Land Bonus]],1,0)*20)+15000)))*(1+(mason_bonus*TblConstr[[#This Row],[Tot Mas]]/TblConstr[[#This Row],[Land (2)]]))</f>
        <v>0</v>
      </c>
      <c r="AB134" s="287">
        <f ca="1">walls_forges_cap*(1-EXP(-TblImps[[#This Row],[Σ Forges]]/(walls_forges_param*(OFFSET(TblImps[[#This Row],[Land]],1,0)-OFFSET(TblExplore[[#This Row],[Land Bonus]],1,0)*20)+15000)))*(1+(mason_bonus*TblConstr[[#This Row],[Tot Mas]]/TblConstr[[#This Row],[Land (2)]]))</f>
        <v>0</v>
      </c>
      <c r="AC134" s="287">
        <f ca="1">walls_forges_cap*(1-EXP(-TblImps[[#This Row],[Σ Walls]]/(walls_forges_param*(OFFSET(TblImps[[#This Row],[Land]],1,0)-OFFSET(TblExplore[[#This Row],[Land Bonus]],1,0)*20)+15000)))*(1+(mason_bonus*TblConstr[[#This Row],[Tot Mas]]/TblConstr[[#This Row],[Land (2)]]))</f>
        <v>0</v>
      </c>
      <c r="AD134" s="287">
        <f ca="1">harbor_towers_cap*(1-EXP(-TblImps[[#This Row],[Σ Harbor]]/(harbor_towers_param*(OFFSET(TblImps[[#This Row],[Land]],1,0)-OFFSET(TblExplore[[#This Row],[Land Bonus]],1,0)*20)+15000)))*(1+(mason_bonus*TblConstr[[#This Row],[Tot Mas]]/TblConstr[[#This Row],[Land (2)]]))</f>
        <v>0</v>
      </c>
      <c r="AE134" s="142"/>
      <c r="AF134" s="61">
        <f ca="1">(1+Overview!$I$29)*SUM(TblImps[[#This Row],[P2]:[G2]])+OFFSET(TblImps[[#This Row],[Σ Science]],-1,0)</f>
        <v>0</v>
      </c>
      <c r="AG134" s="61">
        <f ca="1">(1+Overview!$I$29)*SUM(TblImps[[#This Row],[P3]:[G3]])+OFFSET(TblImps[[#This Row],[Σ Keep]],-1,0)</f>
        <v>0</v>
      </c>
      <c r="AH134" s="61">
        <f ca="1">(1+Overview!$I$29 + tech_7_1*TblTech[[#This Row],[7-1]])*SUM(TblImps[[#This Row],[P4]:[G4]])+OFFSET(TblImps[[#This Row],[Σ Spires]],-1,0)</f>
        <v>0</v>
      </c>
      <c r="AI134" s="61">
        <f ca="1">(1+Overview!$I$29)*SUM(TblImps[[#This Row],[P5]:[FW5]])+OFFSET(TblImps[[#This Row],[Σ Forges]],-1,0)</f>
        <v>0</v>
      </c>
      <c r="AJ134" s="61">
        <f ca="1">(1+Overview!$I$29)*SUM(TblImps[[#This Row],[P6]:[G6]])+OFFSET(TblImps[[#This Row],[Σ Walls]],-1,0)</f>
        <v>0</v>
      </c>
      <c r="AK134" s="61">
        <f ca="1">(1+Overview!$I$29 + tech_7_1*TblTech[[#This Row],[7-1]])*SUM(TblImps[[#This Row],[P7]:[G7]])+OFFSET(TblImps[[#This Row],[Σ Harbor]],-1,0)</f>
        <v>0</v>
      </c>
      <c r="AL134" s="142"/>
      <c r="AM134" s="57">
        <f>IF(AND(TblImps[[#This Row],[Resource]]=AM$2,TblImps[[#This Row],[Part]]&lt;&gt;""),TblImps[[#This Row],[Amount]]) + IF(AND(TblImps[[#This Row],[Resource 2]]=AM$2,TblImps[[#This Row],[Part 2]]&lt;&gt;""),TblImps[[#This Row],[Amount 2]]) + IF(AND(TblImps[[#This Row],[Resource 3]]=AM$2,TblImps[[#This Row],[Part 3]]&lt;&gt;""),TblImps[[#This Row],[Amount 3]])</f>
        <v>0</v>
      </c>
      <c r="AN134" s="57">
        <f>IF(AND(TblImps[[#This Row],[Resource]]=AN$2,TblImps[[#This Row],[Part]]&lt;&gt;""),TblImps[[#This Row],[Amount]]) + IF(AND(TblImps[[#This Row],[Resource 2]]=AN$2,TblImps[[#This Row],[Part 2]]&lt;&gt;""),TblImps[[#This Row],[Amount 2]]) + IF(AND(TblImps[[#This Row],[Resource 3]]=AN$2,TblImps[[#This Row],[Part 3]]&lt;&gt;""),TblImps[[#This Row],[Amount 3]])</f>
        <v>0</v>
      </c>
      <c r="AO134" s="57">
        <f>IF(AND(TblImps[[#This Row],[Resource]]=AO$2,TblImps[[#This Row],[Part]]&lt;&gt;""),TblImps[[#This Row],[Amount]]) + IF(AND(TblImps[[#This Row],[Resource 2]]=AO$2,TblImps[[#This Row],[Part 2]]&lt;&gt;""),TblImps[[#This Row],[Amount 2]]) + IF(AND(TblImps[[#This Row],[Resource 3]]=AO$2,TblImps[[#This Row],[Part 3]]&lt;&gt;""),TblImps[[#This Row],[Amount 3]])</f>
        <v>0</v>
      </c>
      <c r="AP134" s="57">
        <f>IF(AND(TblImps[[#This Row],[Resource]]=AP$2,TblImps[[#This Row],[Part]]&lt;&gt;""),TblImps[[#This Row],[Amount]]) + IF(AND(TblImps[[#This Row],[Resource 2]]=AP$2,TblImps[[#This Row],[Part 2]]&lt;&gt;""),TblImps[[#This Row],[Amount 2]]) + IF(AND(TblImps[[#This Row],[Resource 3]]=AP$2,TblImps[[#This Row],[Part 3]]&lt;&gt;""),TblImps[[#This Row],[Amount 3]])</f>
        <v>0</v>
      </c>
      <c r="AQ134" s="142"/>
      <c r="AR1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142"/>
      <c r="AW1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142"/>
      <c r="BB1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142"/>
      <c r="BG1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57">
        <f ca="1">IF(OFFSET(TblMagic[[#This Row],[Active Alchemists Flame]],-1,0)&gt;0,TblConstr[[#This Row],[Tot Alc]]*alchemist_flame_invest,0)</f>
        <v>0</v>
      </c>
      <c r="BL134" s="142"/>
      <c r="BM13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3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3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3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34" s="142"/>
      <c r="BR13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3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3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3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34" s="142"/>
      <c r="BW1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34" s="61">
        <f>TblImps[[#This Row],[Login]]</f>
        <v>0</v>
      </c>
      <c r="BY134" s="137"/>
      <c r="BZ134" s="293">
        <f ca="1">OFFSET(TblImps[[#This Row],[Real time]],-1,0)+1/24</f>
        <v>46325.416666666351</v>
      </c>
      <c r="CA134" s="294">
        <f ca="1">OFFSET(TblImps[[#This Row],[Servertime]],-1,0)+1/24</f>
        <v>46325.416666666351</v>
      </c>
      <c r="CB134" s="57"/>
      <c r="CC134" s="292"/>
      <c r="CD134" s="292"/>
    </row>
    <row r="135" spans="1:82" x14ac:dyDescent="0.2">
      <c r="A135" s="214">
        <f ca="1">TblConstr[[#This Row],[Land]]</f>
        <v>50</v>
      </c>
      <c r="B135" s="142"/>
      <c r="C135" s="94">
        <f ca="1">TblProd[[#This Row],[Platinum]]</f>
        <v>212993</v>
      </c>
      <c r="D135" s="94">
        <f ca="1">TblProd[[#This Row],[Lumber]]</f>
        <v>77213</v>
      </c>
      <c r="E135" s="94">
        <f ca="1">TblProd[[#This Row],[Ore]]</f>
        <v>0</v>
      </c>
      <c r="F135" s="94">
        <f ca="1">TblProd[[#This Row],[Gems]]</f>
        <v>0</v>
      </c>
      <c r="G135" s="154"/>
      <c r="H135" s="94">
        <f ca="1">TblMili[[#This Row],[Draftees]]</f>
        <v>639</v>
      </c>
      <c r="I135" s="180">
        <f ca="1">TblPop[[#This Row],[Employment]]</f>
        <v>1</v>
      </c>
      <c r="J135" s="180">
        <f ca="1">TblPop[[#This Row],[Total]]/TblPop[[#This Row],[Net max]]</f>
        <v>1</v>
      </c>
      <c r="K135" s="283">
        <f>TblRezone[[#This Row],[Hour]]</f>
        <v>132</v>
      </c>
      <c r="L135" s="284">
        <f ca="1">TblImps[[#This Row],[Real time]]</f>
        <v>46325.458333333016</v>
      </c>
      <c r="M135" s="61">
        <f>IF(ISERROR(TblImps[[#This Row],[algorithm]]),0,TblImps[[#This Row],[algorithm]]*1)</f>
        <v>0</v>
      </c>
      <c r="N135" s="94">
        <f ca="1">TblImps[[#This Row],[Land]]</f>
        <v>50</v>
      </c>
      <c r="O135" s="285" t="s">
        <v>4</v>
      </c>
      <c r="P135" s="286"/>
      <c r="Q135" s="285" t="s">
        <v>210</v>
      </c>
      <c r="R135" s="285" t="s">
        <v>7</v>
      </c>
      <c r="S135" s="286"/>
      <c r="T135" s="285" t="s">
        <v>210</v>
      </c>
      <c r="U135" s="285" t="s">
        <v>3</v>
      </c>
      <c r="V135" s="286"/>
      <c r="W135" s="285" t="s">
        <v>210</v>
      </c>
      <c r="X135" s="142"/>
      <c r="Y135" s="287">
        <f ca="1">science_cap*(1-EXP(-TblImps[[#This Row],[Σ Science]]/(science_param*(OFFSET(TblImps[[#This Row],[Land]],1,0)-OFFSET(TblExplore[[#This Row],[Land Bonus]],1,0)*20)+15000)))*(1+(mason_bonus*TblConstr[[#This Row],[Tot Mas]]/TblConstr[[#This Row],[Land (2)]]))</f>
        <v>0</v>
      </c>
      <c r="Z135" s="287">
        <f ca="1">keep_cap*(1-EXP(-TblImps[[#This Row],[Σ Keep]]/(keep_param*(OFFSET(TblImps[[#This Row],[Land]],1,0)-OFFSET(TblExplore[[#This Row],[Land Bonus]],1,0)*20)+15000)))*(1+(mason_bonus*TblConstr[[#This Row],[Tot Mas]]/TblConstr[[#This Row],[Land (2)]]))</f>
        <v>0</v>
      </c>
      <c r="AA135" s="287">
        <f ca="1">harbor_towers_cap*(1-EXP(-TblImps[[#This Row],[Σ Spires]]/(towers_param*(OFFSET(TblImps[[#This Row],[Land]],1,0)-OFFSET(TblExplore[[#This Row],[Land Bonus]],1,0)*20)+15000)))*(1+(mason_bonus*TblConstr[[#This Row],[Tot Mas]]/TblConstr[[#This Row],[Land (2)]]))</f>
        <v>0</v>
      </c>
      <c r="AB135" s="287">
        <f ca="1">walls_forges_cap*(1-EXP(-TblImps[[#This Row],[Σ Forges]]/(walls_forges_param*(OFFSET(TblImps[[#This Row],[Land]],1,0)-OFFSET(TblExplore[[#This Row],[Land Bonus]],1,0)*20)+15000)))*(1+(mason_bonus*TblConstr[[#This Row],[Tot Mas]]/TblConstr[[#This Row],[Land (2)]]))</f>
        <v>0</v>
      </c>
      <c r="AC135" s="287">
        <f ca="1">walls_forges_cap*(1-EXP(-TblImps[[#This Row],[Σ Walls]]/(walls_forges_param*(OFFSET(TblImps[[#This Row],[Land]],1,0)-OFFSET(TblExplore[[#This Row],[Land Bonus]],1,0)*20)+15000)))*(1+(mason_bonus*TblConstr[[#This Row],[Tot Mas]]/TblConstr[[#This Row],[Land (2)]]))</f>
        <v>0</v>
      </c>
      <c r="AD135" s="287">
        <f ca="1">harbor_towers_cap*(1-EXP(-TblImps[[#This Row],[Σ Harbor]]/(harbor_towers_param*(OFFSET(TblImps[[#This Row],[Land]],1,0)-OFFSET(TblExplore[[#This Row],[Land Bonus]],1,0)*20)+15000)))*(1+(mason_bonus*TblConstr[[#This Row],[Tot Mas]]/TblConstr[[#This Row],[Land (2)]]))</f>
        <v>0</v>
      </c>
      <c r="AE135" s="142"/>
      <c r="AF135" s="61">
        <f ca="1">(1+Overview!$I$29)*SUM(TblImps[[#This Row],[P2]:[G2]])+OFFSET(TblImps[[#This Row],[Σ Science]],-1,0)</f>
        <v>0</v>
      </c>
      <c r="AG135" s="61">
        <f ca="1">(1+Overview!$I$29)*SUM(TblImps[[#This Row],[P3]:[G3]])+OFFSET(TblImps[[#This Row],[Σ Keep]],-1,0)</f>
        <v>0</v>
      </c>
      <c r="AH135" s="61">
        <f ca="1">(1+Overview!$I$29 + tech_7_1*TblTech[[#This Row],[7-1]])*SUM(TblImps[[#This Row],[P4]:[G4]])+OFFSET(TblImps[[#This Row],[Σ Spires]],-1,0)</f>
        <v>0</v>
      </c>
      <c r="AI135" s="61">
        <f ca="1">(1+Overview!$I$29)*SUM(TblImps[[#This Row],[P5]:[FW5]])+OFFSET(TblImps[[#This Row],[Σ Forges]],-1,0)</f>
        <v>0</v>
      </c>
      <c r="AJ135" s="61">
        <f ca="1">(1+Overview!$I$29)*SUM(TblImps[[#This Row],[P6]:[G6]])+OFFSET(TblImps[[#This Row],[Σ Walls]],-1,0)</f>
        <v>0</v>
      </c>
      <c r="AK135" s="61">
        <f ca="1">(1+Overview!$I$29 + tech_7_1*TblTech[[#This Row],[7-1]])*SUM(TblImps[[#This Row],[P7]:[G7]])+OFFSET(TblImps[[#This Row],[Σ Harbor]],-1,0)</f>
        <v>0</v>
      </c>
      <c r="AL135" s="142"/>
      <c r="AM135" s="57">
        <f>IF(AND(TblImps[[#This Row],[Resource]]=AM$2,TblImps[[#This Row],[Part]]&lt;&gt;""),TblImps[[#This Row],[Amount]]) + IF(AND(TblImps[[#This Row],[Resource 2]]=AM$2,TblImps[[#This Row],[Part 2]]&lt;&gt;""),TblImps[[#This Row],[Amount 2]]) + IF(AND(TblImps[[#This Row],[Resource 3]]=AM$2,TblImps[[#This Row],[Part 3]]&lt;&gt;""),TblImps[[#This Row],[Amount 3]])</f>
        <v>0</v>
      </c>
      <c r="AN135" s="57">
        <f>IF(AND(TblImps[[#This Row],[Resource]]=AN$2,TblImps[[#This Row],[Part]]&lt;&gt;""),TblImps[[#This Row],[Amount]]) + IF(AND(TblImps[[#This Row],[Resource 2]]=AN$2,TblImps[[#This Row],[Part 2]]&lt;&gt;""),TblImps[[#This Row],[Amount 2]]) + IF(AND(TblImps[[#This Row],[Resource 3]]=AN$2,TblImps[[#This Row],[Part 3]]&lt;&gt;""),TblImps[[#This Row],[Amount 3]])</f>
        <v>0</v>
      </c>
      <c r="AO135" s="57">
        <f>IF(AND(TblImps[[#This Row],[Resource]]=AO$2,TblImps[[#This Row],[Part]]&lt;&gt;""),TblImps[[#This Row],[Amount]]) + IF(AND(TblImps[[#This Row],[Resource 2]]=AO$2,TblImps[[#This Row],[Part 2]]&lt;&gt;""),TblImps[[#This Row],[Amount 2]]) + IF(AND(TblImps[[#This Row],[Resource 3]]=AO$2,TblImps[[#This Row],[Part 3]]&lt;&gt;""),TblImps[[#This Row],[Amount 3]])</f>
        <v>0</v>
      </c>
      <c r="AP135" s="57">
        <f>IF(AND(TblImps[[#This Row],[Resource]]=AP$2,TblImps[[#This Row],[Part]]&lt;&gt;""),TblImps[[#This Row],[Amount]]) + IF(AND(TblImps[[#This Row],[Resource 2]]=AP$2,TblImps[[#This Row],[Part 2]]&lt;&gt;""),TblImps[[#This Row],[Amount 2]]) + IF(AND(TblImps[[#This Row],[Resource 3]]=AP$2,TblImps[[#This Row],[Part 3]]&lt;&gt;""),TblImps[[#This Row],[Amount 3]])</f>
        <v>0</v>
      </c>
      <c r="AQ135" s="142"/>
      <c r="AR1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142"/>
      <c r="AW1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142"/>
      <c r="BB1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142"/>
      <c r="BG1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57">
        <f ca="1">IF(OFFSET(TblMagic[[#This Row],[Active Alchemists Flame]],-1,0)&gt;0,TblConstr[[#This Row],[Tot Alc]]*alchemist_flame_invest,0)</f>
        <v>0</v>
      </c>
      <c r="BL135" s="142"/>
      <c r="BM13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3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3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3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35" s="142"/>
      <c r="BR13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3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3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3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35" s="142"/>
      <c r="BW1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35" s="61">
        <f>TblImps[[#This Row],[Login]]</f>
        <v>0</v>
      </c>
      <c r="BY135" s="137"/>
      <c r="BZ135" s="293">
        <f ca="1">OFFSET(TblImps[[#This Row],[Real time]],-1,0)+1/24</f>
        <v>46325.458333333016</v>
      </c>
      <c r="CA135" s="294">
        <f ca="1">OFFSET(TblImps[[#This Row],[Servertime]],-1,0)+1/24</f>
        <v>46325.458333333016</v>
      </c>
      <c r="CB135" s="57"/>
      <c r="CC135" s="292"/>
      <c r="CD135" s="292"/>
    </row>
    <row r="136" spans="1:82" x14ac:dyDescent="0.2">
      <c r="A136" s="214">
        <f ca="1">TblConstr[[#This Row],[Land]]</f>
        <v>50</v>
      </c>
      <c r="B136" s="142"/>
      <c r="C136" s="94">
        <f ca="1">TblProd[[#This Row],[Platinum]]</f>
        <v>213344</v>
      </c>
      <c r="D136" s="94">
        <f ca="1">TblProd[[#This Row],[Lumber]]</f>
        <v>77441</v>
      </c>
      <c r="E136" s="94">
        <f ca="1">TblProd[[#This Row],[Ore]]</f>
        <v>0</v>
      </c>
      <c r="F136" s="94">
        <f ca="1">TblProd[[#This Row],[Gems]]</f>
        <v>0</v>
      </c>
      <c r="G136" s="154"/>
      <c r="H136" s="94">
        <f ca="1">TblMili[[#This Row],[Draftees]]</f>
        <v>640</v>
      </c>
      <c r="I136" s="180">
        <f ca="1">TblPop[[#This Row],[Employment]]</f>
        <v>0</v>
      </c>
      <c r="J136" s="180">
        <f ca="1">TblPop[[#This Row],[Total]]/TblPop[[#This Row],[Net max]]</f>
        <v>1</v>
      </c>
      <c r="K136" s="283">
        <f>TblRezone[[#This Row],[Hour]]</f>
        <v>133</v>
      </c>
      <c r="L136" s="284">
        <f ca="1">TblImps[[#This Row],[Real time]]</f>
        <v>46325.49999999968</v>
      </c>
      <c r="M136" s="61">
        <f>IF(ISERROR(TblImps[[#This Row],[algorithm]]),0,TblImps[[#This Row],[algorithm]]*1)</f>
        <v>0</v>
      </c>
      <c r="N136" s="94">
        <f ca="1">TblImps[[#This Row],[Land]]</f>
        <v>50</v>
      </c>
      <c r="O136" s="285" t="s">
        <v>4</v>
      </c>
      <c r="P136" s="286"/>
      <c r="Q136" s="285" t="s">
        <v>210</v>
      </c>
      <c r="R136" s="285" t="s">
        <v>7</v>
      </c>
      <c r="S136" s="286"/>
      <c r="T136" s="285" t="s">
        <v>210</v>
      </c>
      <c r="U136" s="285" t="s">
        <v>3</v>
      </c>
      <c r="V136" s="286"/>
      <c r="W136" s="285" t="s">
        <v>210</v>
      </c>
      <c r="X136" s="142"/>
      <c r="Y136" s="287">
        <f ca="1">science_cap*(1-EXP(-TblImps[[#This Row],[Σ Science]]/(science_param*(OFFSET(TblImps[[#This Row],[Land]],1,0)-OFFSET(TblExplore[[#This Row],[Land Bonus]],1,0)*20)+15000)))*(1+(mason_bonus*TblConstr[[#This Row],[Tot Mas]]/TblConstr[[#This Row],[Land (2)]]))</f>
        <v>0</v>
      </c>
      <c r="Z136" s="287">
        <f ca="1">keep_cap*(1-EXP(-TblImps[[#This Row],[Σ Keep]]/(keep_param*(OFFSET(TblImps[[#This Row],[Land]],1,0)-OFFSET(TblExplore[[#This Row],[Land Bonus]],1,0)*20)+15000)))*(1+(mason_bonus*TblConstr[[#This Row],[Tot Mas]]/TblConstr[[#This Row],[Land (2)]]))</f>
        <v>0</v>
      </c>
      <c r="AA136" s="287">
        <f ca="1">harbor_towers_cap*(1-EXP(-TblImps[[#This Row],[Σ Spires]]/(towers_param*(OFFSET(TblImps[[#This Row],[Land]],1,0)-OFFSET(TblExplore[[#This Row],[Land Bonus]],1,0)*20)+15000)))*(1+(mason_bonus*TblConstr[[#This Row],[Tot Mas]]/TblConstr[[#This Row],[Land (2)]]))</f>
        <v>0</v>
      </c>
      <c r="AB136" s="287">
        <f ca="1">walls_forges_cap*(1-EXP(-TblImps[[#This Row],[Σ Forges]]/(walls_forges_param*(OFFSET(TblImps[[#This Row],[Land]],1,0)-OFFSET(TblExplore[[#This Row],[Land Bonus]],1,0)*20)+15000)))*(1+(mason_bonus*TblConstr[[#This Row],[Tot Mas]]/TblConstr[[#This Row],[Land (2)]]))</f>
        <v>0</v>
      </c>
      <c r="AC136" s="287">
        <f ca="1">walls_forges_cap*(1-EXP(-TblImps[[#This Row],[Σ Walls]]/(walls_forges_param*(OFFSET(TblImps[[#This Row],[Land]],1,0)-OFFSET(TblExplore[[#This Row],[Land Bonus]],1,0)*20)+15000)))*(1+(mason_bonus*TblConstr[[#This Row],[Tot Mas]]/TblConstr[[#This Row],[Land (2)]]))</f>
        <v>0</v>
      </c>
      <c r="AD136" s="287">
        <f ca="1">harbor_towers_cap*(1-EXP(-TblImps[[#This Row],[Σ Harbor]]/(harbor_towers_param*(OFFSET(TblImps[[#This Row],[Land]],1,0)-OFFSET(TblExplore[[#This Row],[Land Bonus]],1,0)*20)+15000)))*(1+(mason_bonus*TblConstr[[#This Row],[Tot Mas]]/TblConstr[[#This Row],[Land (2)]]))</f>
        <v>0</v>
      </c>
      <c r="AE136" s="142"/>
      <c r="AF136" s="61">
        <f ca="1">(1+Overview!$I$29)*SUM(TblImps[[#This Row],[P2]:[G2]])+OFFSET(TblImps[[#This Row],[Σ Science]],-1,0)</f>
        <v>0</v>
      </c>
      <c r="AG136" s="61">
        <f ca="1">(1+Overview!$I$29)*SUM(TblImps[[#This Row],[P3]:[G3]])+OFFSET(TblImps[[#This Row],[Σ Keep]],-1,0)</f>
        <v>0</v>
      </c>
      <c r="AH136" s="61">
        <f ca="1">(1+Overview!$I$29 + tech_7_1*TblTech[[#This Row],[7-1]])*SUM(TblImps[[#This Row],[P4]:[G4]])+OFFSET(TblImps[[#This Row],[Σ Spires]],-1,0)</f>
        <v>0</v>
      </c>
      <c r="AI136" s="61">
        <f ca="1">(1+Overview!$I$29)*SUM(TblImps[[#This Row],[P5]:[FW5]])+OFFSET(TblImps[[#This Row],[Σ Forges]],-1,0)</f>
        <v>0</v>
      </c>
      <c r="AJ136" s="61">
        <f ca="1">(1+Overview!$I$29)*SUM(TblImps[[#This Row],[P6]:[G6]])+OFFSET(TblImps[[#This Row],[Σ Walls]],-1,0)</f>
        <v>0</v>
      </c>
      <c r="AK136" s="61">
        <f ca="1">(1+Overview!$I$29 + tech_7_1*TblTech[[#This Row],[7-1]])*SUM(TblImps[[#This Row],[P7]:[G7]])+OFFSET(TblImps[[#This Row],[Σ Harbor]],-1,0)</f>
        <v>0</v>
      </c>
      <c r="AL136" s="142"/>
      <c r="AM136" s="57">
        <f>IF(AND(TblImps[[#This Row],[Resource]]=AM$2,TblImps[[#This Row],[Part]]&lt;&gt;""),TblImps[[#This Row],[Amount]]) + IF(AND(TblImps[[#This Row],[Resource 2]]=AM$2,TblImps[[#This Row],[Part 2]]&lt;&gt;""),TblImps[[#This Row],[Amount 2]]) + IF(AND(TblImps[[#This Row],[Resource 3]]=AM$2,TblImps[[#This Row],[Part 3]]&lt;&gt;""),TblImps[[#This Row],[Amount 3]])</f>
        <v>0</v>
      </c>
      <c r="AN136" s="57">
        <f>IF(AND(TblImps[[#This Row],[Resource]]=AN$2,TblImps[[#This Row],[Part]]&lt;&gt;""),TblImps[[#This Row],[Amount]]) + IF(AND(TblImps[[#This Row],[Resource 2]]=AN$2,TblImps[[#This Row],[Part 2]]&lt;&gt;""),TblImps[[#This Row],[Amount 2]]) + IF(AND(TblImps[[#This Row],[Resource 3]]=AN$2,TblImps[[#This Row],[Part 3]]&lt;&gt;""),TblImps[[#This Row],[Amount 3]])</f>
        <v>0</v>
      </c>
      <c r="AO136" s="57">
        <f>IF(AND(TblImps[[#This Row],[Resource]]=AO$2,TblImps[[#This Row],[Part]]&lt;&gt;""),TblImps[[#This Row],[Amount]]) + IF(AND(TblImps[[#This Row],[Resource 2]]=AO$2,TblImps[[#This Row],[Part 2]]&lt;&gt;""),TblImps[[#This Row],[Amount 2]]) + IF(AND(TblImps[[#This Row],[Resource 3]]=AO$2,TblImps[[#This Row],[Part 3]]&lt;&gt;""),TblImps[[#This Row],[Amount 3]])</f>
        <v>0</v>
      </c>
      <c r="AP136" s="57">
        <f>IF(AND(TblImps[[#This Row],[Resource]]=AP$2,TblImps[[#This Row],[Part]]&lt;&gt;""),TblImps[[#This Row],[Amount]]) + IF(AND(TblImps[[#This Row],[Resource 2]]=AP$2,TblImps[[#This Row],[Part 2]]&lt;&gt;""),TblImps[[#This Row],[Amount 2]]) + IF(AND(TblImps[[#This Row],[Resource 3]]=AP$2,TblImps[[#This Row],[Part 3]]&lt;&gt;""),TblImps[[#This Row],[Amount 3]])</f>
        <v>0</v>
      </c>
      <c r="AQ136" s="142"/>
      <c r="AR1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142"/>
      <c r="AW1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142"/>
      <c r="BB1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142"/>
      <c r="BG1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57">
        <f ca="1">IF(OFFSET(TblMagic[[#This Row],[Active Alchemists Flame]],-1,0)&gt;0,TblConstr[[#This Row],[Tot Alc]]*alchemist_flame_invest,0)</f>
        <v>0</v>
      </c>
      <c r="BL136" s="142"/>
      <c r="BM13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3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3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3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36" s="142"/>
      <c r="BR13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3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3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3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36" s="142"/>
      <c r="BW1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36" s="61">
        <f>TblImps[[#This Row],[Login]]</f>
        <v>0</v>
      </c>
      <c r="BY136" s="137"/>
      <c r="BZ136" s="293">
        <f ca="1">OFFSET(TblImps[[#This Row],[Real time]],-1,0)+1/24</f>
        <v>46325.49999999968</v>
      </c>
      <c r="CA136" s="294">
        <f ca="1">OFFSET(TblImps[[#This Row],[Servertime]],-1,0)+1/24</f>
        <v>46325.49999999968</v>
      </c>
      <c r="CB136" s="57"/>
      <c r="CC136" s="292"/>
      <c r="CD136" s="292"/>
    </row>
    <row r="1269" spans="2:23" x14ac:dyDescent="0.2">
      <c r="B1269" s="531" t="s">
        <v>314</v>
      </c>
      <c r="C1269" s="487"/>
      <c r="W1269" s="134"/>
    </row>
    <row r="1270" spans="2:23" x14ac:dyDescent="0.2">
      <c r="B1270" s="28">
        <f>Overview!E17</f>
        <v>0</v>
      </c>
      <c r="C1270" s="28"/>
      <c r="W1270" s="134"/>
    </row>
  </sheetData>
  <mergeCells count="9">
    <mergeCell ref="BB1:BE1"/>
    <mergeCell ref="BG1:BI1"/>
    <mergeCell ref="BM1:BO1"/>
    <mergeCell ref="BR1:BT1"/>
    <mergeCell ref="B1269:C1269"/>
    <mergeCell ref="AR1:AT1"/>
    <mergeCell ref="AW1:AY1"/>
    <mergeCell ref="AM1:AN1"/>
    <mergeCell ref="AF1:AG1"/>
  </mergeCells>
  <phoneticPr fontId="0" type="noConversion"/>
  <conditionalFormatting sqref="IW29207:IW65010 CE1271:IW60115 A1271:CD60158 A137:XFD1268">
    <cfRule type="expression" dxfId="134" priority="8" stopIfTrue="1">
      <formula>ROW()-2=#REF!</formula>
    </cfRule>
  </conditionalFormatting>
  <conditionalFormatting sqref="A1269:CD1269">
    <cfRule type="expression" dxfId="133" priority="9" stopIfTrue="1">
      <formula>$B$1270&gt;84</formula>
    </cfRule>
  </conditionalFormatting>
  <conditionalFormatting sqref="A1269:XFD1270">
    <cfRule type="expression" dxfId="132" priority="10" stopIfTrue="1">
      <formula>$B$1270&gt;144</formula>
    </cfRule>
  </conditionalFormatting>
  <conditionalFormatting sqref="BW76">
    <cfRule type="expression" dxfId="131" priority="20" stopIfTrue="1">
      <formula>ISERROR(BW76)</formula>
    </cfRule>
  </conditionalFormatting>
  <conditionalFormatting sqref="A4:CA136">
    <cfRule type="expression" dxfId="130" priority="1" stopIfTrue="1">
      <formula>ROW()-3=$B$1270</formula>
    </cfRule>
    <cfRule type="expression" dxfId="129" priority="2" stopIfTrue="1">
      <formula>OR(ROW()-3=$B$1270,A4&lt;0)</formula>
    </cfRule>
    <cfRule type="expression" dxfId="128" priority="7">
      <formula>$K4=49</formula>
    </cfRule>
    <cfRule type="expression" dxfId="127" priority="12">
      <formula>ROUND(($K4-1)/12,0)=INT($K4-1)/12</formula>
    </cfRule>
  </conditionalFormatting>
  <conditionalFormatting sqref="BW4:BW136">
    <cfRule type="expression" dxfId="126" priority="15" stopIfTrue="1">
      <formula>AND(ROW()-3=$B$1270,ISERROR(BW4))</formula>
    </cfRule>
    <cfRule type="expression" dxfId="125" priority="17" stopIfTrue="1">
      <formula>ISERROR(BW4)</formula>
    </cfRule>
  </conditionalFormatting>
  <conditionalFormatting sqref="A1:XFD3">
    <cfRule type="expression" dxfId="124"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5" t="s">
        <v>470</v>
      </c>
      <c r="P16" s="39"/>
    </row>
    <row r="27" spans="8:9" ht="12.75" customHeight="1" x14ac:dyDescent="0.2"/>
    <row r="28" spans="8:9" x14ac:dyDescent="0.2">
      <c r="H28" s="28" t="s">
        <v>470</v>
      </c>
      <c r="I28" s="39"/>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5"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6"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7"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8"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9"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0"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1"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ColWidth="9.140625" defaultRowHeight="15" x14ac:dyDescent="0.25"/>
  <cols>
    <col min="1" max="1" width="3.28515625" style="40" customWidth="1"/>
    <col min="2" max="2" width="25.28515625" style="40" customWidth="1"/>
    <col min="3" max="3" width="8.5703125" style="40" customWidth="1"/>
    <col min="4" max="5" width="11.140625" style="40" customWidth="1"/>
    <col min="6" max="6" width="5.28515625" style="40" customWidth="1"/>
    <col min="7" max="16384" width="9.140625" style="40"/>
  </cols>
  <sheetData>
    <row r="2" spans="2:5" s="41" customFormat="1" ht="27" customHeight="1" x14ac:dyDescent="0.25">
      <c r="B2" s="41" t="s">
        <v>256</v>
      </c>
      <c r="C2" s="41" t="s">
        <v>991</v>
      </c>
      <c r="D2" s="41" t="s">
        <v>924</v>
      </c>
      <c r="E2" s="41" t="s">
        <v>993</v>
      </c>
    </row>
    <row r="3" spans="2:5" ht="15.75" x14ac:dyDescent="0.25">
      <c r="B3" s="40" t="s">
        <v>970</v>
      </c>
      <c r="C3" s="42" t="s">
        <v>72</v>
      </c>
      <c r="D3" s="40">
        <f>_xlfn.IFNA(INDEX(TblConstr[],MATCH(Log!$I$28,TblConstr[Hour],0),MATCH(TblStats[[#This Row],[Abbr]],TblConstr[#Headers],0)),0)</f>
        <v>0</v>
      </c>
      <c r="E3" s="43" t="e">
        <f>TblStats[[#This Row],[Number]]/INDEX(TblConstr[[Hour]:[Land]],MATCH(Log!$I$28,TblConstr[Hour],0),6)</f>
        <v>#N/A</v>
      </c>
    </row>
    <row r="4" spans="2:5" ht="15.75" x14ac:dyDescent="0.25">
      <c r="B4" s="40" t="s">
        <v>971</v>
      </c>
      <c r="C4" s="42" t="s">
        <v>71</v>
      </c>
      <c r="D4" s="40">
        <f>_xlfn.IFNA(INDEX(TblConstr[],MATCH(Log!$I$28,TblConstr[Hour],0),MATCH(TblStats[[#This Row],[Abbr]],TblConstr[#Headers],0)),0)</f>
        <v>0</v>
      </c>
      <c r="E4" s="43" t="e">
        <f>TblStats[[#This Row],[Number]]/INDEX(TblConstr[[Hour]:[Land]],MATCH(Log!$I$28,TblConstr[Hour],0),6)</f>
        <v>#N/A</v>
      </c>
    </row>
    <row r="5" spans="2:5" ht="15.75" x14ac:dyDescent="0.25">
      <c r="B5" s="40" t="s">
        <v>973</v>
      </c>
      <c r="C5" s="42" t="s">
        <v>70</v>
      </c>
      <c r="D5" s="40">
        <f>_xlfn.IFNA(INDEX(TblConstr[],MATCH(Log!$I$28,TblConstr[Hour],0),MATCH(TblStats[[#This Row],[Abbr]],TblConstr[#Headers],0)),0)</f>
        <v>0</v>
      </c>
      <c r="E5" s="43" t="e">
        <f>TblStats[[#This Row],[Number]]/INDEX(TblConstr[[Hour]:[Land]],MATCH(Log!$I$28,TblConstr[Hour],0),6)</f>
        <v>#N/A</v>
      </c>
    </row>
    <row r="6" spans="2:5" ht="15.75" x14ac:dyDescent="0.25">
      <c r="B6" s="40" t="s">
        <v>972</v>
      </c>
      <c r="C6" s="42" t="s">
        <v>69</v>
      </c>
      <c r="D6" s="40">
        <f>_xlfn.IFNA(INDEX(TblConstr[],MATCH(Log!$I$28,TblConstr[Hour],0),MATCH(TblStats[[#This Row],[Abbr]],TblConstr[#Headers],0)),0)</f>
        <v>0</v>
      </c>
      <c r="E6" s="43" t="e">
        <f>TblStats[[#This Row],[Number]]/INDEX(TblConstr[[Hour]:[Land]],MATCH(Log!$I$28,TblConstr[Hour],0),6)</f>
        <v>#N/A</v>
      </c>
    </row>
    <row r="7" spans="2:5" ht="15.75" x14ac:dyDescent="0.25">
      <c r="B7" s="40" t="s">
        <v>974</v>
      </c>
      <c r="C7" s="42" t="s">
        <v>68</v>
      </c>
      <c r="D7" s="40">
        <f>_xlfn.IFNA(INDEX(TblConstr[],MATCH(Log!$I$28,TblConstr[Hour],0),MATCH(TblStats[[#This Row],[Abbr]],TblConstr[#Headers],0)),0)</f>
        <v>0</v>
      </c>
      <c r="E7" s="43" t="e">
        <f>TblStats[[#This Row],[Number]]/INDEX(TblConstr[[Hour]:[Land]],MATCH(Log!$I$28,TblConstr[Hour],0),6)</f>
        <v>#N/A</v>
      </c>
    </row>
    <row r="8" spans="2:5" ht="15.75" x14ac:dyDescent="0.25">
      <c r="B8" s="40" t="s">
        <v>975</v>
      </c>
      <c r="C8" s="42" t="s">
        <v>63</v>
      </c>
      <c r="D8" s="40">
        <f>_xlfn.IFNA(INDEX(TblConstr[],MATCH(Log!$I$28,TblConstr[Hour],0),MATCH(TblStats[[#This Row],[Abbr]],TblConstr[#Headers],0)),0)</f>
        <v>0</v>
      </c>
      <c r="E8" s="43" t="e">
        <f>TblStats[[#This Row],[Number]]/INDEX(TblConstr[[Hour]:[Land]],MATCH(Log!$I$28,TblConstr[Hour],0),6)</f>
        <v>#N/A</v>
      </c>
    </row>
    <row r="9" spans="2:5" ht="15.75" x14ac:dyDescent="0.25">
      <c r="B9" s="40" t="s">
        <v>976</v>
      </c>
      <c r="C9" s="42" t="s">
        <v>346</v>
      </c>
      <c r="D9" s="40">
        <f>_xlfn.IFNA(INDEX(TblConstr[],MATCH(Log!$I$28,TblConstr[Hour],0),MATCH(TblStats[[#This Row],[Abbr]],TblConstr[#Headers],0)),0)</f>
        <v>0</v>
      </c>
      <c r="E9" s="43" t="e">
        <f>TblStats[[#This Row],[Number]]/INDEX(TblConstr[[Hour]:[Land]],MATCH(Log!$I$28,TblConstr[Hour],0),6)</f>
        <v>#N/A</v>
      </c>
    </row>
    <row r="10" spans="2:5" ht="15.75" x14ac:dyDescent="0.25">
      <c r="B10" s="40" t="s">
        <v>977</v>
      </c>
      <c r="C10" s="42" t="s">
        <v>64</v>
      </c>
      <c r="D10" s="40">
        <f>_xlfn.IFNA(INDEX(TblConstr[],MATCH(Log!$I$28,TblConstr[Hour],0),MATCH(TblStats[[#This Row],[Abbr]],TblConstr[#Headers],0)),0)</f>
        <v>0</v>
      </c>
      <c r="E10" s="43" t="e">
        <f>TblStats[[#This Row],[Number]]/INDEX(TblConstr[[Hour]:[Land]],MATCH(Log!$I$28,TblConstr[Hour],0),6)</f>
        <v>#N/A</v>
      </c>
    </row>
    <row r="11" spans="2:5" ht="15.75" x14ac:dyDescent="0.25">
      <c r="B11" s="40" t="s">
        <v>978</v>
      </c>
      <c r="C11" s="42" t="s">
        <v>65</v>
      </c>
      <c r="D11" s="40">
        <f>_xlfn.IFNA(INDEX(TblConstr[],MATCH(Log!$I$28,TblConstr[Hour],0),MATCH(TblStats[[#This Row],[Abbr]],TblConstr[#Headers],0)),0)</f>
        <v>0</v>
      </c>
      <c r="E11" s="43" t="e">
        <f>TblStats[[#This Row],[Number]]/INDEX(TblConstr[[Hour]:[Land]],MATCH(Log!$I$28,TblConstr[Hour],0),6)</f>
        <v>#N/A</v>
      </c>
    </row>
    <row r="12" spans="2:5" ht="15.75" x14ac:dyDescent="0.25">
      <c r="B12" s="40" t="s">
        <v>979</v>
      </c>
      <c r="C12" s="42" t="s">
        <v>66</v>
      </c>
      <c r="D12" s="40">
        <f>_xlfn.IFNA(INDEX(TblConstr[],MATCH(Log!$I$28,TblConstr[Hour],0),MATCH(TblStats[[#This Row],[Abbr]],TblConstr[#Headers],0)),0)</f>
        <v>0</v>
      </c>
      <c r="E12" s="43" t="e">
        <f>TblStats[[#This Row],[Number]]/INDEX(TblConstr[[Hour]:[Land]],MATCH(Log!$I$28,TblConstr[Hour],0),6)</f>
        <v>#N/A</v>
      </c>
    </row>
    <row r="13" spans="2:5" ht="15.75" x14ac:dyDescent="0.25">
      <c r="B13" s="40" t="s">
        <v>980</v>
      </c>
      <c r="C13" s="42" t="s">
        <v>67</v>
      </c>
      <c r="D13" s="40">
        <f>_xlfn.IFNA(INDEX(TblConstr[],MATCH(Log!$I$28,TblConstr[Hour],0),MATCH(TblStats[[#This Row],[Abbr]],TblConstr[#Headers],0)),0)</f>
        <v>0</v>
      </c>
      <c r="E13" s="43" t="e">
        <f>TblStats[[#This Row],[Number]]/INDEX(TblConstr[[Hour]:[Land]],MATCH(Log!$I$28,TblConstr[Hour],0),6)</f>
        <v>#N/A</v>
      </c>
    </row>
    <row r="14" spans="2:5" ht="15.75" x14ac:dyDescent="0.25">
      <c r="B14" s="40" t="s">
        <v>981</v>
      </c>
      <c r="C14" s="42" t="s">
        <v>348</v>
      </c>
      <c r="D14" s="40">
        <f>_xlfn.IFNA(INDEX(TblConstr[],MATCH(Log!$I$28,TblConstr[Hour],0),MATCH(TblStats[[#This Row],[Abbr]],TblConstr[#Headers],0)),0)</f>
        <v>0</v>
      </c>
      <c r="E14" s="43" t="e">
        <f>TblStats[[#This Row],[Number]]/INDEX(TblConstr[[Hour]:[Land]],MATCH(Log!$I$28,TblConstr[Hour],0),6)</f>
        <v>#N/A</v>
      </c>
    </row>
    <row r="15" spans="2:5" ht="15.75" x14ac:dyDescent="0.25">
      <c r="B15" s="40" t="s">
        <v>982</v>
      </c>
      <c r="C15" s="42" t="s">
        <v>351</v>
      </c>
      <c r="D15" s="40">
        <f>_xlfn.IFNA(INDEX(TblConstr[],MATCH(Log!$I$28,TblConstr[Hour],0),MATCH(TblStats[[#This Row],[Abbr]],TblConstr[#Headers],0)),0)</f>
        <v>0</v>
      </c>
      <c r="E15" s="43" t="e">
        <f>TblStats[[#This Row],[Number]]/INDEX(TblConstr[[Hour]:[Land]],MATCH(Log!$I$28,TblConstr[Hour],0),6)</f>
        <v>#N/A</v>
      </c>
    </row>
    <row r="16" spans="2:5" ht="15.75" x14ac:dyDescent="0.25">
      <c r="B16" s="40" t="s">
        <v>983</v>
      </c>
      <c r="C16" s="42" t="s">
        <v>74</v>
      </c>
      <c r="D16" s="40">
        <f>_xlfn.IFNA(INDEX(TblConstr[],MATCH(Log!$I$28,TblConstr[Hour],0),MATCH(TblStats[[#This Row],[Abbr]],TblConstr[#Headers],0)),0)</f>
        <v>0</v>
      </c>
      <c r="E16" s="43" t="e">
        <f>TblStats[[#This Row],[Number]]/INDEX(TblConstr[[Hour]:[Land]],MATCH(Log!$I$28,TblConstr[Hour],0),6)</f>
        <v>#N/A</v>
      </c>
    </row>
    <row r="17" spans="2:12" ht="15.75" x14ac:dyDescent="0.25">
      <c r="B17" s="40" t="s">
        <v>984</v>
      </c>
      <c r="C17" s="42" t="s">
        <v>349</v>
      </c>
      <c r="D17" s="40">
        <f>_xlfn.IFNA(INDEX(TblConstr[],MATCH(Log!$I$28,TblConstr[Hour],0),MATCH(TblStats[[#This Row],[Abbr]],TblConstr[#Headers],0)),0)</f>
        <v>0</v>
      </c>
      <c r="E17" s="43" t="e">
        <f>TblStats[[#This Row],[Number]]/INDEX(TblConstr[[Hour]:[Land]],MATCH(Log!$I$28,TblConstr[Hour],0),6)</f>
        <v>#N/A</v>
      </c>
    </row>
    <row r="18" spans="2:12" ht="15.75" x14ac:dyDescent="0.25">
      <c r="B18" s="40" t="s">
        <v>985</v>
      </c>
      <c r="C18" s="42" t="s">
        <v>295</v>
      </c>
      <c r="D18" s="40">
        <f>_xlfn.IFNA(INDEX(TblConstr[],MATCH(Log!$I$28,TblConstr[Hour],0),MATCH(TblStats[[#This Row],[Abbr]],TblConstr[#Headers],0)),0)</f>
        <v>0</v>
      </c>
      <c r="E18" s="43" t="e">
        <f>TblStats[[#This Row],[Number]]/INDEX(TblConstr[[Hour]:[Land]],MATCH(Log!$I$28,TblConstr[Hour],0),6)</f>
        <v>#N/A</v>
      </c>
    </row>
    <row r="19" spans="2:12" ht="15.75" x14ac:dyDescent="0.25">
      <c r="B19" s="40" t="s">
        <v>986</v>
      </c>
      <c r="C19" s="42" t="s">
        <v>75</v>
      </c>
      <c r="D19" s="40">
        <f>_xlfn.IFNA(INDEX(TblConstr[],MATCH(Log!$I$28,TblConstr[Hour],0),MATCH(TblStats[[#This Row],[Abbr]],TblConstr[#Headers],0)),0)</f>
        <v>0</v>
      </c>
      <c r="E19" s="43" t="e">
        <f>TblStats[[#This Row],[Number]]/INDEX(TblConstr[[Hour]:[Land]],MATCH(Log!$I$28,TblConstr[Hour],0),6)</f>
        <v>#N/A</v>
      </c>
    </row>
    <row r="20" spans="2:12" ht="15.75" x14ac:dyDescent="0.25">
      <c r="B20" s="40" t="s">
        <v>987</v>
      </c>
      <c r="C20" s="42" t="s">
        <v>369</v>
      </c>
      <c r="D20" s="40">
        <f>_xlfn.IFNA(INDEX(TblConstr[],MATCH(Log!$I$28,TblConstr[Hour],0),MATCH(TblStats[[#This Row],[Abbr]],TblConstr[#Headers],0)),0)</f>
        <v>0</v>
      </c>
      <c r="E20" s="43" t="e">
        <f>TblStats[[#This Row],[Number]]/INDEX(TblConstr[[Hour]:[Land]],MATCH(Log!$I$28,TblConstr[Hour],0),6)</f>
        <v>#N/A</v>
      </c>
    </row>
    <row r="21" spans="2:12" ht="15.75" x14ac:dyDescent="0.25">
      <c r="B21" s="40" t="s">
        <v>988</v>
      </c>
      <c r="C21" s="42" t="s">
        <v>76</v>
      </c>
      <c r="D21" s="40">
        <f>_xlfn.IFNA(INDEX(TblConstr[],MATCH(Log!$I$28,TblConstr[Hour],0),MATCH(TblStats[[#This Row],[Abbr]],TblConstr[#Headers],0)),0)</f>
        <v>0</v>
      </c>
      <c r="E21" s="43" t="e">
        <f>TblStats[[#This Row],[Number]]/INDEX(TblConstr[[Hour]:[Land]],MATCH(Log!$I$28,TblConstr[Hour],0),6)</f>
        <v>#N/A</v>
      </c>
    </row>
    <row r="22" spans="2:12" x14ac:dyDescent="0.25">
      <c r="B22" s="40" t="s">
        <v>989</v>
      </c>
      <c r="C22" s="40" t="s">
        <v>54</v>
      </c>
      <c r="D22" s="40">
        <f>_xlfn.IFNA(INDEX(TblConstr[],MATCH(Log!$I$28,TblConstr[Hour],0),MATCH(TblStats[[#This Row],[Abbr]],TblConstr[#Headers],0)),0)</f>
        <v>0</v>
      </c>
      <c r="E22" s="43" t="e">
        <f>TblStats[[#This Row],[Number]]/INDEX(TblConstr[[Hour]:[Land]],MATCH(Log!$I$28,TblConstr[Hour],0),6)</f>
        <v>#N/A</v>
      </c>
    </row>
    <row r="23" spans="2:12" x14ac:dyDescent="0.25">
      <c r="B23" s="40" t="s">
        <v>990</v>
      </c>
      <c r="C23" s="40" t="s">
        <v>992</v>
      </c>
      <c r="D23" s="40">
        <f>_xlfn.IFNA(INDEX(TblConstr[],MATCH(Log!$I$28,TblConstr[Hour],0),MATCH(TblStats[[#This Row],[Abbr]],TblConstr[#Headers],0)),0)</f>
        <v>0</v>
      </c>
      <c r="E23" s="43" t="e">
        <f>TblStats[[#This Row],[Number]]/INDEX(TblConstr[[Hour]:[Land]],MATCH(Log!$I$28,TblConstr[Hour],0),6)</f>
        <v>#N/A</v>
      </c>
    </row>
    <row r="24" spans="2:12" x14ac:dyDescent="0.25">
      <c r="E24" s="43"/>
    </row>
    <row r="25" spans="2:12" x14ac:dyDescent="0.25">
      <c r="E25" s="43"/>
    </row>
    <row r="26" spans="2:12" x14ac:dyDescent="0.25">
      <c r="E26" s="43"/>
    </row>
    <row r="27" spans="2:12" x14ac:dyDescent="0.25">
      <c r="E27" s="43"/>
    </row>
    <row r="28" spans="2:12" x14ac:dyDescent="0.25">
      <c r="E28" s="43"/>
      <c r="L28" s="40" t="s">
        <v>969</v>
      </c>
    </row>
    <row r="29" spans="2:12" x14ac:dyDescent="0.25">
      <c r="E29" s="43"/>
    </row>
    <row r="30" spans="2:12" x14ac:dyDescent="0.25">
      <c r="E30" s="43"/>
    </row>
    <row r="31" spans="2:12" x14ac:dyDescent="0.25">
      <c r="E31" s="43"/>
    </row>
    <row r="32" spans="2:12" x14ac:dyDescent="0.25">
      <c r="E32" s="43"/>
    </row>
    <row r="33" spans="5:5" x14ac:dyDescent="0.25">
      <c r="E33" s="43"/>
    </row>
    <row r="34" spans="5:5" x14ac:dyDescent="0.25">
      <c r="E34" s="43"/>
    </row>
    <row r="35" spans="5:5" x14ac:dyDescent="0.25">
      <c r="E35" s="43"/>
    </row>
    <row r="36" spans="5:5" x14ac:dyDescent="0.25">
      <c r="E36" s="43"/>
    </row>
    <row r="37" spans="5:5" x14ac:dyDescent="0.25">
      <c r="E37" s="43"/>
    </row>
    <row r="38" spans="5:5" x14ac:dyDescent="0.25">
      <c r="E38" s="43"/>
    </row>
    <row r="39" spans="5:5" x14ac:dyDescent="0.25">
      <c r="E39" s="43"/>
    </row>
    <row r="40" spans="5:5" x14ac:dyDescent="0.25">
      <c r="E40" s="43"/>
    </row>
    <row r="41" spans="5:5" x14ac:dyDescent="0.25">
      <c r="E41" s="43"/>
    </row>
    <row r="42" spans="5:5" x14ac:dyDescent="0.25">
      <c r="E42" s="43"/>
    </row>
    <row r="43" spans="5:5" x14ac:dyDescent="0.25">
      <c r="E43" s="43"/>
    </row>
    <row r="44" spans="5:5" x14ac:dyDescent="0.25">
      <c r="E44" s="43"/>
    </row>
    <row r="45" spans="5:5" x14ac:dyDescent="0.25">
      <c r="E45" s="43"/>
    </row>
    <row r="46" spans="5:5" x14ac:dyDescent="0.25">
      <c r="E46" s="43"/>
    </row>
    <row r="47" spans="5:5" x14ac:dyDescent="0.25">
      <c r="E47" s="43"/>
    </row>
    <row r="48" spans="5:5" x14ac:dyDescent="0.25">
      <c r="E48" s="43"/>
    </row>
    <row r="49" spans="5:5" x14ac:dyDescent="0.25">
      <c r="E49" s="43"/>
    </row>
    <row r="50" spans="5:5" x14ac:dyDescent="0.25">
      <c r="E50" s="43"/>
    </row>
    <row r="51" spans="5:5" x14ac:dyDescent="0.25">
      <c r="E51" s="43"/>
    </row>
    <row r="52" spans="5:5" x14ac:dyDescent="0.25">
      <c r="E52" s="43"/>
    </row>
    <row r="53" spans="5:5" x14ac:dyDescent="0.25">
      <c r="E53" s="43"/>
    </row>
    <row r="54" spans="5:5" x14ac:dyDescent="0.25">
      <c r="E54" s="43"/>
    </row>
    <row r="55" spans="5:5" x14ac:dyDescent="0.25">
      <c r="E55" s="43"/>
    </row>
    <row r="56" spans="5:5" x14ac:dyDescent="0.25">
      <c r="E56" s="43"/>
    </row>
    <row r="57" spans="5:5" x14ac:dyDescent="0.25">
      <c r="E57" s="43"/>
    </row>
    <row r="58" spans="5:5" x14ac:dyDescent="0.25">
      <c r="E58" s="43"/>
    </row>
    <row r="59" spans="5:5" x14ac:dyDescent="0.25">
      <c r="E59" s="43"/>
    </row>
    <row r="60" spans="5:5" x14ac:dyDescent="0.25">
      <c r="E60" s="43"/>
    </row>
    <row r="61" spans="5:5" x14ac:dyDescent="0.25">
      <c r="E61" s="43"/>
    </row>
    <row r="62" spans="5:5" x14ac:dyDescent="0.25">
      <c r="E62" s="43"/>
    </row>
    <row r="63" spans="5:5" x14ac:dyDescent="0.25">
      <c r="E63" s="43"/>
    </row>
    <row r="64" spans="5:5" x14ac:dyDescent="0.25">
      <c r="E64" s="43"/>
    </row>
    <row r="65" spans="5:5" x14ac:dyDescent="0.25">
      <c r="E65" s="43"/>
    </row>
    <row r="66" spans="5:5" x14ac:dyDescent="0.25">
      <c r="E66" s="43"/>
    </row>
    <row r="67" spans="5:5" x14ac:dyDescent="0.25">
      <c r="E67" s="43"/>
    </row>
    <row r="68" spans="5:5" x14ac:dyDescent="0.25">
      <c r="E68" s="43"/>
    </row>
    <row r="69" spans="5:5" x14ac:dyDescent="0.25">
      <c r="E69" s="43"/>
    </row>
    <row r="70" spans="5:5" x14ac:dyDescent="0.25">
      <c r="E70" s="43"/>
    </row>
    <row r="71" spans="5:5" x14ac:dyDescent="0.25">
      <c r="E71" s="43"/>
    </row>
    <row r="72" spans="5:5" x14ac:dyDescent="0.25">
      <c r="E72" s="43"/>
    </row>
    <row r="73" spans="5:5" x14ac:dyDescent="0.25">
      <c r="E73" s="43"/>
    </row>
    <row r="74" spans="5:5" x14ac:dyDescent="0.25">
      <c r="E74" s="43"/>
    </row>
    <row r="75" spans="5:5" x14ac:dyDescent="0.25">
      <c r="E75" s="43"/>
    </row>
    <row r="76" spans="5:5" x14ac:dyDescent="0.25">
      <c r="E76" s="43"/>
    </row>
    <row r="77" spans="5:5" x14ac:dyDescent="0.25">
      <c r="E77" s="43"/>
    </row>
    <row r="78" spans="5:5" x14ac:dyDescent="0.25">
      <c r="E78" s="43"/>
    </row>
    <row r="79" spans="5:5" x14ac:dyDescent="0.25">
      <c r="E79" s="43"/>
    </row>
    <row r="80" spans="5:5" x14ac:dyDescent="0.25">
      <c r="E80" s="43"/>
    </row>
    <row r="81" spans="5:5" x14ac:dyDescent="0.25">
      <c r="E81" s="43"/>
    </row>
    <row r="82" spans="5:5" x14ac:dyDescent="0.25">
      <c r="E82" s="43"/>
    </row>
    <row r="83" spans="5:5" x14ac:dyDescent="0.25">
      <c r="E83" s="43"/>
    </row>
    <row r="84" spans="5:5" x14ac:dyDescent="0.25">
      <c r="E84" s="43"/>
    </row>
    <row r="85" spans="5:5" x14ac:dyDescent="0.25">
      <c r="E85" s="43"/>
    </row>
    <row r="86" spans="5:5" x14ac:dyDescent="0.25">
      <c r="E86" s="43"/>
    </row>
    <row r="87" spans="5:5" x14ac:dyDescent="0.25">
      <c r="E87" s="43"/>
    </row>
    <row r="88" spans="5:5" x14ac:dyDescent="0.25">
      <c r="E88" s="43"/>
    </row>
    <row r="89" spans="5:5" x14ac:dyDescent="0.25">
      <c r="E89" s="43"/>
    </row>
    <row r="90" spans="5:5" x14ac:dyDescent="0.25">
      <c r="E90" s="43"/>
    </row>
    <row r="91" spans="5:5" x14ac:dyDescent="0.25">
      <c r="E91" s="43"/>
    </row>
    <row r="92" spans="5:5" x14ac:dyDescent="0.25">
      <c r="E92" s="43"/>
    </row>
    <row r="93" spans="5:5" x14ac:dyDescent="0.25">
      <c r="E93" s="43"/>
    </row>
    <row r="94" spans="5:5" x14ac:dyDescent="0.25">
      <c r="E94" s="43"/>
    </row>
    <row r="95" spans="5:5" x14ac:dyDescent="0.25">
      <c r="E95" s="43"/>
    </row>
    <row r="96" spans="5:5" x14ac:dyDescent="0.25">
      <c r="E96" s="43"/>
    </row>
    <row r="97" spans="5:5" x14ac:dyDescent="0.25">
      <c r="E97" s="43"/>
    </row>
    <row r="98" spans="5:5" x14ac:dyDescent="0.25">
      <c r="E98" s="43"/>
    </row>
    <row r="99" spans="5:5" x14ac:dyDescent="0.25">
      <c r="E99" s="43"/>
    </row>
    <row r="100" spans="5:5" x14ac:dyDescent="0.25">
      <c r="E100" s="43"/>
    </row>
    <row r="101" spans="5:5" x14ac:dyDescent="0.25">
      <c r="E101" s="43"/>
    </row>
    <row r="102" spans="5:5" x14ac:dyDescent="0.25">
      <c r="E102" s="43"/>
    </row>
    <row r="103" spans="5:5" x14ac:dyDescent="0.25">
      <c r="E103" s="43"/>
    </row>
    <row r="104" spans="5:5" x14ac:dyDescent="0.25">
      <c r="E104" s="43"/>
    </row>
    <row r="105" spans="5:5" x14ac:dyDescent="0.25">
      <c r="E105" s="43"/>
    </row>
    <row r="106" spans="5:5" x14ac:dyDescent="0.25">
      <c r="E106" s="43"/>
    </row>
    <row r="107" spans="5:5" x14ac:dyDescent="0.25">
      <c r="E107" s="43"/>
    </row>
    <row r="108" spans="5:5" x14ac:dyDescent="0.25">
      <c r="E108" s="43"/>
    </row>
    <row r="109" spans="5:5" x14ac:dyDescent="0.25">
      <c r="E109" s="43"/>
    </row>
    <row r="110" spans="5:5" x14ac:dyDescent="0.25">
      <c r="E110" s="43"/>
    </row>
    <row r="111" spans="5:5" x14ac:dyDescent="0.25">
      <c r="E111" s="43"/>
    </row>
    <row r="112" spans="5:5" x14ac:dyDescent="0.25">
      <c r="E112" s="43"/>
    </row>
    <row r="113" spans="5:5" x14ac:dyDescent="0.25">
      <c r="E113" s="43"/>
    </row>
    <row r="114" spans="5:5" x14ac:dyDescent="0.25">
      <c r="E114" s="43"/>
    </row>
    <row r="115" spans="5:5" x14ac:dyDescent="0.25">
      <c r="E115" s="43"/>
    </row>
    <row r="116" spans="5:5" x14ac:dyDescent="0.25">
      <c r="E116" s="43"/>
    </row>
    <row r="117" spans="5:5" x14ac:dyDescent="0.25">
      <c r="E117" s="43"/>
    </row>
    <row r="118" spans="5:5" x14ac:dyDescent="0.25">
      <c r="E118" s="43"/>
    </row>
    <row r="119" spans="5:5" x14ac:dyDescent="0.25">
      <c r="E119" s="43"/>
    </row>
    <row r="120" spans="5:5" x14ac:dyDescent="0.25">
      <c r="E120" s="43"/>
    </row>
    <row r="121" spans="5:5" x14ac:dyDescent="0.25">
      <c r="E121" s="43"/>
    </row>
    <row r="122" spans="5:5" x14ac:dyDescent="0.25">
      <c r="E122" s="43"/>
    </row>
    <row r="123" spans="5:5" x14ac:dyDescent="0.25">
      <c r="E123" s="43"/>
    </row>
    <row r="124" spans="5:5" x14ac:dyDescent="0.25">
      <c r="E124" s="43"/>
    </row>
    <row r="125" spans="5:5" x14ac:dyDescent="0.25">
      <c r="E125" s="43"/>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76"/>
  <sheetViews>
    <sheetView zoomScale="70" zoomScaleNormal="70" workbookViewId="0"/>
  </sheetViews>
  <sheetFormatPr defaultColWidth="9.140625" defaultRowHeight="12.75" x14ac:dyDescent="0.2"/>
  <cols>
    <col min="1" max="1" width="26.42578125" style="303" customWidth="1"/>
    <col min="2" max="2" width="9.28515625" style="45" customWidth="1"/>
    <col min="3" max="3" width="13.7109375" style="45" customWidth="1"/>
    <col min="4" max="4" width="10.140625" style="45" customWidth="1"/>
    <col min="5" max="5" width="8.42578125" style="45" bestFit="1" customWidth="1"/>
    <col min="6" max="6" width="8.7109375" style="45" bestFit="1" customWidth="1"/>
    <col min="7" max="7" width="9.28515625" style="45" customWidth="1"/>
    <col min="8" max="8" width="8.5703125" style="45" customWidth="1"/>
    <col min="9" max="9" width="9.5703125" style="45" customWidth="1"/>
    <col min="10" max="10" width="8.42578125" style="45" bestFit="1" customWidth="1"/>
    <col min="11" max="11" width="4.7109375" style="45" bestFit="1" customWidth="1"/>
    <col min="12" max="12" width="18.28515625" style="45" bestFit="1" customWidth="1"/>
    <col min="13" max="13" width="21.28515625" style="45" bestFit="1" customWidth="1"/>
    <col min="14" max="14" width="16.85546875" style="45" bestFit="1" customWidth="1"/>
    <col min="15" max="15" width="7.5703125" style="45" bestFit="1" customWidth="1"/>
    <col min="16" max="16" width="11.28515625" style="45" bestFit="1" customWidth="1"/>
    <col min="17" max="17" width="4.7109375" style="45" bestFit="1" customWidth="1"/>
    <col min="18" max="18" width="5.140625" style="45" bestFit="1" customWidth="1"/>
    <col min="19" max="19" width="9.28515625" style="45" bestFit="1" customWidth="1"/>
    <col min="20" max="16384" width="9.140625" style="45"/>
  </cols>
  <sheetData>
    <row r="2" spans="1:6" x14ac:dyDescent="0.2">
      <c r="A2" s="302" t="s">
        <v>43</v>
      </c>
    </row>
    <row r="3" spans="1:6" x14ac:dyDescent="0.2">
      <c r="A3" s="303" t="s">
        <v>49</v>
      </c>
    </row>
    <row r="4" spans="1:6" x14ac:dyDescent="0.2">
      <c r="A4" s="303" t="s">
        <v>44</v>
      </c>
      <c r="B4" s="45">
        <v>45</v>
      </c>
      <c r="C4" s="45" t="s">
        <v>6</v>
      </c>
    </row>
    <row r="5" spans="1:6" x14ac:dyDescent="0.2">
      <c r="A5" s="303" t="s">
        <v>51</v>
      </c>
      <c r="B5" s="45">
        <v>80</v>
      </c>
      <c r="C5" s="45" t="s">
        <v>9</v>
      </c>
    </row>
    <row r="6" spans="1:6" x14ac:dyDescent="0.2">
      <c r="A6" s="303" t="s">
        <v>45</v>
      </c>
      <c r="B6" s="45">
        <v>50</v>
      </c>
      <c r="C6" s="45" t="s">
        <v>8</v>
      </c>
    </row>
    <row r="7" spans="1:6" x14ac:dyDescent="0.2">
      <c r="A7" s="303" t="s">
        <v>47</v>
      </c>
      <c r="B7" s="45">
        <v>60</v>
      </c>
      <c r="C7" s="45" t="s">
        <v>10</v>
      </c>
    </row>
    <row r="8" spans="1:6" x14ac:dyDescent="0.2">
      <c r="A8" s="303" t="s">
        <v>48</v>
      </c>
      <c r="B8" s="45">
        <v>15</v>
      </c>
      <c r="C8" s="45" t="s">
        <v>11</v>
      </c>
    </row>
    <row r="9" spans="1:6" x14ac:dyDescent="0.2">
      <c r="A9" s="303" t="s">
        <v>52</v>
      </c>
      <c r="B9" s="45">
        <v>25</v>
      </c>
      <c r="C9" s="45" t="s">
        <v>13</v>
      </c>
    </row>
    <row r="10" spans="1:6" x14ac:dyDescent="0.2">
      <c r="A10" s="303" t="s">
        <v>46</v>
      </c>
      <c r="B10" s="45">
        <v>0.05</v>
      </c>
      <c r="C10" s="45" t="s">
        <v>50</v>
      </c>
      <c r="D10" s="45">
        <v>40</v>
      </c>
      <c r="E10" s="45" t="s">
        <v>9</v>
      </c>
    </row>
    <row r="11" spans="1:6" x14ac:dyDescent="0.2">
      <c r="A11" s="303" t="s">
        <v>534</v>
      </c>
      <c r="B11" s="45">
        <v>25</v>
      </c>
      <c r="C11" s="45" t="s">
        <v>8</v>
      </c>
    </row>
    <row r="12" spans="1:6" x14ac:dyDescent="0.2">
      <c r="A12" s="303" t="s">
        <v>67</v>
      </c>
      <c r="B12" s="251">
        <v>1.6</v>
      </c>
      <c r="C12" s="45" t="s">
        <v>509</v>
      </c>
      <c r="D12" s="156">
        <v>0.32</v>
      </c>
      <c r="E12" s="45" t="s">
        <v>435</v>
      </c>
    </row>
    <row r="13" spans="1:6" x14ac:dyDescent="0.2">
      <c r="A13" s="303" t="s">
        <v>65</v>
      </c>
      <c r="B13" s="251">
        <v>1.6</v>
      </c>
      <c r="C13" s="45" t="s">
        <v>510</v>
      </c>
      <c r="D13" s="156">
        <v>0.32</v>
      </c>
      <c r="E13" s="45" t="s">
        <v>435</v>
      </c>
    </row>
    <row r="14" spans="1:6" x14ac:dyDescent="0.2">
      <c r="A14" s="303" t="s">
        <v>479</v>
      </c>
      <c r="B14" s="45">
        <v>0</v>
      </c>
      <c r="C14" s="45" t="s">
        <v>480</v>
      </c>
      <c r="D14" s="304"/>
      <c r="F14" s="156"/>
    </row>
    <row r="15" spans="1:6" x14ac:dyDescent="0.2">
      <c r="B15" s="45">
        <v>3.5</v>
      </c>
      <c r="C15" s="45" t="s">
        <v>481</v>
      </c>
      <c r="D15" s="305">
        <v>0.35</v>
      </c>
      <c r="E15" s="45" t="s">
        <v>435</v>
      </c>
      <c r="F15" s="156"/>
    </row>
    <row r="16" spans="1:6" x14ac:dyDescent="0.2">
      <c r="A16" s="303" t="s">
        <v>476</v>
      </c>
      <c r="B16" s="45">
        <v>0</v>
      </c>
      <c r="C16" s="45" t="s">
        <v>483</v>
      </c>
      <c r="D16" s="305">
        <v>0</v>
      </c>
      <c r="E16" s="45" t="s">
        <v>435</v>
      </c>
      <c r="F16" s="156"/>
    </row>
    <row r="17" spans="1:19" x14ac:dyDescent="0.2">
      <c r="B17" s="45">
        <v>3.5</v>
      </c>
      <c r="C17" s="45" t="s">
        <v>482</v>
      </c>
      <c r="D17" s="305">
        <v>0.35</v>
      </c>
      <c r="E17" s="45" t="s">
        <v>435</v>
      </c>
      <c r="F17" s="156"/>
    </row>
    <row r="18" spans="1:19" x14ac:dyDescent="0.2">
      <c r="B18" s="45">
        <v>5</v>
      </c>
      <c r="C18" s="45" t="s">
        <v>13</v>
      </c>
      <c r="D18" s="305"/>
      <c r="F18" s="156"/>
    </row>
    <row r="19" spans="1:19" x14ac:dyDescent="0.2">
      <c r="A19" s="303" t="s">
        <v>183</v>
      </c>
      <c r="B19" s="45">
        <v>2</v>
      </c>
      <c r="C19" s="45" t="s">
        <v>436</v>
      </c>
      <c r="D19" s="156">
        <v>0.36</v>
      </c>
      <c r="E19" s="45" t="s">
        <v>435</v>
      </c>
    </row>
    <row r="20" spans="1:19" x14ac:dyDescent="0.2">
      <c r="A20" s="303" t="s">
        <v>451</v>
      </c>
      <c r="B20" s="45">
        <v>2.75</v>
      </c>
      <c r="C20" s="45" t="s">
        <v>484</v>
      </c>
    </row>
    <row r="21" spans="1:19" x14ac:dyDescent="0.2">
      <c r="A21" s="303" t="s">
        <v>452</v>
      </c>
      <c r="B21" s="306">
        <v>5</v>
      </c>
      <c r="C21" s="45" t="s">
        <v>453</v>
      </c>
      <c r="D21" s="156">
        <v>0.5</v>
      </c>
      <c r="E21" s="45" t="s">
        <v>435</v>
      </c>
    </row>
    <row r="22" spans="1:19" x14ac:dyDescent="0.2">
      <c r="B22" s="306">
        <v>5</v>
      </c>
      <c r="C22" s="45" t="s">
        <v>454</v>
      </c>
      <c r="D22" s="156">
        <v>0.5</v>
      </c>
      <c r="E22" s="45" t="s">
        <v>435</v>
      </c>
    </row>
    <row r="23" spans="1:19" x14ac:dyDescent="0.2">
      <c r="A23" s="303" t="s">
        <v>1055</v>
      </c>
      <c r="B23" s="306"/>
      <c r="C23" s="45" t="s">
        <v>1056</v>
      </c>
      <c r="D23" s="156">
        <v>0.5</v>
      </c>
      <c r="E23" s="45" t="s">
        <v>435</v>
      </c>
    </row>
    <row r="24" spans="1:19" x14ac:dyDescent="0.2">
      <c r="A24" s="302" t="s">
        <v>80</v>
      </c>
    </row>
    <row r="25" spans="1:19" x14ac:dyDescent="0.2">
      <c r="A25" s="307" t="s">
        <v>72</v>
      </c>
      <c r="B25" s="307" t="s">
        <v>71</v>
      </c>
      <c r="C25" s="307" t="s">
        <v>70</v>
      </c>
      <c r="D25" s="307" t="s">
        <v>69</v>
      </c>
      <c r="E25" s="307" t="s">
        <v>68</v>
      </c>
      <c r="F25" s="308" t="s">
        <v>63</v>
      </c>
      <c r="G25" s="308" t="s">
        <v>346</v>
      </c>
      <c r="H25" s="309" t="s">
        <v>64</v>
      </c>
      <c r="I25" s="309" t="s">
        <v>65</v>
      </c>
      <c r="J25" s="310" t="s">
        <v>66</v>
      </c>
      <c r="K25" s="310" t="s">
        <v>67</v>
      </c>
      <c r="L25" s="310" t="s">
        <v>348</v>
      </c>
      <c r="M25" s="311" t="s">
        <v>351</v>
      </c>
      <c r="N25" s="312" t="s">
        <v>74</v>
      </c>
      <c r="O25" s="312" t="s">
        <v>349</v>
      </c>
      <c r="P25" s="312" t="s">
        <v>507</v>
      </c>
      <c r="Q25" s="313" t="s">
        <v>75</v>
      </c>
      <c r="R25" s="313" t="s">
        <v>369</v>
      </c>
      <c r="S25" s="314" t="s">
        <v>76</v>
      </c>
    </row>
    <row r="26" spans="1:19" x14ac:dyDescent="0.2">
      <c r="A26" s="424">
        <f>Overview!L16</f>
        <v>0</v>
      </c>
      <c r="B26" s="247">
        <f>Overview!L17</f>
        <v>0</v>
      </c>
      <c r="C26" s="247">
        <f>Overview!L18</f>
        <v>30</v>
      </c>
      <c r="D26" s="247">
        <f>Overview!L19</f>
        <v>0</v>
      </c>
      <c r="E26" s="247">
        <f>Overview!L20</f>
        <v>0</v>
      </c>
      <c r="F26" s="247">
        <f>Overview!L21</f>
        <v>20</v>
      </c>
      <c r="G26" s="45">
        <f>Overview!L22</f>
        <v>0</v>
      </c>
      <c r="H26" s="247">
        <f>Overview!L23</f>
        <v>0</v>
      </c>
      <c r="I26" s="247">
        <f>Overview!L24</f>
        <v>0</v>
      </c>
      <c r="J26" s="247">
        <f>Table20[[#This Row],[Amount]]</f>
        <v>0</v>
      </c>
      <c r="K26" s="247">
        <f>Overview!L27</f>
        <v>0</v>
      </c>
      <c r="L26" s="247">
        <f>Overview!L25</f>
        <v>0</v>
      </c>
      <c r="M26" s="247">
        <f>Overview!L28</f>
        <v>0</v>
      </c>
      <c r="N26" s="247">
        <f>Overview!L29</f>
        <v>0</v>
      </c>
      <c r="O26" s="247">
        <f>Overview!L30</f>
        <v>0</v>
      </c>
      <c r="P26" s="247">
        <f>Overview!L31</f>
        <v>0</v>
      </c>
      <c r="Q26" s="247">
        <f>Overview!L32</f>
        <v>0</v>
      </c>
      <c r="R26" s="247">
        <f>Overview!L33</f>
        <v>0</v>
      </c>
      <c r="S26" s="247">
        <f>Overview!L34</f>
        <v>0</v>
      </c>
    </row>
    <row r="28" spans="1:19" x14ac:dyDescent="0.2">
      <c r="A28" s="302" t="s">
        <v>79</v>
      </c>
    </row>
    <row r="29" spans="1:19" x14ac:dyDescent="0.2">
      <c r="A29" s="315" t="s">
        <v>55</v>
      </c>
      <c r="B29" s="308" t="s">
        <v>58</v>
      </c>
      <c r="C29" s="309" t="s">
        <v>176</v>
      </c>
      <c r="D29" s="311" t="s">
        <v>59</v>
      </c>
      <c r="E29" s="312" t="s">
        <v>60</v>
      </c>
      <c r="F29" s="313" t="s">
        <v>61</v>
      </c>
      <c r="G29" s="314" t="s">
        <v>62</v>
      </c>
    </row>
    <row r="30" spans="1:19" s="5" customFormat="1" x14ac:dyDescent="0.2">
      <c r="A30" s="303">
        <v>0</v>
      </c>
      <c r="B30" s="45">
        <v>0</v>
      </c>
      <c r="C30" s="45">
        <v>0</v>
      </c>
      <c r="D30" s="45">
        <v>0</v>
      </c>
      <c r="E30" s="45">
        <v>0</v>
      </c>
      <c r="F30" s="45">
        <v>0</v>
      </c>
      <c r="G30" s="45">
        <v>0</v>
      </c>
      <c r="H30" s="45"/>
      <c r="I30" s="45"/>
      <c r="J30" s="45"/>
      <c r="K30" s="45"/>
      <c r="L30" s="45"/>
      <c r="M30" s="45"/>
      <c r="N30" s="45"/>
      <c r="O30" s="45"/>
      <c r="P30" s="45"/>
      <c r="Q30" s="45"/>
      <c r="R30" s="45"/>
      <c r="S30" s="45"/>
    </row>
    <row r="32" spans="1:19" x14ac:dyDescent="0.2">
      <c r="A32" s="302" t="s">
        <v>83</v>
      </c>
      <c r="B32" s="5"/>
      <c r="C32" s="5"/>
      <c r="D32" s="5" t="s">
        <v>233</v>
      </c>
      <c r="E32" s="5"/>
      <c r="F32" s="5"/>
      <c r="G32" s="5"/>
      <c r="H32" s="5"/>
      <c r="I32" s="5"/>
      <c r="J32" s="5"/>
      <c r="K32" s="5"/>
      <c r="L32" s="5" t="s">
        <v>393</v>
      </c>
      <c r="M32" s="5"/>
      <c r="N32" s="5"/>
      <c r="O32" s="5"/>
      <c r="P32" s="5"/>
      <c r="Q32" s="5"/>
      <c r="R32" s="5"/>
      <c r="S32" s="5"/>
    </row>
    <row r="33" spans="1:16" x14ac:dyDescent="0.2">
      <c r="A33" s="303" t="s">
        <v>21</v>
      </c>
      <c r="B33" s="45">
        <f ca="1">ROUND(((Overview!L16*pop_in_home + (SUM(Overview!L17:L34)-Overview!L25)*pop_in_building))*(1+Population!AC4),0)-300</f>
        <v>469</v>
      </c>
      <c r="D33" s="45" t="s">
        <v>434</v>
      </c>
      <c r="E33" s="45">
        <v>1</v>
      </c>
      <c r="F33" s="45">
        <v>2</v>
      </c>
      <c r="G33" s="45">
        <v>3</v>
      </c>
      <c r="H33" s="45">
        <v>4</v>
      </c>
      <c r="I33" s="45">
        <v>5</v>
      </c>
      <c r="J33" s="45">
        <v>6</v>
      </c>
      <c r="L33" s="45" t="s">
        <v>383</v>
      </c>
      <c r="M33" s="156">
        <v>0.1</v>
      </c>
      <c r="N33" s="45" t="s">
        <v>394</v>
      </c>
    </row>
    <row r="34" spans="1:16" x14ac:dyDescent="0.2">
      <c r="A34" s="303" t="s">
        <v>24</v>
      </c>
      <c r="B34" s="45">
        <v>300</v>
      </c>
      <c r="D34" s="45" t="s">
        <v>21</v>
      </c>
      <c r="E34" s="94">
        <v>1300</v>
      </c>
      <c r="F34" s="94">
        <v>1390</v>
      </c>
      <c r="G34" s="94">
        <v>1480</v>
      </c>
      <c r="H34" s="94">
        <v>1570</v>
      </c>
      <c r="I34" s="94">
        <v>1660</v>
      </c>
      <c r="J34" s="94">
        <v>1750</v>
      </c>
      <c r="K34" s="94"/>
      <c r="M34" s="156">
        <v>0.05</v>
      </c>
      <c r="N34" s="45" t="s">
        <v>395</v>
      </c>
    </row>
    <row r="35" spans="1:16" x14ac:dyDescent="0.2">
      <c r="A35" s="303" t="str">
        <f>Overview!$A22</f>
        <v>Spearman</v>
      </c>
      <c r="B35" s="45">
        <v>0</v>
      </c>
      <c r="D35" s="45" t="s">
        <v>2</v>
      </c>
      <c r="E35" s="94">
        <v>100000</v>
      </c>
      <c r="F35" s="94">
        <v>110000</v>
      </c>
      <c r="G35" s="94">
        <v>120000</v>
      </c>
      <c r="H35" s="94">
        <v>130000</v>
      </c>
      <c r="I35" s="94">
        <v>140000</v>
      </c>
      <c r="J35" s="94">
        <v>150000</v>
      </c>
      <c r="M35" s="156">
        <v>0.05</v>
      </c>
      <c r="N35" s="45" t="s">
        <v>396</v>
      </c>
    </row>
    <row r="36" spans="1:16" x14ac:dyDescent="0.2">
      <c r="A36" s="303" t="str">
        <f>Overview!$A23</f>
        <v>Archer</v>
      </c>
      <c r="B36" s="45">
        <v>0</v>
      </c>
      <c r="D36" s="45" t="s">
        <v>5</v>
      </c>
      <c r="E36" s="94">
        <v>15000</v>
      </c>
      <c r="F36" s="94">
        <v>16000</v>
      </c>
      <c r="G36" s="94">
        <v>17000</v>
      </c>
      <c r="H36" s="94">
        <v>18000</v>
      </c>
      <c r="I36" s="94">
        <v>19000</v>
      </c>
      <c r="J36" s="94">
        <v>20000</v>
      </c>
      <c r="L36" s="45" t="s">
        <v>175</v>
      </c>
      <c r="M36" s="156">
        <v>-0.05</v>
      </c>
      <c r="N36" s="45" t="s">
        <v>397</v>
      </c>
    </row>
    <row r="37" spans="1:16" x14ac:dyDescent="0.2">
      <c r="A37" s="303" t="str">
        <f>Overview!$A24</f>
        <v>Knight</v>
      </c>
      <c r="B37" s="45">
        <v>0</v>
      </c>
      <c r="D37" s="45" t="s">
        <v>7</v>
      </c>
      <c r="E37" s="94">
        <v>15000</v>
      </c>
      <c r="F37" s="94">
        <v>15450</v>
      </c>
      <c r="G37" s="94">
        <v>15900</v>
      </c>
      <c r="H37" s="94">
        <v>16350</v>
      </c>
      <c r="I37" s="94">
        <v>16800</v>
      </c>
      <c r="J37" s="94">
        <v>17250</v>
      </c>
      <c r="M37" s="45">
        <v>-1</v>
      </c>
      <c r="N37" s="45" t="s">
        <v>398</v>
      </c>
    </row>
    <row r="38" spans="1:16" x14ac:dyDescent="0.2">
      <c r="A38" s="303" t="str">
        <f>Overview!$A25</f>
        <v>Cavalry</v>
      </c>
      <c r="B38" s="45">
        <v>0</v>
      </c>
      <c r="M38" s="156">
        <v>-0.1</v>
      </c>
      <c r="N38" s="45" t="s">
        <v>397</v>
      </c>
      <c r="O38" s="45">
        <v>-2</v>
      </c>
      <c r="P38" s="45" t="s">
        <v>398</v>
      </c>
    </row>
    <row r="39" spans="1:16" x14ac:dyDescent="0.2">
      <c r="A39" s="303" t="s">
        <v>25</v>
      </c>
      <c r="B39" s="45">
        <v>0</v>
      </c>
      <c r="D39" s="45" t="s">
        <v>368</v>
      </c>
      <c r="E39" s="94">
        <v>1</v>
      </c>
      <c r="F39" s="45">
        <v>2</v>
      </c>
      <c r="G39" s="45">
        <v>3</v>
      </c>
      <c r="H39" s="45">
        <v>4</v>
      </c>
      <c r="I39" s="45">
        <v>5</v>
      </c>
      <c r="J39" s="45">
        <v>6</v>
      </c>
      <c r="L39" s="45" t="s">
        <v>277</v>
      </c>
      <c r="M39" s="156">
        <v>-0.1</v>
      </c>
      <c r="N39" s="45" t="s">
        <v>399</v>
      </c>
    </row>
    <row r="40" spans="1:16" x14ac:dyDescent="0.2">
      <c r="A40" s="303" t="s">
        <v>1073</v>
      </c>
      <c r="B40" s="45">
        <v>0</v>
      </c>
      <c r="D40" s="45" t="s">
        <v>21</v>
      </c>
      <c r="E40" s="45">
        <v>1200</v>
      </c>
      <c r="F40" s="45">
        <v>1325</v>
      </c>
      <c r="G40" s="45">
        <v>1450</v>
      </c>
      <c r="H40" s="45">
        <v>1575</v>
      </c>
      <c r="I40" s="45">
        <v>1700</v>
      </c>
      <c r="J40" s="45">
        <v>1825</v>
      </c>
      <c r="M40" s="156">
        <v>-0.1</v>
      </c>
      <c r="N40" s="45" t="s">
        <v>400</v>
      </c>
    </row>
    <row r="41" spans="1:16" x14ac:dyDescent="0.2">
      <c r="A41" s="303" t="s">
        <v>26</v>
      </c>
      <c r="B41" s="45">
        <v>0</v>
      </c>
      <c r="D41" s="45" t="s">
        <v>2</v>
      </c>
      <c r="E41" s="45">
        <v>100000</v>
      </c>
      <c r="F41" s="45">
        <v>104750</v>
      </c>
      <c r="G41" s="45">
        <v>109500</v>
      </c>
      <c r="H41" s="45">
        <v>114250</v>
      </c>
      <c r="I41" s="45">
        <v>119000</v>
      </c>
      <c r="J41" s="45">
        <v>123750</v>
      </c>
      <c r="M41" s="156">
        <v>0.02</v>
      </c>
      <c r="N41" s="45" t="s">
        <v>401</v>
      </c>
    </row>
    <row r="42" spans="1:16" x14ac:dyDescent="0.2">
      <c r="A42" s="303" t="s">
        <v>27</v>
      </c>
      <c r="B42" s="45">
        <v>0</v>
      </c>
      <c r="D42" s="45" t="s">
        <v>5</v>
      </c>
      <c r="E42" s="45">
        <v>15000</v>
      </c>
      <c r="F42" s="45">
        <v>16000</v>
      </c>
      <c r="G42" s="45">
        <v>17000</v>
      </c>
      <c r="H42" s="45">
        <v>18000</v>
      </c>
      <c r="I42" s="45">
        <v>19000</v>
      </c>
      <c r="J42" s="45">
        <v>20000</v>
      </c>
      <c r="L42" s="45" t="s">
        <v>22</v>
      </c>
      <c r="M42" s="156">
        <v>-0.1</v>
      </c>
      <c r="N42" s="45" t="s">
        <v>402</v>
      </c>
    </row>
    <row r="43" spans="1:16" x14ac:dyDescent="0.2">
      <c r="D43" s="45" t="s">
        <v>7</v>
      </c>
      <c r="E43" s="45">
        <v>15000</v>
      </c>
      <c r="F43" s="45">
        <v>15450</v>
      </c>
      <c r="G43" s="45">
        <v>15900</v>
      </c>
      <c r="H43" s="45">
        <v>16350</v>
      </c>
      <c r="I43" s="45">
        <v>16800</v>
      </c>
      <c r="J43" s="45">
        <v>17250</v>
      </c>
      <c r="M43" s="156">
        <v>-0.1</v>
      </c>
      <c r="N43" s="45" t="s">
        <v>403</v>
      </c>
    </row>
    <row r="44" spans="1:16" x14ac:dyDescent="0.2">
      <c r="A44" s="302" t="s">
        <v>78</v>
      </c>
      <c r="C44" s="94"/>
      <c r="M44" s="156">
        <v>0.05</v>
      </c>
      <c r="N44" s="45" t="s">
        <v>292</v>
      </c>
    </row>
    <row r="45" spans="1:16" x14ac:dyDescent="0.2">
      <c r="A45" s="303" t="s">
        <v>2</v>
      </c>
      <c r="B45" s="94">
        <v>120000</v>
      </c>
      <c r="C45" s="94"/>
      <c r="D45" s="45" t="s">
        <v>439</v>
      </c>
      <c r="L45" s="45" t="s">
        <v>73</v>
      </c>
      <c r="M45" s="156">
        <v>-0.1</v>
      </c>
      <c r="N45" s="45" t="s">
        <v>404</v>
      </c>
    </row>
    <row r="46" spans="1:16" x14ac:dyDescent="0.2">
      <c r="A46" s="303" t="s">
        <v>5</v>
      </c>
      <c r="B46" s="94">
        <f>HLOOKUP(1,E33:J37,4)</f>
        <v>15000</v>
      </c>
      <c r="C46" s="94"/>
      <c r="D46" s="45" t="s">
        <v>21</v>
      </c>
      <c r="E46" s="45">
        <v>100</v>
      </c>
      <c r="M46" s="156">
        <v>-0.2</v>
      </c>
      <c r="N46" s="45" t="s">
        <v>405</v>
      </c>
    </row>
    <row r="47" spans="1:16" x14ac:dyDescent="0.2">
      <c r="A47" s="303" t="s">
        <v>81</v>
      </c>
      <c r="B47" s="94">
        <f>HLOOKUP(1,E33:J37,5)</f>
        <v>15000</v>
      </c>
      <c r="C47" s="94"/>
      <c r="D47" s="45" t="s">
        <v>2</v>
      </c>
      <c r="E47" s="45">
        <v>5000</v>
      </c>
      <c r="M47" s="45">
        <v>1</v>
      </c>
      <c r="N47" s="45" t="s">
        <v>406</v>
      </c>
    </row>
    <row r="48" spans="1:16" x14ac:dyDescent="0.2">
      <c r="A48" s="303" t="s">
        <v>12</v>
      </c>
      <c r="B48" s="94">
        <v>0</v>
      </c>
      <c r="C48" s="94"/>
      <c r="D48" s="45" t="s">
        <v>5</v>
      </c>
      <c r="E48" s="45">
        <v>1500</v>
      </c>
      <c r="L48" s="45" t="s">
        <v>181</v>
      </c>
      <c r="M48" s="156">
        <v>-0.1</v>
      </c>
      <c r="N48" s="45" t="s">
        <v>407</v>
      </c>
    </row>
    <row r="49" spans="1:21" x14ac:dyDescent="0.2">
      <c r="A49" s="303" t="s">
        <v>3</v>
      </c>
      <c r="B49" s="94">
        <v>0</v>
      </c>
      <c r="C49" s="94"/>
      <c r="D49" s="45" t="s">
        <v>7</v>
      </c>
      <c r="E49" s="45">
        <v>2500</v>
      </c>
      <c r="M49" s="156">
        <v>-0.2</v>
      </c>
      <c r="N49" s="45" t="s">
        <v>408</v>
      </c>
    </row>
    <row r="50" spans="1:21" x14ac:dyDescent="0.2">
      <c r="A50" s="303" t="s">
        <v>4</v>
      </c>
      <c r="B50" s="94">
        <v>0</v>
      </c>
      <c r="C50" s="94"/>
      <c r="D50" s="45" t="s">
        <v>3</v>
      </c>
      <c r="E50" s="45">
        <v>2500</v>
      </c>
      <c r="M50" s="45">
        <v>1</v>
      </c>
      <c r="N50" s="45" t="s">
        <v>409</v>
      </c>
    </row>
    <row r="51" spans="1:21" x14ac:dyDescent="0.2">
      <c r="A51" s="303" t="s">
        <v>82</v>
      </c>
      <c r="B51" s="94">
        <v>0</v>
      </c>
      <c r="D51" s="45" t="s">
        <v>12</v>
      </c>
      <c r="E51" s="45">
        <v>1000</v>
      </c>
      <c r="L51" s="45" t="s">
        <v>384</v>
      </c>
      <c r="M51" s="156">
        <v>-0.1</v>
      </c>
      <c r="N51" s="45" t="s">
        <v>410</v>
      </c>
    </row>
    <row r="52" spans="1:21" x14ac:dyDescent="0.2">
      <c r="D52" s="45" t="s">
        <v>440</v>
      </c>
      <c r="E52" s="45">
        <v>30</v>
      </c>
      <c r="L52" s="45" t="s">
        <v>385</v>
      </c>
      <c r="M52" s="156">
        <v>0.2</v>
      </c>
      <c r="N52" s="45" t="s">
        <v>411</v>
      </c>
      <c r="O52" s="156">
        <v>0.1</v>
      </c>
      <c r="P52" s="45" t="s">
        <v>395</v>
      </c>
    </row>
    <row r="53" spans="1:21" x14ac:dyDescent="0.2">
      <c r="A53" s="302" t="s">
        <v>86</v>
      </c>
      <c r="D53" s="45" t="s">
        <v>441</v>
      </c>
      <c r="E53" s="45">
        <v>30</v>
      </c>
      <c r="L53" s="45" t="s">
        <v>386</v>
      </c>
      <c r="M53" s="157">
        <v>0.06</v>
      </c>
      <c r="N53" s="45" t="s">
        <v>401</v>
      </c>
    </row>
    <row r="54" spans="1:21" x14ac:dyDescent="0.2">
      <c r="A54" s="303" t="s">
        <v>21</v>
      </c>
      <c r="B54" s="316">
        <v>0.03</v>
      </c>
      <c r="L54" s="45" t="s">
        <v>387</v>
      </c>
      <c r="M54" s="118">
        <v>0.125</v>
      </c>
      <c r="N54" s="45" t="s">
        <v>396</v>
      </c>
    </row>
    <row r="55" spans="1:21" x14ac:dyDescent="0.2">
      <c r="A55" s="303" t="s">
        <v>24</v>
      </c>
      <c r="B55" s="316">
        <v>0.01</v>
      </c>
      <c r="L55" s="45" t="s">
        <v>388</v>
      </c>
      <c r="M55" s="156">
        <v>-0.3</v>
      </c>
      <c r="N55" s="45" t="s">
        <v>412</v>
      </c>
    </row>
    <row r="56" spans="1:21" x14ac:dyDescent="0.2">
      <c r="A56" s="303" t="s">
        <v>14</v>
      </c>
      <c r="B56" s="316">
        <v>0.01</v>
      </c>
      <c r="L56" s="45" t="s">
        <v>389</v>
      </c>
      <c r="M56" s="156">
        <v>-0.2</v>
      </c>
      <c r="N56" s="45" t="s">
        <v>397</v>
      </c>
      <c r="O56" s="156">
        <v>0.15</v>
      </c>
      <c r="P56" s="45" t="s">
        <v>413</v>
      </c>
    </row>
    <row r="57" spans="1:21" x14ac:dyDescent="0.2">
      <c r="A57" s="303" t="s">
        <v>16</v>
      </c>
      <c r="B57" s="316">
        <v>0.01</v>
      </c>
      <c r="L57" s="45" t="s">
        <v>390</v>
      </c>
      <c r="M57" s="156">
        <v>-0.25</v>
      </c>
      <c r="N57" s="45" t="s">
        <v>414</v>
      </c>
    </row>
    <row r="58" spans="1:21" x14ac:dyDescent="0.2">
      <c r="A58" s="303" t="s">
        <v>15</v>
      </c>
      <c r="B58" s="316">
        <v>0.02</v>
      </c>
      <c r="L58" s="45" t="s">
        <v>391</v>
      </c>
      <c r="M58" s="156">
        <v>0.1</v>
      </c>
      <c r="N58" s="45" t="s">
        <v>292</v>
      </c>
      <c r="O58" s="156">
        <v>0.15</v>
      </c>
      <c r="P58" s="45" t="s">
        <v>415</v>
      </c>
    </row>
    <row r="59" spans="1:21" x14ac:dyDescent="0.2">
      <c r="L59" s="45" t="s">
        <v>392</v>
      </c>
      <c r="M59" s="45">
        <v>3</v>
      </c>
      <c r="N59" s="45" t="s">
        <v>416</v>
      </c>
    </row>
    <row r="60" spans="1:21" x14ac:dyDescent="0.2">
      <c r="A60" s="303" t="s">
        <v>87</v>
      </c>
      <c r="B60" s="45">
        <v>0.25</v>
      </c>
      <c r="C60" s="45" t="s">
        <v>88</v>
      </c>
      <c r="U60" s="157"/>
    </row>
    <row r="61" spans="1:21" x14ac:dyDescent="0.2">
      <c r="A61" s="303" t="s">
        <v>165</v>
      </c>
      <c r="B61" s="45">
        <v>2.7</v>
      </c>
      <c r="C61" s="45" t="s">
        <v>166</v>
      </c>
      <c r="T61" s="108"/>
      <c r="U61" s="157"/>
    </row>
    <row r="62" spans="1:21" x14ac:dyDescent="0.2">
      <c r="L62" s="45" t="s">
        <v>33</v>
      </c>
      <c r="M62" s="45">
        <v>6.4</v>
      </c>
      <c r="N62" s="45" t="s">
        <v>469</v>
      </c>
      <c r="U62" s="157"/>
    </row>
    <row r="63" spans="1:21" x14ac:dyDescent="0.2">
      <c r="A63" s="302" t="s">
        <v>168</v>
      </c>
    </row>
    <row r="64" spans="1:21" x14ac:dyDescent="0.2">
      <c r="A64" s="303" t="s">
        <v>343</v>
      </c>
      <c r="B64" s="45">
        <v>36</v>
      </c>
      <c r="C64" s="45" t="s">
        <v>344</v>
      </c>
      <c r="D64" s="45" t="s">
        <v>345</v>
      </c>
      <c r="L64" s="45" t="s">
        <v>468</v>
      </c>
      <c r="M64" s="45">
        <v>3780</v>
      </c>
      <c r="U64" s="156"/>
    </row>
    <row r="65" spans="1:21" x14ac:dyDescent="0.2">
      <c r="A65" s="303" t="s">
        <v>170</v>
      </c>
      <c r="B65" s="45">
        <v>30</v>
      </c>
      <c r="C65" s="45" t="s">
        <v>268</v>
      </c>
    </row>
    <row r="66" spans="1:21" x14ac:dyDescent="0.2">
      <c r="A66" s="303" t="s">
        <v>475</v>
      </c>
      <c r="B66" s="45">
        <v>15</v>
      </c>
      <c r="C66" s="45" t="s">
        <v>268</v>
      </c>
      <c r="L66" s="5" t="s">
        <v>623</v>
      </c>
      <c r="U66" s="156"/>
    </row>
    <row r="67" spans="1:21" x14ac:dyDescent="0.2">
      <c r="A67" s="303" t="s">
        <v>347</v>
      </c>
      <c r="B67" s="45">
        <v>15</v>
      </c>
      <c r="C67" s="45" t="s">
        <v>268</v>
      </c>
      <c r="L67" s="108" t="s">
        <v>536</v>
      </c>
      <c r="M67" s="407">
        <v>2.5000000000000001E-2</v>
      </c>
      <c r="N67" s="45" t="s">
        <v>628</v>
      </c>
      <c r="S67" s="45" t="s">
        <v>676</v>
      </c>
      <c r="U67" s="156"/>
    </row>
    <row r="68" spans="1:21" x14ac:dyDescent="0.2">
      <c r="A68" s="303" t="s">
        <v>169</v>
      </c>
      <c r="B68" s="45">
        <v>15</v>
      </c>
      <c r="C68" s="45" t="str">
        <f>C65</f>
        <v>peasants</v>
      </c>
      <c r="L68" s="108" t="s">
        <v>538</v>
      </c>
      <c r="M68" s="407">
        <v>0.05</v>
      </c>
      <c r="N68" s="45" t="s">
        <v>629</v>
      </c>
      <c r="S68" s="45" t="s">
        <v>677</v>
      </c>
    </row>
    <row r="69" spans="1:21" x14ac:dyDescent="0.2">
      <c r="A69" s="303" t="s">
        <v>269</v>
      </c>
      <c r="B69" s="45">
        <f>IF(race="Nomad",25,5)</f>
        <v>5</v>
      </c>
      <c r="L69" s="45" t="s">
        <v>539</v>
      </c>
      <c r="M69" s="2">
        <v>0.05</v>
      </c>
      <c r="N69" s="45" t="s">
        <v>630</v>
      </c>
      <c r="S69" s="45" t="s">
        <v>678</v>
      </c>
    </row>
    <row r="70" spans="1:21" x14ac:dyDescent="0.2">
      <c r="L70" s="45" t="s">
        <v>541</v>
      </c>
      <c r="M70" s="407">
        <v>7.4999999999999997E-2</v>
      </c>
      <c r="N70" s="45" t="s">
        <v>628</v>
      </c>
      <c r="S70" s="45" t="s">
        <v>679</v>
      </c>
      <c r="T70" s="108"/>
      <c r="U70" s="157"/>
    </row>
    <row r="71" spans="1:21" x14ac:dyDescent="0.2">
      <c r="A71" s="317" t="s">
        <v>270</v>
      </c>
      <c r="L71" s="45" t="s">
        <v>542</v>
      </c>
      <c r="M71" s="407">
        <v>0.02</v>
      </c>
      <c r="N71" s="45" t="s">
        <v>631</v>
      </c>
      <c r="S71" s="45" t="s">
        <v>680</v>
      </c>
      <c r="U71" s="157"/>
    </row>
    <row r="72" spans="1:21" x14ac:dyDescent="0.2">
      <c r="A72" s="303" t="str">
        <f>CONCATENATE("Your race is ",Overview!B14)</f>
        <v>Your race is Human</v>
      </c>
      <c r="L72" s="45" t="s">
        <v>543</v>
      </c>
      <c r="M72" s="2">
        <v>0.05</v>
      </c>
      <c r="N72" s="45" t="s">
        <v>665</v>
      </c>
      <c r="S72" s="108" t="s">
        <v>691</v>
      </c>
      <c r="T72" s="108"/>
      <c r="U72" s="156"/>
    </row>
    <row r="73" spans="1:21" x14ac:dyDescent="0.2">
      <c r="L73" s="45" t="s">
        <v>544</v>
      </c>
      <c r="M73" s="2">
        <v>0.1</v>
      </c>
      <c r="N73" s="45" t="s">
        <v>743</v>
      </c>
      <c r="S73" s="108" t="s">
        <v>719</v>
      </c>
      <c r="T73" s="108"/>
      <c r="U73" s="156"/>
    </row>
    <row r="74" spans="1:21" x14ac:dyDescent="0.2">
      <c r="A74" s="302" t="s">
        <v>201</v>
      </c>
      <c r="B74" s="45" t="s">
        <v>271</v>
      </c>
      <c r="F74" s="45" t="s">
        <v>206</v>
      </c>
      <c r="L74" s="45" t="s">
        <v>545</v>
      </c>
      <c r="M74" s="2">
        <v>-0.1</v>
      </c>
      <c r="N74" s="45" t="s">
        <v>663</v>
      </c>
      <c r="O74" s="45" t="s">
        <v>634</v>
      </c>
      <c r="S74" s="108" t="s">
        <v>683</v>
      </c>
      <c r="T74" s="108"/>
      <c r="U74" s="156"/>
    </row>
    <row r="75" spans="1:21" x14ac:dyDescent="0.2">
      <c r="A75" s="303" t="s">
        <v>196</v>
      </c>
      <c r="B75" s="45">
        <v>2</v>
      </c>
      <c r="C75" s="45" t="s">
        <v>202</v>
      </c>
      <c r="D75" s="316"/>
      <c r="F75" s="316">
        <v>0.1</v>
      </c>
      <c r="G75" s="45" t="s">
        <v>107</v>
      </c>
      <c r="L75" s="45" t="s">
        <v>546</v>
      </c>
      <c r="M75" s="2">
        <v>-0.05</v>
      </c>
      <c r="N75" s="45" t="s">
        <v>670</v>
      </c>
      <c r="O75" s="156">
        <v>-0.15</v>
      </c>
      <c r="P75" s="45" t="s">
        <v>648</v>
      </c>
      <c r="S75" s="108" t="s">
        <v>701</v>
      </c>
      <c r="T75" s="108"/>
      <c r="U75" s="157"/>
    </row>
    <row r="76" spans="1:21" x14ac:dyDescent="0.2">
      <c r="A76" s="303" t="s">
        <v>197</v>
      </c>
      <c r="B76" s="45">
        <v>2</v>
      </c>
      <c r="C76" s="45" t="s">
        <v>202</v>
      </c>
      <c r="D76" s="316"/>
      <c r="F76" s="316">
        <v>0.1</v>
      </c>
      <c r="G76" s="45" t="s">
        <v>110</v>
      </c>
      <c r="L76" s="45" t="s">
        <v>548</v>
      </c>
      <c r="M76" s="407">
        <v>-2.5000000000000001E-2</v>
      </c>
      <c r="N76" s="45" t="s">
        <v>635</v>
      </c>
      <c r="S76" s="108" t="s">
        <v>684</v>
      </c>
      <c r="T76" s="108"/>
      <c r="U76" s="156"/>
    </row>
    <row r="77" spans="1:21" x14ac:dyDescent="0.2">
      <c r="A77" s="303" t="s">
        <v>203</v>
      </c>
      <c r="B77" s="45">
        <v>2.5</v>
      </c>
      <c r="C77" s="45" t="s">
        <v>202</v>
      </c>
      <c r="D77" s="316"/>
      <c r="F77" s="316">
        <v>0.1</v>
      </c>
      <c r="G77" s="45" t="s">
        <v>32</v>
      </c>
      <c r="L77" s="45" t="s">
        <v>550</v>
      </c>
      <c r="M77" s="2">
        <v>-0.1</v>
      </c>
      <c r="N77" s="45" t="s">
        <v>744</v>
      </c>
      <c r="S77" s="108" t="s">
        <v>1048</v>
      </c>
      <c r="T77" s="108"/>
    </row>
    <row r="78" spans="1:21" x14ac:dyDescent="0.2">
      <c r="A78" s="303" t="s">
        <v>200</v>
      </c>
      <c r="B78" s="45">
        <v>2.5</v>
      </c>
      <c r="C78" s="45" t="s">
        <v>202</v>
      </c>
      <c r="D78" s="316"/>
      <c r="F78" s="316">
        <v>0.5</v>
      </c>
      <c r="G78" s="45" t="s">
        <v>207</v>
      </c>
      <c r="M78"/>
      <c r="S78" s="108"/>
      <c r="T78" s="108"/>
    </row>
    <row r="79" spans="1:21" x14ac:dyDescent="0.2">
      <c r="A79" s="303" t="s">
        <v>204</v>
      </c>
      <c r="B79" s="45">
        <v>2.5</v>
      </c>
      <c r="C79" s="45" t="s">
        <v>202</v>
      </c>
      <c r="D79" s="316"/>
      <c r="F79" s="316">
        <v>0.1</v>
      </c>
      <c r="G79" s="45" t="s">
        <v>106</v>
      </c>
      <c r="L79" s="45" t="s">
        <v>551</v>
      </c>
      <c r="M79" s="407">
        <v>-0.1</v>
      </c>
      <c r="N79" s="45" t="s">
        <v>637</v>
      </c>
      <c r="S79" s="108" t="s">
        <v>686</v>
      </c>
      <c r="T79" s="108"/>
      <c r="U79" s="157"/>
    </row>
    <row r="80" spans="1:21" x14ac:dyDescent="0.2">
      <c r="A80" s="303" t="s">
        <v>528</v>
      </c>
      <c r="B80" s="45">
        <v>5</v>
      </c>
      <c r="C80" s="45" t="s">
        <v>202</v>
      </c>
      <c r="D80" s="316"/>
      <c r="F80" s="316">
        <v>0.2</v>
      </c>
      <c r="G80" s="45" t="s">
        <v>110</v>
      </c>
      <c r="H80" s="45" t="s">
        <v>246</v>
      </c>
      <c r="L80" s="45" t="s">
        <v>552</v>
      </c>
      <c r="M80" s="2">
        <v>0.15</v>
      </c>
      <c r="N80" s="45" t="s">
        <v>638</v>
      </c>
      <c r="S80" s="108" t="s">
        <v>687</v>
      </c>
      <c r="T80" s="108"/>
      <c r="U80" s="156"/>
    </row>
    <row r="81" spans="1:23" x14ac:dyDescent="0.2">
      <c r="A81" s="303" t="s">
        <v>529</v>
      </c>
      <c r="B81" s="45">
        <v>5</v>
      </c>
      <c r="C81" s="45" t="s">
        <v>202</v>
      </c>
      <c r="D81" s="316"/>
      <c r="F81" s="316">
        <v>0.3</v>
      </c>
      <c r="G81" s="45" t="s">
        <v>530</v>
      </c>
      <c r="L81" s="45" t="s">
        <v>553</v>
      </c>
      <c r="M81" s="2">
        <v>-0.1</v>
      </c>
      <c r="N81" s="45" t="s">
        <v>639</v>
      </c>
      <c r="S81" s="108" t="s">
        <v>688</v>
      </c>
      <c r="T81" s="108"/>
      <c r="U81" s="156"/>
    </row>
    <row r="82" spans="1:23" x14ac:dyDescent="0.2">
      <c r="A82" s="303" t="s">
        <v>261</v>
      </c>
      <c r="B82" s="45">
        <f>B80</f>
        <v>5</v>
      </c>
      <c r="C82" s="45" t="str">
        <f>C80</f>
        <v>* Landsize</v>
      </c>
      <c r="D82" s="156"/>
      <c r="F82" s="316">
        <v>0</v>
      </c>
      <c r="G82" s="45" t="s">
        <v>32</v>
      </c>
      <c r="H82" s="45" t="s">
        <v>258</v>
      </c>
      <c r="L82" s="45" t="s">
        <v>555</v>
      </c>
      <c r="M82" s="2">
        <v>-0.2</v>
      </c>
      <c r="N82" s="45" t="s">
        <v>640</v>
      </c>
      <c r="O82" s="164">
        <v>0.1</v>
      </c>
      <c r="P82" s="5" t="s">
        <v>1080</v>
      </c>
      <c r="S82" s="108" t="s">
        <v>689</v>
      </c>
      <c r="T82" s="108"/>
      <c r="U82" s="156"/>
    </row>
    <row r="83" spans="1:23" x14ac:dyDescent="0.2">
      <c r="A83" s="303" t="s">
        <v>260</v>
      </c>
      <c r="B83" s="45">
        <f>B80</f>
        <v>5</v>
      </c>
      <c r="C83" s="45" t="str">
        <f>C80</f>
        <v>* Landsize</v>
      </c>
      <c r="D83" s="156"/>
      <c r="F83" s="316">
        <v>0.1</v>
      </c>
      <c r="G83" s="45" t="s">
        <v>31</v>
      </c>
      <c r="L83" s="45" t="s">
        <v>556</v>
      </c>
      <c r="M83" s="2">
        <v>0.01</v>
      </c>
      <c r="N83" s="45" t="s">
        <v>641</v>
      </c>
      <c r="O83" s="45" t="s">
        <v>634</v>
      </c>
      <c r="S83" s="108" t="s">
        <v>690</v>
      </c>
      <c r="T83" s="108"/>
      <c r="U83" s="156"/>
    </row>
    <row r="84" spans="1:23" x14ac:dyDescent="0.2">
      <c r="A84" s="303" t="s">
        <v>297</v>
      </c>
      <c r="B84" s="45">
        <v>5</v>
      </c>
      <c r="C84" s="45" t="str">
        <f t="shared" ref="C84:C87" si="0">C83</f>
        <v>* Landsize</v>
      </c>
      <c r="D84" s="156"/>
      <c r="F84" s="156">
        <v>0.2</v>
      </c>
      <c r="G84" s="45" t="s">
        <v>107</v>
      </c>
      <c r="H84" s="156">
        <v>0.1</v>
      </c>
      <c r="I84" s="45" t="s">
        <v>108</v>
      </c>
      <c r="L84" s="45" t="s">
        <v>557</v>
      </c>
      <c r="M84" s="419">
        <f>-2.5%/explore_tech_divisor</f>
        <v>-2.5000000000000001E-2</v>
      </c>
      <c r="N84" s="45" t="s">
        <v>633</v>
      </c>
      <c r="O84" s="157">
        <v>-0.05</v>
      </c>
      <c r="P84" s="45" t="s">
        <v>745</v>
      </c>
      <c r="S84" s="108" t="s">
        <v>682</v>
      </c>
      <c r="T84" s="108"/>
    </row>
    <row r="85" spans="1:23" x14ac:dyDescent="0.2">
      <c r="A85" s="303" t="s">
        <v>334</v>
      </c>
      <c r="B85" s="45">
        <f>B84</f>
        <v>5</v>
      </c>
      <c r="C85" s="45" t="str">
        <f t="shared" si="0"/>
        <v>* Landsize</v>
      </c>
      <c r="D85" s="156"/>
      <c r="F85" s="156">
        <v>0.1</v>
      </c>
      <c r="G85" s="45" t="s">
        <v>31</v>
      </c>
      <c r="H85" s="156">
        <v>0.1</v>
      </c>
      <c r="I85" s="45" t="s">
        <v>32</v>
      </c>
      <c r="L85" s="45" t="s">
        <v>559</v>
      </c>
      <c r="M85">
        <v>1.25</v>
      </c>
      <c r="N85" s="45" t="s">
        <v>667</v>
      </c>
      <c r="S85" s="108" t="s">
        <v>708</v>
      </c>
      <c r="T85" s="108"/>
      <c r="U85" s="157"/>
    </row>
    <row r="86" spans="1:23" x14ac:dyDescent="0.2">
      <c r="A86" s="303" t="s">
        <v>333</v>
      </c>
      <c r="B86" s="45">
        <f>B85</f>
        <v>5</v>
      </c>
      <c r="C86" s="45" t="str">
        <f t="shared" si="0"/>
        <v>* Landsize</v>
      </c>
      <c r="D86" s="156"/>
      <c r="F86" s="156">
        <v>0.15</v>
      </c>
      <c r="G86" s="45" t="s">
        <v>32</v>
      </c>
      <c r="H86" s="156" t="s">
        <v>335</v>
      </c>
      <c r="L86" s="45" t="s">
        <v>561</v>
      </c>
      <c r="M86" s="2">
        <v>-0.15</v>
      </c>
      <c r="N86" s="45" t="s">
        <v>637</v>
      </c>
      <c r="S86" s="108" t="s">
        <v>693</v>
      </c>
      <c r="T86" s="108"/>
      <c r="U86" s="156"/>
    </row>
    <row r="87" spans="1:23" x14ac:dyDescent="0.2">
      <c r="A87" s="303" t="s">
        <v>340</v>
      </c>
      <c r="B87" s="45">
        <v>5</v>
      </c>
      <c r="C87" s="318" t="str">
        <f t="shared" si="0"/>
        <v>* Landsize</v>
      </c>
      <c r="D87" s="156"/>
      <c r="F87" s="247">
        <v>12</v>
      </c>
      <c r="G87" s="45" t="s">
        <v>341</v>
      </c>
      <c r="H87" s="156"/>
      <c r="L87" s="45" t="s">
        <v>562</v>
      </c>
      <c r="M87" s="165">
        <f>-2.5%/explore_tech_divisor</f>
        <v>-2.5000000000000001E-2</v>
      </c>
      <c r="N87" s="45" t="s">
        <v>633</v>
      </c>
      <c r="O87" s="45">
        <v>-1</v>
      </c>
      <c r="P87" s="45" t="s">
        <v>664</v>
      </c>
      <c r="S87" s="108" t="s">
        <v>694</v>
      </c>
      <c r="T87" s="108"/>
      <c r="U87" s="156"/>
    </row>
    <row r="88" spans="1:23" x14ac:dyDescent="0.2">
      <c r="F88" s="45">
        <v>25</v>
      </c>
      <c r="G88" s="45" t="s">
        <v>1166</v>
      </c>
      <c r="L88" s="45" t="s">
        <v>563</v>
      </c>
      <c r="M88" s="407">
        <v>-2.5000000000000001E-2</v>
      </c>
      <c r="N88" s="45" t="s">
        <v>639</v>
      </c>
      <c r="S88" s="108" t="s">
        <v>695</v>
      </c>
      <c r="T88" s="108"/>
      <c r="U88" s="157"/>
    </row>
    <row r="89" spans="1:23" x14ac:dyDescent="0.2">
      <c r="A89" s="303" t="s">
        <v>424</v>
      </c>
      <c r="B89" s="45">
        <v>5</v>
      </c>
      <c r="C89" s="45" t="str">
        <f>C87</f>
        <v>* Landsize</v>
      </c>
      <c r="D89" s="156"/>
      <c r="F89" s="118">
        <v>0.05</v>
      </c>
      <c r="G89" s="45" t="s">
        <v>31</v>
      </c>
      <c r="M89"/>
      <c r="S89" s="108"/>
      <c r="T89" s="108"/>
    </row>
    <row r="90" spans="1:23" x14ac:dyDescent="0.2">
      <c r="A90" s="303" t="s">
        <v>1063</v>
      </c>
      <c r="B90" s="45">
        <v>5</v>
      </c>
      <c r="C90" s="45" t="str">
        <f>C89</f>
        <v>* Landsize</v>
      </c>
      <c r="D90" s="118">
        <v>0.01</v>
      </c>
      <c r="E90" s="45" t="s">
        <v>357</v>
      </c>
      <c r="F90" s="156">
        <v>0.1</v>
      </c>
      <c r="G90" s="45" t="s">
        <v>1065</v>
      </c>
      <c r="L90" s="45" t="s">
        <v>565</v>
      </c>
      <c r="M90" s="2">
        <v>0.05</v>
      </c>
      <c r="N90" s="45" t="s">
        <v>642</v>
      </c>
      <c r="S90" s="108" t="s">
        <v>696</v>
      </c>
      <c r="T90" s="108"/>
    </row>
    <row r="91" spans="1:23" x14ac:dyDescent="0.2">
      <c r="A91" s="303" t="s">
        <v>1070</v>
      </c>
      <c r="B91" s="45">
        <v>5</v>
      </c>
      <c r="C91" s="45" t="str">
        <f>C90</f>
        <v>* Landsize</v>
      </c>
      <c r="F91" s="156">
        <v>0</v>
      </c>
      <c r="G91" s="45" t="s">
        <v>106</v>
      </c>
      <c r="L91" s="45" t="s">
        <v>567</v>
      </c>
      <c r="M91" s="407">
        <v>2.5000000000000001E-2</v>
      </c>
      <c r="N91" s="45" t="s">
        <v>644</v>
      </c>
      <c r="S91" s="108" t="s">
        <v>697</v>
      </c>
      <c r="T91" s="108"/>
      <c r="U91" s="157"/>
    </row>
    <row r="92" spans="1:23" x14ac:dyDescent="0.2">
      <c r="A92" s="303" t="s">
        <v>1126</v>
      </c>
      <c r="B92" s="45">
        <v>5</v>
      </c>
      <c r="C92" s="45" t="str">
        <f>C91</f>
        <v>* Landsize</v>
      </c>
      <c r="F92" s="156">
        <v>0</v>
      </c>
      <c r="G92" s="45" t="s">
        <v>106</v>
      </c>
      <c r="L92" s="45" t="s">
        <v>569</v>
      </c>
      <c r="M92" s="407">
        <v>7.4999999999999997E-2</v>
      </c>
      <c r="N92" s="45" t="s">
        <v>645</v>
      </c>
      <c r="O92" s="118">
        <v>0.25</v>
      </c>
      <c r="P92" s="45" t="s">
        <v>646</v>
      </c>
      <c r="S92" s="108" t="s">
        <v>698</v>
      </c>
      <c r="T92" s="108"/>
      <c r="U92" s="157"/>
      <c r="W92" s="156"/>
    </row>
    <row r="93" spans="1:23" x14ac:dyDescent="0.2">
      <c r="F93" s="156">
        <v>0</v>
      </c>
      <c r="G93" s="45" t="s">
        <v>1127</v>
      </c>
      <c r="L93" s="45" t="s">
        <v>570</v>
      </c>
      <c r="M93" s="407">
        <v>0.1</v>
      </c>
      <c r="N93" s="45" t="s">
        <v>629</v>
      </c>
      <c r="O93" s="156">
        <v>0.05</v>
      </c>
      <c r="P93" s="45" t="s">
        <v>647</v>
      </c>
      <c r="S93" s="108" t="s">
        <v>699</v>
      </c>
      <c r="T93" s="108"/>
      <c r="U93" s="157"/>
      <c r="W93" s="156"/>
    </row>
    <row r="94" spans="1:23" x14ac:dyDescent="0.2">
      <c r="F94" s="45">
        <v>-0.5</v>
      </c>
      <c r="G94" s="45" t="s">
        <v>1128</v>
      </c>
      <c r="L94" s="45" t="s">
        <v>571</v>
      </c>
      <c r="M94" s="407">
        <v>-1.7500000000000002E-2</v>
      </c>
      <c r="N94" s="45" t="s">
        <v>632</v>
      </c>
      <c r="S94" s="108" t="s">
        <v>681</v>
      </c>
      <c r="T94" s="108"/>
    </row>
    <row r="95" spans="1:23" x14ac:dyDescent="0.2">
      <c r="L95" s="45" t="s">
        <v>572</v>
      </c>
      <c r="M95" s="407">
        <v>1.4999999999999999E-2</v>
      </c>
      <c r="N95" s="45" t="s">
        <v>643</v>
      </c>
      <c r="S95" s="108" t="s">
        <v>692</v>
      </c>
      <c r="T95" s="108"/>
      <c r="U95" s="156"/>
    </row>
    <row r="96" spans="1:23" x14ac:dyDescent="0.2">
      <c r="A96" s="302" t="s">
        <v>82</v>
      </c>
      <c r="L96" s="45" t="s">
        <v>573</v>
      </c>
      <c r="M96" s="165">
        <f>-7.5%/explore_tech_divisor</f>
        <v>-7.4999999999999997E-2</v>
      </c>
      <c r="N96" s="45" t="s">
        <v>633</v>
      </c>
      <c r="O96" s="45">
        <v>-2</v>
      </c>
      <c r="P96" s="45" t="s">
        <v>664</v>
      </c>
      <c r="S96" s="108" t="s">
        <v>700</v>
      </c>
      <c r="T96" s="108"/>
      <c r="U96" s="157"/>
    </row>
    <row r="97" spans="1:23" x14ac:dyDescent="0.2">
      <c r="A97" s="303" t="s">
        <v>267</v>
      </c>
      <c r="B97" s="45">
        <f>30 + IF(race="Kobold",10,0) + IF(race="Nox",5,0) + IF(race="Halfling",5,0) + IF(race="Undead",20,0)</f>
        <v>30</v>
      </c>
      <c r="C97" s="45" t="s">
        <v>239</v>
      </c>
      <c r="L97" s="45" t="s">
        <v>574</v>
      </c>
      <c r="M97" s="2">
        <v>0.15</v>
      </c>
      <c r="N97" s="45" t="s">
        <v>1113</v>
      </c>
      <c r="S97" s="108" t="s">
        <v>1111</v>
      </c>
      <c r="T97" s="108"/>
      <c r="U97" s="156"/>
    </row>
    <row r="98" spans="1:23" x14ac:dyDescent="0.2">
      <c r="L98" s="45" t="s">
        <v>575</v>
      </c>
      <c r="M98" s="2">
        <v>-0.1</v>
      </c>
      <c r="N98" s="45" t="s">
        <v>636</v>
      </c>
      <c r="S98" s="108" t="s">
        <v>685</v>
      </c>
      <c r="T98" s="108"/>
      <c r="U98" s="156"/>
      <c r="W98" s="156"/>
    </row>
    <row r="99" spans="1:23" x14ac:dyDescent="0.2">
      <c r="A99" s="302" t="s">
        <v>350</v>
      </c>
      <c r="M99"/>
      <c r="S99" s="108"/>
      <c r="T99" s="108"/>
    </row>
    <row r="100" spans="1:23" x14ac:dyDescent="0.2">
      <c r="A100" s="303" t="s">
        <v>502</v>
      </c>
      <c r="B100" s="45">
        <v>250</v>
      </c>
      <c r="L100" s="45" t="s">
        <v>576</v>
      </c>
      <c r="M100" s="407">
        <v>0.125</v>
      </c>
      <c r="N100" s="45" t="s">
        <v>649</v>
      </c>
      <c r="S100" s="108" t="s">
        <v>702</v>
      </c>
      <c r="T100" s="108"/>
      <c r="U100" s="157"/>
    </row>
    <row r="101" spans="1:23" x14ac:dyDescent="0.2">
      <c r="A101" s="303" t="s">
        <v>503</v>
      </c>
      <c r="B101" s="156">
        <v>0.01</v>
      </c>
      <c r="L101" s="45" t="s">
        <v>577</v>
      </c>
      <c r="M101"/>
      <c r="N101" s="45" t="s">
        <v>624</v>
      </c>
      <c r="S101" s="108" t="s">
        <v>703</v>
      </c>
      <c r="T101" s="108"/>
    </row>
    <row r="102" spans="1:23" x14ac:dyDescent="0.2">
      <c r="A102" s="303" t="s">
        <v>504</v>
      </c>
      <c r="B102" s="156">
        <v>0.01</v>
      </c>
      <c r="L102" s="45" t="s">
        <v>578</v>
      </c>
      <c r="M102" s="407">
        <v>2.5000000000000001E-2</v>
      </c>
      <c r="N102" s="45" t="s">
        <v>644</v>
      </c>
      <c r="O102" s="157">
        <v>7.4999999999999997E-2</v>
      </c>
      <c r="P102" s="45" t="s">
        <v>642</v>
      </c>
      <c r="S102" s="108" t="s">
        <v>704</v>
      </c>
      <c r="T102" s="108"/>
      <c r="U102" s="157"/>
      <c r="W102" s="157"/>
    </row>
    <row r="103" spans="1:23" x14ac:dyDescent="0.2">
      <c r="A103" s="303" t="s">
        <v>505</v>
      </c>
      <c r="B103" s="156">
        <v>0.01</v>
      </c>
      <c r="L103" s="45" t="s">
        <v>579</v>
      </c>
      <c r="M103" s="2">
        <v>0.04</v>
      </c>
      <c r="N103" s="45" t="s">
        <v>631</v>
      </c>
      <c r="S103" s="108" t="s">
        <v>705</v>
      </c>
      <c r="T103" s="108"/>
      <c r="U103" s="156"/>
    </row>
    <row r="104" spans="1:23" x14ac:dyDescent="0.2">
      <c r="L104" s="45" t="s">
        <v>580</v>
      </c>
      <c r="M104">
        <v>2</v>
      </c>
      <c r="N104" s="45" t="s">
        <v>1079</v>
      </c>
      <c r="S104" s="108" t="s">
        <v>1047</v>
      </c>
      <c r="T104" s="108"/>
      <c r="U104" s="156"/>
    </row>
    <row r="105" spans="1:23" x14ac:dyDescent="0.2">
      <c r="A105" s="302" t="s">
        <v>455</v>
      </c>
      <c r="L105" s="45" t="s">
        <v>581</v>
      </c>
      <c r="M105" s="407">
        <v>-0.1</v>
      </c>
      <c r="N105" s="45" t="s">
        <v>639</v>
      </c>
      <c r="S105" s="108" t="s">
        <v>707</v>
      </c>
      <c r="T105" s="108"/>
      <c r="U105" s="156"/>
    </row>
    <row r="106" spans="1:23" x14ac:dyDescent="0.2">
      <c r="L106" s="45" t="s">
        <v>583</v>
      </c>
      <c r="M106">
        <v>-1</v>
      </c>
      <c r="N106" s="45" t="s">
        <v>746</v>
      </c>
      <c r="S106" s="108" t="s">
        <v>1049</v>
      </c>
      <c r="T106" s="108"/>
      <c r="U106" s="157"/>
    </row>
    <row r="107" spans="1:23" x14ac:dyDescent="0.2">
      <c r="A107" s="303" t="s">
        <v>456</v>
      </c>
      <c r="B107" s="45" t="s">
        <v>210</v>
      </c>
      <c r="D107" s="316">
        <v>0.25</v>
      </c>
      <c r="E107" s="45" t="s">
        <v>435</v>
      </c>
      <c r="L107" s="45" t="s">
        <v>584</v>
      </c>
      <c r="M107" s="2">
        <v>-0.2</v>
      </c>
      <c r="N107" s="45" t="s">
        <v>650</v>
      </c>
      <c r="S107" s="108" t="s">
        <v>706</v>
      </c>
      <c r="T107" s="108"/>
    </row>
    <row r="108" spans="1:23" x14ac:dyDescent="0.2">
      <c r="B108" s="45" t="s">
        <v>208</v>
      </c>
      <c r="D108" s="316">
        <v>0.2</v>
      </c>
      <c r="E108" s="45" t="s">
        <v>435</v>
      </c>
      <c r="M108"/>
    </row>
    <row r="109" spans="1:23" x14ac:dyDescent="0.2">
      <c r="B109" s="45" t="s">
        <v>457</v>
      </c>
      <c r="D109" s="316">
        <v>0.3</v>
      </c>
      <c r="E109" s="45" t="s">
        <v>435</v>
      </c>
      <c r="L109" s="45" t="s">
        <v>585</v>
      </c>
      <c r="M109" s="407">
        <v>2.5000000000000001E-2</v>
      </c>
      <c r="N109" s="45" t="s">
        <v>1053</v>
      </c>
      <c r="O109" s="45" t="s">
        <v>652</v>
      </c>
      <c r="S109" s="108" t="s">
        <v>710</v>
      </c>
      <c r="T109" s="108"/>
      <c r="U109" s="156"/>
      <c r="W109" s="156"/>
    </row>
    <row r="110" spans="1:23" x14ac:dyDescent="0.2">
      <c r="B110" s="45" t="s">
        <v>458</v>
      </c>
      <c r="D110" s="316">
        <v>0.6</v>
      </c>
      <c r="E110" s="45" t="s">
        <v>435</v>
      </c>
      <c r="L110" s="45" t="s">
        <v>586</v>
      </c>
      <c r="M110" s="2">
        <v>-0.2</v>
      </c>
      <c r="N110" s="45" t="s">
        <v>668</v>
      </c>
      <c r="O110" s="156">
        <v>-0.2</v>
      </c>
      <c r="P110" s="45" t="s">
        <v>651</v>
      </c>
      <c r="Q110" s="5"/>
      <c r="R110" s="5"/>
      <c r="S110" s="108" t="s">
        <v>709</v>
      </c>
      <c r="T110" s="108"/>
    </row>
    <row r="111" spans="1:23" x14ac:dyDescent="0.2">
      <c r="L111" s="45" t="s">
        <v>587</v>
      </c>
      <c r="M111" s="407">
        <v>-1.7500000000000002E-2</v>
      </c>
      <c r="N111" s="45" t="s">
        <v>632</v>
      </c>
      <c r="S111" s="108" t="s">
        <v>711</v>
      </c>
      <c r="T111" s="108"/>
      <c r="U111" s="156"/>
    </row>
    <row r="112" spans="1:23" x14ac:dyDescent="0.2">
      <c r="A112" s="303" t="s">
        <v>459</v>
      </c>
      <c r="B112" s="45" t="s">
        <v>210</v>
      </c>
      <c r="D112" s="45">
        <v>4000</v>
      </c>
      <c r="E112" s="45" t="s">
        <v>506</v>
      </c>
      <c r="L112" s="45" t="s">
        <v>588</v>
      </c>
      <c r="M112" s="407">
        <v>2.5000000000000001E-2</v>
      </c>
      <c r="N112" s="45" t="s">
        <v>660</v>
      </c>
      <c r="O112" s="157">
        <v>7.4999999999999997E-2</v>
      </c>
      <c r="P112" s="45" t="s">
        <v>653</v>
      </c>
      <c r="S112" s="108" t="s">
        <v>712</v>
      </c>
      <c r="T112" s="108"/>
      <c r="U112" s="157"/>
      <c r="W112" s="157"/>
    </row>
    <row r="113" spans="1:23" x14ac:dyDescent="0.2">
      <c r="B113" s="45" t="s">
        <v>208</v>
      </c>
      <c r="D113" s="45">
        <v>4000</v>
      </c>
      <c r="E113" s="45" t="s">
        <v>506</v>
      </c>
      <c r="L113" s="45" t="s">
        <v>589</v>
      </c>
      <c r="M113" s="407">
        <v>-1.7500000000000002E-2</v>
      </c>
      <c r="N113" s="45" t="s">
        <v>632</v>
      </c>
      <c r="S113" s="108" t="s">
        <v>713</v>
      </c>
      <c r="T113" s="108"/>
      <c r="U113" s="156"/>
    </row>
    <row r="114" spans="1:23" x14ac:dyDescent="0.2">
      <c r="B114" s="45" t="s">
        <v>457</v>
      </c>
      <c r="D114" s="45">
        <v>7500</v>
      </c>
      <c r="E114" s="45" t="s">
        <v>506</v>
      </c>
      <c r="L114" s="45" t="s">
        <v>590</v>
      </c>
      <c r="M114">
        <v>1</v>
      </c>
      <c r="N114" s="45" t="s">
        <v>666</v>
      </c>
      <c r="S114" s="108" t="s">
        <v>392</v>
      </c>
      <c r="T114" s="108"/>
      <c r="U114" s="156"/>
      <c r="W114" s="156"/>
    </row>
    <row r="115" spans="1:23" x14ac:dyDescent="0.2">
      <c r="B115" s="45" t="s">
        <v>526</v>
      </c>
      <c r="D115" s="45">
        <v>5000</v>
      </c>
      <c r="E115" s="45" t="s">
        <v>506</v>
      </c>
      <c r="L115" s="45" t="s">
        <v>591</v>
      </c>
      <c r="M115" s="2">
        <v>-0.01</v>
      </c>
      <c r="N115" s="45" t="s">
        <v>654</v>
      </c>
      <c r="S115" s="108" t="s">
        <v>715</v>
      </c>
      <c r="T115" s="108"/>
      <c r="U115" s="156"/>
    </row>
    <row r="116" spans="1:23" x14ac:dyDescent="0.2">
      <c r="B116" s="45" t="s">
        <v>211</v>
      </c>
      <c r="D116" s="45">
        <v>5000</v>
      </c>
      <c r="E116" s="45" t="s">
        <v>506</v>
      </c>
      <c r="T116" s="108"/>
    </row>
    <row r="117" spans="1:23" x14ac:dyDescent="0.2">
      <c r="L117" s="45" t="s">
        <v>592</v>
      </c>
      <c r="M117" s="29">
        <v>1.4999999999999999E-2</v>
      </c>
      <c r="N117" s="45" t="s">
        <v>643</v>
      </c>
      <c r="S117" s="108" t="s">
        <v>716</v>
      </c>
      <c r="T117" s="108"/>
      <c r="U117" s="157"/>
    </row>
    <row r="118" spans="1:23" x14ac:dyDescent="0.2">
      <c r="A118" s="302" t="s">
        <v>460</v>
      </c>
      <c r="F118" s="45" t="s">
        <v>462</v>
      </c>
      <c r="L118" s="45" t="s">
        <v>593</v>
      </c>
      <c r="M118" s="407">
        <v>2.5000000000000001E-2</v>
      </c>
      <c r="N118" s="45" t="s">
        <v>644</v>
      </c>
      <c r="O118" s="156">
        <v>-0.05</v>
      </c>
      <c r="P118" s="45" t="s">
        <v>655</v>
      </c>
      <c r="S118" s="108" t="s">
        <v>717</v>
      </c>
      <c r="T118" s="108"/>
      <c r="U118" s="157"/>
      <c r="W118" s="156"/>
    </row>
    <row r="119" spans="1:23" x14ac:dyDescent="0.2">
      <c r="A119" s="303" t="s">
        <v>1119</v>
      </c>
      <c r="B119" s="238"/>
      <c r="C119" s="319">
        <v>0.2</v>
      </c>
      <c r="D119" s="45" t="s">
        <v>466</v>
      </c>
      <c r="F119" s="177">
        <v>2</v>
      </c>
      <c r="L119" s="45" t="s">
        <v>595</v>
      </c>
      <c r="M119" s="2">
        <v>-0.05</v>
      </c>
      <c r="N119" s="45" t="s">
        <v>639</v>
      </c>
      <c r="O119" s="156">
        <v>-0.1</v>
      </c>
      <c r="P119" s="45" t="s">
        <v>651</v>
      </c>
      <c r="Q119" s="45">
        <v>5</v>
      </c>
      <c r="R119" s="45" t="s">
        <v>671</v>
      </c>
      <c r="S119" s="108" t="s">
        <v>1050</v>
      </c>
      <c r="T119" s="108"/>
      <c r="U119" s="156"/>
      <c r="W119" s="156"/>
    </row>
    <row r="120" spans="1:23" x14ac:dyDescent="0.2">
      <c r="A120" s="303" t="s">
        <v>125</v>
      </c>
      <c r="B120" s="116" t="s">
        <v>292</v>
      </c>
      <c r="C120" s="319">
        <v>0.2</v>
      </c>
      <c r="D120" s="45" t="s">
        <v>466</v>
      </c>
      <c r="F120" s="177">
        <v>2</v>
      </c>
      <c r="L120" s="45" t="s">
        <v>596</v>
      </c>
      <c r="M120" s="407">
        <v>-0.125</v>
      </c>
      <c r="N120" s="45" t="s">
        <v>656</v>
      </c>
      <c r="S120" s="108" t="s">
        <v>718</v>
      </c>
      <c r="T120" s="108"/>
      <c r="U120" s="157"/>
    </row>
    <row r="121" spans="1:23" x14ac:dyDescent="0.2">
      <c r="B121" s="45" t="s">
        <v>291</v>
      </c>
      <c r="C121" s="118">
        <v>0.2</v>
      </c>
      <c r="D121" s="45" t="s">
        <v>466</v>
      </c>
      <c r="F121" s="177">
        <v>2</v>
      </c>
      <c r="L121" s="45" t="s">
        <v>598</v>
      </c>
      <c r="M121" s="407">
        <v>0.01</v>
      </c>
      <c r="N121" s="45" t="s">
        <v>643</v>
      </c>
      <c r="O121" s="5"/>
      <c r="P121" s="5"/>
      <c r="S121" s="108" t="s">
        <v>714</v>
      </c>
      <c r="T121" s="108"/>
      <c r="U121" s="156"/>
    </row>
    <row r="122" spans="1:23" x14ac:dyDescent="0.2">
      <c r="A122" s="303" t="s">
        <v>139</v>
      </c>
      <c r="B122" s="238"/>
      <c r="C122" s="319">
        <v>0.2</v>
      </c>
      <c r="D122" s="45" t="s">
        <v>466</v>
      </c>
      <c r="F122" s="177">
        <v>4</v>
      </c>
      <c r="L122" s="45" t="s">
        <v>599</v>
      </c>
      <c r="M122" s="29">
        <v>7.4999999999999997E-2</v>
      </c>
      <c r="N122" s="45" t="s">
        <v>669</v>
      </c>
      <c r="O122" s="156">
        <v>-0.05</v>
      </c>
      <c r="P122" s="45" t="s">
        <v>657</v>
      </c>
      <c r="S122" s="108" t="s">
        <v>720</v>
      </c>
      <c r="T122" s="108"/>
      <c r="U122" s="156"/>
      <c r="W122" s="156"/>
    </row>
    <row r="123" spans="1:23" x14ac:dyDescent="0.2">
      <c r="A123" s="303" t="s">
        <v>132</v>
      </c>
      <c r="B123" s="238"/>
      <c r="C123" s="319">
        <v>0.2</v>
      </c>
      <c r="D123" s="45" t="s">
        <v>467</v>
      </c>
      <c r="F123" s="177">
        <v>2</v>
      </c>
      <c r="M123"/>
      <c r="S123" s="108"/>
      <c r="T123" s="108"/>
    </row>
    <row r="124" spans="1:23" x14ac:dyDescent="0.2">
      <c r="A124" s="303" t="s">
        <v>1058</v>
      </c>
      <c r="B124" s="116" t="s">
        <v>292</v>
      </c>
      <c r="C124" s="319">
        <v>0.1</v>
      </c>
      <c r="D124" s="45" t="s">
        <v>295</v>
      </c>
      <c r="F124" s="177">
        <v>0</v>
      </c>
      <c r="L124" s="45" t="s">
        <v>600</v>
      </c>
      <c r="M124" s="2">
        <v>0.3</v>
      </c>
      <c r="N124" s="45" t="s">
        <v>658</v>
      </c>
      <c r="S124" s="108" t="s">
        <v>721</v>
      </c>
      <c r="T124" s="108"/>
      <c r="U124" s="156"/>
    </row>
    <row r="125" spans="1:23" x14ac:dyDescent="0.2">
      <c r="B125" s="45" t="s">
        <v>291</v>
      </c>
      <c r="C125" s="320">
        <v>0.1</v>
      </c>
      <c r="D125" s="45" t="s">
        <v>295</v>
      </c>
      <c r="F125" s="177">
        <v>0</v>
      </c>
      <c r="L125" s="45" t="s">
        <v>602</v>
      </c>
      <c r="M125">
        <v>1.25</v>
      </c>
      <c r="N125" s="45" t="s">
        <v>673</v>
      </c>
      <c r="S125" s="108" t="s">
        <v>725</v>
      </c>
      <c r="T125" s="108"/>
      <c r="U125" s="156"/>
    </row>
    <row r="126" spans="1:23" x14ac:dyDescent="0.2">
      <c r="A126" s="303" t="s">
        <v>461</v>
      </c>
      <c r="B126" s="238"/>
      <c r="C126" s="319">
        <v>0.2</v>
      </c>
      <c r="D126" s="45" t="s">
        <v>467</v>
      </c>
      <c r="F126" s="177">
        <v>3</v>
      </c>
      <c r="L126" s="45" t="s">
        <v>604</v>
      </c>
      <c r="M126" s="407">
        <v>-7.4999999999999997E-2</v>
      </c>
      <c r="N126" s="45" t="s">
        <v>657</v>
      </c>
      <c r="O126" s="157">
        <v>7.4999999999999997E-3</v>
      </c>
      <c r="P126" s="45" t="s">
        <v>747</v>
      </c>
      <c r="S126" s="108" t="s">
        <v>1051</v>
      </c>
      <c r="T126" s="108"/>
      <c r="U126" s="156"/>
    </row>
    <row r="127" spans="1:23" x14ac:dyDescent="0.2">
      <c r="A127" s="303" t="s">
        <v>332</v>
      </c>
      <c r="C127" s="177">
        <v>1</v>
      </c>
      <c r="D127" s="45" t="s">
        <v>463</v>
      </c>
      <c r="F127" s="177">
        <v>3</v>
      </c>
      <c r="L127" s="45" t="s">
        <v>605</v>
      </c>
      <c r="M127" s="407">
        <v>2.5000000000000001E-2</v>
      </c>
      <c r="N127" s="45" t="s">
        <v>660</v>
      </c>
      <c r="S127" s="108" t="s">
        <v>723</v>
      </c>
      <c r="T127" s="108"/>
      <c r="U127" s="157"/>
    </row>
    <row r="128" spans="1:23" x14ac:dyDescent="0.2">
      <c r="A128" s="303" t="s">
        <v>373</v>
      </c>
      <c r="B128" s="177" t="s">
        <v>465</v>
      </c>
      <c r="C128" s="116">
        <v>500</v>
      </c>
      <c r="D128" s="45" t="s">
        <v>464</v>
      </c>
      <c r="F128" s="177">
        <v>0</v>
      </c>
      <c r="L128" s="45" t="s">
        <v>606</v>
      </c>
      <c r="M128" s="407">
        <v>-2.5000000000000001E-2</v>
      </c>
      <c r="N128" s="45" t="s">
        <v>635</v>
      </c>
      <c r="O128" s="5">
        <v>2</v>
      </c>
      <c r="P128" s="5" t="s">
        <v>672</v>
      </c>
      <c r="S128" s="108" t="s">
        <v>724</v>
      </c>
      <c r="T128" s="108"/>
      <c r="U128" s="157"/>
    </row>
    <row r="129" spans="1:23" x14ac:dyDescent="0.2">
      <c r="A129" s="303" t="s">
        <v>356</v>
      </c>
      <c r="B129" s="177" t="s">
        <v>465</v>
      </c>
      <c r="C129" s="116">
        <v>300</v>
      </c>
      <c r="D129" s="45" t="s">
        <v>464</v>
      </c>
      <c r="F129" s="177">
        <v>3</v>
      </c>
      <c r="M129"/>
      <c r="S129" s="108"/>
      <c r="T129" s="108"/>
    </row>
    <row r="130" spans="1:23" x14ac:dyDescent="0.2">
      <c r="A130" s="303" t="s">
        <v>422</v>
      </c>
      <c r="B130" s="238"/>
      <c r="C130" s="118">
        <v>0.1</v>
      </c>
      <c r="D130" s="45" t="s">
        <v>497</v>
      </c>
      <c r="F130" s="177">
        <v>4</v>
      </c>
      <c r="L130" s="45" t="s">
        <v>608</v>
      </c>
      <c r="M130" s="2">
        <v>0.6</v>
      </c>
      <c r="N130" s="45" t="s">
        <v>748</v>
      </c>
      <c r="S130" s="108" t="s">
        <v>1052</v>
      </c>
      <c r="T130" s="108"/>
    </row>
    <row r="131" spans="1:23" x14ac:dyDescent="0.2">
      <c r="A131" s="303" t="s">
        <v>1123</v>
      </c>
      <c r="B131" s="45" t="s">
        <v>291</v>
      </c>
      <c r="C131" s="118">
        <v>0.1</v>
      </c>
      <c r="D131" s="45" t="s">
        <v>497</v>
      </c>
      <c r="F131" s="45">
        <v>1</v>
      </c>
      <c r="L131" s="45" t="s">
        <v>609</v>
      </c>
      <c r="M131" s="407">
        <v>-7.4999999999999997E-2</v>
      </c>
      <c r="N131" s="45" t="s">
        <v>657</v>
      </c>
      <c r="S131" s="108" t="s">
        <v>726</v>
      </c>
      <c r="T131" s="108"/>
      <c r="U131" s="157"/>
    </row>
    <row r="132" spans="1:23" x14ac:dyDescent="0.2">
      <c r="L132" s="45" t="s">
        <v>611</v>
      </c>
      <c r="M132">
        <v>2</v>
      </c>
      <c r="N132" s="45" t="s">
        <v>674</v>
      </c>
      <c r="S132" s="108" t="s">
        <v>727</v>
      </c>
      <c r="T132" s="108"/>
    </row>
    <row r="133" spans="1:23" x14ac:dyDescent="0.2">
      <c r="A133" s="302" t="s">
        <v>263</v>
      </c>
      <c r="L133" s="45" t="s">
        <v>613</v>
      </c>
      <c r="M133" s="2">
        <v>0.3</v>
      </c>
      <c r="N133" s="45" t="s">
        <v>661</v>
      </c>
      <c r="S133" s="108" t="s">
        <v>728</v>
      </c>
      <c r="T133" s="108"/>
      <c r="U133" s="156"/>
    </row>
    <row r="134" spans="1:23" x14ac:dyDescent="0.2">
      <c r="A134" s="303" t="s">
        <v>478</v>
      </c>
      <c r="B134" s="45">
        <v>20</v>
      </c>
      <c r="M134"/>
      <c r="S134" s="108"/>
      <c r="T134" s="108"/>
    </row>
    <row r="135" spans="1:23" x14ac:dyDescent="0.2">
      <c r="A135" s="303" t="s">
        <v>476</v>
      </c>
      <c r="B135" s="45">
        <v>0</v>
      </c>
      <c r="C135" s="45" t="s">
        <v>477</v>
      </c>
      <c r="L135" s="45" t="s">
        <v>614</v>
      </c>
      <c r="M135" s="2">
        <v>-0.15</v>
      </c>
      <c r="N135" s="45" t="s">
        <v>670</v>
      </c>
      <c r="O135" s="156">
        <v>-0.05</v>
      </c>
      <c r="P135" s="45" t="s">
        <v>648</v>
      </c>
      <c r="S135" s="108" t="s">
        <v>729</v>
      </c>
      <c r="T135" s="108"/>
      <c r="U135" s="156"/>
      <c r="W135" s="156"/>
    </row>
    <row r="136" spans="1:23" x14ac:dyDescent="0.2">
      <c r="L136" s="45" t="s">
        <v>616</v>
      </c>
      <c r="M136" s="407">
        <v>-0.05</v>
      </c>
      <c r="N136" s="45" t="s">
        <v>639</v>
      </c>
      <c r="S136" s="108" t="s">
        <v>730</v>
      </c>
      <c r="T136" s="108"/>
      <c r="U136" s="157"/>
    </row>
    <row r="137" spans="1:23" x14ac:dyDescent="0.2">
      <c r="A137" s="302" t="s">
        <v>749</v>
      </c>
      <c r="L137" s="45" t="s">
        <v>617</v>
      </c>
      <c r="M137" s="2">
        <v>-0.25</v>
      </c>
      <c r="N137" s="45" t="s">
        <v>662</v>
      </c>
      <c r="S137" s="108" t="s">
        <v>731</v>
      </c>
      <c r="T137" s="108"/>
      <c r="U137" s="156"/>
    </row>
    <row r="138" spans="1:23" x14ac:dyDescent="0.2">
      <c r="A138" s="303" t="s">
        <v>89</v>
      </c>
      <c r="B138" s="45" t="s">
        <v>3</v>
      </c>
      <c r="M138"/>
      <c r="S138" s="108"/>
      <c r="T138" s="108"/>
    </row>
    <row r="139" spans="1:23" x14ac:dyDescent="0.2">
      <c r="A139" s="303" t="s">
        <v>90</v>
      </c>
      <c r="B139" s="45" t="s">
        <v>3</v>
      </c>
      <c r="L139" s="45" t="s">
        <v>618</v>
      </c>
      <c r="M139" s="29">
        <v>7.4999999999999997E-2</v>
      </c>
      <c r="N139" s="45" t="s">
        <v>659</v>
      </c>
      <c r="S139" s="108" t="s">
        <v>722</v>
      </c>
      <c r="T139" s="108"/>
      <c r="U139" s="157"/>
    </row>
    <row r="140" spans="1:23" x14ac:dyDescent="0.2">
      <c r="A140" s="303" t="s">
        <v>91</v>
      </c>
      <c r="B140" s="45" t="s">
        <v>3</v>
      </c>
      <c r="L140" s="45" t="s">
        <v>620</v>
      </c>
      <c r="M140" s="407">
        <v>-7.4999999999999997E-2</v>
      </c>
      <c r="N140" s="45" t="s">
        <v>656</v>
      </c>
      <c r="S140" s="108" t="s">
        <v>732</v>
      </c>
      <c r="T140" s="108"/>
      <c r="U140" s="156"/>
    </row>
    <row r="141" spans="1:23" x14ac:dyDescent="0.2">
      <c r="A141" s="303" t="s">
        <v>92</v>
      </c>
      <c r="B141" s="45" t="s">
        <v>12</v>
      </c>
      <c r="M141"/>
    </row>
    <row r="142" spans="1:23" x14ac:dyDescent="0.2">
      <c r="A142" s="303" t="s">
        <v>93</v>
      </c>
      <c r="B142" s="45" t="s">
        <v>3</v>
      </c>
      <c r="L142" s="45" t="s">
        <v>621</v>
      </c>
      <c r="M142" s="2">
        <v>-0.05</v>
      </c>
      <c r="N142" s="45" t="s">
        <v>657</v>
      </c>
      <c r="S142" s="45" t="s">
        <v>733</v>
      </c>
      <c r="U142" s="156"/>
    </row>
    <row r="143" spans="1:23" x14ac:dyDescent="0.2">
      <c r="A143" s="303" t="s">
        <v>94</v>
      </c>
      <c r="B143" s="45" t="s">
        <v>3</v>
      </c>
    </row>
    <row r="144" spans="1:23" x14ac:dyDescent="0.2">
      <c r="A144" s="303" t="s">
        <v>95</v>
      </c>
      <c r="B144" s="45" t="s">
        <v>3</v>
      </c>
      <c r="L144" s="45" t="b">
        <f>OR(race=L145,race=L146,race=L147,race=L148)</f>
        <v>0</v>
      </c>
      <c r="M144" s="45">
        <f>IF(L144=FALSE,1,2)</f>
        <v>1</v>
      </c>
    </row>
    <row r="145" spans="1:13" x14ac:dyDescent="0.2">
      <c r="A145" s="303" t="s">
        <v>96</v>
      </c>
      <c r="B145" s="45" t="s">
        <v>7</v>
      </c>
      <c r="L145" s="45" t="s">
        <v>97</v>
      </c>
    </row>
    <row r="146" spans="1:13" x14ac:dyDescent="0.2">
      <c r="A146" s="303" t="s">
        <v>97</v>
      </c>
      <c r="B146" s="45" t="s">
        <v>3</v>
      </c>
      <c r="L146" s="45" t="s">
        <v>102</v>
      </c>
    </row>
    <row r="147" spans="1:13" x14ac:dyDescent="0.2">
      <c r="A147" s="303" t="s">
        <v>29</v>
      </c>
      <c r="B147" s="45" t="s">
        <v>3</v>
      </c>
      <c r="L147" s="108" t="s">
        <v>342</v>
      </c>
      <c r="M147" s="156"/>
    </row>
    <row r="148" spans="1:13" x14ac:dyDescent="0.2">
      <c r="A148" s="303" t="s">
        <v>99</v>
      </c>
      <c r="B148" s="45" t="s">
        <v>3</v>
      </c>
      <c r="L148" s="108" t="s">
        <v>1106</v>
      </c>
    </row>
    <row r="149" spans="1:13" x14ac:dyDescent="0.2">
      <c r="A149" s="303" t="s">
        <v>100</v>
      </c>
      <c r="B149" s="45" t="s">
        <v>12</v>
      </c>
      <c r="L149" s="108"/>
      <c r="M149" s="156"/>
    </row>
    <row r="150" spans="1:13" x14ac:dyDescent="0.2">
      <c r="A150" s="303" t="s">
        <v>101</v>
      </c>
      <c r="B150" s="45" t="s">
        <v>12</v>
      </c>
    </row>
    <row r="151" spans="1:13" x14ac:dyDescent="0.2">
      <c r="A151" s="303" t="s">
        <v>102</v>
      </c>
      <c r="B151" s="45" t="s">
        <v>3</v>
      </c>
    </row>
    <row r="152" spans="1:13" x14ac:dyDescent="0.2">
      <c r="A152" s="303" t="s">
        <v>103</v>
      </c>
      <c r="B152" s="45" t="s">
        <v>3</v>
      </c>
    </row>
    <row r="153" spans="1:13" x14ac:dyDescent="0.2">
      <c r="A153" s="303" t="s">
        <v>104</v>
      </c>
      <c r="B153" s="45" t="s">
        <v>3</v>
      </c>
    </row>
    <row r="154" spans="1:13" x14ac:dyDescent="0.2">
      <c r="A154" s="303" t="s">
        <v>328</v>
      </c>
      <c r="B154" s="45" t="s">
        <v>3</v>
      </c>
    </row>
    <row r="155" spans="1:13" x14ac:dyDescent="0.2">
      <c r="A155" s="303" t="s">
        <v>342</v>
      </c>
      <c r="B155" s="45" t="s">
        <v>3</v>
      </c>
    </row>
    <row r="156" spans="1:13" x14ac:dyDescent="0.2">
      <c r="A156" s="303" t="s">
        <v>143</v>
      </c>
      <c r="B156" s="45" t="s">
        <v>7</v>
      </c>
    </row>
    <row r="157" spans="1:13" x14ac:dyDescent="0.2">
      <c r="A157" s="303" t="s">
        <v>498</v>
      </c>
      <c r="B157" s="45" t="s">
        <v>12</v>
      </c>
    </row>
    <row r="158" spans="1:13" x14ac:dyDescent="0.2">
      <c r="A158" s="303" t="s">
        <v>1106</v>
      </c>
      <c r="B158" s="45" t="s">
        <v>12</v>
      </c>
    </row>
    <row r="159" spans="1:13" x14ac:dyDescent="0.2">
      <c r="A159" s="303" t="s">
        <v>1122</v>
      </c>
      <c r="B159" s="45" t="s">
        <v>12</v>
      </c>
    </row>
    <row r="161" spans="1:5" x14ac:dyDescent="0.2">
      <c r="A161" s="303" t="s">
        <v>1038</v>
      </c>
    </row>
    <row r="162" spans="1:5" x14ac:dyDescent="0.2">
      <c r="A162" s="303" t="s">
        <v>2</v>
      </c>
      <c r="B162" s="45">
        <v>1</v>
      </c>
    </row>
    <row r="163" spans="1:5" x14ac:dyDescent="0.2">
      <c r="A163" s="303" t="s">
        <v>7</v>
      </c>
      <c r="B163" s="45">
        <v>2</v>
      </c>
    </row>
    <row r="164" spans="1:5" x14ac:dyDescent="0.2">
      <c r="A164" s="303" t="s">
        <v>3</v>
      </c>
      <c r="B164" s="45">
        <v>2</v>
      </c>
    </row>
    <row r="165" spans="1:5" x14ac:dyDescent="0.2">
      <c r="A165" s="303" t="s">
        <v>4</v>
      </c>
      <c r="B165" s="45">
        <v>12</v>
      </c>
    </row>
    <row r="167" spans="1:5" x14ac:dyDescent="0.2">
      <c r="A167" s="302" t="s">
        <v>1039</v>
      </c>
    </row>
    <row r="168" spans="1:5" x14ac:dyDescent="0.2">
      <c r="A168" s="303" t="s">
        <v>277</v>
      </c>
      <c r="B168" s="156">
        <v>0.75</v>
      </c>
    </row>
    <row r="170" spans="1:5" x14ac:dyDescent="0.2">
      <c r="A170" s="302" t="s">
        <v>1095</v>
      </c>
    </row>
    <row r="171" spans="1:5" x14ac:dyDescent="0.2">
      <c r="A171" s="303" t="s">
        <v>452</v>
      </c>
      <c r="B171" s="45">
        <v>0</v>
      </c>
    </row>
    <row r="173" spans="1:5" x14ac:dyDescent="0.2">
      <c r="A173" s="302" t="s">
        <v>1120</v>
      </c>
      <c r="E173" s="45" t="s">
        <v>462</v>
      </c>
    </row>
    <row r="174" spans="1:5" x14ac:dyDescent="0.2">
      <c r="A174" s="303" t="s">
        <v>1118</v>
      </c>
      <c r="B174" s="45" t="s">
        <v>7</v>
      </c>
      <c r="C174" s="319">
        <v>0.2</v>
      </c>
      <c r="D174" s="45" t="s">
        <v>466</v>
      </c>
      <c r="E174" s="45">
        <v>1</v>
      </c>
    </row>
    <row r="176" spans="1:5" x14ac:dyDescent="0.2">
      <c r="A176" s="302" t="s">
        <v>1144</v>
      </c>
      <c r="B176" s="45">
        <v>350</v>
      </c>
    </row>
  </sheetData>
  <phoneticPr fontId="0" type="noConversion"/>
  <conditionalFormatting sqref="J25:L25">
    <cfRule type="expression" dxfId="34" priority="1" stopIfTrue="1">
      <formula>$A$1274&lt;0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42"/>
  <sheetViews>
    <sheetView zoomScale="85" zoomScaleNormal="85" workbookViewId="0">
      <pane ySplit="4" topLeftCell="A5" activePane="bottomLeft" state="frozenSplit"/>
      <selection pane="bottomLeft" activeCell="A5" sqref="A5"/>
    </sheetView>
  </sheetViews>
  <sheetFormatPr defaultColWidth="9.140625" defaultRowHeight="19.5" customHeight="1" x14ac:dyDescent="0.2"/>
  <cols>
    <col min="1" max="1" width="15.7109375" style="350" bestFit="1" customWidth="1"/>
    <col min="2" max="2" width="13.85546875" style="275" customWidth="1"/>
    <col min="3" max="3" width="14.42578125" style="275" customWidth="1"/>
    <col min="4" max="4" width="14.140625" style="275" customWidth="1"/>
    <col min="5" max="7" width="14.140625" style="93" customWidth="1"/>
    <col min="8" max="9" width="14.140625" style="275" customWidth="1"/>
    <col min="10" max="23" width="7" style="275" customWidth="1"/>
    <col min="24" max="24" width="7" style="354" customWidth="1"/>
    <col min="25" max="26" width="7" style="275" customWidth="1"/>
    <col min="27" max="16384" width="9.140625" style="275"/>
  </cols>
  <sheetData>
    <row r="1" spans="1:27" s="321" customFormat="1" ht="19.5" customHeight="1" x14ac:dyDescent="0.2">
      <c r="A1" s="321" t="s">
        <v>281</v>
      </c>
      <c r="E1" s="322"/>
      <c r="F1" s="322"/>
      <c r="G1" s="322"/>
      <c r="X1" s="323"/>
    </row>
    <row r="2" spans="1:27" ht="19.5" customHeight="1" x14ac:dyDescent="0.2">
      <c r="A2" s="275"/>
      <c r="X2" s="324"/>
    </row>
    <row r="3" spans="1:27" s="321" customFormat="1" ht="19.5" customHeight="1" x14ac:dyDescent="0.2">
      <c r="A3" s="321" t="s">
        <v>36</v>
      </c>
      <c r="D3" s="321" t="s">
        <v>38</v>
      </c>
      <c r="E3" s="322"/>
      <c r="F3" s="322"/>
      <c r="G3" s="322"/>
      <c r="J3" s="321" t="s">
        <v>37</v>
      </c>
      <c r="X3" s="323"/>
    </row>
    <row r="4" spans="1:27" ht="87" customHeight="1" x14ac:dyDescent="0.2">
      <c r="A4" s="321" t="s">
        <v>28</v>
      </c>
      <c r="B4" s="321" t="s">
        <v>35</v>
      </c>
      <c r="C4" s="321" t="s">
        <v>754</v>
      </c>
      <c r="D4" s="321" t="s">
        <v>755</v>
      </c>
      <c r="E4" s="322" t="s">
        <v>756</v>
      </c>
      <c r="F4" s="322" t="s">
        <v>757</v>
      </c>
      <c r="G4" s="322" t="s">
        <v>758</v>
      </c>
      <c r="H4" s="325" t="s">
        <v>759</v>
      </c>
      <c r="I4" s="325" t="s">
        <v>230</v>
      </c>
      <c r="J4" s="409" t="s">
        <v>163</v>
      </c>
      <c r="K4" s="409" t="s">
        <v>105</v>
      </c>
      <c r="L4" s="409" t="s">
        <v>160</v>
      </c>
      <c r="M4" s="409" t="s">
        <v>107</v>
      </c>
      <c r="N4" s="409" t="s">
        <v>108</v>
      </c>
      <c r="O4" s="409" t="s">
        <v>109</v>
      </c>
      <c r="P4" s="409" t="s">
        <v>110</v>
      </c>
      <c r="Q4" s="409" t="s">
        <v>111</v>
      </c>
      <c r="R4" s="409" t="s">
        <v>112</v>
      </c>
      <c r="S4" s="409" t="s">
        <v>32</v>
      </c>
      <c r="T4" s="409" t="s">
        <v>31</v>
      </c>
      <c r="U4" s="410" t="s">
        <v>161</v>
      </c>
      <c r="V4" s="409" t="s">
        <v>162</v>
      </c>
      <c r="W4" s="409" t="s">
        <v>437</v>
      </c>
      <c r="X4" s="409" t="s">
        <v>486</v>
      </c>
      <c r="Y4" s="409" t="s">
        <v>487</v>
      </c>
      <c r="Z4" s="409" t="s">
        <v>524</v>
      </c>
      <c r="AA4" s="409" t="s">
        <v>1057</v>
      </c>
    </row>
    <row r="5" spans="1:27" s="332" customFormat="1" ht="19.5" customHeight="1" x14ac:dyDescent="0.2">
      <c r="A5" s="275" t="s">
        <v>89</v>
      </c>
      <c r="B5" s="326" t="s">
        <v>98</v>
      </c>
      <c r="C5" s="275" t="s">
        <v>243</v>
      </c>
      <c r="D5" s="327" t="s">
        <v>113</v>
      </c>
      <c r="E5" s="93">
        <v>3</v>
      </c>
      <c r="F5" s="93"/>
      <c r="G5" s="93">
        <v>315</v>
      </c>
      <c r="H5" s="275">
        <v>25</v>
      </c>
      <c r="I5" s="326">
        <v>5</v>
      </c>
      <c r="J5" s="328"/>
      <c r="K5" s="329"/>
      <c r="L5" s="329"/>
      <c r="M5" s="329">
        <v>0.05</v>
      </c>
      <c r="N5" s="329"/>
      <c r="O5" s="329"/>
      <c r="P5" s="329"/>
      <c r="Q5" s="329"/>
      <c r="R5" s="329"/>
      <c r="S5" s="329"/>
      <c r="T5" s="329"/>
      <c r="U5" s="329"/>
      <c r="V5" s="329"/>
      <c r="W5" s="93"/>
      <c r="X5" s="330"/>
      <c r="Y5" s="93"/>
      <c r="Z5" s="93"/>
      <c r="AA5" s="331"/>
    </row>
    <row r="6" spans="1:27" ht="19.5" customHeight="1" x14ac:dyDescent="0.2">
      <c r="A6" s="275" t="s">
        <v>89</v>
      </c>
      <c r="B6" s="326" t="s">
        <v>98</v>
      </c>
      <c r="C6" s="275" t="s">
        <v>243</v>
      </c>
      <c r="D6" s="327" t="s">
        <v>114</v>
      </c>
      <c r="F6" s="93">
        <v>3</v>
      </c>
      <c r="G6" s="93">
        <v>275</v>
      </c>
      <c r="H6" s="275">
        <v>15</v>
      </c>
      <c r="I6" s="326">
        <v>5</v>
      </c>
      <c r="J6" s="328"/>
      <c r="K6" s="329"/>
      <c r="L6" s="329"/>
      <c r="M6" s="329"/>
      <c r="N6" s="329"/>
      <c r="O6" s="329"/>
      <c r="P6" s="329"/>
      <c r="Q6" s="329"/>
      <c r="R6" s="329"/>
      <c r="S6" s="329"/>
      <c r="T6" s="329"/>
      <c r="U6" s="329"/>
      <c r="V6" s="329"/>
      <c r="W6" s="93"/>
      <c r="X6" s="330"/>
      <c r="Y6" s="93"/>
      <c r="Z6" s="93"/>
      <c r="AA6" s="331"/>
    </row>
    <row r="7" spans="1:27" ht="19.5" customHeight="1" x14ac:dyDescent="0.2">
      <c r="A7" s="275" t="s">
        <v>89</v>
      </c>
      <c r="B7" s="326" t="s">
        <v>98</v>
      </c>
      <c r="C7" s="275" t="s">
        <v>243</v>
      </c>
      <c r="D7" s="327" t="s">
        <v>115</v>
      </c>
      <c r="E7" s="93">
        <v>2</v>
      </c>
      <c r="F7" s="93">
        <v>6</v>
      </c>
      <c r="G7" s="93">
        <v>1040</v>
      </c>
      <c r="H7" s="275">
        <v>75</v>
      </c>
      <c r="I7" s="326">
        <f>2*MAX(TblRaces[[#This Row],[OffensePwr]:[DefensePwr]])</f>
        <v>12</v>
      </c>
      <c r="J7" s="328"/>
      <c r="K7" s="329"/>
      <c r="L7" s="329"/>
      <c r="M7" s="329"/>
      <c r="N7" s="329"/>
      <c r="O7" s="329"/>
      <c r="P7" s="329"/>
      <c r="Q7" s="329"/>
      <c r="R7" s="329"/>
      <c r="S7" s="329"/>
      <c r="T7" s="329"/>
      <c r="U7" s="329"/>
      <c r="V7" s="329"/>
      <c r="W7" s="93"/>
      <c r="X7" s="330"/>
      <c r="Y7" s="93"/>
      <c r="Z7" s="93"/>
      <c r="AA7" s="331"/>
    </row>
    <row r="8" spans="1:27" s="335" customFormat="1" ht="19.5" customHeight="1" x14ac:dyDescent="0.2">
      <c r="A8" s="275" t="s">
        <v>89</v>
      </c>
      <c r="B8" s="326" t="s">
        <v>98</v>
      </c>
      <c r="C8" s="275" t="s">
        <v>243</v>
      </c>
      <c r="D8" s="333" t="s">
        <v>116</v>
      </c>
      <c r="E8" s="334">
        <v>6</v>
      </c>
      <c r="F8" s="334">
        <v>3</v>
      </c>
      <c r="G8" s="334">
        <v>1280</v>
      </c>
      <c r="H8" s="335">
        <v>100</v>
      </c>
      <c r="I8" s="326">
        <f>2*MAX(TblRaces[[#This Row],[OffensePwr]:[DefensePwr]])</f>
        <v>12</v>
      </c>
      <c r="J8" s="336"/>
      <c r="K8" s="337"/>
      <c r="L8" s="337"/>
      <c r="M8" s="337"/>
      <c r="N8" s="337"/>
      <c r="O8" s="337"/>
      <c r="P8" s="337"/>
      <c r="Q8" s="337"/>
      <c r="R8" s="337"/>
      <c r="S8" s="337"/>
      <c r="T8" s="337"/>
      <c r="U8" s="337"/>
      <c r="V8" s="337"/>
      <c r="W8" s="334"/>
      <c r="X8" s="338"/>
      <c r="Y8" s="334"/>
      <c r="Z8" s="334"/>
      <c r="AA8" s="339"/>
    </row>
    <row r="9" spans="1:27" s="332" customFormat="1" ht="19.5" customHeight="1" x14ac:dyDescent="0.2">
      <c r="A9" s="332" t="s">
        <v>90</v>
      </c>
      <c r="B9" s="340" t="s">
        <v>30</v>
      </c>
      <c r="C9" s="332" t="s">
        <v>243</v>
      </c>
      <c r="D9" s="341" t="s">
        <v>1060</v>
      </c>
      <c r="E9" s="342">
        <v>3</v>
      </c>
      <c r="F9" s="342"/>
      <c r="G9" s="342">
        <v>370</v>
      </c>
      <c r="H9" s="332">
        <v>25</v>
      </c>
      <c r="I9" s="340">
        <v>5</v>
      </c>
      <c r="J9" s="343"/>
      <c r="K9" s="344"/>
      <c r="L9" s="344"/>
      <c r="M9" s="344"/>
      <c r="N9" s="344"/>
      <c r="O9" s="344"/>
      <c r="P9" s="344"/>
      <c r="Q9" s="344"/>
      <c r="R9" s="344"/>
      <c r="S9" s="344"/>
      <c r="T9" s="344"/>
      <c r="U9" s="344"/>
      <c r="V9" s="344"/>
      <c r="W9" s="93"/>
      <c r="X9" s="330"/>
      <c r="Y9" s="344">
        <v>0.1</v>
      </c>
      <c r="Z9" s="342"/>
      <c r="AA9" s="331"/>
    </row>
    <row r="10" spans="1:27" ht="19.5" customHeight="1" x14ac:dyDescent="0.2">
      <c r="A10" s="275" t="s">
        <v>90</v>
      </c>
      <c r="B10" s="326" t="s">
        <v>30</v>
      </c>
      <c r="C10" s="275" t="s">
        <v>243</v>
      </c>
      <c r="D10" s="327" t="s">
        <v>117</v>
      </c>
      <c r="F10" s="93">
        <v>3</v>
      </c>
      <c r="G10" s="93">
        <v>285</v>
      </c>
      <c r="H10" s="275">
        <v>15</v>
      </c>
      <c r="I10" s="326">
        <v>5</v>
      </c>
      <c r="J10" s="328"/>
      <c r="K10" s="329"/>
      <c r="L10" s="329"/>
      <c r="M10" s="329"/>
      <c r="N10" s="329"/>
      <c r="O10" s="329"/>
      <c r="P10" s="329"/>
      <c r="Q10" s="329"/>
      <c r="R10" s="329"/>
      <c r="S10" s="329"/>
      <c r="T10" s="329"/>
      <c r="U10" s="329"/>
      <c r="V10" s="329"/>
      <c r="W10" s="93"/>
      <c r="X10" s="330"/>
      <c r="Y10" s="93"/>
      <c r="Z10" s="93"/>
      <c r="AA10" s="331"/>
    </row>
    <row r="11" spans="1:27" ht="19.5" customHeight="1" x14ac:dyDescent="0.2">
      <c r="A11" s="275" t="s">
        <v>90</v>
      </c>
      <c r="B11" s="326" t="s">
        <v>30</v>
      </c>
      <c r="C11" s="275" t="s">
        <v>243</v>
      </c>
      <c r="D11" s="327" t="s">
        <v>118</v>
      </c>
      <c r="E11" s="93">
        <v>2</v>
      </c>
      <c r="F11" s="93">
        <v>5</v>
      </c>
      <c r="G11" s="93">
        <v>1000</v>
      </c>
      <c r="H11" s="275">
        <v>25</v>
      </c>
      <c r="I11" s="326">
        <f>2*MAX(TblRaces[[#This Row],[OffensePwr]:[DefensePwr]])</f>
        <v>10</v>
      </c>
      <c r="J11" s="328"/>
      <c r="K11" s="329"/>
      <c r="L11" s="329"/>
      <c r="M11" s="329"/>
      <c r="N11" s="329"/>
      <c r="O11" s="329"/>
      <c r="P11" s="329"/>
      <c r="Q11" s="329"/>
      <c r="R11" s="329"/>
      <c r="S11" s="329"/>
      <c r="T11" s="329"/>
      <c r="U11" s="329"/>
      <c r="V11" s="329"/>
      <c r="W11" s="93"/>
      <c r="X11" s="330"/>
      <c r="Y11" s="93"/>
      <c r="Z11" s="93"/>
      <c r="AA11" s="331"/>
    </row>
    <row r="12" spans="1:27" ht="19.5" customHeight="1" x14ac:dyDescent="0.2">
      <c r="A12" s="275" t="s">
        <v>90</v>
      </c>
      <c r="B12" s="326" t="s">
        <v>30</v>
      </c>
      <c r="C12" s="275" t="s">
        <v>243</v>
      </c>
      <c r="D12" s="327" t="s">
        <v>1061</v>
      </c>
      <c r="E12" s="93">
        <v>6</v>
      </c>
      <c r="F12" s="93">
        <v>3</v>
      </c>
      <c r="G12" s="93">
        <v>1150</v>
      </c>
      <c r="H12" s="275">
        <v>40</v>
      </c>
      <c r="I12" s="326">
        <f>2*MAX(TblRaces[[#This Row],[OffensePwr]:[DefensePwr]])</f>
        <v>12</v>
      </c>
      <c r="J12" s="328"/>
      <c r="K12" s="329"/>
      <c r="L12" s="329"/>
      <c r="M12" s="329"/>
      <c r="N12" s="329"/>
      <c r="O12" s="329"/>
      <c r="P12" s="329"/>
      <c r="Q12" s="329"/>
      <c r="R12" s="329"/>
      <c r="S12" s="329"/>
      <c r="T12" s="329"/>
      <c r="U12" s="329"/>
      <c r="V12" s="329"/>
      <c r="W12" s="334"/>
      <c r="X12" s="338"/>
      <c r="Y12" s="93"/>
      <c r="Z12" s="93"/>
      <c r="AA12" s="339"/>
    </row>
    <row r="13" spans="1:27" s="332" customFormat="1" ht="19.5" customHeight="1" x14ac:dyDescent="0.2">
      <c r="A13" s="332" t="s">
        <v>91</v>
      </c>
      <c r="B13" s="340" t="s">
        <v>98</v>
      </c>
      <c r="C13" s="332" t="s">
        <v>245</v>
      </c>
      <c r="D13" s="341" t="s">
        <v>119</v>
      </c>
      <c r="E13" s="342">
        <v>3</v>
      </c>
      <c r="F13" s="342"/>
      <c r="G13" s="342">
        <v>315</v>
      </c>
      <c r="H13" s="332">
        <v>25</v>
      </c>
      <c r="I13" s="340">
        <v>5</v>
      </c>
      <c r="J13" s="343">
        <v>7.4999999999999997E-2</v>
      </c>
      <c r="K13" s="344"/>
      <c r="L13" s="344"/>
      <c r="M13" s="344"/>
      <c r="N13" s="344"/>
      <c r="O13" s="344"/>
      <c r="P13" s="344">
        <v>0.1</v>
      </c>
      <c r="Q13" s="344"/>
      <c r="R13" s="344"/>
      <c r="S13" s="344"/>
      <c r="T13" s="344"/>
      <c r="U13" s="344"/>
      <c r="V13" s="344"/>
      <c r="W13" s="329"/>
      <c r="X13" s="330"/>
      <c r="Y13" s="342"/>
      <c r="Z13" s="342"/>
      <c r="AA13" s="331"/>
    </row>
    <row r="14" spans="1:27" ht="19.5" customHeight="1" x14ac:dyDescent="0.2">
      <c r="A14" s="275" t="s">
        <v>91</v>
      </c>
      <c r="B14" s="326" t="s">
        <v>98</v>
      </c>
      <c r="C14" s="275" t="s">
        <v>245</v>
      </c>
      <c r="D14" s="327" t="s">
        <v>120</v>
      </c>
      <c r="F14" s="93">
        <v>3</v>
      </c>
      <c r="G14" s="93">
        <v>335</v>
      </c>
      <c r="H14" s="275">
        <v>20</v>
      </c>
      <c r="I14" s="326">
        <v>5</v>
      </c>
      <c r="J14" s="328"/>
      <c r="K14" s="329"/>
      <c r="L14" s="329"/>
      <c r="M14" s="329"/>
      <c r="N14" s="329"/>
      <c r="O14" s="329"/>
      <c r="P14" s="329"/>
      <c r="Q14" s="329"/>
      <c r="R14" s="329"/>
      <c r="S14" s="329"/>
      <c r="T14" s="329"/>
      <c r="U14" s="329"/>
      <c r="V14" s="329"/>
      <c r="W14" s="93"/>
      <c r="X14" s="330"/>
      <c r="Y14" s="93"/>
      <c r="Z14" s="93"/>
      <c r="AA14" s="331"/>
    </row>
    <row r="15" spans="1:27" ht="19.5" customHeight="1" x14ac:dyDescent="0.2">
      <c r="A15" s="275" t="s">
        <v>91</v>
      </c>
      <c r="B15" s="326" t="s">
        <v>98</v>
      </c>
      <c r="C15" s="275" t="s">
        <v>245</v>
      </c>
      <c r="D15" s="327" t="s">
        <v>121</v>
      </c>
      <c r="E15" s="93">
        <v>4</v>
      </c>
      <c r="F15" s="93">
        <v>4.5</v>
      </c>
      <c r="G15" s="93">
        <v>900</v>
      </c>
      <c r="H15" s="275">
        <v>0</v>
      </c>
      <c r="I15" s="326">
        <f>2*MAX(TblRaces[[#This Row],[OffensePwr]:[DefensePwr]])</f>
        <v>9</v>
      </c>
      <c r="J15" s="328"/>
      <c r="K15" s="329"/>
      <c r="L15" s="329"/>
      <c r="M15" s="329"/>
      <c r="N15" s="329"/>
      <c r="O15" s="329"/>
      <c r="P15" s="329"/>
      <c r="Q15" s="329"/>
      <c r="R15" s="329"/>
      <c r="S15" s="329"/>
      <c r="T15" s="329"/>
      <c r="U15" s="329"/>
      <c r="V15" s="329"/>
      <c r="W15" s="93"/>
      <c r="X15" s="330"/>
      <c r="Y15" s="93"/>
      <c r="Z15" s="93"/>
      <c r="AA15" s="331"/>
    </row>
    <row r="16" spans="1:27" s="335" customFormat="1" ht="19.5" customHeight="1" x14ac:dyDescent="0.2">
      <c r="A16" s="335" t="s">
        <v>91</v>
      </c>
      <c r="B16" s="345" t="s">
        <v>98</v>
      </c>
      <c r="C16" s="335" t="s">
        <v>245</v>
      </c>
      <c r="D16" s="333" t="s">
        <v>122</v>
      </c>
      <c r="E16" s="334">
        <v>7</v>
      </c>
      <c r="F16" s="334">
        <v>2</v>
      </c>
      <c r="G16" s="334">
        <v>1215</v>
      </c>
      <c r="H16" s="335">
        <v>85</v>
      </c>
      <c r="I16" s="326">
        <f>2*MAX(TblRaces[[#This Row],[OffensePwr]:[DefensePwr]])</f>
        <v>14</v>
      </c>
      <c r="J16" s="336"/>
      <c r="K16" s="337"/>
      <c r="L16" s="337"/>
      <c r="M16" s="337"/>
      <c r="N16" s="337"/>
      <c r="O16" s="337"/>
      <c r="P16" s="337"/>
      <c r="Q16" s="337"/>
      <c r="R16" s="337"/>
      <c r="S16" s="337"/>
      <c r="T16" s="337"/>
      <c r="U16" s="337"/>
      <c r="V16" s="337"/>
      <c r="W16" s="334"/>
      <c r="X16" s="338"/>
      <c r="Y16" s="334"/>
      <c r="Z16" s="334"/>
      <c r="AA16" s="339"/>
    </row>
    <row r="17" spans="1:27" s="332" customFormat="1" ht="19.5" customHeight="1" x14ac:dyDescent="0.2">
      <c r="A17" s="332" t="s">
        <v>92</v>
      </c>
      <c r="B17" s="340" t="s">
        <v>98</v>
      </c>
      <c r="C17" s="332" t="s">
        <v>58</v>
      </c>
      <c r="D17" s="341" t="s">
        <v>123</v>
      </c>
      <c r="E17" s="342">
        <v>3</v>
      </c>
      <c r="F17" s="342"/>
      <c r="G17" s="342">
        <v>300</v>
      </c>
      <c r="H17" s="332">
        <v>0</v>
      </c>
      <c r="I17" s="340">
        <v>5</v>
      </c>
      <c r="J17" s="343">
        <v>-0.05</v>
      </c>
      <c r="K17" s="344"/>
      <c r="L17" s="344"/>
      <c r="M17" s="344"/>
      <c r="N17" s="344"/>
      <c r="O17" s="344"/>
      <c r="P17" s="344"/>
      <c r="Q17" s="344"/>
      <c r="R17" s="344"/>
      <c r="S17" s="344"/>
      <c r="T17" s="343"/>
      <c r="U17" s="344"/>
      <c r="V17" s="344"/>
      <c r="W17" s="93"/>
      <c r="X17" s="330"/>
      <c r="Y17" s="342"/>
      <c r="Z17" s="342"/>
      <c r="AA17" s="331"/>
    </row>
    <row r="18" spans="1:27" ht="19.5" customHeight="1" x14ac:dyDescent="0.2">
      <c r="A18" s="275" t="s">
        <v>92</v>
      </c>
      <c r="B18" s="326" t="s">
        <v>98</v>
      </c>
      <c r="C18" s="275" t="s">
        <v>58</v>
      </c>
      <c r="D18" s="327" t="s">
        <v>1118</v>
      </c>
      <c r="F18" s="93">
        <v>3</v>
      </c>
      <c r="G18" s="93">
        <v>275</v>
      </c>
      <c r="H18" s="275">
        <v>10</v>
      </c>
      <c r="I18" s="326">
        <v>5</v>
      </c>
      <c r="J18" s="328"/>
      <c r="K18" s="329"/>
      <c r="L18" s="329"/>
      <c r="M18" s="329"/>
      <c r="N18" s="329"/>
      <c r="O18" s="329"/>
      <c r="P18" s="329"/>
      <c r="Q18" s="329"/>
      <c r="R18" s="329"/>
      <c r="S18" s="329"/>
      <c r="T18" s="329"/>
      <c r="U18" s="329"/>
      <c r="V18" s="329"/>
      <c r="W18" s="93"/>
      <c r="X18" s="330"/>
      <c r="Y18" s="93"/>
      <c r="Z18" s="93"/>
      <c r="AA18" s="331"/>
    </row>
    <row r="19" spans="1:27" ht="19.5" customHeight="1" x14ac:dyDescent="0.2">
      <c r="A19" s="275" t="s">
        <v>92</v>
      </c>
      <c r="B19" s="326" t="s">
        <v>98</v>
      </c>
      <c r="C19" s="275" t="s">
        <v>58</v>
      </c>
      <c r="D19" s="327" t="s">
        <v>124</v>
      </c>
      <c r="E19" s="93">
        <v>0</v>
      </c>
      <c r="F19" s="93">
        <v>5</v>
      </c>
      <c r="G19" s="93">
        <v>1275</v>
      </c>
      <c r="H19" s="275">
        <v>0</v>
      </c>
      <c r="I19" s="326">
        <f>2*MAX(TblRaces[[#This Row],[OffensePwr]:[DefensePwr]])</f>
        <v>10</v>
      </c>
      <c r="J19" s="328"/>
      <c r="K19" s="329"/>
      <c r="L19" s="329"/>
      <c r="M19" s="329"/>
      <c r="N19" s="329"/>
      <c r="O19" s="329"/>
      <c r="P19" s="329"/>
      <c r="Q19" s="329"/>
      <c r="R19" s="329"/>
      <c r="S19" s="329"/>
      <c r="T19" s="329"/>
      <c r="U19" s="329"/>
      <c r="V19" s="329"/>
      <c r="W19" s="93"/>
      <c r="X19" s="330"/>
      <c r="Y19" s="93"/>
      <c r="Z19" s="93"/>
      <c r="AA19" s="331"/>
    </row>
    <row r="20" spans="1:27" s="335" customFormat="1" ht="19.5" customHeight="1" x14ac:dyDescent="0.2">
      <c r="A20" s="335" t="s">
        <v>92</v>
      </c>
      <c r="B20" s="345" t="s">
        <v>98</v>
      </c>
      <c r="C20" s="335" t="s">
        <v>58</v>
      </c>
      <c r="D20" s="333" t="s">
        <v>125</v>
      </c>
      <c r="E20" s="334">
        <v>4</v>
      </c>
      <c r="F20" s="334">
        <v>2</v>
      </c>
      <c r="G20" s="334">
        <v>1050</v>
      </c>
      <c r="H20" s="335">
        <v>0</v>
      </c>
      <c r="I20" s="326">
        <f>2*MAX(TblRaces[[#This Row],[OffensePwr]:[DefensePwr]])</f>
        <v>8</v>
      </c>
      <c r="J20" s="336"/>
      <c r="K20" s="337"/>
      <c r="L20" s="337"/>
      <c r="M20" s="337"/>
      <c r="N20" s="337"/>
      <c r="O20" s="337"/>
      <c r="P20" s="337"/>
      <c r="Q20" s="337"/>
      <c r="R20" s="337"/>
      <c r="S20" s="337"/>
      <c r="T20" s="337"/>
      <c r="U20" s="337"/>
      <c r="V20" s="337"/>
      <c r="W20" s="334"/>
      <c r="X20" s="338"/>
      <c r="Y20" s="334"/>
      <c r="Z20" s="334"/>
      <c r="AA20" s="339"/>
    </row>
    <row r="21" spans="1:27" s="332" customFormat="1" ht="19.5" customHeight="1" x14ac:dyDescent="0.2">
      <c r="A21" s="332" t="s">
        <v>93</v>
      </c>
      <c r="B21" s="340" t="s">
        <v>98</v>
      </c>
      <c r="C21" s="332" t="s">
        <v>244</v>
      </c>
      <c r="D21" s="341" t="s">
        <v>126</v>
      </c>
      <c r="E21" s="342">
        <v>3</v>
      </c>
      <c r="F21" s="342"/>
      <c r="G21" s="342">
        <v>315</v>
      </c>
      <c r="H21" s="332">
        <v>15</v>
      </c>
      <c r="I21" s="340">
        <v>5</v>
      </c>
      <c r="J21" s="343">
        <v>0.05</v>
      </c>
      <c r="K21" s="344"/>
      <c r="L21" s="344"/>
      <c r="M21" s="344"/>
      <c r="N21" s="344"/>
      <c r="O21" s="344"/>
      <c r="P21" s="344"/>
      <c r="Q21" s="344"/>
      <c r="R21" s="344">
        <v>-0.3</v>
      </c>
      <c r="S21" s="344">
        <v>0.1</v>
      </c>
      <c r="T21" s="344"/>
      <c r="U21" s="344">
        <v>0.3</v>
      </c>
      <c r="V21" s="344"/>
      <c r="W21" s="93"/>
      <c r="X21" s="330"/>
      <c r="Y21" s="342"/>
      <c r="Z21" s="342"/>
      <c r="AA21" s="331"/>
    </row>
    <row r="22" spans="1:27" ht="19.5" customHeight="1" x14ac:dyDescent="0.2">
      <c r="A22" s="275" t="s">
        <v>93</v>
      </c>
      <c r="B22" s="326" t="s">
        <v>98</v>
      </c>
      <c r="C22" s="275" t="s">
        <v>244</v>
      </c>
      <c r="D22" s="327" t="s">
        <v>127</v>
      </c>
      <c r="F22" s="93">
        <v>3</v>
      </c>
      <c r="G22" s="93">
        <v>300</v>
      </c>
      <c r="H22" s="275">
        <v>0</v>
      </c>
      <c r="I22" s="326">
        <v>5</v>
      </c>
      <c r="J22" s="328"/>
      <c r="K22" s="329"/>
      <c r="L22" s="329"/>
      <c r="M22" s="329"/>
      <c r="N22" s="329"/>
      <c r="O22" s="329"/>
      <c r="P22" s="329"/>
      <c r="Q22" s="329"/>
      <c r="R22" s="329"/>
      <c r="S22" s="329"/>
      <c r="T22" s="329"/>
      <c r="U22" s="329"/>
      <c r="V22" s="329"/>
      <c r="W22" s="93"/>
      <c r="X22" s="330"/>
      <c r="Y22" s="93"/>
      <c r="Z22" s="93"/>
      <c r="AA22" s="331"/>
    </row>
    <row r="23" spans="1:27" ht="19.5" customHeight="1" x14ac:dyDescent="0.2">
      <c r="A23" s="275" t="s">
        <v>93</v>
      </c>
      <c r="B23" s="326" t="s">
        <v>98</v>
      </c>
      <c r="C23" s="275" t="s">
        <v>244</v>
      </c>
      <c r="D23" s="327" t="s">
        <v>129</v>
      </c>
      <c r="E23" s="93">
        <v>2</v>
      </c>
      <c r="F23" s="93">
        <v>4</v>
      </c>
      <c r="G23" s="93">
        <v>900</v>
      </c>
      <c r="H23" s="275">
        <v>30</v>
      </c>
      <c r="I23" s="326">
        <f>2*MAX(TblRaces[[#This Row],[OffensePwr]:[DefensePwr]])</f>
        <v>8</v>
      </c>
      <c r="J23" s="328"/>
      <c r="K23" s="93"/>
      <c r="L23" s="93"/>
      <c r="M23" s="93"/>
      <c r="N23" s="93"/>
      <c r="O23" s="93"/>
      <c r="P23" s="93"/>
      <c r="Q23" s="329"/>
      <c r="R23" s="329"/>
      <c r="S23" s="329"/>
      <c r="T23" s="329"/>
      <c r="U23" s="329"/>
      <c r="V23" s="329"/>
      <c r="W23" s="93"/>
      <c r="X23" s="330"/>
      <c r="Y23" s="93"/>
      <c r="Z23" s="93"/>
      <c r="AA23" s="331"/>
    </row>
    <row r="24" spans="1:27" s="335" customFormat="1" ht="19.5" customHeight="1" x14ac:dyDescent="0.2">
      <c r="A24" s="335" t="s">
        <v>93</v>
      </c>
      <c r="B24" s="345" t="s">
        <v>98</v>
      </c>
      <c r="C24" s="335" t="s">
        <v>244</v>
      </c>
      <c r="D24" s="327" t="s">
        <v>128</v>
      </c>
      <c r="E24" s="93">
        <v>5</v>
      </c>
      <c r="F24" s="93">
        <v>3</v>
      </c>
      <c r="G24" s="93">
        <v>900</v>
      </c>
      <c r="H24" s="275">
        <v>25</v>
      </c>
      <c r="I24" s="326">
        <f>2*MAX(TblRaces[[#This Row],[OffensePwr]:[DefensePwr]])</f>
        <v>10</v>
      </c>
      <c r="J24" s="336"/>
      <c r="K24" s="337"/>
      <c r="L24" s="337"/>
      <c r="M24" s="337"/>
      <c r="N24" s="337"/>
      <c r="O24" s="337"/>
      <c r="P24" s="337"/>
      <c r="Q24" s="337"/>
      <c r="R24" s="337"/>
      <c r="S24" s="337"/>
      <c r="T24" s="337"/>
      <c r="U24" s="337"/>
      <c r="V24" s="337"/>
      <c r="W24" s="334"/>
      <c r="X24" s="338"/>
      <c r="Y24" s="334"/>
      <c r="Z24" s="334"/>
      <c r="AA24" s="339"/>
    </row>
    <row r="25" spans="1:27" s="332" customFormat="1" ht="19.5" customHeight="1" x14ac:dyDescent="0.2">
      <c r="A25" s="332" t="s">
        <v>94</v>
      </c>
      <c r="B25" s="340" t="s">
        <v>98</v>
      </c>
      <c r="C25" s="332" t="s">
        <v>245</v>
      </c>
      <c r="D25" s="341" t="s">
        <v>130</v>
      </c>
      <c r="E25" s="342">
        <v>4</v>
      </c>
      <c r="F25" s="342"/>
      <c r="G25" s="342">
        <v>225</v>
      </c>
      <c r="H25" s="332">
        <v>50</v>
      </c>
      <c r="I25" s="340">
        <v>5</v>
      </c>
      <c r="J25" s="343">
        <v>-0.05</v>
      </c>
      <c r="K25" s="344"/>
      <c r="L25" s="344"/>
      <c r="M25" s="344"/>
      <c r="N25" s="344"/>
      <c r="O25" s="344"/>
      <c r="P25" s="344"/>
      <c r="Q25" s="344"/>
      <c r="R25" s="344">
        <v>-0.2</v>
      </c>
      <c r="S25" s="344"/>
      <c r="T25" s="343"/>
      <c r="U25" s="344"/>
      <c r="V25" s="344"/>
      <c r="W25" s="93"/>
      <c r="X25" s="330"/>
      <c r="Y25" s="342"/>
      <c r="Z25" s="344">
        <v>0.15</v>
      </c>
      <c r="AA25" s="331"/>
    </row>
    <row r="26" spans="1:27" ht="19.5" customHeight="1" x14ac:dyDescent="0.2">
      <c r="A26" s="275" t="s">
        <v>94</v>
      </c>
      <c r="B26" s="326" t="s">
        <v>98</v>
      </c>
      <c r="C26" s="275" t="s">
        <v>245</v>
      </c>
      <c r="D26" s="327" t="s">
        <v>131</v>
      </c>
      <c r="F26" s="93">
        <v>3</v>
      </c>
      <c r="G26" s="93">
        <v>300</v>
      </c>
      <c r="H26" s="275">
        <v>5</v>
      </c>
      <c r="I26" s="326">
        <v>5</v>
      </c>
      <c r="J26" s="328"/>
      <c r="K26" s="329"/>
      <c r="L26" s="329"/>
      <c r="M26" s="329"/>
      <c r="N26" s="329"/>
      <c r="O26" s="329"/>
      <c r="P26" s="329"/>
      <c r="Q26" s="329"/>
      <c r="R26" s="329"/>
      <c r="S26" s="329"/>
      <c r="T26" s="329"/>
      <c r="U26" s="329"/>
      <c r="V26" s="329"/>
      <c r="W26" s="93"/>
      <c r="X26" s="330"/>
      <c r="Y26" s="93"/>
      <c r="Z26" s="93"/>
      <c r="AA26" s="331"/>
    </row>
    <row r="27" spans="1:27" ht="19.5" customHeight="1" x14ac:dyDescent="0.2">
      <c r="A27" s="275" t="s">
        <v>94</v>
      </c>
      <c r="B27" s="326" t="s">
        <v>98</v>
      </c>
      <c r="C27" s="275" t="s">
        <v>245</v>
      </c>
      <c r="D27" s="327" t="s">
        <v>132</v>
      </c>
      <c r="E27" s="93">
        <v>2</v>
      </c>
      <c r="F27" s="93">
        <v>4</v>
      </c>
      <c r="G27" s="93">
        <v>675</v>
      </c>
      <c r="H27" s="275">
        <v>350</v>
      </c>
      <c r="I27" s="326">
        <f>2*MAX(TblRaces[[#This Row],[OffensePwr]:[DefensePwr]])</f>
        <v>8</v>
      </c>
      <c r="J27" s="328"/>
      <c r="K27" s="329"/>
      <c r="L27" s="329"/>
      <c r="M27" s="329"/>
      <c r="N27" s="329"/>
      <c r="O27" s="329"/>
      <c r="P27" s="329"/>
      <c r="Q27" s="329"/>
      <c r="R27" s="329"/>
      <c r="S27" s="329"/>
      <c r="T27" s="329"/>
      <c r="U27" s="329"/>
      <c r="V27" s="329"/>
      <c r="W27" s="93"/>
      <c r="X27" s="330"/>
      <c r="Y27" s="93"/>
      <c r="Z27" s="93"/>
      <c r="AA27" s="331"/>
    </row>
    <row r="28" spans="1:27" s="335" customFormat="1" ht="19.5" customHeight="1" x14ac:dyDescent="0.2">
      <c r="A28" s="335" t="s">
        <v>94</v>
      </c>
      <c r="B28" s="345" t="s">
        <v>98</v>
      </c>
      <c r="C28" s="335" t="s">
        <v>245</v>
      </c>
      <c r="D28" s="333" t="s">
        <v>133</v>
      </c>
      <c r="E28" s="334">
        <v>7</v>
      </c>
      <c r="F28" s="334">
        <v>3</v>
      </c>
      <c r="G28" s="334">
        <v>725</v>
      </c>
      <c r="H28" s="335">
        <v>525</v>
      </c>
      <c r="I28" s="326">
        <f>2*MAX(TblRaces[[#This Row],[OffensePwr]:[DefensePwr]])</f>
        <v>14</v>
      </c>
      <c r="J28" s="336"/>
      <c r="K28" s="337"/>
      <c r="L28" s="337"/>
      <c r="M28" s="337"/>
      <c r="N28" s="337"/>
      <c r="O28" s="337"/>
      <c r="P28" s="337"/>
      <c r="Q28" s="337"/>
      <c r="R28" s="337"/>
      <c r="S28" s="337"/>
      <c r="T28" s="337"/>
      <c r="U28" s="337"/>
      <c r="V28" s="337"/>
      <c r="W28" s="334"/>
      <c r="X28" s="338"/>
      <c r="Y28" s="334"/>
      <c r="Z28" s="334"/>
      <c r="AA28" s="339"/>
    </row>
    <row r="29" spans="1:27" s="332" customFormat="1" ht="19.5" customHeight="1" x14ac:dyDescent="0.2">
      <c r="A29" s="332" t="s">
        <v>95</v>
      </c>
      <c r="B29" s="340" t="s">
        <v>98</v>
      </c>
      <c r="C29" s="332" t="s">
        <v>62</v>
      </c>
      <c r="D29" s="341" t="s">
        <v>1092</v>
      </c>
      <c r="E29" s="342">
        <v>3</v>
      </c>
      <c r="F29" s="342"/>
      <c r="G29" s="342">
        <v>300</v>
      </c>
      <c r="H29" s="332">
        <v>0</v>
      </c>
      <c r="I29" s="340">
        <v>5</v>
      </c>
      <c r="J29" s="343"/>
      <c r="K29" s="344"/>
      <c r="L29" s="344"/>
      <c r="M29" s="344">
        <v>0.05</v>
      </c>
      <c r="N29" s="344">
        <v>-0.15</v>
      </c>
      <c r="O29" s="344"/>
      <c r="P29" s="344"/>
      <c r="Q29" s="344"/>
      <c r="R29" s="344"/>
      <c r="S29" s="344"/>
      <c r="T29" s="343">
        <v>7.4999999999999997E-2</v>
      </c>
      <c r="U29" s="344"/>
      <c r="V29" s="344"/>
      <c r="W29" s="93"/>
      <c r="X29" s="330"/>
      <c r="Y29" s="342"/>
      <c r="Z29" s="342"/>
      <c r="AA29" s="418"/>
    </row>
    <row r="30" spans="1:27" ht="19.5" customHeight="1" x14ac:dyDescent="0.2">
      <c r="A30" s="275" t="s">
        <v>95</v>
      </c>
      <c r="B30" s="326" t="s">
        <v>98</v>
      </c>
      <c r="C30" s="275" t="s">
        <v>62</v>
      </c>
      <c r="D30" s="327" t="s">
        <v>135</v>
      </c>
      <c r="F30" s="93">
        <v>3</v>
      </c>
      <c r="G30" s="93">
        <v>300</v>
      </c>
      <c r="H30" s="275">
        <v>0</v>
      </c>
      <c r="I30" s="326">
        <v>5</v>
      </c>
      <c r="J30" s="328"/>
      <c r="K30" s="329"/>
      <c r="L30" s="329"/>
      <c r="M30" s="329"/>
      <c r="N30" s="329"/>
      <c r="O30" s="329"/>
      <c r="P30" s="329"/>
      <c r="Q30" s="329"/>
      <c r="R30" s="329"/>
      <c r="S30" s="329"/>
      <c r="T30" s="329"/>
      <c r="U30" s="329"/>
      <c r="V30" s="329"/>
      <c r="W30" s="93"/>
      <c r="X30" s="330"/>
      <c r="Y30" s="93"/>
      <c r="Z30" s="93"/>
      <c r="AA30" s="331"/>
    </row>
    <row r="31" spans="1:27" ht="19.5" customHeight="1" x14ac:dyDescent="0.2">
      <c r="A31" s="275" t="s">
        <v>95</v>
      </c>
      <c r="B31" s="326" t="s">
        <v>98</v>
      </c>
      <c r="C31" s="275" t="s">
        <v>62</v>
      </c>
      <c r="D31" s="327" t="s">
        <v>136</v>
      </c>
      <c r="E31" s="93">
        <v>0</v>
      </c>
      <c r="F31" s="93">
        <v>7</v>
      </c>
      <c r="G31" s="93">
        <v>1350</v>
      </c>
      <c r="H31" s="275">
        <v>0</v>
      </c>
      <c r="I31" s="326">
        <f>2*MAX(TblRaces[[#This Row],[OffensePwr]:[DefensePwr]])</f>
        <v>14</v>
      </c>
      <c r="J31" s="328"/>
      <c r="K31" s="93"/>
      <c r="L31" s="93"/>
      <c r="M31" s="93"/>
      <c r="N31" s="93"/>
      <c r="O31" s="93"/>
      <c r="P31" s="93"/>
      <c r="Q31" s="329"/>
      <c r="R31" s="329"/>
      <c r="S31" s="329"/>
      <c r="T31" s="329"/>
      <c r="U31" s="329"/>
      <c r="V31" s="329"/>
      <c r="W31" s="93"/>
      <c r="X31" s="330"/>
      <c r="Y31" s="93"/>
      <c r="Z31" s="93"/>
      <c r="AA31" s="331"/>
    </row>
    <row r="32" spans="1:27" s="335" customFormat="1" ht="19.5" customHeight="1" x14ac:dyDescent="0.2">
      <c r="A32" s="335" t="s">
        <v>95</v>
      </c>
      <c r="B32" s="345" t="s">
        <v>98</v>
      </c>
      <c r="C32" s="335" t="s">
        <v>62</v>
      </c>
      <c r="D32" s="327" t="s">
        <v>134</v>
      </c>
      <c r="E32" s="93">
        <v>4</v>
      </c>
      <c r="F32" s="93">
        <v>2</v>
      </c>
      <c r="G32" s="93">
        <v>600</v>
      </c>
      <c r="H32" s="275">
        <v>0</v>
      </c>
      <c r="I32" s="326">
        <f>2*MAX(TblRaces[[#This Row],[OffensePwr]:[DefensePwr]])</f>
        <v>8</v>
      </c>
      <c r="J32" s="336"/>
      <c r="K32" s="337"/>
      <c r="L32" s="337"/>
      <c r="M32" s="337"/>
      <c r="N32" s="337"/>
      <c r="O32" s="337"/>
      <c r="P32" s="337"/>
      <c r="Q32" s="337"/>
      <c r="R32" s="337"/>
      <c r="S32" s="337"/>
      <c r="T32" s="337"/>
      <c r="U32" s="337"/>
      <c r="V32" s="337"/>
      <c r="W32" s="334"/>
      <c r="X32" s="338"/>
      <c r="Y32" s="334"/>
      <c r="Z32" s="334"/>
      <c r="AA32" s="339"/>
    </row>
    <row r="33" spans="1:27" s="332" customFormat="1" ht="19.5" customHeight="1" x14ac:dyDescent="0.2">
      <c r="A33" s="332" t="s">
        <v>96</v>
      </c>
      <c r="B33" s="340" t="s">
        <v>98</v>
      </c>
      <c r="C33" s="332" t="s">
        <v>58</v>
      </c>
      <c r="D33" s="341" t="s">
        <v>137</v>
      </c>
      <c r="E33" s="342">
        <v>3</v>
      </c>
      <c r="F33" s="342"/>
      <c r="G33" s="342">
        <v>315</v>
      </c>
      <c r="H33" s="332">
        <v>0</v>
      </c>
      <c r="I33" s="340">
        <v>5</v>
      </c>
      <c r="J33" s="343"/>
      <c r="K33" s="344"/>
      <c r="L33" s="344"/>
      <c r="M33" s="344">
        <v>0.1</v>
      </c>
      <c r="N33" s="344">
        <v>0.2</v>
      </c>
      <c r="O33" s="344"/>
      <c r="P33" s="344"/>
      <c r="Q33" s="344"/>
      <c r="R33" s="344"/>
      <c r="S33" s="344"/>
      <c r="T33" s="344"/>
      <c r="U33" s="344"/>
      <c r="V33" s="344"/>
      <c r="W33" s="93"/>
      <c r="X33" s="330"/>
      <c r="Y33" s="342"/>
      <c r="Z33" s="342"/>
      <c r="AA33" s="331"/>
    </row>
    <row r="34" spans="1:27" ht="19.5" customHeight="1" x14ac:dyDescent="0.2">
      <c r="A34" s="275" t="s">
        <v>96</v>
      </c>
      <c r="B34" s="326" t="s">
        <v>98</v>
      </c>
      <c r="C34" s="275" t="s">
        <v>58</v>
      </c>
      <c r="D34" s="327" t="s">
        <v>138</v>
      </c>
      <c r="F34" s="93">
        <v>3</v>
      </c>
      <c r="G34" s="93">
        <v>300</v>
      </c>
      <c r="H34" s="275">
        <v>0</v>
      </c>
      <c r="I34" s="326">
        <v>5</v>
      </c>
      <c r="J34" s="328"/>
      <c r="K34" s="329"/>
      <c r="L34" s="329"/>
      <c r="M34" s="329"/>
      <c r="N34" s="329"/>
      <c r="O34" s="329"/>
      <c r="P34" s="329"/>
      <c r="Q34" s="329"/>
      <c r="R34" s="329"/>
      <c r="S34" s="329"/>
      <c r="T34" s="329"/>
      <c r="U34" s="329"/>
      <c r="V34" s="329"/>
      <c r="W34" s="93"/>
      <c r="X34" s="330"/>
      <c r="Y34" s="93"/>
      <c r="Z34" s="93"/>
      <c r="AA34" s="331"/>
    </row>
    <row r="35" spans="1:27" ht="19.5" customHeight="1" x14ac:dyDescent="0.2">
      <c r="A35" s="275" t="s">
        <v>96</v>
      </c>
      <c r="B35" s="326" t="s">
        <v>98</v>
      </c>
      <c r="C35" s="275" t="s">
        <v>58</v>
      </c>
      <c r="D35" s="327" t="s">
        <v>139</v>
      </c>
      <c r="E35" s="93">
        <v>0</v>
      </c>
      <c r="F35" s="93">
        <v>3</v>
      </c>
      <c r="G35" s="93">
        <v>1070</v>
      </c>
      <c r="H35" s="275">
        <v>0</v>
      </c>
      <c r="I35" s="326">
        <f>2*MAX(TblRaces[[#This Row],[OffensePwr]:[DefensePwr]])</f>
        <v>6</v>
      </c>
      <c r="J35" s="328"/>
      <c r="K35" s="329"/>
      <c r="L35" s="329"/>
      <c r="M35" s="329"/>
      <c r="N35" s="329"/>
      <c r="O35" s="329"/>
      <c r="P35" s="329"/>
      <c r="Q35" s="329"/>
      <c r="R35" s="329"/>
      <c r="S35" s="329"/>
      <c r="T35" s="329"/>
      <c r="U35" s="329"/>
      <c r="V35" s="329"/>
      <c r="W35" s="93"/>
      <c r="X35" s="330"/>
      <c r="Y35" s="93"/>
      <c r="Z35" s="93"/>
      <c r="AA35" s="331"/>
    </row>
    <row r="36" spans="1:27" s="335" customFormat="1" ht="19.5" customHeight="1" x14ac:dyDescent="0.2">
      <c r="A36" s="335" t="s">
        <v>96</v>
      </c>
      <c r="B36" s="345" t="s">
        <v>98</v>
      </c>
      <c r="C36" s="335" t="s">
        <v>58</v>
      </c>
      <c r="D36" s="333" t="s">
        <v>140</v>
      </c>
      <c r="E36" s="334">
        <v>5.5</v>
      </c>
      <c r="F36" s="334">
        <v>2</v>
      </c>
      <c r="G36" s="334">
        <v>950</v>
      </c>
      <c r="H36" s="335">
        <v>20</v>
      </c>
      <c r="I36" s="326">
        <f>2*MAX(TblRaces[[#This Row],[OffensePwr]:[DefensePwr]])</f>
        <v>11</v>
      </c>
      <c r="J36" s="336"/>
      <c r="K36" s="337"/>
      <c r="L36" s="337"/>
      <c r="M36" s="337"/>
      <c r="N36" s="337"/>
      <c r="O36" s="337"/>
      <c r="P36" s="337"/>
      <c r="Q36" s="337"/>
      <c r="R36" s="337"/>
      <c r="S36" s="337"/>
      <c r="T36" s="337"/>
      <c r="U36" s="337"/>
      <c r="V36" s="337"/>
      <c r="W36" s="334"/>
      <c r="X36" s="338"/>
      <c r="Y36" s="334"/>
      <c r="Z36" s="334"/>
      <c r="AA36" s="339"/>
    </row>
    <row r="37" spans="1:27" s="332" customFormat="1" ht="19.5" customHeight="1" x14ac:dyDescent="0.2">
      <c r="A37" s="332" t="s">
        <v>97</v>
      </c>
      <c r="B37" s="340" t="s">
        <v>30</v>
      </c>
      <c r="C37" s="332" t="s">
        <v>244</v>
      </c>
      <c r="D37" s="341" t="s">
        <v>141</v>
      </c>
      <c r="E37" s="342">
        <v>3</v>
      </c>
      <c r="F37" s="342"/>
      <c r="G37" s="342">
        <v>380</v>
      </c>
      <c r="H37" s="332">
        <v>25</v>
      </c>
      <c r="I37" s="340">
        <v>5</v>
      </c>
      <c r="J37" s="343">
        <v>0.2</v>
      </c>
      <c r="K37" s="344"/>
      <c r="L37" s="344"/>
      <c r="M37" s="344"/>
      <c r="N37" s="344"/>
      <c r="O37" s="344"/>
      <c r="P37" s="344"/>
      <c r="Q37" s="344"/>
      <c r="R37" s="344"/>
      <c r="S37" s="344"/>
      <c r="T37" s="344"/>
      <c r="U37" s="344"/>
      <c r="V37" s="344"/>
      <c r="W37" s="329">
        <v>0.1</v>
      </c>
      <c r="X37" s="330"/>
      <c r="Y37" s="342"/>
      <c r="Z37" s="342"/>
      <c r="AA37" s="331"/>
    </row>
    <row r="38" spans="1:27" ht="19.5" customHeight="1" x14ac:dyDescent="0.2">
      <c r="A38" s="275" t="s">
        <v>97</v>
      </c>
      <c r="B38" s="326" t="s">
        <v>30</v>
      </c>
      <c r="C38" s="275" t="s">
        <v>244</v>
      </c>
      <c r="D38" s="327" t="s">
        <v>142</v>
      </c>
      <c r="F38" s="93">
        <v>3</v>
      </c>
      <c r="G38" s="93">
        <v>380</v>
      </c>
      <c r="H38" s="275">
        <v>15</v>
      </c>
      <c r="I38" s="326">
        <v>5</v>
      </c>
      <c r="J38" s="328"/>
      <c r="K38" s="329"/>
      <c r="L38" s="329"/>
      <c r="M38" s="329"/>
      <c r="N38" s="329"/>
      <c r="O38" s="329"/>
      <c r="P38" s="329"/>
      <c r="Q38" s="329"/>
      <c r="R38" s="329"/>
      <c r="S38" s="329"/>
      <c r="T38" s="329"/>
      <c r="U38" s="329"/>
      <c r="V38" s="329"/>
      <c r="W38" s="93"/>
      <c r="X38" s="330"/>
      <c r="Y38" s="93"/>
      <c r="Z38" s="93"/>
      <c r="AA38" s="331"/>
    </row>
    <row r="39" spans="1:27" ht="19.5" customHeight="1" x14ac:dyDescent="0.2">
      <c r="A39" s="275" t="s">
        <v>97</v>
      </c>
      <c r="B39" s="326" t="s">
        <v>30</v>
      </c>
      <c r="C39" s="275" t="s">
        <v>244</v>
      </c>
      <c r="D39" s="327" t="s">
        <v>354</v>
      </c>
      <c r="E39" s="93">
        <v>5</v>
      </c>
      <c r="F39" s="93">
        <v>3</v>
      </c>
      <c r="G39" s="93">
        <v>1015</v>
      </c>
      <c r="H39" s="275">
        <v>80</v>
      </c>
      <c r="I39" s="326">
        <f>2*MAX(TblRaces[[#This Row],[OffensePwr]:[DefensePwr]])</f>
        <v>10</v>
      </c>
      <c r="J39" s="328"/>
      <c r="K39" s="329"/>
      <c r="L39" s="329"/>
      <c r="M39" s="329"/>
      <c r="N39" s="329"/>
      <c r="O39" s="329"/>
      <c r="P39" s="329"/>
      <c r="Q39" s="329"/>
      <c r="R39" s="329"/>
      <c r="S39" s="329"/>
      <c r="T39" s="329"/>
      <c r="U39" s="329"/>
      <c r="V39" s="329"/>
      <c r="W39" s="93"/>
      <c r="X39" s="330"/>
      <c r="Y39" s="93"/>
      <c r="Z39" s="93"/>
      <c r="AA39" s="331"/>
    </row>
    <row r="40" spans="1:27" s="335" customFormat="1" ht="19.5" customHeight="1" x14ac:dyDescent="0.2">
      <c r="A40" s="335" t="s">
        <v>97</v>
      </c>
      <c r="B40" s="345" t="s">
        <v>30</v>
      </c>
      <c r="C40" s="335" t="s">
        <v>244</v>
      </c>
      <c r="D40" s="333" t="s">
        <v>144</v>
      </c>
      <c r="E40" s="334">
        <v>6</v>
      </c>
      <c r="F40" s="334">
        <v>2</v>
      </c>
      <c r="G40" s="334">
        <v>1300</v>
      </c>
      <c r="H40" s="335">
        <v>110</v>
      </c>
      <c r="I40" s="326">
        <f>2*MAX(TblRaces[[#This Row],[OffensePwr]:[DefensePwr]])</f>
        <v>12</v>
      </c>
      <c r="J40" s="336"/>
      <c r="K40" s="337"/>
      <c r="L40" s="337"/>
      <c r="M40" s="337"/>
      <c r="N40" s="337"/>
      <c r="O40" s="337"/>
      <c r="P40" s="337"/>
      <c r="Q40" s="337"/>
      <c r="R40" s="337"/>
      <c r="S40" s="337"/>
      <c r="T40" s="337"/>
      <c r="U40" s="337"/>
      <c r="V40" s="337"/>
      <c r="W40" s="334"/>
      <c r="X40" s="338"/>
      <c r="Y40" s="334"/>
      <c r="Z40" s="334"/>
      <c r="AA40" s="339"/>
    </row>
    <row r="41" spans="1:27" s="332" customFormat="1" ht="19.5" customHeight="1" x14ac:dyDescent="0.2">
      <c r="A41" s="332" t="s">
        <v>29</v>
      </c>
      <c r="B41" s="340" t="s">
        <v>30</v>
      </c>
      <c r="C41" s="332" t="s">
        <v>243</v>
      </c>
      <c r="D41" s="341" t="s">
        <v>39</v>
      </c>
      <c r="E41" s="342">
        <v>4</v>
      </c>
      <c r="F41" s="342"/>
      <c r="G41" s="342">
        <v>360</v>
      </c>
      <c r="H41" s="332">
        <v>25</v>
      </c>
      <c r="I41" s="340">
        <v>5</v>
      </c>
      <c r="J41" s="343">
        <v>-0.05</v>
      </c>
      <c r="K41" s="344"/>
      <c r="L41" s="344"/>
      <c r="M41" s="344"/>
      <c r="N41" s="344"/>
      <c r="O41" s="344"/>
      <c r="P41" s="344"/>
      <c r="Q41" s="344"/>
      <c r="R41" s="344">
        <v>0.05</v>
      </c>
      <c r="S41" s="344"/>
      <c r="T41" s="344">
        <v>0.05</v>
      </c>
      <c r="U41" s="344">
        <v>-0.1</v>
      </c>
      <c r="V41" s="344"/>
      <c r="W41" s="93"/>
      <c r="X41" s="330"/>
      <c r="Y41" s="342"/>
      <c r="Z41" s="342"/>
      <c r="AA41" s="331"/>
    </row>
    <row r="42" spans="1:27" ht="19.5" customHeight="1" x14ac:dyDescent="0.2">
      <c r="A42" s="275" t="s">
        <v>29</v>
      </c>
      <c r="B42" s="326" t="s">
        <v>30</v>
      </c>
      <c r="C42" s="275" t="s">
        <v>243</v>
      </c>
      <c r="D42" s="327" t="s">
        <v>40</v>
      </c>
      <c r="F42" s="93">
        <v>3</v>
      </c>
      <c r="G42" s="93">
        <v>300</v>
      </c>
      <c r="H42" s="275">
        <v>25</v>
      </c>
      <c r="I42" s="326">
        <v>5</v>
      </c>
      <c r="J42" s="328"/>
      <c r="K42" s="329"/>
      <c r="L42" s="329"/>
      <c r="M42" s="329"/>
      <c r="N42" s="329"/>
      <c r="O42" s="329"/>
      <c r="P42" s="329"/>
      <c r="Q42" s="329"/>
      <c r="R42" s="329"/>
      <c r="S42" s="329"/>
      <c r="T42" s="329"/>
      <c r="U42" s="329"/>
      <c r="V42" s="329"/>
      <c r="W42" s="93"/>
      <c r="X42" s="330"/>
      <c r="Y42" s="93"/>
      <c r="Z42" s="93"/>
      <c r="AA42" s="331"/>
    </row>
    <row r="43" spans="1:27" ht="19.5" customHeight="1" x14ac:dyDescent="0.2">
      <c r="A43" s="275" t="s">
        <v>29</v>
      </c>
      <c r="B43" s="326" t="s">
        <v>30</v>
      </c>
      <c r="C43" s="275" t="s">
        <v>243</v>
      </c>
      <c r="D43" s="327" t="s">
        <v>41</v>
      </c>
      <c r="E43" s="93">
        <v>7</v>
      </c>
      <c r="F43" s="93">
        <v>7</v>
      </c>
      <c r="G43" s="93">
        <v>1415</v>
      </c>
      <c r="H43" s="275">
        <v>150</v>
      </c>
      <c r="I43" s="326">
        <f>2*MAX(TblRaces[[#This Row],[OffensePwr]:[DefensePwr]])</f>
        <v>14</v>
      </c>
      <c r="J43" s="328"/>
      <c r="K43" s="329"/>
      <c r="L43" s="329"/>
      <c r="M43" s="329"/>
      <c r="N43" s="329"/>
      <c r="O43" s="329"/>
      <c r="P43" s="329"/>
      <c r="Q43" s="329"/>
      <c r="R43" s="329"/>
      <c r="S43" s="329"/>
      <c r="T43" s="329"/>
      <c r="U43" s="329"/>
      <c r="V43" s="329"/>
      <c r="W43" s="93"/>
      <c r="X43" s="330"/>
      <c r="Y43" s="93"/>
      <c r="Z43" s="93"/>
      <c r="AA43" s="331"/>
    </row>
    <row r="44" spans="1:27" s="335" customFormat="1" ht="19.5" customHeight="1" x14ac:dyDescent="0.2">
      <c r="A44" s="335" t="s">
        <v>29</v>
      </c>
      <c r="B44" s="345" t="s">
        <v>30</v>
      </c>
      <c r="C44" s="335" t="s">
        <v>243</v>
      </c>
      <c r="D44" s="333" t="s">
        <v>42</v>
      </c>
      <c r="E44" s="334">
        <v>7</v>
      </c>
      <c r="F44" s="334">
        <v>7</v>
      </c>
      <c r="G44" s="334">
        <v>1415</v>
      </c>
      <c r="H44" s="335">
        <v>150</v>
      </c>
      <c r="I44" s="326">
        <f>2*MAX(TblRaces[[#This Row],[OffensePwr]:[DefensePwr]])</f>
        <v>14</v>
      </c>
      <c r="J44" s="336"/>
      <c r="K44" s="337"/>
      <c r="L44" s="337"/>
      <c r="M44" s="337"/>
      <c r="N44" s="337"/>
      <c r="O44" s="337"/>
      <c r="P44" s="337"/>
      <c r="Q44" s="337"/>
      <c r="R44" s="337"/>
      <c r="S44" s="337"/>
      <c r="T44" s="337"/>
      <c r="U44" s="337"/>
      <c r="V44" s="337"/>
      <c r="W44" s="334"/>
      <c r="X44" s="338"/>
      <c r="Y44" s="334"/>
      <c r="Z44" s="334"/>
      <c r="AA44" s="339"/>
    </row>
    <row r="45" spans="1:27" s="332" customFormat="1" ht="19.5" customHeight="1" x14ac:dyDescent="0.2">
      <c r="A45" s="332" t="s">
        <v>99</v>
      </c>
      <c r="B45" s="340" t="s">
        <v>30</v>
      </c>
      <c r="C45" s="332" t="s">
        <v>242</v>
      </c>
      <c r="D45" s="341" t="s">
        <v>145</v>
      </c>
      <c r="E45" s="342">
        <v>4</v>
      </c>
      <c r="F45" s="342"/>
      <c r="G45" s="342">
        <v>450</v>
      </c>
      <c r="H45" s="332">
        <v>25</v>
      </c>
      <c r="I45" s="340">
        <v>5</v>
      </c>
      <c r="J45" s="343">
        <v>-0.05</v>
      </c>
      <c r="K45" s="344"/>
      <c r="L45" s="344"/>
      <c r="M45" s="344"/>
      <c r="N45" s="344"/>
      <c r="O45" s="344"/>
      <c r="P45" s="344"/>
      <c r="Q45" s="344">
        <v>0.05</v>
      </c>
      <c r="R45" s="344"/>
      <c r="S45" s="344"/>
      <c r="T45" s="344"/>
      <c r="U45" s="344"/>
      <c r="V45" s="344"/>
      <c r="W45" s="93"/>
      <c r="X45" s="330"/>
      <c r="Y45" s="342"/>
      <c r="Z45" s="342"/>
      <c r="AA45" s="331"/>
    </row>
    <row r="46" spans="1:27" ht="19.5" customHeight="1" x14ac:dyDescent="0.2">
      <c r="A46" s="275" t="s">
        <v>99</v>
      </c>
      <c r="B46" s="326" t="s">
        <v>30</v>
      </c>
      <c r="C46" s="275" t="s">
        <v>242</v>
      </c>
      <c r="D46" s="327" t="s">
        <v>146</v>
      </c>
      <c r="F46" s="93">
        <v>3</v>
      </c>
      <c r="G46" s="93">
        <v>300</v>
      </c>
      <c r="H46" s="275">
        <v>15</v>
      </c>
      <c r="I46" s="326">
        <v>5</v>
      </c>
      <c r="J46" s="328"/>
      <c r="K46" s="329"/>
      <c r="L46" s="329"/>
      <c r="M46" s="329"/>
      <c r="N46" s="329"/>
      <c r="O46" s="329"/>
      <c r="P46" s="329"/>
      <c r="Q46" s="329"/>
      <c r="R46" s="329"/>
      <c r="S46" s="329"/>
      <c r="T46" s="329"/>
      <c r="U46" s="329"/>
      <c r="V46" s="329"/>
      <c r="W46" s="93"/>
      <c r="X46" s="330"/>
      <c r="Y46" s="93"/>
      <c r="Z46" s="93"/>
      <c r="AA46" s="331"/>
    </row>
    <row r="47" spans="1:27" ht="19.5" customHeight="1" x14ac:dyDescent="0.2">
      <c r="A47" s="275" t="s">
        <v>99</v>
      </c>
      <c r="B47" s="326" t="s">
        <v>30</v>
      </c>
      <c r="C47" s="275" t="s">
        <v>242</v>
      </c>
      <c r="D47" s="327" t="s">
        <v>147</v>
      </c>
      <c r="E47" s="93">
        <v>0</v>
      </c>
      <c r="F47" s="93">
        <v>6</v>
      </c>
      <c r="G47" s="93">
        <v>1150</v>
      </c>
      <c r="H47" s="275">
        <v>60</v>
      </c>
      <c r="I47" s="326">
        <f>2*MAX(TblRaces[[#This Row],[OffensePwr]:[DefensePwr]])</f>
        <v>12</v>
      </c>
      <c r="J47" s="328"/>
      <c r="K47" s="329"/>
      <c r="L47" s="329"/>
      <c r="M47" s="329"/>
      <c r="N47" s="329"/>
      <c r="O47" s="329"/>
      <c r="P47" s="329"/>
      <c r="Q47" s="329"/>
      <c r="R47" s="329"/>
      <c r="S47" s="329"/>
      <c r="T47" s="329"/>
      <c r="U47" s="329"/>
      <c r="V47" s="329"/>
      <c r="W47" s="93"/>
      <c r="X47" s="330"/>
      <c r="Y47" s="93"/>
      <c r="Z47" s="93"/>
      <c r="AA47" s="331"/>
    </row>
    <row r="48" spans="1:27" s="335" customFormat="1" ht="19.5" customHeight="1" x14ac:dyDescent="0.2">
      <c r="A48" s="335" t="s">
        <v>99</v>
      </c>
      <c r="B48" s="345" t="s">
        <v>30</v>
      </c>
      <c r="C48" s="335" t="s">
        <v>242</v>
      </c>
      <c r="D48" s="333" t="s">
        <v>1058</v>
      </c>
      <c r="E48" s="334">
        <v>6.5</v>
      </c>
      <c r="F48" s="334">
        <v>3</v>
      </c>
      <c r="G48" s="334">
        <v>1200</v>
      </c>
      <c r="H48" s="335">
        <v>50</v>
      </c>
      <c r="I48" s="326">
        <f>2*MAX(TblRaces[[#This Row],[OffensePwr]:[DefensePwr]])</f>
        <v>13</v>
      </c>
      <c r="J48" s="336"/>
      <c r="K48" s="337"/>
      <c r="L48" s="337"/>
      <c r="M48" s="337"/>
      <c r="N48" s="337"/>
      <c r="O48" s="337"/>
      <c r="P48" s="337"/>
      <c r="Q48" s="337"/>
      <c r="R48" s="337"/>
      <c r="S48" s="337"/>
      <c r="T48" s="337"/>
      <c r="U48" s="337"/>
      <c r="V48" s="337"/>
      <c r="W48" s="334"/>
      <c r="X48" s="338"/>
      <c r="Y48" s="334"/>
      <c r="Z48" s="334"/>
      <c r="AA48" s="339"/>
    </row>
    <row r="49" spans="1:27" s="332" customFormat="1" ht="19.5" customHeight="1" x14ac:dyDescent="0.2">
      <c r="A49" s="332" t="s">
        <v>100</v>
      </c>
      <c r="B49" s="340" t="s">
        <v>30</v>
      </c>
      <c r="C49" s="332" t="s">
        <v>60</v>
      </c>
      <c r="D49" s="341" t="s">
        <v>1100</v>
      </c>
      <c r="E49" s="342">
        <v>3</v>
      </c>
      <c r="F49" s="342"/>
      <c r="G49" s="342">
        <v>215</v>
      </c>
      <c r="H49" s="332">
        <v>25</v>
      </c>
      <c r="I49" s="340">
        <v>5</v>
      </c>
      <c r="J49" s="343">
        <v>2.5000000000000001E-2</v>
      </c>
      <c r="K49" s="344"/>
      <c r="L49" s="344"/>
      <c r="M49" s="344"/>
      <c r="N49" s="344"/>
      <c r="O49" s="344">
        <v>0.2</v>
      </c>
      <c r="P49" s="344"/>
      <c r="Q49" s="344"/>
      <c r="R49" s="344">
        <v>-0.5</v>
      </c>
      <c r="S49" s="344"/>
      <c r="T49" s="344"/>
      <c r="U49" s="344"/>
      <c r="V49" s="344"/>
      <c r="W49" s="93"/>
      <c r="X49" s="330"/>
      <c r="Y49" s="342"/>
      <c r="Z49" s="342"/>
      <c r="AA49" s="331"/>
    </row>
    <row r="50" spans="1:27" ht="19.5" customHeight="1" x14ac:dyDescent="0.2">
      <c r="A50" s="275" t="s">
        <v>100</v>
      </c>
      <c r="B50" s="326" t="s">
        <v>30</v>
      </c>
      <c r="C50" s="275" t="s">
        <v>60</v>
      </c>
      <c r="D50" s="327" t="s">
        <v>1088</v>
      </c>
      <c r="F50" s="93">
        <v>4</v>
      </c>
      <c r="G50" s="93">
        <v>750</v>
      </c>
      <c r="H50" s="275">
        <v>10</v>
      </c>
      <c r="I50" s="326">
        <v>5</v>
      </c>
      <c r="J50" s="328"/>
      <c r="K50" s="329"/>
      <c r="L50" s="329"/>
      <c r="M50" s="329"/>
      <c r="N50" s="329"/>
      <c r="O50" s="329"/>
      <c r="P50" s="329"/>
      <c r="Q50" s="329"/>
      <c r="R50" s="329"/>
      <c r="S50" s="329"/>
      <c r="T50" s="329"/>
      <c r="U50" s="329"/>
      <c r="V50" s="329"/>
      <c r="W50" s="93"/>
      <c r="X50" s="330"/>
      <c r="Y50" s="93"/>
      <c r="Z50" s="93"/>
      <c r="AA50" s="331"/>
    </row>
    <row r="51" spans="1:27" ht="19.5" customHeight="1" x14ac:dyDescent="0.2">
      <c r="A51" s="275" t="s">
        <v>100</v>
      </c>
      <c r="B51" s="326" t="s">
        <v>30</v>
      </c>
      <c r="C51" s="275" t="s">
        <v>60</v>
      </c>
      <c r="D51" s="327" t="s">
        <v>1101</v>
      </c>
      <c r="E51" s="93">
        <v>0</v>
      </c>
      <c r="F51" s="93">
        <v>6</v>
      </c>
      <c r="G51" s="93">
        <v>1150</v>
      </c>
      <c r="H51" s="275">
        <v>15</v>
      </c>
      <c r="I51" s="326">
        <f>2*MAX(TblRaces[[#This Row],[OffensePwr]:[DefensePwr]])</f>
        <v>12</v>
      </c>
      <c r="J51" s="328"/>
      <c r="K51" s="329"/>
      <c r="L51" s="329"/>
      <c r="M51" s="329"/>
      <c r="N51" s="329"/>
      <c r="O51" s="329"/>
      <c r="P51" s="329"/>
      <c r="Q51" s="329"/>
      <c r="R51" s="329"/>
      <c r="S51" s="329"/>
      <c r="T51" s="329"/>
      <c r="U51" s="329"/>
      <c r="V51" s="329"/>
      <c r="W51" s="93"/>
      <c r="X51" s="330"/>
      <c r="Y51" s="93"/>
      <c r="Z51" s="93"/>
      <c r="AA51" s="331"/>
    </row>
    <row r="52" spans="1:27" s="335" customFormat="1" ht="19.5" customHeight="1" x14ac:dyDescent="0.2">
      <c r="A52" s="335" t="s">
        <v>100</v>
      </c>
      <c r="B52" s="345" t="s">
        <v>30</v>
      </c>
      <c r="C52" s="335" t="s">
        <v>60</v>
      </c>
      <c r="D52" s="333" t="s">
        <v>1102</v>
      </c>
      <c r="E52" s="334">
        <v>4</v>
      </c>
      <c r="F52" s="334">
        <v>3</v>
      </c>
      <c r="G52" s="334">
        <v>700</v>
      </c>
      <c r="H52" s="335">
        <v>0</v>
      </c>
      <c r="I52" s="326">
        <f>2*MAX(TblRaces[[#This Row],[OffensePwr]:[DefensePwr]])</f>
        <v>8</v>
      </c>
      <c r="J52" s="336"/>
      <c r="K52" s="337"/>
      <c r="L52" s="337"/>
      <c r="M52" s="337"/>
      <c r="N52" s="337"/>
      <c r="O52" s="337"/>
      <c r="P52" s="337"/>
      <c r="Q52" s="337"/>
      <c r="R52" s="337"/>
      <c r="S52" s="337"/>
      <c r="T52" s="337"/>
      <c r="U52" s="337"/>
      <c r="V52" s="337"/>
      <c r="W52" s="334"/>
      <c r="X52" s="338"/>
      <c r="Y52" s="334"/>
      <c r="Z52" s="334"/>
      <c r="AA52" s="339"/>
    </row>
    <row r="53" spans="1:27" s="332" customFormat="1" ht="19.5" customHeight="1" x14ac:dyDescent="0.2">
      <c r="A53" s="332" t="s">
        <v>101</v>
      </c>
      <c r="B53" s="340" t="s">
        <v>98</v>
      </c>
      <c r="C53" s="332" t="s">
        <v>62</v>
      </c>
      <c r="D53" s="341" t="s">
        <v>1115</v>
      </c>
      <c r="E53" s="342">
        <v>3</v>
      </c>
      <c r="F53" s="342"/>
      <c r="G53" s="342">
        <v>335</v>
      </c>
      <c r="H53" s="332">
        <v>10</v>
      </c>
      <c r="I53" s="340">
        <v>5</v>
      </c>
      <c r="J53" s="343"/>
      <c r="K53" s="344"/>
      <c r="L53" s="344"/>
      <c r="M53" s="344"/>
      <c r="N53" s="344"/>
      <c r="O53" s="344"/>
      <c r="P53" s="344"/>
      <c r="Q53" s="344"/>
      <c r="R53" s="344">
        <v>-0.9</v>
      </c>
      <c r="S53" s="344"/>
      <c r="T53" s="344"/>
      <c r="U53" s="344"/>
      <c r="V53" s="344"/>
      <c r="W53" s="93"/>
      <c r="X53" s="330"/>
      <c r="Y53" s="342"/>
      <c r="Z53" s="342"/>
      <c r="AA53" s="331"/>
    </row>
    <row r="54" spans="1:27" ht="19.5" customHeight="1" x14ac:dyDescent="0.2">
      <c r="A54" s="275" t="s">
        <v>101</v>
      </c>
      <c r="B54" s="326" t="s">
        <v>98</v>
      </c>
      <c r="C54" s="275" t="s">
        <v>62</v>
      </c>
      <c r="D54" s="327" t="s">
        <v>149</v>
      </c>
      <c r="F54" s="93">
        <v>3</v>
      </c>
      <c r="G54" s="93">
        <v>300</v>
      </c>
      <c r="H54" s="275">
        <v>10</v>
      </c>
      <c r="I54" s="326">
        <v>5</v>
      </c>
      <c r="J54" s="328"/>
      <c r="K54" s="329"/>
      <c r="L54" s="329"/>
      <c r="M54" s="329"/>
      <c r="N54" s="329"/>
      <c r="O54" s="329"/>
      <c r="P54" s="329"/>
      <c r="Q54" s="329"/>
      <c r="R54" s="329"/>
      <c r="S54" s="329"/>
      <c r="T54" s="329"/>
      <c r="U54" s="329"/>
      <c r="V54" s="329"/>
      <c r="W54" s="93"/>
      <c r="X54" s="330"/>
      <c r="Y54" s="93"/>
      <c r="Z54" s="93"/>
      <c r="AA54" s="331"/>
    </row>
    <row r="55" spans="1:27" ht="19.5" customHeight="1" x14ac:dyDescent="0.2">
      <c r="A55" s="275" t="s">
        <v>101</v>
      </c>
      <c r="B55" s="326" t="s">
        <v>98</v>
      </c>
      <c r="C55" s="275" t="s">
        <v>62</v>
      </c>
      <c r="D55" s="327" t="s">
        <v>1116</v>
      </c>
      <c r="E55" s="93">
        <v>3</v>
      </c>
      <c r="F55" s="93">
        <v>5</v>
      </c>
      <c r="G55" s="93">
        <v>1070</v>
      </c>
      <c r="H55" s="275">
        <v>25</v>
      </c>
      <c r="I55" s="326">
        <f>2*MAX(TblRaces[[#This Row],[OffensePwr]:[DefensePwr]])</f>
        <v>10</v>
      </c>
      <c r="J55" s="328"/>
      <c r="K55" s="329"/>
      <c r="L55" s="329"/>
      <c r="M55" s="329"/>
      <c r="N55" s="329"/>
      <c r="O55" s="329"/>
      <c r="P55" s="329"/>
      <c r="Q55" s="329"/>
      <c r="R55" s="329"/>
      <c r="S55" s="329"/>
      <c r="T55" s="329"/>
      <c r="U55" s="329"/>
      <c r="V55" s="329"/>
      <c r="W55" s="93"/>
      <c r="X55" s="330"/>
      <c r="Y55" s="93"/>
      <c r="Z55" s="93"/>
      <c r="AA55" s="331"/>
    </row>
    <row r="56" spans="1:27" s="335" customFormat="1" ht="19.5" customHeight="1" x14ac:dyDescent="0.2">
      <c r="A56" s="335" t="s">
        <v>101</v>
      </c>
      <c r="B56" s="345" t="s">
        <v>98</v>
      </c>
      <c r="C56" s="335" t="s">
        <v>62</v>
      </c>
      <c r="D56" s="333" t="s">
        <v>1117</v>
      </c>
      <c r="E56" s="334">
        <v>6</v>
      </c>
      <c r="F56" s="334">
        <v>0</v>
      </c>
      <c r="G56" s="334">
        <v>1075</v>
      </c>
      <c r="H56" s="335">
        <v>30</v>
      </c>
      <c r="I56" s="326">
        <f>2*MAX(TblRaces[[#This Row],[OffensePwr]:[DefensePwr]])</f>
        <v>12</v>
      </c>
      <c r="J56" s="336"/>
      <c r="K56" s="337"/>
      <c r="L56" s="337"/>
      <c r="M56" s="337"/>
      <c r="N56" s="337"/>
      <c r="O56" s="337"/>
      <c r="P56" s="337"/>
      <c r="Q56" s="337"/>
      <c r="R56" s="337"/>
      <c r="S56" s="337"/>
      <c r="T56" s="337"/>
      <c r="U56" s="337"/>
      <c r="V56" s="337"/>
      <c r="W56" s="334"/>
      <c r="X56" s="338"/>
      <c r="Y56" s="334"/>
      <c r="Z56" s="334"/>
      <c r="AA56" s="339"/>
    </row>
    <row r="57" spans="1:27" s="332" customFormat="1" ht="19.5" customHeight="1" x14ac:dyDescent="0.2">
      <c r="A57" s="332" t="s">
        <v>102</v>
      </c>
      <c r="B57" s="340" t="s">
        <v>30</v>
      </c>
      <c r="C57" s="332" t="s">
        <v>242</v>
      </c>
      <c r="D57" s="341" t="s">
        <v>150</v>
      </c>
      <c r="E57" s="342">
        <v>3</v>
      </c>
      <c r="F57" s="342"/>
      <c r="G57" s="342">
        <v>360</v>
      </c>
      <c r="H57" s="332">
        <v>25</v>
      </c>
      <c r="I57" s="340">
        <v>5</v>
      </c>
      <c r="J57" s="343">
        <v>0.1</v>
      </c>
      <c r="K57" s="344"/>
      <c r="L57" s="344"/>
      <c r="M57" s="344"/>
      <c r="N57" s="344"/>
      <c r="O57" s="344"/>
      <c r="P57" s="344"/>
      <c r="Q57" s="344"/>
      <c r="R57" s="344"/>
      <c r="S57" s="343">
        <v>0.05</v>
      </c>
      <c r="T57" s="344"/>
      <c r="U57" s="344"/>
      <c r="V57" s="344"/>
      <c r="W57" s="93"/>
      <c r="X57" s="330"/>
      <c r="Y57" s="342"/>
      <c r="Z57" s="342"/>
      <c r="AA57" s="331"/>
    </row>
    <row r="58" spans="1:27" ht="19.5" customHeight="1" x14ac:dyDescent="0.2">
      <c r="A58" s="275" t="s">
        <v>102</v>
      </c>
      <c r="B58" s="326" t="s">
        <v>30</v>
      </c>
      <c r="C58" s="275" t="s">
        <v>242</v>
      </c>
      <c r="D58" s="327" t="s">
        <v>151</v>
      </c>
      <c r="F58" s="93">
        <v>3</v>
      </c>
      <c r="G58" s="93">
        <v>250</v>
      </c>
      <c r="H58" s="275">
        <v>0</v>
      </c>
      <c r="I58" s="326">
        <v>5</v>
      </c>
      <c r="J58" s="328"/>
      <c r="K58" s="329"/>
      <c r="L58" s="329"/>
      <c r="M58" s="329"/>
      <c r="N58" s="329"/>
      <c r="O58" s="329"/>
      <c r="P58" s="329"/>
      <c r="Q58" s="329"/>
      <c r="R58" s="329"/>
      <c r="S58" s="329"/>
      <c r="T58" s="329"/>
      <c r="U58" s="329"/>
      <c r="V58" s="329"/>
      <c r="W58" s="93"/>
      <c r="X58" s="330"/>
      <c r="Y58" s="93"/>
      <c r="Z58" s="93"/>
      <c r="AA58" s="331"/>
    </row>
    <row r="59" spans="1:27" ht="19.5" customHeight="1" x14ac:dyDescent="0.2">
      <c r="A59" s="275" t="s">
        <v>102</v>
      </c>
      <c r="B59" s="326" t="s">
        <v>30</v>
      </c>
      <c r="C59" s="275" t="s">
        <v>242</v>
      </c>
      <c r="D59" s="327" t="s">
        <v>152</v>
      </c>
      <c r="E59" s="93">
        <v>3</v>
      </c>
      <c r="F59" s="93">
        <v>4</v>
      </c>
      <c r="G59" s="93">
        <v>850</v>
      </c>
      <c r="H59" s="275">
        <v>55</v>
      </c>
      <c r="I59" s="326">
        <f>2*MAX(TblRaces[[#This Row],[OffensePwr]:[DefensePwr]])</f>
        <v>8</v>
      </c>
      <c r="J59" s="328"/>
      <c r="K59" s="329"/>
      <c r="L59" s="329"/>
      <c r="M59" s="329"/>
      <c r="N59" s="329"/>
      <c r="O59" s="329"/>
      <c r="P59" s="329"/>
      <c r="Q59" s="329"/>
      <c r="R59" s="329"/>
      <c r="S59" s="329"/>
      <c r="T59" s="329"/>
      <c r="U59" s="329"/>
      <c r="V59" s="329"/>
      <c r="W59" s="93"/>
      <c r="X59" s="330"/>
      <c r="Y59" s="93"/>
      <c r="Z59" s="93"/>
      <c r="AA59" s="331"/>
    </row>
    <row r="60" spans="1:27" s="335" customFormat="1" ht="19.5" customHeight="1" x14ac:dyDescent="0.2">
      <c r="A60" s="335" t="s">
        <v>102</v>
      </c>
      <c r="B60" s="345" t="s">
        <v>30</v>
      </c>
      <c r="C60" s="335" t="s">
        <v>242</v>
      </c>
      <c r="D60" s="333" t="s">
        <v>153</v>
      </c>
      <c r="E60" s="334">
        <v>6</v>
      </c>
      <c r="F60" s="334">
        <v>0</v>
      </c>
      <c r="G60" s="334">
        <v>1150</v>
      </c>
      <c r="H60" s="335">
        <v>110</v>
      </c>
      <c r="I60" s="326">
        <f>2*MAX(TblRaces[[#This Row],[OffensePwr]:[DefensePwr]])</f>
        <v>12</v>
      </c>
      <c r="J60" s="336"/>
      <c r="K60" s="337"/>
      <c r="L60" s="337"/>
      <c r="M60" s="337"/>
      <c r="N60" s="337"/>
      <c r="O60" s="337"/>
      <c r="P60" s="337"/>
      <c r="Q60" s="337"/>
      <c r="R60" s="337"/>
      <c r="S60" s="337"/>
      <c r="T60" s="337"/>
      <c r="U60" s="337"/>
      <c r="V60" s="337"/>
      <c r="W60" s="334"/>
      <c r="X60" s="338"/>
      <c r="Y60" s="334"/>
      <c r="Z60" s="334"/>
      <c r="AA60" s="339"/>
    </row>
    <row r="61" spans="1:27" s="332" customFormat="1" ht="19.5" customHeight="1" x14ac:dyDescent="0.2">
      <c r="A61" s="332" t="s">
        <v>103</v>
      </c>
      <c r="B61" s="340" t="s">
        <v>98</v>
      </c>
      <c r="C61" s="332" t="s">
        <v>244</v>
      </c>
      <c r="D61" s="341" t="s">
        <v>154</v>
      </c>
      <c r="E61" s="342">
        <v>2.5</v>
      </c>
      <c r="F61" s="342"/>
      <c r="G61" s="342">
        <v>325</v>
      </c>
      <c r="H61" s="332">
        <v>25</v>
      </c>
      <c r="I61" s="340">
        <v>5</v>
      </c>
      <c r="J61" s="343">
        <v>0.3</v>
      </c>
      <c r="K61" s="344">
        <v>0.15</v>
      </c>
      <c r="L61" s="344"/>
      <c r="M61" s="344"/>
      <c r="N61" s="344"/>
      <c r="O61" s="344"/>
      <c r="P61" s="344"/>
      <c r="Q61" s="344"/>
      <c r="R61" s="344">
        <v>-0.25</v>
      </c>
      <c r="S61" s="344"/>
      <c r="T61" s="344"/>
      <c r="U61" s="344"/>
      <c r="V61" s="344"/>
      <c r="W61" s="93"/>
      <c r="X61" s="330"/>
      <c r="Y61" s="342"/>
      <c r="Z61" s="342"/>
      <c r="AA61" s="331"/>
    </row>
    <row r="62" spans="1:27" ht="19.5" customHeight="1" x14ac:dyDescent="0.2">
      <c r="A62" s="275" t="s">
        <v>103</v>
      </c>
      <c r="B62" s="326" t="s">
        <v>98</v>
      </c>
      <c r="C62" s="275" t="s">
        <v>244</v>
      </c>
      <c r="D62" s="327" t="s">
        <v>1089</v>
      </c>
      <c r="F62" s="93">
        <v>2.5</v>
      </c>
      <c r="G62" s="93">
        <v>325</v>
      </c>
      <c r="H62" s="275">
        <v>25</v>
      </c>
      <c r="I62" s="326">
        <v>5</v>
      </c>
      <c r="J62" s="328"/>
      <c r="K62" s="329"/>
      <c r="L62" s="329"/>
      <c r="M62" s="329"/>
      <c r="N62" s="329"/>
      <c r="O62" s="329"/>
      <c r="P62" s="329"/>
      <c r="Q62" s="329"/>
      <c r="R62" s="329"/>
      <c r="S62" s="329"/>
      <c r="T62" s="329"/>
      <c r="U62" s="329"/>
      <c r="V62" s="329"/>
      <c r="W62" s="93"/>
      <c r="X62" s="330"/>
      <c r="Y62" s="93"/>
      <c r="Z62" s="93"/>
      <c r="AA62" s="331"/>
    </row>
    <row r="63" spans="1:27" ht="19.5" customHeight="1" x14ac:dyDescent="0.2">
      <c r="A63" s="275" t="s">
        <v>103</v>
      </c>
      <c r="B63" s="326" t="s">
        <v>98</v>
      </c>
      <c r="C63" s="275" t="s">
        <v>244</v>
      </c>
      <c r="D63" s="327" t="s">
        <v>1090</v>
      </c>
      <c r="E63" s="93">
        <v>3</v>
      </c>
      <c r="F63" s="93">
        <v>3</v>
      </c>
      <c r="G63" s="93">
        <v>1300</v>
      </c>
      <c r="H63" s="275">
        <v>0</v>
      </c>
      <c r="I63" s="326">
        <f>2*MAX(TblRaces[[#This Row],[OffensePwr]:[DefensePwr]])</f>
        <v>6</v>
      </c>
      <c r="J63" s="328"/>
      <c r="K63" s="329"/>
      <c r="L63" s="329"/>
      <c r="M63" s="329"/>
      <c r="N63" s="329"/>
      <c r="O63" s="329"/>
      <c r="P63" s="329"/>
      <c r="Q63" s="329"/>
      <c r="R63" s="329"/>
      <c r="S63" s="329"/>
      <c r="T63" s="329"/>
      <c r="U63" s="329"/>
      <c r="V63" s="329"/>
      <c r="W63" s="93"/>
      <c r="X63" s="330"/>
      <c r="Y63" s="93"/>
      <c r="Z63" s="93"/>
      <c r="AA63" s="331"/>
    </row>
    <row r="64" spans="1:27" s="335" customFormat="1" ht="19.5" customHeight="1" x14ac:dyDescent="0.2">
      <c r="A64" s="335" t="s">
        <v>103</v>
      </c>
      <c r="B64" s="345" t="s">
        <v>98</v>
      </c>
      <c r="C64" s="335" t="s">
        <v>244</v>
      </c>
      <c r="D64" s="333" t="s">
        <v>155</v>
      </c>
      <c r="E64" s="334">
        <v>3</v>
      </c>
      <c r="F64" s="334">
        <v>2</v>
      </c>
      <c r="G64" s="334">
        <v>970</v>
      </c>
      <c r="H64" s="335">
        <v>50</v>
      </c>
      <c r="I64" s="326">
        <f>2*MAX(TblRaces[[#This Row],[OffensePwr]:[DefensePwr]])</f>
        <v>6</v>
      </c>
      <c r="J64" s="336"/>
      <c r="K64" s="337"/>
      <c r="L64" s="337"/>
      <c r="M64" s="337"/>
      <c r="N64" s="337"/>
      <c r="O64" s="337"/>
      <c r="P64" s="337"/>
      <c r="Q64" s="337"/>
      <c r="R64" s="337"/>
      <c r="S64" s="337"/>
      <c r="T64" s="337"/>
      <c r="U64" s="337"/>
      <c r="V64" s="337"/>
      <c r="W64" s="334"/>
      <c r="X64" s="338"/>
      <c r="Y64" s="334"/>
      <c r="Z64" s="334"/>
      <c r="AA64" s="339"/>
    </row>
    <row r="65" spans="1:27" s="332" customFormat="1" ht="19.5" customHeight="1" x14ac:dyDescent="0.2">
      <c r="A65" s="332" t="s">
        <v>104</v>
      </c>
      <c r="B65" s="340" t="s">
        <v>30</v>
      </c>
      <c r="C65" s="332" t="s">
        <v>62</v>
      </c>
      <c r="D65" s="341" t="s">
        <v>156</v>
      </c>
      <c r="E65" s="342">
        <v>3</v>
      </c>
      <c r="F65" s="342"/>
      <c r="G65" s="342">
        <v>315</v>
      </c>
      <c r="H65" s="332">
        <v>0</v>
      </c>
      <c r="I65" s="340">
        <v>5</v>
      </c>
      <c r="J65" s="343">
        <v>0.05</v>
      </c>
      <c r="K65" s="344"/>
      <c r="L65" s="344"/>
      <c r="M65" s="344"/>
      <c r="N65" s="344"/>
      <c r="O65" s="344"/>
      <c r="P65" s="344"/>
      <c r="Q65" s="344"/>
      <c r="R65" s="344"/>
      <c r="S65" s="344"/>
      <c r="T65" s="344"/>
      <c r="U65" s="344">
        <v>0.1</v>
      </c>
      <c r="V65" s="344"/>
      <c r="W65" s="93"/>
      <c r="X65" s="330"/>
      <c r="Y65" s="342"/>
      <c r="Z65" s="342"/>
      <c r="AA65" s="331"/>
    </row>
    <row r="66" spans="1:27" ht="19.5" customHeight="1" x14ac:dyDescent="0.2">
      <c r="A66" s="275" t="s">
        <v>104</v>
      </c>
      <c r="B66" s="326" t="s">
        <v>30</v>
      </c>
      <c r="C66" s="275" t="s">
        <v>62</v>
      </c>
      <c r="D66" s="327" t="s">
        <v>157</v>
      </c>
      <c r="F66" s="93">
        <v>3</v>
      </c>
      <c r="G66" s="93">
        <v>275</v>
      </c>
      <c r="H66" s="275">
        <v>0</v>
      </c>
      <c r="I66" s="326">
        <v>5</v>
      </c>
      <c r="J66" s="328"/>
      <c r="K66" s="329"/>
      <c r="L66" s="329"/>
      <c r="M66" s="329"/>
      <c r="N66" s="329"/>
      <c r="O66" s="329"/>
      <c r="P66" s="329"/>
      <c r="Q66" s="329"/>
      <c r="R66" s="329"/>
      <c r="S66" s="329"/>
      <c r="T66" s="329"/>
      <c r="U66" s="329"/>
      <c r="V66" s="329"/>
      <c r="W66" s="93"/>
      <c r="X66" s="330"/>
      <c r="Y66" s="93"/>
      <c r="Z66" s="93"/>
      <c r="AA66" s="331"/>
    </row>
    <row r="67" spans="1:27" ht="19.5" customHeight="1" x14ac:dyDescent="0.2">
      <c r="A67" s="275" t="s">
        <v>104</v>
      </c>
      <c r="B67" s="326" t="s">
        <v>30</v>
      </c>
      <c r="C67" s="275" t="s">
        <v>62</v>
      </c>
      <c r="D67" s="327" t="s">
        <v>158</v>
      </c>
      <c r="E67" s="93">
        <v>4</v>
      </c>
      <c r="F67" s="93">
        <v>4</v>
      </c>
      <c r="G67" s="93">
        <v>900</v>
      </c>
      <c r="H67" s="275">
        <v>0</v>
      </c>
      <c r="I67" s="326">
        <f>2*MAX(TblRaces[[#This Row],[OffensePwr]:[DefensePwr]])</f>
        <v>8</v>
      </c>
      <c r="J67" s="328"/>
      <c r="K67" s="329"/>
      <c r="L67" s="329"/>
      <c r="M67" s="329"/>
      <c r="N67" s="329"/>
      <c r="O67" s="329"/>
      <c r="P67" s="329"/>
      <c r="Q67" s="329"/>
      <c r="R67" s="329"/>
      <c r="S67" s="329"/>
      <c r="T67" s="329"/>
      <c r="U67" s="329"/>
      <c r="V67" s="329"/>
      <c r="W67" s="93"/>
      <c r="X67" s="330"/>
      <c r="Y67" s="93"/>
      <c r="Z67" s="93"/>
      <c r="AA67" s="331"/>
    </row>
    <row r="68" spans="1:27" s="335" customFormat="1" ht="19.5" customHeight="1" x14ac:dyDescent="0.2">
      <c r="A68" s="335" t="s">
        <v>104</v>
      </c>
      <c r="B68" s="345" t="s">
        <v>30</v>
      </c>
      <c r="C68" s="335" t="s">
        <v>62</v>
      </c>
      <c r="D68" s="333" t="s">
        <v>159</v>
      </c>
      <c r="E68" s="334">
        <v>6</v>
      </c>
      <c r="F68" s="334">
        <v>2</v>
      </c>
      <c r="G68" s="334">
        <v>1065</v>
      </c>
      <c r="H68" s="335">
        <v>0</v>
      </c>
      <c r="I68" s="345">
        <f>2*MAX(TblRaces[[#This Row],[OffensePwr]:[DefensePwr]])</f>
        <v>12</v>
      </c>
      <c r="J68" s="336"/>
      <c r="K68" s="337"/>
      <c r="L68" s="337"/>
      <c r="M68" s="337"/>
      <c r="N68" s="337"/>
      <c r="O68" s="337"/>
      <c r="P68" s="337"/>
      <c r="Q68" s="337"/>
      <c r="R68" s="337"/>
      <c r="S68" s="337"/>
      <c r="T68" s="337"/>
      <c r="U68" s="337"/>
      <c r="V68" s="337"/>
      <c r="W68" s="334"/>
      <c r="X68" s="338"/>
      <c r="Y68" s="334"/>
      <c r="Z68" s="334"/>
      <c r="AA68" s="339"/>
    </row>
    <row r="69" spans="1:27" s="332" customFormat="1" ht="19.5" customHeight="1" x14ac:dyDescent="0.2">
      <c r="A69" s="332" t="s">
        <v>328</v>
      </c>
      <c r="B69" s="340" t="s">
        <v>30</v>
      </c>
      <c r="C69" s="332" t="s">
        <v>245</v>
      </c>
      <c r="D69" s="341" t="s">
        <v>329</v>
      </c>
      <c r="E69" s="342">
        <v>3</v>
      </c>
      <c r="F69" s="342"/>
      <c r="G69" s="342">
        <v>300</v>
      </c>
      <c r="H69" s="332">
        <v>0</v>
      </c>
      <c r="I69" s="340">
        <v>5</v>
      </c>
      <c r="J69" s="343"/>
      <c r="K69" s="344"/>
      <c r="L69" s="344">
        <v>0.05</v>
      </c>
      <c r="M69" s="344"/>
      <c r="N69" s="344"/>
      <c r="O69" s="344"/>
      <c r="P69" s="344"/>
      <c r="Q69" s="344"/>
      <c r="R69" s="344">
        <v>-0.5</v>
      </c>
      <c r="S69" s="344">
        <v>0.05</v>
      </c>
      <c r="T69" s="344"/>
      <c r="U69" s="344"/>
      <c r="V69" s="344"/>
      <c r="W69" s="93"/>
      <c r="X69" s="330"/>
      <c r="Y69" s="342"/>
      <c r="Z69" s="342"/>
      <c r="AA69" s="331"/>
    </row>
    <row r="70" spans="1:27" ht="19.5" customHeight="1" x14ac:dyDescent="0.2">
      <c r="A70" s="275" t="s">
        <v>328</v>
      </c>
      <c r="B70" s="326" t="s">
        <v>30</v>
      </c>
      <c r="C70" s="275" t="s">
        <v>245</v>
      </c>
      <c r="D70" s="327" t="s">
        <v>330</v>
      </c>
      <c r="F70" s="93">
        <v>3</v>
      </c>
      <c r="G70" s="93">
        <v>350</v>
      </c>
      <c r="H70" s="275">
        <v>25</v>
      </c>
      <c r="I70" s="326">
        <v>5</v>
      </c>
      <c r="J70" s="328"/>
      <c r="K70" s="329"/>
      <c r="L70" s="329"/>
      <c r="M70" s="329"/>
      <c r="N70" s="329"/>
      <c r="O70" s="329"/>
      <c r="P70" s="329"/>
      <c r="Q70" s="329"/>
      <c r="R70" s="329"/>
      <c r="S70" s="329"/>
      <c r="T70" s="329"/>
      <c r="U70" s="329"/>
      <c r="V70" s="329"/>
      <c r="W70" s="93"/>
      <c r="X70" s="330"/>
      <c r="Y70" s="93"/>
      <c r="Z70" s="93"/>
      <c r="AA70" s="331"/>
    </row>
    <row r="71" spans="1:27" ht="19.5" customHeight="1" x14ac:dyDescent="0.2">
      <c r="A71" s="275" t="s">
        <v>328</v>
      </c>
      <c r="B71" s="326" t="s">
        <v>30</v>
      </c>
      <c r="C71" s="275" t="s">
        <v>245</v>
      </c>
      <c r="D71" s="327" t="s">
        <v>1091</v>
      </c>
      <c r="E71" s="93">
        <v>3</v>
      </c>
      <c r="F71" s="93">
        <v>3</v>
      </c>
      <c r="G71" s="93">
        <v>995</v>
      </c>
      <c r="H71" s="275">
        <v>100</v>
      </c>
      <c r="I71" s="326">
        <f>2*MAX(TblRaces[[#This Row],[OffensePwr]:[DefensePwr]])</f>
        <v>6</v>
      </c>
      <c r="J71" s="328"/>
      <c r="K71" s="329"/>
      <c r="L71" s="329"/>
      <c r="M71" s="329"/>
      <c r="N71" s="329"/>
      <c r="O71" s="329"/>
      <c r="P71" s="329"/>
      <c r="Q71" s="329"/>
      <c r="R71" s="329"/>
      <c r="S71" s="329"/>
      <c r="T71" s="329"/>
      <c r="U71" s="329"/>
      <c r="V71" s="329"/>
      <c r="W71" s="93"/>
      <c r="X71" s="330"/>
      <c r="Y71" s="93"/>
      <c r="Z71" s="93"/>
      <c r="AA71" s="331"/>
    </row>
    <row r="72" spans="1:27" s="335" customFormat="1" ht="19.5" customHeight="1" x14ac:dyDescent="0.2">
      <c r="A72" s="335" t="s">
        <v>328</v>
      </c>
      <c r="B72" s="345" t="s">
        <v>30</v>
      </c>
      <c r="C72" s="335" t="s">
        <v>245</v>
      </c>
      <c r="D72" s="333" t="s">
        <v>332</v>
      </c>
      <c r="E72" s="334">
        <v>4</v>
      </c>
      <c r="F72" s="334">
        <v>2</v>
      </c>
      <c r="G72" s="334">
        <v>1140</v>
      </c>
      <c r="H72" s="335">
        <v>0</v>
      </c>
      <c r="I72" s="345">
        <f>2*MAX(TblRaces[[#This Row],[OffensePwr]:[DefensePwr]])</f>
        <v>8</v>
      </c>
      <c r="J72" s="336"/>
      <c r="K72" s="337"/>
      <c r="L72" s="337"/>
      <c r="M72" s="337"/>
      <c r="N72" s="337"/>
      <c r="O72" s="337"/>
      <c r="P72" s="337"/>
      <c r="Q72" s="337"/>
      <c r="R72" s="337"/>
      <c r="S72" s="337"/>
      <c r="T72" s="337"/>
      <c r="U72" s="337"/>
      <c r="V72" s="337"/>
      <c r="W72" s="334"/>
      <c r="X72" s="338"/>
      <c r="Y72" s="334"/>
      <c r="Z72" s="334"/>
      <c r="AA72" s="339"/>
    </row>
    <row r="73" spans="1:27" ht="19.5" customHeight="1" x14ac:dyDescent="0.2">
      <c r="A73" s="332" t="s">
        <v>342</v>
      </c>
      <c r="B73" s="340" t="s">
        <v>98</v>
      </c>
      <c r="C73" s="332" t="s">
        <v>242</v>
      </c>
      <c r="D73" s="341" t="s">
        <v>336</v>
      </c>
      <c r="E73" s="342">
        <v>3</v>
      </c>
      <c r="F73" s="342"/>
      <c r="G73" s="342">
        <v>325</v>
      </c>
      <c r="H73" s="332">
        <v>0</v>
      </c>
      <c r="I73" s="340">
        <v>5</v>
      </c>
      <c r="J73" s="343">
        <v>0.05</v>
      </c>
      <c r="K73" s="344"/>
      <c r="L73" s="344"/>
      <c r="M73" s="344"/>
      <c r="N73" s="344"/>
      <c r="O73" s="344"/>
      <c r="P73" s="344"/>
      <c r="Q73" s="344">
        <v>0.15</v>
      </c>
      <c r="R73" s="344"/>
      <c r="S73" s="344"/>
      <c r="T73" s="344"/>
      <c r="U73" s="344"/>
      <c r="V73" s="344"/>
      <c r="W73" s="93"/>
      <c r="X73" s="330"/>
      <c r="Y73" s="408">
        <v>-0.1</v>
      </c>
      <c r="Z73" s="93"/>
      <c r="AA73" s="349"/>
    </row>
    <row r="74" spans="1:27" ht="19.5" customHeight="1" x14ac:dyDescent="0.2">
      <c r="A74" s="275" t="s">
        <v>342</v>
      </c>
      <c r="B74" s="326" t="s">
        <v>98</v>
      </c>
      <c r="C74" s="275" t="s">
        <v>242</v>
      </c>
      <c r="D74" s="327" t="s">
        <v>337</v>
      </c>
      <c r="F74" s="93">
        <v>3</v>
      </c>
      <c r="G74" s="93">
        <v>300</v>
      </c>
      <c r="H74" s="275">
        <v>0</v>
      </c>
      <c r="I74" s="326">
        <v>5</v>
      </c>
      <c r="J74" s="328"/>
      <c r="K74" s="329"/>
      <c r="L74" s="329"/>
      <c r="M74" s="329"/>
      <c r="N74" s="329"/>
      <c r="O74" s="329"/>
      <c r="P74" s="329"/>
      <c r="Q74" s="329"/>
      <c r="R74" s="329"/>
      <c r="S74" s="329"/>
      <c r="T74" s="329"/>
      <c r="U74" s="329"/>
      <c r="V74" s="329"/>
      <c r="W74" s="93"/>
      <c r="X74" s="330"/>
      <c r="Y74" s="93"/>
      <c r="Z74" s="93"/>
      <c r="AA74" s="331"/>
    </row>
    <row r="75" spans="1:27" ht="19.5" customHeight="1" x14ac:dyDescent="0.2">
      <c r="A75" s="275" t="s">
        <v>342</v>
      </c>
      <c r="B75" s="326" t="s">
        <v>98</v>
      </c>
      <c r="C75" s="275" t="s">
        <v>242</v>
      </c>
      <c r="D75" s="327" t="s">
        <v>338</v>
      </c>
      <c r="E75" s="93">
        <v>0</v>
      </c>
      <c r="F75" s="93">
        <v>4.5</v>
      </c>
      <c r="G75" s="93">
        <v>900</v>
      </c>
      <c r="H75" s="275">
        <v>0</v>
      </c>
      <c r="I75" s="326">
        <f>2*MAX(TblRaces[[#This Row],[OffensePwr]:[DefensePwr]])</f>
        <v>9</v>
      </c>
      <c r="J75" s="328"/>
      <c r="K75" s="329"/>
      <c r="L75" s="329"/>
      <c r="M75" s="329"/>
      <c r="N75" s="329"/>
      <c r="O75" s="329"/>
      <c r="P75" s="329"/>
      <c r="Q75" s="329"/>
      <c r="R75" s="329"/>
      <c r="S75" s="329"/>
      <c r="T75" s="329"/>
      <c r="U75" s="329"/>
      <c r="V75" s="329"/>
      <c r="W75" s="93"/>
      <c r="X75" s="330"/>
      <c r="Y75" s="93"/>
      <c r="Z75" s="93"/>
      <c r="AA75" s="331"/>
    </row>
    <row r="76" spans="1:27" ht="19.5" customHeight="1" x14ac:dyDescent="0.2">
      <c r="A76" s="335" t="s">
        <v>342</v>
      </c>
      <c r="B76" s="345" t="s">
        <v>98</v>
      </c>
      <c r="C76" s="335" t="s">
        <v>242</v>
      </c>
      <c r="D76" s="333" t="s">
        <v>339</v>
      </c>
      <c r="E76" s="334">
        <v>5</v>
      </c>
      <c r="F76" s="334">
        <v>3</v>
      </c>
      <c r="G76" s="334">
        <v>925</v>
      </c>
      <c r="H76" s="335">
        <v>0</v>
      </c>
      <c r="I76" s="345">
        <f>2*MAX(TblRaces[[#This Row],[OffensePwr]:[DefensePwr]])</f>
        <v>10</v>
      </c>
      <c r="J76" s="336"/>
      <c r="K76" s="337"/>
      <c r="L76" s="337"/>
      <c r="M76" s="337"/>
      <c r="N76" s="337"/>
      <c r="O76" s="337"/>
      <c r="P76" s="337"/>
      <c r="Q76" s="337"/>
      <c r="R76" s="337"/>
      <c r="S76" s="337"/>
      <c r="T76" s="337"/>
      <c r="U76" s="337"/>
      <c r="V76" s="337"/>
      <c r="W76" s="334"/>
      <c r="X76" s="338"/>
      <c r="Y76" s="334"/>
      <c r="Z76" s="93"/>
      <c r="AA76" s="339"/>
    </row>
    <row r="77" spans="1:27" ht="19.5" customHeight="1" x14ac:dyDescent="0.2">
      <c r="A77" s="332" t="s">
        <v>143</v>
      </c>
      <c r="B77" s="340" t="s">
        <v>30</v>
      </c>
      <c r="C77" s="346" t="s">
        <v>58</v>
      </c>
      <c r="D77" s="332" t="s">
        <v>355</v>
      </c>
      <c r="E77" s="342">
        <v>4</v>
      </c>
      <c r="F77" s="342"/>
      <c r="G77" s="342">
        <v>385</v>
      </c>
      <c r="H77" s="332">
        <v>30</v>
      </c>
      <c r="I77" s="340">
        <v>5</v>
      </c>
      <c r="J77" s="343"/>
      <c r="K77" s="344"/>
      <c r="L77" s="344"/>
      <c r="M77" s="344"/>
      <c r="N77" s="344">
        <v>0.5</v>
      </c>
      <c r="O77" s="344"/>
      <c r="P77" s="344"/>
      <c r="Q77" s="344"/>
      <c r="R77" s="344"/>
      <c r="S77" s="344"/>
      <c r="T77" s="344"/>
      <c r="U77" s="344"/>
      <c r="V77" s="344"/>
      <c r="W77" s="93"/>
      <c r="X77" s="330"/>
      <c r="Y77" s="93"/>
      <c r="Z77" s="342"/>
      <c r="AA77" s="331"/>
    </row>
    <row r="78" spans="1:27" ht="19.5" customHeight="1" x14ac:dyDescent="0.2">
      <c r="A78" s="275" t="s">
        <v>143</v>
      </c>
      <c r="B78" s="326" t="s">
        <v>30</v>
      </c>
      <c r="C78" s="347" t="s">
        <v>58</v>
      </c>
      <c r="D78" s="275" t="s">
        <v>324</v>
      </c>
      <c r="F78" s="93">
        <v>3</v>
      </c>
      <c r="G78" s="93">
        <v>300</v>
      </c>
      <c r="H78" s="275">
        <v>0</v>
      </c>
      <c r="I78" s="326">
        <v>5</v>
      </c>
      <c r="J78" s="328"/>
      <c r="K78" s="329"/>
      <c r="L78" s="329"/>
      <c r="M78" s="329"/>
      <c r="N78" s="329"/>
      <c r="O78" s="329"/>
      <c r="P78" s="329"/>
      <c r="Q78" s="329"/>
      <c r="R78" s="329"/>
      <c r="S78" s="329"/>
      <c r="T78" s="329"/>
      <c r="U78" s="329"/>
      <c r="V78" s="329"/>
      <c r="W78" s="93"/>
      <c r="X78" s="330"/>
      <c r="Y78" s="93"/>
      <c r="Z78" s="93"/>
      <c r="AA78" s="331"/>
    </row>
    <row r="79" spans="1:27" ht="19.5" customHeight="1" x14ac:dyDescent="0.2">
      <c r="A79" s="275" t="s">
        <v>143</v>
      </c>
      <c r="B79" s="326" t="s">
        <v>30</v>
      </c>
      <c r="C79" s="347" t="s">
        <v>58</v>
      </c>
      <c r="D79" s="275" t="s">
        <v>1093</v>
      </c>
      <c r="E79" s="93">
        <v>0</v>
      </c>
      <c r="F79" s="93">
        <v>5</v>
      </c>
      <c r="G79" s="93">
        <v>965</v>
      </c>
      <c r="H79" s="275">
        <v>0</v>
      </c>
      <c r="I79" s="326">
        <f>2*MAX(TblRaces[[#This Row],[OffensePwr]:[DefensePwr]])</f>
        <v>10</v>
      </c>
      <c r="J79" s="328"/>
      <c r="K79" s="329"/>
      <c r="L79" s="329"/>
      <c r="M79" s="329"/>
      <c r="N79" s="329"/>
      <c r="O79" s="329"/>
      <c r="P79" s="329"/>
      <c r="Q79" s="329"/>
      <c r="R79" s="329"/>
      <c r="S79" s="329"/>
      <c r="T79" s="329"/>
      <c r="U79" s="329"/>
      <c r="V79" s="329"/>
      <c r="W79" s="93"/>
      <c r="X79" s="330"/>
      <c r="Y79" s="93"/>
      <c r="Z79" s="93"/>
      <c r="AA79" s="331"/>
    </row>
    <row r="80" spans="1:27" ht="19.5" customHeight="1" x14ac:dyDescent="0.2">
      <c r="A80" s="335" t="s">
        <v>143</v>
      </c>
      <c r="B80" s="345" t="s">
        <v>30</v>
      </c>
      <c r="C80" s="348" t="s">
        <v>58</v>
      </c>
      <c r="D80" s="335" t="s">
        <v>356</v>
      </c>
      <c r="E80" s="334">
        <v>4</v>
      </c>
      <c r="F80" s="334">
        <v>3</v>
      </c>
      <c r="G80" s="334">
        <v>1150</v>
      </c>
      <c r="H80" s="335">
        <v>120</v>
      </c>
      <c r="I80" s="345">
        <f>2*MAX(TblRaces[[#This Row],[OffensePwr]:[DefensePwr]])</f>
        <v>8</v>
      </c>
      <c r="J80" s="336"/>
      <c r="K80" s="337"/>
      <c r="L80" s="337"/>
      <c r="M80" s="337"/>
      <c r="N80" s="337"/>
      <c r="O80" s="337"/>
      <c r="P80" s="337"/>
      <c r="Q80" s="337"/>
      <c r="R80" s="337"/>
      <c r="S80" s="337"/>
      <c r="T80" s="337"/>
      <c r="U80" s="337"/>
      <c r="V80" s="337"/>
      <c r="W80" s="334"/>
      <c r="X80" s="338"/>
      <c r="Y80" s="334"/>
      <c r="Z80" s="334"/>
      <c r="AA80" s="339"/>
    </row>
    <row r="81" spans="1:27" ht="19.5" customHeight="1" x14ac:dyDescent="0.2">
      <c r="A81" s="332" t="s">
        <v>1106</v>
      </c>
      <c r="B81" s="340" t="s">
        <v>30</v>
      </c>
      <c r="C81" s="346" t="s">
        <v>60</v>
      </c>
      <c r="D81" s="332" t="s">
        <v>1107</v>
      </c>
      <c r="E81" s="342">
        <v>3</v>
      </c>
      <c r="F81" s="342">
        <v>0</v>
      </c>
      <c r="G81" s="342">
        <v>315</v>
      </c>
      <c r="H81" s="332">
        <v>15</v>
      </c>
      <c r="I81" s="340">
        <v>5</v>
      </c>
      <c r="J81" s="343">
        <v>7.4999999999999997E-2</v>
      </c>
      <c r="K81" s="344"/>
      <c r="L81" s="344"/>
      <c r="M81" s="344"/>
      <c r="N81" s="344"/>
      <c r="O81" s="344"/>
      <c r="P81" s="344"/>
      <c r="Q81" s="344"/>
      <c r="R81" s="344">
        <v>-0.75</v>
      </c>
      <c r="S81" s="344"/>
      <c r="T81" s="344"/>
      <c r="U81" s="344"/>
      <c r="V81" s="344"/>
      <c r="W81" s="93"/>
      <c r="X81" s="330"/>
      <c r="Y81" s="93"/>
      <c r="Z81" s="329"/>
      <c r="AA81" s="349"/>
    </row>
    <row r="82" spans="1:27" ht="19.5" customHeight="1" x14ac:dyDescent="0.2">
      <c r="A82" s="275" t="s">
        <v>1106</v>
      </c>
      <c r="B82" s="326" t="s">
        <v>30</v>
      </c>
      <c r="C82" s="347" t="s">
        <v>60</v>
      </c>
      <c r="D82" s="275" t="s">
        <v>1108</v>
      </c>
      <c r="E82" s="93">
        <v>0</v>
      </c>
      <c r="F82" s="93">
        <v>3</v>
      </c>
      <c r="G82" s="93">
        <v>275</v>
      </c>
      <c r="H82" s="275">
        <v>0</v>
      </c>
      <c r="I82" s="326">
        <v>5</v>
      </c>
      <c r="J82" s="328"/>
      <c r="K82" s="329"/>
      <c r="L82" s="329"/>
      <c r="M82" s="329"/>
      <c r="N82" s="329"/>
      <c r="O82" s="329"/>
      <c r="P82" s="329"/>
      <c r="Q82" s="329"/>
      <c r="R82" s="329"/>
      <c r="S82" s="329"/>
      <c r="T82" s="329"/>
      <c r="U82" s="329"/>
      <c r="V82" s="329"/>
      <c r="W82" s="93"/>
      <c r="X82" s="330"/>
      <c r="Y82" s="93"/>
      <c r="Z82" s="93"/>
      <c r="AA82" s="331"/>
    </row>
    <row r="83" spans="1:27" ht="19.5" customHeight="1" x14ac:dyDescent="0.2">
      <c r="A83" s="275" t="s">
        <v>1106</v>
      </c>
      <c r="B83" s="326" t="s">
        <v>30</v>
      </c>
      <c r="C83" s="347" t="s">
        <v>60</v>
      </c>
      <c r="D83" s="275" t="s">
        <v>1109</v>
      </c>
      <c r="E83" s="93">
        <v>2</v>
      </c>
      <c r="F83" s="93">
        <v>5</v>
      </c>
      <c r="G83" s="93">
        <v>1000</v>
      </c>
      <c r="H83" s="275">
        <v>0</v>
      </c>
      <c r="I83" s="326">
        <f>2*MAX(TblRaces[[#This Row],[OffensePwr]:[DefensePwr]])</f>
        <v>10</v>
      </c>
      <c r="J83" s="328"/>
      <c r="K83" s="329"/>
      <c r="L83" s="329"/>
      <c r="M83" s="329"/>
      <c r="N83" s="329"/>
      <c r="O83" s="329"/>
      <c r="P83" s="329"/>
      <c r="Q83" s="329"/>
      <c r="R83" s="329"/>
      <c r="S83" s="329"/>
      <c r="T83" s="329"/>
      <c r="U83" s="329"/>
      <c r="V83" s="329"/>
      <c r="W83" s="93"/>
      <c r="X83" s="330"/>
      <c r="Y83" s="93"/>
      <c r="Z83" s="93"/>
      <c r="AA83" s="331"/>
    </row>
    <row r="84" spans="1:27" ht="19.5" customHeight="1" x14ac:dyDescent="0.2">
      <c r="A84" s="335" t="s">
        <v>1106</v>
      </c>
      <c r="B84" s="345" t="s">
        <v>30</v>
      </c>
      <c r="C84" s="348" t="s">
        <v>60</v>
      </c>
      <c r="D84" s="335" t="s">
        <v>1110</v>
      </c>
      <c r="E84" s="334">
        <v>4</v>
      </c>
      <c r="F84" s="334">
        <v>3</v>
      </c>
      <c r="G84" s="334">
        <v>1000</v>
      </c>
      <c r="H84" s="335">
        <v>0</v>
      </c>
      <c r="I84" s="345">
        <f>2*MAX(TblRaces[[#This Row],[OffensePwr]:[DefensePwr]])</f>
        <v>8</v>
      </c>
      <c r="J84" s="336"/>
      <c r="K84" s="337"/>
      <c r="L84" s="337"/>
      <c r="M84" s="337"/>
      <c r="N84" s="337"/>
      <c r="O84" s="337"/>
      <c r="P84" s="337"/>
      <c r="Q84" s="337"/>
      <c r="R84" s="337"/>
      <c r="S84" s="337"/>
      <c r="T84" s="337"/>
      <c r="U84" s="337"/>
      <c r="V84" s="337"/>
      <c r="W84" s="334"/>
      <c r="X84" s="338"/>
      <c r="Y84" s="334"/>
      <c r="Z84" s="334"/>
      <c r="AA84" s="339"/>
    </row>
    <row r="85" spans="1:27" ht="19.5" customHeight="1" x14ac:dyDescent="0.2">
      <c r="A85" s="275" t="s">
        <v>1122</v>
      </c>
      <c r="B85" s="326" t="s">
        <v>30</v>
      </c>
      <c r="C85" s="347" t="s">
        <v>242</v>
      </c>
      <c r="D85" s="275" t="s">
        <v>1129</v>
      </c>
      <c r="E85" s="93">
        <v>3.5</v>
      </c>
      <c r="F85" s="93">
        <v>0</v>
      </c>
      <c r="G85" s="93">
        <v>360</v>
      </c>
      <c r="H85" s="275">
        <v>20</v>
      </c>
      <c r="I85" s="326">
        <v>5</v>
      </c>
      <c r="J85" s="328"/>
      <c r="K85" s="329"/>
      <c r="L85" s="329"/>
      <c r="M85" s="329"/>
      <c r="N85" s="329"/>
      <c r="O85" s="329"/>
      <c r="P85" s="329"/>
      <c r="Q85" s="329"/>
      <c r="R85" s="329"/>
      <c r="S85" s="329"/>
      <c r="T85" s="329">
        <v>0.05</v>
      </c>
      <c r="U85" s="329"/>
      <c r="V85" s="329"/>
      <c r="W85" s="93"/>
      <c r="X85" s="330"/>
      <c r="Y85" s="93"/>
      <c r="Z85" s="331"/>
      <c r="AA85" s="331"/>
    </row>
    <row r="86" spans="1:27" ht="19.5" customHeight="1" x14ac:dyDescent="0.2">
      <c r="A86" s="275" t="s">
        <v>1122</v>
      </c>
      <c r="B86" s="326" t="s">
        <v>30</v>
      </c>
      <c r="C86" s="347" t="s">
        <v>242</v>
      </c>
      <c r="D86" s="275" t="s">
        <v>1124</v>
      </c>
      <c r="E86" s="93">
        <v>0</v>
      </c>
      <c r="F86" s="93">
        <v>3</v>
      </c>
      <c r="G86" s="93">
        <v>300</v>
      </c>
      <c r="H86" s="275">
        <v>10</v>
      </c>
      <c r="I86" s="326">
        <v>5</v>
      </c>
      <c r="J86" s="328"/>
      <c r="K86" s="329"/>
      <c r="L86" s="329"/>
      <c r="M86" s="329"/>
      <c r="N86" s="329"/>
      <c r="O86" s="329"/>
      <c r="P86" s="329"/>
      <c r="Q86" s="329"/>
      <c r="R86" s="329"/>
      <c r="S86" s="329"/>
      <c r="T86" s="329"/>
      <c r="U86" s="329"/>
      <c r="V86" s="329"/>
      <c r="W86" s="93"/>
      <c r="X86" s="330"/>
      <c r="Y86" s="93"/>
      <c r="Z86" s="331"/>
      <c r="AA86" s="331"/>
    </row>
    <row r="87" spans="1:27" ht="19.5" customHeight="1" x14ac:dyDescent="0.2">
      <c r="A87" s="275" t="s">
        <v>1122</v>
      </c>
      <c r="B87" s="326" t="s">
        <v>30</v>
      </c>
      <c r="C87" s="347" t="s">
        <v>242</v>
      </c>
      <c r="D87" s="275" t="s">
        <v>1123</v>
      </c>
      <c r="E87" s="93">
        <v>1</v>
      </c>
      <c r="F87" s="93">
        <v>5</v>
      </c>
      <c r="G87" s="93">
        <v>1050</v>
      </c>
      <c r="H87" s="275">
        <v>10</v>
      </c>
      <c r="I87" s="326">
        <f>2*MAX(TblRaces[[#This Row],[OffensePwr]:[DefensePwr]])</f>
        <v>10</v>
      </c>
      <c r="J87" s="328"/>
      <c r="K87" s="329"/>
      <c r="L87" s="329"/>
      <c r="M87" s="329"/>
      <c r="N87" s="329"/>
      <c r="O87" s="329"/>
      <c r="P87" s="329"/>
      <c r="Q87" s="329"/>
      <c r="R87" s="329"/>
      <c r="S87" s="329"/>
      <c r="T87" s="329"/>
      <c r="U87" s="329"/>
      <c r="V87" s="329"/>
      <c r="W87" s="93"/>
      <c r="X87" s="330"/>
      <c r="Y87" s="93"/>
      <c r="Z87" s="331"/>
      <c r="AA87" s="331"/>
    </row>
    <row r="88" spans="1:27" ht="19.5" customHeight="1" x14ac:dyDescent="0.2">
      <c r="A88" s="335" t="s">
        <v>1122</v>
      </c>
      <c r="B88" s="345" t="s">
        <v>30</v>
      </c>
      <c r="C88" s="348" t="s">
        <v>242</v>
      </c>
      <c r="D88" s="335" t="s">
        <v>1125</v>
      </c>
      <c r="E88" s="334">
        <v>5</v>
      </c>
      <c r="F88" s="334">
        <v>2</v>
      </c>
      <c r="G88" s="334">
        <v>800</v>
      </c>
      <c r="H88" s="335">
        <v>35</v>
      </c>
      <c r="I88" s="345">
        <f>2*MAX(TblRaces[[#This Row],[OffensePwr]:[DefensePwr]])</f>
        <v>10</v>
      </c>
      <c r="J88" s="336"/>
      <c r="K88" s="337"/>
      <c r="L88" s="337"/>
      <c r="M88" s="337"/>
      <c r="N88" s="337"/>
      <c r="O88" s="337"/>
      <c r="P88" s="337"/>
      <c r="Q88" s="337"/>
      <c r="R88" s="337"/>
      <c r="S88" s="337"/>
      <c r="T88" s="337"/>
      <c r="U88" s="337"/>
      <c r="V88" s="337"/>
      <c r="W88" s="334"/>
      <c r="X88" s="338"/>
      <c r="Y88" s="334"/>
      <c r="Z88" s="339"/>
      <c r="AA88" s="339"/>
    </row>
    <row r="89" spans="1:27" ht="19.5" customHeight="1" x14ac:dyDescent="0.2">
      <c r="A89" s="275" t="s">
        <v>498</v>
      </c>
      <c r="B89" s="326" t="s">
        <v>30</v>
      </c>
      <c r="C89" s="347" t="s">
        <v>60</v>
      </c>
      <c r="D89" s="275" t="s">
        <v>420</v>
      </c>
      <c r="E89" s="93">
        <v>3</v>
      </c>
      <c r="G89" s="93">
        <v>300</v>
      </c>
      <c r="H89" s="275">
        <v>0</v>
      </c>
      <c r="I89" s="326">
        <v>5</v>
      </c>
      <c r="J89" s="328"/>
      <c r="K89" s="329"/>
      <c r="L89" s="329"/>
      <c r="M89" s="329"/>
      <c r="N89" s="329"/>
      <c r="O89" s="329">
        <v>0.1</v>
      </c>
      <c r="P89" s="329"/>
      <c r="Q89" s="329"/>
      <c r="R89" s="329">
        <v>-0.2</v>
      </c>
      <c r="S89" s="329"/>
      <c r="T89" s="329"/>
      <c r="U89" s="329"/>
      <c r="V89" s="329"/>
      <c r="W89" s="93"/>
      <c r="X89" s="330"/>
      <c r="Y89" s="93"/>
      <c r="Z89" s="331"/>
      <c r="AA89" s="331"/>
    </row>
    <row r="90" spans="1:27" ht="19.5" customHeight="1" x14ac:dyDescent="0.2">
      <c r="A90" s="275" t="s">
        <v>498</v>
      </c>
      <c r="B90" s="326" t="s">
        <v>30</v>
      </c>
      <c r="C90" s="347" t="s">
        <v>60</v>
      </c>
      <c r="D90" s="275" t="s">
        <v>421</v>
      </c>
      <c r="F90" s="93">
        <v>3</v>
      </c>
      <c r="G90" s="93">
        <v>325</v>
      </c>
      <c r="H90" s="275">
        <v>8</v>
      </c>
      <c r="I90" s="326">
        <v>5</v>
      </c>
      <c r="J90" s="328"/>
      <c r="K90" s="329"/>
      <c r="L90" s="329"/>
      <c r="M90" s="329"/>
      <c r="N90" s="329"/>
      <c r="O90" s="329"/>
      <c r="P90" s="329"/>
      <c r="Q90" s="329"/>
      <c r="R90" s="329"/>
      <c r="S90" s="329"/>
      <c r="T90" s="329"/>
      <c r="U90" s="329"/>
      <c r="V90" s="329"/>
      <c r="W90" s="93"/>
      <c r="X90" s="330"/>
      <c r="Y90" s="93"/>
      <c r="Z90" s="331"/>
      <c r="AA90" s="331"/>
    </row>
    <row r="91" spans="1:27" ht="19.5" customHeight="1" x14ac:dyDescent="0.2">
      <c r="A91" s="275" t="s">
        <v>498</v>
      </c>
      <c r="B91" s="326" t="s">
        <v>30</v>
      </c>
      <c r="C91" s="347" t="s">
        <v>60</v>
      </c>
      <c r="D91" s="275" t="s">
        <v>422</v>
      </c>
      <c r="E91" s="93">
        <v>0</v>
      </c>
      <c r="F91" s="93">
        <v>2</v>
      </c>
      <c r="G91" s="93">
        <v>975</v>
      </c>
      <c r="H91" s="275">
        <v>25</v>
      </c>
      <c r="I91" s="326">
        <f>2*MAX(TblRaces[[#This Row],[OffensePwr]:[DefensePwr]])</f>
        <v>4</v>
      </c>
      <c r="J91" s="328"/>
      <c r="K91" s="329"/>
      <c r="L91" s="329"/>
      <c r="M91" s="329"/>
      <c r="N91" s="329"/>
      <c r="O91" s="329"/>
      <c r="P91" s="329"/>
      <c r="Q91" s="329"/>
      <c r="R91" s="329"/>
      <c r="S91" s="329"/>
      <c r="T91" s="329"/>
      <c r="U91" s="329"/>
      <c r="V91" s="329"/>
      <c r="W91" s="93"/>
      <c r="X91" s="330"/>
      <c r="Y91" s="93"/>
      <c r="Z91" s="331"/>
      <c r="AA91" s="331"/>
    </row>
    <row r="92" spans="1:27" ht="19.5" customHeight="1" x14ac:dyDescent="0.2">
      <c r="A92" s="275" t="s">
        <v>498</v>
      </c>
      <c r="B92" s="326" t="s">
        <v>30</v>
      </c>
      <c r="C92" s="347" t="s">
        <v>60</v>
      </c>
      <c r="D92" s="275" t="s">
        <v>423</v>
      </c>
      <c r="E92" s="93">
        <v>5</v>
      </c>
      <c r="F92" s="93">
        <v>2</v>
      </c>
      <c r="G92" s="93">
        <v>970</v>
      </c>
      <c r="H92" s="275">
        <v>0</v>
      </c>
      <c r="I92" s="326">
        <f>2*MAX(TblRaces[[#This Row],[OffensePwr]:[DefensePwr]])</f>
        <v>10</v>
      </c>
      <c r="J92" s="328"/>
      <c r="K92" s="329"/>
      <c r="L92" s="329"/>
      <c r="M92" s="329"/>
      <c r="N92" s="329"/>
      <c r="O92" s="329"/>
      <c r="P92" s="329"/>
      <c r="Q92" s="329"/>
      <c r="R92" s="329"/>
      <c r="S92" s="329"/>
      <c r="T92" s="329"/>
      <c r="U92" s="329"/>
      <c r="V92" s="329"/>
      <c r="W92" s="93"/>
      <c r="X92" s="330"/>
      <c r="Y92" s="93"/>
      <c r="Z92" s="331"/>
      <c r="AA92" s="331"/>
    </row>
    <row r="93" spans="1:27" ht="19.5" customHeight="1" x14ac:dyDescent="0.2">
      <c r="A93" s="350" t="s">
        <v>760</v>
      </c>
      <c r="B93" s="326" t="s">
        <v>760</v>
      </c>
      <c r="C93" s="347" t="s">
        <v>760</v>
      </c>
      <c r="D93" s="62" t="s">
        <v>73</v>
      </c>
      <c r="G93" s="93">
        <v>500</v>
      </c>
      <c r="I93" s="326"/>
      <c r="J93" s="328"/>
      <c r="K93" s="329"/>
      <c r="L93" s="329"/>
      <c r="M93" s="329"/>
      <c r="N93" s="329"/>
      <c r="O93" s="329"/>
      <c r="P93" s="329"/>
      <c r="Q93" s="329"/>
      <c r="R93" s="329"/>
      <c r="S93" s="329"/>
      <c r="T93" s="329"/>
      <c r="U93" s="329"/>
      <c r="V93" s="329"/>
      <c r="W93" s="93"/>
      <c r="X93" s="351"/>
      <c r="Y93" s="93"/>
      <c r="Z93" s="93"/>
      <c r="AA93" s="331"/>
    </row>
    <row r="94" spans="1:27" ht="19.5" customHeight="1" x14ac:dyDescent="0.2">
      <c r="A94" s="350" t="s">
        <v>760</v>
      </c>
      <c r="B94" s="326" t="s">
        <v>760</v>
      </c>
      <c r="C94" s="347" t="s">
        <v>760</v>
      </c>
      <c r="D94" s="62" t="s">
        <v>1077</v>
      </c>
      <c r="G94" s="93">
        <v>1000</v>
      </c>
      <c r="H94" s="93" t="s">
        <v>1078</v>
      </c>
      <c r="I94" s="326"/>
      <c r="J94" s="328"/>
      <c r="K94" s="329"/>
      <c r="L94" s="329"/>
      <c r="M94" s="329"/>
      <c r="N94" s="329"/>
      <c r="O94" s="329"/>
      <c r="P94" s="329"/>
      <c r="Q94" s="329"/>
      <c r="R94" s="329"/>
      <c r="S94" s="329"/>
      <c r="T94" s="329"/>
      <c r="U94" s="329"/>
      <c r="V94" s="329"/>
      <c r="W94" s="93"/>
      <c r="X94" s="351"/>
      <c r="Y94" s="93"/>
      <c r="Z94" s="331"/>
      <c r="AA94" s="331"/>
    </row>
    <row r="95" spans="1:27" ht="19.5" customHeight="1" x14ac:dyDescent="0.2">
      <c r="A95" s="350" t="s">
        <v>760</v>
      </c>
      <c r="B95" s="326" t="s">
        <v>760</v>
      </c>
      <c r="C95" s="347" t="s">
        <v>760</v>
      </c>
      <c r="D95" s="62" t="s">
        <v>181</v>
      </c>
      <c r="G95" s="93">
        <v>500</v>
      </c>
      <c r="I95" s="326"/>
      <c r="J95" s="328"/>
      <c r="K95" s="329"/>
      <c r="L95" s="329"/>
      <c r="M95" s="329"/>
      <c r="N95" s="329"/>
      <c r="O95" s="329"/>
      <c r="P95" s="329"/>
      <c r="Q95" s="329"/>
      <c r="R95" s="329"/>
      <c r="S95" s="329"/>
      <c r="T95" s="329"/>
      <c r="U95" s="329"/>
      <c r="V95" s="329"/>
      <c r="W95" s="93"/>
      <c r="X95" s="351"/>
      <c r="Y95" s="93"/>
      <c r="Z95" s="93"/>
      <c r="AA95" s="331"/>
    </row>
    <row r="96" spans="1:27" ht="19.5" customHeight="1" x14ac:dyDescent="0.2">
      <c r="A96" s="350" t="s">
        <v>760</v>
      </c>
      <c r="B96" s="326" t="s">
        <v>760</v>
      </c>
      <c r="C96" s="347" t="s">
        <v>760</v>
      </c>
      <c r="D96" s="62" t="s">
        <v>182</v>
      </c>
      <c r="G96" s="93">
        <v>1000</v>
      </c>
      <c r="H96" s="93" t="s">
        <v>248</v>
      </c>
      <c r="I96" s="326"/>
      <c r="J96" s="328"/>
      <c r="K96" s="329"/>
      <c r="L96" s="329"/>
      <c r="M96" s="329"/>
      <c r="N96" s="329"/>
      <c r="O96" s="329"/>
      <c r="P96" s="329"/>
      <c r="Q96" s="329"/>
      <c r="R96" s="329"/>
      <c r="S96" s="329"/>
      <c r="T96" s="329"/>
      <c r="U96" s="329"/>
      <c r="V96" s="329"/>
      <c r="W96" s="93"/>
      <c r="X96" s="351"/>
      <c r="Y96" s="93"/>
      <c r="Z96" s="93"/>
      <c r="AA96" s="331"/>
    </row>
    <row r="97" spans="1:22" ht="19.5" customHeight="1" x14ac:dyDescent="0.2">
      <c r="C97" s="352"/>
      <c r="J97" s="353"/>
      <c r="K97" s="353"/>
      <c r="L97" s="353"/>
      <c r="M97" s="353"/>
      <c r="N97" s="353"/>
      <c r="O97" s="353"/>
      <c r="P97" s="353"/>
      <c r="Q97" s="353"/>
      <c r="R97" s="353"/>
      <c r="S97" s="353"/>
      <c r="T97" s="353"/>
      <c r="U97" s="353"/>
      <c r="V97" s="353"/>
    </row>
    <row r="98" spans="1:22" ht="19.5" customHeight="1" x14ac:dyDescent="0.2">
      <c r="A98" s="350" t="s">
        <v>89</v>
      </c>
      <c r="B98" s="275">
        <v>5</v>
      </c>
      <c r="C98" s="352"/>
      <c r="D98" s="275" t="s">
        <v>359</v>
      </c>
      <c r="J98" s="353"/>
      <c r="K98" s="353"/>
      <c r="L98" s="353"/>
      <c r="M98" s="353"/>
      <c r="N98" s="353"/>
      <c r="O98" s="353"/>
      <c r="P98" s="353"/>
      <c r="Q98" s="353"/>
      <c r="R98" s="353"/>
      <c r="S98" s="353"/>
      <c r="T98" s="353"/>
      <c r="U98" s="353"/>
      <c r="V98" s="353"/>
    </row>
    <row r="99" spans="1:22" ht="19.5" customHeight="1" x14ac:dyDescent="0.2">
      <c r="A99" s="350" t="s">
        <v>90</v>
      </c>
      <c r="B99" s="275">
        <v>9</v>
      </c>
      <c r="C99" s="352"/>
      <c r="D99" s="275">
        <v>1</v>
      </c>
      <c r="J99" s="353"/>
      <c r="K99" s="353"/>
      <c r="L99" s="353"/>
      <c r="M99" s="353"/>
      <c r="N99" s="353"/>
      <c r="O99" s="353"/>
      <c r="P99" s="353"/>
      <c r="Q99" s="353"/>
      <c r="R99" s="353"/>
      <c r="S99" s="353"/>
      <c r="T99" s="353"/>
      <c r="U99" s="353"/>
      <c r="V99" s="353"/>
    </row>
    <row r="100" spans="1:22" ht="19.5" customHeight="1" x14ac:dyDescent="0.2">
      <c r="A100" s="350" t="s">
        <v>91</v>
      </c>
      <c r="B100" s="275">
        <v>13</v>
      </c>
      <c r="C100" s="352"/>
      <c r="D100" s="275">
        <v>2</v>
      </c>
      <c r="J100" s="353"/>
      <c r="K100" s="353"/>
      <c r="L100" s="353"/>
      <c r="M100" s="353"/>
      <c r="N100" s="353"/>
      <c r="O100" s="353"/>
      <c r="P100" s="353"/>
      <c r="Q100" s="353"/>
      <c r="R100" s="353"/>
      <c r="S100" s="353"/>
      <c r="T100" s="353"/>
      <c r="U100" s="353"/>
      <c r="V100" s="353"/>
    </row>
    <row r="101" spans="1:22" ht="19.5" customHeight="1" x14ac:dyDescent="0.2">
      <c r="A101" s="350" t="s">
        <v>92</v>
      </c>
      <c r="B101" s="275">
        <v>17</v>
      </c>
      <c r="C101" s="352"/>
      <c r="D101" s="275">
        <v>3</v>
      </c>
      <c r="J101" s="353"/>
      <c r="K101" s="353"/>
      <c r="L101" s="353"/>
      <c r="M101" s="353"/>
      <c r="N101" s="353"/>
      <c r="O101" s="353"/>
      <c r="P101" s="353"/>
      <c r="Q101" s="353"/>
      <c r="R101" s="353"/>
      <c r="S101" s="353"/>
      <c r="T101" s="353"/>
      <c r="U101" s="353"/>
      <c r="V101" s="353"/>
    </row>
    <row r="102" spans="1:22" ht="19.5" customHeight="1" x14ac:dyDescent="0.2">
      <c r="A102" s="350" t="s">
        <v>93</v>
      </c>
      <c r="B102" s="275">
        <v>21</v>
      </c>
      <c r="C102" s="352"/>
      <c r="D102" s="275">
        <v>4</v>
      </c>
      <c r="J102" s="353"/>
      <c r="K102" s="353"/>
      <c r="L102" s="353"/>
      <c r="M102" s="353"/>
      <c r="N102" s="353"/>
      <c r="O102" s="353"/>
      <c r="P102" s="353"/>
      <c r="Q102" s="353"/>
      <c r="R102" s="353"/>
      <c r="S102" s="353"/>
      <c r="T102" s="353"/>
      <c r="U102" s="353"/>
      <c r="V102" s="353"/>
    </row>
    <row r="103" spans="1:22" ht="19.5" customHeight="1" x14ac:dyDescent="0.2">
      <c r="A103" s="350" t="s">
        <v>94</v>
      </c>
      <c r="B103" s="275">
        <v>25</v>
      </c>
      <c r="C103" s="352"/>
      <c r="D103" s="275">
        <v>5</v>
      </c>
      <c r="J103" s="353"/>
      <c r="K103" s="353"/>
      <c r="L103" s="353"/>
      <c r="M103" s="353"/>
      <c r="N103" s="353"/>
      <c r="O103" s="353"/>
      <c r="P103" s="353"/>
      <c r="Q103" s="353"/>
      <c r="R103" s="353"/>
      <c r="S103" s="353"/>
      <c r="T103" s="353"/>
      <c r="U103" s="353"/>
      <c r="V103" s="353"/>
    </row>
    <row r="104" spans="1:22" ht="19.5" customHeight="1" x14ac:dyDescent="0.2">
      <c r="A104" s="350" t="s">
        <v>95</v>
      </c>
      <c r="B104" s="275">
        <v>29</v>
      </c>
      <c r="C104" s="352"/>
      <c r="D104" s="275">
        <v>6</v>
      </c>
      <c r="J104" s="353"/>
      <c r="K104" s="353"/>
      <c r="L104" s="353"/>
      <c r="M104" s="353"/>
      <c r="N104" s="353"/>
      <c r="O104" s="353"/>
      <c r="P104" s="353"/>
      <c r="Q104" s="353"/>
      <c r="R104" s="353"/>
      <c r="S104" s="353"/>
      <c r="T104" s="353"/>
      <c r="U104" s="353"/>
      <c r="V104" s="353"/>
    </row>
    <row r="105" spans="1:22" ht="19.5" customHeight="1" x14ac:dyDescent="0.2">
      <c r="A105" s="350" t="s">
        <v>96</v>
      </c>
      <c r="B105" s="275">
        <v>33</v>
      </c>
      <c r="C105" s="352"/>
      <c r="J105" s="353"/>
      <c r="K105" s="353"/>
      <c r="L105" s="353"/>
      <c r="M105" s="353"/>
      <c r="N105" s="353"/>
      <c r="O105" s="353"/>
      <c r="P105" s="353"/>
      <c r="Q105" s="353"/>
      <c r="R105" s="353"/>
      <c r="S105" s="353"/>
      <c r="T105" s="353"/>
      <c r="U105" s="353"/>
      <c r="V105" s="353"/>
    </row>
    <row r="106" spans="1:22" ht="19.5" customHeight="1" x14ac:dyDescent="0.2">
      <c r="A106" s="350" t="s">
        <v>97</v>
      </c>
      <c r="B106" s="275">
        <v>37</v>
      </c>
      <c r="C106" s="352"/>
      <c r="J106" s="353"/>
      <c r="K106" s="353"/>
      <c r="L106" s="353"/>
      <c r="M106" s="353"/>
      <c r="N106" s="353"/>
      <c r="O106" s="353"/>
      <c r="P106" s="353"/>
      <c r="Q106" s="353"/>
      <c r="R106" s="353"/>
      <c r="S106" s="353"/>
      <c r="T106" s="353"/>
      <c r="U106" s="353"/>
      <c r="V106" s="353"/>
    </row>
    <row r="107" spans="1:22" ht="19.5" customHeight="1" x14ac:dyDescent="0.2">
      <c r="A107" s="350" t="s">
        <v>29</v>
      </c>
      <c r="B107" s="275">
        <v>41</v>
      </c>
      <c r="C107" s="352"/>
      <c r="J107" s="353"/>
      <c r="K107" s="353"/>
      <c r="L107" s="353"/>
      <c r="M107" s="353"/>
      <c r="N107" s="353"/>
      <c r="O107" s="353"/>
      <c r="P107" s="353"/>
      <c r="Q107" s="353"/>
      <c r="R107" s="353"/>
      <c r="S107" s="353"/>
      <c r="T107" s="353"/>
      <c r="U107" s="353"/>
      <c r="V107" s="353"/>
    </row>
    <row r="108" spans="1:22" ht="19.5" customHeight="1" x14ac:dyDescent="0.2">
      <c r="A108" s="350" t="s">
        <v>99</v>
      </c>
      <c r="B108" s="275">
        <v>45</v>
      </c>
      <c r="C108" s="352"/>
      <c r="J108" s="353"/>
      <c r="K108" s="353"/>
      <c r="L108" s="353"/>
      <c r="M108" s="353"/>
      <c r="N108" s="353"/>
      <c r="O108" s="353"/>
      <c r="P108" s="353"/>
      <c r="Q108" s="353"/>
      <c r="R108" s="353"/>
      <c r="S108" s="353"/>
      <c r="T108" s="353"/>
      <c r="U108" s="353"/>
      <c r="V108" s="353"/>
    </row>
    <row r="109" spans="1:22" ht="19.5" customHeight="1" x14ac:dyDescent="0.2">
      <c r="A109" s="350" t="s">
        <v>100</v>
      </c>
      <c r="B109" s="275">
        <v>49</v>
      </c>
      <c r="C109" s="352"/>
      <c r="J109" s="353"/>
      <c r="K109" s="353"/>
      <c r="L109" s="353"/>
      <c r="M109" s="353"/>
      <c r="N109" s="353"/>
      <c r="O109" s="353"/>
      <c r="P109" s="353"/>
      <c r="Q109" s="353"/>
      <c r="R109" s="353"/>
      <c r="S109" s="353"/>
      <c r="T109" s="353"/>
      <c r="U109" s="353"/>
      <c r="V109" s="353"/>
    </row>
    <row r="110" spans="1:22" ht="19.5" customHeight="1" x14ac:dyDescent="0.2">
      <c r="A110" s="350" t="s">
        <v>101</v>
      </c>
      <c r="B110" s="275">
        <v>53</v>
      </c>
      <c r="C110" s="352"/>
      <c r="J110" s="353"/>
      <c r="K110" s="353"/>
      <c r="L110" s="353"/>
      <c r="M110" s="353"/>
      <c r="N110" s="353"/>
      <c r="O110" s="353"/>
      <c r="P110" s="353"/>
      <c r="Q110" s="353"/>
      <c r="R110" s="353"/>
      <c r="S110" s="353"/>
      <c r="T110" s="353"/>
      <c r="U110" s="353"/>
      <c r="V110" s="353"/>
    </row>
    <row r="111" spans="1:22" ht="19.5" customHeight="1" x14ac:dyDescent="0.2">
      <c r="A111" s="350" t="s">
        <v>102</v>
      </c>
      <c r="B111" s="275">
        <v>57</v>
      </c>
      <c r="C111" s="352"/>
      <c r="J111" s="353"/>
      <c r="K111" s="353"/>
      <c r="L111" s="353"/>
      <c r="M111" s="353"/>
      <c r="N111" s="353"/>
      <c r="O111" s="353"/>
      <c r="P111" s="353"/>
      <c r="Q111" s="353"/>
      <c r="R111" s="353"/>
      <c r="S111" s="353"/>
      <c r="T111" s="353"/>
      <c r="U111" s="353"/>
      <c r="V111" s="353"/>
    </row>
    <row r="112" spans="1:22" ht="19.5" customHeight="1" x14ac:dyDescent="0.2">
      <c r="A112" s="350" t="s">
        <v>103</v>
      </c>
      <c r="B112" s="275">
        <v>61</v>
      </c>
      <c r="J112" s="353"/>
      <c r="K112" s="353"/>
      <c r="L112" s="353"/>
      <c r="M112" s="353"/>
      <c r="N112" s="353"/>
      <c r="O112" s="353"/>
      <c r="P112" s="353"/>
      <c r="Q112" s="353"/>
      <c r="R112" s="353"/>
      <c r="S112" s="353"/>
      <c r="T112" s="353"/>
      <c r="U112" s="353"/>
      <c r="V112" s="353"/>
    </row>
    <row r="113" spans="1:22" ht="19.5" customHeight="1" x14ac:dyDescent="0.2">
      <c r="A113" s="350" t="s">
        <v>104</v>
      </c>
      <c r="B113" s="275">
        <v>65</v>
      </c>
      <c r="J113" s="353"/>
      <c r="K113" s="353"/>
      <c r="L113" s="353"/>
      <c r="M113" s="353"/>
      <c r="N113" s="353"/>
      <c r="O113" s="353"/>
      <c r="P113" s="353"/>
      <c r="Q113" s="353"/>
      <c r="R113" s="353"/>
      <c r="S113" s="353"/>
      <c r="T113" s="353"/>
      <c r="U113" s="353"/>
      <c r="V113" s="353"/>
    </row>
    <row r="114" spans="1:22" ht="19.5" customHeight="1" x14ac:dyDescent="0.2">
      <c r="A114" s="350" t="s">
        <v>328</v>
      </c>
      <c r="B114" s="275">
        <v>69</v>
      </c>
      <c r="J114" s="353"/>
      <c r="K114" s="353"/>
      <c r="L114" s="353"/>
      <c r="M114" s="353"/>
      <c r="N114" s="353"/>
      <c r="O114" s="353"/>
      <c r="P114" s="353"/>
      <c r="Q114" s="353"/>
      <c r="R114" s="353"/>
      <c r="S114" s="353"/>
      <c r="T114" s="353"/>
      <c r="U114" s="353"/>
      <c r="V114" s="353"/>
    </row>
    <row r="115" spans="1:22" ht="19.5" customHeight="1" x14ac:dyDescent="0.2">
      <c r="A115" s="350" t="s">
        <v>342</v>
      </c>
      <c r="B115" s="275">
        <v>73</v>
      </c>
      <c r="J115" s="353"/>
      <c r="K115" s="353"/>
      <c r="L115" s="353"/>
      <c r="M115" s="353"/>
      <c r="N115" s="353"/>
      <c r="O115" s="353"/>
      <c r="P115" s="353"/>
      <c r="Q115" s="353"/>
      <c r="R115" s="353"/>
      <c r="S115" s="353"/>
      <c r="T115" s="353"/>
      <c r="U115" s="353"/>
      <c r="V115" s="353"/>
    </row>
    <row r="116" spans="1:22" ht="19.5" customHeight="1" x14ac:dyDescent="0.2">
      <c r="A116" s="350" t="s">
        <v>143</v>
      </c>
      <c r="B116" s="275">
        <v>77</v>
      </c>
      <c r="J116" s="353"/>
      <c r="K116" s="353"/>
      <c r="L116" s="353"/>
      <c r="M116" s="353"/>
      <c r="N116" s="353"/>
      <c r="O116" s="353"/>
      <c r="P116" s="353"/>
      <c r="Q116" s="353"/>
      <c r="R116" s="353"/>
      <c r="S116" s="353"/>
      <c r="T116" s="353"/>
      <c r="U116" s="353"/>
      <c r="V116" s="353"/>
    </row>
    <row r="117" spans="1:22" ht="19.5" customHeight="1" x14ac:dyDescent="0.2">
      <c r="A117" s="350" t="s">
        <v>1106</v>
      </c>
      <c r="B117" s="275">
        <v>81</v>
      </c>
      <c r="J117" s="353"/>
      <c r="K117" s="353"/>
      <c r="L117" s="353"/>
      <c r="M117" s="353"/>
      <c r="N117" s="353"/>
      <c r="O117" s="353"/>
      <c r="P117" s="353"/>
      <c r="Q117" s="353"/>
      <c r="R117" s="353"/>
      <c r="S117" s="353"/>
      <c r="T117" s="353"/>
      <c r="U117" s="353"/>
      <c r="V117" s="353"/>
    </row>
    <row r="118" spans="1:22" ht="19.5" customHeight="1" x14ac:dyDescent="0.2">
      <c r="A118" s="275" t="s">
        <v>1122</v>
      </c>
      <c r="B118" s="275">
        <v>85</v>
      </c>
      <c r="J118" s="353"/>
      <c r="K118" s="353"/>
      <c r="L118" s="353"/>
      <c r="M118" s="353"/>
      <c r="N118" s="353"/>
      <c r="O118" s="353"/>
      <c r="P118" s="353"/>
      <c r="Q118" s="353"/>
      <c r="R118" s="353"/>
      <c r="S118" s="353"/>
      <c r="T118" s="353"/>
      <c r="U118" s="353"/>
      <c r="V118" s="353"/>
    </row>
    <row r="119" spans="1:22" ht="19.5" customHeight="1" x14ac:dyDescent="0.2">
      <c r="A119" s="350" t="s">
        <v>498</v>
      </c>
      <c r="B119" s="275">
        <v>89</v>
      </c>
      <c r="J119" s="353"/>
      <c r="K119" s="353"/>
      <c r="L119" s="353"/>
      <c r="M119" s="353"/>
      <c r="N119" s="353"/>
      <c r="O119" s="353"/>
      <c r="P119" s="353"/>
      <c r="Q119" s="353"/>
      <c r="R119" s="353"/>
      <c r="S119" s="353"/>
      <c r="T119" s="353"/>
      <c r="U119" s="353"/>
      <c r="V119" s="353"/>
    </row>
    <row r="120" spans="1:22" ht="19.5" customHeight="1" x14ac:dyDescent="0.2">
      <c r="J120" s="353"/>
      <c r="K120" s="353"/>
      <c r="L120" s="353"/>
      <c r="M120" s="353"/>
      <c r="N120" s="353"/>
      <c r="O120" s="353"/>
      <c r="P120" s="353"/>
      <c r="Q120" s="353"/>
      <c r="R120" s="353"/>
      <c r="S120" s="353"/>
      <c r="T120" s="353"/>
      <c r="U120" s="353"/>
      <c r="V120" s="353"/>
    </row>
    <row r="121" spans="1:22" ht="19.5" customHeight="1" x14ac:dyDescent="0.2">
      <c r="J121" s="353"/>
      <c r="K121" s="353"/>
      <c r="L121" s="353"/>
      <c r="M121" s="353"/>
      <c r="N121" s="353"/>
      <c r="O121" s="353"/>
      <c r="P121" s="353"/>
      <c r="Q121" s="353"/>
      <c r="R121" s="353"/>
      <c r="S121" s="353"/>
      <c r="T121" s="353"/>
      <c r="U121" s="353"/>
      <c r="V121" s="353"/>
    </row>
    <row r="122" spans="1:22" ht="19.5" customHeight="1" x14ac:dyDescent="0.2">
      <c r="J122" s="353"/>
      <c r="K122" s="353"/>
      <c r="L122" s="353"/>
      <c r="M122" s="353"/>
      <c r="N122" s="353"/>
      <c r="O122" s="353"/>
      <c r="P122" s="353"/>
      <c r="Q122" s="353"/>
      <c r="R122" s="353"/>
      <c r="S122" s="353"/>
      <c r="T122" s="353"/>
      <c r="U122" s="353"/>
      <c r="V122" s="353"/>
    </row>
    <row r="123" spans="1:22" ht="19.5" customHeight="1" x14ac:dyDescent="0.2">
      <c r="J123" s="353"/>
      <c r="K123" s="353"/>
      <c r="L123" s="353"/>
      <c r="M123" s="353"/>
      <c r="N123" s="353"/>
      <c r="O123" s="353"/>
      <c r="P123" s="353"/>
      <c r="Q123" s="353"/>
      <c r="R123" s="353"/>
      <c r="S123" s="353"/>
      <c r="T123" s="353"/>
      <c r="U123" s="353"/>
      <c r="V123" s="353"/>
    </row>
    <row r="124" spans="1:22" ht="19.5" customHeight="1" x14ac:dyDescent="0.2">
      <c r="J124" s="353"/>
      <c r="K124" s="353"/>
      <c r="L124" s="353"/>
      <c r="M124" s="353"/>
      <c r="N124" s="353"/>
      <c r="O124" s="353"/>
      <c r="P124" s="353"/>
      <c r="Q124" s="353"/>
      <c r="R124" s="353"/>
      <c r="S124" s="353"/>
      <c r="T124" s="353"/>
      <c r="U124" s="353"/>
      <c r="V124" s="353"/>
    </row>
    <row r="125" spans="1:22" ht="19.5" customHeight="1" x14ac:dyDescent="0.2">
      <c r="J125" s="353"/>
      <c r="K125" s="353"/>
      <c r="L125" s="353"/>
      <c r="M125" s="353"/>
      <c r="N125" s="353"/>
      <c r="O125" s="353"/>
      <c r="P125" s="353"/>
      <c r="Q125" s="353"/>
      <c r="R125" s="353"/>
      <c r="S125" s="353"/>
      <c r="T125" s="353"/>
      <c r="U125" s="353"/>
      <c r="V125" s="353"/>
    </row>
    <row r="126" spans="1:22" ht="19.5" customHeight="1" x14ac:dyDescent="0.2">
      <c r="J126" s="353"/>
      <c r="K126" s="353"/>
      <c r="L126" s="353"/>
      <c r="M126" s="353"/>
      <c r="N126" s="353"/>
      <c r="O126" s="353"/>
      <c r="P126" s="353"/>
      <c r="Q126" s="353"/>
      <c r="R126" s="353"/>
      <c r="S126" s="353"/>
      <c r="T126" s="353"/>
      <c r="U126" s="353"/>
      <c r="V126" s="353"/>
    </row>
    <row r="127" spans="1:22" ht="19.5" customHeight="1" x14ac:dyDescent="0.2">
      <c r="J127" s="353"/>
      <c r="K127" s="353"/>
      <c r="L127" s="353"/>
      <c r="M127" s="353"/>
      <c r="N127" s="353"/>
      <c r="O127" s="353"/>
      <c r="P127" s="353"/>
      <c r="Q127" s="353"/>
      <c r="R127" s="353"/>
      <c r="S127" s="353"/>
      <c r="T127" s="353"/>
      <c r="U127" s="353"/>
      <c r="V127" s="353"/>
    </row>
    <row r="128" spans="1:22" ht="19.5" customHeight="1" x14ac:dyDescent="0.2">
      <c r="J128" s="353"/>
      <c r="K128" s="353"/>
      <c r="L128" s="353"/>
      <c r="M128" s="353"/>
      <c r="N128" s="353"/>
      <c r="O128" s="353"/>
      <c r="P128" s="353"/>
      <c r="Q128" s="353"/>
      <c r="R128" s="353"/>
      <c r="S128" s="353"/>
      <c r="T128" s="353"/>
      <c r="U128" s="353"/>
      <c r="V128" s="353"/>
    </row>
    <row r="129" spans="10:22" ht="19.5" customHeight="1" x14ac:dyDescent="0.2">
      <c r="J129" s="353"/>
      <c r="K129" s="353"/>
      <c r="L129" s="353"/>
      <c r="M129" s="353"/>
      <c r="N129" s="353"/>
      <c r="O129" s="353"/>
      <c r="P129" s="353"/>
      <c r="Q129" s="353"/>
      <c r="R129" s="353"/>
      <c r="S129" s="353"/>
      <c r="T129" s="353"/>
      <c r="U129" s="353"/>
      <c r="V129" s="353"/>
    </row>
    <row r="130" spans="10:22" ht="19.5" customHeight="1" x14ac:dyDescent="0.2">
      <c r="J130" s="353"/>
      <c r="K130" s="353"/>
      <c r="L130" s="353"/>
      <c r="M130" s="353"/>
      <c r="N130" s="353"/>
      <c r="O130" s="353"/>
      <c r="P130" s="353"/>
      <c r="Q130" s="353"/>
      <c r="R130" s="353"/>
      <c r="S130" s="353"/>
      <c r="T130" s="353"/>
      <c r="U130" s="353"/>
      <c r="V130" s="353"/>
    </row>
    <row r="131" spans="10:22" ht="19.5" customHeight="1" x14ac:dyDescent="0.2">
      <c r="J131" s="353"/>
      <c r="K131" s="353"/>
      <c r="L131" s="353"/>
      <c r="M131" s="353"/>
      <c r="N131" s="353"/>
      <c r="O131" s="353"/>
      <c r="P131" s="353"/>
      <c r="Q131" s="353"/>
      <c r="R131" s="353"/>
      <c r="S131" s="353"/>
      <c r="T131" s="353"/>
      <c r="U131" s="353"/>
      <c r="V131" s="353"/>
    </row>
    <row r="132" spans="10:22" ht="19.5" customHeight="1" x14ac:dyDescent="0.2">
      <c r="J132" s="353"/>
      <c r="K132" s="353"/>
      <c r="L132" s="353"/>
      <c r="M132" s="353"/>
      <c r="N132" s="353"/>
      <c r="O132" s="353"/>
      <c r="P132" s="353"/>
      <c r="Q132" s="353"/>
      <c r="R132" s="353"/>
      <c r="S132" s="353"/>
      <c r="T132" s="353"/>
      <c r="U132" s="353"/>
      <c r="V132" s="353"/>
    </row>
    <row r="133" spans="10:22" ht="19.5" customHeight="1" x14ac:dyDescent="0.2">
      <c r="J133" s="353"/>
      <c r="K133" s="353"/>
      <c r="L133" s="353"/>
      <c r="M133" s="353"/>
      <c r="N133" s="353"/>
      <c r="O133" s="353"/>
      <c r="P133" s="353"/>
      <c r="Q133" s="353"/>
      <c r="R133" s="353"/>
      <c r="S133" s="353"/>
      <c r="T133" s="353"/>
      <c r="U133" s="353"/>
      <c r="V133" s="353"/>
    </row>
    <row r="134" spans="10:22" ht="19.5" customHeight="1" x14ac:dyDescent="0.2">
      <c r="J134" s="353"/>
      <c r="K134" s="353"/>
      <c r="L134" s="353"/>
      <c r="M134" s="353"/>
      <c r="N134" s="353"/>
      <c r="O134" s="353"/>
      <c r="P134" s="353"/>
      <c r="Q134" s="353"/>
      <c r="R134" s="353"/>
      <c r="S134" s="353"/>
      <c r="T134" s="353"/>
      <c r="U134" s="353"/>
      <c r="V134" s="353"/>
    </row>
    <row r="135" spans="10:22" ht="19.5" customHeight="1" x14ac:dyDescent="0.2">
      <c r="J135" s="353"/>
      <c r="K135" s="353"/>
      <c r="L135" s="353"/>
      <c r="M135" s="353"/>
      <c r="N135" s="353"/>
      <c r="O135" s="353"/>
      <c r="P135" s="353"/>
      <c r="Q135" s="353"/>
      <c r="R135" s="353"/>
      <c r="S135" s="353"/>
      <c r="T135" s="353"/>
      <c r="U135" s="353"/>
      <c r="V135" s="353"/>
    </row>
    <row r="136" spans="10:22" ht="19.5" customHeight="1" x14ac:dyDescent="0.2">
      <c r="J136" s="353"/>
      <c r="K136" s="353"/>
      <c r="L136" s="353"/>
      <c r="M136" s="353"/>
      <c r="N136" s="353"/>
      <c r="O136" s="353"/>
      <c r="P136" s="353"/>
      <c r="Q136" s="353"/>
      <c r="R136" s="353"/>
      <c r="S136" s="353"/>
      <c r="T136" s="353"/>
      <c r="U136" s="353"/>
      <c r="V136" s="353"/>
    </row>
    <row r="137" spans="10:22" ht="19.5" customHeight="1" x14ac:dyDescent="0.2">
      <c r="J137" s="353"/>
      <c r="K137" s="353"/>
      <c r="L137" s="353"/>
      <c r="M137" s="353"/>
      <c r="N137" s="353"/>
      <c r="O137" s="353"/>
      <c r="P137" s="353"/>
      <c r="Q137" s="353"/>
      <c r="R137" s="353"/>
      <c r="S137" s="353"/>
      <c r="T137" s="353"/>
      <c r="U137" s="353"/>
      <c r="V137" s="353"/>
    </row>
    <row r="138" spans="10:22" ht="19.5" customHeight="1" x14ac:dyDescent="0.2">
      <c r="J138" s="353"/>
      <c r="K138" s="353"/>
      <c r="L138" s="353"/>
      <c r="M138" s="353"/>
      <c r="N138" s="353"/>
      <c r="O138" s="353"/>
      <c r="P138" s="353"/>
      <c r="Q138" s="353"/>
      <c r="R138" s="353"/>
      <c r="S138" s="353"/>
      <c r="T138" s="353"/>
      <c r="U138" s="353"/>
      <c r="V138" s="353"/>
    </row>
    <row r="139" spans="10:22" ht="19.5" customHeight="1" x14ac:dyDescent="0.2">
      <c r="J139" s="353"/>
      <c r="K139" s="353"/>
      <c r="L139" s="353"/>
      <c r="M139" s="353"/>
      <c r="N139" s="353"/>
      <c r="O139" s="353"/>
      <c r="P139" s="353"/>
      <c r="Q139" s="353"/>
      <c r="R139" s="353"/>
      <c r="S139" s="353"/>
      <c r="T139" s="353"/>
      <c r="U139" s="353"/>
      <c r="V139" s="353"/>
    </row>
    <row r="140" spans="10:22" ht="19.5" customHeight="1" x14ac:dyDescent="0.2">
      <c r="J140" s="353"/>
      <c r="K140" s="353"/>
      <c r="L140" s="353"/>
      <c r="M140" s="353"/>
      <c r="N140" s="353"/>
      <c r="O140" s="353"/>
      <c r="P140" s="353"/>
      <c r="Q140" s="353"/>
      <c r="R140" s="353"/>
      <c r="S140" s="353"/>
      <c r="T140" s="353"/>
      <c r="U140" s="353"/>
      <c r="V140" s="353"/>
    </row>
    <row r="141" spans="10:22" ht="19.5" customHeight="1" x14ac:dyDescent="0.2">
      <c r="J141" s="353"/>
      <c r="K141" s="353"/>
      <c r="L141" s="353"/>
      <c r="M141" s="353"/>
      <c r="N141" s="353"/>
      <c r="O141" s="353"/>
      <c r="P141" s="353"/>
      <c r="Q141" s="353"/>
      <c r="R141" s="353"/>
      <c r="S141" s="353"/>
      <c r="T141" s="353"/>
      <c r="U141" s="353"/>
      <c r="V141" s="353"/>
    </row>
    <row r="142" spans="10:22" ht="19.5" customHeight="1" x14ac:dyDescent="0.2">
      <c r="J142" s="353"/>
      <c r="K142" s="353"/>
      <c r="L142" s="353"/>
      <c r="M142" s="353"/>
      <c r="N142" s="353"/>
      <c r="O142" s="353"/>
      <c r="P142" s="353"/>
      <c r="Q142" s="353"/>
      <c r="R142" s="353"/>
      <c r="S142" s="353"/>
      <c r="T142" s="353"/>
      <c r="U142" s="353"/>
      <c r="V142" s="353"/>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4" t="s">
        <v>234</v>
      </c>
      <c r="C2" s="3" t="s">
        <v>284</v>
      </c>
      <c r="D2" s="3" t="s">
        <v>285</v>
      </c>
      <c r="E2" s="3" t="s">
        <v>237</v>
      </c>
      <c r="F2" s="3" t="s">
        <v>236</v>
      </c>
      <c r="G2" s="3"/>
      <c r="H2" s="3"/>
      <c r="I2" s="3" t="s">
        <v>235</v>
      </c>
      <c r="J2" s="3" t="s">
        <v>238</v>
      </c>
      <c r="K2" s="11"/>
    </row>
    <row r="3" spans="2:11" ht="13.5" thickBot="1" x14ac:dyDescent="0.25">
      <c r="B3" s="7" t="s">
        <v>372</v>
      </c>
      <c r="C3" s="22">
        <v>3845</v>
      </c>
      <c r="D3" s="24">
        <v>3220</v>
      </c>
      <c r="E3">
        <f t="shared" ref="E3:E17" si="0">MAX(10,ROUND($F3*$D3,0))</f>
        <v>322</v>
      </c>
      <c r="F3" s="15">
        <f>MIN(0.15, 0.25 * ( 0.7 - EXP( -1.3 * $D3 / $C3 ) ))*1.1</f>
        <v>9.9918948647991029E-2</v>
      </c>
      <c r="G3" s="29"/>
      <c r="I3" s="25">
        <v>500</v>
      </c>
      <c r="J3" s="26">
        <f t="shared" ref="J3:J17" si="1">25*$I3</f>
        <v>12500</v>
      </c>
      <c r="K3" s="8"/>
    </row>
    <row r="4" spans="2:11" x14ac:dyDescent="0.2">
      <c r="B4" s="7" t="s">
        <v>240</v>
      </c>
      <c r="C4">
        <f t="shared" ref="C4:C17" si="2">C3</f>
        <v>3845</v>
      </c>
      <c r="D4" s="6">
        <f t="shared" ref="D4:D17" si="3">D3+100</f>
        <v>3320</v>
      </c>
      <c r="E4">
        <f t="shared" si="0"/>
        <v>342</v>
      </c>
      <c r="F4" s="15">
        <f t="shared" ref="F4:F17" si="4">MIN(0.15, 0.25 * ( 0.7 - EXP( -1.3 * $D4 / $C4 ) ))*1.1</f>
        <v>0.10299680270207687</v>
      </c>
      <c r="G4" s="29"/>
      <c r="I4" s="17">
        <f t="shared" ref="I4:I17" si="5">I3+25</f>
        <v>525</v>
      </c>
      <c r="J4" s="17">
        <f t="shared" si="1"/>
        <v>13125</v>
      </c>
      <c r="K4" s="8"/>
    </row>
    <row r="5" spans="2:11" x14ac:dyDescent="0.2">
      <c r="B5" s="16" t="s">
        <v>241</v>
      </c>
      <c r="C5">
        <f t="shared" si="2"/>
        <v>3845</v>
      </c>
      <c r="D5" s="6">
        <f t="shared" si="3"/>
        <v>3420</v>
      </c>
      <c r="E5">
        <f t="shared" si="0"/>
        <v>362</v>
      </c>
      <c r="F5" s="15">
        <f t="shared" si="4"/>
        <v>0.10597233359780676</v>
      </c>
      <c r="G5" s="29"/>
      <c r="I5">
        <f t="shared" si="5"/>
        <v>550</v>
      </c>
      <c r="J5">
        <f t="shared" si="1"/>
        <v>13750</v>
      </c>
      <c r="K5" s="8"/>
    </row>
    <row r="6" spans="2:11" x14ac:dyDescent="0.2">
      <c r="B6" s="7"/>
      <c r="C6">
        <f t="shared" si="2"/>
        <v>3845</v>
      </c>
      <c r="D6" s="6">
        <f t="shared" si="3"/>
        <v>3520</v>
      </c>
      <c r="E6">
        <f t="shared" si="0"/>
        <v>383</v>
      </c>
      <c r="F6" s="15">
        <f t="shared" si="4"/>
        <v>0.10884894306526666</v>
      </c>
      <c r="G6" s="29"/>
      <c r="I6">
        <f t="shared" si="5"/>
        <v>575</v>
      </c>
      <c r="J6">
        <f t="shared" si="1"/>
        <v>14375</v>
      </c>
      <c r="K6" s="8"/>
    </row>
    <row r="7" spans="2:11" x14ac:dyDescent="0.2">
      <c r="B7" s="7"/>
      <c r="C7">
        <f t="shared" si="2"/>
        <v>3845</v>
      </c>
      <c r="D7" s="6">
        <f t="shared" si="3"/>
        <v>3620</v>
      </c>
      <c r="E7">
        <f t="shared" si="0"/>
        <v>404</v>
      </c>
      <c r="F7" s="15">
        <f t="shared" si="4"/>
        <v>0.11162991974413593</v>
      </c>
      <c r="G7" s="29"/>
      <c r="I7">
        <f t="shared" si="5"/>
        <v>600</v>
      </c>
      <c r="J7">
        <f t="shared" si="1"/>
        <v>15000</v>
      </c>
      <c r="K7" s="8"/>
    </row>
    <row r="8" spans="2:11" x14ac:dyDescent="0.2">
      <c r="B8" s="18" t="s">
        <v>282</v>
      </c>
      <c r="C8">
        <f t="shared" si="2"/>
        <v>3845</v>
      </c>
      <c r="D8" s="6">
        <f t="shared" si="3"/>
        <v>3720</v>
      </c>
      <c r="E8">
        <f t="shared" si="0"/>
        <v>425</v>
      </c>
      <c r="F8" s="15">
        <f t="shared" si="4"/>
        <v>0.11431844294337434</v>
      </c>
      <c r="G8" s="29"/>
      <c r="I8">
        <f t="shared" si="5"/>
        <v>625</v>
      </c>
      <c r="J8">
        <f t="shared" si="1"/>
        <v>15625</v>
      </c>
      <c r="K8" s="8"/>
    </row>
    <row r="9" spans="2:11" x14ac:dyDescent="0.2">
      <c r="B9" s="13" t="str">
        <f>CONCATENATE( CONCATENATE(TEXT(C3*0.75,0)," - "), TEXT(C3*1.33,0))</f>
        <v>2884 - 5114</v>
      </c>
      <c r="C9">
        <f t="shared" si="2"/>
        <v>3845</v>
      </c>
      <c r="D9" s="6">
        <f t="shared" si="3"/>
        <v>3820</v>
      </c>
      <c r="E9">
        <f t="shared" si="0"/>
        <v>447</v>
      </c>
      <c r="F9" s="15">
        <f t="shared" si="4"/>
        <v>0.11691758627591825</v>
      </c>
      <c r="G9" s="29"/>
      <c r="I9">
        <f t="shared" si="5"/>
        <v>650</v>
      </c>
      <c r="J9">
        <f t="shared" si="1"/>
        <v>16250</v>
      </c>
      <c r="K9" s="8"/>
    </row>
    <row r="10" spans="2:11" x14ac:dyDescent="0.2">
      <c r="B10" s="13"/>
      <c r="C10">
        <f t="shared" si="2"/>
        <v>3845</v>
      </c>
      <c r="D10" s="6">
        <f t="shared" si="3"/>
        <v>3920</v>
      </c>
      <c r="E10">
        <f t="shared" si="0"/>
        <v>468</v>
      </c>
      <c r="F10" s="15">
        <f t="shared" si="4"/>
        <v>0.11943032117254147</v>
      </c>
      <c r="G10" s="29"/>
      <c r="I10">
        <f t="shared" si="5"/>
        <v>675</v>
      </c>
      <c r="J10">
        <f t="shared" si="1"/>
        <v>16875</v>
      </c>
      <c r="K10" s="8"/>
    </row>
    <row r="11" spans="2:11" x14ac:dyDescent="0.2">
      <c r="B11" s="7"/>
      <c r="C11">
        <f t="shared" si="2"/>
        <v>3845</v>
      </c>
      <c r="D11" s="6">
        <f t="shared" si="3"/>
        <v>4020</v>
      </c>
      <c r="E11">
        <f t="shared" si="0"/>
        <v>490</v>
      </c>
      <c r="F11" s="15">
        <f t="shared" si="4"/>
        <v>0.12185952027889797</v>
      </c>
      <c r="G11" s="29"/>
      <c r="I11">
        <f t="shared" si="5"/>
        <v>700</v>
      </c>
      <c r="J11">
        <f t="shared" si="1"/>
        <v>17500</v>
      </c>
      <c r="K11" s="8"/>
    </row>
    <row r="12" spans="2:11" x14ac:dyDescent="0.2">
      <c r="B12" s="18" t="s">
        <v>283</v>
      </c>
      <c r="C12">
        <f t="shared" si="2"/>
        <v>3845</v>
      </c>
      <c r="D12" s="6">
        <f t="shared" si="3"/>
        <v>4120</v>
      </c>
      <c r="E12">
        <f t="shared" si="0"/>
        <v>512</v>
      </c>
      <c r="F12" s="15">
        <f t="shared" si="4"/>
        <v>0.12420796073962995</v>
      </c>
      <c r="G12" s="29"/>
      <c r="I12">
        <f t="shared" si="5"/>
        <v>725</v>
      </c>
      <c r="J12">
        <f t="shared" si="1"/>
        <v>18125</v>
      </c>
      <c r="K12" s="8"/>
    </row>
    <row r="13" spans="2:11" x14ac:dyDescent="0.2">
      <c r="B13" s="13" t="str">
        <f>CONCATENATE(CONCATENATE(TEXT(C3*0.6,0)," - "),TEXT(C3*1.66,0))</f>
        <v>2307 - 6383</v>
      </c>
      <c r="C13">
        <f t="shared" si="2"/>
        <v>3845</v>
      </c>
      <c r="D13" s="6">
        <f t="shared" si="3"/>
        <v>4220</v>
      </c>
      <c r="E13">
        <f t="shared" si="0"/>
        <v>534</v>
      </c>
      <c r="F13" s="15">
        <f t="shared" si="4"/>
        <v>0.12647832737329595</v>
      </c>
      <c r="G13" s="29"/>
      <c r="I13">
        <f t="shared" si="5"/>
        <v>750</v>
      </c>
      <c r="J13">
        <f t="shared" si="1"/>
        <v>18750</v>
      </c>
      <c r="K13" s="8"/>
    </row>
    <row r="14" spans="2:11" x14ac:dyDescent="0.2">
      <c r="B14" s="13"/>
      <c r="C14">
        <f t="shared" si="2"/>
        <v>3845</v>
      </c>
      <c r="D14" s="6">
        <f t="shared" si="3"/>
        <v>4320</v>
      </c>
      <c r="E14">
        <f t="shared" si="0"/>
        <v>556</v>
      </c>
      <c r="F14" s="15">
        <f t="shared" si="4"/>
        <v>0.12867321574174848</v>
      </c>
      <c r="G14" s="29"/>
      <c r="I14">
        <f t="shared" si="5"/>
        <v>775</v>
      </c>
      <c r="J14">
        <f t="shared" si="1"/>
        <v>19375</v>
      </c>
      <c r="K14" s="8"/>
    </row>
    <row r="15" spans="2:11" x14ac:dyDescent="0.2">
      <c r="B15" s="7"/>
      <c r="C15">
        <f t="shared" si="2"/>
        <v>3845</v>
      </c>
      <c r="D15" s="6">
        <f t="shared" si="3"/>
        <v>4420</v>
      </c>
      <c r="E15">
        <f t="shared" si="0"/>
        <v>578</v>
      </c>
      <c r="F15" s="15">
        <f t="shared" si="4"/>
        <v>0.13079513511747026</v>
      </c>
      <c r="G15" s="29"/>
      <c r="I15">
        <f t="shared" si="5"/>
        <v>800</v>
      </c>
      <c r="J15">
        <f t="shared" si="1"/>
        <v>20000</v>
      </c>
      <c r="K15" s="8"/>
    </row>
    <row r="16" spans="2:11" x14ac:dyDescent="0.2">
      <c r="B16" s="7"/>
      <c r="C16">
        <f t="shared" si="2"/>
        <v>3845</v>
      </c>
      <c r="D16" s="6">
        <f t="shared" si="3"/>
        <v>4520</v>
      </c>
      <c r="E16">
        <f t="shared" si="0"/>
        <v>600</v>
      </c>
      <c r="F16" s="15">
        <f t="shared" si="4"/>
        <v>0.13284651135226169</v>
      </c>
      <c r="G16" s="29"/>
      <c r="I16">
        <f t="shared" si="5"/>
        <v>825</v>
      </c>
      <c r="J16">
        <f t="shared" si="1"/>
        <v>20625</v>
      </c>
      <c r="K16" s="8"/>
    </row>
    <row r="17" spans="1:14" x14ac:dyDescent="0.2">
      <c r="B17" s="7"/>
      <c r="C17">
        <f t="shared" si="2"/>
        <v>3845</v>
      </c>
      <c r="D17" s="6">
        <f t="shared" si="3"/>
        <v>4620</v>
      </c>
      <c r="E17">
        <f t="shared" si="0"/>
        <v>623</v>
      </c>
      <c r="F17" s="15">
        <f t="shared" si="4"/>
        <v>0.13482968965055847</v>
      </c>
      <c r="G17" s="29"/>
      <c r="I17">
        <f t="shared" si="5"/>
        <v>850</v>
      </c>
      <c r="J17">
        <f t="shared" si="1"/>
        <v>21250</v>
      </c>
      <c r="K17" s="8"/>
    </row>
    <row r="18" spans="1:14" x14ac:dyDescent="0.2">
      <c r="B18" s="10"/>
      <c r="C18" s="4"/>
      <c r="D18" s="4"/>
      <c r="E18" s="4"/>
      <c r="F18" s="4"/>
      <c r="G18" s="4"/>
      <c r="H18" s="539" t="s">
        <v>438</v>
      </c>
      <c r="I18" s="539"/>
      <c r="J18" s="539"/>
      <c r="K18" s="540"/>
    </row>
    <row r="20" spans="1:14" ht="13.5" thickBot="1" x14ac:dyDescent="0.25">
      <c r="H20" s="1"/>
      <c r="I20" s="1"/>
      <c r="L20" t="s">
        <v>430</v>
      </c>
    </row>
    <row r="21" spans="1:14" ht="13.5" thickBot="1" x14ac:dyDescent="0.25">
      <c r="E21" t="s">
        <v>295</v>
      </c>
      <c r="F21" s="34">
        <v>0.125</v>
      </c>
      <c r="H21" s="1"/>
      <c r="I21" s="1"/>
      <c r="J21" t="s">
        <v>431</v>
      </c>
      <c r="K21" t="s">
        <v>432</v>
      </c>
      <c r="L21" s="33">
        <v>0.3</v>
      </c>
      <c r="M21" t="s">
        <v>433</v>
      </c>
    </row>
    <row r="22" spans="1:14" x14ac:dyDescent="0.2">
      <c r="A22" s="21" t="s">
        <v>99</v>
      </c>
      <c r="B22" s="3" t="s">
        <v>30</v>
      </c>
      <c r="C22" s="31"/>
      <c r="D22" s="3" t="s">
        <v>145</v>
      </c>
      <c r="E22" s="3">
        <v>4</v>
      </c>
      <c r="G22" s="3">
        <v>325</v>
      </c>
      <c r="H22" s="3">
        <v>25</v>
      </c>
      <c r="I22" s="11">
        <v>5</v>
      </c>
      <c r="J22" s="1"/>
      <c r="K22" s="1">
        <f>(K29-K28-K27)*C22</f>
        <v>0</v>
      </c>
      <c r="M22" s="1">
        <f>J22*F22*(1+L21)</f>
        <v>0</v>
      </c>
    </row>
    <row r="23" spans="1:14" x14ac:dyDescent="0.2">
      <c r="A23" s="19"/>
      <c r="C23" s="23">
        <f>1-C24</f>
        <v>0.5</v>
      </c>
      <c r="D23" t="s">
        <v>146</v>
      </c>
      <c r="F23">
        <v>3</v>
      </c>
      <c r="G23">
        <v>300</v>
      </c>
      <c r="H23">
        <v>15</v>
      </c>
      <c r="I23" s="8">
        <v>5</v>
      </c>
      <c r="J23" s="1">
        <f>K23/I23</f>
        <v>6412.7</v>
      </c>
      <c r="K23" s="1">
        <f>(K29-K28-K27)*C23</f>
        <v>32063.5</v>
      </c>
      <c r="M23" s="1">
        <f>J23*F23*(1+L21)</f>
        <v>25009.53</v>
      </c>
    </row>
    <row r="24" spans="1:14" x14ac:dyDescent="0.2">
      <c r="A24" s="19"/>
      <c r="C24" s="23">
        <v>0.5</v>
      </c>
      <c r="D24" t="s">
        <v>147</v>
      </c>
      <c r="E24">
        <f>1+F21*10</f>
        <v>2.25</v>
      </c>
      <c r="F24">
        <f>4+F21*10</f>
        <v>5.25</v>
      </c>
      <c r="G24">
        <v>1000</v>
      </c>
      <c r="H24">
        <v>55</v>
      </c>
      <c r="I24" s="8">
        <f>1.8 * MIN(6, MAX(E24,F24)) + 0.45 * MIN(6, MIN(E24,F24)) + IF(E24&gt;6, (E24-6)*0.2) + IF(F24&gt;6, (F24-6)*0.2)</f>
        <v>10.4625</v>
      </c>
      <c r="J24" s="1">
        <f>K24/I24</f>
        <v>3064.611708482676</v>
      </c>
      <c r="K24" s="1">
        <f>(K29-K28-K27)*C24</f>
        <v>32063.5</v>
      </c>
      <c r="M24" s="1">
        <f>J24*F24*(1+L21)</f>
        <v>20915.974910394267</v>
      </c>
    </row>
    <row r="25" spans="1:14" ht="13.5" thickBot="1" x14ac:dyDescent="0.25">
      <c r="A25" s="20"/>
      <c r="B25" s="4"/>
      <c r="C25" s="32"/>
      <c r="D25" s="4" t="s">
        <v>148</v>
      </c>
      <c r="E25" s="4">
        <v>6</v>
      </c>
      <c r="F25" s="4">
        <v>0</v>
      </c>
      <c r="G25" s="4">
        <v>1200</v>
      </c>
      <c r="H25" s="4">
        <v>55</v>
      </c>
      <c r="I25" s="8">
        <f>1.8 * MIN(6, MAX(E25,F25)) + 0.45 * MIN(6, MIN(E25,F25)) + IF(E25&gt;6, (E25-6)*0.2) + IF(F25&gt;6, (F25-6)*0.2)</f>
        <v>10.8</v>
      </c>
      <c r="J25" s="1"/>
      <c r="K25" s="1">
        <f>(K29-K28-K27)*C25</f>
        <v>0</v>
      </c>
      <c r="M25" s="1">
        <f>J25*F25*(1+L21)</f>
        <v>0</v>
      </c>
    </row>
    <row r="26" spans="1:14" x14ac:dyDescent="0.2">
      <c r="C26" s="2">
        <f>SUM(C22:C25)</f>
        <v>1</v>
      </c>
      <c r="D26" t="s">
        <v>24</v>
      </c>
      <c r="F26">
        <v>1</v>
      </c>
      <c r="H26" s="1"/>
      <c r="I26" t="s">
        <v>24</v>
      </c>
      <c r="J26" s="31">
        <v>5000</v>
      </c>
      <c r="M26" s="1">
        <f>J26*F26*(1+L21)</f>
        <v>6500</v>
      </c>
    </row>
    <row r="27" spans="1:14" x14ac:dyDescent="0.2">
      <c r="H27" s="1"/>
      <c r="I27" s="1" t="s">
        <v>428</v>
      </c>
      <c r="J27" s="27">
        <v>1250</v>
      </c>
      <c r="K27" s="1">
        <f>J27*25</f>
        <v>31250</v>
      </c>
      <c r="M27" s="35">
        <f>SUM(M22:M26)</f>
        <v>52425.504910394266</v>
      </c>
      <c r="N27" t="s">
        <v>433</v>
      </c>
    </row>
    <row r="28" spans="1:14" ht="13.5" thickBot="1" x14ac:dyDescent="0.25">
      <c r="H28" s="1"/>
      <c r="I28" s="1" t="s">
        <v>429</v>
      </c>
      <c r="J28" s="32">
        <v>750</v>
      </c>
      <c r="K28" s="1">
        <f>5*J28</f>
        <v>3750</v>
      </c>
    </row>
    <row r="29" spans="1:14" ht="13.5" thickBot="1" x14ac:dyDescent="0.25">
      <c r="H29" s="1"/>
      <c r="I29" s="1"/>
      <c r="K29" s="30">
        <v>99127</v>
      </c>
    </row>
    <row r="30" spans="1:14" x14ac:dyDescent="0.2">
      <c r="H30" s="1"/>
      <c r="I30" s="1"/>
    </row>
    <row r="31" spans="1:14" ht="13.5" thickBot="1" x14ac:dyDescent="0.25">
      <c r="H31" s="1"/>
      <c r="I31" s="1"/>
      <c r="L31" t="s">
        <v>442</v>
      </c>
    </row>
    <row r="32" spans="1:14" ht="13.5" thickBot="1" x14ac:dyDescent="0.25">
      <c r="H32" s="1"/>
      <c r="I32" s="1"/>
      <c r="J32" t="s">
        <v>431</v>
      </c>
      <c r="K32" t="s">
        <v>432</v>
      </c>
      <c r="L32" s="33">
        <v>0.2</v>
      </c>
      <c r="M32" t="s">
        <v>433</v>
      </c>
      <c r="N32" t="s">
        <v>444</v>
      </c>
    </row>
    <row r="33" spans="1:14" x14ac:dyDescent="0.2">
      <c r="A33" s="21" t="s">
        <v>97</v>
      </c>
      <c r="B33" s="11" t="s">
        <v>30</v>
      </c>
      <c r="C33" s="31"/>
      <c r="D33" s="9" t="s">
        <v>141</v>
      </c>
      <c r="E33" s="3">
        <v>3</v>
      </c>
      <c r="F33" s="3"/>
      <c r="G33" s="3">
        <v>325</v>
      </c>
      <c r="H33" s="3">
        <v>25</v>
      </c>
      <c r="I33" s="11">
        <v>5</v>
      </c>
      <c r="J33" s="1"/>
      <c r="K33" s="1">
        <f>(K40-K39-K38)*C33</f>
        <v>0</v>
      </c>
      <c r="M33" s="1"/>
      <c r="N33" s="1"/>
    </row>
    <row r="34" spans="1:14" x14ac:dyDescent="0.2">
      <c r="A34" s="19"/>
      <c r="B34" s="8"/>
      <c r="C34" s="23">
        <f>1-C36</f>
        <v>0.4</v>
      </c>
      <c r="D34" s="7" t="s">
        <v>142</v>
      </c>
      <c r="F34">
        <v>3</v>
      </c>
      <c r="G34">
        <v>375</v>
      </c>
      <c r="H34">
        <v>15</v>
      </c>
      <c r="I34" s="8">
        <v>5</v>
      </c>
      <c r="J34" s="1">
        <f>K34/I34</f>
        <v>14126</v>
      </c>
      <c r="K34" s="1">
        <f>(K40-K39-K38)*C34</f>
        <v>70630</v>
      </c>
      <c r="M34" s="37">
        <f>J34*F34*(1+L32)</f>
        <v>50853.599999999999</v>
      </c>
      <c r="N34" s="1"/>
    </row>
    <row r="35" spans="1:14" x14ac:dyDescent="0.2">
      <c r="A35" s="19"/>
      <c r="B35" s="8"/>
      <c r="C35" s="23"/>
      <c r="D35" s="7" t="s">
        <v>354</v>
      </c>
      <c r="E35">
        <v>5</v>
      </c>
      <c r="F35">
        <v>3</v>
      </c>
      <c r="G35">
        <v>1025</v>
      </c>
      <c r="H35">
        <v>80</v>
      </c>
      <c r="I35" s="8">
        <f>1.8 * MIN(6, MAX(E35,F35)) + 0.45 * MIN(6, MIN(E35,F35)) + IF(E35&gt;6, (E35-6)*0.2) + IF(F35&gt;6, (F35-6)*0.2)</f>
        <v>10.35</v>
      </c>
      <c r="J35" s="1">
        <f>K35/I35</f>
        <v>0</v>
      </c>
      <c r="K35" s="1">
        <f>(K40-K39-K38)*C35</f>
        <v>0</v>
      </c>
      <c r="M35" s="1"/>
      <c r="N35" s="1"/>
    </row>
    <row r="36" spans="1:14" ht="13.5" thickBot="1" x14ac:dyDescent="0.25">
      <c r="A36" s="20"/>
      <c r="B36" s="12"/>
      <c r="C36" s="36">
        <v>0.6</v>
      </c>
      <c r="D36" s="10" t="s">
        <v>144</v>
      </c>
      <c r="E36" s="4">
        <v>6</v>
      </c>
      <c r="F36" s="4">
        <v>2</v>
      </c>
      <c r="G36" s="4">
        <v>1300</v>
      </c>
      <c r="H36" s="4">
        <v>80</v>
      </c>
      <c r="I36" s="8">
        <f>1.8 * MIN(6, MAX(E36,F36)) + 0.45 * MIN(6, MIN(E36,F36)) + IF(E36&gt;6, (E36-6)*0.2) + IF(F36&gt;6, (F36-6)*0.2)</f>
        <v>11.700000000000001</v>
      </c>
      <c r="J36" s="1">
        <f>K36/I36</f>
        <v>9055.1282051282051</v>
      </c>
      <c r="K36" s="1">
        <f>(K40-K39-K38)*C36</f>
        <v>105945</v>
      </c>
      <c r="M36" s="1"/>
      <c r="N36" s="37">
        <f>J36*E36</f>
        <v>54330.769230769234</v>
      </c>
    </row>
    <row r="37" spans="1:14" x14ac:dyDescent="0.2">
      <c r="F37">
        <v>1</v>
      </c>
      <c r="H37" s="1"/>
      <c r="I37" t="s">
        <v>24</v>
      </c>
      <c r="J37" s="31">
        <v>1000</v>
      </c>
      <c r="M37" s="37">
        <f>J37*F37*(1+L35)</f>
        <v>1000</v>
      </c>
      <c r="N37" s="1"/>
    </row>
    <row r="38" spans="1:14" x14ac:dyDescent="0.2">
      <c r="H38" s="1"/>
      <c r="I38" s="1" t="s">
        <v>428</v>
      </c>
      <c r="J38" s="27">
        <v>2337</v>
      </c>
      <c r="K38" s="1">
        <f>J38*25</f>
        <v>58425</v>
      </c>
      <c r="M38" s="35"/>
      <c r="N38" s="35"/>
    </row>
    <row r="39" spans="1:14" ht="13.5" thickBot="1" x14ac:dyDescent="0.25">
      <c r="H39" s="1"/>
      <c r="I39" s="1" t="s">
        <v>443</v>
      </c>
      <c r="J39" s="32">
        <v>1000</v>
      </c>
      <c r="K39" s="1">
        <f>5*J39</f>
        <v>5000</v>
      </c>
      <c r="M39" s="35">
        <f>SUM(M33:M37)</f>
        <v>51853.599999999999</v>
      </c>
      <c r="N39" s="35">
        <f>N36</f>
        <v>54330.769230769234</v>
      </c>
    </row>
    <row r="40" spans="1:14" ht="13.5" thickBot="1" x14ac:dyDescent="0.25">
      <c r="H40" s="1"/>
      <c r="I40" s="1"/>
      <c r="K40" s="30">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284</v>
      </c>
      <c r="D51" s="3" t="s">
        <v>285</v>
      </c>
      <c r="E51" s="3" t="s">
        <v>237</v>
      </c>
      <c r="F51" s="3" t="s">
        <v>236</v>
      </c>
      <c r="H51" s="1"/>
      <c r="I51" s="1"/>
    </row>
    <row r="52" spans="3:9" ht="13.5" thickBot="1" x14ac:dyDescent="0.25">
      <c r="C52" s="22">
        <v>3845</v>
      </c>
      <c r="D52" s="24">
        <v>3220</v>
      </c>
      <c r="E52" s="38">
        <f>MAX(10,($F52*$D52))</f>
        <v>321.73901464653113</v>
      </c>
      <c r="F52" s="15">
        <f>MIN(0.15, 0.25 * ( 0.7 - EXP( -1.3 * $D52 / $C52 ) ))*1.1</f>
        <v>9.9918948647991029E-2</v>
      </c>
      <c r="G52">
        <v>310</v>
      </c>
      <c r="H52" s="1"/>
      <c r="I52" s="1"/>
    </row>
    <row r="53" spans="3:9" ht="13.5" thickBot="1" x14ac:dyDescent="0.25">
      <c r="C53" s="22">
        <v>3810</v>
      </c>
      <c r="D53" s="24">
        <v>3127</v>
      </c>
      <c r="E53" s="38">
        <f>MAX(10,($F53*$D53))</f>
        <v>306.08648635209335</v>
      </c>
      <c r="F53" s="15">
        <f>MIN(0.15, 0.25 * ( 0.7 - EXP( -1.3 * $D53 / $C53 ) ))*1.1</f>
        <v>9.7885029213972921E-2</v>
      </c>
      <c r="G53" s="38">
        <v>298</v>
      </c>
      <c r="H53" s="1"/>
      <c r="I53" s="1"/>
    </row>
    <row r="54" spans="3:9" ht="13.5" thickBot="1" x14ac:dyDescent="0.25">
      <c r="C54" s="22">
        <v>3643</v>
      </c>
      <c r="D54" s="24">
        <v>3042</v>
      </c>
      <c r="E54" s="38">
        <f>MAX(10,($F54*$D54))</f>
        <v>303.0641393490846</v>
      </c>
      <c r="F54" s="15">
        <f>MIN(0.15, 0.25 * ( 0.7 - EXP( -1.3 * $D54 / $C54 ) ))*1.1</f>
        <v>9.9626607281092891E-2</v>
      </c>
      <c r="G54" s="38">
        <v>294</v>
      </c>
      <c r="H54" s="1"/>
      <c r="I54" s="1"/>
    </row>
    <row r="55" spans="3:9" ht="13.5" thickBot="1" x14ac:dyDescent="0.25">
      <c r="C55" s="22">
        <v>3905</v>
      </c>
      <c r="D55" s="24">
        <v>2938</v>
      </c>
      <c r="E55" s="38">
        <f>MAX(10,($F55*$D55))</f>
        <v>261.74944508637975</v>
      </c>
      <c r="F55" s="15">
        <f>MIN(0.15, 0.25 * ( 0.7 - EXP( -1.3 * $D55 / $C55 ) ))*1.1</f>
        <v>8.9091029641381811E-2</v>
      </c>
      <c r="G55" s="38">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0"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337</vt:i4>
      </vt:variant>
    </vt:vector>
  </HeadingPairs>
  <TitlesOfParts>
    <vt:vector size="352"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abyss_enforce_bonus</vt:lpstr>
      <vt:lpstr>abyss_enforcer_cap</vt:lpstr>
      <vt:lpstr>adept_dp_bonus</vt:lpstr>
      <vt:lpstr>adept_dp_cap</vt:lpstr>
      <vt:lpstr>adept_op_bonus</vt:lpstr>
      <vt:lpstr>adept_op_cap</vt:lpstr>
      <vt:lpstr>alch_frost_bonus</vt:lpstr>
      <vt:lpstr>alch_plat</vt:lpstr>
      <vt:lpstr>alchemist_flame_bonus</vt:lpstr>
      <vt:lpstr>alchemist_flame_invest</vt:lpstr>
      <vt:lpstr>archmage_plat</vt:lpstr>
      <vt:lpstr>archspy_plat</vt:lpstr>
      <vt:lpstr>ares_call_bonus</vt:lpstr>
      <vt:lpstr>barracks_size</vt:lpstr>
      <vt:lpstr>blizzard_bonus</vt:lpstr>
      <vt:lpstr>boat_size</vt:lpstr>
      <vt:lpstr>bone_breaker_bonus</vt:lpstr>
      <vt:lpstr>bone_breaker_cap</vt:lpstr>
      <vt:lpstr>bonus_jobs_facts</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demon</vt:lpstr>
      <vt:lpstr>demonic_pact_food_cons</vt:lpstr>
      <vt:lpstr>demonic_pact_plat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explore_tech_divisor</vt:lpstr>
      <vt:lpstr>facs_constr_factor</vt:lpstr>
      <vt:lpstr>facs_constr_max</vt:lpstr>
      <vt:lpstr>facs_rezone_factor</vt:lpstr>
      <vt:lpstr>facs_rezone_max</vt:lpstr>
      <vt:lpstr>farm_food</vt:lpstr>
      <vt:lpstr>favorable_terrain_bonus</vt:lpstr>
      <vt:lpstr>favorable_terrain_max</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infernal_cmd_op</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start_acres</vt:lpstr>
      <vt:lpstr>start_acres_test</vt:lpstr>
      <vt:lpstr>start_alchs</vt:lpstr>
      <vt:lpstr>start_ams</vt:lpstr>
      <vt:lpstr>start_ass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wg_mana_prod</vt:lpstr>
      <vt:lpstr>wg_spell_cost_cap</vt:lpstr>
      <vt:lpstr>wg_spell_cost_red</vt:lpstr>
      <vt:lpstr>wg_wiz_cost_bonus</vt:lpstr>
      <vt:lpstr>wg_wiz_cost_cap</vt:lpstr>
      <vt:lpstr>wisp_bonus</vt:lpstr>
      <vt:lpstr>wisp_cap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Cevan Krause</cp:lastModifiedBy>
  <cp:lastPrinted>2004-01-30T10:58:31Z</cp:lastPrinted>
  <dcterms:created xsi:type="dcterms:W3CDTF">2002-01-18T13:56:58Z</dcterms:created>
  <dcterms:modified xsi:type="dcterms:W3CDTF">2026-10-13T14:37:29Z</dcterms:modified>
</cp:coreProperties>
</file>